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colon-cancer-spheroids_cell_NP40_R1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6643" i="1" l="1"/>
  <c r="AB6642" i="1"/>
  <c r="AB6641" i="1"/>
  <c r="AB6640" i="1"/>
  <c r="AB6639" i="1"/>
  <c r="AB6638" i="1"/>
  <c r="AB6637" i="1"/>
  <c r="AB6636" i="1"/>
  <c r="AB6635" i="1"/>
  <c r="AB6634" i="1"/>
  <c r="AB6633" i="1"/>
  <c r="AB6632" i="1"/>
  <c r="AB6631" i="1"/>
  <c r="AB6630" i="1"/>
  <c r="AB6629" i="1"/>
  <c r="AB6628" i="1"/>
  <c r="AB6627" i="1"/>
  <c r="AB6626" i="1"/>
  <c r="AB6625" i="1"/>
  <c r="AB6624" i="1"/>
  <c r="AB6623" i="1"/>
  <c r="AB6622" i="1"/>
  <c r="AB6621" i="1"/>
  <c r="AB6620" i="1"/>
  <c r="AB6619" i="1"/>
  <c r="AB6618" i="1"/>
  <c r="AB6617" i="1"/>
  <c r="AB6616" i="1"/>
  <c r="AB6615" i="1"/>
  <c r="AB6614" i="1"/>
  <c r="AB6613" i="1"/>
  <c r="AB6612" i="1"/>
  <c r="AB6611" i="1"/>
  <c r="AB6610" i="1"/>
  <c r="AB6609" i="1"/>
  <c r="AB6608" i="1"/>
  <c r="AB6607" i="1"/>
  <c r="AB6606" i="1"/>
  <c r="AB6605" i="1"/>
  <c r="AB6604" i="1"/>
  <c r="AB6603" i="1"/>
  <c r="AB6602" i="1"/>
  <c r="AB6601" i="1"/>
  <c r="AB6600" i="1"/>
  <c r="AB6599" i="1"/>
  <c r="AB6598" i="1"/>
  <c r="AB6597" i="1"/>
  <c r="AB6596" i="1"/>
  <c r="AB6595" i="1"/>
  <c r="AB6594" i="1"/>
  <c r="AB6593" i="1"/>
  <c r="AB6592" i="1"/>
  <c r="AB6591" i="1"/>
  <c r="AB6590" i="1"/>
  <c r="AB6589" i="1"/>
  <c r="AB6588" i="1"/>
  <c r="AB6587" i="1"/>
  <c r="AB6586" i="1"/>
  <c r="AB6585" i="1"/>
  <c r="AB6584" i="1"/>
  <c r="AB6583" i="1"/>
  <c r="AB6582" i="1"/>
  <c r="AB6581" i="1"/>
  <c r="AB6580" i="1"/>
  <c r="AB6579" i="1"/>
  <c r="AB6578" i="1"/>
  <c r="AB6577" i="1"/>
  <c r="AB6576" i="1"/>
  <c r="AB6575" i="1"/>
  <c r="AB6574" i="1"/>
  <c r="AB6573" i="1"/>
  <c r="AB6572" i="1"/>
  <c r="AB6571" i="1"/>
  <c r="AB6570" i="1"/>
  <c r="AB6569" i="1"/>
  <c r="AB6568" i="1"/>
  <c r="AB6567" i="1"/>
  <c r="AB6566" i="1"/>
  <c r="AB6565" i="1"/>
  <c r="AB6564" i="1"/>
  <c r="AB6563" i="1"/>
  <c r="AB6562" i="1"/>
  <c r="AB6561" i="1"/>
  <c r="AB6560" i="1"/>
  <c r="AB6559" i="1"/>
  <c r="AB6558" i="1"/>
  <c r="AB6557" i="1"/>
  <c r="AB6556" i="1"/>
  <c r="AB6555" i="1"/>
  <c r="AB6554" i="1"/>
  <c r="AB6553" i="1"/>
  <c r="AB6552" i="1"/>
  <c r="AB6551" i="1"/>
  <c r="AB6550" i="1"/>
  <c r="AB6549" i="1"/>
  <c r="AB6548" i="1"/>
  <c r="AB6547" i="1"/>
  <c r="AB6546" i="1"/>
  <c r="AB6545" i="1"/>
  <c r="AB6544" i="1"/>
  <c r="AB6543" i="1"/>
  <c r="AB6542" i="1"/>
  <c r="AB6541" i="1"/>
  <c r="AB6540" i="1"/>
  <c r="AB6539" i="1"/>
  <c r="AB6538" i="1"/>
  <c r="AB6537" i="1"/>
  <c r="AB6536" i="1"/>
  <c r="AB6535" i="1"/>
  <c r="AB6534" i="1"/>
  <c r="AB6533" i="1"/>
  <c r="AB6532" i="1"/>
  <c r="AB6531" i="1"/>
  <c r="AB6530" i="1"/>
  <c r="AB6529" i="1"/>
  <c r="AB6528" i="1"/>
  <c r="AB6527" i="1"/>
  <c r="AB6526" i="1"/>
  <c r="AB6525" i="1"/>
  <c r="AB6524" i="1"/>
  <c r="AB6523" i="1"/>
  <c r="AB6522" i="1"/>
  <c r="AB6521" i="1"/>
  <c r="AB6520" i="1"/>
  <c r="AB6519" i="1"/>
  <c r="AB6518" i="1"/>
  <c r="AB6517" i="1"/>
  <c r="AB6516" i="1"/>
  <c r="AB6515" i="1"/>
  <c r="AB6514" i="1"/>
  <c r="AB6513" i="1"/>
  <c r="AB6512" i="1"/>
  <c r="AB6511" i="1"/>
  <c r="AB6510" i="1"/>
  <c r="AB6509" i="1"/>
  <c r="AB6508" i="1"/>
  <c r="AB6507" i="1"/>
  <c r="AB6506" i="1"/>
  <c r="AB6505" i="1"/>
  <c r="AB6504" i="1"/>
  <c r="AB6503" i="1"/>
  <c r="AB6502" i="1"/>
  <c r="AB6501" i="1"/>
  <c r="AB6500" i="1"/>
  <c r="AB6499" i="1"/>
  <c r="AB6498" i="1"/>
  <c r="AB6497" i="1"/>
  <c r="AB6496" i="1"/>
  <c r="AB6495" i="1"/>
  <c r="AB6494" i="1"/>
  <c r="AB6493" i="1"/>
  <c r="AB6492" i="1"/>
  <c r="AB6491" i="1"/>
  <c r="AB6490" i="1"/>
  <c r="AB6489" i="1"/>
  <c r="AB6488" i="1"/>
  <c r="AB6487" i="1"/>
  <c r="AB6486" i="1"/>
  <c r="AB6485" i="1"/>
  <c r="AB6484" i="1"/>
  <c r="AB6483" i="1"/>
  <c r="AB6482" i="1"/>
  <c r="AB6481" i="1"/>
  <c r="AB6480" i="1"/>
  <c r="AB6479" i="1"/>
  <c r="AB6478" i="1"/>
  <c r="AB6477" i="1"/>
  <c r="AB6476" i="1"/>
  <c r="AB6475" i="1"/>
  <c r="AB6474" i="1"/>
  <c r="AB6473" i="1"/>
  <c r="AB6472" i="1"/>
  <c r="AB6471" i="1"/>
  <c r="AB6470" i="1"/>
  <c r="AB6469" i="1"/>
  <c r="AB6468" i="1"/>
  <c r="AB6467" i="1"/>
  <c r="AB6466" i="1"/>
  <c r="AB6465" i="1"/>
  <c r="AB6464" i="1"/>
  <c r="AB6463" i="1"/>
  <c r="AB6462" i="1"/>
  <c r="AB6461" i="1"/>
  <c r="AB6460" i="1"/>
  <c r="AB6459" i="1"/>
  <c r="AB6458" i="1"/>
  <c r="AB6457" i="1"/>
  <c r="AB6456" i="1"/>
  <c r="AB6455" i="1"/>
  <c r="AB6454" i="1"/>
  <c r="AB6453" i="1"/>
  <c r="AB6452" i="1"/>
  <c r="AB6451" i="1"/>
  <c r="AB6450" i="1"/>
  <c r="AB6449" i="1"/>
  <c r="AB6448" i="1"/>
  <c r="AB6447" i="1"/>
  <c r="AB6446" i="1"/>
  <c r="AB6445" i="1"/>
  <c r="AB6444" i="1"/>
  <c r="AB6443" i="1"/>
  <c r="AB6442" i="1"/>
  <c r="AB6441" i="1"/>
  <c r="AB6440" i="1"/>
  <c r="AB6439" i="1"/>
  <c r="AB6438" i="1"/>
  <c r="AB6437" i="1"/>
  <c r="AB6436" i="1"/>
  <c r="AB6435" i="1"/>
  <c r="AB6434" i="1"/>
  <c r="AB6433" i="1"/>
  <c r="AB6432" i="1"/>
  <c r="AB6431" i="1"/>
  <c r="AB6430" i="1"/>
  <c r="AB6429" i="1"/>
  <c r="AB6428" i="1"/>
  <c r="AB6427" i="1"/>
  <c r="AB6426" i="1"/>
  <c r="AB6425" i="1"/>
  <c r="AB6424" i="1"/>
  <c r="AB6423" i="1"/>
  <c r="AB6422" i="1"/>
  <c r="AB6421" i="1"/>
  <c r="AB6420" i="1"/>
  <c r="AB6419" i="1"/>
  <c r="AB6418" i="1"/>
  <c r="AB6417" i="1"/>
  <c r="AB6416" i="1"/>
  <c r="AB6415" i="1"/>
  <c r="AB6414" i="1"/>
  <c r="AB6413" i="1"/>
  <c r="AB6412" i="1"/>
  <c r="AB6411" i="1"/>
  <c r="AB6410" i="1"/>
  <c r="AB6409" i="1"/>
  <c r="AB6408" i="1"/>
  <c r="AB6407" i="1"/>
  <c r="AB6406" i="1"/>
  <c r="AB6405" i="1"/>
  <c r="AB6404" i="1"/>
  <c r="AB6403" i="1"/>
  <c r="AB6402" i="1"/>
  <c r="AB6401" i="1"/>
  <c r="AB6400" i="1"/>
  <c r="AB6399" i="1"/>
  <c r="AB6398" i="1"/>
  <c r="AB6397" i="1"/>
  <c r="AB6396" i="1"/>
  <c r="AB6395" i="1"/>
  <c r="AB6394" i="1"/>
  <c r="AB6393" i="1"/>
  <c r="AB6392" i="1"/>
  <c r="AB6391" i="1"/>
  <c r="AB6390" i="1"/>
  <c r="AB6389" i="1"/>
  <c r="AB6388" i="1"/>
  <c r="AB6387" i="1"/>
  <c r="AB6386" i="1"/>
  <c r="AB6385" i="1"/>
  <c r="AB6384" i="1"/>
  <c r="AB6383" i="1"/>
  <c r="AB6382" i="1"/>
  <c r="AB6381" i="1"/>
  <c r="AB6380" i="1"/>
  <c r="AB6379" i="1"/>
  <c r="AB6378" i="1"/>
  <c r="AB6377" i="1"/>
  <c r="AB6376" i="1"/>
  <c r="AB6375" i="1"/>
  <c r="AB6374" i="1"/>
  <c r="AB6373" i="1"/>
  <c r="AB6372" i="1"/>
  <c r="AB6371" i="1"/>
  <c r="AB6370" i="1"/>
  <c r="AB6369" i="1"/>
  <c r="AB6368" i="1"/>
  <c r="AB6367" i="1"/>
  <c r="AB6366" i="1"/>
  <c r="AB6365" i="1"/>
  <c r="AB6364" i="1"/>
  <c r="AB6363" i="1"/>
  <c r="AB6362" i="1"/>
  <c r="AB6361" i="1"/>
  <c r="AB6360" i="1"/>
  <c r="AB6359" i="1"/>
  <c r="AB6358" i="1"/>
  <c r="AB6357" i="1"/>
  <c r="AB6356" i="1"/>
  <c r="AB6355" i="1"/>
  <c r="AB6354" i="1"/>
  <c r="AB6353" i="1"/>
  <c r="AB6352" i="1"/>
  <c r="AB6351" i="1"/>
  <c r="AB6350" i="1"/>
  <c r="AB6349" i="1"/>
  <c r="AB6348" i="1"/>
  <c r="AB6347" i="1"/>
  <c r="AB6346" i="1"/>
  <c r="AB6345" i="1"/>
  <c r="AB6344" i="1"/>
  <c r="AB6343" i="1"/>
  <c r="AB6342" i="1"/>
  <c r="AB6341" i="1"/>
  <c r="AB6340" i="1"/>
  <c r="AB6339" i="1"/>
  <c r="AB6338" i="1"/>
  <c r="AB6337" i="1"/>
  <c r="AB6336" i="1"/>
  <c r="AB6335" i="1"/>
  <c r="AB6334" i="1"/>
  <c r="AB6333" i="1"/>
  <c r="AB6332" i="1"/>
  <c r="AB6331" i="1"/>
  <c r="AB6330" i="1"/>
  <c r="AB6329" i="1"/>
  <c r="AB6328" i="1"/>
  <c r="AB6327" i="1"/>
  <c r="AB6326" i="1"/>
  <c r="AB6325" i="1"/>
  <c r="AB6324" i="1"/>
  <c r="AB6323" i="1"/>
  <c r="AB6322" i="1"/>
  <c r="AB6321" i="1"/>
  <c r="AB6320" i="1"/>
  <c r="AB6319" i="1"/>
  <c r="AB6318" i="1"/>
  <c r="AB6317" i="1"/>
  <c r="AB6316" i="1"/>
  <c r="AB6315" i="1"/>
  <c r="AB6314" i="1"/>
  <c r="AB6313" i="1"/>
  <c r="AB6312" i="1"/>
  <c r="AB6311" i="1"/>
  <c r="AB6310" i="1"/>
  <c r="AB6309" i="1"/>
  <c r="AB6308" i="1"/>
  <c r="AB6307" i="1"/>
  <c r="AB6306" i="1"/>
  <c r="AB6305" i="1"/>
  <c r="AB6304" i="1"/>
  <c r="AB6303" i="1"/>
  <c r="AB6302" i="1"/>
  <c r="AB6301" i="1"/>
  <c r="AB6300" i="1"/>
  <c r="AB6299" i="1"/>
  <c r="AB6298" i="1"/>
  <c r="AB6297" i="1"/>
  <c r="AB6296" i="1"/>
  <c r="AB6295" i="1"/>
  <c r="AB6294" i="1"/>
  <c r="AB6293" i="1"/>
  <c r="AB6292" i="1"/>
  <c r="AB6291" i="1"/>
  <c r="AB6290" i="1"/>
  <c r="AB6289" i="1"/>
  <c r="AB6288" i="1"/>
  <c r="AB6287" i="1"/>
  <c r="AB6286" i="1"/>
  <c r="AB6285" i="1"/>
  <c r="AB6284" i="1"/>
  <c r="AB6283" i="1"/>
  <c r="AB6282" i="1"/>
  <c r="AB6281" i="1"/>
  <c r="AB6280" i="1"/>
  <c r="AB6279" i="1"/>
  <c r="AB6278" i="1"/>
  <c r="AB6277" i="1"/>
  <c r="AB6276" i="1"/>
  <c r="AB6275" i="1"/>
  <c r="AB6274" i="1"/>
  <c r="AB6273" i="1"/>
  <c r="AB6272" i="1"/>
  <c r="AB6271" i="1"/>
  <c r="AB6270" i="1"/>
  <c r="AB6269" i="1"/>
  <c r="AB6268" i="1"/>
  <c r="AB6267" i="1"/>
  <c r="AB6266" i="1"/>
  <c r="AB6265" i="1"/>
  <c r="AB6264" i="1"/>
  <c r="AB6263" i="1"/>
  <c r="AB6262" i="1"/>
  <c r="AB6261" i="1"/>
  <c r="AB6260" i="1"/>
  <c r="AB6259" i="1"/>
  <c r="AB6258" i="1"/>
  <c r="AB6257" i="1"/>
  <c r="AB6256" i="1"/>
  <c r="AB6255" i="1"/>
  <c r="AB6254" i="1"/>
  <c r="AB6253" i="1"/>
  <c r="AB6252" i="1"/>
  <c r="AB6251" i="1"/>
  <c r="AB6250" i="1"/>
  <c r="AB6249" i="1"/>
  <c r="AB6248" i="1"/>
  <c r="AB6247" i="1"/>
  <c r="AB6246" i="1"/>
  <c r="AB6245" i="1"/>
  <c r="AB6244" i="1"/>
  <c r="AB6243" i="1"/>
  <c r="AB6242" i="1"/>
  <c r="AB6241" i="1"/>
  <c r="AB6240" i="1"/>
  <c r="AB6239" i="1"/>
  <c r="AB6238" i="1"/>
  <c r="AB6237" i="1"/>
  <c r="AB6236" i="1"/>
  <c r="AB6235" i="1"/>
  <c r="AB6234" i="1"/>
  <c r="AB6233" i="1"/>
  <c r="AB6232" i="1"/>
  <c r="AB6231" i="1"/>
  <c r="AB6230" i="1"/>
  <c r="AB6229" i="1"/>
  <c r="AB6228" i="1"/>
  <c r="AB6227" i="1"/>
  <c r="AB6226" i="1"/>
  <c r="AB6225" i="1"/>
  <c r="AB6224" i="1"/>
  <c r="AB6223" i="1"/>
  <c r="AB6222" i="1"/>
  <c r="AB6221" i="1"/>
  <c r="AB6220" i="1"/>
  <c r="AB6219" i="1"/>
  <c r="AB6218" i="1"/>
  <c r="AB6217" i="1"/>
  <c r="AB6216" i="1"/>
  <c r="AB6215" i="1"/>
  <c r="AB6214" i="1"/>
  <c r="AB6213" i="1"/>
  <c r="AB6212" i="1"/>
  <c r="AB6211" i="1"/>
  <c r="AB6210" i="1"/>
  <c r="AB6209" i="1"/>
  <c r="AB6208" i="1"/>
  <c r="AB6207" i="1"/>
  <c r="AB6206" i="1"/>
  <c r="AB6205" i="1"/>
  <c r="AB6204" i="1"/>
  <c r="AB6203" i="1"/>
  <c r="AB6202" i="1"/>
  <c r="AB6201" i="1"/>
  <c r="AB6200" i="1"/>
  <c r="AB6199" i="1"/>
  <c r="AB6198" i="1"/>
  <c r="AB6197" i="1"/>
  <c r="AB6196" i="1"/>
  <c r="AB6195" i="1"/>
  <c r="AB6194" i="1"/>
  <c r="AB6193" i="1"/>
  <c r="AB6192" i="1"/>
  <c r="AB6191" i="1"/>
  <c r="AB6190" i="1"/>
  <c r="AB6189" i="1"/>
  <c r="AB6188" i="1"/>
  <c r="AB6187" i="1"/>
  <c r="AB6186" i="1"/>
  <c r="AB6185" i="1"/>
  <c r="AB6184" i="1"/>
  <c r="AB6183" i="1"/>
  <c r="AB6182" i="1"/>
  <c r="AB6181" i="1"/>
  <c r="AB6180" i="1"/>
  <c r="AB6179" i="1"/>
  <c r="AB6178" i="1"/>
  <c r="AB6177" i="1"/>
  <c r="AB6176" i="1"/>
  <c r="AB6175" i="1"/>
  <c r="AB6174" i="1"/>
  <c r="AB6173" i="1"/>
  <c r="AB6172" i="1"/>
  <c r="AB6171" i="1"/>
  <c r="AB6170" i="1"/>
  <c r="AB6169" i="1"/>
  <c r="AB6168" i="1"/>
  <c r="AB6167" i="1"/>
  <c r="AB6166" i="1"/>
  <c r="AB6165" i="1"/>
  <c r="AB6164" i="1"/>
  <c r="AB6163" i="1"/>
  <c r="AB6162" i="1"/>
  <c r="AB6161" i="1"/>
  <c r="AB6160" i="1"/>
  <c r="AB6159" i="1"/>
  <c r="AB6158" i="1"/>
  <c r="AB6157" i="1"/>
  <c r="AB6156" i="1"/>
  <c r="AB6155" i="1"/>
  <c r="AB6154" i="1"/>
  <c r="AB6153" i="1"/>
  <c r="AB6152" i="1"/>
  <c r="AB6151" i="1"/>
  <c r="AB6150" i="1"/>
  <c r="AB6149" i="1"/>
  <c r="AB6148" i="1"/>
  <c r="AB6147" i="1"/>
  <c r="AB6146" i="1"/>
  <c r="AB6145" i="1"/>
  <c r="AB6144" i="1"/>
  <c r="AB6143" i="1"/>
  <c r="AB6142" i="1"/>
  <c r="AB6141" i="1"/>
  <c r="AB6140" i="1"/>
  <c r="AB6139" i="1"/>
  <c r="AB6138" i="1"/>
  <c r="AB6137" i="1"/>
  <c r="AB6136" i="1"/>
  <c r="AB6135" i="1"/>
  <c r="AB6134" i="1"/>
  <c r="AB6133" i="1"/>
  <c r="AB6132" i="1"/>
  <c r="AB6131" i="1"/>
  <c r="AB6130" i="1"/>
  <c r="AB6129" i="1"/>
  <c r="AB6128" i="1"/>
  <c r="AB6127" i="1"/>
  <c r="AB6126" i="1"/>
  <c r="AB6125" i="1"/>
  <c r="AB6124" i="1"/>
  <c r="AB6123" i="1"/>
  <c r="AB6122" i="1"/>
  <c r="AB6121" i="1"/>
  <c r="AB6120" i="1"/>
  <c r="AB6119" i="1"/>
  <c r="AB6118" i="1"/>
  <c r="AB6117" i="1"/>
  <c r="AB6116" i="1"/>
  <c r="AB6115" i="1"/>
  <c r="AB6114" i="1"/>
  <c r="AB6113" i="1"/>
  <c r="AB6112" i="1"/>
  <c r="AB6111" i="1"/>
  <c r="AB6110" i="1"/>
  <c r="AB6109" i="1"/>
  <c r="AB6108" i="1"/>
  <c r="AB6107" i="1"/>
  <c r="AB6106" i="1"/>
  <c r="AB6105" i="1"/>
  <c r="AB6104" i="1"/>
  <c r="AB6103" i="1"/>
  <c r="AB6102" i="1"/>
  <c r="AB6101" i="1"/>
  <c r="AB6100" i="1"/>
  <c r="AB6099" i="1"/>
  <c r="AB6098" i="1"/>
  <c r="AB6097" i="1"/>
  <c r="AB6096" i="1"/>
  <c r="AB6095" i="1"/>
  <c r="AB6094" i="1"/>
  <c r="AB6093" i="1"/>
  <c r="AB6092" i="1"/>
  <c r="AB6091" i="1"/>
  <c r="AB6090" i="1"/>
  <c r="AB6089" i="1"/>
  <c r="AB6088" i="1"/>
  <c r="AB6087" i="1"/>
  <c r="AB6086" i="1"/>
  <c r="AB6085" i="1"/>
  <c r="AB6084" i="1"/>
  <c r="AB6083" i="1"/>
  <c r="AB6082" i="1"/>
  <c r="AB6081" i="1"/>
  <c r="AB6080" i="1"/>
  <c r="AB6079" i="1"/>
  <c r="AB6078" i="1"/>
  <c r="AB6077" i="1"/>
  <c r="AB6076" i="1"/>
  <c r="AB6075" i="1"/>
  <c r="AB6074" i="1"/>
  <c r="AB6073" i="1"/>
  <c r="AB6072" i="1"/>
  <c r="AB6071" i="1"/>
  <c r="AB6070" i="1"/>
  <c r="AB6069" i="1"/>
  <c r="AB6068" i="1"/>
  <c r="AB6067" i="1"/>
  <c r="AB6066" i="1"/>
  <c r="AB6065" i="1"/>
  <c r="AB6064" i="1"/>
  <c r="AB6063" i="1"/>
  <c r="AB6062" i="1"/>
  <c r="AB6061" i="1"/>
  <c r="AB6060" i="1"/>
  <c r="AB6059" i="1"/>
  <c r="AB6058" i="1"/>
  <c r="AB6057" i="1"/>
  <c r="AB6056" i="1"/>
  <c r="AB6055" i="1"/>
  <c r="AB6054" i="1"/>
  <c r="AB6053" i="1"/>
  <c r="AB6052" i="1"/>
  <c r="AB6051" i="1"/>
  <c r="AB6050" i="1"/>
  <c r="AB6049" i="1"/>
  <c r="AB6048" i="1"/>
  <c r="AB6047" i="1"/>
  <c r="AB6046" i="1"/>
  <c r="AB6045" i="1"/>
  <c r="AB6044" i="1"/>
  <c r="AB6043" i="1"/>
  <c r="AB6042" i="1"/>
  <c r="AB6041" i="1"/>
  <c r="AB6040" i="1"/>
  <c r="AB6039" i="1"/>
  <c r="AB6038" i="1"/>
  <c r="AB6037" i="1"/>
  <c r="AB6036" i="1"/>
  <c r="AB6035" i="1"/>
  <c r="AB6034" i="1"/>
  <c r="AB6033" i="1"/>
  <c r="AB6032" i="1"/>
  <c r="AB6031" i="1"/>
  <c r="AB6030" i="1"/>
  <c r="AB6029" i="1"/>
  <c r="AB6028" i="1"/>
  <c r="AB6027" i="1"/>
  <c r="AB6026" i="1"/>
  <c r="AB6025" i="1"/>
  <c r="AB6024" i="1"/>
  <c r="AB6023" i="1"/>
  <c r="AB6022" i="1"/>
  <c r="AB6021" i="1"/>
  <c r="AB6020" i="1"/>
  <c r="AB6019" i="1"/>
  <c r="AB6018" i="1"/>
  <c r="AB6017" i="1"/>
  <c r="AB6016" i="1"/>
  <c r="AB6015" i="1"/>
  <c r="AB6014" i="1"/>
  <c r="AB6013" i="1"/>
  <c r="AB6012" i="1"/>
  <c r="AB6011" i="1"/>
  <c r="AB6010" i="1"/>
  <c r="AB6009" i="1"/>
  <c r="AB6008" i="1"/>
  <c r="AB6007" i="1"/>
  <c r="AB6006" i="1"/>
  <c r="AB6005" i="1"/>
  <c r="AB6004" i="1"/>
  <c r="AB6003" i="1"/>
  <c r="AB6002" i="1"/>
  <c r="AB6001" i="1"/>
  <c r="AB6000" i="1"/>
  <c r="AB5999" i="1"/>
  <c r="AB5998" i="1"/>
  <c r="AB5997" i="1"/>
  <c r="AB5996" i="1"/>
  <c r="AB5995" i="1"/>
  <c r="AB5994" i="1"/>
  <c r="AB5993" i="1"/>
  <c r="AB5992" i="1"/>
  <c r="AB5991" i="1"/>
  <c r="AB5990" i="1"/>
  <c r="AB5989" i="1"/>
  <c r="AB5988" i="1"/>
  <c r="AB5987" i="1"/>
  <c r="AB5986" i="1"/>
  <c r="AB5985" i="1"/>
  <c r="AB5984" i="1"/>
  <c r="AB5983" i="1"/>
  <c r="AB5982" i="1"/>
  <c r="AB5981" i="1"/>
  <c r="AB5980" i="1"/>
  <c r="AB5979" i="1"/>
  <c r="AB5978" i="1"/>
  <c r="AB5977" i="1"/>
  <c r="AB5976" i="1"/>
  <c r="AB5975" i="1"/>
  <c r="AB5974" i="1"/>
  <c r="AB5973" i="1"/>
  <c r="AB5972" i="1"/>
  <c r="AB5971" i="1"/>
  <c r="AB5970" i="1"/>
  <c r="AB5969" i="1"/>
  <c r="AB5968" i="1"/>
  <c r="AB5967" i="1"/>
  <c r="AB5966" i="1"/>
  <c r="AB5965" i="1"/>
  <c r="AB5964" i="1"/>
  <c r="AB5963" i="1"/>
  <c r="AB5962" i="1"/>
  <c r="AB5961" i="1"/>
  <c r="AB5960" i="1"/>
  <c r="AB5959" i="1"/>
  <c r="AB5958" i="1"/>
  <c r="AB5957" i="1"/>
  <c r="AB5956" i="1"/>
  <c r="AB5955" i="1"/>
  <c r="AB5954" i="1"/>
  <c r="AB5953" i="1"/>
  <c r="AB5952" i="1"/>
  <c r="AB5951" i="1"/>
  <c r="AB5950" i="1"/>
  <c r="AB5949" i="1"/>
  <c r="AB5948" i="1"/>
  <c r="AB5947" i="1"/>
  <c r="AB5946" i="1"/>
  <c r="AB5945" i="1"/>
  <c r="AB5944" i="1"/>
  <c r="AB5943" i="1"/>
  <c r="AB5942" i="1"/>
  <c r="AB5941" i="1"/>
  <c r="AB5940" i="1"/>
  <c r="AB5939" i="1"/>
  <c r="AB5938" i="1"/>
  <c r="AB5937" i="1"/>
  <c r="AB5936" i="1"/>
  <c r="AB5935" i="1"/>
  <c r="AB5934" i="1"/>
  <c r="AB5933" i="1"/>
  <c r="AB5932" i="1"/>
  <c r="AB5931" i="1"/>
  <c r="AB5930" i="1"/>
  <c r="AB5929" i="1"/>
  <c r="AB5928" i="1"/>
  <c r="AB5927" i="1"/>
  <c r="AB5926" i="1"/>
  <c r="AB5925" i="1"/>
  <c r="AB5924" i="1"/>
  <c r="AB5923" i="1"/>
  <c r="AB5922" i="1"/>
  <c r="AB5921" i="1"/>
  <c r="AB5920" i="1"/>
  <c r="AB5919" i="1"/>
  <c r="AB5918" i="1"/>
  <c r="AB5917" i="1"/>
  <c r="AB5916" i="1"/>
  <c r="AB5915" i="1"/>
  <c r="AB5914" i="1"/>
  <c r="AB5913" i="1"/>
  <c r="AB5912" i="1"/>
  <c r="AB5911" i="1"/>
  <c r="AB5910" i="1"/>
  <c r="AB5909" i="1"/>
  <c r="AB5908" i="1"/>
  <c r="AB5907" i="1"/>
  <c r="AB5906" i="1"/>
  <c r="AB5905" i="1"/>
  <c r="AB5904" i="1"/>
  <c r="AB5903" i="1"/>
  <c r="AB5902" i="1"/>
  <c r="AB5901" i="1"/>
  <c r="AB5900" i="1"/>
  <c r="AB5899" i="1"/>
  <c r="AB5898" i="1"/>
  <c r="AB5897" i="1"/>
  <c r="AB5896" i="1"/>
  <c r="AB5895" i="1"/>
  <c r="AB5894" i="1"/>
  <c r="AB5893" i="1"/>
  <c r="AB5892" i="1"/>
  <c r="AB5891" i="1"/>
  <c r="AB5890" i="1"/>
  <c r="AB5889" i="1"/>
  <c r="AB5888" i="1"/>
  <c r="AB5887" i="1"/>
  <c r="AB5886" i="1"/>
  <c r="AB5885" i="1"/>
  <c r="AB5884" i="1"/>
  <c r="AB5883" i="1"/>
  <c r="AB5882" i="1"/>
  <c r="AB5881" i="1"/>
  <c r="AB5880" i="1"/>
  <c r="AB5879" i="1"/>
  <c r="AB5878" i="1"/>
  <c r="AB5877" i="1"/>
  <c r="AB5876" i="1"/>
  <c r="AB5875" i="1"/>
  <c r="AB5874" i="1"/>
  <c r="AB5873" i="1"/>
  <c r="AB5872" i="1"/>
  <c r="AB5871" i="1"/>
  <c r="AB5870" i="1"/>
  <c r="AB5869" i="1"/>
  <c r="AB5868" i="1"/>
  <c r="AB5867" i="1"/>
  <c r="AB5866" i="1"/>
  <c r="AB5865" i="1"/>
  <c r="AB5864" i="1"/>
  <c r="AB5863" i="1"/>
  <c r="AB5862" i="1"/>
  <c r="AB5861" i="1"/>
  <c r="AB5860" i="1"/>
  <c r="AB5859" i="1"/>
  <c r="AB5858" i="1"/>
  <c r="AB5857" i="1"/>
  <c r="AB5856" i="1"/>
  <c r="AB5855" i="1"/>
  <c r="AB5854" i="1"/>
  <c r="AB5853" i="1"/>
  <c r="AB5852" i="1"/>
  <c r="AB5851" i="1"/>
  <c r="AB5850" i="1"/>
  <c r="AB5849" i="1"/>
  <c r="AB5848" i="1"/>
  <c r="AB5847" i="1"/>
  <c r="AB5846" i="1"/>
  <c r="AB5845" i="1"/>
  <c r="AB5844" i="1"/>
  <c r="AB5843" i="1"/>
  <c r="AB5842" i="1"/>
  <c r="AB5841" i="1"/>
  <c r="AB5840" i="1"/>
  <c r="AB5839" i="1"/>
  <c r="AB5838" i="1"/>
  <c r="AB5837" i="1"/>
  <c r="AB5836" i="1"/>
  <c r="AB5835" i="1"/>
  <c r="AB5834" i="1"/>
  <c r="AB5833" i="1"/>
  <c r="AB5832" i="1"/>
  <c r="AB5831" i="1"/>
  <c r="AB5830" i="1"/>
  <c r="AB5829" i="1"/>
  <c r="AB5828" i="1"/>
  <c r="AB5827" i="1"/>
  <c r="AB5826" i="1"/>
  <c r="AB5825" i="1"/>
  <c r="AB5824" i="1"/>
  <c r="AB5823" i="1"/>
  <c r="AB5822" i="1"/>
  <c r="AB5821" i="1"/>
  <c r="AB5820" i="1"/>
  <c r="AB5819" i="1"/>
  <c r="AB5818" i="1"/>
  <c r="AB5817" i="1"/>
  <c r="AB5816" i="1"/>
  <c r="AB5815" i="1"/>
  <c r="AB5814" i="1"/>
  <c r="AB5813" i="1"/>
  <c r="AB5812" i="1"/>
  <c r="AB5811" i="1"/>
  <c r="AB5810" i="1"/>
  <c r="AB5809" i="1"/>
  <c r="AB5808" i="1"/>
  <c r="AB5807" i="1"/>
  <c r="AB5806" i="1"/>
  <c r="AB5805" i="1"/>
  <c r="AB5804" i="1"/>
  <c r="AB5803" i="1"/>
  <c r="AB5802" i="1"/>
  <c r="AB5801" i="1"/>
  <c r="AB5800" i="1"/>
  <c r="AB5799" i="1"/>
  <c r="AB5798" i="1"/>
  <c r="AB5797" i="1"/>
  <c r="AB5796" i="1"/>
  <c r="AB5795" i="1"/>
  <c r="AB5794" i="1"/>
  <c r="AB5793" i="1"/>
  <c r="AB5792" i="1"/>
  <c r="AB5791" i="1"/>
  <c r="AB5790" i="1"/>
  <c r="AB5789" i="1"/>
  <c r="AB5788" i="1"/>
  <c r="AB5787" i="1"/>
  <c r="AB5786" i="1"/>
  <c r="AB5785" i="1"/>
  <c r="AB5784" i="1"/>
  <c r="AB5783" i="1"/>
  <c r="AB5782" i="1"/>
  <c r="AB5781" i="1"/>
  <c r="AB5780" i="1"/>
  <c r="AB5779" i="1"/>
  <c r="AB5778" i="1"/>
  <c r="AB5777" i="1"/>
  <c r="AB5776" i="1"/>
  <c r="AB5775" i="1"/>
  <c r="AB5774" i="1"/>
  <c r="AB5773" i="1"/>
  <c r="AB5772" i="1"/>
  <c r="AB5771" i="1"/>
  <c r="AB5770" i="1"/>
  <c r="AB5769" i="1"/>
  <c r="AB5768" i="1"/>
  <c r="AB5767" i="1"/>
  <c r="AB5766" i="1"/>
  <c r="AB5765" i="1"/>
  <c r="AB5764" i="1"/>
  <c r="AB5763" i="1"/>
  <c r="AB5762" i="1"/>
  <c r="AB5761" i="1"/>
  <c r="AB5760" i="1"/>
  <c r="AB5759" i="1"/>
  <c r="AB5758" i="1"/>
  <c r="AB5757" i="1"/>
  <c r="AB5756" i="1"/>
  <c r="AB5755" i="1"/>
  <c r="AB5754" i="1"/>
  <c r="AB5753" i="1"/>
  <c r="AB5752" i="1"/>
  <c r="AB5751" i="1"/>
  <c r="AB5750" i="1"/>
  <c r="AB5749" i="1"/>
  <c r="AB5748" i="1"/>
  <c r="AB5747" i="1"/>
  <c r="AB5746" i="1"/>
  <c r="AB5745" i="1"/>
  <c r="AB5744" i="1"/>
  <c r="AB5743" i="1"/>
  <c r="AB5742" i="1"/>
  <c r="AB5741" i="1"/>
  <c r="AB5740" i="1"/>
  <c r="AB5739" i="1"/>
  <c r="AB5738" i="1"/>
  <c r="AB5737" i="1"/>
  <c r="AB5736" i="1"/>
  <c r="AB5735" i="1"/>
  <c r="AB5734" i="1"/>
  <c r="AB5733" i="1"/>
  <c r="AB5732" i="1"/>
  <c r="AB5731" i="1"/>
  <c r="AB5730" i="1"/>
  <c r="AB5729" i="1"/>
  <c r="AB5728" i="1"/>
  <c r="AB5727" i="1"/>
  <c r="AB5726" i="1"/>
  <c r="AB5725" i="1"/>
  <c r="AB5724" i="1"/>
  <c r="AB5723" i="1"/>
  <c r="AB5722" i="1"/>
  <c r="AB5721" i="1"/>
  <c r="AB5720" i="1"/>
  <c r="AB5719" i="1"/>
  <c r="AB5718" i="1"/>
  <c r="AB5717" i="1"/>
  <c r="AB5716" i="1"/>
  <c r="AB5715" i="1"/>
  <c r="AB5714" i="1"/>
  <c r="AB5713" i="1"/>
  <c r="AB5712" i="1"/>
  <c r="AB5711" i="1"/>
  <c r="AB5710" i="1"/>
  <c r="AB5709" i="1"/>
  <c r="AB5708" i="1"/>
  <c r="AB5707" i="1"/>
  <c r="AB5706" i="1"/>
  <c r="AB5705" i="1"/>
  <c r="AB5704" i="1"/>
  <c r="AB5703" i="1"/>
  <c r="AB5702" i="1"/>
  <c r="AB5701" i="1"/>
  <c r="AB5700" i="1"/>
  <c r="AB5699" i="1"/>
  <c r="AB5698" i="1"/>
  <c r="AB5697" i="1"/>
  <c r="AB5696" i="1"/>
  <c r="AB5695" i="1"/>
  <c r="AB5694" i="1"/>
  <c r="AB5693" i="1"/>
  <c r="AB5692" i="1"/>
  <c r="AB5691" i="1"/>
  <c r="AB5690" i="1"/>
  <c r="AB5689" i="1"/>
  <c r="AB5688" i="1"/>
  <c r="AB5687" i="1"/>
  <c r="AB5686" i="1"/>
  <c r="AB5685" i="1"/>
  <c r="AB5684" i="1"/>
  <c r="AB5683" i="1"/>
  <c r="AB5682" i="1"/>
  <c r="AB5681" i="1"/>
  <c r="AB5680" i="1"/>
  <c r="AB5679" i="1"/>
  <c r="AB5678" i="1"/>
  <c r="AB5677" i="1"/>
  <c r="AB5676" i="1"/>
  <c r="AB5675" i="1"/>
  <c r="AB5674" i="1"/>
  <c r="AB5673" i="1"/>
  <c r="AB5672" i="1"/>
  <c r="AB5671" i="1"/>
  <c r="AB5670" i="1"/>
  <c r="AB5669" i="1"/>
  <c r="AB5668" i="1"/>
  <c r="AB5667" i="1"/>
  <c r="AB5666" i="1"/>
  <c r="AB5665" i="1"/>
  <c r="AB5664" i="1"/>
  <c r="AB5663" i="1"/>
  <c r="AB5662" i="1"/>
  <c r="AB5661" i="1"/>
  <c r="AB5660" i="1"/>
  <c r="AB5659" i="1"/>
  <c r="AB5658" i="1"/>
  <c r="AB5657" i="1"/>
  <c r="AB5656" i="1"/>
  <c r="AB5655" i="1"/>
  <c r="AB5654" i="1"/>
  <c r="AB5653" i="1"/>
  <c r="AB5652" i="1"/>
  <c r="AB5651" i="1"/>
  <c r="AB5650" i="1"/>
  <c r="AB5649" i="1"/>
  <c r="AB5648" i="1"/>
  <c r="AB5647" i="1"/>
  <c r="AB5646" i="1"/>
  <c r="AB5645" i="1"/>
  <c r="AB5644" i="1"/>
  <c r="AB5643" i="1"/>
  <c r="AB5642" i="1"/>
  <c r="AB5641" i="1"/>
  <c r="AB5640" i="1"/>
  <c r="AB5639" i="1"/>
  <c r="AB5638" i="1"/>
  <c r="AB5637" i="1"/>
  <c r="AB5636" i="1"/>
  <c r="AB5635" i="1"/>
  <c r="AB5634" i="1"/>
  <c r="AB5633" i="1"/>
  <c r="AB5632" i="1"/>
  <c r="AB5631" i="1"/>
  <c r="AB5630" i="1"/>
  <c r="AB5629" i="1"/>
  <c r="AB5628" i="1"/>
  <c r="AB5627" i="1"/>
  <c r="AB5626" i="1"/>
  <c r="AB5625" i="1"/>
  <c r="AB5624" i="1"/>
  <c r="AB5623" i="1"/>
  <c r="AB5622" i="1"/>
  <c r="AB5621" i="1"/>
  <c r="AB5620" i="1"/>
  <c r="AB5619" i="1"/>
  <c r="AB5618" i="1"/>
  <c r="AB5617" i="1"/>
  <c r="AB5616" i="1"/>
  <c r="AB5615" i="1"/>
  <c r="AB5614" i="1"/>
  <c r="AB5613" i="1"/>
  <c r="AB5612" i="1"/>
  <c r="AB5611" i="1"/>
  <c r="AB5610" i="1"/>
  <c r="AB5609" i="1"/>
  <c r="AB5608" i="1"/>
  <c r="AB5607" i="1"/>
  <c r="AB5606" i="1"/>
  <c r="AB5605" i="1"/>
  <c r="AB5604" i="1"/>
  <c r="AB5603" i="1"/>
  <c r="AB5602" i="1"/>
  <c r="AB5601" i="1"/>
  <c r="AB5600" i="1"/>
  <c r="AB5599" i="1"/>
  <c r="AB5598" i="1"/>
  <c r="AB5597" i="1"/>
  <c r="AB5596" i="1"/>
  <c r="AB5595" i="1"/>
  <c r="AB5594" i="1"/>
  <c r="AB5593" i="1"/>
  <c r="AB5592" i="1"/>
  <c r="AB5591" i="1"/>
  <c r="AB5590" i="1"/>
  <c r="AB5589" i="1"/>
  <c r="AB5588" i="1"/>
  <c r="AB5587" i="1"/>
  <c r="AB5586" i="1"/>
  <c r="AB5585" i="1"/>
  <c r="AB5584" i="1"/>
  <c r="AB5583" i="1"/>
  <c r="AB5582" i="1"/>
  <c r="AB5581" i="1"/>
  <c r="AB5580" i="1"/>
  <c r="AB5579" i="1"/>
  <c r="AB5578" i="1"/>
  <c r="AB5577" i="1"/>
  <c r="AB5576" i="1"/>
  <c r="AB5575" i="1"/>
  <c r="AB5574" i="1"/>
  <c r="AB5573" i="1"/>
  <c r="AB5572" i="1"/>
  <c r="AB5571" i="1"/>
  <c r="AB5570" i="1"/>
  <c r="AB5569" i="1"/>
  <c r="AB5568" i="1"/>
  <c r="AB5567" i="1"/>
  <c r="AB5566" i="1"/>
  <c r="AB5565" i="1"/>
  <c r="AB5564" i="1"/>
  <c r="AB5563" i="1"/>
  <c r="AB5562" i="1"/>
  <c r="AB5561" i="1"/>
  <c r="AB5560" i="1"/>
  <c r="AB5559" i="1"/>
  <c r="AB5558" i="1"/>
  <c r="AB5557" i="1"/>
  <c r="AB5556" i="1"/>
  <c r="AB5555" i="1"/>
  <c r="AB5554" i="1"/>
  <c r="AB5553" i="1"/>
  <c r="AB5552" i="1"/>
  <c r="AB5551" i="1"/>
  <c r="AB5550" i="1"/>
  <c r="AB5549" i="1"/>
  <c r="AB5548" i="1"/>
  <c r="AB5547" i="1"/>
  <c r="AB5546" i="1"/>
  <c r="AB5545" i="1"/>
  <c r="AB5544" i="1"/>
  <c r="AB5543" i="1"/>
  <c r="AB5542" i="1"/>
  <c r="AB5541" i="1"/>
  <c r="AB5540" i="1"/>
  <c r="AB5539" i="1"/>
  <c r="AB5538" i="1"/>
  <c r="AB5537" i="1"/>
  <c r="AB5536" i="1"/>
  <c r="AB5535" i="1"/>
  <c r="AB5534" i="1"/>
  <c r="AB5533" i="1"/>
  <c r="AB5532" i="1"/>
  <c r="AB5531" i="1"/>
  <c r="AB5530" i="1"/>
  <c r="AB5529" i="1"/>
  <c r="AB5528" i="1"/>
  <c r="AB5527" i="1"/>
  <c r="AB5526" i="1"/>
  <c r="AB5525" i="1"/>
  <c r="AB5524" i="1"/>
  <c r="AB5523" i="1"/>
  <c r="AB5522" i="1"/>
  <c r="AB5521" i="1"/>
  <c r="AB5520" i="1"/>
  <c r="AB5519" i="1"/>
  <c r="AB5518" i="1"/>
  <c r="AB5517" i="1"/>
  <c r="AB5516" i="1"/>
  <c r="AB5515" i="1"/>
  <c r="AB5514" i="1"/>
  <c r="AB5513" i="1"/>
  <c r="AB5512" i="1"/>
  <c r="AB5511" i="1"/>
  <c r="AB5510" i="1"/>
  <c r="AB5509" i="1"/>
  <c r="AB5508" i="1"/>
  <c r="AB5507" i="1"/>
  <c r="AB5506" i="1"/>
  <c r="AB5505" i="1"/>
  <c r="AB5504" i="1"/>
  <c r="AB5503" i="1"/>
  <c r="AB5502" i="1"/>
  <c r="AB5501" i="1"/>
  <c r="AB5500" i="1"/>
  <c r="AB5499" i="1"/>
  <c r="AB5498" i="1"/>
  <c r="AB5497" i="1"/>
  <c r="AB5496" i="1"/>
  <c r="AB5495" i="1"/>
  <c r="AB5494" i="1"/>
  <c r="AB5493" i="1"/>
  <c r="AB5492" i="1"/>
  <c r="AB5491" i="1"/>
  <c r="AB5490" i="1"/>
  <c r="AB5489" i="1"/>
  <c r="AB5488" i="1"/>
  <c r="AB5487" i="1"/>
  <c r="AB5486" i="1"/>
  <c r="AB5485" i="1"/>
  <c r="AB5484" i="1"/>
  <c r="AB5483" i="1"/>
  <c r="AB5482" i="1"/>
  <c r="AB5481" i="1"/>
  <c r="AB5480" i="1"/>
  <c r="AB5479" i="1"/>
  <c r="AB5478" i="1"/>
  <c r="AB5477" i="1"/>
  <c r="AB5476" i="1"/>
  <c r="AB5475" i="1"/>
  <c r="AB5474" i="1"/>
  <c r="AB5473" i="1"/>
  <c r="AB5472" i="1"/>
  <c r="AB5471" i="1"/>
  <c r="AB5470" i="1"/>
  <c r="AB5469" i="1"/>
  <c r="AB5468" i="1"/>
  <c r="AB5467" i="1"/>
  <c r="AB5466" i="1"/>
  <c r="AB5465" i="1"/>
  <c r="AB5464" i="1"/>
  <c r="AB5463" i="1"/>
  <c r="AB5462" i="1"/>
  <c r="AB5461" i="1"/>
  <c r="AB5460" i="1"/>
  <c r="AB5459" i="1"/>
  <c r="AB5458" i="1"/>
  <c r="AB5457" i="1"/>
  <c r="AB5456" i="1"/>
  <c r="AB5455" i="1"/>
  <c r="AB5454" i="1"/>
  <c r="AB5453" i="1"/>
  <c r="AB5452" i="1"/>
  <c r="AB5451" i="1"/>
  <c r="AB5450" i="1"/>
  <c r="AB5449" i="1"/>
  <c r="AB5448" i="1"/>
  <c r="AB5447" i="1"/>
  <c r="AB5446" i="1"/>
  <c r="AB5445" i="1"/>
  <c r="AB5444" i="1"/>
  <c r="AB5443" i="1"/>
  <c r="AB5442" i="1"/>
  <c r="AB5441" i="1"/>
  <c r="AB5440" i="1"/>
  <c r="AB5439" i="1"/>
  <c r="AB5438" i="1"/>
  <c r="AB5437" i="1"/>
  <c r="AB5436" i="1"/>
  <c r="AB5435" i="1"/>
  <c r="AB5434" i="1"/>
  <c r="AB5433" i="1"/>
  <c r="AB5432" i="1"/>
  <c r="AB5431" i="1"/>
  <c r="AB5430" i="1"/>
  <c r="AB5429" i="1"/>
  <c r="AB5428" i="1"/>
  <c r="AB5427" i="1"/>
  <c r="AB5426" i="1"/>
  <c r="AB5425" i="1"/>
  <c r="AB5424" i="1"/>
  <c r="AB5423" i="1"/>
  <c r="AB5422" i="1"/>
  <c r="AB5421" i="1"/>
  <c r="AB5420" i="1"/>
  <c r="AB5419" i="1"/>
  <c r="AB5418" i="1"/>
  <c r="AB5417" i="1"/>
  <c r="AB5416" i="1"/>
  <c r="AB5415" i="1"/>
  <c r="AB5414" i="1"/>
  <c r="AB5413" i="1"/>
  <c r="AB5412" i="1"/>
  <c r="AB5411" i="1"/>
  <c r="AB5410" i="1"/>
  <c r="AB5409" i="1"/>
  <c r="AB5408" i="1"/>
  <c r="AB5407" i="1"/>
  <c r="AB5406" i="1"/>
  <c r="AB5405" i="1"/>
  <c r="AB5404" i="1"/>
  <c r="AB5403" i="1"/>
  <c r="AB5402" i="1"/>
  <c r="AB5401" i="1"/>
  <c r="AB5400" i="1"/>
  <c r="AB5399" i="1"/>
  <c r="AB5398" i="1"/>
  <c r="AB5397" i="1"/>
  <c r="AB5396" i="1"/>
  <c r="AB5395" i="1"/>
  <c r="AB5394" i="1"/>
  <c r="AB5393" i="1"/>
  <c r="AB5392" i="1"/>
  <c r="AB5391" i="1"/>
  <c r="AB5390" i="1"/>
  <c r="AB5389" i="1"/>
  <c r="AB5388" i="1"/>
  <c r="AB5387" i="1"/>
  <c r="AB5386" i="1"/>
  <c r="AB5385" i="1"/>
  <c r="AB5384" i="1"/>
  <c r="AB5383" i="1"/>
  <c r="AB5382" i="1"/>
  <c r="AB5381" i="1"/>
  <c r="AB5380" i="1"/>
  <c r="AB5379" i="1"/>
  <c r="AB5378" i="1"/>
  <c r="AB5377" i="1"/>
  <c r="AB5376" i="1"/>
  <c r="AB5375" i="1"/>
  <c r="AB5374" i="1"/>
  <c r="AB5373" i="1"/>
  <c r="AB5372" i="1"/>
  <c r="AB5371" i="1"/>
  <c r="AB5370" i="1"/>
  <c r="AB5369" i="1"/>
  <c r="AB5368" i="1"/>
  <c r="AB5367" i="1"/>
  <c r="AB5366" i="1"/>
  <c r="AB5365" i="1"/>
  <c r="AB5364" i="1"/>
  <c r="AB5363" i="1"/>
  <c r="AB5362" i="1"/>
  <c r="AB5361" i="1"/>
  <c r="AB5360" i="1"/>
  <c r="AB5359" i="1"/>
  <c r="AB5358" i="1"/>
  <c r="AB5357" i="1"/>
  <c r="AB5356" i="1"/>
  <c r="AB5355" i="1"/>
  <c r="AB5354" i="1"/>
  <c r="AB5353" i="1"/>
  <c r="AB5352" i="1"/>
  <c r="AB5351" i="1"/>
  <c r="AB5350" i="1"/>
  <c r="AB5349" i="1"/>
  <c r="AB5348" i="1"/>
  <c r="AB5347" i="1"/>
  <c r="AB5346" i="1"/>
  <c r="AB5345" i="1"/>
  <c r="AB5344" i="1"/>
  <c r="AB5343" i="1"/>
  <c r="AB5342" i="1"/>
  <c r="AB5341" i="1"/>
  <c r="AB5340" i="1"/>
  <c r="AB5339" i="1"/>
  <c r="AB5338" i="1"/>
  <c r="AB5337" i="1"/>
  <c r="AB5336" i="1"/>
  <c r="AB5335" i="1"/>
  <c r="AB5334" i="1"/>
  <c r="AB5333" i="1"/>
  <c r="AB5332" i="1"/>
  <c r="AB5331" i="1"/>
  <c r="AB5330" i="1"/>
  <c r="AB5329" i="1"/>
  <c r="AB5328" i="1"/>
  <c r="AB5327" i="1"/>
  <c r="AB5326" i="1"/>
  <c r="AB5325" i="1"/>
  <c r="AB5324" i="1"/>
  <c r="AB5323" i="1"/>
  <c r="AB5322" i="1"/>
  <c r="AB5321" i="1"/>
  <c r="AB5320" i="1"/>
  <c r="AB5319" i="1"/>
  <c r="AB5318" i="1"/>
  <c r="AB5317" i="1"/>
  <c r="AB5316" i="1"/>
  <c r="AB5315" i="1"/>
  <c r="AB5314" i="1"/>
  <c r="AB5313" i="1"/>
  <c r="AB5312" i="1"/>
  <c r="AB5311" i="1"/>
  <c r="AB5310" i="1"/>
  <c r="AB5309" i="1"/>
  <c r="AB5308" i="1"/>
  <c r="AB5307" i="1"/>
  <c r="AB5306" i="1"/>
  <c r="AB5305" i="1"/>
  <c r="AB5304" i="1"/>
  <c r="AB5303" i="1"/>
  <c r="AB5302" i="1"/>
  <c r="AB5301" i="1"/>
  <c r="AB5300" i="1"/>
  <c r="AB5299" i="1"/>
  <c r="AB5298" i="1"/>
  <c r="AB5297" i="1"/>
  <c r="AB5296" i="1"/>
  <c r="AB5295" i="1"/>
  <c r="AB5294" i="1"/>
  <c r="AB5293" i="1"/>
  <c r="AB5292" i="1"/>
  <c r="AB5291" i="1"/>
  <c r="AB5290" i="1"/>
  <c r="AB5289" i="1"/>
  <c r="AB5288" i="1"/>
  <c r="AB5287" i="1"/>
  <c r="AB5286" i="1"/>
  <c r="AB5285" i="1"/>
  <c r="AB5284" i="1"/>
  <c r="AB5283" i="1"/>
  <c r="AB5282" i="1"/>
  <c r="AB5281" i="1"/>
  <c r="AB5280" i="1"/>
  <c r="AB5279" i="1"/>
  <c r="AB5278" i="1"/>
  <c r="AB5277" i="1"/>
  <c r="AB5276" i="1"/>
  <c r="AB5275" i="1"/>
  <c r="AB5274" i="1"/>
  <c r="AB5273" i="1"/>
  <c r="AB5272" i="1"/>
  <c r="AB5271" i="1"/>
  <c r="AB5270" i="1"/>
  <c r="AB5269" i="1"/>
  <c r="AB5268" i="1"/>
  <c r="AB5267" i="1"/>
  <c r="AB5266" i="1"/>
  <c r="AB5265" i="1"/>
  <c r="AB5264" i="1"/>
  <c r="AB5263" i="1"/>
  <c r="AB5262" i="1"/>
  <c r="AB5261" i="1"/>
  <c r="AB5260" i="1"/>
  <c r="AB5259" i="1"/>
  <c r="AB5258" i="1"/>
  <c r="AB5257" i="1"/>
  <c r="AB5256" i="1"/>
  <c r="AB5255" i="1"/>
  <c r="AB5254" i="1"/>
  <c r="AB5253" i="1"/>
  <c r="AB5252" i="1"/>
  <c r="AB5251" i="1"/>
  <c r="AB5250" i="1"/>
  <c r="AB5249" i="1"/>
  <c r="AB5248" i="1"/>
  <c r="AB5247" i="1"/>
  <c r="AB5246" i="1"/>
  <c r="AB5245" i="1"/>
  <c r="AB5244" i="1"/>
  <c r="AB5243" i="1"/>
  <c r="AB5242" i="1"/>
  <c r="AB5241" i="1"/>
  <c r="AB5240" i="1"/>
  <c r="AB5239" i="1"/>
  <c r="AB5238" i="1"/>
  <c r="AB5237" i="1"/>
  <c r="AB5236" i="1"/>
  <c r="AB5235" i="1"/>
  <c r="AB5234" i="1"/>
  <c r="AB5233" i="1"/>
  <c r="AB5232" i="1"/>
  <c r="AB5231" i="1"/>
  <c r="AB5230" i="1"/>
  <c r="AB5229" i="1"/>
  <c r="AB5228" i="1"/>
  <c r="AB5227" i="1"/>
  <c r="AB5226" i="1"/>
  <c r="AB5225" i="1"/>
  <c r="AB5224" i="1"/>
  <c r="AB5223" i="1"/>
  <c r="AB5222" i="1"/>
  <c r="AB5221" i="1"/>
  <c r="AB5220" i="1"/>
  <c r="AB5219" i="1"/>
  <c r="AB5218" i="1"/>
  <c r="AB5217" i="1"/>
  <c r="AB5216" i="1"/>
  <c r="AB5215" i="1"/>
  <c r="AB5214" i="1"/>
  <c r="AB5213" i="1"/>
  <c r="AB5212" i="1"/>
  <c r="AB5211" i="1"/>
  <c r="AB5210" i="1"/>
  <c r="AB5209" i="1"/>
  <c r="AB5208" i="1"/>
  <c r="AB5207" i="1"/>
  <c r="AB5206" i="1"/>
  <c r="AB5205" i="1"/>
  <c r="AB5204" i="1"/>
  <c r="AB5203" i="1"/>
  <c r="AB5202" i="1"/>
  <c r="AB5201" i="1"/>
  <c r="AB5200" i="1"/>
  <c r="AB5199" i="1"/>
  <c r="AB5198" i="1"/>
  <c r="AB5197" i="1"/>
  <c r="AB5196" i="1"/>
  <c r="AB5195" i="1"/>
  <c r="AB5194" i="1"/>
  <c r="AB5193" i="1"/>
  <c r="AB5192" i="1"/>
  <c r="AB5191" i="1"/>
  <c r="AB5190" i="1"/>
  <c r="AB5189" i="1"/>
  <c r="AB5188" i="1"/>
  <c r="AB5187" i="1"/>
  <c r="AB5186" i="1"/>
  <c r="AB5185" i="1"/>
  <c r="AB5184" i="1"/>
  <c r="AB5183" i="1"/>
  <c r="AB5182" i="1"/>
  <c r="AB5181" i="1"/>
  <c r="AB5180" i="1"/>
  <c r="AB5179" i="1"/>
  <c r="AB5178" i="1"/>
  <c r="AB5177" i="1"/>
  <c r="AB5176" i="1"/>
  <c r="AB5175" i="1"/>
  <c r="AB5174" i="1"/>
  <c r="AB5173" i="1"/>
  <c r="AB5172" i="1"/>
  <c r="AB5171" i="1"/>
  <c r="AB5170" i="1"/>
  <c r="AB5169" i="1"/>
  <c r="AB5168" i="1"/>
  <c r="AB5167" i="1"/>
  <c r="AB5166" i="1"/>
  <c r="AB5165" i="1"/>
  <c r="AB5164" i="1"/>
  <c r="AB5163" i="1"/>
  <c r="AB5162" i="1"/>
  <c r="AB5161" i="1"/>
  <c r="AB5160" i="1"/>
  <c r="AB5159" i="1"/>
  <c r="AB5158" i="1"/>
  <c r="AB5157" i="1"/>
  <c r="AB5156" i="1"/>
  <c r="AB5155" i="1"/>
  <c r="AB5154" i="1"/>
  <c r="AB5153" i="1"/>
  <c r="AB5152" i="1"/>
  <c r="AB5151" i="1"/>
  <c r="AB5150" i="1"/>
  <c r="AB5149" i="1"/>
  <c r="AB5148" i="1"/>
  <c r="AB5147" i="1"/>
  <c r="AB5146" i="1"/>
  <c r="AB5145" i="1"/>
  <c r="AB5144" i="1"/>
  <c r="AB5143" i="1"/>
  <c r="AB5142" i="1"/>
  <c r="AB5141" i="1"/>
  <c r="AB5140" i="1"/>
  <c r="AB5139" i="1"/>
  <c r="AB5138" i="1"/>
  <c r="AB5137" i="1"/>
  <c r="AB5136" i="1"/>
  <c r="AB5135" i="1"/>
  <c r="AB5134" i="1"/>
  <c r="AB5133" i="1"/>
  <c r="AB5132" i="1"/>
  <c r="AB5131" i="1"/>
  <c r="AB5130" i="1"/>
  <c r="AB5129" i="1"/>
  <c r="AB5128" i="1"/>
  <c r="AB5127" i="1"/>
  <c r="AB5126" i="1"/>
  <c r="AB5125" i="1"/>
  <c r="AB5124" i="1"/>
  <c r="AB5123" i="1"/>
  <c r="AB5122" i="1"/>
  <c r="AB5121" i="1"/>
  <c r="AB5120" i="1"/>
  <c r="AB5119" i="1"/>
  <c r="AB5118" i="1"/>
  <c r="AB5117" i="1"/>
  <c r="AB5116" i="1"/>
  <c r="AB5115" i="1"/>
  <c r="AB5114" i="1"/>
  <c r="AB5113" i="1"/>
  <c r="AB5112" i="1"/>
  <c r="AB5111" i="1"/>
  <c r="AB5110" i="1"/>
  <c r="AB5109" i="1"/>
  <c r="AB5108" i="1"/>
  <c r="AB5107" i="1"/>
  <c r="AB5106" i="1"/>
  <c r="AB5105" i="1"/>
  <c r="AB5104" i="1"/>
  <c r="AB5103" i="1"/>
  <c r="AB5102" i="1"/>
  <c r="AB5101" i="1"/>
  <c r="AB5100" i="1"/>
  <c r="AB5099" i="1"/>
  <c r="AB5098" i="1"/>
  <c r="AB5097" i="1"/>
  <c r="AB5096" i="1"/>
  <c r="AB5095" i="1"/>
  <c r="AB5094" i="1"/>
  <c r="AB5093" i="1"/>
  <c r="AB5092" i="1"/>
  <c r="AB5091" i="1"/>
  <c r="AB5090" i="1"/>
  <c r="AB5089" i="1"/>
  <c r="AB5088" i="1"/>
  <c r="AB5087" i="1"/>
  <c r="AB5086" i="1"/>
  <c r="AB5085" i="1"/>
  <c r="AB5084" i="1"/>
  <c r="AB5083" i="1"/>
  <c r="AB5082" i="1"/>
  <c r="AB5081" i="1"/>
  <c r="AB5080" i="1"/>
  <c r="AB5079" i="1"/>
  <c r="AB5078" i="1"/>
  <c r="AB5077" i="1"/>
  <c r="AB5076" i="1"/>
  <c r="AB5075" i="1"/>
  <c r="AB5074" i="1"/>
  <c r="AB5073" i="1"/>
  <c r="AB5072" i="1"/>
  <c r="AB5071" i="1"/>
  <c r="AB5070" i="1"/>
  <c r="AB5069" i="1"/>
  <c r="AB5068" i="1"/>
  <c r="AB5067" i="1"/>
  <c r="AB5066" i="1"/>
  <c r="AB5065" i="1"/>
  <c r="AB5064" i="1"/>
  <c r="AB5063" i="1"/>
  <c r="AB5062" i="1"/>
  <c r="AB5061" i="1"/>
  <c r="AB5060" i="1"/>
  <c r="AB5059" i="1"/>
  <c r="AB5058" i="1"/>
  <c r="AB5057" i="1"/>
  <c r="AB5056" i="1"/>
  <c r="AB5055" i="1"/>
  <c r="AB5054" i="1"/>
  <c r="AB5053" i="1"/>
  <c r="AB5052" i="1"/>
  <c r="AB5051" i="1"/>
  <c r="AB5050" i="1"/>
  <c r="AB5049" i="1"/>
  <c r="AB5048" i="1"/>
  <c r="AB5047" i="1"/>
  <c r="AB5046" i="1"/>
  <c r="AB5045" i="1"/>
  <c r="AB5044" i="1"/>
  <c r="AB5043" i="1"/>
  <c r="AB5042" i="1"/>
  <c r="AB5041" i="1"/>
  <c r="AB5040" i="1"/>
  <c r="AB5039" i="1"/>
  <c r="AB5038" i="1"/>
  <c r="AB5037" i="1"/>
  <c r="AB5036" i="1"/>
  <c r="AB5035" i="1"/>
  <c r="AB5034" i="1"/>
  <c r="AB5033" i="1"/>
  <c r="AB5032" i="1"/>
  <c r="AB5031" i="1"/>
  <c r="AB5030" i="1"/>
  <c r="AB5029" i="1"/>
  <c r="AB5028" i="1"/>
  <c r="AB5027" i="1"/>
  <c r="AB5026" i="1"/>
  <c r="AB5025" i="1"/>
  <c r="AB5024" i="1"/>
  <c r="AB5023" i="1"/>
  <c r="AB5022" i="1"/>
  <c r="AB5021" i="1"/>
  <c r="AB5020" i="1"/>
  <c r="AB5019" i="1"/>
  <c r="AB5018" i="1"/>
  <c r="AB5017" i="1"/>
  <c r="AB5016" i="1"/>
  <c r="AB5015" i="1"/>
  <c r="AB5014" i="1"/>
  <c r="AB5013" i="1"/>
  <c r="AB5012" i="1"/>
  <c r="AB5011" i="1"/>
  <c r="AB5010" i="1"/>
  <c r="AB5009" i="1"/>
  <c r="AB5008" i="1"/>
  <c r="AB5007" i="1"/>
  <c r="AB5006" i="1"/>
  <c r="AB5005" i="1"/>
  <c r="AB5004" i="1"/>
  <c r="AB5003" i="1"/>
  <c r="AB5002" i="1"/>
  <c r="AB5001" i="1"/>
  <c r="AB5000" i="1"/>
  <c r="AB4999" i="1"/>
  <c r="AB4998" i="1"/>
  <c r="AB4997" i="1"/>
  <c r="AB4996" i="1"/>
  <c r="AB4995" i="1"/>
  <c r="AB4994" i="1"/>
  <c r="AB4993" i="1"/>
  <c r="AB4992" i="1"/>
  <c r="AB4991" i="1"/>
  <c r="AB4990" i="1"/>
  <c r="AB4989" i="1"/>
  <c r="AB4988" i="1"/>
  <c r="AB4987" i="1"/>
  <c r="AB4986" i="1"/>
  <c r="AB4985" i="1"/>
  <c r="AB4984" i="1"/>
  <c r="AB4983" i="1"/>
  <c r="AB4982" i="1"/>
  <c r="AB4981" i="1"/>
  <c r="AB4980" i="1"/>
  <c r="AB4979" i="1"/>
  <c r="AB4978" i="1"/>
  <c r="AB4977" i="1"/>
  <c r="AB4976" i="1"/>
  <c r="AB4975" i="1"/>
  <c r="AB4974" i="1"/>
  <c r="AB4973" i="1"/>
  <c r="AB4972" i="1"/>
  <c r="AB4971" i="1"/>
  <c r="AB4970" i="1"/>
  <c r="AB4969" i="1"/>
  <c r="AB4968" i="1"/>
  <c r="AB4967" i="1"/>
  <c r="AB4966" i="1"/>
  <c r="AB4965" i="1"/>
  <c r="AB4964" i="1"/>
  <c r="AB4963" i="1"/>
  <c r="AB4962" i="1"/>
  <c r="AB4961" i="1"/>
  <c r="AB4960" i="1"/>
  <c r="AB4959" i="1"/>
  <c r="AB4958" i="1"/>
  <c r="AB4957" i="1"/>
  <c r="AB4956" i="1"/>
  <c r="AB4955" i="1"/>
  <c r="AB4954" i="1"/>
  <c r="AB4953" i="1"/>
  <c r="AB4952" i="1"/>
  <c r="AB4951" i="1"/>
  <c r="AB4950" i="1"/>
  <c r="AB4949" i="1"/>
  <c r="AB4948" i="1"/>
  <c r="AB4947" i="1"/>
  <c r="AB4946" i="1"/>
  <c r="AB4945" i="1"/>
  <c r="AB4944" i="1"/>
  <c r="AB4943" i="1"/>
  <c r="AB4942" i="1"/>
  <c r="AB4941" i="1"/>
  <c r="AB4940" i="1"/>
  <c r="AB4939" i="1"/>
  <c r="AB4938" i="1"/>
  <c r="AB4937" i="1"/>
  <c r="AB4936" i="1"/>
  <c r="AB4935" i="1"/>
  <c r="AB4934" i="1"/>
  <c r="AB4933" i="1"/>
  <c r="AB4932" i="1"/>
  <c r="AB4931" i="1"/>
  <c r="AB4930" i="1"/>
  <c r="AB4929" i="1"/>
  <c r="AB4928" i="1"/>
  <c r="AB4927" i="1"/>
  <c r="AB4926" i="1"/>
  <c r="AB4925" i="1"/>
  <c r="AB4924" i="1"/>
  <c r="AB4923" i="1"/>
  <c r="AB4922" i="1"/>
  <c r="AB4921" i="1"/>
  <c r="AB4920" i="1"/>
  <c r="AB4919" i="1"/>
  <c r="AB4918" i="1"/>
  <c r="AB4917" i="1"/>
  <c r="AB4916" i="1"/>
  <c r="AB4915" i="1"/>
  <c r="AB4914" i="1"/>
  <c r="AB4913" i="1"/>
  <c r="AB4912" i="1"/>
  <c r="AB4911" i="1"/>
  <c r="AB4910" i="1"/>
  <c r="AB4909" i="1"/>
  <c r="AB4908" i="1"/>
  <c r="AB4907" i="1"/>
  <c r="AB4906" i="1"/>
  <c r="AB4905" i="1"/>
  <c r="AB4904" i="1"/>
  <c r="AB4903" i="1"/>
  <c r="AB4902" i="1"/>
  <c r="AB4901" i="1"/>
  <c r="AB4900" i="1"/>
  <c r="AB4899" i="1"/>
  <c r="AB4898" i="1"/>
  <c r="AB4897" i="1"/>
  <c r="AB4896" i="1"/>
  <c r="AB4895" i="1"/>
  <c r="AB4894" i="1"/>
  <c r="AB4893" i="1"/>
  <c r="AB4892" i="1"/>
  <c r="AB4891" i="1"/>
  <c r="AB4890" i="1"/>
  <c r="AB4889" i="1"/>
  <c r="AB4888" i="1"/>
  <c r="AB4887" i="1"/>
  <c r="AB4886" i="1"/>
  <c r="AB4885" i="1"/>
  <c r="AB4884" i="1"/>
  <c r="AB4883" i="1"/>
  <c r="AB4882" i="1"/>
  <c r="AB4881" i="1"/>
  <c r="AB4880" i="1"/>
  <c r="AB4879" i="1"/>
  <c r="AB4878" i="1"/>
  <c r="AB4877" i="1"/>
  <c r="AB4876" i="1"/>
  <c r="AB4875" i="1"/>
  <c r="AB4874" i="1"/>
  <c r="AB4873" i="1"/>
  <c r="AB4872" i="1"/>
  <c r="AB4871" i="1"/>
  <c r="AB4870" i="1"/>
  <c r="AB4869" i="1"/>
  <c r="AB4868" i="1"/>
  <c r="AB4867" i="1"/>
  <c r="AB4866" i="1"/>
  <c r="AB4865" i="1"/>
  <c r="AB4864" i="1"/>
  <c r="AB4863" i="1"/>
  <c r="AB4862" i="1"/>
  <c r="AB4861" i="1"/>
  <c r="AB4860" i="1"/>
  <c r="AB4859" i="1"/>
  <c r="AB4858" i="1"/>
  <c r="AB4857" i="1"/>
  <c r="AB4856" i="1"/>
  <c r="AB4855" i="1"/>
  <c r="AB4854" i="1"/>
  <c r="AB4853" i="1"/>
  <c r="AB4852" i="1"/>
  <c r="AB4851" i="1"/>
  <c r="AB4850" i="1"/>
  <c r="AB4849" i="1"/>
  <c r="AB4848" i="1"/>
  <c r="AB4847" i="1"/>
  <c r="AB4846" i="1"/>
  <c r="AB4845" i="1"/>
  <c r="AB4844" i="1"/>
  <c r="AB4843" i="1"/>
  <c r="AB4842" i="1"/>
  <c r="AB4841" i="1"/>
  <c r="AB4840" i="1"/>
  <c r="AB4839" i="1"/>
  <c r="AB4838" i="1"/>
  <c r="AB4837" i="1"/>
  <c r="AB4836" i="1"/>
  <c r="AB4835" i="1"/>
  <c r="AB4834" i="1"/>
  <c r="AB4833" i="1"/>
  <c r="AB4832" i="1"/>
  <c r="AB4831" i="1"/>
  <c r="AB4830" i="1"/>
  <c r="AB4829" i="1"/>
  <c r="AB4828" i="1"/>
  <c r="AB4827" i="1"/>
  <c r="AB4826" i="1"/>
  <c r="AB4825" i="1"/>
  <c r="AB4824" i="1"/>
  <c r="AB4823" i="1"/>
  <c r="AB4822" i="1"/>
  <c r="AB4821" i="1"/>
  <c r="AB4820" i="1"/>
  <c r="AB4819" i="1"/>
  <c r="AB4818" i="1"/>
  <c r="AB4817" i="1"/>
  <c r="AB4816" i="1"/>
  <c r="AB4815" i="1"/>
  <c r="AB4814" i="1"/>
  <c r="AB4813" i="1"/>
  <c r="AB4812" i="1"/>
  <c r="AB4811" i="1"/>
  <c r="AB4810" i="1"/>
  <c r="AB4809" i="1"/>
  <c r="AB4808" i="1"/>
  <c r="AB4807" i="1"/>
  <c r="AB4806" i="1"/>
  <c r="AB4805" i="1"/>
  <c r="AB4804" i="1"/>
  <c r="AB4803" i="1"/>
  <c r="AB4802" i="1"/>
  <c r="AB4801" i="1"/>
  <c r="AB4800" i="1"/>
  <c r="AB4799" i="1"/>
  <c r="AB4798" i="1"/>
  <c r="AB4797" i="1"/>
  <c r="AB4796" i="1"/>
  <c r="AB4795" i="1"/>
  <c r="AB4794" i="1"/>
  <c r="AB4793" i="1"/>
  <c r="AB4792" i="1"/>
  <c r="AB4791" i="1"/>
  <c r="AB4790" i="1"/>
  <c r="AB4789" i="1"/>
  <c r="AB4788" i="1"/>
  <c r="AB4787" i="1"/>
  <c r="AB4786" i="1"/>
  <c r="AB4785" i="1"/>
  <c r="AB4784" i="1"/>
  <c r="AB4783" i="1"/>
  <c r="AB4782" i="1"/>
  <c r="AB4781" i="1"/>
  <c r="AB4780" i="1"/>
  <c r="AB4779" i="1"/>
  <c r="AB4778" i="1"/>
  <c r="AB4777" i="1"/>
  <c r="AB4776" i="1"/>
  <c r="AB4775" i="1"/>
  <c r="AB4774" i="1"/>
  <c r="AB4773" i="1"/>
  <c r="AB4772" i="1"/>
  <c r="AB4771" i="1"/>
  <c r="AB4770" i="1"/>
  <c r="AB4769" i="1"/>
  <c r="AB4768" i="1"/>
  <c r="AB4767" i="1"/>
  <c r="AB4766" i="1"/>
  <c r="AB4765" i="1"/>
  <c r="AB4764" i="1"/>
  <c r="AB4763" i="1"/>
  <c r="AB4762" i="1"/>
  <c r="AB4761" i="1"/>
  <c r="AB4760" i="1"/>
  <c r="AB4759" i="1"/>
  <c r="AB4758" i="1"/>
  <c r="AB4757" i="1"/>
  <c r="AB4756" i="1"/>
  <c r="AB4755" i="1"/>
  <c r="AB4754" i="1"/>
  <c r="AB4753" i="1"/>
  <c r="AB4752" i="1"/>
  <c r="AB4751" i="1"/>
  <c r="AB4750" i="1"/>
  <c r="AB4749" i="1"/>
  <c r="AB4748" i="1"/>
  <c r="AB4747" i="1"/>
  <c r="AB4746" i="1"/>
  <c r="AB4745" i="1"/>
  <c r="AB4744" i="1"/>
  <c r="AB4743" i="1"/>
  <c r="AB4742" i="1"/>
  <c r="AB4741" i="1"/>
  <c r="AB4740" i="1"/>
  <c r="AB4739" i="1"/>
  <c r="AB4738" i="1"/>
  <c r="AB4737" i="1"/>
  <c r="AB4736" i="1"/>
  <c r="AB4735" i="1"/>
  <c r="AB4734" i="1"/>
  <c r="AB4733" i="1"/>
  <c r="AB4732" i="1"/>
  <c r="AB4731" i="1"/>
  <c r="AB4730" i="1"/>
  <c r="AB4729" i="1"/>
  <c r="AB4728" i="1"/>
  <c r="AB4727" i="1"/>
  <c r="AB4726" i="1"/>
  <c r="AB4725" i="1"/>
  <c r="AB4724" i="1"/>
  <c r="AB4723" i="1"/>
  <c r="AB4722" i="1"/>
  <c r="AB4721" i="1"/>
  <c r="AB4720" i="1"/>
  <c r="AB4719" i="1"/>
  <c r="AB4718" i="1"/>
  <c r="AB4717" i="1"/>
  <c r="AB4716" i="1"/>
  <c r="AB4715" i="1"/>
  <c r="AB4714" i="1"/>
  <c r="AB4713" i="1"/>
  <c r="AB4712" i="1"/>
  <c r="AB4711" i="1"/>
  <c r="AB4710" i="1"/>
  <c r="AB4709" i="1"/>
  <c r="AB4708" i="1"/>
  <c r="AB4707" i="1"/>
  <c r="AB4706" i="1"/>
  <c r="AB4705" i="1"/>
  <c r="AB4704" i="1"/>
  <c r="AB4703" i="1"/>
  <c r="AB4702" i="1"/>
  <c r="AB4701" i="1"/>
  <c r="AB4700" i="1"/>
  <c r="AB4699" i="1"/>
  <c r="AB4698" i="1"/>
  <c r="AB4697" i="1"/>
  <c r="AB4696" i="1"/>
  <c r="AB4695" i="1"/>
  <c r="AB4694" i="1"/>
  <c r="AB4693" i="1"/>
  <c r="AB4692" i="1"/>
  <c r="AB4691" i="1"/>
  <c r="AB4690" i="1"/>
  <c r="AB4689" i="1"/>
  <c r="AB4688" i="1"/>
  <c r="AB4687" i="1"/>
  <c r="AB4686" i="1"/>
  <c r="AB4685" i="1"/>
  <c r="AB4684" i="1"/>
  <c r="AB4683" i="1"/>
  <c r="AB4682" i="1"/>
  <c r="AB4681" i="1"/>
  <c r="AB4680" i="1"/>
  <c r="AB4679" i="1"/>
  <c r="AB4678" i="1"/>
  <c r="AB4677" i="1"/>
  <c r="AB4676" i="1"/>
  <c r="AB4675" i="1"/>
  <c r="AB4674" i="1"/>
  <c r="AB4673" i="1"/>
  <c r="AB4672" i="1"/>
  <c r="AB4671" i="1"/>
  <c r="AB4670" i="1"/>
  <c r="AB4669" i="1"/>
  <c r="AB4668" i="1"/>
  <c r="AB4667" i="1"/>
  <c r="AB4666" i="1"/>
  <c r="AB4665" i="1"/>
  <c r="AB4664" i="1"/>
  <c r="AB4663" i="1"/>
  <c r="AB4662" i="1"/>
  <c r="AB4661" i="1"/>
  <c r="AB4660" i="1"/>
  <c r="AB4659" i="1"/>
  <c r="AB4658" i="1"/>
  <c r="AB4657" i="1"/>
  <c r="AB4656" i="1"/>
  <c r="AB4655" i="1"/>
  <c r="AB4654" i="1"/>
  <c r="AB4653" i="1"/>
  <c r="AB4652" i="1"/>
  <c r="AB4651" i="1"/>
  <c r="AB4650" i="1"/>
  <c r="AB4649" i="1"/>
  <c r="AB4648" i="1"/>
  <c r="AB4647" i="1"/>
  <c r="AB4646" i="1"/>
  <c r="AB4645" i="1"/>
  <c r="AB4644" i="1"/>
  <c r="AB4643" i="1"/>
  <c r="AB4642" i="1"/>
  <c r="AB4641" i="1"/>
  <c r="AB4640" i="1"/>
  <c r="AB4639" i="1"/>
  <c r="AB4638" i="1"/>
  <c r="AB4637" i="1"/>
  <c r="AB4636" i="1"/>
  <c r="AB4635" i="1"/>
  <c r="AB4634" i="1"/>
  <c r="AB4633" i="1"/>
  <c r="AB4632" i="1"/>
  <c r="AB4631" i="1"/>
  <c r="AB4630" i="1"/>
  <c r="AB4629" i="1"/>
  <c r="AB4628" i="1"/>
  <c r="AB4627" i="1"/>
  <c r="AB4626" i="1"/>
  <c r="AB4625" i="1"/>
  <c r="AB4624" i="1"/>
  <c r="AB4623" i="1"/>
  <c r="AB4622" i="1"/>
  <c r="AB4621" i="1"/>
  <c r="AB4620" i="1"/>
  <c r="AB4619" i="1"/>
  <c r="AB4618" i="1"/>
  <c r="AB4617" i="1"/>
  <c r="AB4616" i="1"/>
  <c r="AB4615" i="1"/>
  <c r="AB4614" i="1"/>
  <c r="AB4613" i="1"/>
  <c r="AB4612" i="1"/>
  <c r="AB4611" i="1"/>
  <c r="AB4610" i="1"/>
  <c r="AB4609" i="1"/>
  <c r="AB4608" i="1"/>
  <c r="AB4607" i="1"/>
  <c r="AB4606" i="1"/>
  <c r="AB4605" i="1"/>
  <c r="AB4604" i="1"/>
  <c r="AB4603" i="1"/>
  <c r="AB4602" i="1"/>
  <c r="AB4601" i="1"/>
  <c r="AB4600" i="1"/>
  <c r="AB4599" i="1"/>
  <c r="AB4598" i="1"/>
  <c r="AB4597" i="1"/>
  <c r="AB4596" i="1"/>
  <c r="AB4595" i="1"/>
  <c r="AB4594" i="1"/>
  <c r="AB4593" i="1"/>
  <c r="AB4592" i="1"/>
  <c r="AB4591" i="1"/>
  <c r="AB4590" i="1"/>
  <c r="AB4589" i="1"/>
  <c r="AB4588" i="1"/>
  <c r="AB4587" i="1"/>
  <c r="AB4586" i="1"/>
  <c r="AB4585" i="1"/>
  <c r="AB4584" i="1"/>
  <c r="AB4583" i="1"/>
  <c r="AB4582" i="1"/>
  <c r="AB4581" i="1"/>
  <c r="AB4580" i="1"/>
  <c r="AB4579" i="1"/>
  <c r="AB4578" i="1"/>
  <c r="AB4577" i="1"/>
  <c r="AB4576" i="1"/>
  <c r="AB4575" i="1"/>
  <c r="AB4574" i="1"/>
  <c r="AB4573" i="1"/>
  <c r="AB4572" i="1"/>
  <c r="AB4571" i="1"/>
  <c r="AB4570" i="1"/>
  <c r="AB4569" i="1"/>
  <c r="AB4568" i="1"/>
  <c r="AB4567" i="1"/>
  <c r="AB4566" i="1"/>
  <c r="AB4565" i="1"/>
  <c r="AB4564" i="1"/>
  <c r="AB4563" i="1"/>
  <c r="AB4562" i="1"/>
  <c r="AB4561" i="1"/>
  <c r="AB4560" i="1"/>
  <c r="AB4559" i="1"/>
  <c r="AB4558" i="1"/>
  <c r="AB4557" i="1"/>
  <c r="AB4556" i="1"/>
  <c r="AB4555" i="1"/>
  <c r="AB4554" i="1"/>
  <c r="AB4553" i="1"/>
  <c r="AB4552" i="1"/>
  <c r="AB4551" i="1"/>
  <c r="AB4550" i="1"/>
  <c r="AB4549" i="1"/>
  <c r="AB4548" i="1"/>
  <c r="AB4547" i="1"/>
  <c r="AB4546" i="1"/>
  <c r="AB4545" i="1"/>
  <c r="AB4544" i="1"/>
  <c r="AB4543" i="1"/>
  <c r="AB4542" i="1"/>
  <c r="AB4541" i="1"/>
  <c r="AB4540" i="1"/>
  <c r="AB4539" i="1"/>
  <c r="AB4538" i="1"/>
  <c r="AB4537" i="1"/>
  <c r="AB4536" i="1"/>
  <c r="AB4535" i="1"/>
  <c r="AB4534" i="1"/>
  <c r="AB4533" i="1"/>
  <c r="AB4532" i="1"/>
  <c r="AB4531" i="1"/>
  <c r="AB4530" i="1"/>
  <c r="AB4529" i="1"/>
  <c r="AB4528" i="1"/>
  <c r="AB4527" i="1"/>
  <c r="AB4526" i="1"/>
  <c r="AB4525" i="1"/>
  <c r="AB4524" i="1"/>
  <c r="AB4523" i="1"/>
  <c r="AB4522" i="1"/>
  <c r="AB4521" i="1"/>
  <c r="AB4520" i="1"/>
  <c r="AB4519" i="1"/>
  <c r="AB4518" i="1"/>
  <c r="AB4517" i="1"/>
  <c r="AB4516" i="1"/>
  <c r="AB4515" i="1"/>
  <c r="AB4514" i="1"/>
  <c r="AB4513" i="1"/>
  <c r="AB4512" i="1"/>
  <c r="AB4511" i="1"/>
  <c r="AB4510" i="1"/>
  <c r="AB4509" i="1"/>
  <c r="AB4508" i="1"/>
  <c r="AB4507" i="1"/>
  <c r="AB4506" i="1"/>
  <c r="AB4505" i="1"/>
  <c r="AB4504" i="1"/>
  <c r="AB4503" i="1"/>
  <c r="AB4502" i="1"/>
  <c r="AB4501" i="1"/>
  <c r="AB4500" i="1"/>
  <c r="AB4499" i="1"/>
  <c r="AB4498" i="1"/>
  <c r="AB4497" i="1"/>
  <c r="AB4496" i="1"/>
  <c r="AB4495" i="1"/>
  <c r="AB4494" i="1"/>
  <c r="AB4493" i="1"/>
  <c r="AB4492" i="1"/>
  <c r="AB4491" i="1"/>
  <c r="AB4490" i="1"/>
  <c r="AB4489" i="1"/>
  <c r="AB4488" i="1"/>
  <c r="AB4487" i="1"/>
  <c r="AB4486" i="1"/>
  <c r="AB4485" i="1"/>
  <c r="AB4484" i="1"/>
  <c r="AB4483" i="1"/>
  <c r="AB4482" i="1"/>
  <c r="AB4481" i="1"/>
  <c r="AB4480" i="1"/>
  <c r="AB4479" i="1"/>
  <c r="AB4478" i="1"/>
  <c r="AB4477" i="1"/>
  <c r="AB4476" i="1"/>
  <c r="AB4475" i="1"/>
  <c r="AB4474" i="1"/>
  <c r="AB4473" i="1"/>
  <c r="AB4472" i="1"/>
  <c r="AB4471" i="1"/>
  <c r="AB4470" i="1"/>
  <c r="AB4469" i="1"/>
  <c r="AB4468" i="1"/>
  <c r="AB4467" i="1"/>
  <c r="AB4466" i="1"/>
  <c r="AB4465" i="1"/>
  <c r="AB4464" i="1"/>
  <c r="AB4463" i="1"/>
  <c r="AB4462" i="1"/>
  <c r="AB4461" i="1"/>
  <c r="AB4460" i="1"/>
  <c r="AB4459" i="1"/>
  <c r="AB4458" i="1"/>
  <c r="AB4457" i="1"/>
  <c r="AB4456" i="1"/>
  <c r="AB4455" i="1"/>
  <c r="AB4454" i="1"/>
  <c r="AB4453" i="1"/>
  <c r="AB4452" i="1"/>
  <c r="AB4451" i="1"/>
  <c r="AB4450" i="1"/>
  <c r="AB4449" i="1"/>
  <c r="AB4448" i="1"/>
  <c r="AB4447" i="1"/>
  <c r="AB4446" i="1"/>
  <c r="AB4445" i="1"/>
  <c r="AB4444" i="1"/>
  <c r="AB4443" i="1"/>
  <c r="AB4442" i="1"/>
  <c r="AB4441" i="1"/>
  <c r="AB4440" i="1"/>
  <c r="AB4439" i="1"/>
  <c r="AB4438" i="1"/>
  <c r="AB4437" i="1"/>
  <c r="AB4436" i="1"/>
  <c r="AB4435" i="1"/>
  <c r="AB4434" i="1"/>
  <c r="AB4433" i="1"/>
  <c r="AB4432" i="1"/>
  <c r="AB4431" i="1"/>
  <c r="AB4430" i="1"/>
  <c r="AB4429" i="1"/>
  <c r="AB4428" i="1"/>
  <c r="AB4427" i="1"/>
  <c r="AB4426" i="1"/>
  <c r="AB4425" i="1"/>
  <c r="AB4424" i="1"/>
  <c r="AB4423" i="1"/>
  <c r="AB4422" i="1"/>
  <c r="AB4421" i="1"/>
  <c r="AB4420" i="1"/>
  <c r="AB4419" i="1"/>
  <c r="AB4418" i="1"/>
  <c r="AB4417" i="1"/>
  <c r="AB4416" i="1"/>
  <c r="AB4415" i="1"/>
  <c r="AB4414" i="1"/>
  <c r="AB4413" i="1"/>
  <c r="AB4412" i="1"/>
  <c r="AB4411" i="1"/>
  <c r="AB4410" i="1"/>
  <c r="AB4409" i="1"/>
  <c r="AB4408" i="1"/>
  <c r="AB4407" i="1"/>
  <c r="AB4406" i="1"/>
  <c r="AB4405" i="1"/>
  <c r="AB4404" i="1"/>
  <c r="AB4403" i="1"/>
  <c r="AB4402" i="1"/>
  <c r="AB4401" i="1"/>
  <c r="AB4400" i="1"/>
  <c r="AB4399" i="1"/>
  <c r="AB4398" i="1"/>
  <c r="AB4397" i="1"/>
  <c r="AB4396" i="1"/>
  <c r="AB4395" i="1"/>
  <c r="AB4394" i="1"/>
  <c r="AB4393" i="1"/>
  <c r="AB4392" i="1"/>
  <c r="AB4391" i="1"/>
  <c r="AB4390" i="1"/>
  <c r="AB4389" i="1"/>
  <c r="AB4388" i="1"/>
  <c r="AB4387" i="1"/>
  <c r="AB4386" i="1"/>
  <c r="AB4385" i="1"/>
  <c r="AB4384" i="1"/>
  <c r="AB4383" i="1"/>
  <c r="AB4382" i="1"/>
  <c r="AB4381" i="1"/>
  <c r="AB4380" i="1"/>
  <c r="AB4379" i="1"/>
  <c r="AB4378" i="1"/>
  <c r="AB4377" i="1"/>
  <c r="AB4376" i="1"/>
  <c r="AB4375" i="1"/>
  <c r="AB4374" i="1"/>
  <c r="AB4373" i="1"/>
  <c r="AB4372" i="1"/>
  <c r="AB4371" i="1"/>
  <c r="AB4370" i="1"/>
  <c r="AB4369" i="1"/>
  <c r="AB4368" i="1"/>
  <c r="AB4367" i="1"/>
  <c r="AB4366" i="1"/>
  <c r="AB4365" i="1"/>
  <c r="AB4364" i="1"/>
  <c r="AB4363" i="1"/>
  <c r="AB4362" i="1"/>
  <c r="AB4361" i="1"/>
  <c r="AB4360" i="1"/>
  <c r="AB4359" i="1"/>
  <c r="AB4358" i="1"/>
  <c r="AB4357" i="1"/>
  <c r="AB4356" i="1"/>
  <c r="AB4355" i="1"/>
  <c r="AB4354" i="1"/>
  <c r="AB4353" i="1"/>
  <c r="AB4352" i="1"/>
  <c r="AB4351" i="1"/>
  <c r="AB4350" i="1"/>
  <c r="AB4349" i="1"/>
  <c r="AB4348" i="1"/>
  <c r="AB4347" i="1"/>
  <c r="AB4346" i="1"/>
  <c r="AB4345" i="1"/>
  <c r="AB4344" i="1"/>
  <c r="AB4343" i="1"/>
  <c r="AB4342" i="1"/>
  <c r="AB4341" i="1"/>
  <c r="AB4340" i="1"/>
  <c r="AB4339" i="1"/>
  <c r="AB4338" i="1"/>
  <c r="AB4337" i="1"/>
  <c r="AB4336" i="1"/>
  <c r="AB4335" i="1"/>
  <c r="AB4334" i="1"/>
  <c r="AB4333" i="1"/>
  <c r="AB4332" i="1"/>
  <c r="AB4331" i="1"/>
  <c r="AB4330" i="1"/>
  <c r="AB4329" i="1"/>
  <c r="AB4328" i="1"/>
  <c r="AB4327" i="1"/>
  <c r="AB4326" i="1"/>
  <c r="AB4325" i="1"/>
  <c r="AB4324" i="1"/>
  <c r="AB4323" i="1"/>
  <c r="AB4322" i="1"/>
  <c r="AB4321" i="1"/>
  <c r="AB4320" i="1"/>
  <c r="AB4319" i="1"/>
  <c r="AB4318" i="1"/>
  <c r="AB4317" i="1"/>
  <c r="AB4316" i="1"/>
  <c r="AB4315" i="1"/>
  <c r="AB4314" i="1"/>
  <c r="AB4313" i="1"/>
  <c r="AB4312" i="1"/>
  <c r="AB4311" i="1"/>
  <c r="AB4310" i="1"/>
  <c r="AB4309" i="1"/>
  <c r="AB4308" i="1"/>
  <c r="AB4307" i="1"/>
  <c r="AB4306" i="1"/>
  <c r="AB4305" i="1"/>
  <c r="AB4304" i="1"/>
  <c r="AB4303" i="1"/>
  <c r="AB4302" i="1"/>
  <c r="AB4301" i="1"/>
  <c r="AB4300" i="1"/>
  <c r="AB4299" i="1"/>
  <c r="AB4298" i="1"/>
  <c r="AB4297" i="1"/>
  <c r="AB4296" i="1"/>
  <c r="AB4295" i="1"/>
  <c r="AB4294" i="1"/>
  <c r="AB4293" i="1"/>
  <c r="AB4292" i="1"/>
  <c r="AB4291" i="1"/>
  <c r="AB4290" i="1"/>
  <c r="AB4289" i="1"/>
  <c r="AB4288" i="1"/>
  <c r="AB4287" i="1"/>
  <c r="AB4286" i="1"/>
  <c r="AB4285" i="1"/>
  <c r="AB4284" i="1"/>
  <c r="AB4283" i="1"/>
  <c r="AB4282" i="1"/>
  <c r="AB4281" i="1"/>
  <c r="AB4280" i="1"/>
  <c r="AB4279" i="1"/>
  <c r="AB4278" i="1"/>
  <c r="AB4277" i="1"/>
  <c r="AB4276" i="1"/>
  <c r="AB4275" i="1"/>
  <c r="AB4274" i="1"/>
  <c r="AB4273" i="1"/>
  <c r="AB4272" i="1"/>
  <c r="AB4271" i="1"/>
  <c r="AB4270" i="1"/>
  <c r="AB4269" i="1"/>
  <c r="AB4268" i="1"/>
  <c r="AB4267" i="1"/>
  <c r="AB4266" i="1"/>
  <c r="AB4265" i="1"/>
  <c r="AB4264" i="1"/>
  <c r="AB4263" i="1"/>
  <c r="AB4262" i="1"/>
  <c r="AB4261" i="1"/>
  <c r="AB4260" i="1"/>
  <c r="AB4259" i="1"/>
  <c r="AB4258" i="1"/>
  <c r="AB4257" i="1"/>
  <c r="AB4256" i="1"/>
  <c r="AB4255" i="1"/>
  <c r="AB4254" i="1"/>
  <c r="AB4253" i="1"/>
  <c r="AB4252" i="1"/>
  <c r="AB4251" i="1"/>
  <c r="AB4250" i="1"/>
  <c r="AB4249" i="1"/>
  <c r="AB4248" i="1"/>
  <c r="AB4247" i="1"/>
  <c r="AB4246" i="1"/>
  <c r="AB4245" i="1"/>
  <c r="AB4244" i="1"/>
  <c r="AB4243" i="1"/>
  <c r="AB4242" i="1"/>
  <c r="AB4241" i="1"/>
  <c r="AB4240" i="1"/>
  <c r="AB4239" i="1"/>
  <c r="AB4238" i="1"/>
  <c r="AB4237" i="1"/>
  <c r="AB4236" i="1"/>
  <c r="AB4235" i="1"/>
  <c r="AB4234" i="1"/>
  <c r="AB4233" i="1"/>
  <c r="AB4232" i="1"/>
  <c r="AB4231" i="1"/>
  <c r="AB4230" i="1"/>
  <c r="AB4229" i="1"/>
  <c r="AB4228" i="1"/>
  <c r="AB4227" i="1"/>
  <c r="AB4226" i="1"/>
  <c r="AB4225" i="1"/>
  <c r="AB4224" i="1"/>
  <c r="AB4223" i="1"/>
  <c r="AB4222" i="1"/>
  <c r="AB4221" i="1"/>
  <c r="AB4220" i="1"/>
  <c r="AB4219" i="1"/>
  <c r="AB4218" i="1"/>
  <c r="AB4217" i="1"/>
  <c r="AB4216" i="1"/>
  <c r="AB4215" i="1"/>
  <c r="AB4214" i="1"/>
  <c r="AB4213" i="1"/>
  <c r="AB4212" i="1"/>
  <c r="AB4211" i="1"/>
  <c r="AB4210" i="1"/>
  <c r="AB4209" i="1"/>
  <c r="AB4208" i="1"/>
  <c r="AB4207" i="1"/>
  <c r="AB4206" i="1"/>
  <c r="AB4205" i="1"/>
  <c r="AB4204" i="1"/>
  <c r="AB4203" i="1"/>
  <c r="AB4202" i="1"/>
  <c r="AB4201" i="1"/>
  <c r="AB4200" i="1"/>
  <c r="AB4199" i="1"/>
  <c r="AB4198" i="1"/>
  <c r="AB4197" i="1"/>
  <c r="AB4196" i="1"/>
  <c r="AB4195" i="1"/>
  <c r="AB4194" i="1"/>
  <c r="AB4193" i="1"/>
  <c r="AB4192" i="1"/>
  <c r="AB4191" i="1"/>
  <c r="AB4190" i="1"/>
  <c r="AB4189" i="1"/>
  <c r="AB4188" i="1"/>
  <c r="AB4187" i="1"/>
  <c r="AB4186" i="1"/>
  <c r="AB4185" i="1"/>
  <c r="AB4184" i="1"/>
  <c r="AB4183" i="1"/>
  <c r="AB4182" i="1"/>
  <c r="AB4181" i="1"/>
  <c r="AB4180" i="1"/>
  <c r="AB4179" i="1"/>
  <c r="AB4178" i="1"/>
  <c r="AB4177" i="1"/>
  <c r="AB4176" i="1"/>
  <c r="AB4175" i="1"/>
  <c r="AB4174" i="1"/>
  <c r="AB4173" i="1"/>
  <c r="AB4172" i="1"/>
  <c r="AB4171" i="1"/>
  <c r="AB4170" i="1"/>
  <c r="AB4169" i="1"/>
  <c r="AB4168" i="1"/>
  <c r="AB4167" i="1"/>
  <c r="AB4166" i="1"/>
  <c r="AB4165" i="1"/>
  <c r="AB4164" i="1"/>
  <c r="AB4163" i="1"/>
  <c r="AB4162" i="1"/>
  <c r="AB4161" i="1"/>
  <c r="AB4160" i="1"/>
  <c r="AB4159" i="1"/>
  <c r="AB4158" i="1"/>
  <c r="AB4157" i="1"/>
  <c r="AB4156" i="1"/>
  <c r="AB4155" i="1"/>
  <c r="AB4154" i="1"/>
  <c r="AB4153" i="1"/>
  <c r="AB4152" i="1"/>
  <c r="AB4151" i="1"/>
  <c r="AB4150" i="1"/>
  <c r="AB4149" i="1"/>
  <c r="AB4148" i="1"/>
  <c r="AB4147" i="1"/>
  <c r="AB4146" i="1"/>
  <c r="AB4145" i="1"/>
  <c r="AB4144" i="1"/>
  <c r="AB4143" i="1"/>
  <c r="AB4142" i="1"/>
  <c r="AB4141" i="1"/>
  <c r="AB4140" i="1"/>
  <c r="AB4139" i="1"/>
  <c r="AB4138" i="1"/>
  <c r="AB4137" i="1"/>
  <c r="AB4136" i="1"/>
  <c r="AB4135" i="1"/>
  <c r="AB4134" i="1"/>
  <c r="AB4133" i="1"/>
  <c r="AB4132" i="1"/>
  <c r="AB4131" i="1"/>
  <c r="AB4130" i="1"/>
  <c r="AB4129" i="1"/>
  <c r="AB4128" i="1"/>
  <c r="AB4127" i="1"/>
  <c r="AB4126" i="1"/>
  <c r="AB4125" i="1"/>
  <c r="AB4124" i="1"/>
  <c r="AB4123" i="1"/>
  <c r="AB4122" i="1"/>
  <c r="AB4121" i="1"/>
  <c r="AB4120" i="1"/>
  <c r="AB4119" i="1"/>
  <c r="AB4118" i="1"/>
  <c r="AB4117" i="1"/>
  <c r="AB4116" i="1"/>
  <c r="AB4115" i="1"/>
  <c r="AB4114" i="1"/>
  <c r="AB4113" i="1"/>
  <c r="AB4112" i="1"/>
  <c r="AB4111" i="1"/>
  <c r="AB4110" i="1"/>
  <c r="AB4109" i="1"/>
  <c r="AB4108" i="1"/>
  <c r="AB4107" i="1"/>
  <c r="AB4106" i="1"/>
  <c r="AB4105" i="1"/>
  <c r="AB4104" i="1"/>
  <c r="AB4103" i="1"/>
  <c r="AB4102" i="1"/>
  <c r="AB4101" i="1"/>
  <c r="AB4100" i="1"/>
  <c r="AB4099" i="1"/>
  <c r="AB4098" i="1"/>
  <c r="AB4097" i="1"/>
  <c r="AB4096" i="1"/>
  <c r="AB4095" i="1"/>
  <c r="AB4094" i="1"/>
  <c r="AB4093" i="1"/>
  <c r="AB4092" i="1"/>
  <c r="AB4091" i="1"/>
  <c r="AB4090" i="1"/>
  <c r="AB4089" i="1"/>
  <c r="AB4088" i="1"/>
  <c r="AB4087" i="1"/>
  <c r="AB4086" i="1"/>
  <c r="AB4085" i="1"/>
  <c r="AB4084" i="1"/>
  <c r="AB4083" i="1"/>
  <c r="AB4082" i="1"/>
  <c r="AB4081" i="1"/>
  <c r="AB4080" i="1"/>
  <c r="AB4079" i="1"/>
  <c r="AB4078" i="1"/>
  <c r="AB4077" i="1"/>
  <c r="AB4076" i="1"/>
  <c r="AB4075" i="1"/>
  <c r="AB4074" i="1"/>
  <c r="AB4073" i="1"/>
  <c r="AB4072" i="1"/>
  <c r="AB4071" i="1"/>
  <c r="AB4070" i="1"/>
  <c r="AB4069" i="1"/>
  <c r="AB4068" i="1"/>
  <c r="AB4067" i="1"/>
  <c r="AB4066" i="1"/>
  <c r="AB4065" i="1"/>
  <c r="AB4064" i="1"/>
  <c r="AB4063" i="1"/>
  <c r="AB4062" i="1"/>
  <c r="AB4061" i="1"/>
  <c r="AB4060" i="1"/>
  <c r="AB4059" i="1"/>
  <c r="AB4058" i="1"/>
  <c r="AB4057" i="1"/>
  <c r="AB4056" i="1"/>
  <c r="AB4055" i="1"/>
  <c r="AB4054" i="1"/>
  <c r="AB4053" i="1"/>
  <c r="AB4052" i="1"/>
  <c r="AB4051" i="1"/>
  <c r="AB4050" i="1"/>
  <c r="AB4049" i="1"/>
  <c r="AB4048" i="1"/>
  <c r="AB4047" i="1"/>
  <c r="AB4046" i="1"/>
  <c r="AB4045" i="1"/>
  <c r="AB4044" i="1"/>
  <c r="AB4043" i="1"/>
  <c r="AB4042" i="1"/>
  <c r="AB4041" i="1"/>
  <c r="AB4040" i="1"/>
  <c r="AB4039" i="1"/>
  <c r="AB4038" i="1"/>
  <c r="AB4037" i="1"/>
  <c r="AB4036" i="1"/>
  <c r="AB4035" i="1"/>
  <c r="AB4034" i="1"/>
  <c r="AB4033" i="1"/>
  <c r="AB4032" i="1"/>
  <c r="AB4031" i="1"/>
  <c r="AB4030" i="1"/>
  <c r="AB4029" i="1"/>
  <c r="AB4028" i="1"/>
  <c r="AB4027" i="1"/>
  <c r="AB4026" i="1"/>
  <c r="AB4025" i="1"/>
  <c r="AB4024" i="1"/>
  <c r="AB4023" i="1"/>
  <c r="AB4022" i="1"/>
  <c r="AB4021" i="1"/>
  <c r="AB4020" i="1"/>
  <c r="AB4019" i="1"/>
  <c r="AB4018" i="1"/>
  <c r="AB4017" i="1"/>
  <c r="AB4016" i="1"/>
  <c r="AB4015" i="1"/>
  <c r="AB4014" i="1"/>
  <c r="AB4013" i="1"/>
  <c r="AB4012" i="1"/>
  <c r="AB4011" i="1"/>
  <c r="AB4010" i="1"/>
  <c r="AB4009" i="1"/>
  <c r="AB4008" i="1"/>
  <c r="AB4007" i="1"/>
  <c r="AB4006" i="1"/>
  <c r="AB4005" i="1"/>
  <c r="AB4004" i="1"/>
  <c r="AB4003" i="1"/>
  <c r="AB4002" i="1"/>
  <c r="AB4001" i="1"/>
  <c r="AB4000" i="1"/>
  <c r="AB3999" i="1"/>
  <c r="AB3998" i="1"/>
  <c r="AB3997" i="1"/>
  <c r="AB3996" i="1"/>
  <c r="AB3995" i="1"/>
  <c r="AB3994" i="1"/>
  <c r="AB3993" i="1"/>
  <c r="AB3992" i="1"/>
  <c r="AB3991" i="1"/>
  <c r="AB3990" i="1"/>
  <c r="AB3989" i="1"/>
  <c r="AB3988" i="1"/>
  <c r="AB3987" i="1"/>
  <c r="AB3986" i="1"/>
  <c r="AB3985" i="1"/>
  <c r="AB3984" i="1"/>
  <c r="AB3983" i="1"/>
  <c r="AB3982" i="1"/>
  <c r="AB3981" i="1"/>
  <c r="AB3980" i="1"/>
  <c r="AB3979" i="1"/>
  <c r="AB3978" i="1"/>
  <c r="AB3977" i="1"/>
  <c r="AB3976" i="1"/>
  <c r="AB3975" i="1"/>
  <c r="AB3974" i="1"/>
  <c r="AB3973" i="1"/>
  <c r="AB3972" i="1"/>
  <c r="AB3971" i="1"/>
  <c r="AB3970" i="1"/>
  <c r="AB3969" i="1"/>
  <c r="AB3968" i="1"/>
  <c r="AB3967" i="1"/>
  <c r="AB3966" i="1"/>
  <c r="AB3965" i="1"/>
  <c r="AB3964" i="1"/>
  <c r="AB3963" i="1"/>
  <c r="AB3962" i="1"/>
  <c r="AB3961" i="1"/>
  <c r="AB3960" i="1"/>
  <c r="AB3959" i="1"/>
  <c r="AB3958" i="1"/>
  <c r="AB3957" i="1"/>
  <c r="AB3956" i="1"/>
  <c r="AB3955" i="1"/>
  <c r="AB3954" i="1"/>
  <c r="AB3953" i="1"/>
  <c r="AB3952" i="1"/>
  <c r="AB3951" i="1"/>
  <c r="AB3950" i="1"/>
  <c r="AB3949" i="1"/>
  <c r="AB3948" i="1"/>
  <c r="AB3947" i="1"/>
  <c r="AB3946" i="1"/>
  <c r="AB3945" i="1"/>
  <c r="AB3944" i="1"/>
  <c r="AB3943" i="1"/>
  <c r="AB3942" i="1"/>
  <c r="AB3941" i="1"/>
  <c r="AB3940" i="1"/>
  <c r="AB3939" i="1"/>
  <c r="AB3938" i="1"/>
  <c r="AB3937" i="1"/>
  <c r="AB3936" i="1"/>
  <c r="AB3935" i="1"/>
  <c r="AB3934" i="1"/>
  <c r="AB3933" i="1"/>
  <c r="AB3932" i="1"/>
  <c r="AB3931" i="1"/>
  <c r="AB3930" i="1"/>
  <c r="AB3929" i="1"/>
  <c r="AB3928" i="1"/>
  <c r="AB3927" i="1"/>
  <c r="AB3926" i="1"/>
  <c r="AB3925" i="1"/>
  <c r="AB3924" i="1"/>
  <c r="AB3923" i="1"/>
  <c r="AB3922" i="1"/>
  <c r="AB3921" i="1"/>
  <c r="AB3920" i="1"/>
  <c r="AB3919" i="1"/>
  <c r="AB3918" i="1"/>
  <c r="AB3917" i="1"/>
  <c r="AB3916" i="1"/>
  <c r="AB3915" i="1"/>
  <c r="AB3914" i="1"/>
  <c r="AB3913" i="1"/>
  <c r="AB3912" i="1"/>
  <c r="AB3911" i="1"/>
  <c r="AB3910" i="1"/>
  <c r="AB3909" i="1"/>
  <c r="AB3908" i="1"/>
  <c r="AB3907" i="1"/>
  <c r="AB3906" i="1"/>
  <c r="AB3905" i="1"/>
  <c r="AB3904" i="1"/>
  <c r="AB3903" i="1"/>
  <c r="AB3902" i="1"/>
  <c r="AB3901" i="1"/>
  <c r="AB3900" i="1"/>
  <c r="AB3899" i="1"/>
  <c r="AB3898" i="1"/>
  <c r="AB3897" i="1"/>
  <c r="AB3896" i="1"/>
  <c r="AB3895" i="1"/>
  <c r="AB3894" i="1"/>
  <c r="AB3893" i="1"/>
  <c r="AB3892" i="1"/>
  <c r="AB3891" i="1"/>
  <c r="AB3890" i="1"/>
  <c r="AB3889" i="1"/>
  <c r="AB3888" i="1"/>
  <c r="AB3887" i="1"/>
  <c r="AB3886" i="1"/>
  <c r="AB3885" i="1"/>
  <c r="AB3884" i="1"/>
  <c r="AB3883" i="1"/>
  <c r="AB3882" i="1"/>
  <c r="AB3881" i="1"/>
  <c r="AB3880" i="1"/>
  <c r="AB3879" i="1"/>
  <c r="AB3878" i="1"/>
  <c r="AB3877" i="1"/>
  <c r="AB3876" i="1"/>
  <c r="AB3875" i="1"/>
  <c r="AB3874" i="1"/>
  <c r="AB3873" i="1"/>
  <c r="AB3872" i="1"/>
  <c r="AB3871" i="1"/>
  <c r="AB3870" i="1"/>
  <c r="AB3869" i="1"/>
  <c r="AB3868" i="1"/>
  <c r="AB3867" i="1"/>
  <c r="AB3866" i="1"/>
  <c r="AB3865" i="1"/>
  <c r="AB3864" i="1"/>
  <c r="AB3863" i="1"/>
  <c r="AB3862" i="1"/>
  <c r="AB3861" i="1"/>
  <c r="AB3860" i="1"/>
  <c r="AB3859" i="1"/>
  <c r="AB3858" i="1"/>
  <c r="AB3857" i="1"/>
  <c r="AB3856" i="1"/>
  <c r="AB3855" i="1"/>
  <c r="AB3854" i="1"/>
  <c r="AB3853" i="1"/>
  <c r="AB3852" i="1"/>
  <c r="AB3851" i="1"/>
  <c r="AB3850" i="1"/>
  <c r="AB3849" i="1"/>
  <c r="AB3848" i="1"/>
  <c r="AB3847" i="1"/>
  <c r="AB3846" i="1"/>
  <c r="AB3845" i="1"/>
  <c r="AB3844" i="1"/>
  <c r="AB3843" i="1"/>
  <c r="AB3842" i="1"/>
  <c r="AB3841" i="1"/>
  <c r="AB3840" i="1"/>
  <c r="AB3839" i="1"/>
  <c r="AB3838" i="1"/>
  <c r="AB3837" i="1"/>
  <c r="AB3836" i="1"/>
  <c r="AB3835" i="1"/>
  <c r="AB3834" i="1"/>
  <c r="AB3833" i="1"/>
  <c r="AB3832" i="1"/>
  <c r="AB3831" i="1"/>
  <c r="AB3830" i="1"/>
  <c r="AB3829" i="1"/>
  <c r="AB3828" i="1"/>
  <c r="AB3827" i="1"/>
  <c r="AB3826" i="1"/>
  <c r="AB3825" i="1"/>
  <c r="AB3824" i="1"/>
  <c r="AB3823" i="1"/>
  <c r="AB3822" i="1"/>
  <c r="AB3821" i="1"/>
  <c r="AB3820" i="1"/>
  <c r="AB3819" i="1"/>
  <c r="AB3818" i="1"/>
  <c r="AB3817" i="1"/>
  <c r="AB3816" i="1"/>
  <c r="AB3815" i="1"/>
  <c r="AB3814" i="1"/>
  <c r="AB3813" i="1"/>
  <c r="AB3812" i="1"/>
  <c r="AB3811" i="1"/>
  <c r="AB3810" i="1"/>
  <c r="AB3809" i="1"/>
  <c r="AB3808" i="1"/>
  <c r="AB3807" i="1"/>
  <c r="AB3806" i="1"/>
  <c r="AB3805" i="1"/>
  <c r="AB3804" i="1"/>
  <c r="AB3803" i="1"/>
  <c r="AB3802" i="1"/>
  <c r="AB3801" i="1"/>
  <c r="AB3800" i="1"/>
  <c r="AB3799" i="1"/>
  <c r="AB3798" i="1"/>
  <c r="AB3797" i="1"/>
  <c r="AB3796" i="1"/>
  <c r="AB3795" i="1"/>
  <c r="AB3794" i="1"/>
  <c r="AB3793" i="1"/>
  <c r="AB3792" i="1"/>
  <c r="AB3791" i="1"/>
  <c r="AB3790" i="1"/>
  <c r="AB3789" i="1"/>
  <c r="AB3788" i="1"/>
  <c r="AB3787" i="1"/>
  <c r="AB3786" i="1"/>
  <c r="AB3785" i="1"/>
  <c r="AB3784" i="1"/>
  <c r="AB3783" i="1"/>
  <c r="AB3782" i="1"/>
  <c r="AB3781" i="1"/>
  <c r="AB3780" i="1"/>
  <c r="AB3779" i="1"/>
  <c r="AB3778" i="1"/>
  <c r="AB3777" i="1"/>
  <c r="AB3776" i="1"/>
  <c r="AB3775" i="1"/>
  <c r="AB3774" i="1"/>
  <c r="AB3773" i="1"/>
  <c r="AB3772" i="1"/>
  <c r="AB3771" i="1"/>
  <c r="AB3770" i="1"/>
  <c r="AB3769" i="1"/>
  <c r="AB3768" i="1"/>
  <c r="AB3767" i="1"/>
  <c r="AB3766" i="1"/>
  <c r="AB3765" i="1"/>
  <c r="AB3764" i="1"/>
  <c r="AB3763" i="1"/>
  <c r="AB3762" i="1"/>
  <c r="AB3761" i="1"/>
  <c r="AB3760" i="1"/>
  <c r="AB3759" i="1"/>
  <c r="AB3758" i="1"/>
  <c r="AB3757" i="1"/>
  <c r="AB3756" i="1"/>
  <c r="AB3755" i="1"/>
  <c r="AB3754" i="1"/>
  <c r="AB3753" i="1"/>
  <c r="AB3752" i="1"/>
  <c r="AB3751" i="1"/>
  <c r="AB3750" i="1"/>
  <c r="AB3749" i="1"/>
  <c r="AB3748" i="1"/>
  <c r="AB3747" i="1"/>
  <c r="AB3746" i="1"/>
  <c r="AB3745" i="1"/>
  <c r="AB3744" i="1"/>
  <c r="AB3743" i="1"/>
  <c r="AB3742" i="1"/>
  <c r="AB3741" i="1"/>
  <c r="AB3740" i="1"/>
  <c r="AB3739" i="1"/>
  <c r="AB3738" i="1"/>
  <c r="AB3737" i="1"/>
  <c r="AB3736" i="1"/>
  <c r="AB3735" i="1"/>
  <c r="AB3734" i="1"/>
  <c r="AB3733" i="1"/>
  <c r="AB3732" i="1"/>
  <c r="AB3731" i="1"/>
  <c r="AB3730" i="1"/>
  <c r="AB3729" i="1"/>
  <c r="AB3728" i="1"/>
  <c r="AB3727" i="1"/>
  <c r="AB3726" i="1"/>
  <c r="AB3725" i="1"/>
  <c r="AB3724" i="1"/>
  <c r="AB3723" i="1"/>
  <c r="AB3722" i="1"/>
  <c r="AB3721" i="1"/>
  <c r="AB3720" i="1"/>
  <c r="AB3719" i="1"/>
  <c r="AB3718" i="1"/>
  <c r="AB3717" i="1"/>
  <c r="AB3716" i="1"/>
  <c r="AB3715" i="1"/>
  <c r="AB3714" i="1"/>
  <c r="AB3713" i="1"/>
  <c r="AB3712" i="1"/>
  <c r="AB3711" i="1"/>
  <c r="AB3710" i="1"/>
  <c r="AB3709" i="1"/>
  <c r="AB3708" i="1"/>
  <c r="AB3707" i="1"/>
  <c r="AB3706" i="1"/>
  <c r="AB3705" i="1"/>
  <c r="AB3704" i="1"/>
  <c r="AB3703" i="1"/>
  <c r="AB3702" i="1"/>
  <c r="AB3701" i="1"/>
  <c r="AB3700" i="1"/>
  <c r="AB3699" i="1"/>
  <c r="AB3698" i="1"/>
  <c r="AB3697" i="1"/>
  <c r="AB3696" i="1"/>
  <c r="AB3695" i="1"/>
  <c r="AB3694" i="1"/>
  <c r="AB3693" i="1"/>
  <c r="AB3692" i="1"/>
  <c r="AB3691" i="1"/>
  <c r="AB3690" i="1"/>
  <c r="AB3689" i="1"/>
  <c r="AB3688" i="1"/>
  <c r="AB3687" i="1"/>
  <c r="AB3686" i="1"/>
  <c r="AB3685" i="1"/>
  <c r="AB3684" i="1"/>
  <c r="AB3683" i="1"/>
  <c r="AB3682" i="1"/>
  <c r="AB3681" i="1"/>
  <c r="AB3680" i="1"/>
  <c r="AB3679" i="1"/>
  <c r="AB3678" i="1"/>
  <c r="AB3677" i="1"/>
  <c r="AB3676" i="1"/>
  <c r="AB3675" i="1"/>
  <c r="AB3674" i="1"/>
  <c r="AB3673" i="1"/>
  <c r="AB3672" i="1"/>
  <c r="AB3671" i="1"/>
  <c r="AB3670" i="1"/>
  <c r="AB3669" i="1"/>
  <c r="AB3668" i="1"/>
  <c r="AB3667" i="1"/>
  <c r="AB3666" i="1"/>
  <c r="AB3665" i="1"/>
  <c r="AB3664" i="1"/>
  <c r="AB3663" i="1"/>
  <c r="AB3662" i="1"/>
  <c r="AB3661" i="1"/>
  <c r="AB3660" i="1"/>
  <c r="AB3659" i="1"/>
  <c r="AB3658" i="1"/>
  <c r="AB3657" i="1"/>
  <c r="AB3656" i="1"/>
  <c r="AB3655" i="1"/>
  <c r="AB3654" i="1"/>
  <c r="AB3653" i="1"/>
  <c r="AB3652" i="1"/>
  <c r="AB3651" i="1"/>
  <c r="AB3650" i="1"/>
  <c r="AB3649" i="1"/>
  <c r="AB3648" i="1"/>
  <c r="AB3647" i="1"/>
  <c r="AB3646" i="1"/>
  <c r="AB3645" i="1"/>
  <c r="AB3644" i="1"/>
  <c r="AB3643" i="1"/>
  <c r="AB3642" i="1"/>
  <c r="AB3641" i="1"/>
  <c r="AB3640" i="1"/>
  <c r="AB3639" i="1"/>
  <c r="AB3638" i="1"/>
  <c r="AB3637" i="1"/>
  <c r="AB3636" i="1"/>
  <c r="AB3635" i="1"/>
  <c r="AB3634" i="1"/>
  <c r="AB3633" i="1"/>
  <c r="AB3632" i="1"/>
  <c r="AB3631" i="1"/>
  <c r="AB3630" i="1"/>
  <c r="AB3629" i="1"/>
  <c r="AB3628" i="1"/>
  <c r="AB3627" i="1"/>
  <c r="AB3626" i="1"/>
  <c r="AB3625" i="1"/>
  <c r="AB3624" i="1"/>
  <c r="AB3623" i="1"/>
  <c r="AB3622" i="1"/>
  <c r="AB3621" i="1"/>
  <c r="AB3620" i="1"/>
  <c r="AB3619" i="1"/>
  <c r="AB3618" i="1"/>
  <c r="AB3617" i="1"/>
  <c r="AB3616" i="1"/>
  <c r="AB3615" i="1"/>
  <c r="AB3614" i="1"/>
  <c r="AB3613" i="1"/>
  <c r="AB3612" i="1"/>
  <c r="AB3611" i="1"/>
  <c r="AB3610" i="1"/>
  <c r="AB3609" i="1"/>
  <c r="AB3608" i="1"/>
  <c r="AB3607" i="1"/>
  <c r="AB3606" i="1"/>
  <c r="AB3605" i="1"/>
  <c r="AB3604" i="1"/>
  <c r="AB3603" i="1"/>
  <c r="AB3602" i="1"/>
  <c r="AB3601" i="1"/>
  <c r="AB3600" i="1"/>
  <c r="AB3599" i="1"/>
  <c r="AB3598" i="1"/>
  <c r="AB3597" i="1"/>
  <c r="AB3596" i="1"/>
  <c r="AB3595" i="1"/>
  <c r="AB3594" i="1"/>
  <c r="AB3593" i="1"/>
  <c r="AB3592" i="1"/>
  <c r="AB3591" i="1"/>
  <c r="AB3590" i="1"/>
  <c r="AB3589" i="1"/>
  <c r="AB3588" i="1"/>
  <c r="AB3587" i="1"/>
  <c r="AB3586" i="1"/>
  <c r="AB3585" i="1"/>
  <c r="AB3584" i="1"/>
  <c r="AB3583" i="1"/>
  <c r="AB3582" i="1"/>
  <c r="AB3581" i="1"/>
  <c r="AB3580" i="1"/>
  <c r="AB3579" i="1"/>
  <c r="AB3578" i="1"/>
  <c r="AB3577" i="1"/>
  <c r="AB3576" i="1"/>
  <c r="AB3575" i="1"/>
  <c r="AB3574" i="1"/>
  <c r="AB3573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61" i="1"/>
  <c r="AB3560" i="1"/>
  <c r="AB3559" i="1"/>
  <c r="AB3558" i="1"/>
  <c r="AB3557" i="1"/>
  <c r="AB3556" i="1"/>
  <c r="AB3555" i="1"/>
  <c r="AB3554" i="1"/>
  <c r="AB3553" i="1"/>
  <c r="AB3552" i="1"/>
  <c r="AB3551" i="1"/>
  <c r="AB3550" i="1"/>
  <c r="AB3549" i="1"/>
  <c r="AB3548" i="1"/>
  <c r="AB3547" i="1"/>
  <c r="AB3546" i="1"/>
  <c r="AB3545" i="1"/>
  <c r="AB3544" i="1"/>
  <c r="AB3543" i="1"/>
  <c r="AB3542" i="1"/>
  <c r="AB3541" i="1"/>
  <c r="AB3540" i="1"/>
  <c r="AB3539" i="1"/>
  <c r="AB3538" i="1"/>
  <c r="AB3537" i="1"/>
  <c r="AB3536" i="1"/>
  <c r="AB3535" i="1"/>
  <c r="AB3534" i="1"/>
  <c r="AB3533" i="1"/>
  <c r="AB3532" i="1"/>
  <c r="AB3531" i="1"/>
  <c r="AB3530" i="1"/>
  <c r="AB3529" i="1"/>
  <c r="AB3528" i="1"/>
  <c r="AB3527" i="1"/>
  <c r="AB3526" i="1"/>
  <c r="AB3525" i="1"/>
  <c r="AB3524" i="1"/>
  <c r="AB3523" i="1"/>
  <c r="AB3522" i="1"/>
  <c r="AB3521" i="1"/>
  <c r="AB3520" i="1"/>
  <c r="AB3519" i="1"/>
  <c r="AB3518" i="1"/>
  <c r="AB3517" i="1"/>
  <c r="AB3516" i="1"/>
  <c r="AB3515" i="1"/>
  <c r="AB3514" i="1"/>
  <c r="AB3513" i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498" i="1"/>
  <c r="AB3497" i="1"/>
  <c r="AB3496" i="1"/>
  <c r="AB3495" i="1"/>
  <c r="AB3494" i="1"/>
  <c r="AB3493" i="1"/>
  <c r="AB3492" i="1"/>
  <c r="AB3491" i="1"/>
  <c r="AB3490" i="1"/>
  <c r="AB3489" i="1"/>
  <c r="AB3488" i="1"/>
  <c r="AB3487" i="1"/>
  <c r="AB3486" i="1"/>
  <c r="AB3485" i="1"/>
  <c r="AB3484" i="1"/>
  <c r="AB3483" i="1"/>
  <c r="AB3482" i="1"/>
  <c r="AB3481" i="1"/>
  <c r="AB3480" i="1"/>
  <c r="AB3479" i="1"/>
  <c r="AB3478" i="1"/>
  <c r="AB3477" i="1"/>
  <c r="AB3476" i="1"/>
  <c r="AB3475" i="1"/>
  <c r="AB3474" i="1"/>
  <c r="AB3473" i="1"/>
  <c r="AB3472" i="1"/>
  <c r="AB3471" i="1"/>
  <c r="AB3470" i="1"/>
  <c r="AB3469" i="1"/>
  <c r="AB3468" i="1"/>
  <c r="AB3467" i="1"/>
  <c r="AB3466" i="1"/>
  <c r="AB3465" i="1"/>
  <c r="AB3464" i="1"/>
  <c r="AB3463" i="1"/>
  <c r="AB3462" i="1"/>
  <c r="AB3461" i="1"/>
  <c r="AB3460" i="1"/>
  <c r="AB3459" i="1"/>
  <c r="AB3458" i="1"/>
  <c r="AB3457" i="1"/>
  <c r="AB3456" i="1"/>
  <c r="AB3455" i="1"/>
  <c r="AB3454" i="1"/>
  <c r="AB3453" i="1"/>
  <c r="AB3452" i="1"/>
  <c r="AB3451" i="1"/>
  <c r="AB3450" i="1"/>
  <c r="AB3449" i="1"/>
  <c r="AB3448" i="1"/>
  <c r="AB3447" i="1"/>
  <c r="AB3446" i="1"/>
  <c r="AB3445" i="1"/>
  <c r="AB3444" i="1"/>
  <c r="AB3443" i="1"/>
  <c r="AB3442" i="1"/>
  <c r="AB3441" i="1"/>
  <c r="AB3440" i="1"/>
  <c r="AB3439" i="1"/>
  <c r="AB3438" i="1"/>
  <c r="AB3437" i="1"/>
  <c r="AB3436" i="1"/>
  <c r="AB3435" i="1"/>
  <c r="AB3434" i="1"/>
  <c r="AB3433" i="1"/>
  <c r="AB3432" i="1"/>
  <c r="AB3431" i="1"/>
  <c r="AB3430" i="1"/>
  <c r="AB3429" i="1"/>
  <c r="AB3428" i="1"/>
  <c r="AB3427" i="1"/>
  <c r="AB3426" i="1"/>
  <c r="AB3425" i="1"/>
  <c r="AB3424" i="1"/>
  <c r="AB3423" i="1"/>
  <c r="AB3422" i="1"/>
  <c r="AB3421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7" i="1"/>
  <c r="AB3406" i="1"/>
  <c r="AB3405" i="1"/>
  <c r="AB3404" i="1"/>
  <c r="AB3403" i="1"/>
  <c r="AB3402" i="1"/>
  <c r="AB3401" i="1"/>
  <c r="AB3400" i="1"/>
  <c r="AB3399" i="1"/>
  <c r="AB3398" i="1"/>
  <c r="AB3397" i="1"/>
  <c r="AB3396" i="1"/>
  <c r="AB3395" i="1"/>
  <c r="AB3394" i="1"/>
  <c r="AB3393" i="1"/>
  <c r="AB3392" i="1"/>
  <c r="AB3391" i="1"/>
  <c r="AB3390" i="1"/>
  <c r="AB3389" i="1"/>
  <c r="AB3388" i="1"/>
  <c r="AB3387" i="1"/>
  <c r="AB3386" i="1"/>
  <c r="AB3385" i="1"/>
  <c r="AB3384" i="1"/>
  <c r="AB3383" i="1"/>
  <c r="AB3382" i="1"/>
  <c r="AB3381" i="1"/>
  <c r="AB3380" i="1"/>
  <c r="AB3379" i="1"/>
  <c r="AB3378" i="1"/>
  <c r="AB3377" i="1"/>
  <c r="AB3376" i="1"/>
  <c r="AB3375" i="1"/>
  <c r="AB3374" i="1"/>
  <c r="AB3373" i="1"/>
  <c r="AB3372" i="1"/>
  <c r="AB3371" i="1"/>
  <c r="AB3370" i="1"/>
  <c r="AB3369" i="1"/>
  <c r="AB3368" i="1"/>
  <c r="AB3367" i="1"/>
  <c r="AB3366" i="1"/>
  <c r="AB3365" i="1"/>
  <c r="AB3364" i="1"/>
  <c r="AB3363" i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AB3317" i="1"/>
  <c r="AB3316" i="1"/>
  <c r="AB3315" i="1"/>
  <c r="AB3314" i="1"/>
  <c r="AB3313" i="1"/>
  <c r="AB3312" i="1"/>
  <c r="AB3311" i="1"/>
  <c r="AB3310" i="1"/>
  <c r="AB3309" i="1"/>
  <c r="AB3308" i="1"/>
  <c r="AB3307" i="1"/>
  <c r="AB3306" i="1"/>
  <c r="AB3305" i="1"/>
  <c r="AB3304" i="1"/>
  <c r="AB3303" i="1"/>
  <c r="AB3302" i="1"/>
  <c r="AB3301" i="1"/>
  <c r="AB3300" i="1"/>
  <c r="AB3299" i="1"/>
  <c r="AB3298" i="1"/>
  <c r="AB3297" i="1"/>
  <c r="AB3296" i="1"/>
  <c r="AB3295" i="1"/>
  <c r="AB3294" i="1"/>
  <c r="AB3293" i="1"/>
  <c r="AB3292" i="1"/>
  <c r="AB3291" i="1"/>
  <c r="AB3290" i="1"/>
  <c r="AB3289" i="1"/>
  <c r="AB3288" i="1"/>
  <c r="AB3287" i="1"/>
  <c r="AB3286" i="1"/>
  <c r="AB3285" i="1"/>
  <c r="AB3284" i="1"/>
  <c r="AB3283" i="1"/>
  <c r="AB3282" i="1"/>
  <c r="AB3281" i="1"/>
  <c r="AB3280" i="1"/>
  <c r="AB3279" i="1"/>
  <c r="AB3278" i="1"/>
  <c r="AB3277" i="1"/>
  <c r="AB3276" i="1"/>
  <c r="AB3275" i="1"/>
  <c r="AB3274" i="1"/>
  <c r="AB3273" i="1"/>
  <c r="AB3272" i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<sst xmlns="http://schemas.openxmlformats.org/spreadsheetml/2006/main" count="53147" uniqueCount="32996">
  <si>
    <t>Protein_ID</t>
  </si>
  <si>
    <t>plot</t>
  </si>
  <si>
    <t>gene_name</t>
  </si>
  <si>
    <t>uniprot_ac</t>
  </si>
  <si>
    <t>auc</t>
  </si>
  <si>
    <t>plot_link</t>
  </si>
  <si>
    <t>A0AVT1_UBA6</t>
  </si>
  <si>
    <t>A0MZ66_KIAA1598</t>
  </si>
  <si>
    <t>A0PJW6_TMEM223</t>
  </si>
  <si>
    <t>A1A5A9_KIAA0999</t>
  </si>
  <si>
    <t>A1BQX2_MARVELD2</t>
  </si>
  <si>
    <t>A1L0T0_ILVBL</t>
  </si>
  <si>
    <t>A1L188_C17orf89</t>
  </si>
  <si>
    <t>A1X283_SH3PXD2B</t>
  </si>
  <si>
    <t>A2A274_ACO2</t>
  </si>
  <si>
    <t>A2A2F0_RALGAPB</t>
  </si>
  <si>
    <t>A2A2Q9_AAR2</t>
  </si>
  <si>
    <t>A2A2V1_PRNP</t>
  </si>
  <si>
    <t>A2A2V4_VEGFA</t>
  </si>
  <si>
    <t>A2A2Y4-5_FRMD3</t>
  </si>
  <si>
    <t>A2AEA2_HLA-C</t>
  </si>
  <si>
    <t>A2BF36_HLA-DQB1</t>
  </si>
  <si>
    <t>A2RRP1_NBAS</t>
  </si>
  <si>
    <t>A2RU67_KIAA1467</t>
  </si>
  <si>
    <t>A2RUC4_TYW5</t>
  </si>
  <si>
    <t>A3KN83-2_SBNO1</t>
  </si>
  <si>
    <t>A4D126_ISPD</t>
  </si>
  <si>
    <t>A4D161-2_FAM221A</t>
  </si>
  <si>
    <t>A4D1E9_GTPBP10</t>
  </si>
  <si>
    <t>A4D1S0_KLRG2</t>
  </si>
  <si>
    <t>A4D1U4_LCHN</t>
  </si>
  <si>
    <t>A4D212_DKFZP586J0619</t>
  </si>
  <si>
    <t>A4D2B0_MBLAC1</t>
  </si>
  <si>
    <t>A5PLL7_TMEM189</t>
  </si>
  <si>
    <t>A5YKK6_CNOT1</t>
  </si>
  <si>
    <t>A5YM69_ARHGEF35</t>
  </si>
  <si>
    <t>A6NC98-4_CCDC88B</t>
  </si>
  <si>
    <t>A6NCS9_SDCCAG8</t>
  </si>
  <si>
    <t>A6NDG6_PGP</t>
  </si>
  <si>
    <t>A6NDJ8_</t>
  </si>
  <si>
    <t>A6NDU8_C5orf51</t>
  </si>
  <si>
    <t>A6NED2_RCCD1</t>
  </si>
  <si>
    <t>A6NEM2_HCFC1</t>
  </si>
  <si>
    <t>A6NEM5_PIGK</t>
  </si>
  <si>
    <t>A6NEP9_TSPAN14</t>
  </si>
  <si>
    <t>A6NFI3_ZNF316</t>
  </si>
  <si>
    <t>A6NG32_CHMP1A</t>
  </si>
  <si>
    <t>A6NG79_PRCC</t>
  </si>
  <si>
    <t>A6NGJ0_DYNLT3</t>
  </si>
  <si>
    <t>A6NHB5_ZMYM3</t>
  </si>
  <si>
    <t>A6NHK2_SNRPE</t>
  </si>
  <si>
    <t>A6NHL2-2_TUBAL3</t>
  </si>
  <si>
    <t>A6NHR9_SMCHD1</t>
  </si>
  <si>
    <t>A6NIH7_UNC119B</t>
  </si>
  <si>
    <t>A6NIZ0_NDEL1</t>
  </si>
  <si>
    <t>A6NJ78_METTL15</t>
  </si>
  <si>
    <t>A6NJ97_C13orf23</t>
  </si>
  <si>
    <t>A6NK58_LIPT2</t>
  </si>
  <si>
    <t>A6NK88_CDKN1C</t>
  </si>
  <si>
    <t>A6NKD9_CCDC85C</t>
  </si>
  <si>
    <t>A6NKF9_GPR89C</t>
  </si>
  <si>
    <t>A6NMH6_SEPT8</t>
  </si>
  <si>
    <t>A6NML8_DIAPH2</t>
  </si>
  <si>
    <t>A6NMQ1_POLA1</t>
  </si>
  <si>
    <t>A6NNI4_CD9</t>
  </si>
  <si>
    <t>A6PVM9_AIF1L</t>
  </si>
  <si>
    <t>A6PW57_PIP5K1A</t>
  </si>
  <si>
    <t>A7KAX9_ARHGAP32</t>
  </si>
  <si>
    <t>A7XYQ1_SOBP</t>
  </si>
  <si>
    <t>A8K0B5_ZBTB8OS</t>
  </si>
  <si>
    <t>A8K0M9_SELK</t>
  </si>
  <si>
    <t>A8K7Q2_HSPA8</t>
  </si>
  <si>
    <t>A8MPS7_YDJC</t>
  </si>
  <si>
    <t>A8MQ02_MLLT4</t>
  </si>
  <si>
    <t>A8MSH5_RTFDC1</t>
  </si>
  <si>
    <t>A8MT72_RTN1</t>
  </si>
  <si>
    <t>A8MTF8_FAM3B</t>
  </si>
  <si>
    <t>A8MTG8_ARMC8</t>
  </si>
  <si>
    <t>A8MTT3_hCG_1988162</t>
  </si>
  <si>
    <t>A8MTY9_DSCR3</t>
  </si>
  <si>
    <t>A8MU21_TMEM147</t>
  </si>
  <si>
    <t>A8MU44_HOOK1</t>
  </si>
  <si>
    <t>A8MUA9_SUMO3</t>
  </si>
  <si>
    <t>A8MUB1_TUBA4A</t>
  </si>
  <si>
    <t>A8MVZ6_BICD1</t>
  </si>
  <si>
    <t>A8MW61_PLRG1</t>
  </si>
  <si>
    <t>A8MWH4_MT1F</t>
  </si>
  <si>
    <t>A8MWY0_KIAA1324L</t>
  </si>
  <si>
    <t>A8MX75_ERCC2</t>
  </si>
  <si>
    <t>A8MXN1_REEP6</t>
  </si>
  <si>
    <t>A8MXP9_MATR3</t>
  </si>
  <si>
    <t>A8MXQ1_PTTG1IP</t>
  </si>
  <si>
    <t>A8MXV4_NUDT19</t>
  </si>
  <si>
    <t>A8MYT4_PIK3C3</t>
  </si>
  <si>
    <t>A8MZ54_STX1A</t>
  </si>
  <si>
    <t>A8MZI9_RUNX1</t>
  </si>
  <si>
    <t>A9UHW6_MIF4GD</t>
  </si>
  <si>
    <t>A9Z1X7_SRRM1</t>
  </si>
  <si>
    <t>B0QY89_EIF3L</t>
  </si>
  <si>
    <t>B0QY95_SMCR7L</t>
  </si>
  <si>
    <t>B0QYI3_TBC1D22A</t>
  </si>
  <si>
    <t>B0QYK0_EWSR1</t>
  </si>
  <si>
    <t>B0QYS6_TFEB</t>
  </si>
  <si>
    <t>B0QYW5_SLC25A17</t>
  </si>
  <si>
    <t>B0UX83_BAG6</t>
  </si>
  <si>
    <t>B0UXB6_ABHD16A</t>
  </si>
  <si>
    <t>B0UY12_HLA-C</t>
  </si>
  <si>
    <t>B0UZY3_EHMT2</t>
  </si>
  <si>
    <t>B0V043_VARS</t>
  </si>
  <si>
    <t>B0V0T3_PSMB9</t>
  </si>
  <si>
    <t>B0YIW2_APOC3</t>
  </si>
  <si>
    <t>B0YJC4_VIM</t>
  </si>
  <si>
    <t>B1AH87_TSPO</t>
  </si>
  <si>
    <t>B1AHD1_NHP2L1</t>
  </si>
  <si>
    <t>B1AK13_HMGCL</t>
  </si>
  <si>
    <t>B1AK44_MAD2L2</t>
  </si>
  <si>
    <t>B1AK53_ESPN</t>
  </si>
  <si>
    <t>B1AKJ5_NRD1</t>
  </si>
  <si>
    <t>B1AKJ6_OSBPL9</t>
  </si>
  <si>
    <t>B1AKL4_EIF4ENIF1</t>
  </si>
  <si>
    <t>B1AKN6_NFIA</t>
  </si>
  <si>
    <t>B1AKY9_ATP1A2</t>
  </si>
  <si>
    <t>B1AL69_CDC37L1</t>
  </si>
  <si>
    <t>B1ALB4_SMG7</t>
  </si>
  <si>
    <t>B1ALH6_PHYH</t>
  </si>
  <si>
    <t>B1ALK7_ARHGEF7</t>
  </si>
  <si>
    <t>B1ALM5_TMEM9</t>
  </si>
  <si>
    <t>B1AMF0_UBE2J2</t>
  </si>
  <si>
    <t>B1AMS2_SEPT6</t>
  </si>
  <si>
    <t>B1AMW1_CD58</t>
  </si>
  <si>
    <t>B1AN89_EIF4G3</t>
  </si>
  <si>
    <t>B1AN99_PRSS3</t>
  </si>
  <si>
    <t>B1ANH0_GUK1</t>
  </si>
  <si>
    <t>B1AQP1_USF1</t>
  </si>
  <si>
    <t>B1AT46_GMEB1</t>
  </si>
  <si>
    <t>B1AVQ7_MUC1</t>
  </si>
  <si>
    <t>B1AVU8_PSAP</t>
  </si>
  <si>
    <t>B1AZV3_TAP1</t>
  </si>
  <si>
    <t>B2RCS5_ACTN2</t>
  </si>
  <si>
    <t>B3KPJ4_PHC2</t>
  </si>
  <si>
    <t>B3KS98_EIF3S3</t>
  </si>
  <si>
    <t>B3KSH1_EIF3F</t>
  </si>
  <si>
    <t>B3KSI9_LZTFL1</t>
  </si>
  <si>
    <t>B3KSJ7_DCLRE1C</t>
  </si>
  <si>
    <t>B3KUE5_PLTP</t>
  </si>
  <si>
    <t>B3KUK2_SOD2</t>
  </si>
  <si>
    <t>B3KV61_UXS1</t>
  </si>
  <si>
    <t>B3KVH8_PHF23</t>
  </si>
  <si>
    <t>B3KVZ3_CENPH</t>
  </si>
  <si>
    <t>B3KWW1_DDX58</t>
  </si>
  <si>
    <t>B3KXW5_AP1G1</t>
  </si>
  <si>
    <t>B3KXX3_SLC12A6</t>
  </si>
  <si>
    <t>B3KY94_CDIPT</t>
  </si>
  <si>
    <t>B3V0L1_ARL6IP4</t>
  </si>
  <si>
    <t>B4DDF4_CNN2</t>
  </si>
  <si>
    <t>B4DDS3_CLPTM1</t>
  </si>
  <si>
    <t>B4DDV3_SIRT6</t>
  </si>
  <si>
    <t>B4DDY8_HARS2</t>
  </si>
  <si>
    <t>B4DE11_SLC35A2</t>
  </si>
  <si>
    <t>B4DE60_REEP2</t>
  </si>
  <si>
    <t>B4DEX5_PRNPIP</t>
  </si>
  <si>
    <t>B4DFI9_HUS1</t>
  </si>
  <si>
    <t>B4DFQ4_COMMD1</t>
  </si>
  <si>
    <t>B4DFR2_DYNLRB1</t>
  </si>
  <si>
    <t>B4DGU4_CTNNB1</t>
  </si>
  <si>
    <t>B4DGX2_PIP4K2A</t>
  </si>
  <si>
    <t>B4DH53_MAP1S</t>
  </si>
  <si>
    <t>B4DHE8_MSI2</t>
  </si>
  <si>
    <t>B4DHL3_LRRC28</t>
  </si>
  <si>
    <t>B4DIG7_PIP5K1B</t>
  </si>
  <si>
    <t>B4DIP4_EIF2AK1</t>
  </si>
  <si>
    <t>B4DJA5_RAB5A</t>
  </si>
  <si>
    <t>B4DJC5_DHRS13</t>
  </si>
  <si>
    <t>B4DJP7_SNRPD3</t>
  </si>
  <si>
    <t>B4DJV2_CS</t>
  </si>
  <si>
    <t>B4DJV5_PWP1</t>
  </si>
  <si>
    <t>B4DK80_TOP3A</t>
  </si>
  <si>
    <t>B4DKF9_ZNF286A</t>
  </si>
  <si>
    <t>B4DKL4_LSR</t>
  </si>
  <si>
    <t>B4DL54_CHURC1-FNTB</t>
  </si>
  <si>
    <t>B4DLH2_C2orf18</t>
  </si>
  <si>
    <t>B4DLN1_SLC25A10</t>
  </si>
  <si>
    <t>B4DLR8_NQO1</t>
  </si>
  <si>
    <t>B4DLT4_RPS6KB1</t>
  </si>
  <si>
    <t>B4DLU3_PGS1</t>
  </si>
  <si>
    <t>B4DLZ9_RNF220</t>
  </si>
  <si>
    <t>B4DMU4_FAM45A</t>
  </si>
  <si>
    <t>B4DP21_PTGES3</t>
  </si>
  <si>
    <t>B4DPV4_SLC25A16</t>
  </si>
  <si>
    <t>B4DPY8_TOX4</t>
  </si>
  <si>
    <t>B4DQI6_TRA2A</t>
  </si>
  <si>
    <t>B4DQJ8_PGD</t>
  </si>
  <si>
    <t>B4DQL0_MTMR8</t>
  </si>
  <si>
    <t>B4DR52_HIST2H2BF</t>
  </si>
  <si>
    <t>B4DR61_SEC61A1</t>
  </si>
  <si>
    <t>B4DRL9_CHM</t>
  </si>
  <si>
    <t>B4DRN8_ZDHHC20</t>
  </si>
  <si>
    <t>B4DRS7_SH2D3A</t>
  </si>
  <si>
    <t>B4DSD4_C9orf41</t>
  </si>
  <si>
    <t>B4DSS8_PTBP2</t>
  </si>
  <si>
    <t>B4DT77_ANXA7</t>
  </si>
  <si>
    <t>B4DTA3_SLC25A46</t>
  </si>
  <si>
    <t>B4DTC3_HNRNPD</t>
  </si>
  <si>
    <t>B4DTZ6_SLC9A1</t>
  </si>
  <si>
    <t>B4DUB9_SLC35F2</t>
  </si>
  <si>
    <t>B4DUE3_MYLK</t>
  </si>
  <si>
    <t>B4DUE9_SERINC3</t>
  </si>
  <si>
    <t>B4DVE7_ANXA11</t>
  </si>
  <si>
    <t>B4DVY1_EIF3D</t>
  </si>
  <si>
    <t>B4DW83_NDUFAF6</t>
  </si>
  <si>
    <t>B4DWI1_HACL1</t>
  </si>
  <si>
    <t>B4DXN4_CNKSR1</t>
  </si>
  <si>
    <t>B4DXZ6_FXR1</t>
  </si>
  <si>
    <t>B4DYB4_NUP35</t>
  </si>
  <si>
    <t>B4DYR1_JAG1</t>
  </si>
  <si>
    <t>B4DYR7_SYPL2</t>
  </si>
  <si>
    <t>B4DZH6_HDAC6</t>
  </si>
  <si>
    <t>B4E0E3_TMEM134</t>
  </si>
  <si>
    <t>B4E0T2_PEX5</t>
  </si>
  <si>
    <t>B4E1J0_PBXIP1</t>
  </si>
  <si>
    <t>B4E1N1_ARMC6</t>
  </si>
  <si>
    <t>B4E1Q4_RIOK3</t>
  </si>
  <si>
    <t>B4E1S6_SDC4</t>
  </si>
  <si>
    <t>B4E1Y1_NET1</t>
  </si>
  <si>
    <t>B4E241_SFRS3</t>
  </si>
  <si>
    <t>B4E2S7_LAMP2</t>
  </si>
  <si>
    <t>B4E2W0_HADHB</t>
  </si>
  <si>
    <t>B4E2X3_METTL13</t>
  </si>
  <si>
    <t>B4E3L3_USP28</t>
  </si>
  <si>
    <t>B5MBW9_CHCHD10</t>
  </si>
  <si>
    <t>B5MBX0_CDCA5</t>
  </si>
  <si>
    <t>B5MBX2_TCN2</t>
  </si>
  <si>
    <t>B5MC02_STEAP2</t>
  </si>
  <si>
    <t>B5MC51_LIMK2</t>
  </si>
  <si>
    <t>B5MC53_MPV17</t>
  </si>
  <si>
    <t>B5MCA4_EPCAM</t>
  </si>
  <si>
    <t>B5MCF9_PES1</t>
  </si>
  <si>
    <t>B5MCT7_PPM1F</t>
  </si>
  <si>
    <t>B5MDE0_RFT1</t>
  </si>
  <si>
    <t>B5MDU6_C2orf43</t>
  </si>
  <si>
    <t>B5ME25_METTL8</t>
  </si>
  <si>
    <t>B5MEC7_PPP1R12C</t>
  </si>
  <si>
    <t>B7WP27_CWC22</t>
  </si>
  <si>
    <t>B7WPE2_EML3</t>
  </si>
  <si>
    <t>B7WPL0_RIC8B</t>
  </si>
  <si>
    <t>B7Z202_DTNB</t>
  </si>
  <si>
    <t>B7Z254_PDIA6</t>
  </si>
  <si>
    <t>B7Z291_MTMR9</t>
  </si>
  <si>
    <t>B7Z2Y5_RPS6KA5</t>
  </si>
  <si>
    <t>B7Z317_TSPAN5</t>
  </si>
  <si>
    <t>B7Z3D5_MTMR1</t>
  </si>
  <si>
    <t>B7Z3I9_ALAD</t>
  </si>
  <si>
    <t>B7Z463_NPEPPS</t>
  </si>
  <si>
    <t>B7Z493_FGD4</t>
  </si>
  <si>
    <t>B7Z4K6_DNASE2</t>
  </si>
  <si>
    <t>B7Z4R5_P2RX4</t>
  </si>
  <si>
    <t>B7Z4W5_CCBL1</t>
  </si>
  <si>
    <t>B7Z5W1_F11R</t>
  </si>
  <si>
    <t>B7Z662_SLC27A1</t>
  </si>
  <si>
    <t>B7Z683_ABR</t>
  </si>
  <si>
    <t>B7Z6B6_ZNF346</t>
  </si>
  <si>
    <t>B7Z6B8_DECR1</t>
  </si>
  <si>
    <t>B7Z6M4_TNFAIP1</t>
  </si>
  <si>
    <t>B7Z755_MLLT3</t>
  </si>
  <si>
    <t>B7Z7F3_RANBP3</t>
  </si>
  <si>
    <t>B7Z7H3_ZKSCAN4</t>
  </si>
  <si>
    <t>B7Z7J3_AMN1</t>
  </si>
  <si>
    <t>B7Z815_USP7</t>
  </si>
  <si>
    <t>B7Z817_DHCR24</t>
  </si>
  <si>
    <t>B7Z9I3_ATP6AP2</t>
  </si>
  <si>
    <t>B7Z9J4_CALB1</t>
  </si>
  <si>
    <t>B7Z9S8_ATP1B1</t>
  </si>
  <si>
    <t>B7ZAA0_PMS1</t>
  </si>
  <si>
    <t>B7ZAX5_GALK2</t>
  </si>
  <si>
    <t>B7ZBM3_FOXP4</t>
  </si>
  <si>
    <t>B7ZC38_SH3GLB2</t>
  </si>
  <si>
    <t>B7ZKK9_PPP2R5E</t>
  </si>
  <si>
    <t>B7ZKP8_UBXN2A</t>
  </si>
  <si>
    <t>B7ZKQ9_SCARB1</t>
  </si>
  <si>
    <t>B7ZL82_SMPD3</t>
  </si>
  <si>
    <t>B7ZL88_COX18</t>
  </si>
  <si>
    <t>B7ZLX3_CLASP1</t>
  </si>
  <si>
    <t>B7ZLZ2_EDEM3</t>
  </si>
  <si>
    <t>B8X2Z3_RLTPR</t>
  </si>
  <si>
    <t>B8ZZ99_CCDC115</t>
  </si>
  <si>
    <t>B8ZZC7_PIGQ</t>
  </si>
  <si>
    <t>B8ZZF8_LSM5</t>
  </si>
  <si>
    <t>B8ZZI5_STK16</t>
  </si>
  <si>
    <t>B8ZZN6_SUMO1</t>
  </si>
  <si>
    <t>B8ZZQ6_PTMA</t>
  </si>
  <si>
    <t>B8ZZS2_NAB1</t>
  </si>
  <si>
    <t>B8ZZU6_ATF2</t>
  </si>
  <si>
    <t>B8ZZV9_COQ10B</t>
  </si>
  <si>
    <t>B8ZZY2_AGFG1</t>
  </si>
  <si>
    <t>B9A018_USP39</t>
  </si>
  <si>
    <t>B9A054_RHBDD1</t>
  </si>
  <si>
    <t>B9A057_COA5</t>
  </si>
  <si>
    <t>B9A067_IMMT</t>
  </si>
  <si>
    <t>B9ZVT1_RBM12B</t>
  </si>
  <si>
    <t>C0H5Y7_BAK1</t>
  </si>
  <si>
    <t>C1IDX9_ATG12</t>
  </si>
  <si>
    <t>C1P671_KREMEN1</t>
  </si>
  <si>
    <t>C4AMC7_WASH3P</t>
  </si>
  <si>
    <t>C6G496_MAZ</t>
  </si>
  <si>
    <t>C6GKU9_MED30S</t>
  </si>
  <si>
    <t>C9IY40_MRPL2</t>
  </si>
  <si>
    <t>C9IYB5_TRABD2A</t>
  </si>
  <si>
    <t>C9IZG4_CUTA</t>
  </si>
  <si>
    <t>C9IZW8_NDUFB2</t>
  </si>
  <si>
    <t>C9J0I9_ZC3HC1</t>
  </si>
  <si>
    <t>C9J0J0_CCDC126</t>
  </si>
  <si>
    <t>C9J0J7_PFN2</t>
  </si>
  <si>
    <t>C9J0K6_SRI</t>
  </si>
  <si>
    <t>C9J167_PMS2</t>
  </si>
  <si>
    <t>C9J1G2_DNAJB2</t>
  </si>
  <si>
    <t>C9J1K8_MEGF9</t>
  </si>
  <si>
    <t>C9J212_UBE2F</t>
  </si>
  <si>
    <t>C9J240_SLC4A10</t>
  </si>
  <si>
    <t>C9J2P0_UBE2E1</t>
  </si>
  <si>
    <t>C9J2U4_TAMM41</t>
  </si>
  <si>
    <t>C9J2V2_IKBKG</t>
  </si>
  <si>
    <t>C9J2Y9_POLR2B</t>
  </si>
  <si>
    <t>C9J3D7_CROT</t>
  </si>
  <si>
    <t>C9J4K0_C2orf49</t>
  </si>
  <si>
    <t>C9J4T6_IL8</t>
  </si>
  <si>
    <t>C9J4Z3_RPL37A</t>
  </si>
  <si>
    <t>C9J5C3_PDCD10</t>
  </si>
  <si>
    <t>C9J5X1_IGF1R</t>
  </si>
  <si>
    <t>C9J652_ARHGAP31</t>
  </si>
  <si>
    <t>C9J712_PFN2</t>
  </si>
  <si>
    <t>C9J8B8_HDAC10</t>
  </si>
  <si>
    <t>C9J8Q5_ALDH5A1</t>
  </si>
  <si>
    <t>C9J976_SYNPR</t>
  </si>
  <si>
    <t>C9J9K3_RPSA</t>
  </si>
  <si>
    <t>C9JA07_COA1</t>
  </si>
  <si>
    <t>C9JA08_NMD3</t>
  </si>
  <si>
    <t>C9JA28_SSR3</t>
  </si>
  <si>
    <t>C9JA69_BBX</t>
  </si>
  <si>
    <t>C9JAB2_SRSF7</t>
  </si>
  <si>
    <t>C9JAB9_NCK1</t>
  </si>
  <si>
    <t>C9JAX1_FXN</t>
  </si>
  <si>
    <t>C9JB13_BSDC1</t>
  </si>
  <si>
    <t>C9JB55_TF</t>
  </si>
  <si>
    <t>C9JBA4_LYG2</t>
  </si>
  <si>
    <t>C9JBL1_SPCS1</t>
  </si>
  <si>
    <t>C9JBT1_C7orf41</t>
  </si>
  <si>
    <t>C9JBY7_MRPS33</t>
  </si>
  <si>
    <t>C9JCC6_DRAP1</t>
  </si>
  <si>
    <t>C9JCN0_MYOF</t>
  </si>
  <si>
    <t>C9JE12_TMUB1</t>
  </si>
  <si>
    <t>C9JE98_NCOR2</t>
  </si>
  <si>
    <t>C9JEZ4_CDC42EP3</t>
  </si>
  <si>
    <t>C9JFL1_POM121C</t>
  </si>
  <si>
    <t>C9JFW7_C19orf55</t>
  </si>
  <si>
    <t>C9JG41_ITM2C</t>
  </si>
  <si>
    <t>C9JG97_AAMP</t>
  </si>
  <si>
    <t>C9JGI3_TYMP</t>
  </si>
  <si>
    <t>C9JI98_TMEM238</t>
  </si>
  <si>
    <t>C9JIF9_APEH</t>
  </si>
  <si>
    <t>C9JJZ8_WDR53</t>
  </si>
  <si>
    <t>C9JK10_ITGA6</t>
  </si>
  <si>
    <t>C9JLU1_POLR2H</t>
  </si>
  <si>
    <t>C9JLV4_APAF1</t>
  </si>
  <si>
    <t>C9JM82_SEPT5</t>
  </si>
  <si>
    <t>C9JME2_FARP1</t>
  </si>
  <si>
    <t>C9JNE2_OARD1</t>
  </si>
  <si>
    <t>C9JNJ4_SH3RF3</t>
  </si>
  <si>
    <t>C9JNT3_GSTK1</t>
  </si>
  <si>
    <t>C9JP00_MBNL1</t>
  </si>
  <si>
    <t>C9JP16_CRTAP</t>
  </si>
  <si>
    <t>C9JPL0_CCNL1</t>
  </si>
  <si>
    <t>C9JPP2_NKIRAS2</t>
  </si>
  <si>
    <t>C9JQ41_CCDC58</t>
  </si>
  <si>
    <t>C9JQB1_NME6</t>
  </si>
  <si>
    <t>C9JQD4_PPIH</t>
  </si>
  <si>
    <t>C9JQV3_STK11IP</t>
  </si>
  <si>
    <t>C9JR56_SATB2</t>
  </si>
  <si>
    <t>C9JRY4_SEC22A</t>
  </si>
  <si>
    <t>C9JRZ6_CHCHD3</t>
  </si>
  <si>
    <t>C9JS59_RNF123</t>
  </si>
  <si>
    <t>C9JSZ2_SLC46A1</t>
  </si>
  <si>
    <t>C9JUH5_SERP1</t>
  </si>
  <si>
    <t>C9JVP0_FOXJ3</t>
  </si>
  <si>
    <t>C9JWU9_MEST</t>
  </si>
  <si>
    <t>C9JYJ6_FILIP1L</t>
  </si>
  <si>
    <t>C9JYM0_POP7</t>
  </si>
  <si>
    <t>C9JYN0_SYPL1</t>
  </si>
  <si>
    <t>C9JYY6_NRCAM</t>
  </si>
  <si>
    <t>C9JZB0_INPP5K</t>
  </si>
  <si>
    <t>C9JZI1_RFC4</t>
  </si>
  <si>
    <t>C9JZP6_DHRS2</t>
  </si>
  <si>
    <t>C9JZR4_ARFGAP3</t>
  </si>
  <si>
    <t>C9JZY3_PCBP4</t>
  </si>
  <si>
    <t>C9JZY6_UBE2H</t>
  </si>
  <si>
    <t>C9K0J5_RAPH1</t>
  </si>
  <si>
    <t>D0UFD3_PrLZ</t>
  </si>
  <si>
    <t>D3DQV9_EIF4G2</t>
  </si>
  <si>
    <t>D3DQZ6_ZCSL3</t>
  </si>
  <si>
    <t>D3K174_SLC4A7</t>
  </si>
  <si>
    <t>D3YTB1_RPL32</t>
  </si>
  <si>
    <t>D3YTG6_NDOR1</t>
  </si>
  <si>
    <t>D3YTI9_TAPBP</t>
  </si>
  <si>
    <t>D6R938_CAMK2D</t>
  </si>
  <si>
    <t>D6R9S4_MLF1IP</t>
  </si>
  <si>
    <t>D6R9U7_POLR3G</t>
  </si>
  <si>
    <t>D6RAC5_SSBP2</t>
  </si>
  <si>
    <t>D6RAR3_TMEM161B</t>
  </si>
  <si>
    <t>D6RB01_FAM169A</t>
  </si>
  <si>
    <t>D6RB34_IRF2</t>
  </si>
  <si>
    <t>D6RBE0_CXXC5</t>
  </si>
  <si>
    <t>D6RBE3_FAM173B</t>
  </si>
  <si>
    <t>D6RBW1_EIF4E</t>
  </si>
  <si>
    <t>D6RCD0_HSD17B11</t>
  </si>
  <si>
    <t>D6RCD9_TMEM175</t>
  </si>
  <si>
    <t>D6RDN0_CDV3</t>
  </si>
  <si>
    <t>D6REA0_PET112</t>
  </si>
  <si>
    <t>D6REL0_CDC42SE2</t>
  </si>
  <si>
    <t>D6REL5_FAM175A</t>
  </si>
  <si>
    <t>D6REM4_CSNK1A1</t>
  </si>
  <si>
    <t>D6RER8_SLC38A9</t>
  </si>
  <si>
    <t>D6REX3_SEC31A</t>
  </si>
  <si>
    <t>D6RF48_STX18</t>
  </si>
  <si>
    <t>D6RFG8_DCK</t>
  </si>
  <si>
    <t>D6RFX7_FAM117A</t>
  </si>
  <si>
    <t>D6RGI3_SEPT11</t>
  </si>
  <si>
    <t>D6RGK9_CNOT6L</t>
  </si>
  <si>
    <t>D6RHD3_CENPK</t>
  </si>
  <si>
    <t>D6RHI9_RNASET2</t>
  </si>
  <si>
    <t>D6RIE3_COX7A2</t>
  </si>
  <si>
    <t>D6RIU2_CLDND1</t>
  </si>
  <si>
    <t>D6RIZ4_MFSD10</t>
  </si>
  <si>
    <t>D6RJG8_RFESD</t>
  </si>
  <si>
    <t>E1P5H9_SLCO4A1</t>
  </si>
  <si>
    <t>E2QRD0_VWA8</t>
  </si>
  <si>
    <t>E2QRD5_C15orf38-AP3S2</t>
  </si>
  <si>
    <t>E2QRF9_GMNN</t>
  </si>
  <si>
    <t>E5RFI2_MRPL13</t>
  </si>
  <si>
    <t>E5RFJ1_NSMCE2</t>
  </si>
  <si>
    <t>E5RG17_TATDN1</t>
  </si>
  <si>
    <t>E5RG44_TRIQK</t>
  </si>
  <si>
    <t>E5RGQ3_RWDD1</t>
  </si>
  <si>
    <t>E5RGX5_STMN2</t>
  </si>
  <si>
    <t>E5RGY0_DERL1</t>
  </si>
  <si>
    <t>E5RHG8_TCEB1</t>
  </si>
  <si>
    <t>E5RHK8_DNM3</t>
  </si>
  <si>
    <t>E5RHW0_TMEM66</t>
  </si>
  <si>
    <t>E5RHW4_ERLIN2</t>
  </si>
  <si>
    <t>E5RI99_RPL30</t>
  </si>
  <si>
    <t>E5RIH5_TTI2</t>
  </si>
  <si>
    <t>E5RIP7_IMPA1</t>
  </si>
  <si>
    <t>E5RIQ9_SERF1A</t>
  </si>
  <si>
    <t>E5RIX2_IDO1</t>
  </si>
  <si>
    <t>E5RJ26_PSEN2</t>
  </si>
  <si>
    <t>E5RJ99_ZFAND1</t>
  </si>
  <si>
    <t>E5RJD2_DECR1</t>
  </si>
  <si>
    <t>E5RJJ3_NUDT18</t>
  </si>
  <si>
    <t>E5RJM0_CPEB4</t>
  </si>
  <si>
    <t>E5RJR4_PTTG1</t>
  </si>
  <si>
    <t>E5RJR5_SKP1</t>
  </si>
  <si>
    <t>E5RJS5_MTFR1</t>
  </si>
  <si>
    <t>E7EM50_PIGG</t>
  </si>
  <si>
    <t>E7EM64_COPS6</t>
  </si>
  <si>
    <t>E7EM95_RNF5</t>
  </si>
  <si>
    <t>E7EMB8_PTPN18</t>
  </si>
  <si>
    <t>E7EMC6_ANXA6</t>
  </si>
  <si>
    <t>E7EMD6_AKAP10</t>
  </si>
  <si>
    <t>E7EMM4_ASAH1</t>
  </si>
  <si>
    <t>E7EMN6_PPP1R2</t>
  </si>
  <si>
    <t>E7EMQ9_ARMC5</t>
  </si>
  <si>
    <t>E7EMX7_RAI14</t>
  </si>
  <si>
    <t>E7EMZ9_TACC2</t>
  </si>
  <si>
    <t>E7EN73_KIAA0319L</t>
  </si>
  <si>
    <t>E7EN86_ZNF143</t>
  </si>
  <si>
    <t>E7ENA9_NCSTN</t>
  </si>
  <si>
    <t>E7ENK0_CALCOCO2</t>
  </si>
  <si>
    <t>E7ENU4_ADAR</t>
  </si>
  <si>
    <t>E7EP70_BRCA1</t>
  </si>
  <si>
    <t>E7EP87_NARF</t>
  </si>
  <si>
    <t>E7EPB3_RPL14</t>
  </si>
  <si>
    <t>E7EPC6_CD44</t>
  </si>
  <si>
    <t>E7EPD0_TOM1</t>
  </si>
  <si>
    <t>E7EPI0_IBTK</t>
  </si>
  <si>
    <t>E7EPL4_PDXDC1</t>
  </si>
  <si>
    <t>E7EPN9_PRRC2C</t>
  </si>
  <si>
    <t>E7EPT4_NDUFV2</t>
  </si>
  <si>
    <t>E7EPY1_TNIP1</t>
  </si>
  <si>
    <t>E7EQ69_NAA50</t>
  </si>
  <si>
    <t>E7EQB2_LTF</t>
  </si>
  <si>
    <t>E7EQE7_CORIN</t>
  </si>
  <si>
    <t>E7EQL6_PRODH</t>
  </si>
  <si>
    <t>E7EQN5_ARHGAP4</t>
  </si>
  <si>
    <t>E7EQN6_SENP6</t>
  </si>
  <si>
    <t>E7EQR8_YIPF3</t>
  </si>
  <si>
    <t>E7EQT4_ACIN1</t>
  </si>
  <si>
    <t>E7EQV9_RPL15</t>
  </si>
  <si>
    <t>E7ER77_ERMP1</t>
  </si>
  <si>
    <t>E7ER81_FAM193B</t>
  </si>
  <si>
    <t>E7ERB7_GMIP</t>
  </si>
  <si>
    <t>E7ERH3_TNS3</t>
  </si>
  <si>
    <t>E7ERS3_ZC3H18</t>
  </si>
  <si>
    <t>E7ES08_HMGB3</t>
  </si>
  <si>
    <t>E7ES35_TTC38</t>
  </si>
  <si>
    <t>E7ES43_HSPA4L</t>
  </si>
  <si>
    <t>E7ES96_PSEN1</t>
  </si>
  <si>
    <t>E7ESA8_PRPF31</t>
  </si>
  <si>
    <t>E7ESP4_ITGA2</t>
  </si>
  <si>
    <t>E7ESU4_NAT10</t>
  </si>
  <si>
    <t>E7ESX1_CHRD</t>
  </si>
  <si>
    <t>E7ESZ7_NDUFA10</t>
  </si>
  <si>
    <t>E7ET15_U2SURP</t>
  </si>
  <si>
    <t>E7ETB3_DNPEP</t>
  </si>
  <si>
    <t>E7ETK0_RPS24</t>
  </si>
  <si>
    <t>E7ETZ4_BZW2</t>
  </si>
  <si>
    <t>E7EU23_GDI2</t>
  </si>
  <si>
    <t>E7EU96_CSNK2A1</t>
  </si>
  <si>
    <t>E7EUE1_ABCD3</t>
  </si>
  <si>
    <t>E7EUL7_SSFA2</t>
  </si>
  <si>
    <t>E7EUM5_NUP54</t>
  </si>
  <si>
    <t>E7EV46_PGBD3</t>
  </si>
  <si>
    <t>E7EV56_PCM1</t>
  </si>
  <si>
    <t>E7EVA0_MAP4</t>
  </si>
  <si>
    <t>E7EVC7_ATG16L1</t>
  </si>
  <si>
    <t>E7EVJ5_CYFIP2</t>
  </si>
  <si>
    <t>E7EVZ3_RAI1</t>
  </si>
  <si>
    <t>E7EW05_SDAD1</t>
  </si>
  <si>
    <t>E7EW18_POLB</t>
  </si>
  <si>
    <t>E7EW20_MYO6</t>
  </si>
  <si>
    <t>E7EW32_MON1B</t>
  </si>
  <si>
    <t>E7EW69_SEPT10</t>
  </si>
  <si>
    <t>E7EW77_ABI2</t>
  </si>
  <si>
    <t>E7EW84_EXOC6</t>
  </si>
  <si>
    <t>E7EWD6_ASXL2</t>
  </si>
  <si>
    <t>E7EWM3_ZMIZ2</t>
  </si>
  <si>
    <t>E7EWN3_SETD5</t>
  </si>
  <si>
    <t>E7EWP0_NDUFB5</t>
  </si>
  <si>
    <t>E7EWQ5_MAST4</t>
  </si>
  <si>
    <t>E7EWX6_SIRT2</t>
  </si>
  <si>
    <t>E7EX01_MPP2</t>
  </si>
  <si>
    <t>E7EX17_EIF4B</t>
  </si>
  <si>
    <t>E7EX59_PCCB</t>
  </si>
  <si>
    <t>E7EX73_EIF4G1</t>
  </si>
  <si>
    <t>E7EX90_DCTN1</t>
  </si>
  <si>
    <t>E9PAL9_NT5DC2</t>
  </si>
  <si>
    <t>E9PAU2_RAVER1</t>
  </si>
  <si>
    <t>E9PAV9_GPATCH4</t>
  </si>
  <si>
    <t>E9PB61_ALYREF</t>
  </si>
  <si>
    <t>E9PBP4_MLLT10</t>
  </si>
  <si>
    <t>E9PBR6_TMEM201</t>
  </si>
  <si>
    <t>E9PC62_CELF2</t>
  </si>
  <si>
    <t>E9PC69_MARK2</t>
  </si>
  <si>
    <t>E9PC74_EIF2B5</t>
  </si>
  <si>
    <t>E9PCD7_MAN2B2</t>
  </si>
  <si>
    <t>E9PCH4_FNIP1</t>
  </si>
  <si>
    <t>E9PCV0_GUSB</t>
  </si>
  <si>
    <t>E9PCW1_GOSR1</t>
  </si>
  <si>
    <t>E9PD25_TLL1</t>
  </si>
  <si>
    <t>E9PD90_CKAP2</t>
  </si>
  <si>
    <t>E9PDC3_ARVCF</t>
  </si>
  <si>
    <t>E9PDF6_MYO1B</t>
  </si>
  <si>
    <t>E9PDG9_RPAIN</t>
  </si>
  <si>
    <t>E9PEE8_ITGB6</t>
  </si>
  <si>
    <t>E9PEJ6_ATP11A</t>
  </si>
  <si>
    <t>E9PEN8_XPO7</t>
  </si>
  <si>
    <t>E9PER1_DIP2A</t>
  </si>
  <si>
    <t>E9PER6_PDPK1</t>
  </si>
  <si>
    <t>E9PEZ3_DIAPH1</t>
  </si>
  <si>
    <t>E9PF10_NUP155</t>
  </si>
  <si>
    <t>E9PF16_ACSF2</t>
  </si>
  <si>
    <t>E9PF18_HADH</t>
  </si>
  <si>
    <t>E9PF19_TBL2</t>
  </si>
  <si>
    <t>E9PF36_VPS41</t>
  </si>
  <si>
    <t>E9PF74_SLC25A19</t>
  </si>
  <si>
    <t>E9PFH7_MAPK8IP3</t>
  </si>
  <si>
    <t>E9PFK9_RABGEF1</t>
  </si>
  <si>
    <t>E9PFR3_PPP2R5D</t>
  </si>
  <si>
    <t>E9PG22_CEP97</t>
  </si>
  <si>
    <t>E9PGC0_RASA1</t>
  </si>
  <si>
    <t>E9PGT1_TSN</t>
  </si>
  <si>
    <t>E9PGT3_RPS6KA1</t>
  </si>
  <si>
    <t>E9PGW7_MED22</t>
  </si>
  <si>
    <t>E9PH18_DNAJB6</t>
  </si>
  <si>
    <t>E9PH29_PRDX3</t>
  </si>
  <si>
    <t>E9PHF7_MCCC1</t>
  </si>
  <si>
    <t>E9PHG5_CYP20A1</t>
  </si>
  <si>
    <t>E9PHH8_PIAS3</t>
  </si>
  <si>
    <t>E9PHY5_EPB41L2</t>
  </si>
  <si>
    <t>E9PHY8_MROH1</t>
  </si>
  <si>
    <t>E9PIB1_HLA-DQB1</t>
  </si>
  <si>
    <t>E9PIE4_MTCH2</t>
  </si>
  <si>
    <t>E9PJ24_PHRF1</t>
  </si>
  <si>
    <t>E9PJ55_TCP11L1</t>
  </si>
  <si>
    <t>E9PJ81_UBXN1</t>
  </si>
  <si>
    <t>E9PJD7_CYHR1</t>
  </si>
  <si>
    <t>E9PJK1_CD81</t>
  </si>
  <si>
    <t>E9PJM3_FBXO3</t>
  </si>
  <si>
    <t>E9PK01_EEF1D</t>
  </si>
  <si>
    <t>E9PK26_SNX15</t>
  </si>
  <si>
    <t>E9PK91_BCLAF1</t>
  </si>
  <si>
    <t>E9PKC0_PLEKHA7</t>
  </si>
  <si>
    <t>E9PKF3_ACAT1</t>
  </si>
  <si>
    <t>E9PKG1_PRMT1</t>
  </si>
  <si>
    <t>E9PKP7_UBTF</t>
  </si>
  <si>
    <t>E9PKT4_TMEM123</t>
  </si>
  <si>
    <t>E9PKV2_MRPL17</t>
  </si>
  <si>
    <t>E9PKV8_TTC9C</t>
  </si>
  <si>
    <t>E9PL10_BTF3L4</t>
  </si>
  <si>
    <t>E9PL17_CLP1</t>
  </si>
  <si>
    <t>E9PL33_EI24</t>
  </si>
  <si>
    <t>E9PL57_NEDD8-MDP1</t>
  </si>
  <si>
    <t>E9PLK3_NPEPPS</t>
  </si>
  <si>
    <t>E9PLL6_RPL27A</t>
  </si>
  <si>
    <t>E9PM46_USP47</t>
  </si>
  <si>
    <t>E9PM92_C11orf58</t>
  </si>
  <si>
    <t>E9PMH5_BIRC2</t>
  </si>
  <si>
    <t>E9PMI6_CLNS1A</t>
  </si>
  <si>
    <t>E9PMJ2_FAM118B</t>
  </si>
  <si>
    <t>E9PML6_ATG13</t>
  </si>
  <si>
    <t>E9PMR4_CD151</t>
  </si>
  <si>
    <t>E9PMR6_ARHGEF12</t>
  </si>
  <si>
    <t>E9PMS5_KCTD21</t>
  </si>
  <si>
    <t>E9PMS6_LMO7</t>
  </si>
  <si>
    <t>E9PN48_ARFGAP2</t>
  </si>
  <si>
    <t>E9PND3_EBAG9</t>
  </si>
  <si>
    <t>E9PNL8_DGKZ</t>
  </si>
  <si>
    <t>E9PNQ6_TXNRD1</t>
  </si>
  <si>
    <t>E9PNT2_ARHGAP27</t>
  </si>
  <si>
    <t>E9PNW4_CD59</t>
  </si>
  <si>
    <t>E9PPT7_LTBP3</t>
  </si>
  <si>
    <t>E9PPY3_RRP8</t>
  </si>
  <si>
    <t>E9PQL5_C11orf57</t>
  </si>
  <si>
    <t>E9PQY2_PFDN4</t>
  </si>
  <si>
    <t>E9PR30_FAU</t>
  </si>
  <si>
    <t>E9PR76_MAF1</t>
  </si>
  <si>
    <t>E9PRM7_SLC22A18</t>
  </si>
  <si>
    <t>E9PRR8_EIF1AD</t>
  </si>
  <si>
    <t>E9PRY8_EEF1D</t>
  </si>
  <si>
    <t>E9PS17_SCYL1</t>
  </si>
  <si>
    <t>E9PSB8_SMCO4</t>
  </si>
  <si>
    <t>E9PSI1_TM9SF1</t>
  </si>
  <si>
    <t>F2Z2I2_PFKFB3</t>
  </si>
  <si>
    <t>F2Z2U8_MYH14</t>
  </si>
  <si>
    <t>F2Z2V1_FGGY</t>
  </si>
  <si>
    <t>F2Z2W7_TRMT2A</t>
  </si>
  <si>
    <t>F2Z2X4_XPO4</t>
  </si>
  <si>
    <t>F2Z384_TRMT2B</t>
  </si>
  <si>
    <t>F5GWD3_GTF2H3</t>
  </si>
  <si>
    <t>F5GWH5_TMEM258</t>
  </si>
  <si>
    <t>F5GWI9_CCDC53</t>
  </si>
  <si>
    <t>F5GWP8_JUP</t>
  </si>
  <si>
    <t>F5GWS3_TLDC1</t>
  </si>
  <si>
    <t>F5GWT4_WNK1</t>
  </si>
  <si>
    <t>F5GWX5_CHD4</t>
  </si>
  <si>
    <t>F5GWY5_PODXL</t>
  </si>
  <si>
    <t>F5GX09_FAM76B</t>
  </si>
  <si>
    <t>F5GX28_KDM4B</t>
  </si>
  <si>
    <t>F5GX82_FRYL</t>
  </si>
  <si>
    <t>F5GXC8_SUCLA2</t>
  </si>
  <si>
    <t>F5GXE4_ATE1</t>
  </si>
  <si>
    <t>F5GXF0_NR4A1</t>
  </si>
  <si>
    <t>F5GXK8_DNAJB11</t>
  </si>
  <si>
    <t>F5GXX5_DAD1</t>
  </si>
  <si>
    <t>F5GXY5_SASS6</t>
  </si>
  <si>
    <t>F5GY56_PRPF19</t>
  </si>
  <si>
    <t>F5GY92_GPBP1</t>
  </si>
  <si>
    <t>F5GY98_HN1</t>
  </si>
  <si>
    <t>F5GY99_GALNT1</t>
  </si>
  <si>
    <t>F5GYJ5_</t>
  </si>
  <si>
    <t>F5GYN4_OTUB1</t>
  </si>
  <si>
    <t>F5GYQ1_ATP6V0D1</t>
  </si>
  <si>
    <t>F5GYV3_TM7SF2</t>
  </si>
  <si>
    <t>F5GZ78_PXN</t>
  </si>
  <si>
    <t>F5GZH3_PLEKHB1</t>
  </si>
  <si>
    <t>F5GZS0_DHX36</t>
  </si>
  <si>
    <t>F5GZS6_SLC3A2</t>
  </si>
  <si>
    <t>F5GZX9_FAM120B</t>
  </si>
  <si>
    <t>F5GZZ0_ALKBH2</t>
  </si>
  <si>
    <t>F5H012_TRIM21</t>
  </si>
  <si>
    <t>F5H0B0_TPD52</t>
  </si>
  <si>
    <t>F5H0F9_ANAPC5</t>
  </si>
  <si>
    <t>F5H0I3_SOX5</t>
  </si>
  <si>
    <t>F5H0L8_SEC23IP</t>
  </si>
  <si>
    <t>F5H0Q6_CLASRP</t>
  </si>
  <si>
    <t>F5H144_GPR56</t>
  </si>
  <si>
    <t>F5H148_RRN3</t>
  </si>
  <si>
    <t>F5H170_DNAJA4</t>
  </si>
  <si>
    <t>F5H1G9_ABI1</t>
  </si>
  <si>
    <t>F5H1I4_HELB</t>
  </si>
  <si>
    <t>F5H1L4_TXNRD2</t>
  </si>
  <si>
    <t>F5H1N7_KIAA1211</t>
  </si>
  <si>
    <t>F5H1R7_FLJ22184</t>
  </si>
  <si>
    <t>F5H1X8_LRBA</t>
  </si>
  <si>
    <t>F5H1Y4_GOPC</t>
  </si>
  <si>
    <t>F5H1Z6_STARD10</t>
  </si>
  <si>
    <t>F5H211_ATXN3</t>
  </si>
  <si>
    <t>F5H232_CDKN3</t>
  </si>
  <si>
    <t>F5H2H5_ANKLE2</t>
  </si>
  <si>
    <t>F5H2J3_VMP1</t>
  </si>
  <si>
    <t>F5H2Q7_KIAA1715</t>
  </si>
  <si>
    <t>F5H2S7_DCTN2</t>
  </si>
  <si>
    <t>F5H2U2_PRPF4B</t>
  </si>
  <si>
    <t>F5H315_XAB2</t>
  </si>
  <si>
    <t>F5H365_SEC23A</t>
  </si>
  <si>
    <t>F5H3Q5_COL4A6</t>
  </si>
  <si>
    <t>F5H4G7_KPNA6</t>
  </si>
  <si>
    <t>F5H4H2_ATP5J2</t>
  </si>
  <si>
    <t>F5H4V9_PDCD2</t>
  </si>
  <si>
    <t>F5H562_ATP7B</t>
  </si>
  <si>
    <t>F5H569_ATP6V0A1</t>
  </si>
  <si>
    <t>F5H577_BRK1</t>
  </si>
  <si>
    <t>F5H5D3_TUBA1C</t>
  </si>
  <si>
    <t>F5H5I6_GRSF1</t>
  </si>
  <si>
    <t>F5H5M7_IFNGR1</t>
  </si>
  <si>
    <t>F5H5N0_CDC42BPA</t>
  </si>
  <si>
    <t>F5H5N1_NDUFS7</t>
  </si>
  <si>
    <t>F5H5P2_BCKDHA</t>
  </si>
  <si>
    <t>F5H5R8_NAT1</t>
  </si>
  <si>
    <t>F5H604_CLASP2</t>
  </si>
  <si>
    <t>F5H607_TUFT1</t>
  </si>
  <si>
    <t>F5H620_OXNAD1</t>
  </si>
  <si>
    <t>F5H698_LARS</t>
  </si>
  <si>
    <t>F5H6G7_NOL10</t>
  </si>
  <si>
    <t>F5H6U2_FAM60A</t>
  </si>
  <si>
    <t>F5H702_MRPL48</t>
  </si>
  <si>
    <t>F5H721_WBP11</t>
  </si>
  <si>
    <t>F5H7C4_MSRB3</t>
  </si>
  <si>
    <t>F5H7F6_MGST1</t>
  </si>
  <si>
    <t>F5H7I4_GABPB1</t>
  </si>
  <si>
    <t>F5H7K2_MGA</t>
  </si>
  <si>
    <t>F5H7N9_MFGE8</t>
  </si>
  <si>
    <t>F5H7T0_RPS6KC1</t>
  </si>
  <si>
    <t>F5H7Z9_REEP1</t>
  </si>
  <si>
    <t>F5H801_OGDH</t>
  </si>
  <si>
    <t>F5H860_INPP4A</t>
  </si>
  <si>
    <t>F5H872_MED21</t>
  </si>
  <si>
    <t>F5H877_SPINT1</t>
  </si>
  <si>
    <t>F5H897_TRAP1</t>
  </si>
  <si>
    <t>F5H8D7_XRCC1</t>
  </si>
  <si>
    <t>F5H8H2_MVK</t>
  </si>
  <si>
    <t>F5H8L0_RABGAP1L</t>
  </si>
  <si>
    <t>F5H8L4_SIDT2</t>
  </si>
  <si>
    <t>F6PQP6_EPN2</t>
  </si>
  <si>
    <t>F6RIS4_TXNIP</t>
  </si>
  <si>
    <t>F6RY50_SIPA1</t>
  </si>
  <si>
    <t>F6TQG2_SMARCA1</t>
  </si>
  <si>
    <t>F6U1F2_BAG6</t>
  </si>
  <si>
    <t>F6U1T9_PPP3R1</t>
  </si>
  <si>
    <t>F6UJY9_HYI</t>
  </si>
  <si>
    <t>F6V707_TPD52L1</t>
  </si>
  <si>
    <t>F6XY72_NME2</t>
  </si>
  <si>
    <t>F8VP89_EIF4B</t>
  </si>
  <si>
    <t>F8VPD4_CAD</t>
  </si>
  <si>
    <t>F8VQ10_DDX39B</t>
  </si>
  <si>
    <t>F8VQ19_BRF1</t>
  </si>
  <si>
    <t>F8VQD4_C12orf75</t>
  </si>
  <si>
    <t>F8VQY2_UIMC1</t>
  </si>
  <si>
    <t>F8VQZ7_METAP2</t>
  </si>
  <si>
    <t>F8VRE8_TMEM19</t>
  </si>
  <si>
    <t>F8VS78_TSPAN31</t>
  </si>
  <si>
    <t>F8VSL3_NFYB</t>
  </si>
  <si>
    <t>F8VSZ4_PLXNA1</t>
  </si>
  <si>
    <t>F8VU90_FKBP11</t>
  </si>
  <si>
    <t>F8VUW5_DAZAP2</t>
  </si>
  <si>
    <t>F8VV52_CNOT2</t>
  </si>
  <si>
    <t>F8VV56_CD63</t>
  </si>
  <si>
    <t>F8VVA7_COPZ1</t>
  </si>
  <si>
    <t>F8VW41_PACS2</t>
  </si>
  <si>
    <t>F8VW96_CSRP2</t>
  </si>
  <si>
    <t>F8VWA6_MON2</t>
  </si>
  <si>
    <t>F8VWA9_ALG10B</t>
  </si>
  <si>
    <t>F8VX04_SLC38A1</t>
  </si>
  <si>
    <t>F8VXG7_SCAF11</t>
  </si>
  <si>
    <t>F8VY35_NAP1L1</t>
  </si>
  <si>
    <t>F8VYN9_ARL1</t>
  </si>
  <si>
    <t>F8VZA2_LETMD1</t>
  </si>
  <si>
    <t>F8VZJ2_NACA</t>
  </si>
  <si>
    <t>F8W031_</t>
  </si>
  <si>
    <t>F8W038_C17orf49</t>
  </si>
  <si>
    <t>F8W0Q9_PPHLN1</t>
  </si>
  <si>
    <t>F8W1P7_SLC11A2</t>
  </si>
  <si>
    <t>F8W1Q3_BTD</t>
  </si>
  <si>
    <t>F8W689_RFX5</t>
  </si>
  <si>
    <t>F8W6I7_HNRNPA1</t>
  </si>
  <si>
    <t>F8W726_UBAP2L</t>
  </si>
  <si>
    <t>F8W785_GOLIM4</t>
  </si>
  <si>
    <t>F8W7D0_PBLD</t>
  </si>
  <si>
    <t>F8W7D6_GPHN</t>
  </si>
  <si>
    <t>F8W7Q4_FAM162A</t>
  </si>
  <si>
    <t>F8W810_</t>
  </si>
  <si>
    <t>F8W8C2_VEZT</t>
  </si>
  <si>
    <t>F8W8D3_SLBP</t>
  </si>
  <si>
    <t>F8W8D8_PLS3</t>
  </si>
  <si>
    <t>F8W8E4_FAM179A</t>
  </si>
  <si>
    <t>F8W8H5_RAB24</t>
  </si>
  <si>
    <t>F8W8I6_TIA1</t>
  </si>
  <si>
    <t>F8W8M9_UNC13B</t>
  </si>
  <si>
    <t>F8W8P5_CADPS2</t>
  </si>
  <si>
    <t>F8W8Q9_STX5</t>
  </si>
  <si>
    <t>F8W930_IGF2BP2</t>
  </si>
  <si>
    <t>F8W946_FSD1L</t>
  </si>
  <si>
    <t>F8W998_CASK</t>
  </si>
  <si>
    <t>F8W9F9_WNK2</t>
  </si>
  <si>
    <t>F8W9I9_DYRK1A</t>
  </si>
  <si>
    <t>F8W9Q9_LENG8</t>
  </si>
  <si>
    <t>F8W9R9_MED24</t>
  </si>
  <si>
    <t>F8W9X7_CCDC93</t>
  </si>
  <si>
    <t>F8WAB8_SLC25A26</t>
  </si>
  <si>
    <t>F8WAD8_ADAM22</t>
  </si>
  <si>
    <t>F8WAK8_STAG2</t>
  </si>
  <si>
    <t>F8WB74_SEPW1</t>
  </si>
  <si>
    <t>F8WBK5_MRPL40</t>
  </si>
  <si>
    <t>F8WBV7_PLD1</t>
  </si>
  <si>
    <t>F8WBY6_GTPBP8</t>
  </si>
  <si>
    <t>F8WC89_SAC3D1</t>
  </si>
  <si>
    <t>F8WCF2_EIF4G1</t>
  </si>
  <si>
    <t>F8WCP6_KIF21A</t>
  </si>
  <si>
    <t>F8WCT2_FRMPD2</t>
  </si>
  <si>
    <t>F8WD04_ATL1</t>
  </si>
  <si>
    <t>F8WE42_NOL8</t>
  </si>
  <si>
    <t>F8WE91_DNMT3A</t>
  </si>
  <si>
    <t>F8WEA9_KSR1</t>
  </si>
  <si>
    <t>F8WEE4_ZFAND2B</t>
  </si>
  <si>
    <t>F8WF48_SEC62</t>
  </si>
  <si>
    <t>F8WF93_ALG3</t>
  </si>
  <si>
    <t>G3V0I5_NDUFV1</t>
  </si>
  <si>
    <t>G3V0I6_OTUD4</t>
  </si>
  <si>
    <t>G3V145_SDR16C5</t>
  </si>
  <si>
    <t>G3V1A6_GSDMD</t>
  </si>
  <si>
    <t>G3V1D3_DPP3</t>
  </si>
  <si>
    <t>G3V1K3_PON2</t>
  </si>
  <si>
    <t>G3V1P3_LOH12CR1</t>
  </si>
  <si>
    <t>G3V1R9_ISYNA1</t>
  </si>
  <si>
    <t>G3V1U0_ATF7IP</t>
  </si>
  <si>
    <t>G3V1U5_GOLT1B</t>
  </si>
  <si>
    <t>G3V1V1_ZCRB1</t>
  </si>
  <si>
    <t>G3V203_RPL18</t>
  </si>
  <si>
    <t>G3V207_TMCC3</t>
  </si>
  <si>
    <t>G3V238_METTL10</t>
  </si>
  <si>
    <t>G3V2F7_TMEM189</t>
  </si>
  <si>
    <t>G3V2U7_ACYP1</t>
  </si>
  <si>
    <t>G3V325_ATP5J2-PTCD1</t>
  </si>
  <si>
    <t>G3V379_FERMT2</t>
  </si>
  <si>
    <t>G3V394_MYO5A</t>
  </si>
  <si>
    <t>G3V3D2_SPATA7</t>
  </si>
  <si>
    <t>G3V3G9_DCAF8</t>
  </si>
  <si>
    <t>G3V3I4_NFKBIA</t>
  </si>
  <si>
    <t>G3V4E1_DGKA</t>
  </si>
  <si>
    <t>G3V4K3_VIPAS39</t>
  </si>
  <si>
    <t>G3V4W0_HNRNPC</t>
  </si>
  <si>
    <t>G3V529_DDX24</t>
  </si>
  <si>
    <t>G3V583_FAM177A1</t>
  </si>
  <si>
    <t>G3V599_CTAGE5</t>
  </si>
  <si>
    <t>G3V5E1_CCNK</t>
  </si>
  <si>
    <t>G3V5N8_ZFYVE1</t>
  </si>
  <si>
    <t>G3V5T0_GSTZ1</t>
  </si>
  <si>
    <t>G3V5T9_CDK2</t>
  </si>
  <si>
    <t>G3V5W1_WARS</t>
  </si>
  <si>
    <t>G3V5Z7_PSMA6</t>
  </si>
  <si>
    <t>G3XA81_TMEM48</t>
  </si>
  <si>
    <t>G3XAA0_ARID1B</t>
  </si>
  <si>
    <t>G3XAA2_MAP4K4</t>
  </si>
  <si>
    <t>G3XAB3_TTC17</t>
  </si>
  <si>
    <t>G3XAC1_SLC26A6</t>
  </si>
  <si>
    <t>G3XAD5_PTPRD</t>
  </si>
  <si>
    <t>G3XAH6_PAPOLA</t>
  </si>
  <si>
    <t>G3XAI2_LAMB1</t>
  </si>
  <si>
    <t>G3XAN4_TRAM1</t>
  </si>
  <si>
    <t>G3XAN8_TIMM8B</t>
  </si>
  <si>
    <t>G5E933_SBF1</t>
  </si>
  <si>
    <t>G5E975_SMARCB1</t>
  </si>
  <si>
    <t>G5E994_GPR107</t>
  </si>
  <si>
    <t>G5E9A6_USP11</t>
  </si>
  <si>
    <t>G5E9E7_TJP1</t>
  </si>
  <si>
    <t>G5E9P3_NKIRAS1</t>
  </si>
  <si>
    <t>G5E9V4_HPS3</t>
  </si>
  <si>
    <t>G5EA07_PWWP2A</t>
  </si>
  <si>
    <t>G5EA30_CELF1</t>
  </si>
  <si>
    <t>G8JL95_MAU2</t>
  </si>
  <si>
    <t>G8JL98_TDG</t>
  </si>
  <si>
    <t>G8JLB3_PUS1</t>
  </si>
  <si>
    <t>G8JLB6_HNRNPH1</t>
  </si>
  <si>
    <t>G8JLC4_SMPD4</t>
  </si>
  <si>
    <t>G8JLI5_WDR45</t>
  </si>
  <si>
    <t>G8JLI6_LEPREL2</t>
  </si>
  <si>
    <t>G8JLK4_TACC1</t>
  </si>
  <si>
    <t>G8JLL2_PPT2</t>
  </si>
  <si>
    <t>G8JLL7_MVB12B</t>
  </si>
  <si>
    <t>G8JLM6_TAF6</t>
  </si>
  <si>
    <t>G8JLQ3_BLOC1S1</t>
  </si>
  <si>
    <t>H0UI80_TH1L</t>
  </si>
  <si>
    <t>H0Y2S9_MPRIP</t>
  </si>
  <si>
    <t>H0Y327_MTHFD1L</t>
  </si>
  <si>
    <t>H0Y360_AMPD2</t>
  </si>
  <si>
    <t>H0Y362_SLC30A7</t>
  </si>
  <si>
    <t>H0Y3H2_ABCA3</t>
  </si>
  <si>
    <t>H0Y412_PRRC2B</t>
  </si>
  <si>
    <t>H0Y4G9_MYD88</t>
  </si>
  <si>
    <t>H0Y4W2_TRRAP</t>
  </si>
  <si>
    <t>H0Y4Y2_NAPEPLD</t>
  </si>
  <si>
    <t>H0Y530_PAEP</t>
  </si>
  <si>
    <t>H0Y5D5_CIZ1</t>
  </si>
  <si>
    <t>H0Y614_UFM1</t>
  </si>
  <si>
    <t>H0Y627_SNAP47</t>
  </si>
  <si>
    <t>H0Y6A0_ARFGAP3</t>
  </si>
  <si>
    <t>H0Y6I7_KDM6A</t>
  </si>
  <si>
    <t>H0Y6J0_NME4</t>
  </si>
  <si>
    <t>H0Y6K2_BRD2</t>
  </si>
  <si>
    <t>H0Y6K5_SP3</t>
  </si>
  <si>
    <t>H0Y742_SUN1</t>
  </si>
  <si>
    <t>H0Y7A7_CALM2</t>
  </si>
  <si>
    <t>H0Y7S3_ATP2B2</t>
  </si>
  <si>
    <t>H0Y7X5_PLXNB2</t>
  </si>
  <si>
    <t>H0Y858_</t>
  </si>
  <si>
    <t>H0Y882_FOXP1</t>
  </si>
  <si>
    <t>H0Y8C3_MTCH1</t>
  </si>
  <si>
    <t>H0Y8D0_TMEM222</t>
  </si>
  <si>
    <t>H0Y9D6_B4GALT7</t>
  </si>
  <si>
    <t>H0Y9T8_PRR5-ARHGAP8</t>
  </si>
  <si>
    <t>H0Y9X1_TMA16</t>
  </si>
  <si>
    <t>H0YA52_PCBD2</t>
  </si>
  <si>
    <t>H0YA80_UBE2B</t>
  </si>
  <si>
    <t>H0YAV1_RRM2B</t>
  </si>
  <si>
    <t>H0YB73_UBE2W</t>
  </si>
  <si>
    <t>H0YBC7_BNIP3L</t>
  </si>
  <si>
    <t>H0YBI6_TXNRD3</t>
  </si>
  <si>
    <t>H0YBN0_VPS37A</t>
  </si>
  <si>
    <t>H0YBP1_PTK2</t>
  </si>
  <si>
    <t>H0YBR0_TRAPPC9</t>
  </si>
  <si>
    <t>H0YBR2_ESRP1</t>
  </si>
  <si>
    <t>H0YBZ2_CD74</t>
  </si>
  <si>
    <t>H0YCY4_GLB1L2</t>
  </si>
  <si>
    <t>H0YD93_RUFY2</t>
  </si>
  <si>
    <t>H0YDK9_PPP6R3</t>
  </si>
  <si>
    <t>H0YDQ8_CRTC2</t>
  </si>
  <si>
    <t>H0YDU8_PPP5C</t>
  </si>
  <si>
    <t>H0YEB6_SSSCA1</t>
  </si>
  <si>
    <t>H0YEF3_RNASEH2C</t>
  </si>
  <si>
    <t>H0YEM6_PELI3</t>
  </si>
  <si>
    <t>H0YEP0_KAT5</t>
  </si>
  <si>
    <t>H0YEP5_SMPD1</t>
  </si>
  <si>
    <t>H0YGA7_CADM1</t>
  </si>
  <si>
    <t>H0YGF8_PLCD3</t>
  </si>
  <si>
    <t>H0YGR4_REXO2</t>
  </si>
  <si>
    <t>H0YGW5_LRP6</t>
  </si>
  <si>
    <t>H0YHG0_</t>
  </si>
  <si>
    <t>H0YI09_METTL7A</t>
  </si>
  <si>
    <t>H0YI20_OAS1</t>
  </si>
  <si>
    <t>H0YIE9_FBXO21</t>
  </si>
  <si>
    <t>H0YIV9_</t>
  </si>
  <si>
    <t>H0YJ17_NGDN</t>
  </si>
  <si>
    <t>H0YK61_EMC4</t>
  </si>
  <si>
    <t>H0YKD8_RPL28</t>
  </si>
  <si>
    <t>H0YKG9_EID1</t>
  </si>
  <si>
    <t>H0YL70_TLE3</t>
  </si>
  <si>
    <t>H0YLB5_POU2F1</t>
  </si>
  <si>
    <t>H0YLX2_RFX7</t>
  </si>
  <si>
    <t>H0YMB3_GMPR2</t>
  </si>
  <si>
    <t>H0YMG7_ALDH1A2</t>
  </si>
  <si>
    <t>H0YMI6_PSMA4</t>
  </si>
  <si>
    <t>H0YMJ0_MORF4L1</t>
  </si>
  <si>
    <t>H0YN78_C15orf57</t>
  </si>
  <si>
    <t>H0YNB6_PBX3</t>
  </si>
  <si>
    <t>H0YNE9_RAB8B</t>
  </si>
  <si>
    <t>H0YNG3_SEC11A</t>
  </si>
  <si>
    <t>H0YNH6_EMC9</t>
  </si>
  <si>
    <t>H0YNH8_UACA</t>
  </si>
  <si>
    <t>H0YNU5_BLM</t>
  </si>
  <si>
    <t>H3BLV0_CD55</t>
  </si>
  <si>
    <t>H3BLZ2_DBNDD1</t>
  </si>
  <si>
    <t>H3BLZ8_DDX17</t>
  </si>
  <si>
    <t>H3BM14_NUB1</t>
  </si>
  <si>
    <t>H3BM42_GLG1</t>
  </si>
  <si>
    <t>H3BM67_NOL3</t>
  </si>
  <si>
    <t>H3BM91_COMMD4</t>
  </si>
  <si>
    <t>H3BMF4_SPNS1</t>
  </si>
  <si>
    <t>H3BMM5_</t>
  </si>
  <si>
    <t>H3BMN1_C1orf63</t>
  </si>
  <si>
    <t>H3BMQ0_TSC2</t>
  </si>
  <si>
    <t>H3BN98_</t>
  </si>
  <si>
    <t>H3BNT4_MPHOSPH6</t>
  </si>
  <si>
    <t>H3BP13_TRAPPC2L</t>
  </si>
  <si>
    <t>H3BP20_HEXA</t>
  </si>
  <si>
    <t>H3BP28_COQ7</t>
  </si>
  <si>
    <t>H3BP77_TK2</t>
  </si>
  <si>
    <t>H3BPE1_MACF1</t>
  </si>
  <si>
    <t>H3BPJ7_TCF4</t>
  </si>
  <si>
    <t>H3BPL0_CLN3</t>
  </si>
  <si>
    <t>H3BPS8_ALDOA</t>
  </si>
  <si>
    <t>H3BQA0_SNAPC5</t>
  </si>
  <si>
    <t>H3BQA7_OBSCN</t>
  </si>
  <si>
    <t>H3BQQ9_UBE2I</t>
  </si>
  <si>
    <t>H3BQT8_TMEM170A</t>
  </si>
  <si>
    <t>H3BQV3_COG8</t>
  </si>
  <si>
    <t>H3BR01_SPINT1</t>
  </si>
  <si>
    <t>H3BR94_DCTN5</t>
  </si>
  <si>
    <t>H3BRF9_ZFYVE19</t>
  </si>
  <si>
    <t>H3BRL3_UBFD1</t>
  </si>
  <si>
    <t>H3BRN4_ABAT</t>
  </si>
  <si>
    <t>H3BRS1_NFATC3</t>
  </si>
  <si>
    <t>H3BRU1_FAM219B</t>
  </si>
  <si>
    <t>H3BRV0_EIF3C</t>
  </si>
  <si>
    <t>H3BRY6_VWA9</t>
  </si>
  <si>
    <t>H3BS09_CYLD</t>
  </si>
  <si>
    <t>H3BS42_ZNF768</t>
  </si>
  <si>
    <t>H3BS64_MSRB1</t>
  </si>
  <si>
    <t>H3BSM5_GABARAPL2</t>
  </si>
  <si>
    <t>H3BSM7_C16orf58</t>
  </si>
  <si>
    <t>H3BST1_BLOC1S6</t>
  </si>
  <si>
    <t>H3BSW6_CTU2</t>
  </si>
  <si>
    <t>H3BTL1_MAP1LC3B</t>
  </si>
  <si>
    <t>H3BTN5_PKM</t>
  </si>
  <si>
    <t>H3BTQ7_ORC6</t>
  </si>
  <si>
    <t>H3BTX0_</t>
  </si>
  <si>
    <t>H3BU23_CDR2</t>
  </si>
  <si>
    <t>H3BU49_ARL2BP</t>
  </si>
  <si>
    <t>H3BUJ1_ITFG1</t>
  </si>
  <si>
    <t>H3BUQ2_OGFOD1</t>
  </si>
  <si>
    <t>H3BV80_RNPS1</t>
  </si>
  <si>
    <t>H3BVI4_LMF1</t>
  </si>
  <si>
    <t>H6UMI1_GABARAP</t>
  </si>
  <si>
    <t>H7BXD5_GCA</t>
  </si>
  <si>
    <t>H7BXF5_SAP130</t>
  </si>
  <si>
    <t>H7BXH2_PPP6R3</t>
  </si>
  <si>
    <t>H7BXH9_METTL21A</t>
  </si>
  <si>
    <t>H7BXI1_ESYT2</t>
  </si>
  <si>
    <t>H7BXI5_ERGIC3</t>
  </si>
  <si>
    <t>H7BXL1_TMEM41A</t>
  </si>
  <si>
    <t>H7BXW7_MPC1</t>
  </si>
  <si>
    <t>H7BXY3_DHX30</t>
  </si>
  <si>
    <t>H7BY58_PCMT1</t>
  </si>
  <si>
    <t>H7BYE5_WRB</t>
  </si>
  <si>
    <t>H7BYJ1_RNF34</t>
  </si>
  <si>
    <t>H7BYQ6_INTS9</t>
  </si>
  <si>
    <t>H7BYY1_TPM1</t>
  </si>
  <si>
    <t>H7BZ70_KRTCAP3</t>
  </si>
  <si>
    <t>H7BZ94_P4HB</t>
  </si>
  <si>
    <t>H7BZJ3_PDIA3</t>
  </si>
  <si>
    <t>H7BZT4_</t>
  </si>
  <si>
    <t>H7C024_GPC1</t>
  </si>
  <si>
    <t>H7C091_RBKS</t>
  </si>
  <si>
    <t>H7C0G7_NHEJ1</t>
  </si>
  <si>
    <t>H7C0J0_CHL1</t>
  </si>
  <si>
    <t>H7C0N4_SF1</t>
  </si>
  <si>
    <t>H7C107_IQSEC1</t>
  </si>
  <si>
    <t>H7C155_RAF1</t>
  </si>
  <si>
    <t>H7C173_MZT2B</t>
  </si>
  <si>
    <t>H7C1F9_RALGAPA2</t>
  </si>
  <si>
    <t>H7C1I0_SLC35E1</t>
  </si>
  <si>
    <t>H7C1N3_BET1</t>
  </si>
  <si>
    <t>H7C1U3_CC2D1B</t>
  </si>
  <si>
    <t>H7C1U8_APOO</t>
  </si>
  <si>
    <t>H7C270_CTDSP1</t>
  </si>
  <si>
    <t>H7C285_TSPAN15</t>
  </si>
  <si>
    <t>H7C2U6_NIPSNAP1</t>
  </si>
  <si>
    <t>H7C2W9_RPL31</t>
  </si>
  <si>
    <t>H7C368_OSBP2</t>
  </si>
  <si>
    <t>H7C3G9_NAGK</t>
  </si>
  <si>
    <t>H7C3P4_GNS</t>
  </si>
  <si>
    <t>H7C3Q6_MITD1</t>
  </si>
  <si>
    <t>H7C3T2_ATG2A</t>
  </si>
  <si>
    <t>H7C3Z1_TTC3</t>
  </si>
  <si>
    <t>H7C417_</t>
  </si>
  <si>
    <t>H7C446_PPAN</t>
  </si>
  <si>
    <t>H7C484_ARV1</t>
  </si>
  <si>
    <t>H7C4K1_STK19</t>
  </si>
  <si>
    <t>H7C4W1_ITGB5</t>
  </si>
  <si>
    <t>H7C4X9_ZMYND8</t>
  </si>
  <si>
    <t>H7C5F7_NDFIP2</t>
  </si>
  <si>
    <t>H7C5G1_IAH1</t>
  </si>
  <si>
    <t>H7C5R4_GK5</t>
  </si>
  <si>
    <t>H7C5R8_PARP14</t>
  </si>
  <si>
    <t>H9KV70_LCN2</t>
  </si>
  <si>
    <t>H9KVB4_TNRC18</t>
  </si>
  <si>
    <t>H9KVB8_MICU1</t>
  </si>
  <si>
    <t>I3L097_</t>
  </si>
  <si>
    <t>I3L0B8_SLC25A52</t>
  </si>
  <si>
    <t>I3L0C1_SMG1</t>
  </si>
  <si>
    <t>I3L0K1_GOSR2</t>
  </si>
  <si>
    <t>I3L0N3_NSF</t>
  </si>
  <si>
    <t>I3L112_DGKE</t>
  </si>
  <si>
    <t>I3L1H5_DPH1</t>
  </si>
  <si>
    <t>I3L1P8_SLC25A11</t>
  </si>
  <si>
    <t>I3L1Q3_ELP5</t>
  </si>
  <si>
    <t>I3L2C7_GEMIN4</t>
  </si>
  <si>
    <t>I3L2H2_ZNF174</t>
  </si>
  <si>
    <t>I3L2J0_CIC</t>
  </si>
  <si>
    <t>I3L2J8_AZI1</t>
  </si>
  <si>
    <t>I3L2L5_FAM195B</t>
  </si>
  <si>
    <t>I3L2R4_SLC2A4</t>
  </si>
  <si>
    <t>I3L397_EIF5A</t>
  </si>
  <si>
    <t>I3L3A8_PELP1</t>
  </si>
  <si>
    <t>I3L3B4_</t>
  </si>
  <si>
    <t>I3L3P7_RPS15A</t>
  </si>
  <si>
    <t>I3L448_ATPAF1</t>
  </si>
  <si>
    <t>I3L4B1_MYL4</t>
  </si>
  <si>
    <t>I3L4X2_ABCC1</t>
  </si>
  <si>
    <t>I3L4X3_NFKBIB</t>
  </si>
  <si>
    <t>I3L505_NDUFAB1</t>
  </si>
  <si>
    <t>I3NI03_P4HB</t>
  </si>
  <si>
    <t>I6L8B7_FABP5</t>
  </si>
  <si>
    <t>J3KMW8_CACTIN</t>
  </si>
  <si>
    <t>J3KMX2_SMARCD2</t>
  </si>
  <si>
    <t>J3KMY5_NPC2</t>
  </si>
  <si>
    <t>J3KMZ8_DPF2</t>
  </si>
  <si>
    <t>J3KMZ9_LDLR</t>
  </si>
  <si>
    <t>J3KN00_NDUFA13</t>
  </si>
  <si>
    <t>J3KN16_KIAA0368</t>
  </si>
  <si>
    <t>J3KN27_FBRSL1</t>
  </si>
  <si>
    <t>J3KN29_PSMD9</t>
  </si>
  <si>
    <t>J3KN32_RCOR1</t>
  </si>
  <si>
    <t>J3KN39_NLRP2</t>
  </si>
  <si>
    <t>J3KN59_BNIP2</t>
  </si>
  <si>
    <t>J3KN66_TOR1AIP1</t>
  </si>
  <si>
    <t>J3KN67_TPM3</t>
  </si>
  <si>
    <t>J3KN69_NCEH1</t>
  </si>
  <si>
    <t>J3KN75_TBC1D8B</t>
  </si>
  <si>
    <t>J3KN82_APIP</t>
  </si>
  <si>
    <t>J3KNA0_OXA1L</t>
  </si>
  <si>
    <t>J3KNB8_MAP3K4</t>
  </si>
  <si>
    <t>J3KND1_SAAL1</t>
  </si>
  <si>
    <t>J3KND3_MYL6</t>
  </si>
  <si>
    <t>J3KND8_PAH</t>
  </si>
  <si>
    <t>J3KNF4_CCS</t>
  </si>
  <si>
    <t>J3KNF8_CYB5B</t>
  </si>
  <si>
    <t>J3KNI1_COG4</t>
  </si>
  <si>
    <t>J3KNL3_CHID1</t>
  </si>
  <si>
    <t>J3KNL6_SEC16A</t>
  </si>
  <si>
    <t>J3KNM5_YAF2</t>
  </si>
  <si>
    <t>J3KNN5_DDX41</t>
  </si>
  <si>
    <t>J3KNP4_SEMA4B</t>
  </si>
  <si>
    <t>J3KNR0_MARK3</t>
  </si>
  <si>
    <t>J3KNT4_FGFR1</t>
  </si>
  <si>
    <t>J3KNV1_ZNF292</t>
  </si>
  <si>
    <t>J3KNW7_CCDC41</t>
  </si>
  <si>
    <t>J3KNX9_MYO18A</t>
  </si>
  <si>
    <t>J3KP19_SIPA1L1</t>
  </si>
  <si>
    <t>J3KP22_PTPRA</t>
  </si>
  <si>
    <t>J3KP75_PHACTR2</t>
  </si>
  <si>
    <t>J3KPD3_RBM7</t>
  </si>
  <si>
    <t>J3KPF9_KIF3A</t>
  </si>
  <si>
    <t>J3KPH8_HDAC7</t>
  </si>
  <si>
    <t>J3KPJ3_CAMKK1</t>
  </si>
  <si>
    <t>J3KPL2_KDM1B</t>
  </si>
  <si>
    <t>J3KPS0_DNAJB12</t>
  </si>
  <si>
    <t>J3KPT0_DPP8</t>
  </si>
  <si>
    <t>J3KPT4_TRABD</t>
  </si>
  <si>
    <t>J3KPV1_CHCHD7</t>
  </si>
  <si>
    <t>J3KPV7_MPST</t>
  </si>
  <si>
    <t>J3KPW7_HDAC2</t>
  </si>
  <si>
    <t>J3KPY9_ANTXR2</t>
  </si>
  <si>
    <t>J3KPZ4_C1D</t>
  </si>
  <si>
    <t>J3KPZ8_RFXANK</t>
  </si>
  <si>
    <t>J3KQ32_OLA1</t>
  </si>
  <si>
    <t>J3KQ34_COPS7B</t>
  </si>
  <si>
    <t>J3KQ40_TBC1D8</t>
  </si>
  <si>
    <t>J3KQ48_PTRH2</t>
  </si>
  <si>
    <t>J3KQ88_C6orf203</t>
  </si>
  <si>
    <t>J3KQ98_PPP1R37</t>
  </si>
  <si>
    <t>J3KQA0_SYT1</t>
  </si>
  <si>
    <t>J3KQA6_CYTH2</t>
  </si>
  <si>
    <t>J3KQB0_THUMPD1</t>
  </si>
  <si>
    <t>J3KQE0_SUN2</t>
  </si>
  <si>
    <t>J3KQE5_RAN</t>
  </si>
  <si>
    <t>J3KQG4_GBA</t>
  </si>
  <si>
    <t>J3KQJ1_SUMF2</t>
  </si>
  <si>
    <t>J3KQL8_APOL2</t>
  </si>
  <si>
    <t>J3KQS6_BABAM1</t>
  </si>
  <si>
    <t>J3KQV0_CDKN1A</t>
  </si>
  <si>
    <t>J3KR33_MED19</t>
  </si>
  <si>
    <t>J3KR35_CCDC12</t>
  </si>
  <si>
    <t>J3KR86_GRAMD1A</t>
  </si>
  <si>
    <t>J3KR97_TBCD</t>
  </si>
  <si>
    <t>J3KRC8_C16orf55</t>
  </si>
  <si>
    <t>J3KRG2_GSDMA</t>
  </si>
  <si>
    <t>J3KRP6_SS18</t>
  </si>
  <si>
    <t>J3KS05_CBX1</t>
  </si>
  <si>
    <t>J3KS15_ICT1</t>
  </si>
  <si>
    <t>J3KS94_MBP</t>
  </si>
  <si>
    <t>J3KSJ7_CHTF8</t>
  </si>
  <si>
    <t>J3KSS7_GGA3</t>
  </si>
  <si>
    <t>J3KTA1_FBXL20</t>
  </si>
  <si>
    <t>J3KTA4_DDX5</t>
  </si>
  <si>
    <t>J3KTD2_RTTN</t>
  </si>
  <si>
    <t>J3KTE9_CDH3</t>
  </si>
  <si>
    <t>J3KTL2_SRSF1</t>
  </si>
  <si>
    <t>J3QK89_CHERP</t>
  </si>
  <si>
    <t>J3QK90_NSFL1C</t>
  </si>
  <si>
    <t>J3QKS7_SMARCE1</t>
  </si>
  <si>
    <t>J3QL56_SCO1</t>
  </si>
  <si>
    <t>J3QL71_SCRN2</t>
  </si>
  <si>
    <t>J3QLB2_SLC39A11</t>
  </si>
  <si>
    <t>J3QLM0_CD7</t>
  </si>
  <si>
    <t>J3QLS3_MRPS7</t>
  </si>
  <si>
    <t>J3QLV8_SNX11</t>
  </si>
  <si>
    <t>J3QQJ0_SAP30BP</t>
  </si>
  <si>
    <t>J3QQJ5_TRAPPC8</t>
  </si>
  <si>
    <t>J3QQT2_RPL17</t>
  </si>
  <si>
    <t>J3QQW9_SUZ12</t>
  </si>
  <si>
    <t>J3QR07_YTHDC1</t>
  </si>
  <si>
    <t>J3QR09_RPL19</t>
  </si>
  <si>
    <t>J3QRM9_ORMDL3</t>
  </si>
  <si>
    <t>J3QRS3_MYL12A</t>
  </si>
  <si>
    <t>J3QRS9_ZNF207</t>
  </si>
  <si>
    <t>J3QRU1_YES1</t>
  </si>
  <si>
    <t>J3QRU4_VAMP2</t>
  </si>
  <si>
    <t>J3QRV5_LLGL2</t>
  </si>
  <si>
    <t>J3QRX6_COPRS</t>
  </si>
  <si>
    <t>J3QS41_HELZ</t>
  </si>
  <si>
    <t>J3QS47_CYB561</t>
  </si>
  <si>
    <t>J3QSE8_BRIP1</t>
  </si>
  <si>
    <t>J3QSH4_VEZF1</t>
  </si>
  <si>
    <t>J3QSS3_ABCA2</t>
  </si>
  <si>
    <t>J3QSV6_RSL1D1</t>
  </si>
  <si>
    <t>J3QSW3_ZFP62</t>
  </si>
  <si>
    <t>J3QT87_CRBN</t>
  </si>
  <si>
    <t>J3QTA2_BAG1</t>
  </si>
  <si>
    <t>J3QTA6_CHCHD6</t>
  </si>
  <si>
    <t>J9JIC5_C17orf75</t>
  </si>
  <si>
    <t>J9JID7_LMNB2</t>
  </si>
  <si>
    <t>J9JID9_PITPNC1</t>
  </si>
  <si>
    <t>J9JIE6_TMCO1</t>
  </si>
  <si>
    <t>K4DI92_RWDD4</t>
  </si>
  <si>
    <t>K4DI93_CUL4B</t>
  </si>
  <si>
    <t>K7EID0_MLX</t>
  </si>
  <si>
    <t>K7EIG1_CLUH</t>
  </si>
  <si>
    <t>K7EIG5_LOC440335</t>
  </si>
  <si>
    <t>K7EIJ0_WBP2</t>
  </si>
  <si>
    <t>K7EIN2_NUDT16L1</t>
  </si>
  <si>
    <t>K7EIP7_YIPF2</t>
  </si>
  <si>
    <t>K7EIU8_SMAD4</t>
  </si>
  <si>
    <t>K7EIY4_STX10</t>
  </si>
  <si>
    <t>K7EJ08_SEC14L1</t>
  </si>
  <si>
    <t>K7EJ78_RPS15</t>
  </si>
  <si>
    <t>K7EJB9_CALR</t>
  </si>
  <si>
    <t>K7EJL1_AP1M1</t>
  </si>
  <si>
    <t>K7EJQ7_SEC11C</t>
  </si>
  <si>
    <t>K7EK00_FAM210A</t>
  </si>
  <si>
    <t>K7EK07_H3F3B</t>
  </si>
  <si>
    <t>K7EKA0_FOSB</t>
  </si>
  <si>
    <t>K7EKE6_LONP1</t>
  </si>
  <si>
    <t>K7EKI0_EVPL</t>
  </si>
  <si>
    <t>K7EKI4_MRPL4</t>
  </si>
  <si>
    <t>K7EKI8_PPL</t>
  </si>
  <si>
    <t>K7EKW3_TMUB2</t>
  </si>
  <si>
    <t>K7EL21_CAPS</t>
  </si>
  <si>
    <t>K7EL68_CDC37</t>
  </si>
  <si>
    <t>K7ELL7_PRKCSH</t>
  </si>
  <si>
    <t>K7EM02_KATNAL2</t>
  </si>
  <si>
    <t>K7EM09_TMEM205</t>
  </si>
  <si>
    <t>K7EM88_UBALD1</t>
  </si>
  <si>
    <t>K7EMM8_GLYR1</t>
  </si>
  <si>
    <t>K7EMR7_RTN2</t>
  </si>
  <si>
    <t>K7EMV5_ZNF444</t>
  </si>
  <si>
    <t>K7EN05_ELOF1</t>
  </si>
  <si>
    <t>K7EN88_hCG_2039718</t>
  </si>
  <si>
    <t>K7ENC0_FUT5</t>
  </si>
  <si>
    <t>K7ENF0_NARS</t>
  </si>
  <si>
    <t>K7ENL9_C18orf8</t>
  </si>
  <si>
    <t>K7ENR6_PSMG2</t>
  </si>
  <si>
    <t>K7ENW2_ZNF286A</t>
  </si>
  <si>
    <t>K7EP31_ATP5SL</t>
  </si>
  <si>
    <t>K7EP32_UBXN6</t>
  </si>
  <si>
    <t>K7EP90_RBM42</t>
  </si>
  <si>
    <t>K7EPJ5_MGRN1</t>
  </si>
  <si>
    <t>K7EPV6_SLC44A2</t>
  </si>
  <si>
    <t>K7EPX7_MOB3A</t>
  </si>
  <si>
    <t>K7EQ34_TMEM161A</t>
  </si>
  <si>
    <t>K7EQH5_AES</t>
  </si>
  <si>
    <t>K7EQW8_TPM4</t>
  </si>
  <si>
    <t>K7ER00_FARSA</t>
  </si>
  <si>
    <t>K7ER74_APOC2</t>
  </si>
  <si>
    <t>K7ERF1_EIF3K</t>
  </si>
  <si>
    <t>K7ES11_UBE2O</t>
  </si>
  <si>
    <t>K7ESE3_RAD23A</t>
  </si>
  <si>
    <t>K7ESE6_G6PC3</t>
  </si>
  <si>
    <t>K7ESI9_DNM2</t>
  </si>
  <si>
    <t>M0QWZ7_SARS2</t>
  </si>
  <si>
    <t>M0QX35_PAF1</t>
  </si>
  <si>
    <t>M0QXA7_WIZ</t>
  </si>
  <si>
    <t>M0QXT0_USF2</t>
  </si>
  <si>
    <t>M0QXZ5_ZNF428</t>
  </si>
  <si>
    <t>M0QY01_EPS15L1</t>
  </si>
  <si>
    <t>M0QY29_LIPE</t>
  </si>
  <si>
    <t>M0QY76_ZFP36</t>
  </si>
  <si>
    <t>M0QYH5_MPV17L2</t>
  </si>
  <si>
    <t>M0QYJ8_GMFG</t>
  </si>
  <si>
    <t>M0QYM7_TUBB4A</t>
  </si>
  <si>
    <t>M0QYS1_RPL13A</t>
  </si>
  <si>
    <t>M0QZ22_SAMD4B</t>
  </si>
  <si>
    <t>M0QZL8_JOSD2</t>
  </si>
  <si>
    <t>M0QZM1_HNRNPM</t>
  </si>
  <si>
    <t>M0QZR4_ARHGEF1</t>
  </si>
  <si>
    <t>M0QZW1_PRKD2</t>
  </si>
  <si>
    <t>M0R042_TUBB4A</t>
  </si>
  <si>
    <t>M0R0B4_KXD1</t>
  </si>
  <si>
    <t>M0R0E9_SPHK2</t>
  </si>
  <si>
    <t>M0R0F0_RPS5</t>
  </si>
  <si>
    <t>M0R0N4_AP2S1</t>
  </si>
  <si>
    <t>M0R150_</t>
  </si>
  <si>
    <t>M0R226_MRPL34</t>
  </si>
  <si>
    <t>M0R2A0_EMC10</t>
  </si>
  <si>
    <t>M0R2B7_POLD1</t>
  </si>
  <si>
    <t>M0R2C4_LSR</t>
  </si>
  <si>
    <t>M0R2Z1_CGB1</t>
  </si>
  <si>
    <t>M0R2Z9_SUGP2</t>
  </si>
  <si>
    <t>M0R328_PEX11G</t>
  </si>
  <si>
    <t>M0R366_FSD1</t>
  </si>
  <si>
    <t>M0R3D4_RABAC1</t>
  </si>
  <si>
    <t>O00116_AGPS</t>
  </si>
  <si>
    <t>O00139-2_KIF2A</t>
  </si>
  <si>
    <t>O00148_DDX39A</t>
  </si>
  <si>
    <t>O00151_PDLIM1</t>
  </si>
  <si>
    <t>O00154_ACOT7</t>
  </si>
  <si>
    <t>O00159_MYO1C</t>
  </si>
  <si>
    <t>O00161_SNAP23</t>
  </si>
  <si>
    <t>O00165-5_HAX1</t>
  </si>
  <si>
    <t>O00170_AIP</t>
  </si>
  <si>
    <t>O00178_GTPBP1</t>
  </si>
  <si>
    <t>O00186_STXBP3</t>
  </si>
  <si>
    <t>O00203_AP3B1</t>
  </si>
  <si>
    <t>O00217_NDUFS8</t>
  </si>
  <si>
    <t>O00220_TNFRSF10A</t>
  </si>
  <si>
    <t>O00221_NFKBIE</t>
  </si>
  <si>
    <t>O00231_PSMD11</t>
  </si>
  <si>
    <t>O00232_PSMD12</t>
  </si>
  <si>
    <t>O00244_ATOX1</t>
  </si>
  <si>
    <t>O00257_CBX4</t>
  </si>
  <si>
    <t>O00264_PGRMC1</t>
  </si>
  <si>
    <t>O00267-2_SUPT5H</t>
  </si>
  <si>
    <t>O00273_DFFA</t>
  </si>
  <si>
    <t>O00273-2_DFFA</t>
  </si>
  <si>
    <t>O00287_RFXAP</t>
  </si>
  <si>
    <t>O00291_HIP1</t>
  </si>
  <si>
    <t>O00299_CLIC1</t>
  </si>
  <si>
    <t>O00300_TNFRSF11B</t>
  </si>
  <si>
    <t>O00308_WWP2</t>
  </si>
  <si>
    <t>O00330_PDHX</t>
  </si>
  <si>
    <t>O00391_QSOX1</t>
  </si>
  <si>
    <t>O00399_DCTN6</t>
  </si>
  <si>
    <t>O00400_SLC33A1</t>
  </si>
  <si>
    <t>O00401_WASL</t>
  </si>
  <si>
    <t>O00410_IPO5</t>
  </si>
  <si>
    <t>O00422_SAP18</t>
  </si>
  <si>
    <t>O00429-3_DNM1L</t>
  </si>
  <si>
    <t>O00429-4_DNM1L</t>
  </si>
  <si>
    <t>O00442_RTCA</t>
  </si>
  <si>
    <t>O00443_PIK3C2A</t>
  </si>
  <si>
    <t>O00459_PIK3R2</t>
  </si>
  <si>
    <t>O00462_MANBA</t>
  </si>
  <si>
    <t>O00463_TRAF5</t>
  </si>
  <si>
    <t>O00468-6_AGRN</t>
  </si>
  <si>
    <t>O00469_PLOD2</t>
  </si>
  <si>
    <t>O00469-2_PLOD2</t>
  </si>
  <si>
    <t>O00471_EXOC5</t>
  </si>
  <si>
    <t>O00479_HMGN4</t>
  </si>
  <si>
    <t>O00483_NDUFA4</t>
  </si>
  <si>
    <t>O00487_PSMD14</t>
  </si>
  <si>
    <t>O00488_ZNF593</t>
  </si>
  <si>
    <t>O00505_KPNA3</t>
  </si>
  <si>
    <t>O00506_STK25</t>
  </si>
  <si>
    <t>O00512_BCL9</t>
  </si>
  <si>
    <t>O00515_LAD1</t>
  </si>
  <si>
    <t>O00533-2_CHL1</t>
  </si>
  <si>
    <t>O00534_VWA5A</t>
  </si>
  <si>
    <t>O00560_SDCBP</t>
  </si>
  <si>
    <t>O00562-2_PITPNM1</t>
  </si>
  <si>
    <t>O00566_MPHOSPH10</t>
  </si>
  <si>
    <t>O00567_NOP56</t>
  </si>
  <si>
    <t>O00571_DDX3X</t>
  </si>
  <si>
    <t>O00625_PIR</t>
  </si>
  <si>
    <t>O00629_KPNA4</t>
  </si>
  <si>
    <t>O00743_PPP6C</t>
  </si>
  <si>
    <t>O00748_CES2</t>
  </si>
  <si>
    <t>O00754-2_MAN2B1</t>
  </si>
  <si>
    <t>O00757_FBP2</t>
  </si>
  <si>
    <t>O00762-2_UBE2C</t>
  </si>
  <si>
    <t>O00764_PDXK</t>
  </si>
  <si>
    <t>O00767_SCD</t>
  </si>
  <si>
    <t>O14497_ARID1A</t>
  </si>
  <si>
    <t>O14503_BHLHE40</t>
  </si>
  <si>
    <t>O14519-2_CDK2AP1</t>
  </si>
  <si>
    <t>O14523_C2CD2L</t>
  </si>
  <si>
    <t>O14524-2_TMEM194A</t>
  </si>
  <si>
    <t>O14545_TRAFD1</t>
  </si>
  <si>
    <t>O14548_COX7A2L</t>
  </si>
  <si>
    <t>O14556_GAPDHS</t>
  </si>
  <si>
    <t>O14561_NDUFAB1</t>
  </si>
  <si>
    <t>O14578-4_CIT</t>
  </si>
  <si>
    <t>O14579_COPE</t>
  </si>
  <si>
    <t>O14617_AP3D1</t>
  </si>
  <si>
    <t>O14656_TOR1A</t>
  </si>
  <si>
    <t>O14657_TOR1B</t>
  </si>
  <si>
    <t>O14662-2_STX16</t>
  </si>
  <si>
    <t>O14672_ADAM10</t>
  </si>
  <si>
    <t>O14686_MLL2</t>
  </si>
  <si>
    <t>O14732_IMPA2</t>
  </si>
  <si>
    <t>O14733_MAP2K7</t>
  </si>
  <si>
    <t>O14734_ACOT8</t>
  </si>
  <si>
    <t>O14737_PDCD5</t>
  </si>
  <si>
    <t>O14744_PRMT5</t>
  </si>
  <si>
    <t>O14745_SLC9A3R1</t>
  </si>
  <si>
    <t>O14757_CHEK1</t>
  </si>
  <si>
    <t>O14763-2_TNFRSF10B</t>
  </si>
  <si>
    <t>O14772_FPGT</t>
  </si>
  <si>
    <t>O14773_TPP1</t>
  </si>
  <si>
    <t>O14776-2_TCERG1</t>
  </si>
  <si>
    <t>O14777_NDC80</t>
  </si>
  <si>
    <t>O14787-2_TNPO2</t>
  </si>
  <si>
    <t>O14802_POLR3A</t>
  </si>
  <si>
    <t>O14818_PSMA7</t>
  </si>
  <si>
    <t>O14828_SCAMP3</t>
  </si>
  <si>
    <t>O14841_OPLAH</t>
  </si>
  <si>
    <t>O14867_BACH1</t>
  </si>
  <si>
    <t>O14874_BCKDK</t>
  </si>
  <si>
    <t>O14896_IRF6</t>
  </si>
  <si>
    <t>O14907_TAX1BP3</t>
  </si>
  <si>
    <t>O14908_GIPC1</t>
  </si>
  <si>
    <t>O14920_IKBKB</t>
  </si>
  <si>
    <t>O14925_TIMM23</t>
  </si>
  <si>
    <t>O14929_HAT1</t>
  </si>
  <si>
    <t>O14933_UBE2L6</t>
  </si>
  <si>
    <t>O14949_UQCRQ</t>
  </si>
  <si>
    <t>O14964_HGS</t>
  </si>
  <si>
    <t>O14965_AURKA</t>
  </si>
  <si>
    <t>O14974_PPP1R12A</t>
  </si>
  <si>
    <t>O14975-2_SLC27A2</t>
  </si>
  <si>
    <t>O14976_GAK</t>
  </si>
  <si>
    <t>O14979-3_HNRPDL</t>
  </si>
  <si>
    <t>O14980_XPO1</t>
  </si>
  <si>
    <t>O14981_BTAF1</t>
  </si>
  <si>
    <t>O15014_ZNF609</t>
  </si>
  <si>
    <t>O15015_ZNF646</t>
  </si>
  <si>
    <t>O15020_SPTBN2</t>
  </si>
  <si>
    <t>O15031_PLXNB2</t>
  </si>
  <si>
    <t>O15034_RIMBP2</t>
  </si>
  <si>
    <t>O15040_TECPR2</t>
  </si>
  <si>
    <t>O15066_KIF3B</t>
  </si>
  <si>
    <t>O15067_PFAS</t>
  </si>
  <si>
    <t>O15075-4_DCLK1</t>
  </si>
  <si>
    <t>O15084_ANKRD28</t>
  </si>
  <si>
    <t>O15091-2_KIAA0391</t>
  </si>
  <si>
    <t>O15116_LSM1</t>
  </si>
  <si>
    <t>O15118_NPC1</t>
  </si>
  <si>
    <t>O15121_DEGS1</t>
  </si>
  <si>
    <t>O15126_SCAMP1</t>
  </si>
  <si>
    <t>O15127_SCAMP2</t>
  </si>
  <si>
    <t>O15143_ARPC1B</t>
  </si>
  <si>
    <t>O15144_ARPC2</t>
  </si>
  <si>
    <t>O15145_ARPC3</t>
  </si>
  <si>
    <t>O15156_ZBTB7B</t>
  </si>
  <si>
    <t>O15160_POLR1C</t>
  </si>
  <si>
    <t>O15169-2_AXIN1</t>
  </si>
  <si>
    <t>O15173_PGRMC2</t>
  </si>
  <si>
    <t>O15211_RGL2</t>
  </si>
  <si>
    <t>O15212_PFDN6</t>
  </si>
  <si>
    <t>O15213_WDR46</t>
  </si>
  <si>
    <t>O15228_GNPAT</t>
  </si>
  <si>
    <t>O15230_LAMA5</t>
  </si>
  <si>
    <t>O15234_CASC3</t>
  </si>
  <si>
    <t>O15235_MRPS12</t>
  </si>
  <si>
    <t>O15239_NDUFA1</t>
  </si>
  <si>
    <t>O15240_VGF</t>
  </si>
  <si>
    <t>O15258_RER1</t>
  </si>
  <si>
    <t>O15264_MAPK13</t>
  </si>
  <si>
    <t>O15269_SPTLC1</t>
  </si>
  <si>
    <t>O15270_SPTLC2</t>
  </si>
  <si>
    <t>O15294_OGT</t>
  </si>
  <si>
    <t>O15305_PMM2</t>
  </si>
  <si>
    <t>O15327_INPP4B</t>
  </si>
  <si>
    <t>O15344_MID1</t>
  </si>
  <si>
    <t>O15355_PPM1G</t>
  </si>
  <si>
    <t>O15357_INPPL1</t>
  </si>
  <si>
    <t>O15379_HDAC3</t>
  </si>
  <si>
    <t>O15382_BCAT2</t>
  </si>
  <si>
    <t>O15397_IPO8</t>
  </si>
  <si>
    <t>O15400-2_STX7</t>
  </si>
  <si>
    <t>O15427_SLC16A3</t>
  </si>
  <si>
    <t>O15431_SLC31A1</t>
  </si>
  <si>
    <t>O15439-2_ABCC4</t>
  </si>
  <si>
    <t>O15446_CD3EAP</t>
  </si>
  <si>
    <t>O15460-2_P4HA2</t>
  </si>
  <si>
    <t>O15498_YKT6</t>
  </si>
  <si>
    <t>O15511_ARPC5</t>
  </si>
  <si>
    <t>O15514_POLR2D</t>
  </si>
  <si>
    <t>O15541_RNF113A</t>
  </si>
  <si>
    <t>O15551_CLDN3</t>
  </si>
  <si>
    <t>O43143_DHX15</t>
  </si>
  <si>
    <t>O43148_RNMT</t>
  </si>
  <si>
    <t>O43149_ZZEF1</t>
  </si>
  <si>
    <t>O43150-2_ASAP2</t>
  </si>
  <si>
    <t>O43156_TTI1</t>
  </si>
  <si>
    <t>O43157-2_PLXNB1</t>
  </si>
  <si>
    <t>O43164-2_PJA2</t>
  </si>
  <si>
    <t>O43172-2_PRPF4</t>
  </si>
  <si>
    <t>O43175_PHGDH</t>
  </si>
  <si>
    <t>O43181_NDUFS4</t>
  </si>
  <si>
    <t>O43237_DYNC1LI2</t>
  </si>
  <si>
    <t>O43242_PSMD3</t>
  </si>
  <si>
    <t>O43251-6_RBFOX2</t>
  </si>
  <si>
    <t>O43252_PAPSS1</t>
  </si>
  <si>
    <t>O43264_ZW10</t>
  </si>
  <si>
    <t>O43278-2_SPINT1</t>
  </si>
  <si>
    <t>O43286_B4GALT5</t>
  </si>
  <si>
    <t>O43290_SART1</t>
  </si>
  <si>
    <t>O43291_SPINT2</t>
  </si>
  <si>
    <t>O43292_GPAA1</t>
  </si>
  <si>
    <t>O43293_DAPK3</t>
  </si>
  <si>
    <t>O43298_ZBTB43</t>
  </si>
  <si>
    <t>O43299_AP5Z1</t>
  </si>
  <si>
    <t>O43310_CTIF</t>
  </si>
  <si>
    <t>O43314-2_PPIP5K2</t>
  </si>
  <si>
    <t>O43318-2_MAP3K7</t>
  </si>
  <si>
    <t>O43325_LYRM1</t>
  </si>
  <si>
    <t>O43353_RIPK2</t>
  </si>
  <si>
    <t>O43379_WDR62</t>
  </si>
  <si>
    <t>O43390_HNRNPR</t>
  </si>
  <si>
    <t>O43395_PRPF3</t>
  </si>
  <si>
    <t>O43396_TXNL1</t>
  </si>
  <si>
    <t>O43399-4_TPD52L2</t>
  </si>
  <si>
    <t>O43399-5_TPD52L2</t>
  </si>
  <si>
    <t>O43402_EMC8</t>
  </si>
  <si>
    <t>O43422_PRKRIR</t>
  </si>
  <si>
    <t>O43427-2_FIBP</t>
  </si>
  <si>
    <t>O43432_EIF4G3</t>
  </si>
  <si>
    <t>O43439-2_CBFA2T2</t>
  </si>
  <si>
    <t>O43464-3_HTRA2</t>
  </si>
  <si>
    <t>O43474-1_KLF4</t>
  </si>
  <si>
    <t>O43482_OIP5</t>
  </si>
  <si>
    <t>O43488_AKR7A2</t>
  </si>
  <si>
    <t>O43490-4_PROM1</t>
  </si>
  <si>
    <t>O43493-4_TGOLN2</t>
  </si>
  <si>
    <t>O43502_RAD51C</t>
  </si>
  <si>
    <t>O43504_LAMTOR5</t>
  </si>
  <si>
    <t>O43505_B3GNT1</t>
  </si>
  <si>
    <t>O43513_MED7</t>
  </si>
  <si>
    <t>O43520_ATP8B1</t>
  </si>
  <si>
    <t>O43524_FOXO3</t>
  </si>
  <si>
    <t>O43542_XRCC3</t>
  </si>
  <si>
    <t>O43567_RNF13</t>
  </si>
  <si>
    <t>O43583_DENR</t>
  </si>
  <si>
    <t>O43592_XPOT</t>
  </si>
  <si>
    <t>O43597_SPRY2</t>
  </si>
  <si>
    <t>O43598_DNPH1</t>
  </si>
  <si>
    <t>O43615_TIMM44</t>
  </si>
  <si>
    <t>O43617_TRAPPC3</t>
  </si>
  <si>
    <t>O43633_CHMP2A</t>
  </si>
  <si>
    <t>O43639_NCK2</t>
  </si>
  <si>
    <t>O43657_TSPAN6</t>
  </si>
  <si>
    <t>O43663-2_PRC1</t>
  </si>
  <si>
    <t>O43676_NDUFB3</t>
  </si>
  <si>
    <t>O43677_NDUFC1</t>
  </si>
  <si>
    <t>O43678_NDUFA2</t>
  </si>
  <si>
    <t>O43681_ASNA1</t>
  </si>
  <si>
    <t>O43684_BUB3</t>
  </si>
  <si>
    <t>O43707_ACTN4</t>
  </si>
  <si>
    <t>O43709_WBSCR22</t>
  </si>
  <si>
    <t>O43715_TRIAP1</t>
  </si>
  <si>
    <t>O43719_HTATSF1</t>
  </si>
  <si>
    <t>O43752_STX6</t>
  </si>
  <si>
    <t>O43760_SYNGR2</t>
  </si>
  <si>
    <t>O43765_SGTA</t>
  </si>
  <si>
    <t>O43766_LIAS</t>
  </si>
  <si>
    <t>O43768-2_ENSA</t>
  </si>
  <si>
    <t>O43772_SLC25A20</t>
  </si>
  <si>
    <t>O43776_NARS</t>
  </si>
  <si>
    <t>O43805_SSNA1</t>
  </si>
  <si>
    <t>O43809_NUDT21</t>
  </si>
  <si>
    <t>O43813_LANCL1</t>
  </si>
  <si>
    <t>O43815_STRN</t>
  </si>
  <si>
    <t>O43818_RRP9</t>
  </si>
  <si>
    <t>O43819_SCO2</t>
  </si>
  <si>
    <t>O43820-4_HYAL3</t>
  </si>
  <si>
    <t>O43823_AKAP8</t>
  </si>
  <si>
    <t>O43824_GTPBP6</t>
  </si>
  <si>
    <t>O43826_SLC37A4</t>
  </si>
  <si>
    <t>O43829_ZBTB14</t>
  </si>
  <si>
    <t>O43837_IDH3B</t>
  </si>
  <si>
    <t>O43852_CALU</t>
  </si>
  <si>
    <t>O43865_AHCYL1</t>
  </si>
  <si>
    <t>O43909_EXTL3</t>
  </si>
  <si>
    <t>O43913_ORC5</t>
  </si>
  <si>
    <t>O43920_NDUFS5</t>
  </si>
  <si>
    <t>O43924_PDE6D</t>
  </si>
  <si>
    <t>O43933_PEX1</t>
  </si>
  <si>
    <t>O60216_RAD21</t>
  </si>
  <si>
    <t>O60218_AKR1B10</t>
  </si>
  <si>
    <t>O60220_TIMM8A</t>
  </si>
  <si>
    <t>O60231_DHX16</t>
  </si>
  <si>
    <t>O60256_PRPSAP2</t>
  </si>
  <si>
    <t>O60264_SMARCA5</t>
  </si>
  <si>
    <t>O60271-4_SPAG9</t>
  </si>
  <si>
    <t>O60292_SIPA1L3</t>
  </si>
  <si>
    <t>O60294_LCMT2</t>
  </si>
  <si>
    <t>O60306_AQR</t>
  </si>
  <si>
    <t>O60313-2_OPA1</t>
  </si>
  <si>
    <t>O60333-2_KIF1B</t>
  </si>
  <si>
    <t>O60341_KDM1A</t>
  </si>
  <si>
    <t>O60343-2_TBC1D4</t>
  </si>
  <si>
    <t>O60344-4_ECE2</t>
  </si>
  <si>
    <t>O60346_PHLPP1</t>
  </si>
  <si>
    <t>O60347_TBC1D12</t>
  </si>
  <si>
    <t>O60353-2_FZD6</t>
  </si>
  <si>
    <t>O60427_FADS1</t>
  </si>
  <si>
    <t>O60449-2_LY75</t>
  </si>
  <si>
    <t>O60476_MAN1A2</t>
  </si>
  <si>
    <t>O60486_PLXNC1</t>
  </si>
  <si>
    <t>O60487_MPZL2</t>
  </si>
  <si>
    <t>O60488-2_ACSL4</t>
  </si>
  <si>
    <t>O60493_SNX3</t>
  </si>
  <si>
    <t>O60502_MGEA5</t>
  </si>
  <si>
    <t>O60504-2_SORBS3</t>
  </si>
  <si>
    <t>O60506-3_SYNCRIP</t>
  </si>
  <si>
    <t>O60507_TPST1</t>
  </si>
  <si>
    <t>O60508_CDC40</t>
  </si>
  <si>
    <t>O60518_RANBP6</t>
  </si>
  <si>
    <t>O60524-4_NEMF</t>
  </si>
  <si>
    <t>O60547_GMDS</t>
  </si>
  <si>
    <t>O60551_NMT2</t>
  </si>
  <si>
    <t>O60563_CCNT1</t>
  </si>
  <si>
    <t>O60566-3_BUB1B</t>
  </si>
  <si>
    <t>O60568_PLOD3</t>
  </si>
  <si>
    <t>O60573_EIF4E2</t>
  </si>
  <si>
    <t>O60613_SEP15</t>
  </si>
  <si>
    <t>O60645-3_EXOC3</t>
  </si>
  <si>
    <t>O60662_KLHL41</t>
  </si>
  <si>
    <t>O60664_PLIN3</t>
  </si>
  <si>
    <t>O60671_RAD1</t>
  </si>
  <si>
    <t>O60678_PRMT3</t>
  </si>
  <si>
    <t>O60701_UGDH</t>
  </si>
  <si>
    <t>O60704_TPST2</t>
  </si>
  <si>
    <t>O60716-5_CTNND1</t>
  </si>
  <si>
    <t>O60725_ICMT</t>
  </si>
  <si>
    <t>O60733-2_PLA2G6</t>
  </si>
  <si>
    <t>O60739_EIF1B</t>
  </si>
  <si>
    <t>O60749_SNX2</t>
  </si>
  <si>
    <t>O60763_USO1</t>
  </si>
  <si>
    <t>O60825-2_PFKFB2</t>
  </si>
  <si>
    <t>O60828_PQBP1</t>
  </si>
  <si>
    <t>O60830_TIMM17B</t>
  </si>
  <si>
    <t>O60831_PRAF2</t>
  </si>
  <si>
    <t>O60832_DKC1</t>
  </si>
  <si>
    <t>O60841_EIF5B</t>
  </si>
  <si>
    <t>O60869_EDF1</t>
  </si>
  <si>
    <t>O60870_KIN</t>
  </si>
  <si>
    <t>O60884_DNAJA2</t>
  </si>
  <si>
    <t>O60885_BRD4</t>
  </si>
  <si>
    <t>O60888-3_CUTA</t>
  </si>
  <si>
    <t>O60906_SMPD2</t>
  </si>
  <si>
    <t>O60911_CTSL2</t>
  </si>
  <si>
    <t>O60925_PFDN1</t>
  </si>
  <si>
    <t>O60927_PPP1R11</t>
  </si>
  <si>
    <t>O60934_NBN</t>
  </si>
  <si>
    <t>O60942_RNGTT</t>
  </si>
  <si>
    <t>O75027_ABCB7</t>
  </si>
  <si>
    <t>O75044_SRGAP2</t>
  </si>
  <si>
    <t>O75051_PLXNA2</t>
  </si>
  <si>
    <t>O75054_IGSF3</t>
  </si>
  <si>
    <t>O75063_FAM20B</t>
  </si>
  <si>
    <t>O75071_EFCAB14</t>
  </si>
  <si>
    <t>O75083_WDR1</t>
  </si>
  <si>
    <t>O75095_MEGF6</t>
  </si>
  <si>
    <t>O75095-2_MEGF6</t>
  </si>
  <si>
    <t>O75110_ATP9A</t>
  </si>
  <si>
    <t>O75113_N4BP1</t>
  </si>
  <si>
    <t>O75116_ROCK2</t>
  </si>
  <si>
    <t>O75128-3_COBL</t>
  </si>
  <si>
    <t>O75131_CPNE3</t>
  </si>
  <si>
    <t>O75146_HIP1R</t>
  </si>
  <si>
    <t>O75150_RNF40</t>
  </si>
  <si>
    <t>O75152_ZC3H11A</t>
  </si>
  <si>
    <t>O75153_CLUH</t>
  </si>
  <si>
    <t>O75157-2_TSC22D2</t>
  </si>
  <si>
    <t>O75161_NPHP4</t>
  </si>
  <si>
    <t>O75164_KDM4A</t>
  </si>
  <si>
    <t>O75165_DNAJC13</t>
  </si>
  <si>
    <t>O75170-4_PPP6R2</t>
  </si>
  <si>
    <t>O75175_CNOT3</t>
  </si>
  <si>
    <t>O75177-2_SS18L1</t>
  </si>
  <si>
    <t>O75179-2_ANKRD17</t>
  </si>
  <si>
    <t>O75185_ATP2C2</t>
  </si>
  <si>
    <t>O75191_XYLB</t>
  </si>
  <si>
    <t>O75204_TMEM127</t>
  </si>
  <si>
    <t>O75208_COQ9</t>
  </si>
  <si>
    <t>O75223_GGCT</t>
  </si>
  <si>
    <t>O75306_NDUFS2</t>
  </si>
  <si>
    <t>O75312_ZNF259</t>
  </si>
  <si>
    <t>O75323_GBAS</t>
  </si>
  <si>
    <t>O75330-2_HMMR</t>
  </si>
  <si>
    <t>O75340_PDCD6</t>
  </si>
  <si>
    <t>O75347_TBCA</t>
  </si>
  <si>
    <t>O75348_ATP6V1G1</t>
  </si>
  <si>
    <t>O75351_VPS4B</t>
  </si>
  <si>
    <t>O75355_ENTPD3</t>
  </si>
  <si>
    <t>O75356_ENTPD5</t>
  </si>
  <si>
    <t>O75362_ZNF217</t>
  </si>
  <si>
    <t>O75367-2_H2AFY</t>
  </si>
  <si>
    <t>O75368_SH3BGRL</t>
  </si>
  <si>
    <t>O75369-2_FLNB</t>
  </si>
  <si>
    <t>O75376_NCOR1</t>
  </si>
  <si>
    <t>O75379-2_VAMP4</t>
  </si>
  <si>
    <t>O75380_NDUFS6</t>
  </si>
  <si>
    <t>O75381-2_PEX14</t>
  </si>
  <si>
    <t>O75382-2_TRIM3</t>
  </si>
  <si>
    <t>O75387_SLC43A1</t>
  </si>
  <si>
    <t>O75391_SPAG7</t>
  </si>
  <si>
    <t>O75396_SEC22B</t>
  </si>
  <si>
    <t>O75400-3_PRPF40A</t>
  </si>
  <si>
    <t>O75419-2_CDC45</t>
  </si>
  <si>
    <t>O75427_LRCH4</t>
  </si>
  <si>
    <t>O75436_VPS26A</t>
  </si>
  <si>
    <t>O75438_NDUFB1</t>
  </si>
  <si>
    <t>O75439_PMPCB</t>
  </si>
  <si>
    <t>O75446_SAP30</t>
  </si>
  <si>
    <t>O75449_KATNA1</t>
  </si>
  <si>
    <t>O75475_PSIP1</t>
  </si>
  <si>
    <t>O75475-3_PSIP1</t>
  </si>
  <si>
    <t>O75477_ERLIN1</t>
  </si>
  <si>
    <t>O75487_GPC4</t>
  </si>
  <si>
    <t>O75489_NDUFS3</t>
  </si>
  <si>
    <t>O75503_CLN5</t>
  </si>
  <si>
    <t>O75506_HSBP1</t>
  </si>
  <si>
    <t>O75521-2_ECI2</t>
  </si>
  <si>
    <t>O75528_TADA3</t>
  </si>
  <si>
    <t>O75530-3_EED</t>
  </si>
  <si>
    <t>O75531_BANF1</t>
  </si>
  <si>
    <t>O75533_SF3B1</t>
  </si>
  <si>
    <t>O75534_CSDE1</t>
  </si>
  <si>
    <t>O75554_WBP4</t>
  </si>
  <si>
    <t>O75570_MTRF1</t>
  </si>
  <si>
    <t>O75575_CRCP</t>
  </si>
  <si>
    <t>O75600_GCAT</t>
  </si>
  <si>
    <t>O75607_NPM3</t>
  </si>
  <si>
    <t>O75608-2_LYPLA1</t>
  </si>
  <si>
    <t>O75616_ERAL1</t>
  </si>
  <si>
    <t>O75629_CREG1</t>
  </si>
  <si>
    <t>O75643_SNRNP200</t>
  </si>
  <si>
    <t>O75648_TRMU</t>
  </si>
  <si>
    <t>O75663_TIPRL</t>
  </si>
  <si>
    <t>O75683_SURF6</t>
  </si>
  <si>
    <t>O75688_PPM1B</t>
  </si>
  <si>
    <t>O75688-2_PPM1B</t>
  </si>
  <si>
    <t>O75691_UTP20</t>
  </si>
  <si>
    <t>O75695_RP2</t>
  </si>
  <si>
    <t>O75717_WDHD1</t>
  </si>
  <si>
    <t>O75746_SLC25A12</t>
  </si>
  <si>
    <t>O75791_GRAP2</t>
  </si>
  <si>
    <t>O75792_RNASEH2A</t>
  </si>
  <si>
    <t>O75794_CDC123</t>
  </si>
  <si>
    <t>O75808_SOLH</t>
  </si>
  <si>
    <t>O75818-2_RPP40</t>
  </si>
  <si>
    <t>O75821_EIF3G</t>
  </si>
  <si>
    <t>O75822_EIF3J</t>
  </si>
  <si>
    <t>O75828_CBR3</t>
  </si>
  <si>
    <t>O75832_PSMD10</t>
  </si>
  <si>
    <t>O75844_ZMPSTE24</t>
  </si>
  <si>
    <t>O75845_SC5D</t>
  </si>
  <si>
    <t>O75874_IDH1</t>
  </si>
  <si>
    <t>O75882_ATRN</t>
  </si>
  <si>
    <t>O75884_RBBP9</t>
  </si>
  <si>
    <t>O75886_STAM2</t>
  </si>
  <si>
    <t>O75891_ALDH1L1</t>
  </si>
  <si>
    <t>O75896_TUSC2</t>
  </si>
  <si>
    <t>O75915_ARL6IP5</t>
  </si>
  <si>
    <t>O75925_PIAS1</t>
  </si>
  <si>
    <t>O75934_BCAS2</t>
  </si>
  <si>
    <t>O75935_DCTN3</t>
  </si>
  <si>
    <t>O75937_DNAJC8</t>
  </si>
  <si>
    <t>O75940_SMNDC1</t>
  </si>
  <si>
    <t>O75943-2_RAD17</t>
  </si>
  <si>
    <t>O75947_ATP5H</t>
  </si>
  <si>
    <t>O75955_FLOT1</t>
  </si>
  <si>
    <t>O75962_TRIO</t>
  </si>
  <si>
    <t>O75964_ATP5L</t>
  </si>
  <si>
    <t>O75976_CPD</t>
  </si>
  <si>
    <t>O76003_GLRX3</t>
  </si>
  <si>
    <t>O76024_WFS1</t>
  </si>
  <si>
    <t>O76031_CLPX</t>
  </si>
  <si>
    <t>O76041-2_NEBL</t>
  </si>
  <si>
    <t>O76054-4_SEC14L2</t>
  </si>
  <si>
    <t>O76061_STC2</t>
  </si>
  <si>
    <t>O76071_CIAO1</t>
  </si>
  <si>
    <t>O76074-2_PDE5A</t>
  </si>
  <si>
    <t>O76075_DFFB</t>
  </si>
  <si>
    <t>O76080_ZFAND5</t>
  </si>
  <si>
    <t>O76094_SRP72</t>
  </si>
  <si>
    <t>O76095-2_JTB</t>
  </si>
  <si>
    <t>O77932_DOM3Z</t>
  </si>
  <si>
    <t>O94760_DDAH1</t>
  </si>
  <si>
    <t>O94763_URI1</t>
  </si>
  <si>
    <t>O94766_B3GAT3</t>
  </si>
  <si>
    <t>O94776_MTA2</t>
  </si>
  <si>
    <t>O94782_USP1</t>
  </si>
  <si>
    <t>O94804_STK10</t>
  </si>
  <si>
    <t>O94822_LTN1</t>
  </si>
  <si>
    <t>O94826_TOMM70A</t>
  </si>
  <si>
    <t>O94827-5_PLEKHG5</t>
  </si>
  <si>
    <t>O94829_IPO13</t>
  </si>
  <si>
    <t>O94830_DDHD2</t>
  </si>
  <si>
    <t>O94832_MYO1D</t>
  </si>
  <si>
    <t>O94851-6_MICAL2</t>
  </si>
  <si>
    <t>O94855_SEC24D</t>
  </si>
  <si>
    <t>O94864-2_SUPT7L</t>
  </si>
  <si>
    <t>O94874_UFL1</t>
  </si>
  <si>
    <t>O94875-12_SORBS2</t>
  </si>
  <si>
    <t>O94876_TMCC1</t>
  </si>
  <si>
    <t>O94880_PHF14</t>
  </si>
  <si>
    <t>O94880-2_PHF14</t>
  </si>
  <si>
    <t>O94886_TMEM63A</t>
  </si>
  <si>
    <t>O94888_UBXN7</t>
  </si>
  <si>
    <t>O94903_PROSC</t>
  </si>
  <si>
    <t>O94906-2_PRPF6</t>
  </si>
  <si>
    <t>O94907_DKK1</t>
  </si>
  <si>
    <t>O94913_PCF11</t>
  </si>
  <si>
    <t>O94916-2_NFAT5</t>
  </si>
  <si>
    <t>O94919_ENDOD1</t>
  </si>
  <si>
    <t>O94925_GLS</t>
  </si>
  <si>
    <t>O94925-3_GLS</t>
  </si>
  <si>
    <t>O94966-7_USP19</t>
  </si>
  <si>
    <t>O94973_AP2A2</t>
  </si>
  <si>
    <t>O94973-2_AP2A2</t>
  </si>
  <si>
    <t>O94992_HEXIM1</t>
  </si>
  <si>
    <t>O95059_RPP14</t>
  </si>
  <si>
    <t>O95067_CCNB2</t>
  </si>
  <si>
    <t>O95081_AGFG2</t>
  </si>
  <si>
    <t>O95104-3_SCAF4</t>
  </si>
  <si>
    <t>O95139_NDUFB6</t>
  </si>
  <si>
    <t>O95140_MFN2</t>
  </si>
  <si>
    <t>O95155-2_UBE4B</t>
  </si>
  <si>
    <t>O95159_ZFPL1</t>
  </si>
  <si>
    <t>O95163_IKBKAP</t>
  </si>
  <si>
    <t>O95167_NDUFA3</t>
  </si>
  <si>
    <t>O95168_NDUFB4</t>
  </si>
  <si>
    <t>O95171-3_SCEL</t>
  </si>
  <si>
    <t>O95182_NDUFA7</t>
  </si>
  <si>
    <t>O95196-3_CSPG5</t>
  </si>
  <si>
    <t>O95197-2_RTN3</t>
  </si>
  <si>
    <t>O95202_LETM1</t>
  </si>
  <si>
    <t>O95205_MBLL</t>
  </si>
  <si>
    <t>O95218-2_ZRANB2</t>
  </si>
  <si>
    <t>O95219_SNX4</t>
  </si>
  <si>
    <t>O95229_ZWINT</t>
  </si>
  <si>
    <t>O95231_VENTX</t>
  </si>
  <si>
    <t>O95232_LUC7L3</t>
  </si>
  <si>
    <t>O95235_KIF20A</t>
  </si>
  <si>
    <t>O95239_KIF4A</t>
  </si>
  <si>
    <t>O95251-2_KAT7</t>
  </si>
  <si>
    <t>O95274_LYPD3</t>
  </si>
  <si>
    <t>O95292_VAPB</t>
  </si>
  <si>
    <t>O95295_SNAPIN</t>
  </si>
  <si>
    <t>O95297-2_MPZL1</t>
  </si>
  <si>
    <t>O95298-2_NDUFC2</t>
  </si>
  <si>
    <t>O95302_FKBP9</t>
  </si>
  <si>
    <t>O95336_PGLS</t>
  </si>
  <si>
    <t>O95347_SMC2</t>
  </si>
  <si>
    <t>O95352_ATG7</t>
  </si>
  <si>
    <t>O95363_FARS2</t>
  </si>
  <si>
    <t>O95365_ZBTB7A</t>
  </si>
  <si>
    <t>O95372_LYPLA2</t>
  </si>
  <si>
    <t>O95373_IPO7</t>
  </si>
  <si>
    <t>O95376_ARIH2</t>
  </si>
  <si>
    <t>O95391_SLU7</t>
  </si>
  <si>
    <t>O95394_PGM3</t>
  </si>
  <si>
    <t>O95396_MOCS3</t>
  </si>
  <si>
    <t>O95400_CD2BP2</t>
  </si>
  <si>
    <t>O95402_MED26</t>
  </si>
  <si>
    <t>O95405-3_ZFYVE9</t>
  </si>
  <si>
    <t>O95409_ZIC2</t>
  </si>
  <si>
    <t>O95425-2_SVIL</t>
  </si>
  <si>
    <t>O95429-2_BAG4</t>
  </si>
  <si>
    <t>O95433_AHSA1</t>
  </si>
  <si>
    <t>O95453-2_PARN</t>
  </si>
  <si>
    <t>O95455_TGDS</t>
  </si>
  <si>
    <t>O95456-2_PSMG1</t>
  </si>
  <si>
    <t>O95470_SGPL1</t>
  </si>
  <si>
    <t>O95471_CLDN7</t>
  </si>
  <si>
    <t>O95486_SEC24A</t>
  </si>
  <si>
    <t>O95487-2_SEC24B</t>
  </si>
  <si>
    <t>O95544_NADK</t>
  </si>
  <si>
    <t>O95551_TDP2</t>
  </si>
  <si>
    <t>O95571_ETHE1</t>
  </si>
  <si>
    <t>O95573_ACSL3</t>
  </si>
  <si>
    <t>O95602_POLR1A</t>
  </si>
  <si>
    <t>O95619_YEATS4</t>
  </si>
  <si>
    <t>O95620_DUS4L</t>
  </si>
  <si>
    <t>O95622_ADCY5</t>
  </si>
  <si>
    <t>O95628-5_CNOT4</t>
  </si>
  <si>
    <t>O95630_STAMBP</t>
  </si>
  <si>
    <t>O95670_ATP6V1G2</t>
  </si>
  <si>
    <t>O95671-2_ASMTL</t>
  </si>
  <si>
    <t>O95674_CDS2</t>
  </si>
  <si>
    <t>O95684_FGFR1OP</t>
  </si>
  <si>
    <t>O95685_PPP1R3D</t>
  </si>
  <si>
    <t>O95716_RAB3D</t>
  </si>
  <si>
    <t>O95721_SNAP29</t>
  </si>
  <si>
    <t>O95747_OXSR1</t>
  </si>
  <si>
    <t>O95749_GGPS1</t>
  </si>
  <si>
    <t>O95750_FGF19</t>
  </si>
  <si>
    <t>O95758-1_PTBP3</t>
  </si>
  <si>
    <t>O95777_NAA38</t>
  </si>
  <si>
    <t>O95782-2_AP2A1</t>
  </si>
  <si>
    <t>O95801_TTC4</t>
  </si>
  <si>
    <t>O95810_SDPR</t>
  </si>
  <si>
    <t>O95816_BAG2</t>
  </si>
  <si>
    <t>O95817_BAG3</t>
  </si>
  <si>
    <t>O95822_MLYCD</t>
  </si>
  <si>
    <t>O95825_CRYZL1</t>
  </si>
  <si>
    <t>O95831-3_AIFM1</t>
  </si>
  <si>
    <t>O95834-2_EML2</t>
  </si>
  <si>
    <t>O95835_LATS1</t>
  </si>
  <si>
    <t>O95848_NUDT14</t>
  </si>
  <si>
    <t>O95857_TSPAN13</t>
  </si>
  <si>
    <t>O95861_BPNT1</t>
  </si>
  <si>
    <t>O95865_DDAH2</t>
  </si>
  <si>
    <t>O95873_C6orf47</t>
  </si>
  <si>
    <t>O95881_TXNDC12</t>
  </si>
  <si>
    <t>O95905_ECD</t>
  </si>
  <si>
    <t>O95926_SYF2</t>
  </si>
  <si>
    <t>O95983-2_MBD3</t>
  </si>
  <si>
    <t>O95985_TOP3B</t>
  </si>
  <si>
    <t>O95989_NUDT3</t>
  </si>
  <si>
    <t>O95999_BCL10</t>
  </si>
  <si>
    <t>O96000_NDUFB10</t>
  </si>
  <si>
    <t>O96007_MOCS2</t>
  </si>
  <si>
    <t>O96008_TOMM40</t>
  </si>
  <si>
    <t>O96011-2_PEX11B</t>
  </si>
  <si>
    <t>O96013_PAK4</t>
  </si>
  <si>
    <t>O96017_CHEK2</t>
  </si>
  <si>
    <t>O96019_ACTL6A</t>
  </si>
  <si>
    <t>O96033_MOCS2</t>
  </si>
  <si>
    <t>P00167-2_CYB5A</t>
  </si>
  <si>
    <t>P00338_LDHA</t>
  </si>
  <si>
    <t>P00352_ALDH1A1</t>
  </si>
  <si>
    <t>P00367_GLUD1</t>
  </si>
  <si>
    <t>P00374_DHFR</t>
  </si>
  <si>
    <t>P00387-2_CYB5R3</t>
  </si>
  <si>
    <t>P00390-2_GSR</t>
  </si>
  <si>
    <t>P00403_MT-CO2</t>
  </si>
  <si>
    <t>P00441_SOD1</t>
  </si>
  <si>
    <t>P00491_PNP</t>
  </si>
  <si>
    <t>P00492_HPRT1</t>
  </si>
  <si>
    <t>P00505_GOT2</t>
  </si>
  <si>
    <t>P00519_ABL1</t>
  </si>
  <si>
    <t>P00558_PGK1</t>
  </si>
  <si>
    <t>P00813_ADA</t>
  </si>
  <si>
    <t>P00846_MT-ATP6</t>
  </si>
  <si>
    <t>P00918_CA2</t>
  </si>
  <si>
    <t>P00966_ASS1</t>
  </si>
  <si>
    <t>P01034_CST3</t>
  </si>
  <si>
    <t>P01037_CST1</t>
  </si>
  <si>
    <t>P01100_FOS</t>
  </si>
  <si>
    <t>P01111_NRAS</t>
  </si>
  <si>
    <t>P01112_HRAS</t>
  </si>
  <si>
    <t>P01116-2_KRAS</t>
  </si>
  <si>
    <t>P01137_TGFB1</t>
  </si>
  <si>
    <t>P02008_HBZ</t>
  </si>
  <si>
    <t>P02144_MB</t>
  </si>
  <si>
    <t>P02545_LMNA</t>
  </si>
  <si>
    <t>P02649_APOE</t>
  </si>
  <si>
    <t>P02786_TFRC</t>
  </si>
  <si>
    <t>P02787_TF</t>
  </si>
  <si>
    <t>P02792_FTL</t>
  </si>
  <si>
    <t>P02794_FTH1</t>
  </si>
  <si>
    <t>P02795_MT2A</t>
  </si>
  <si>
    <t>P03928_MT-ATP8</t>
  </si>
  <si>
    <t>P04040_CAT</t>
  </si>
  <si>
    <t>P04066_FUCA1</t>
  </si>
  <si>
    <t>P04075_ALDOA</t>
  </si>
  <si>
    <t>P04080_CSTB</t>
  </si>
  <si>
    <t>P04083_ANXA1</t>
  </si>
  <si>
    <t>P04114_APOB</t>
  </si>
  <si>
    <t>P04181_OAT</t>
  </si>
  <si>
    <t>P04183_TK1</t>
  </si>
  <si>
    <t>P04350_TUBB4A</t>
  </si>
  <si>
    <t>P04406_GAPDH</t>
  </si>
  <si>
    <t>P04424_ASL</t>
  </si>
  <si>
    <t>P04632_CAPNS1</t>
  </si>
  <si>
    <t>P04792_HSPB1</t>
  </si>
  <si>
    <t>P04818_TYMS</t>
  </si>
  <si>
    <t>P04843_RPN1</t>
  </si>
  <si>
    <t>P04844_RPN2</t>
  </si>
  <si>
    <t>P04899_GNAI2</t>
  </si>
  <si>
    <t>P04920-2_SLC4A2</t>
  </si>
  <si>
    <t>P05023-4_ATP1A1</t>
  </si>
  <si>
    <t>P05060_CHGB</t>
  </si>
  <si>
    <t>P05067-7_APP</t>
  </si>
  <si>
    <t>P05091_ALDH2</t>
  </si>
  <si>
    <t>P05114_HMGN1</t>
  </si>
  <si>
    <t>P05141_SLC25A5</t>
  </si>
  <si>
    <t>P05161_ISG15</t>
  </si>
  <si>
    <t>P05165-2_PCCA</t>
  </si>
  <si>
    <t>P05198_EIF2S1</t>
  </si>
  <si>
    <t>P05204_HMGN2</t>
  </si>
  <si>
    <t>P05362_ICAM1</t>
  </si>
  <si>
    <t>P05386_RPLP1</t>
  </si>
  <si>
    <t>P05387_RPLP2</t>
  </si>
  <si>
    <t>P05388_RPLP0</t>
  </si>
  <si>
    <t>P05412_JUN</t>
  </si>
  <si>
    <t>P05455_SSB</t>
  </si>
  <si>
    <t>P05556_ITGB1</t>
  </si>
  <si>
    <t>P05783_KRT18</t>
  </si>
  <si>
    <t>P05976-2_MYL1</t>
  </si>
  <si>
    <t>P06132_UROD</t>
  </si>
  <si>
    <t>P06276_BCHE</t>
  </si>
  <si>
    <t>P06280_GLA</t>
  </si>
  <si>
    <t>P06396-2_GSN</t>
  </si>
  <si>
    <t>P06400_RB1</t>
  </si>
  <si>
    <t>P06493_CDK1</t>
  </si>
  <si>
    <t>P06576_ATP5B</t>
  </si>
  <si>
    <t>P06733_ENO1</t>
  </si>
  <si>
    <t>P06733-2_ENO1</t>
  </si>
  <si>
    <t>P06737_PYGL</t>
  </si>
  <si>
    <t>P06744_GPI</t>
  </si>
  <si>
    <t>P06748_NPM1</t>
  </si>
  <si>
    <t>P06748-3_NPM1</t>
  </si>
  <si>
    <t>P06753-3_TPM3</t>
  </si>
  <si>
    <t>P06756-3_ITGAV</t>
  </si>
  <si>
    <t>P07108_DBI</t>
  </si>
  <si>
    <t>P07195_LDHB</t>
  </si>
  <si>
    <t>P07199_CENPB</t>
  </si>
  <si>
    <t>P07203_GPX1</t>
  </si>
  <si>
    <t>P07205_PGK2</t>
  </si>
  <si>
    <t>P07237_P4HB</t>
  </si>
  <si>
    <t>P07305-2_H1F0</t>
  </si>
  <si>
    <t>P07339_CTSD</t>
  </si>
  <si>
    <t>P07355_ANXA2</t>
  </si>
  <si>
    <t>P07384_CAPN1</t>
  </si>
  <si>
    <t>P07686_HEXB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</si>
  <si>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</si>
  <si>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</si>
  <si>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</si>
  <si>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</si>
  <si>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</si>
  <si>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</si>
  <si>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</si>
  <si>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P07919_UQCRH</t>
  </si>
  <si>
    <t>P07948-2_LYN</t>
  </si>
  <si>
    <t>P07951_TPM2</t>
  </si>
  <si>
    <t>P07954-2_FH</t>
  </si>
  <si>
    <t>P08034_GJB1</t>
  </si>
  <si>
    <t>P08047_SP1</t>
  </si>
  <si>
    <t>P08107_HSPA1A</t>
  </si>
  <si>
    <t>P08237_PFKM</t>
  </si>
  <si>
    <t>P08238_HSP90AB1</t>
  </si>
  <si>
    <t>P08240_SRPR</t>
  </si>
  <si>
    <t>P08243-2_ASNS</t>
  </si>
  <si>
    <t>P08294_SOD3</t>
  </si>
  <si>
    <t>P08397-2_HMBS</t>
  </si>
  <si>
    <t>P08473_MME</t>
  </si>
  <si>
    <t>P08559_PDHA1</t>
  </si>
  <si>
    <t>P08574_CYC1</t>
  </si>
  <si>
    <t>P08579_SNRPB2</t>
  </si>
  <si>
    <t>P08621_SNRNP70</t>
  </si>
  <si>
    <t>P08754_GNAI3</t>
  </si>
  <si>
    <t>P08758_ANXA5</t>
  </si>
  <si>
    <t>P09012_SNRPA</t>
  </si>
  <si>
    <t>P09038-2_FGF2</t>
  </si>
  <si>
    <t>P09104_ENO2</t>
  </si>
  <si>
    <t>P09110_ACAA1</t>
  </si>
  <si>
    <t>P09132_SRP19</t>
  </si>
  <si>
    <t>P09172_DBH</t>
  </si>
  <si>
    <t>P09211_GSTP1</t>
  </si>
  <si>
    <t>P09234_SNRPC</t>
  </si>
  <si>
    <t>P09382_LGALS1</t>
  </si>
  <si>
    <t>P09417_QDPR</t>
  </si>
  <si>
    <t>P09429_HMGB1</t>
  </si>
  <si>
    <t>P09467_FBP1</t>
  </si>
  <si>
    <t>P09493-10_TPM1</t>
  </si>
  <si>
    <t>P09493-3_TPM1</t>
  </si>
  <si>
    <t>P09496-2_CLTA</t>
  </si>
  <si>
    <t>P09497-2_CLTB</t>
  </si>
  <si>
    <t>P09525_ANXA4</t>
  </si>
  <si>
    <t>P09543-2_CNP</t>
  </si>
  <si>
    <t>P09601_HMOX1</t>
  </si>
  <si>
    <t>P09619_PDGFRB</t>
  </si>
  <si>
    <t>P09622_DLD</t>
  </si>
  <si>
    <t>P09661_SNRPA1</t>
  </si>
  <si>
    <t>P09668_CTSH</t>
  </si>
  <si>
    <t>P09669_COX6C</t>
  </si>
  <si>
    <t>P09874_PARP1</t>
  </si>
  <si>
    <t>P09960_LTA4H</t>
  </si>
  <si>
    <t>P09972_ALDOC</t>
  </si>
  <si>
    <t>P0C024_NUDT7</t>
  </si>
  <si>
    <t>P0C7P0_CISD3</t>
  </si>
  <si>
    <t>P0C7T5_ATXN1L</t>
  </si>
  <si>
    <t>P0C870_JMJD7</t>
  </si>
  <si>
    <t>P0CAP2_POLR2M</t>
  </si>
  <si>
    <t>P0CG12_CHTF8</t>
  </si>
  <si>
    <t>P0CW22_RPS17L</t>
  </si>
  <si>
    <t>P0DJ93_SMIM13</t>
  </si>
  <si>
    <t>P10109_FDX1</t>
  </si>
  <si>
    <t>P10114_RAP2A</t>
  </si>
  <si>
    <t>P10155_TROVE2</t>
  </si>
  <si>
    <t>P10176_COX8A</t>
  </si>
  <si>
    <t>P10253_GAA</t>
  </si>
  <si>
    <t>P10301_RRAS</t>
  </si>
  <si>
    <t>P10398_ARAF</t>
  </si>
  <si>
    <t>P10412_HIST1H1E</t>
  </si>
  <si>
    <t>P10515_DLAT</t>
  </si>
  <si>
    <t>P10586-2_PTPRF</t>
  </si>
  <si>
    <t>P10588_NR2F6</t>
  </si>
  <si>
    <t>P10599_TXN</t>
  </si>
  <si>
    <t>P10606_COX5B</t>
  </si>
  <si>
    <t>P10619_CTSA</t>
  </si>
  <si>
    <t>P10636-5_MAPT</t>
  </si>
  <si>
    <t>P10643_C7</t>
  </si>
  <si>
    <t>P10644_PRKAR1A</t>
  </si>
  <si>
    <t>P10746_UROS</t>
  </si>
  <si>
    <t>P10768_ESD</t>
  </si>
  <si>
    <t>P10809_HSPD1</t>
  </si>
  <si>
    <t>P10909-4_CLU</t>
  </si>
  <si>
    <t>P11021_HSPA5</t>
  </si>
  <si>
    <t>P11047_LAMC1</t>
  </si>
  <si>
    <t>P11086_PNMT</t>
  </si>
  <si>
    <t>P11117_ACP2</t>
  </si>
  <si>
    <t>P11142_HSPA8</t>
  </si>
  <si>
    <t>P11166_SLC2A1</t>
  </si>
  <si>
    <t>P11171_EPB41</t>
  </si>
  <si>
    <t>P11171-2_EPB41</t>
  </si>
  <si>
    <t>P11172_UMPS</t>
  </si>
  <si>
    <t>P11177_PDHB</t>
  </si>
  <si>
    <t>P11182_DBT</t>
  </si>
  <si>
    <t>P11216_PYGB</t>
  </si>
  <si>
    <t>P11233_RALA</t>
  </si>
  <si>
    <t>P11234_RALB</t>
  </si>
  <si>
    <t>P11274_BCR</t>
  </si>
  <si>
    <t>P11279_LAMP1</t>
  </si>
  <si>
    <t>P11387_TOP1</t>
  </si>
  <si>
    <t>P11388_TOP2A</t>
  </si>
  <si>
    <t>P11413_G6PD</t>
  </si>
  <si>
    <t>P11441_UBL4A</t>
  </si>
  <si>
    <t>P11498_PC</t>
  </si>
  <si>
    <t>P11586_MTHFD1</t>
  </si>
  <si>
    <t>P11717_IGF2R</t>
  </si>
  <si>
    <t>P11766_ADH5</t>
  </si>
  <si>
    <t>P11801_PSKH1</t>
  </si>
  <si>
    <t>P11802_CDK4</t>
  </si>
  <si>
    <t>P11908_PRPS2</t>
  </si>
  <si>
    <t>P11940-2_PABPC1</t>
  </si>
  <si>
    <t>P12004_PCNA</t>
  </si>
  <si>
    <t>P12081_HARS</t>
  </si>
  <si>
    <t>P12109_COL6A1</t>
  </si>
  <si>
    <t>P12235_SLC25A4</t>
  </si>
  <si>
    <t>P12236_SLC25A6</t>
  </si>
  <si>
    <t>P12268_IMPDH2</t>
  </si>
  <si>
    <t>P12270_TPR</t>
  </si>
  <si>
    <t>P12277_CKB</t>
  </si>
  <si>
    <t>P12429_ANXA3</t>
  </si>
  <si>
    <t>P12532_CKMT1A</t>
  </si>
  <si>
    <t>P12755_SKI</t>
  </si>
  <si>
    <t>P12814-2_ACTN1</t>
  </si>
  <si>
    <t>P12830_CDH1</t>
  </si>
  <si>
    <t>P12955_PEPD</t>
  </si>
  <si>
    <t>P12956_XRCC6</t>
  </si>
  <si>
    <t>P13010_XRCC5</t>
  </si>
  <si>
    <t>P13051_UNG</t>
  </si>
  <si>
    <t>P13056_NR2C1</t>
  </si>
  <si>
    <t>P13073_COX4I1</t>
  </si>
  <si>
    <t>P13196_ALAS1</t>
  </si>
  <si>
    <t>P13284_IFI30</t>
  </si>
  <si>
    <t>P13489_RNH1</t>
  </si>
  <si>
    <t>P13498_CYBA</t>
  </si>
  <si>
    <t>P13521_SCG2</t>
  </si>
  <si>
    <t>P13639_EEF2</t>
  </si>
  <si>
    <t>P13640-2_MT1G</t>
  </si>
  <si>
    <t>P13667_PDIA4</t>
  </si>
  <si>
    <t>P13674_P4HA1</t>
  </si>
  <si>
    <t>P13674-2_P4HA1</t>
  </si>
  <si>
    <t>P13693_TPT1</t>
  </si>
  <si>
    <t>P13804_ETFA</t>
  </si>
  <si>
    <t>P13861_PRKAR2A</t>
  </si>
  <si>
    <t>P13866-2_SLC5A1</t>
  </si>
  <si>
    <t>P13929_ENO3</t>
  </si>
  <si>
    <t>P13984_GTF2F2</t>
  </si>
  <si>
    <t>P13994_CCDC130</t>
  </si>
  <si>
    <t>P13995_MTHFD2</t>
  </si>
  <si>
    <t>P14174_MIF</t>
  </si>
  <si>
    <t>P14222_PRF1</t>
  </si>
  <si>
    <t>P14324-2_FDPS</t>
  </si>
  <si>
    <t>P14550_AKR1A1</t>
  </si>
  <si>
    <t>P14555_PLA2G2A</t>
  </si>
  <si>
    <t>P14618_PKM</t>
  </si>
  <si>
    <t>P14618-2_PKM</t>
  </si>
  <si>
    <t>P14621_ACYP2</t>
  </si>
  <si>
    <t>P14625_HSP90B1</t>
  </si>
  <si>
    <t>P14635_CCNB1</t>
  </si>
  <si>
    <t>P14649_MYL6B</t>
  </si>
  <si>
    <t>P14678-2_SNRPB</t>
  </si>
  <si>
    <t>P14735_IDE</t>
  </si>
  <si>
    <t>P14854_COX6B1</t>
  </si>
  <si>
    <t>P14866_HNRNPL</t>
  </si>
  <si>
    <t>P14868_DARS</t>
  </si>
  <si>
    <t>P14923_JUP</t>
  </si>
  <si>
    <t>P14927_UQCRB</t>
  </si>
  <si>
    <t>P15104_GLUL</t>
  </si>
  <si>
    <t>P15144_ANPEP</t>
  </si>
  <si>
    <t>P15151-3_PVR</t>
  </si>
  <si>
    <t>P15170-2_GSPT1</t>
  </si>
  <si>
    <t>P15289_ARSA</t>
  </si>
  <si>
    <t>P15291-2_B4GALT1</t>
  </si>
  <si>
    <t>P15311_EZR</t>
  </si>
  <si>
    <t>P15374_UCHL3</t>
  </si>
  <si>
    <t>P15407_FOSL1</t>
  </si>
  <si>
    <t>P15529-7_CD46</t>
  </si>
  <si>
    <t>P15531_NME1</t>
  </si>
  <si>
    <t>P15822_HIVEP1</t>
  </si>
  <si>
    <t>P15848_ARSB</t>
  </si>
  <si>
    <t>P15880_RPS2</t>
  </si>
  <si>
    <t>P15882-3_CHN1</t>
  </si>
  <si>
    <t>P15924_DSP</t>
  </si>
  <si>
    <t>P15927_RPA2</t>
  </si>
  <si>
    <t>P15954_COX7C</t>
  </si>
  <si>
    <t>P16144-2_ITGB4</t>
  </si>
  <si>
    <t>P16152_CBR1</t>
  </si>
  <si>
    <t>P16188_HLA-A</t>
  </si>
  <si>
    <t>P16219_ACADS</t>
  </si>
  <si>
    <t>P16220-2_CREB1</t>
  </si>
  <si>
    <t>P16278-3_GLB1</t>
  </si>
  <si>
    <t>P16298_PPP3CB</t>
  </si>
  <si>
    <t>P16383_GCFC2</t>
  </si>
  <si>
    <t>P16401_HIST1H1B</t>
  </si>
  <si>
    <t>P16435_POR</t>
  </si>
  <si>
    <t>P16455_MGMT</t>
  </si>
  <si>
    <t>P16615_ATP2A2</t>
  </si>
  <si>
    <t>P16870-2_CPE</t>
  </si>
  <si>
    <t>P16930_FAH</t>
  </si>
  <si>
    <t>P16949_STMN1</t>
  </si>
  <si>
    <t>P16989_YBX3</t>
  </si>
  <si>
    <t>P16989-2_YBX3</t>
  </si>
  <si>
    <t>P17028_ZNF24</t>
  </si>
  <si>
    <t>P17050_NAGA</t>
  </si>
  <si>
    <t>P17066_HSPA6</t>
  </si>
  <si>
    <t>P17096_HMGA1</t>
  </si>
  <si>
    <t>P17096-2_HMGA1</t>
  </si>
  <si>
    <t>P17152_TMEM11</t>
  </si>
  <si>
    <t>P17174_GOT1</t>
  </si>
  <si>
    <t>P17252_PRKCA</t>
  </si>
  <si>
    <t>P17275_JUNB</t>
  </si>
  <si>
    <t>P17301_ITGA2</t>
  </si>
  <si>
    <t>P17535_JUND</t>
  </si>
  <si>
    <t>P17568_NDUFB7</t>
  </si>
  <si>
    <t>P17612_PRKACA</t>
  </si>
  <si>
    <t>P17655_CAPN2</t>
  </si>
  <si>
    <t>P17706-2_PTPN2</t>
  </si>
  <si>
    <t>P17812_CTPS1</t>
  </si>
  <si>
    <t>P17858_PFKL</t>
  </si>
  <si>
    <t>P17900_GM2A</t>
  </si>
  <si>
    <t>P17931_LGALS3</t>
  </si>
  <si>
    <t>P17987_TCP1</t>
  </si>
  <si>
    <t>P18031_PTPN1</t>
  </si>
  <si>
    <t>P18065_IGFBP2</t>
  </si>
  <si>
    <t>P18085_ARF4</t>
  </si>
  <si>
    <t>P18124_RPL7</t>
  </si>
  <si>
    <t>P18146_EGR1</t>
  </si>
  <si>
    <t>P18206-2_VCL</t>
  </si>
  <si>
    <t>P18283_GPX2</t>
  </si>
  <si>
    <t>P18615_NELFE</t>
  </si>
  <si>
    <t>P18669_PGAM1</t>
  </si>
  <si>
    <t>P18754_RCC1</t>
  </si>
  <si>
    <t>P18827_SDC1</t>
  </si>
  <si>
    <t>P18846_ATF1</t>
  </si>
  <si>
    <t>P18858_LIG1</t>
  </si>
  <si>
    <t>P18859_ATP5J</t>
  </si>
  <si>
    <t>P19021-6_PAM</t>
  </si>
  <si>
    <t>P19174_PLCG1</t>
  </si>
  <si>
    <t>P19338_NCL</t>
  </si>
  <si>
    <t>P19367_HK1</t>
  </si>
  <si>
    <t>P19387_POLR2C</t>
  </si>
  <si>
    <t>P19388_POLR2E</t>
  </si>
  <si>
    <t>P19447_ERCC3</t>
  </si>
  <si>
    <t>P19525_EIF2AK2</t>
  </si>
  <si>
    <t>P19623_SRM</t>
  </si>
  <si>
    <t>P19784_CSNK2A2</t>
  </si>
  <si>
    <t>P19838_NFKB1</t>
  </si>
  <si>
    <t>P20020-6_ATP2B1</t>
  </si>
  <si>
    <t>P20042_EIF2S2</t>
  </si>
  <si>
    <t>P20248_CCNA2</t>
  </si>
  <si>
    <t>P20290_BTF3</t>
  </si>
  <si>
    <t>P20290-2_BTF3</t>
  </si>
  <si>
    <t>P20309_CHRM3</t>
  </si>
  <si>
    <t>P20336_RAB3A</t>
  </si>
  <si>
    <t>P20337_RAB3B</t>
  </si>
  <si>
    <t>P20338_RAB4A</t>
  </si>
  <si>
    <t>P20340_RAB6A</t>
  </si>
  <si>
    <t>P20340-2_RAB6A</t>
  </si>
  <si>
    <t>P20585_MSH3</t>
  </si>
  <si>
    <t>P20618_PSMB1</t>
  </si>
  <si>
    <t>P20645_M6PR</t>
  </si>
  <si>
    <t>P20674_COX5A</t>
  </si>
  <si>
    <t>P20700_LMNB1</t>
  </si>
  <si>
    <t>P20810-5_CAST</t>
  </si>
  <si>
    <t>P20933_AGA</t>
  </si>
  <si>
    <t>P20962_PTMS</t>
  </si>
  <si>
    <t>P21127-8_CDK11B</t>
  </si>
  <si>
    <t>P21266_GSTM3</t>
  </si>
  <si>
    <t>P21281_ATP6V1B2</t>
  </si>
  <si>
    <t>P21283_ATP6V1C1</t>
  </si>
  <si>
    <t>P21291_CSRP1</t>
  </si>
  <si>
    <t>P21333-2_FLNA</t>
  </si>
  <si>
    <t>P21359-2_NF1</t>
  </si>
  <si>
    <t>P21397_MAOA</t>
  </si>
  <si>
    <t>P21399_ACO1</t>
  </si>
  <si>
    <t>P21580_TNFAIP3</t>
  </si>
  <si>
    <t>P21695-2_GPD1</t>
  </si>
  <si>
    <t>P21796_VDAC1</t>
  </si>
  <si>
    <t>P21860-4_ERBB3</t>
  </si>
  <si>
    <t>P21912_SDHB</t>
  </si>
  <si>
    <t>P21953_BCKDHB</t>
  </si>
  <si>
    <t>P21964-2_COMT</t>
  </si>
  <si>
    <t>P22033_MUT</t>
  </si>
  <si>
    <t>P22059_OSBP</t>
  </si>
  <si>
    <t>P22083_FUT4</t>
  </si>
  <si>
    <t>P22087_FBL</t>
  </si>
  <si>
    <t>P22102_GART</t>
  </si>
  <si>
    <t>P22234_PAICS</t>
  </si>
  <si>
    <t>P22304_IDS</t>
  </si>
  <si>
    <t>P22307-6_SCP2</t>
  </si>
  <si>
    <t>P22314_UBA1</t>
  </si>
  <si>
    <t>P22532_SPRR2D</t>
  </si>
  <si>
    <t>P22570_FDXR</t>
  </si>
  <si>
    <t>P22626_HNRNPA2B1</t>
  </si>
  <si>
    <t>P22681_CBL</t>
  </si>
  <si>
    <t>P22692_IGFBP4</t>
  </si>
  <si>
    <t>P22694_PRKACB</t>
  </si>
  <si>
    <t>P22695_UQCRC2</t>
  </si>
  <si>
    <t>P22830_FECH</t>
  </si>
  <si>
    <t>P23025_XPA</t>
  </si>
  <si>
    <t>P23141-3_CES1</t>
  </si>
  <si>
    <t>P23193_TCEA1</t>
  </si>
  <si>
    <t>P23246_SFPQ</t>
  </si>
  <si>
    <t>P23258_TUBG1</t>
  </si>
  <si>
    <t>P23280_CA6</t>
  </si>
  <si>
    <t>P23284_PPIB</t>
  </si>
  <si>
    <t>P23368_ME2</t>
  </si>
  <si>
    <t>P23381_WARS</t>
  </si>
  <si>
    <t>P23396_RPS3</t>
  </si>
  <si>
    <t>P23409_MYF6</t>
  </si>
  <si>
    <t>P23434_GCSH</t>
  </si>
  <si>
    <t>P23469-2_PTPRE</t>
  </si>
  <si>
    <t>P23497_SP100</t>
  </si>
  <si>
    <t>P23511-2_NFYA</t>
  </si>
  <si>
    <t>P23526_AHCY</t>
  </si>
  <si>
    <t>P23528_CFL1</t>
  </si>
  <si>
    <t>P23610_F8A1</t>
  </si>
  <si>
    <t>P23786_CPT2</t>
  </si>
  <si>
    <t>P23919_DTYMK</t>
  </si>
  <si>
    <t>P23921_RRM1</t>
  </si>
  <si>
    <t>P24385_CCND1</t>
  </si>
  <si>
    <t>P24468_NR2F2</t>
  </si>
  <si>
    <t>P24534_EEF1B2</t>
  </si>
  <si>
    <t>P24593_IGFBP5</t>
  </si>
  <si>
    <t>P24666_ACP1</t>
  </si>
  <si>
    <t>P24666-2_ACP1</t>
  </si>
  <si>
    <t>P24752_ACAT1</t>
  </si>
  <si>
    <t>P24928_POLR2A</t>
  </si>
  <si>
    <t>P25054-2_APC</t>
  </si>
  <si>
    <t>P25098_ADRBK1</t>
  </si>
  <si>
    <t>P25205_MCM3</t>
  </si>
  <si>
    <t>P25311_AZGP1</t>
  </si>
  <si>
    <t>P25398_RPS12</t>
  </si>
  <si>
    <t>P25490_YY1</t>
  </si>
  <si>
    <t>P25685_DNAJB1</t>
  </si>
  <si>
    <t>P25705_ATP5A1</t>
  </si>
  <si>
    <t>P25786_PSMA1</t>
  </si>
  <si>
    <t>P25787_PSMA2</t>
  </si>
  <si>
    <t>P25788-2_PSMA3</t>
  </si>
  <si>
    <t>P25789_PSMA4</t>
  </si>
  <si>
    <t>P25815_S100P</t>
  </si>
  <si>
    <t>P26038_MSN</t>
  </si>
  <si>
    <t>P26196_DDX6</t>
  </si>
  <si>
    <t>P26358_DNMT1</t>
  </si>
  <si>
    <t>P26368-2_U2AF2</t>
  </si>
  <si>
    <t>P26373_RPL13</t>
  </si>
  <si>
    <t>P26374_CHML</t>
  </si>
  <si>
    <t>P26440_IVD</t>
  </si>
  <si>
    <t>P26447_S100A4</t>
  </si>
  <si>
    <t>P26572_MGAT1</t>
  </si>
  <si>
    <t>P26583_HMGB2</t>
  </si>
  <si>
    <t>P26599_PTBP1</t>
  </si>
  <si>
    <t>P26639_TARS</t>
  </si>
  <si>
    <t>P26641_EEF1G</t>
  </si>
  <si>
    <t>P26885_FKBP2</t>
  </si>
  <si>
    <t>P27144_AK4</t>
  </si>
  <si>
    <t>P27338_MAOB</t>
  </si>
  <si>
    <t>P27348_YWHAQ</t>
  </si>
  <si>
    <t>P27361_MAPK3</t>
  </si>
  <si>
    <t>P27449_ATP6V0C</t>
  </si>
  <si>
    <t>P27482_CALML3</t>
  </si>
  <si>
    <t>P27540-2_ARNT</t>
  </si>
  <si>
    <t>P27635_RPL10</t>
  </si>
  <si>
    <t>P27694_RPA1</t>
  </si>
  <si>
    <t>P27695_APEX1</t>
  </si>
  <si>
    <t>P27797_CALR</t>
  </si>
  <si>
    <t>P27816-5_MAP4</t>
  </si>
  <si>
    <t>P27824_CANX</t>
  </si>
  <si>
    <t>P27986_PIK3R1</t>
  </si>
  <si>
    <t>P27987_ITPKB</t>
  </si>
  <si>
    <t>P28062-2_PSMB8</t>
  </si>
  <si>
    <t>P28066_PSMA5</t>
  </si>
  <si>
    <t>P28070_PSMB4</t>
  </si>
  <si>
    <t>P28072_PSMB6</t>
  </si>
  <si>
    <t>P28074_PSMB5</t>
  </si>
  <si>
    <t>P28331-4_NDUFS1</t>
  </si>
  <si>
    <t>P28482_MAPK1</t>
  </si>
  <si>
    <t>P28702_RXRB</t>
  </si>
  <si>
    <t>P28715_ERCC5</t>
  </si>
  <si>
    <t>P28799_GRN</t>
  </si>
  <si>
    <t>P28838-2_LAP3</t>
  </si>
  <si>
    <t>P29034_S100A2</t>
  </si>
  <si>
    <t>P29083_GTF2E1</t>
  </si>
  <si>
    <t>P29084_GTF2E2</t>
  </si>
  <si>
    <t>P29144_TPP2</t>
  </si>
  <si>
    <t>P29218_IMPA1</t>
  </si>
  <si>
    <t>P29317_EPHA2</t>
  </si>
  <si>
    <t>P29323-2_EPHB2</t>
  </si>
  <si>
    <t>P29350_PTPN6</t>
  </si>
  <si>
    <t>P29353-2_SHC1</t>
  </si>
  <si>
    <t>P29372-5_MPG</t>
  </si>
  <si>
    <t>P29373_CRABP2</t>
  </si>
  <si>
    <t>P29400_COL4A5</t>
  </si>
  <si>
    <t>P29401_TKT</t>
  </si>
  <si>
    <t>P29590-11_PML</t>
  </si>
  <si>
    <t>P29966_MARCKS</t>
  </si>
  <si>
    <t>P29992_GNA11</t>
  </si>
  <si>
    <t>P30038_ALDH4A1</t>
  </si>
  <si>
    <t>P30040_ERP29</t>
  </si>
  <si>
    <t>P30041_PRDX6</t>
  </si>
  <si>
    <t>P30042_C21orf33</t>
  </si>
  <si>
    <t>P30043_BLVRB</t>
  </si>
  <si>
    <t>P30044_PRDX5</t>
  </si>
  <si>
    <t>P30046_DDT</t>
  </si>
  <si>
    <t>P30047_GCHFR</t>
  </si>
  <si>
    <t>P30049_ATP5D</t>
  </si>
  <si>
    <t>P30050_RPL12</t>
  </si>
  <si>
    <t>P30084_ECHS1</t>
  </si>
  <si>
    <t>P30085_CMPK1</t>
  </si>
  <si>
    <t>P30086_PEBP1</t>
  </si>
  <si>
    <t>P30101_PDIA3</t>
  </si>
  <si>
    <t>P30153_PPP2R1A</t>
  </si>
  <si>
    <t>P30154_PPP2R1B</t>
  </si>
  <si>
    <t>P30260_CDC27</t>
  </si>
  <si>
    <t>P30281-3_CCND3</t>
  </si>
  <si>
    <t>P30291_WEE1</t>
  </si>
  <si>
    <t>P30405_PPIF</t>
  </si>
  <si>
    <t>P30414_NKTR</t>
  </si>
  <si>
    <t>P30419_NMT1</t>
  </si>
  <si>
    <t>P30443_HLA-A</t>
  </si>
  <si>
    <t>P30492_HLA-B</t>
  </si>
  <si>
    <t>P30504_HLA-C</t>
  </si>
  <si>
    <t>P30508_HLA-C</t>
  </si>
  <si>
    <t>P30519_HMOX2</t>
  </si>
  <si>
    <t>P30520_ADSS</t>
  </si>
  <si>
    <t>P30533_LRPAP1</t>
  </si>
  <si>
    <t>P30566_ADSL</t>
  </si>
  <si>
    <t>P30613-2_PKLR</t>
  </si>
  <si>
    <t>P30622-2_CLIP1</t>
  </si>
  <si>
    <t>P30711_GSTT1</t>
  </si>
  <si>
    <t>P30740_SERPINB1</t>
  </si>
  <si>
    <t>P30793_GCH1</t>
  </si>
  <si>
    <t>P30825_SLC7A1</t>
  </si>
  <si>
    <t>P30837_ALDH1B1</t>
  </si>
  <si>
    <t>P30838_ALDH3A1</t>
  </si>
  <si>
    <t>P31040_SDHA</t>
  </si>
  <si>
    <t>P31146_CORO1A</t>
  </si>
  <si>
    <t>P31150_GDI1</t>
  </si>
  <si>
    <t>P31153_MAT2A</t>
  </si>
  <si>
    <t>P31323_PRKAR2B</t>
  </si>
  <si>
    <t>P31350_RRM2</t>
  </si>
  <si>
    <t>P31641_SLC6A6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</si>
  <si>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</si>
  <si>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</si>
  <si>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</si>
  <si>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</si>
  <si>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</si>
  <si>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</si>
  <si>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</si>
  <si>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P31946_YWHAB</t>
  </si>
  <si>
    <t>P31947_SFN</t>
  </si>
  <si>
    <t>P31948_STIP1</t>
  </si>
  <si>
    <t>P31949_S100A11</t>
  </si>
  <si>
    <t>P32019-3_INPP5B</t>
  </si>
  <si>
    <t>P32119_PRDX2</t>
  </si>
  <si>
    <t>P32121-5_ARRB2</t>
  </si>
  <si>
    <t>P32189-1_GK</t>
  </si>
  <si>
    <t>P32320_CDA</t>
  </si>
  <si>
    <t>P32321-2_DCTD</t>
  </si>
  <si>
    <t>P32322_PYCR1</t>
  </si>
  <si>
    <t>P32519-2_ELF1</t>
  </si>
  <si>
    <t>P32929_CTH</t>
  </si>
  <si>
    <t>P32969_RPL9</t>
  </si>
  <si>
    <t>P33121_ACSL1</t>
  </si>
  <si>
    <t>P33176_KIF5B</t>
  </si>
  <si>
    <t>P33240-2_CSTF2</t>
  </si>
  <si>
    <t>P33316_DUT</t>
  </si>
  <si>
    <t>P33316-2_DUT</t>
  </si>
  <si>
    <t>P33552_CKS2</t>
  </si>
  <si>
    <t>P33764_S100A3</t>
  </si>
  <si>
    <t>P33908_MAN1A1</t>
  </si>
  <si>
    <t>P33981-2_TTK</t>
  </si>
  <si>
    <t>P33991_MCM4</t>
  </si>
  <si>
    <t>P33992_MCM5</t>
  </si>
  <si>
    <t>P33993_MCM7</t>
  </si>
  <si>
    <t>P34059_GALNS</t>
  </si>
  <si>
    <t>P34896-2_SHMT1</t>
  </si>
  <si>
    <t>P34897-3_SHMT2</t>
  </si>
  <si>
    <t>P34932_HSPA4</t>
  </si>
  <si>
    <t>P34949_MPI</t>
  </si>
  <si>
    <t>P35219_CA8</t>
  </si>
  <si>
    <t>P35221_CTNNA1</t>
  </si>
  <si>
    <t>P35227_PCGF2</t>
  </si>
  <si>
    <t>P35232_PHB</t>
  </si>
  <si>
    <t>P35237_SERPINB6</t>
  </si>
  <si>
    <t>P35240-4_NF2</t>
  </si>
  <si>
    <t>P35241_RDX</t>
  </si>
  <si>
    <t>P35244_RPA3</t>
  </si>
  <si>
    <t>P35250_RFC2</t>
  </si>
  <si>
    <t>P35251-2_RFC1</t>
  </si>
  <si>
    <t>P35268_RPL22</t>
  </si>
  <si>
    <t>P35269_GTF2F1</t>
  </si>
  <si>
    <t>P35270_SPR</t>
  </si>
  <si>
    <t>P35318_ADM</t>
  </si>
  <si>
    <t>P35475_IDUA</t>
  </si>
  <si>
    <t>P35573_AGL</t>
  </si>
  <si>
    <t>P35579_MYH9</t>
  </si>
  <si>
    <t>P35580_MYH10</t>
  </si>
  <si>
    <t>P35606_COPB2</t>
  </si>
  <si>
    <t>P35610_SOAT1</t>
  </si>
  <si>
    <t>P35611_ADD1</t>
  </si>
  <si>
    <t>P35613-2_BSG</t>
  </si>
  <si>
    <t>P35626_ADRBK2</t>
  </si>
  <si>
    <t>P35637-2_FUS</t>
  </si>
  <si>
    <t>P35658-2_NUP214</t>
  </si>
  <si>
    <t>P35659_DEK</t>
  </si>
  <si>
    <t>P35754_GLRX</t>
  </si>
  <si>
    <t>P35790_CHKA</t>
  </si>
  <si>
    <t>P35813_PPM1A</t>
  </si>
  <si>
    <t>P35998_PSMC2</t>
  </si>
  <si>
    <t>P36404_ARL2</t>
  </si>
  <si>
    <t>P36405_ARL3</t>
  </si>
  <si>
    <t>P36507_MAP2K2</t>
  </si>
  <si>
    <t>P36542_ATP5C1</t>
  </si>
  <si>
    <t>P36543_ATP6V1E1</t>
  </si>
  <si>
    <t>P36551_CPOX</t>
  </si>
  <si>
    <t>P36578_RPL4</t>
  </si>
  <si>
    <t>P36639-4_NUDT1</t>
  </si>
  <si>
    <t>P36871_PGM1</t>
  </si>
  <si>
    <t>P36873-2_PPP1CC</t>
  </si>
  <si>
    <t>P36915_GNL1</t>
  </si>
  <si>
    <t>P36952_SERPINB5</t>
  </si>
  <si>
    <t>P36954_POLR2I</t>
  </si>
  <si>
    <t>P36955_SERPINF1</t>
  </si>
  <si>
    <t>P36957_DLST</t>
  </si>
  <si>
    <t>P36959_GMPR</t>
  </si>
  <si>
    <t>P36969-2_GPX4</t>
  </si>
  <si>
    <t>P37108_SRP14</t>
  </si>
  <si>
    <t>P37198_NUP62</t>
  </si>
  <si>
    <t>P37235_HPCAL1</t>
  </si>
  <si>
    <t>P37268_FDFT1</t>
  </si>
  <si>
    <t>P37287-3_PIGA</t>
  </si>
  <si>
    <t>P37802_TAGLN2</t>
  </si>
  <si>
    <t>P37837_TALDO1</t>
  </si>
  <si>
    <t>P38117_ETFB</t>
  </si>
  <si>
    <t>P38117-2_ETFB</t>
  </si>
  <si>
    <t>P38159_RBMX</t>
  </si>
  <si>
    <t>P38432_COIL</t>
  </si>
  <si>
    <t>P38435_GGCX</t>
  </si>
  <si>
    <t>P38570_ITGAE</t>
  </si>
  <si>
    <t>P38606_ATP6V1A</t>
  </si>
  <si>
    <t>P38646_HSPA9</t>
  </si>
  <si>
    <t>P38919_EIF4A3</t>
  </si>
  <si>
    <t>P38935_IGHMBP2</t>
  </si>
  <si>
    <t>P39019_RPS19</t>
  </si>
  <si>
    <t>P39023_RPL3</t>
  </si>
  <si>
    <t>P39656_DDOST</t>
  </si>
  <si>
    <t>P39687_ANP32A</t>
  </si>
  <si>
    <t>P39748_FEN1</t>
  </si>
  <si>
    <t>P39880-3_CUX1</t>
  </si>
  <si>
    <t>P40121-2_CAPG</t>
  </si>
  <si>
    <t>P40189-3_IL6ST</t>
  </si>
  <si>
    <t>P40222_TXLNA</t>
  </si>
  <si>
    <t>P40227_CCT6A</t>
  </si>
  <si>
    <t>P40306_PSMB10</t>
  </si>
  <si>
    <t>P40337-3_VHL</t>
  </si>
  <si>
    <t>P40692_MLH1</t>
  </si>
  <si>
    <t>P40763_STAT3</t>
  </si>
  <si>
    <t>P40763-2_STAT3</t>
  </si>
  <si>
    <t>P40818_USP8</t>
  </si>
  <si>
    <t>P40925_MDH1</t>
  </si>
  <si>
    <t>P40926_MDH2</t>
  </si>
  <si>
    <t>P40937_RFC5</t>
  </si>
  <si>
    <t>P40938-2_RFC3</t>
  </si>
  <si>
    <t>P40939_HADHA</t>
  </si>
  <si>
    <t>P41091_EIF2S3</t>
  </si>
  <si>
    <t>P41134_ID1</t>
  </si>
  <si>
    <t>P41182-2_BCL6</t>
  </si>
  <si>
    <t>P41208_CETN2</t>
  </si>
  <si>
    <t>P41212_ETV6</t>
  </si>
  <si>
    <t>P41214_EIF2D</t>
  </si>
  <si>
    <t>P41223_BUD31</t>
  </si>
  <si>
    <t>P41227_NAA10</t>
  </si>
  <si>
    <t>P41229-3_KDM5C</t>
  </si>
  <si>
    <t>P41240_CSK</t>
  </si>
  <si>
    <t>P41247_PNPLA4</t>
  </si>
  <si>
    <t>P41250_GARS</t>
  </si>
  <si>
    <t>P41252_IARS</t>
  </si>
  <si>
    <t>P41440-2_SLC19A1</t>
  </si>
  <si>
    <t>P41567_EIF1</t>
  </si>
  <si>
    <t>P41743_PRKCI</t>
  </si>
  <si>
    <t>P42025_ACTR1B</t>
  </si>
  <si>
    <t>P42126-2_ECI1</t>
  </si>
  <si>
    <t>P42166_TMPO</t>
  </si>
  <si>
    <t>P42167_TMPO</t>
  </si>
  <si>
    <t>P42167-2_TMPO</t>
  </si>
  <si>
    <t>P42224_STAT1</t>
  </si>
  <si>
    <t>P42226_STAT6</t>
  </si>
  <si>
    <t>P42285_SKIV2L2</t>
  </si>
  <si>
    <t>P42330_AKR1C3</t>
  </si>
  <si>
    <t>P42345_MTOR</t>
  </si>
  <si>
    <t>P42566_EPS15</t>
  </si>
  <si>
    <t>P42574_CASP3</t>
  </si>
  <si>
    <t>P42575_CASP2</t>
  </si>
  <si>
    <t>P42677_RPS27</t>
  </si>
  <si>
    <t>P42684-8_ABL2</t>
  </si>
  <si>
    <t>P42685_FRK</t>
  </si>
  <si>
    <t>P42695_NCAPD3</t>
  </si>
  <si>
    <t>P42704_LRPPRC</t>
  </si>
  <si>
    <t>P42765_ACAA2</t>
  </si>
  <si>
    <t>P42766_RPL35</t>
  </si>
  <si>
    <t>P42772_CDKN2B</t>
  </si>
  <si>
    <t>P42785_PRCP</t>
  </si>
  <si>
    <t>P42858_HTT</t>
  </si>
  <si>
    <t>P42892-3_ECE1</t>
  </si>
  <si>
    <t>P42898_MTHFR</t>
  </si>
  <si>
    <t>P43003-2_SLC1A3</t>
  </si>
  <si>
    <t>P43007_SLC1A4</t>
  </si>
  <si>
    <t>P43034_PAFAH1B1</t>
  </si>
  <si>
    <t>P43121_MCAM</t>
  </si>
  <si>
    <t>P43155-2_CRAT</t>
  </si>
  <si>
    <t>P43246_MSH2</t>
  </si>
  <si>
    <t>P43304_GPD2</t>
  </si>
  <si>
    <t>P43307_SSR1</t>
  </si>
  <si>
    <t>P43378_PTPN9</t>
  </si>
  <si>
    <t>P43405_SYK</t>
  </si>
  <si>
    <t>P43487_RANBP1</t>
  </si>
  <si>
    <t>P43490_NAMPT</t>
  </si>
  <si>
    <t>P43686_PSMC4</t>
  </si>
  <si>
    <t>P43897_TSFM</t>
  </si>
  <si>
    <t>P45880_VDAC2</t>
  </si>
  <si>
    <t>P45954_ACADSB</t>
  </si>
  <si>
    <t>P45973_CBX5</t>
  </si>
  <si>
    <t>P45974-2_USP5</t>
  </si>
  <si>
    <t>P45983-3_MAPK8</t>
  </si>
  <si>
    <t>P45984-3_MAPK9</t>
  </si>
  <si>
    <t>P45985_MAP2K4</t>
  </si>
  <si>
    <t>P46013_MKI67</t>
  </si>
  <si>
    <t>P46060_RANGAP1</t>
  </si>
  <si>
    <t>P46063_RECQL</t>
  </si>
  <si>
    <t>P46087_NOP2</t>
  </si>
  <si>
    <t>P46100-2_ATRX</t>
  </si>
  <si>
    <t>P46108_CRK</t>
  </si>
  <si>
    <t>P46108-2_CRK</t>
  </si>
  <si>
    <t>P46109_CRKL</t>
  </si>
  <si>
    <t>P46199_MTIF2</t>
  </si>
  <si>
    <t>P46527_CDKN1B</t>
  </si>
  <si>
    <t>P46531_NOTCH1</t>
  </si>
  <si>
    <t>P46734_MAP2K3</t>
  </si>
  <si>
    <t>P46736-2_BRCC3</t>
  </si>
  <si>
    <t>P46777_RPL5</t>
  </si>
  <si>
    <t>P46778_RPL21</t>
  </si>
  <si>
    <t>P46781_RPS9</t>
  </si>
  <si>
    <t>P46783_RPS10</t>
  </si>
  <si>
    <t>P46926_GNPDA1</t>
  </si>
  <si>
    <t>P46937_YAP1</t>
  </si>
  <si>
    <t>P46939_UTRN</t>
  </si>
  <si>
    <t>P46940_IQGAP1</t>
  </si>
  <si>
    <t>P46976-2_GYG1</t>
  </si>
  <si>
    <t>P46977_STT3A</t>
  </si>
  <si>
    <t>P47224_RABIF</t>
  </si>
  <si>
    <t>P47712_PLA2G4A</t>
  </si>
  <si>
    <t>P47755_CAPZA2</t>
  </si>
  <si>
    <t>P47756-2_CAPZB</t>
  </si>
  <si>
    <t>P47813_EIF1AX</t>
  </si>
  <si>
    <t>P47897_QARS</t>
  </si>
  <si>
    <t>P47914_RPL29</t>
  </si>
  <si>
    <t>P47929_LGALS7</t>
  </si>
  <si>
    <t>P47985_UQCRFS1</t>
  </si>
  <si>
    <t>P48029_SLC6A8</t>
  </si>
  <si>
    <t>P48047_ATP5O</t>
  </si>
  <si>
    <t>P48059_LIMS1</t>
  </si>
  <si>
    <t>P48060_GLIPR1</t>
  </si>
  <si>
    <t>P48067-2_SLC6A9</t>
  </si>
  <si>
    <t>P48147_PREP</t>
  </si>
  <si>
    <t>P48163_ME1</t>
  </si>
  <si>
    <t>P48200_IREB2</t>
  </si>
  <si>
    <t>P48431_SOX2</t>
  </si>
  <si>
    <t>P48436_SOX9</t>
  </si>
  <si>
    <t>P48444_ARCN1</t>
  </si>
  <si>
    <t>P48449_LSS</t>
  </si>
  <si>
    <t>P48454-2_PPP3CC</t>
  </si>
  <si>
    <t>P48506_GCLC</t>
  </si>
  <si>
    <t>P48507_GCLM</t>
  </si>
  <si>
    <t>P48634_PRRC2A</t>
  </si>
  <si>
    <t>P48637_GSS</t>
  </si>
  <si>
    <t>P48643_CCT5</t>
  </si>
  <si>
    <t>P48651_PTDSS1</t>
  </si>
  <si>
    <t>P48723_HSPA13</t>
  </si>
  <si>
    <t>P48728_AMT</t>
  </si>
  <si>
    <t>P48729_CSNK1A1</t>
  </si>
  <si>
    <t>P48730-2_CSNK1D</t>
  </si>
  <si>
    <t>P48735_IDH2</t>
  </si>
  <si>
    <t>P48739_PITPNB</t>
  </si>
  <si>
    <t>P48960-2_CD97</t>
  </si>
  <si>
    <t>P49005_POLD2</t>
  </si>
  <si>
    <t>P49006_MARCKSL1</t>
  </si>
  <si>
    <t>P49069_CAMLG</t>
  </si>
  <si>
    <t>P49116_NR2C2</t>
  </si>
  <si>
    <t>P49137_MAPKAPK2</t>
  </si>
  <si>
    <t>P49189_ALDH9A1</t>
  </si>
  <si>
    <t>P49207_RPL34</t>
  </si>
  <si>
    <t>P49247_RPIA</t>
  </si>
  <si>
    <t>P49257_LMAN1</t>
  </si>
  <si>
    <t>P49321-3_NASP</t>
  </si>
  <si>
    <t>P49327_FASN</t>
  </si>
  <si>
    <t>P49336-2_CDK8</t>
  </si>
  <si>
    <t>P49354_FNTA</t>
  </si>
  <si>
    <t>P49366_DHPS</t>
  </si>
  <si>
    <t>P49368_CCT3</t>
  </si>
  <si>
    <t>P49406_MRPL19</t>
  </si>
  <si>
    <t>P49407-2_ARRB1</t>
  </si>
  <si>
    <t>P49411_TUFM</t>
  </si>
  <si>
    <t>P49419-2_ALDH7A1</t>
  </si>
  <si>
    <t>P49427_CDC34</t>
  </si>
  <si>
    <t>P49441_INPP1</t>
  </si>
  <si>
    <t>P49454_CENPF</t>
  </si>
  <si>
    <t>P49458_SRP9</t>
  </si>
  <si>
    <t>P49459_UBE2A</t>
  </si>
  <si>
    <t>P49585_PCYT1A</t>
  </si>
  <si>
    <t>P49588_AARS</t>
  </si>
  <si>
    <t>P49589-3_CARS</t>
  </si>
  <si>
    <t>P49591_SARS</t>
  </si>
  <si>
    <t>P49642_PRIM1</t>
  </si>
  <si>
    <t>P49643_PRIM2</t>
  </si>
  <si>
    <t>P49662_CASP4</t>
  </si>
  <si>
    <t>P49674_CSNK1E</t>
  </si>
  <si>
    <t>P49711-2_CTCF</t>
  </si>
  <si>
    <t>P49720_PSMB3</t>
  </si>
  <si>
    <t>P49721_PSMB2</t>
  </si>
  <si>
    <t>P49736_MCM2</t>
  </si>
  <si>
    <t>P49748-2_ACADVL</t>
  </si>
  <si>
    <t>P49750-4_YLPM1</t>
  </si>
  <si>
    <t>P49753_ACOT2</t>
  </si>
  <si>
    <t>P49755_TMED10</t>
  </si>
  <si>
    <t>P49756_RBM25</t>
  </si>
  <si>
    <t>P49757-4_NUMB</t>
  </si>
  <si>
    <t>P49770_EIF2B2</t>
  </si>
  <si>
    <t>P49773_HINT1</t>
  </si>
  <si>
    <t>P49789_FHIT</t>
  </si>
  <si>
    <t>P49790_NUP153</t>
  </si>
  <si>
    <t>P49792_RANBP2</t>
  </si>
  <si>
    <t>P49798-3_RGS4</t>
  </si>
  <si>
    <t>P49840_GSK3A</t>
  </si>
  <si>
    <t>P49841_GSK3B</t>
  </si>
  <si>
    <t>P49902_NT5C2</t>
  </si>
  <si>
    <t>P49903_SEPHS1</t>
  </si>
  <si>
    <t>P49914_MTHFS</t>
  </si>
  <si>
    <t>P49915_GMPS</t>
  </si>
  <si>
    <t>P49916_LIG3</t>
  </si>
  <si>
    <t>P49959_MRE11A</t>
  </si>
  <si>
    <t>P49961_ENTPD1</t>
  </si>
  <si>
    <t>P50053_KHK</t>
  </si>
  <si>
    <t>P50148_GNAQ</t>
  </si>
  <si>
    <t>P50151_GNG10</t>
  </si>
  <si>
    <t>P50213_IDH3A</t>
  </si>
  <si>
    <t>P50238_CRIP1</t>
  </si>
  <si>
    <t>P50336_PPOX</t>
  </si>
  <si>
    <t>P50402_EMD</t>
  </si>
  <si>
    <t>P50416-2_CPT1A</t>
  </si>
  <si>
    <t>P50452_SERPINB8</t>
  </si>
  <si>
    <t>P50453_SERPINB9</t>
  </si>
  <si>
    <t>P50454_SERPINH1</t>
  </si>
  <si>
    <t>P50502_ST13</t>
  </si>
  <si>
    <t>P50552_VASP</t>
  </si>
  <si>
    <t>P50570-4_DNM2</t>
  </si>
  <si>
    <t>P50579_METAP2</t>
  </si>
  <si>
    <t>P50583_NUDT2</t>
  </si>
  <si>
    <t>P50613_CDK7</t>
  </si>
  <si>
    <t>P50747_HLCS</t>
  </si>
  <si>
    <t>P50748_KNTC1</t>
  </si>
  <si>
    <t>P50750_CDK9</t>
  </si>
  <si>
    <t>P50895_BCAM</t>
  </si>
  <si>
    <t>P50897_PPT1</t>
  </si>
  <si>
    <t>P50990_CCT8</t>
  </si>
  <si>
    <t>P50991_CCT4</t>
  </si>
  <si>
    <t>P51116_FXR2</t>
  </si>
  <si>
    <t>P51148_RAB5C</t>
  </si>
  <si>
    <t>P51149_RAB7A</t>
  </si>
  <si>
    <t>P51151_RAB9A</t>
  </si>
  <si>
    <t>P51153_RAB13</t>
  </si>
  <si>
    <t>P51157_RAB28</t>
  </si>
  <si>
    <t>P51161_FABP6</t>
  </si>
  <si>
    <t>P51397_DAP</t>
  </si>
  <si>
    <t>P51398-2_DAP3</t>
  </si>
  <si>
    <t>P51452_DUSP3</t>
  </si>
  <si>
    <t>P51531-2_SMARCA2</t>
  </si>
  <si>
    <t>P51553_IDH3G</t>
  </si>
  <si>
    <t>P51570_GALK1</t>
  </si>
  <si>
    <t>P51571_SSR4</t>
  </si>
  <si>
    <t>P51572_BCAP31</t>
  </si>
  <si>
    <t>P51580_TPMT</t>
  </si>
  <si>
    <t>P51608_MECP2</t>
  </si>
  <si>
    <t>P51610-2_HCFC1</t>
  </si>
  <si>
    <t>P51648_ALDH3A2</t>
  </si>
  <si>
    <t>P51659_HSD17B4</t>
  </si>
  <si>
    <t>P51665_PSMD7</t>
  </si>
  <si>
    <t>P51687_SUOX</t>
  </si>
  <si>
    <t>P51688_SGSH</t>
  </si>
  <si>
    <t>P51787-2_KCNQ1</t>
  </si>
  <si>
    <t>P51790-4_CLCN3</t>
  </si>
  <si>
    <t>P51797_CLCN6</t>
  </si>
  <si>
    <t>P51798-2_CLCN7</t>
  </si>
  <si>
    <t>P51805_PLXNA3</t>
  </si>
  <si>
    <t>P51809_VAMP7</t>
  </si>
  <si>
    <t>P51812_RPS6KA3</t>
  </si>
  <si>
    <t>P51817_PRKX</t>
  </si>
  <si>
    <t>P51857-2_AKR1D1</t>
  </si>
  <si>
    <t>P51858_HDGF</t>
  </si>
  <si>
    <t>P51946_CCNH</t>
  </si>
  <si>
    <t>P51948-2_MNAT1</t>
  </si>
  <si>
    <t>P51970_NDUFA8</t>
  </si>
  <si>
    <t>P51991_HNRNPA3</t>
  </si>
  <si>
    <t>P52272-2_HNRNPM</t>
  </si>
  <si>
    <t>P52292_KPNA2</t>
  </si>
  <si>
    <t>P52294_KPNA1</t>
  </si>
  <si>
    <t>P52298_NCBP2</t>
  </si>
  <si>
    <t>P52306_RAP1GDS1</t>
  </si>
  <si>
    <t>P52306-4_RAP1GDS1</t>
  </si>
  <si>
    <t>P52564_MAP2K6</t>
  </si>
  <si>
    <t>P52565_ARHGDIA</t>
  </si>
  <si>
    <t>P52597_HNRNPF</t>
  </si>
  <si>
    <t>P52630-4_STAT2</t>
  </si>
  <si>
    <t>P52655_GTF2A1</t>
  </si>
  <si>
    <t>P52657_GTF2A2</t>
  </si>
  <si>
    <t>P52701_MSH6</t>
  </si>
  <si>
    <t>P52732_KIF11</t>
  </si>
  <si>
    <t>P52735-3_VAV2</t>
  </si>
  <si>
    <t>P52756_RBM5</t>
  </si>
  <si>
    <t>P52758_HRSP12</t>
  </si>
  <si>
    <t>P52788_SMS</t>
  </si>
  <si>
    <t>P52789_HK2</t>
  </si>
  <si>
    <t>P52798-2_EFNA4</t>
  </si>
  <si>
    <t>P52799_EFNB2</t>
  </si>
  <si>
    <t>P52888_THOP1</t>
  </si>
  <si>
    <t>P52895_AKR1C2</t>
  </si>
  <si>
    <t>P52907_CAPZA1</t>
  </si>
  <si>
    <t>P52943_CRIP2</t>
  </si>
  <si>
    <t>P52948-6_NUP98</t>
  </si>
  <si>
    <t>P53004_BLVRA</t>
  </si>
  <si>
    <t>P53007_SLC25A1</t>
  </si>
  <si>
    <t>P53365_ARFIP2</t>
  </si>
  <si>
    <t>P53367-2_ARFIP1</t>
  </si>
  <si>
    <t>P53370_NUDT6</t>
  </si>
  <si>
    <t>P53384-2_NUBP1</t>
  </si>
  <si>
    <t>P53396_ACLY</t>
  </si>
  <si>
    <t>P53567_CEBPG</t>
  </si>
  <si>
    <t>P53582_METAP1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</si>
  <si>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</si>
  <si>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</si>
  <si>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</si>
  <si>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</si>
  <si>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</si>
  <si>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</si>
  <si>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</si>
  <si>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P53677_AP3M2</t>
  </si>
  <si>
    <t>P53701_HCCS</t>
  </si>
  <si>
    <t>P53778_MAPK12</t>
  </si>
  <si>
    <t>P53794_SLC5A3</t>
  </si>
  <si>
    <t>P53803_POLR2K</t>
  </si>
  <si>
    <t>P53814-5_SMTN</t>
  </si>
  <si>
    <t>P53816_PLA2G16</t>
  </si>
  <si>
    <t>P53985_SLC16A1</t>
  </si>
  <si>
    <t>P53990-2_IST1</t>
  </si>
  <si>
    <t>P53992_SEC24C</t>
  </si>
  <si>
    <t>P53999_SUB1</t>
  </si>
  <si>
    <t>P54098_POLG</t>
  </si>
  <si>
    <t>P54136_RARS</t>
  </si>
  <si>
    <t>P54136-2_RARS</t>
  </si>
  <si>
    <t>P54253_ATXN1</t>
  </si>
  <si>
    <t>P54259_ATN1</t>
  </si>
  <si>
    <t>P54577_YARS</t>
  </si>
  <si>
    <t>P54578_USP14</t>
  </si>
  <si>
    <t>P54619-2_PRKAG1</t>
  </si>
  <si>
    <t>P54709_ATP1B3</t>
  </si>
  <si>
    <t>P54727_RAD23B</t>
  </si>
  <si>
    <t>P54753_EPHB3</t>
  </si>
  <si>
    <t>P54764_EPHA4</t>
  </si>
  <si>
    <t>P54802_NAGLU</t>
  </si>
  <si>
    <t>P54819_AK2</t>
  </si>
  <si>
    <t>P54886-2_ALDH18A1</t>
  </si>
  <si>
    <t>P54920_NAPA</t>
  </si>
  <si>
    <t>P55010_EIF5</t>
  </si>
  <si>
    <t>P55011-3_SLC12A2</t>
  </si>
  <si>
    <t>P55036_PSMD4</t>
  </si>
  <si>
    <t>P55039_DRG2</t>
  </si>
  <si>
    <t>P55060-3_CSE1L</t>
  </si>
  <si>
    <t>P55072_VCP</t>
  </si>
  <si>
    <t>P55081_MFAP1</t>
  </si>
  <si>
    <t>P55082-2_MFAP3</t>
  </si>
  <si>
    <t>P55145_MANF</t>
  </si>
  <si>
    <t>P55198_MLLT6</t>
  </si>
  <si>
    <t>P55199_ELL</t>
  </si>
  <si>
    <t>P55210_CASP7</t>
  </si>
  <si>
    <t>P55211_CASP9</t>
  </si>
  <si>
    <t>P55212_CASP6</t>
  </si>
  <si>
    <t>P55263_ADK</t>
  </si>
  <si>
    <t>P55268_LAMB2</t>
  </si>
  <si>
    <t>P55273_CDKN2D</t>
  </si>
  <si>
    <t>P55327-2_TPD52</t>
  </si>
  <si>
    <t>P55735_SEC13</t>
  </si>
  <si>
    <t>P55789_GFER</t>
  </si>
  <si>
    <t>P55795_HNRNPH2</t>
  </si>
  <si>
    <t>P55809_OXCT1</t>
  </si>
  <si>
    <t>P55884_EIF3B</t>
  </si>
  <si>
    <t>P55957_BID</t>
  </si>
  <si>
    <t>P56181_NDUFV3</t>
  </si>
  <si>
    <t>P56181-2_NDUFV3</t>
  </si>
  <si>
    <t>P56182_RRP1</t>
  </si>
  <si>
    <t>P56192_MARS</t>
  </si>
  <si>
    <t>P56199_ITGA1</t>
  </si>
  <si>
    <t>P56211_ARPP19</t>
  </si>
  <si>
    <t>P56270-2_MAZ</t>
  </si>
  <si>
    <t>P56277_CMC4</t>
  </si>
  <si>
    <t>P56378_MP68</t>
  </si>
  <si>
    <t>P56381_ATP5E</t>
  </si>
  <si>
    <t>P56385_ATP5I</t>
  </si>
  <si>
    <t>P56524_HDAC4</t>
  </si>
  <si>
    <t>P56537_EIF6</t>
  </si>
  <si>
    <t>P56545-2_CTBP2</t>
  </si>
  <si>
    <t>P56556_NDUFA6</t>
  </si>
  <si>
    <t>P56559_ARL4C</t>
  </si>
  <si>
    <t>P56589_PEX3</t>
  </si>
  <si>
    <t>P56937-3_HSD17B7</t>
  </si>
  <si>
    <t>P56945-5_BCAR1</t>
  </si>
  <si>
    <t>P56962_STX17</t>
  </si>
  <si>
    <t>P57054-3_PIGP</t>
  </si>
  <si>
    <t>P57060_RWDD2B</t>
  </si>
  <si>
    <t>P57076_C21orf59</t>
  </si>
  <si>
    <t>P57081-2_WDR4</t>
  </si>
  <si>
    <t>P57088_TMEM33</t>
  </si>
  <si>
    <t>P57105_SYNJ2BP</t>
  </si>
  <si>
    <t>P57682_KLF3</t>
  </si>
  <si>
    <t>P57735_RAB25</t>
  </si>
  <si>
    <t>P57737-3_CORO7</t>
  </si>
  <si>
    <t>P57740_NUP107</t>
  </si>
  <si>
    <t>P57772_EEFSEC</t>
  </si>
  <si>
    <t>P58546_MTPN</t>
  </si>
  <si>
    <t>P59998_ARPC4</t>
  </si>
  <si>
    <t>P60059_SEC61G</t>
  </si>
  <si>
    <t>P60174_TPI1</t>
  </si>
  <si>
    <t>P60228_EIF3E</t>
  </si>
  <si>
    <t>P60468_SEC61B</t>
  </si>
  <si>
    <t>P60484_PTEN</t>
  </si>
  <si>
    <t>P60510_PPP4C</t>
  </si>
  <si>
    <t>P60602_ROMO1</t>
  </si>
  <si>
    <t>P60604-2_UBE2G2</t>
  </si>
  <si>
    <t>P60709_ACTB</t>
  </si>
  <si>
    <t>P60763_RAC3</t>
  </si>
  <si>
    <t>P60842_EIF4A1</t>
  </si>
  <si>
    <t>P60866_RPS20</t>
  </si>
  <si>
    <t>P60891_PRPS1</t>
  </si>
  <si>
    <t>P60896_SHFM1</t>
  </si>
  <si>
    <t>P60903_S100A10</t>
  </si>
  <si>
    <t>P60953_CDC42</t>
  </si>
  <si>
    <t>P60981_DSTN</t>
  </si>
  <si>
    <t>P60983_GMFB</t>
  </si>
  <si>
    <t>P61006_RAB8A</t>
  </si>
  <si>
    <t>P61009_SPCS3</t>
  </si>
  <si>
    <t>P61011_SRP54</t>
  </si>
  <si>
    <t>P61018_RAB4B</t>
  </si>
  <si>
    <t>P61019_RAB2A</t>
  </si>
  <si>
    <t>P61020_RAB5B</t>
  </si>
  <si>
    <t>P61024_CKS1B</t>
  </si>
  <si>
    <t>P61026_RAB10</t>
  </si>
  <si>
    <t>P61077_UBE2D3</t>
  </si>
  <si>
    <t>P61081_UBE2M</t>
  </si>
  <si>
    <t>P61086_UBE2K</t>
  </si>
  <si>
    <t>P61088_UBE2N</t>
  </si>
  <si>
    <t>P61106_RAB14</t>
  </si>
  <si>
    <t>P61129_ZC3H6</t>
  </si>
  <si>
    <t>P61158_ACTR3</t>
  </si>
  <si>
    <t>P61160_ACTR2</t>
  </si>
  <si>
    <t>P61163_ACTR1A</t>
  </si>
  <si>
    <t>P61201_COPS2</t>
  </si>
  <si>
    <t>P61204_ARF3</t>
  </si>
  <si>
    <t>P61218_POLR2F</t>
  </si>
  <si>
    <t>P61221_ABCE1</t>
  </si>
  <si>
    <t>P61224_RAP1B</t>
  </si>
  <si>
    <t>P61225_RAP2B</t>
  </si>
  <si>
    <t>P61244-2_MAX</t>
  </si>
  <si>
    <t>P61247_RPS3A</t>
  </si>
  <si>
    <t>P61254_RPL26</t>
  </si>
  <si>
    <t>P61289_PSME3</t>
  </si>
  <si>
    <t>P61326_MAGOH</t>
  </si>
  <si>
    <t>P61353_RPL27</t>
  </si>
  <si>
    <t>P61457_PCBD1</t>
  </si>
  <si>
    <t>P61586_RHOA</t>
  </si>
  <si>
    <t>P61599_NAA20</t>
  </si>
  <si>
    <t>P61601_NCALD</t>
  </si>
  <si>
    <t>P61604_HSPE1</t>
  </si>
  <si>
    <t>P61758_VBP1</t>
  </si>
  <si>
    <t>P61764_STXBP1</t>
  </si>
  <si>
    <t>P61769_B2M</t>
  </si>
  <si>
    <t>P61812_TGFB2</t>
  </si>
  <si>
    <t>P61927_RPL37</t>
  </si>
  <si>
    <t>P61962_DCAF7</t>
  </si>
  <si>
    <t>P61964_WDR5</t>
  </si>
  <si>
    <t>P61966_AP1S1</t>
  </si>
  <si>
    <t>P61970_NUTF2</t>
  </si>
  <si>
    <t>P61978-3_HNRNPK</t>
  </si>
  <si>
    <t>P61981_YWHAG</t>
  </si>
  <si>
    <t>P62070_RRAS2</t>
  </si>
  <si>
    <t>P62072_TIMM10</t>
  </si>
  <si>
    <t>P62081_RPS7</t>
  </si>
  <si>
    <t>P62136_PPP1CA</t>
  </si>
  <si>
    <t>P62140_PPP1CB</t>
  </si>
  <si>
    <t>P62191_PSMC1</t>
  </si>
  <si>
    <t>P62195-2_PSMC5</t>
  </si>
  <si>
    <t>P62241_RPS8</t>
  </si>
  <si>
    <t>P62249_RPS16</t>
  </si>
  <si>
    <t>P62258_YWHAE</t>
  </si>
  <si>
    <t>P62263_RPS14</t>
  </si>
  <si>
    <t>P62266_RPS23</t>
  </si>
  <si>
    <t>P62269_RPS18</t>
  </si>
  <si>
    <t>P62273_RPS29</t>
  </si>
  <si>
    <t>P62277_RPS13</t>
  </si>
  <si>
    <t>P62280_RPS11</t>
  </si>
  <si>
    <t>P62304_SNRPE</t>
  </si>
  <si>
    <t>P62306_SNRPF</t>
  </si>
  <si>
    <t>P62308_SNRPG</t>
  </si>
  <si>
    <t>P62310_LSM3</t>
  </si>
  <si>
    <t>P62312_LSM6</t>
  </si>
  <si>
    <t>P62314_SNRPD1</t>
  </si>
  <si>
    <t>P62316_SNRPD2</t>
  </si>
  <si>
    <t>P62324_BTG1</t>
  </si>
  <si>
    <t>P62328_TMSB4X</t>
  </si>
  <si>
    <t>P62330_ARF6</t>
  </si>
  <si>
    <t>P62333_PSMC6</t>
  </si>
  <si>
    <t>P62341_SELT</t>
  </si>
  <si>
    <t>P62380_TBPL1</t>
  </si>
  <si>
    <t>P62424_RPL7A</t>
  </si>
  <si>
    <t>P62487_POLR2G</t>
  </si>
  <si>
    <t>P62495_ETF1</t>
  </si>
  <si>
    <t>P62633-2_CNBP</t>
  </si>
  <si>
    <t>P62633-4_CNBP</t>
  </si>
  <si>
    <t>P62633-5_CNBP</t>
  </si>
  <si>
    <t>P62701_RPS4X</t>
  </si>
  <si>
    <t>P62714_PPP2CB</t>
  </si>
  <si>
    <t>P62745_RHOB</t>
  </si>
  <si>
    <t>P62750_RPL23A</t>
  </si>
  <si>
    <t>P62753_RPS6</t>
  </si>
  <si>
    <t>P62760_VSNL1</t>
  </si>
  <si>
    <t>P62805_HIST1H4A</t>
  </si>
  <si>
    <t>P62820_RAB1A</t>
  </si>
  <si>
    <t>P62829_RPL23</t>
  </si>
  <si>
    <t>P62834_RAP1A</t>
  </si>
  <si>
    <t>P62837_UBE2D2</t>
  </si>
  <si>
    <t>P62851_RPS25</t>
  </si>
  <si>
    <t>P62854_RPS26</t>
  </si>
  <si>
    <t>P62857_RPS28</t>
  </si>
  <si>
    <t>P62873_GNB1</t>
  </si>
  <si>
    <t>P62877_RBX1</t>
  </si>
  <si>
    <t>P62879_GNB2</t>
  </si>
  <si>
    <t>P62906_RPL10A</t>
  </si>
  <si>
    <t>P62913-2_RPL11</t>
  </si>
  <si>
    <t>P62917_RPL8</t>
  </si>
  <si>
    <t>P62937_PPIA</t>
  </si>
  <si>
    <t>P62942_FKBP1A</t>
  </si>
  <si>
    <t>P62979_RPS27A</t>
  </si>
  <si>
    <t>P62987_UBA52</t>
  </si>
  <si>
    <t>P62993_GRB2</t>
  </si>
  <si>
    <t>P62995-3_TRA2B</t>
  </si>
  <si>
    <t>P63000_RAC1</t>
  </si>
  <si>
    <t>P63010_AP2B1</t>
  </si>
  <si>
    <t>P63092-3_GNAS</t>
  </si>
  <si>
    <t>P63096_GNAI1</t>
  </si>
  <si>
    <t>P63104_YWHAZ</t>
  </si>
  <si>
    <t>P63151_PPP2R2A</t>
  </si>
  <si>
    <t>P63167_DYNLL1</t>
  </si>
  <si>
    <t>P63173_RPL38</t>
  </si>
  <si>
    <t>P63218_GNG5</t>
  </si>
  <si>
    <t>P63244_GNB2L1</t>
  </si>
  <si>
    <t>P63272_SUPT4H1</t>
  </si>
  <si>
    <t>P67775_PPP2CA</t>
  </si>
  <si>
    <t>P67809_YBX1</t>
  </si>
  <si>
    <t>P67936_TPM4</t>
  </si>
  <si>
    <t>P68036_UBE2L3</t>
  </si>
  <si>
    <t>P68104_EEF1A1</t>
  </si>
  <si>
    <t>P68133_ACTA1</t>
  </si>
  <si>
    <t>P68363_TUBA1B</t>
  </si>
  <si>
    <t>P68371_TUBB4B</t>
  </si>
  <si>
    <t>P68402_PAFAH1B2</t>
  </si>
  <si>
    <t>P69905_HBA1</t>
  </si>
  <si>
    <t>P78310_CXADR</t>
  </si>
  <si>
    <t>P78318_IGBP1</t>
  </si>
  <si>
    <t>P78330_PSPH</t>
  </si>
  <si>
    <t>P78332_RBM6</t>
  </si>
  <si>
    <t>P78345_RPP38</t>
  </si>
  <si>
    <t>P78346_RPP30</t>
  </si>
  <si>
    <t>P78347-2_GTF2I</t>
  </si>
  <si>
    <t>P78356_PIP4K2B</t>
  </si>
  <si>
    <t>P78368_CSNK1G2</t>
  </si>
  <si>
    <t>P78371_CCT2</t>
  </si>
  <si>
    <t>P78406_RAE1</t>
  </si>
  <si>
    <t>P78417_GSTO1</t>
  </si>
  <si>
    <t>P78524_ST5</t>
  </si>
  <si>
    <t>P78527_PRKDC</t>
  </si>
  <si>
    <t>P78536_ADAM17</t>
  </si>
  <si>
    <t>P78540_ARG2</t>
  </si>
  <si>
    <t>P78549_NTHL1</t>
  </si>
  <si>
    <t>P80217_IFI35</t>
  </si>
  <si>
    <t>P80294_MT1H</t>
  </si>
  <si>
    <t>P80297_MT1X</t>
  </si>
  <si>
    <t>P80303_NUCB2</t>
  </si>
  <si>
    <t>P80723_BASP1</t>
  </si>
  <si>
    <t>P81605_DCD</t>
  </si>
  <si>
    <t>P82094_TMF1</t>
  </si>
  <si>
    <t>P82664_MRPS10</t>
  </si>
  <si>
    <t>P82673_MRPS35</t>
  </si>
  <si>
    <t>P82675_MRPS5</t>
  </si>
  <si>
    <t>P82909_MRPS36</t>
  </si>
  <si>
    <t>P82912-2_MRPS11</t>
  </si>
  <si>
    <t>P82930_MRPS34</t>
  </si>
  <si>
    <t>P82932_MRPS6</t>
  </si>
  <si>
    <t>P82933_MRPS9</t>
  </si>
  <si>
    <t>P82979_SARNP</t>
  </si>
  <si>
    <t>P83111_LACTB</t>
  </si>
  <si>
    <t>P83436_COG7</t>
  </si>
  <si>
    <t>P83731_RPL24</t>
  </si>
  <si>
    <t>P84085_ARF5</t>
  </si>
  <si>
    <t>P84090_ERH</t>
  </si>
  <si>
    <t>P84095_RHOG</t>
  </si>
  <si>
    <t>P84101-4_SERF2</t>
  </si>
  <si>
    <t>P84157_MXRA7</t>
  </si>
  <si>
    <t>P84157-2_MXRA7</t>
  </si>
  <si>
    <t>P85037_FOXK1</t>
  </si>
  <si>
    <t>P86397_RPP14</t>
  </si>
  <si>
    <t>P86791_CCZ1</t>
  </si>
  <si>
    <t>P98155-2_VLDLR</t>
  </si>
  <si>
    <t>P98172_EFNB1</t>
  </si>
  <si>
    <t>P98173-3_FAM3A</t>
  </si>
  <si>
    <t>P98175-2_RBM10</t>
  </si>
  <si>
    <t>P98179_RBM3</t>
  </si>
  <si>
    <t>P98194-2_ATP2C1</t>
  </si>
  <si>
    <t>P99999_CYCS</t>
  </si>
  <si>
    <t>Q00059_TFAM</t>
  </si>
  <si>
    <t>Q00169_PITPNA</t>
  </si>
  <si>
    <t>Q00266_MAT1A</t>
  </si>
  <si>
    <t>Q00325-2_SLC25A3</t>
  </si>
  <si>
    <t>Q00341_HDLBP</t>
  </si>
  <si>
    <t>Q00403_GTF2B</t>
  </si>
  <si>
    <t>Q00534_CDK6</t>
  </si>
  <si>
    <t>Q00535_CDK5</t>
  </si>
  <si>
    <t>Q00577_PURA</t>
  </si>
  <si>
    <t>Q00587-2_CDC42EP1</t>
  </si>
  <si>
    <t>Q00610-2_CLTC</t>
  </si>
  <si>
    <t>Q00613-2_HSF1</t>
  </si>
  <si>
    <t>Q00653-4_NFKB2</t>
  </si>
  <si>
    <t>Q00688_FKBP3</t>
  </si>
  <si>
    <t>Q00765_REEP5</t>
  </si>
  <si>
    <t>Q00796_SORD</t>
  </si>
  <si>
    <t>Q00839-2_HNRNPU</t>
  </si>
  <si>
    <t>Q01081_U2AF1</t>
  </si>
  <si>
    <t>Q01082_SPTBN1</t>
  </si>
  <si>
    <t>Q01082-3_SPTBN1</t>
  </si>
  <si>
    <t>Q01085-2_TIAL1</t>
  </si>
  <si>
    <t>Q01105_SET</t>
  </si>
  <si>
    <t>Q01105-2_SET</t>
  </si>
  <si>
    <t>Q01130_SRSF2</t>
  </si>
  <si>
    <t>Q01151_CD83</t>
  </si>
  <si>
    <t>Q01167_FOXK2</t>
  </si>
  <si>
    <t>Q01469_FABP5</t>
  </si>
  <si>
    <t>Q01518-2_CAP1</t>
  </si>
  <si>
    <t>Q01523_DEFA5</t>
  </si>
  <si>
    <t>Q01581_HMGCS1</t>
  </si>
  <si>
    <t>Q01650_SLC7A5</t>
  </si>
  <si>
    <t>Q01658_DR1</t>
  </si>
  <si>
    <t>Q01780-2_EXOSC10</t>
  </si>
  <si>
    <t>Q01813_PFKP</t>
  </si>
  <si>
    <t>Q01968-2_OCRL</t>
  </si>
  <si>
    <t>Q01970_PLCB3</t>
  </si>
  <si>
    <t>Q01995_TAGLN</t>
  </si>
  <si>
    <t>Q02040_AKAP17A</t>
  </si>
  <si>
    <t>Q02083-2_NAAA</t>
  </si>
  <si>
    <t>Q02127_DHODH</t>
  </si>
  <si>
    <t>Q02156_PRKCE</t>
  </si>
  <si>
    <t>Q02241_KIF23</t>
  </si>
  <si>
    <t>Q02252_ALDH6A1</t>
  </si>
  <si>
    <t>Q02318_CYP27A1</t>
  </si>
  <si>
    <t>Q02338_BDH1</t>
  </si>
  <si>
    <t>Q02383_SEMG2</t>
  </si>
  <si>
    <t>Q02446_SP4</t>
  </si>
  <si>
    <t>Q02487-2_DSC2</t>
  </si>
  <si>
    <t>Q02543_RPL18A</t>
  </si>
  <si>
    <t>Q02742_GCNT1</t>
  </si>
  <si>
    <t>Q02750_MAP2K1</t>
  </si>
  <si>
    <t>Q02790_FKBP4</t>
  </si>
  <si>
    <t>Q02809_PLOD1</t>
  </si>
  <si>
    <t>Q02818_NUCB1</t>
  </si>
  <si>
    <t>Q02878_RPL6</t>
  </si>
  <si>
    <t>Q02880-2_TOP2B</t>
  </si>
  <si>
    <t>Q02952-3_AKAP12</t>
  </si>
  <si>
    <t>Q03001_DST</t>
  </si>
  <si>
    <t>Q03111_MLLT1</t>
  </si>
  <si>
    <t>Q03113_GNA12</t>
  </si>
  <si>
    <t>Q03154_ACY1</t>
  </si>
  <si>
    <t>Q03169_TNFAIP2</t>
  </si>
  <si>
    <t>Q03393_PTS</t>
  </si>
  <si>
    <t>Q03519_TAP2</t>
  </si>
  <si>
    <t>Q03701_CEBPZ</t>
  </si>
  <si>
    <t>Q04446_GBE1</t>
  </si>
  <si>
    <t>Q04637-5_EIF4G1</t>
  </si>
  <si>
    <t>Q04656-5_ATP7A</t>
  </si>
  <si>
    <t>Q04721_NOTCH2</t>
  </si>
  <si>
    <t>Q04724_TLE1</t>
  </si>
  <si>
    <t>Q04726-5_TLE3</t>
  </si>
  <si>
    <t>Q04759_PRKCQ</t>
  </si>
  <si>
    <t>Q04760_GLO1</t>
  </si>
  <si>
    <t>Q04828_AKR1C1</t>
  </si>
  <si>
    <t>Q04837_SSBP1</t>
  </si>
  <si>
    <t>Q04917_YWHAH</t>
  </si>
  <si>
    <t>Q04941_PLP2</t>
  </si>
  <si>
    <t>Q05048_CSTF1</t>
  </si>
  <si>
    <t>Q05084_ICA1</t>
  </si>
  <si>
    <t>Q05086-3_UBE3A</t>
  </si>
  <si>
    <t>Q05193-5_DNM1</t>
  </si>
  <si>
    <t>Q05209_PTPN12</t>
  </si>
  <si>
    <t>Q05513_PRKCZ</t>
  </si>
  <si>
    <t>Q05519-2_SRSF11</t>
  </si>
  <si>
    <t>Q05639_EEF1A2</t>
  </si>
  <si>
    <t>Q05655_PRKCD</t>
  </si>
  <si>
    <t>Q05682-5_CALD1</t>
  </si>
  <si>
    <t>Q05932-3_FPGS</t>
  </si>
  <si>
    <t>Q05D32-2_CTDSPL2</t>
  </si>
  <si>
    <t>Q06124-2_PTPN11</t>
  </si>
  <si>
    <t>Q06136_KDSR</t>
  </si>
  <si>
    <t>Q06203_PPAT</t>
  </si>
  <si>
    <t>Q06210-2_GFPT1</t>
  </si>
  <si>
    <t>Q06265_EXOSC9</t>
  </si>
  <si>
    <t>Q06323_PSME1</t>
  </si>
  <si>
    <t>Q06330-5_RBPJ</t>
  </si>
  <si>
    <t>Q06481_APLP2</t>
  </si>
  <si>
    <t>Q06546_GABPA</t>
  </si>
  <si>
    <t>Q06587_RING1</t>
  </si>
  <si>
    <t>Q06609-3_RAD51</t>
  </si>
  <si>
    <t>Q06787-8_FMR1</t>
  </si>
  <si>
    <t>Q06830_PRDX1</t>
  </si>
  <si>
    <t>Q07021_C1QBP</t>
  </si>
  <si>
    <t>Q07065_CKAP4</t>
  </si>
  <si>
    <t>Q07654_TFF3</t>
  </si>
  <si>
    <t>Q07666_KHDRBS1</t>
  </si>
  <si>
    <t>Q07812-5_BAX</t>
  </si>
  <si>
    <t>Q07820_MCL1</t>
  </si>
  <si>
    <t>Q07866-6_KLC1</t>
  </si>
  <si>
    <t>Q07954_LRP1</t>
  </si>
  <si>
    <t>Q07960_ARHGAP1</t>
  </si>
  <si>
    <t>Q08170_SRSF4</t>
  </si>
  <si>
    <t>Q08209-2_PPP3CA</t>
  </si>
  <si>
    <t>Q08211_DHX9</t>
  </si>
  <si>
    <t>Q08257_CRYZ</t>
  </si>
  <si>
    <t>Q08357_SLC20A2</t>
  </si>
  <si>
    <t>Q08378_GOLGA3</t>
  </si>
  <si>
    <t>Q08379_GOLGA2</t>
  </si>
  <si>
    <t>Q08380_LGALS3BP</t>
  </si>
  <si>
    <t>Q08426_EHHADH</t>
  </si>
  <si>
    <t>Q08722_CD47</t>
  </si>
  <si>
    <t>Q08752_PPID</t>
  </si>
  <si>
    <t>Q08945_SSRP1</t>
  </si>
  <si>
    <t>Q08AF3_SLFN5</t>
  </si>
  <si>
    <t>Q08AG7_MZT1</t>
  </si>
  <si>
    <t>Q08AM6_VAC14</t>
  </si>
  <si>
    <t>Q08E86_KIAA0100</t>
  </si>
  <si>
    <t>Q08J23_NSUN2</t>
  </si>
  <si>
    <t>Q09028-3_RBBP4</t>
  </si>
  <si>
    <t>Q09161_NCBP1</t>
  </si>
  <si>
    <t>Q09328_MGAT5</t>
  </si>
  <si>
    <t>Q09472_EP300</t>
  </si>
  <si>
    <t>Q09666_AHNAK</t>
  </si>
  <si>
    <t>Q0JRZ9_FCHO2</t>
  </si>
  <si>
    <t>Q0PNE2_ELP6</t>
  </si>
  <si>
    <t>Q0VDF9_HSPA14</t>
  </si>
  <si>
    <t>Q0VDG4-2_SCRN3</t>
  </si>
  <si>
    <t>Q0VG06_FAAP100</t>
  </si>
  <si>
    <t>Q0VGL1_LAMTOR4</t>
  </si>
  <si>
    <t>Q10469_MGAT2</t>
  </si>
  <si>
    <t>Q10471_GALNT2</t>
  </si>
  <si>
    <t>Q10567-3_AP1B1</t>
  </si>
  <si>
    <t>Q10570_CPSF1</t>
  </si>
  <si>
    <t>Q10713_PMPCA</t>
  </si>
  <si>
    <t>Q11206-3_ST3GAL4</t>
  </si>
  <si>
    <t>Q12765_SCRN1</t>
  </si>
  <si>
    <t>Q12768_KIAA0196</t>
  </si>
  <si>
    <t>Q12770_SCAP</t>
  </si>
  <si>
    <t>Q12774_ARHGEF5</t>
  </si>
  <si>
    <t>Q12788_TBL3</t>
  </si>
  <si>
    <t>Q12789-3_GTF3C1</t>
  </si>
  <si>
    <t>Q12792_TWF1</t>
  </si>
  <si>
    <t>Q12796_PNRC1</t>
  </si>
  <si>
    <t>Q12797_ASPH</t>
  </si>
  <si>
    <t>Q12800-4_TFCP2</t>
  </si>
  <si>
    <t>Q12802-4_AKAP13</t>
  </si>
  <si>
    <t>Q12830-4_BPTF</t>
  </si>
  <si>
    <t>Q12834_CDC20</t>
  </si>
  <si>
    <t>Q12846_STX4</t>
  </si>
  <si>
    <t>Q12872_SFSWAP</t>
  </si>
  <si>
    <t>Q12874_SF3A3</t>
  </si>
  <si>
    <t>Q12888_TP53BP1</t>
  </si>
  <si>
    <t>Q12894_IFRD2</t>
  </si>
  <si>
    <t>Q12904_AIMP1</t>
  </si>
  <si>
    <t>Q12905_ILF2</t>
  </si>
  <si>
    <t>Q12906_ILF3</t>
  </si>
  <si>
    <t>Q12907_LMAN2</t>
  </si>
  <si>
    <t>Q12929_EPS8</t>
  </si>
  <si>
    <t>Q12933-3_TRAF2</t>
  </si>
  <si>
    <t>Q12955_ANK3</t>
  </si>
  <si>
    <t>Q12959-5_DLG1</t>
  </si>
  <si>
    <t>Q12962_TAF10</t>
  </si>
  <si>
    <t>Q12965_MYO1E</t>
  </si>
  <si>
    <t>Q12972_PPP1R8</t>
  </si>
  <si>
    <t>Q12981_BNIP1</t>
  </si>
  <si>
    <t>Q12986_NFX1</t>
  </si>
  <si>
    <t>Q12996_CSTF3</t>
  </si>
  <si>
    <t>Q13011_ECH1</t>
  </si>
  <si>
    <t>Q13015_MLLT11</t>
  </si>
  <si>
    <t>Q13017-2_ARHGAP5</t>
  </si>
  <si>
    <t>Q13033-2_STRN3</t>
  </si>
  <si>
    <t>Q13043_STK4</t>
  </si>
  <si>
    <t>Q13045_FLII</t>
  </si>
  <si>
    <t>Q13045-2_FLII</t>
  </si>
  <si>
    <t>Q13057_COASY</t>
  </si>
  <si>
    <t>Q13085-3_ACACA</t>
  </si>
  <si>
    <t>Q13098_GPS1</t>
  </si>
  <si>
    <t>Q13107-2_USP4</t>
  </si>
  <si>
    <t>Q13111_CHAF1A</t>
  </si>
  <si>
    <t>Q13112_CHAF1B</t>
  </si>
  <si>
    <t>Q13123_IK</t>
  </si>
  <si>
    <t>Q13126_MTAP</t>
  </si>
  <si>
    <t>Q13131_PRKAA1</t>
  </si>
  <si>
    <t>Q13136_PPFIA1</t>
  </si>
  <si>
    <t>Q13145_BAMBI</t>
  </si>
  <si>
    <t>Q13148_TARDBP</t>
  </si>
  <si>
    <t>Q13151_HNRNPA0</t>
  </si>
  <si>
    <t>Q13153_PAK1</t>
  </si>
  <si>
    <t>Q13155_AIMP2</t>
  </si>
  <si>
    <t>Q13158_FADD</t>
  </si>
  <si>
    <t>Q13162_PRDX4</t>
  </si>
  <si>
    <t>Q13164-3_MAPK7</t>
  </si>
  <si>
    <t>Q13177_PAK2</t>
  </si>
  <si>
    <t>Q13185_CBX3</t>
  </si>
  <si>
    <t>Q13188_STK3</t>
  </si>
  <si>
    <t>Q13200_PSMD2</t>
  </si>
  <si>
    <t>Q13206_DDX10</t>
  </si>
  <si>
    <t>Q13216_ERCC8</t>
  </si>
  <si>
    <t>Q13217_DNAJC3</t>
  </si>
  <si>
    <t>Q13228_SELENBP1</t>
  </si>
  <si>
    <t>Q13232_NME3</t>
  </si>
  <si>
    <t>Q13242_SRSF9</t>
  </si>
  <si>
    <t>Q13243-3_SRSF5</t>
  </si>
  <si>
    <t>Q13247-3_SRSF6</t>
  </si>
  <si>
    <t>Q13257_MAD2L1</t>
  </si>
  <si>
    <t>Q13263_TRIM28</t>
  </si>
  <si>
    <t>Q13277-2_STX3</t>
  </si>
  <si>
    <t>Q13283_G3BP1</t>
  </si>
  <si>
    <t>Q13287_NMI</t>
  </si>
  <si>
    <t>Q13303-2_KCNAB2</t>
  </si>
  <si>
    <t>Q13308_PTK7</t>
  </si>
  <si>
    <t>Q13310-2_PABPC4</t>
  </si>
  <si>
    <t>Q13315_ATM</t>
  </si>
  <si>
    <t>Q13322-3_GRB10</t>
  </si>
  <si>
    <t>Q13330-3_MTA1</t>
  </si>
  <si>
    <t>Q13347_EIF3I</t>
  </si>
  <si>
    <t>Q13356_PPIL2</t>
  </si>
  <si>
    <t>Q13362-3_PPP2R5C</t>
  </si>
  <si>
    <t>Q13363_CTBP1</t>
  </si>
  <si>
    <t>Q13371_PDCL</t>
  </si>
  <si>
    <t>Q13395_TARBP1</t>
  </si>
  <si>
    <t>Q13405_MRPL49</t>
  </si>
  <si>
    <t>Q13409-3_DYNC1I2</t>
  </si>
  <si>
    <t>Q13416_ORC2</t>
  </si>
  <si>
    <t>Q13418_ILK</t>
  </si>
  <si>
    <t>Q13423_NNT</t>
  </si>
  <si>
    <t>Q13425_SNTB2</t>
  </si>
  <si>
    <t>Q13426_XRCC4</t>
  </si>
  <si>
    <t>Q13427_PPIG</t>
  </si>
  <si>
    <t>Q13428-3_TCOF1</t>
  </si>
  <si>
    <t>Q13432-2_UNC119</t>
  </si>
  <si>
    <t>Q13433_SLC39A6</t>
  </si>
  <si>
    <t>Q13435_SF3B2</t>
  </si>
  <si>
    <t>Q13438-4_OS9</t>
  </si>
  <si>
    <t>Q13439-3_GOLGA4</t>
  </si>
  <si>
    <t>Q13442_PDAP1</t>
  </si>
  <si>
    <t>Q13443_ADAM9</t>
  </si>
  <si>
    <t>Q13445_TMED1</t>
  </si>
  <si>
    <t>Q13451_FKBP5</t>
  </si>
  <si>
    <t>Q13464_ROCK1</t>
  </si>
  <si>
    <t>Q13488_TCIRG1</t>
  </si>
  <si>
    <t>Q13492-2_PICALM</t>
  </si>
  <si>
    <t>Q13496_MTM1</t>
  </si>
  <si>
    <t>Q13501_SQSTM1</t>
  </si>
  <si>
    <t>Q13505-3_MTX1</t>
  </si>
  <si>
    <t>Q13509_TUBB3</t>
  </si>
  <si>
    <t>Q13526_PIN1</t>
  </si>
  <si>
    <t>Q13535-3_ATR</t>
  </si>
  <si>
    <t>Q13541_EIF4EBP1</t>
  </si>
  <si>
    <t>Q13542_EIF4EBP2</t>
  </si>
  <si>
    <t>Q13546_RIPK1</t>
  </si>
  <si>
    <t>Q13547_HDAC1</t>
  </si>
  <si>
    <t>Q13564_NAE1</t>
  </si>
  <si>
    <t>Q13572_ITPK1</t>
  </si>
  <si>
    <t>Q13573_SNW1</t>
  </si>
  <si>
    <t>Q13586_STIM1</t>
  </si>
  <si>
    <t>Q13596_SNX1</t>
  </si>
  <si>
    <t>Q13601-2_KRR1</t>
  </si>
  <si>
    <t>Q13608_PEX6</t>
  </si>
  <si>
    <t>Q13614_MTMR2</t>
  </si>
  <si>
    <t>Q13615-3_MTMR3</t>
  </si>
  <si>
    <t>Q13616_CUL1</t>
  </si>
  <si>
    <t>Q13617_CUL2</t>
  </si>
  <si>
    <t>Q13618_CUL3</t>
  </si>
  <si>
    <t>Q13619_CUL4A</t>
  </si>
  <si>
    <t>Q13630_TSTA3</t>
  </si>
  <si>
    <t>Q13641_TPBG</t>
  </si>
  <si>
    <t>Q13642-1_FHL1</t>
  </si>
  <si>
    <t>Q13643_FHL3</t>
  </si>
  <si>
    <t>Q13686_ALKBH1</t>
  </si>
  <si>
    <t>Q13724_MOGS</t>
  </si>
  <si>
    <t>Q13733_ATP1A4</t>
  </si>
  <si>
    <t>Q13740-2_ALCAM</t>
  </si>
  <si>
    <t>Q13751_LAMB3</t>
  </si>
  <si>
    <t>Q13753_LAMC2</t>
  </si>
  <si>
    <t>Q13769_THOC5</t>
  </si>
  <si>
    <t>Q13795_ARFRP1</t>
  </si>
  <si>
    <t>Q13813_SPTAN1</t>
  </si>
  <si>
    <t>Q13813-2_SPTAN1</t>
  </si>
  <si>
    <t>Q13825_AUH</t>
  </si>
  <si>
    <t>Q13867_BLMH</t>
  </si>
  <si>
    <t>Q13868_EXOSC2</t>
  </si>
  <si>
    <t>Q13884_SNTB1</t>
  </si>
  <si>
    <t>Q13885_TUBB2A</t>
  </si>
  <si>
    <t>Q13895_BYSL</t>
  </si>
  <si>
    <t>Q13907_IDI1</t>
  </si>
  <si>
    <t>Q13948_CUX1</t>
  </si>
  <si>
    <t>Q13951-2_CBFB</t>
  </si>
  <si>
    <t>Q13952-3_NFYC</t>
  </si>
  <si>
    <t>Q14008-2_CKAP5</t>
  </si>
  <si>
    <t>Q14011_CIRBP</t>
  </si>
  <si>
    <t>Q14019_COTL1</t>
  </si>
  <si>
    <t>Q14061_COX17</t>
  </si>
  <si>
    <t>Q14103-3_HNRNPD</t>
  </si>
  <si>
    <t>Q14108_SCARB2</t>
  </si>
  <si>
    <t>Q14114-4_LRP8</t>
  </si>
  <si>
    <t>Q14118_DAG1</t>
  </si>
  <si>
    <t>Q14126_DSG2</t>
  </si>
  <si>
    <t>Q14135_VGLL4</t>
  </si>
  <si>
    <t>Q14137_BOP1</t>
  </si>
  <si>
    <t>Q14139_UBE4A</t>
  </si>
  <si>
    <t>Q14146_URB2</t>
  </si>
  <si>
    <t>Q14149_MORC3</t>
  </si>
  <si>
    <t>Q14151_SAFB2</t>
  </si>
  <si>
    <t>Q14152_EIF3A</t>
  </si>
  <si>
    <t>Q14157-1_UBAP2L</t>
  </si>
  <si>
    <t>Q14157-5_UBAP2L</t>
  </si>
  <si>
    <t>Q14160_SCRIB</t>
  </si>
  <si>
    <t>Q14161-7_GIT2</t>
  </si>
  <si>
    <t>Q14165_MLEC</t>
  </si>
  <si>
    <t>Q14166_TTLL12</t>
  </si>
  <si>
    <t>Q14181_POLA2</t>
  </si>
  <si>
    <t>Q14186_TFDP1</t>
  </si>
  <si>
    <t>Q14191_WRN</t>
  </si>
  <si>
    <t>Q14195_DPYSL3</t>
  </si>
  <si>
    <t>Q14204_DYNC1H1</t>
  </si>
  <si>
    <t>Q14207_NPAT</t>
  </si>
  <si>
    <t>Q14232_EIF2B1</t>
  </si>
  <si>
    <t>Q14240_EIF4A2</t>
  </si>
  <si>
    <t>Q14241_TCEB3</t>
  </si>
  <si>
    <t>Q14244_MAP7</t>
  </si>
  <si>
    <t>Q14247_CTTN</t>
  </si>
  <si>
    <t>Q14247-3_CTTN</t>
  </si>
  <si>
    <t>Q14249_ENDOG</t>
  </si>
  <si>
    <t>Q14254_FLOT2</t>
  </si>
  <si>
    <t>Q14257_RCN2</t>
  </si>
  <si>
    <t>Q14258_TRIM25</t>
  </si>
  <si>
    <t>Q14318-2_FKBP8</t>
  </si>
  <si>
    <t>Q14320_FAM50A</t>
  </si>
  <si>
    <t>Q14331_FRG1</t>
  </si>
  <si>
    <t>Q14344_GNA13</t>
  </si>
  <si>
    <t>Q14376_GALE</t>
  </si>
  <si>
    <t>Q14435_GALNT3</t>
  </si>
  <si>
    <t>Q14444-2_CAPRIN1</t>
  </si>
  <si>
    <t>Q14451_GRB7</t>
  </si>
  <si>
    <t>Q14457_BECN1</t>
  </si>
  <si>
    <t>Q14469_HES1</t>
  </si>
  <si>
    <t>Q14498-2_RBM39</t>
  </si>
  <si>
    <t>Q14508_WFDC2</t>
  </si>
  <si>
    <t>Q14511-3_NEDD9</t>
  </si>
  <si>
    <t>Q14520-2_HABP2</t>
  </si>
  <si>
    <t>Q14526_HIC1</t>
  </si>
  <si>
    <t>Q14534_SQLE</t>
  </si>
  <si>
    <t>Q14554_PDIA5</t>
  </si>
  <si>
    <t>Q14558-2_PRPSAP1</t>
  </si>
  <si>
    <t>Q14562_DHX8</t>
  </si>
  <si>
    <t>Q14566_MCM6</t>
  </si>
  <si>
    <t>Q14573_ITPR3</t>
  </si>
  <si>
    <t>Q14651_PLS1</t>
  </si>
  <si>
    <t>Q14653_IRF3</t>
  </si>
  <si>
    <t>Q14657_LAGE3</t>
  </si>
  <si>
    <t>Q14669-2_TRIP12</t>
  </si>
  <si>
    <t>Q14676_MDC1</t>
  </si>
  <si>
    <t>Q14677_CLINT1</t>
  </si>
  <si>
    <t>Q14678_KANK1</t>
  </si>
  <si>
    <t>Q14680-3_MELK</t>
  </si>
  <si>
    <t>Q14681_KCTD2</t>
  </si>
  <si>
    <t>Q14683_SMC1A</t>
  </si>
  <si>
    <t>Q14684-2_RRP1B</t>
  </si>
  <si>
    <t>Q14686_NCOA6</t>
  </si>
  <si>
    <t>Q14687-2_GSE1</t>
  </si>
  <si>
    <t>Q14691_GINS1</t>
  </si>
  <si>
    <t>Q14694_USP10</t>
  </si>
  <si>
    <t>Q14696_MESDC2</t>
  </si>
  <si>
    <t>Q14697_GANAB</t>
  </si>
  <si>
    <t>Q14697-2_GANAB</t>
  </si>
  <si>
    <t>Q14699_RFTN1</t>
  </si>
  <si>
    <t>Q14739_LBR</t>
  </si>
  <si>
    <t>Q14746-2_COG2</t>
  </si>
  <si>
    <t>Q14789_GOLGB1</t>
  </si>
  <si>
    <t>Q14790_CASP8</t>
  </si>
  <si>
    <t>Q147X3_NAA30</t>
  </si>
  <si>
    <t>Q14802-2_FXYD3</t>
  </si>
  <si>
    <t>Q14807_KIF22</t>
  </si>
  <si>
    <t>Q14847_LASP1</t>
  </si>
  <si>
    <t>Q14914-2_PTGR1</t>
  </si>
  <si>
    <t>Q14964_RAB39A</t>
  </si>
  <si>
    <t>Q14966_ZNF638</t>
  </si>
  <si>
    <t>Q14974_KPNB1</t>
  </si>
  <si>
    <t>Q14978-2_NOLC1</t>
  </si>
  <si>
    <t>Q14980_NUMA1</t>
  </si>
  <si>
    <t>Q14997_PSME4</t>
  </si>
  <si>
    <t>Q14BN4-2_SLMAP</t>
  </si>
  <si>
    <t>Q14C86-6_GAPVD1</t>
  </si>
  <si>
    <t>Q14CM0_FRMPD4</t>
  </si>
  <si>
    <t>Q14CX7_NAA25</t>
  </si>
  <si>
    <t>Q14CZ7_FASTKD3</t>
  </si>
  <si>
    <t>Q15003_NCAPH</t>
  </si>
  <si>
    <t>Q15004_KIAA0101</t>
  </si>
  <si>
    <t>Q15005_SPCS2</t>
  </si>
  <si>
    <t>Q15006_EMC2</t>
  </si>
  <si>
    <t>Q15007_WTAP</t>
  </si>
  <si>
    <t>Q15008_PSMD6</t>
  </si>
  <si>
    <t>Q15011-3_HERPUD1</t>
  </si>
  <si>
    <t>Q15012_LAPTM4A</t>
  </si>
  <si>
    <t>Q15013_MAD2L1BP</t>
  </si>
  <si>
    <t>Q15018_FAM175B</t>
  </si>
  <si>
    <t>Q15019_SEPT2</t>
  </si>
  <si>
    <t>Q15020_SART3</t>
  </si>
  <si>
    <t>Q15021_NCAPD2</t>
  </si>
  <si>
    <t>Q15024_EXOSC7</t>
  </si>
  <si>
    <t>Q15029-2_EFTUD2</t>
  </si>
  <si>
    <t>Q15031_LARS2</t>
  </si>
  <si>
    <t>Q15032-2_R3HDM1</t>
  </si>
  <si>
    <t>Q15036-2_SNX17</t>
  </si>
  <si>
    <t>Q15042_RAB3GAP1</t>
  </si>
  <si>
    <t>Q15043-2_SLC39A14</t>
  </si>
  <si>
    <t>Q15046_KARS</t>
  </si>
  <si>
    <t>Q15047-3_SETDB1</t>
  </si>
  <si>
    <t>Q15048_LRRC14</t>
  </si>
  <si>
    <t>Q15050_RRS1</t>
  </si>
  <si>
    <t>Q15051-2_IQCB1</t>
  </si>
  <si>
    <t>Q15056_EIF4H</t>
  </si>
  <si>
    <t>Q15056-2_EIF4H</t>
  </si>
  <si>
    <t>Q15057_ACAP2</t>
  </si>
  <si>
    <t>Q15059_BRD3</t>
  </si>
  <si>
    <t>Q15061_WDR43</t>
  </si>
  <si>
    <t>Q15067-2_ACOX1</t>
  </si>
  <si>
    <t>Q15075_EEA1</t>
  </si>
  <si>
    <t>Q15102_PAFAH1B3</t>
  </si>
  <si>
    <t>Q15118_PDK1</t>
  </si>
  <si>
    <t>Q15120_PDK3</t>
  </si>
  <si>
    <t>Q15121_PEA15</t>
  </si>
  <si>
    <t>Q15125_EBP</t>
  </si>
  <si>
    <t>Q15126_PMVK</t>
  </si>
  <si>
    <t>Q15139_PRKD1</t>
  </si>
  <si>
    <t>Q15149-4_PLEC</t>
  </si>
  <si>
    <t>Q15155_NOMO1</t>
  </si>
  <si>
    <t>Q15170-2_TCEAL1</t>
  </si>
  <si>
    <t>Q15172_PPP2R5A</t>
  </si>
  <si>
    <t>Q15181_PPA1</t>
  </si>
  <si>
    <t>Q15208_STK38</t>
  </si>
  <si>
    <t>Q15223_PVRL1</t>
  </si>
  <si>
    <t>Q15233_NONO</t>
  </si>
  <si>
    <t>Q15257_PPP2R4</t>
  </si>
  <si>
    <t>Q15269_PWP2</t>
  </si>
  <si>
    <t>Q15274_QPRT</t>
  </si>
  <si>
    <t>Q15276_RABEP1</t>
  </si>
  <si>
    <t>Q15283-2_RASA2</t>
  </si>
  <si>
    <t>Q15286_RAB35</t>
  </si>
  <si>
    <t>Q15291_RBBP5</t>
  </si>
  <si>
    <t>Q15293_RCN1</t>
  </si>
  <si>
    <t>Q15311_RALBP1</t>
  </si>
  <si>
    <t>Q15334_LLGL1</t>
  </si>
  <si>
    <t>Q15345-3_LRRC41</t>
  </si>
  <si>
    <t>Q15363_TMED2</t>
  </si>
  <si>
    <t>Q15365_PCBP1</t>
  </si>
  <si>
    <t>Q15366_PCBP2</t>
  </si>
  <si>
    <t>Q15366-2_PCBP2</t>
  </si>
  <si>
    <t>Q15366-3_PCBP2</t>
  </si>
  <si>
    <t>Q15370_TCEB2</t>
  </si>
  <si>
    <t>Q15382_RHEB</t>
  </si>
  <si>
    <t>Q15386_UBE3C</t>
  </si>
  <si>
    <t>Q15393_SF3B3</t>
  </si>
  <si>
    <t>Q15398-3_DLGAP5</t>
  </si>
  <si>
    <t>Q15404_RSU1</t>
  </si>
  <si>
    <t>Q15417_CNN3</t>
  </si>
  <si>
    <t>Q15424_SAFB</t>
  </si>
  <si>
    <t>Q15428_SF3A2</t>
  </si>
  <si>
    <t>Q15435_PPP1R7</t>
  </si>
  <si>
    <t>Q15437_SEC23B</t>
  </si>
  <si>
    <t>Q15459_SF3A1</t>
  </si>
  <si>
    <t>Q15464_SHB</t>
  </si>
  <si>
    <t>Q15477_SKIV2L</t>
  </si>
  <si>
    <t>Q15526-2_SURF1</t>
  </si>
  <si>
    <t>Q15527_SURF2</t>
  </si>
  <si>
    <t>Q15545_TAF7</t>
  </si>
  <si>
    <t>Q15554_TERF2</t>
  </si>
  <si>
    <t>Q15555-4_MAPRE2</t>
  </si>
  <si>
    <t>Q15560-2_TCEA2</t>
  </si>
  <si>
    <t>Q15599_SLC9A3R2</t>
  </si>
  <si>
    <t>Q15628_TRADD</t>
  </si>
  <si>
    <t>Q15633-2_TARBP2</t>
  </si>
  <si>
    <t>Q15637-5_SF1</t>
  </si>
  <si>
    <t>Q15637-6_SF1</t>
  </si>
  <si>
    <t>Q15642_TRIP10</t>
  </si>
  <si>
    <t>Q15643_TRIP11</t>
  </si>
  <si>
    <t>Q15645_TRIP13</t>
  </si>
  <si>
    <t>Q15648_MED1</t>
  </si>
  <si>
    <t>Q15649_ZNHIT3</t>
  </si>
  <si>
    <t>Q15651_HMGN3</t>
  </si>
  <si>
    <t>Q15652-3_JMJD1C</t>
  </si>
  <si>
    <t>Q15654_TRIP6</t>
  </si>
  <si>
    <t>Q15691_MAPRE1</t>
  </si>
  <si>
    <t>Q15714_TSC22D1</t>
  </si>
  <si>
    <t>Q15717_ELAVL1</t>
  </si>
  <si>
    <t>Q15738_NSDHL</t>
  </si>
  <si>
    <t>Q15750-2_TAB1</t>
  </si>
  <si>
    <t>Q15758_SLC1A5</t>
  </si>
  <si>
    <t>Q15771_RAB30</t>
  </si>
  <si>
    <t>Q15785_TOMM34</t>
  </si>
  <si>
    <t>Q15788-2_NCOA1</t>
  </si>
  <si>
    <t>Q15796-2_SMAD2</t>
  </si>
  <si>
    <t>Q15797_SMAD1</t>
  </si>
  <si>
    <t>Q15800_MSMO1</t>
  </si>
  <si>
    <t>Q15813_TBCE</t>
  </si>
  <si>
    <t>Q15814_TBCC</t>
  </si>
  <si>
    <t>Q15819_UBE2V2</t>
  </si>
  <si>
    <t>Q15833_STXBP2</t>
  </si>
  <si>
    <t>Q15836_VAMP3</t>
  </si>
  <si>
    <t>Q15843_NEDD8</t>
  </si>
  <si>
    <t>Q15847_ADIRF</t>
  </si>
  <si>
    <t>Q15904_ATP6AP1</t>
  </si>
  <si>
    <t>Q15906_VPS72</t>
  </si>
  <si>
    <t>Q15907_RAB11B</t>
  </si>
  <si>
    <t>Q15942_ZYX</t>
  </si>
  <si>
    <t>Q16134_ETFDH</t>
  </si>
  <si>
    <t>Q16181_SEPT7</t>
  </si>
  <si>
    <t>Q16186_ADRM1</t>
  </si>
  <si>
    <t>Q16204_CCDC6</t>
  </si>
  <si>
    <t>Q16222-2_UAP1</t>
  </si>
  <si>
    <t>Q16254_E2F4</t>
  </si>
  <si>
    <t>Q16401-2_PSMD5</t>
  </si>
  <si>
    <t>Q16512_PKN1</t>
  </si>
  <si>
    <t>Q16513_PKN2</t>
  </si>
  <si>
    <t>Q16514-2_TAF12</t>
  </si>
  <si>
    <t>Q16531_DDB1</t>
  </si>
  <si>
    <t>Q16539-2_MAPK14</t>
  </si>
  <si>
    <t>Q16543_CDC37</t>
  </si>
  <si>
    <t>Q16555_DPYSL2</t>
  </si>
  <si>
    <t>Q16576_RBBP7</t>
  </si>
  <si>
    <t>Q16594_TAF9</t>
  </si>
  <si>
    <t>Q16600_ZNF239</t>
  </si>
  <si>
    <t>Q16610_ECM1</t>
  </si>
  <si>
    <t>Q16625-4_OCLN</t>
  </si>
  <si>
    <t>Q16626_MEA1</t>
  </si>
  <si>
    <t>Q16630-2_CPSF6</t>
  </si>
  <si>
    <t>Q16643_DBN1</t>
  </si>
  <si>
    <t>Q16644_MAPKAPK3</t>
  </si>
  <si>
    <t>Q16656-2_NRF1</t>
  </si>
  <si>
    <t>Q16658_FSCN1</t>
  </si>
  <si>
    <t>Q16670-2_ZSCAN26</t>
  </si>
  <si>
    <t>Q16706_MAN2A1</t>
  </si>
  <si>
    <t>Q16718_NDUFA5</t>
  </si>
  <si>
    <t>Q16740_CLPP</t>
  </si>
  <si>
    <t>Q16762_TST</t>
  </si>
  <si>
    <t>Q16763_UBE2S</t>
  </si>
  <si>
    <t>Q16769_QPCT</t>
  </si>
  <si>
    <t>Q16775-2_HAGH</t>
  </si>
  <si>
    <t>Q16778_HIST2H2BE</t>
  </si>
  <si>
    <t>Q16790_CA9</t>
  </si>
  <si>
    <t>Q16795_NDUFA9</t>
  </si>
  <si>
    <t>Q16822_PCK2</t>
  </si>
  <si>
    <t>Q16850_CYP51A1</t>
  </si>
  <si>
    <t>Q16851_UGP2</t>
  </si>
  <si>
    <t>Q16854_DGUOK</t>
  </si>
  <si>
    <t>Q16864_ATP6V1F</t>
  </si>
  <si>
    <t>Q16880_UGT8</t>
  </si>
  <si>
    <t>Q17R31-2_TATDN3</t>
  </si>
  <si>
    <t>Q17RN3_FAM98C</t>
  </si>
  <si>
    <t>Q17RU2_REL</t>
  </si>
  <si>
    <t>Q18PE1-2_DOK7</t>
  </si>
  <si>
    <t>Q1ED39_KNOP1</t>
  </si>
  <si>
    <t>Q1KMD3_HNRNPUL2</t>
  </si>
  <si>
    <t>Q1MSJ5-1_CSPP1</t>
  </si>
  <si>
    <t>Q24JP5_TMEM132A</t>
  </si>
  <si>
    <t>Q27J81-2_INF2</t>
  </si>
  <si>
    <t>Q29RF7_PDS5A</t>
  </si>
  <si>
    <t>Q2KHR3-2_QSER1</t>
  </si>
  <si>
    <t>Q2KHT3_CLEC16A</t>
  </si>
  <si>
    <t>Q2M296-2_MTHFSD</t>
  </si>
  <si>
    <t>Q2M2I8-2_AAK1</t>
  </si>
  <si>
    <t>Q2M2Z5-5_PLK1S1</t>
  </si>
  <si>
    <t>Q2M389_KIAA1033</t>
  </si>
  <si>
    <t>Q2N1I1_KCNE3</t>
  </si>
  <si>
    <t>Q2NKX8_ERCC6L</t>
  </si>
  <si>
    <t>Q2NL82_TSR1</t>
  </si>
  <si>
    <t>Q2T9J0_TYSND1</t>
  </si>
  <si>
    <t>Q2TAA5_ALG11</t>
  </si>
  <si>
    <t>Q2TAL8_QRICH1</t>
  </si>
  <si>
    <t>Q2TAM5_RELA</t>
  </si>
  <si>
    <t>Q2TAM9_TUSC1</t>
  </si>
  <si>
    <t>Q2TAP0_GOLGA7B</t>
  </si>
  <si>
    <t>Q2TAY7_SMU1</t>
  </si>
  <si>
    <t>Q2TBE0_CWF19L2</t>
  </si>
  <si>
    <t>Q32MZ4-2_LRRFIP1</t>
  </si>
  <si>
    <t>Q32MZ4-3_LRRFIP1</t>
  </si>
  <si>
    <t>Q32MZ4-4_LRRFIP1</t>
  </si>
  <si>
    <t>Q32MZ9_POLD3</t>
  </si>
  <si>
    <t>Q32P28_LEPRE1</t>
  </si>
  <si>
    <t>Q32P41_TRMT5</t>
  </si>
  <si>
    <t>Q32Q12_NME1-NME2</t>
  </si>
  <si>
    <t>Q3B726_TWISTNB</t>
  </si>
  <si>
    <t>Q3B7J2_GFOD2</t>
  </si>
  <si>
    <t>Q3KQU3-2_MAP7D1</t>
  </si>
  <si>
    <t>Q3KQV9_UAP1L1</t>
  </si>
  <si>
    <t>Q3KRA6_C2orf76</t>
  </si>
  <si>
    <t>Q3KRA9_ALKBH6</t>
  </si>
  <si>
    <t>Q3LXA3_DAK</t>
  </si>
  <si>
    <t>Q3MHD2_LSM12</t>
  </si>
  <si>
    <t>Q3MII6_TBC1D25</t>
  </si>
  <si>
    <t>Q3MIN7_RGL3</t>
  </si>
  <si>
    <t>Q3MIT2_PUS10</t>
  </si>
  <si>
    <t>Q3MIX3_ADCK5</t>
  </si>
  <si>
    <t>Q3SXM5_HSDL1</t>
  </si>
  <si>
    <t>Q3SY69_ALDH1L2</t>
  </si>
  <si>
    <t>Q3YEC7_RABL6</t>
  </si>
  <si>
    <t>Q3ZAQ7_VMA21</t>
  </si>
  <si>
    <t>Q3ZCM7_TUBB8</t>
  </si>
  <si>
    <t>Q3ZCQ3_FAM174B</t>
  </si>
  <si>
    <t>Q3ZCQ8_TIMM50</t>
  </si>
  <si>
    <t>Q3ZCW2_LGALSL</t>
  </si>
  <si>
    <t>Q495W5-2_FUT11</t>
  </si>
  <si>
    <t>Q49AH0-2_CDNF</t>
  </si>
  <si>
    <t>Q49AR2_C5orf22</t>
  </si>
  <si>
    <t>Q49B96_COX19</t>
  </si>
  <si>
    <t>Q4G0F5_VPS26B</t>
  </si>
  <si>
    <t>Q4G0I0_CCSMST1</t>
  </si>
  <si>
    <t>Q4G0J3_LARP7</t>
  </si>
  <si>
    <t>Q4G0N4_NADKD1</t>
  </si>
  <si>
    <t>Q4G0X9-3_CCDC40</t>
  </si>
  <si>
    <t>Q4G148-2_GXYLT1</t>
  </si>
  <si>
    <t>Q4G176_ACSF3</t>
  </si>
  <si>
    <t>Q4J6C6-4_PREPL</t>
  </si>
  <si>
    <t>Q4JM47_AGR2</t>
  </si>
  <si>
    <t>Q4KMP7_TBC1D10B</t>
  </si>
  <si>
    <t>Q4KMQ2-3_ANO6</t>
  </si>
  <si>
    <t>Q4KWH8-3_PLCH1</t>
  </si>
  <si>
    <t>Q4LDG9-3_DNAL1</t>
  </si>
  <si>
    <t>Q4LE39-3_ARID4B</t>
  </si>
  <si>
    <t>Q4V328_GRIPAP1</t>
  </si>
  <si>
    <t>Q4VC05_BCL7A</t>
  </si>
  <si>
    <t>Q4VCS5_AMOT</t>
  </si>
  <si>
    <t>Q4VXZ8_DECR2</t>
  </si>
  <si>
    <t>Q4ZIN3-2_TMEM259</t>
  </si>
  <si>
    <t>Q504U0_C4orf46</t>
  </si>
  <si>
    <t>Q52LA3_LIN52</t>
  </si>
  <si>
    <t>Q52LJ0-2_FAM98B</t>
  </si>
  <si>
    <t>Q53EL6-2_PDCD4</t>
  </si>
  <si>
    <t>Q53EU6_AGPAT9</t>
  </si>
  <si>
    <t>Q53F19_C17orf85</t>
  </si>
  <si>
    <t>Q53FA7_TP53I3</t>
  </si>
  <si>
    <t>Q53FT3_C11orf73</t>
  </si>
  <si>
    <t>Q53GG5-2_PDLIM3</t>
  </si>
  <si>
    <t>Q53GQ0_HSD17B12</t>
  </si>
  <si>
    <t>Q53H12_AGK</t>
  </si>
  <si>
    <t>Q53H47_SETMAR</t>
  </si>
  <si>
    <t>Q53H82_LACTB2</t>
  </si>
  <si>
    <t>Q53H96_PYCRL</t>
  </si>
  <si>
    <t>Q53HC9_TSSC1</t>
  </si>
  <si>
    <t>Q53HV7_SMUG1</t>
  </si>
  <si>
    <t>Q53LP3_SOWAHC</t>
  </si>
  <si>
    <t>Q53R41_FASTKD1</t>
  </si>
  <si>
    <t>Q53RT3_ASPRV1</t>
  </si>
  <si>
    <t>Q53S33_BOLA3</t>
  </si>
  <si>
    <t>Q53SF7-4_COBLL1</t>
  </si>
  <si>
    <t>Q53T59_HS1BP3</t>
  </si>
  <si>
    <t>Q562F6-2_SGOL2</t>
  </si>
  <si>
    <t>Q56VL3_OCIAD2</t>
  </si>
  <si>
    <t>Q587I9_SFT2D3</t>
  </si>
  <si>
    <t>Q587J8_KHDC3L</t>
  </si>
  <si>
    <t>Q58FF8_HSP90AB2P</t>
  </si>
  <si>
    <t>Q58FG1_HSP90AA4P</t>
  </si>
  <si>
    <t>Q58WW2_DCAF6</t>
  </si>
  <si>
    <t>Q59GN2_RPL39P5</t>
  </si>
  <si>
    <t>Q5BJF2_TMEM97</t>
  </si>
  <si>
    <t>Q5BKU9_OXLD1</t>
  </si>
  <si>
    <t>Q5BKX5_C19orf54</t>
  </si>
  <si>
    <t>Q5BKZ1_ZNF326</t>
  </si>
  <si>
    <t>Q5EBL8_PDZD11</t>
  </si>
  <si>
    <t>Q5F1R6_DNAJC21</t>
  </si>
  <si>
    <t>Q5GFL6_VWA2</t>
  </si>
  <si>
    <t>Q5GLZ8-3_HERC4</t>
  </si>
  <si>
    <t>Q5H8X8_UTS2</t>
  </si>
  <si>
    <t>Q5HY62_CXorf40B</t>
  </si>
  <si>
    <t>Q5HYI7_MTX3</t>
  </si>
  <si>
    <t>Q5HYI8_RABL3</t>
  </si>
  <si>
    <t>Q5HYK3_COQ5</t>
  </si>
  <si>
    <t>Q5HYK7-2_SH3D19</t>
  </si>
  <si>
    <t>Q5JP53_TUBB</t>
  </si>
  <si>
    <t>Q5JPE7-2_NOMO2</t>
  </si>
  <si>
    <t>Q5JPH6_EARS2</t>
  </si>
  <si>
    <t>Q5JQQ2_DPCD</t>
  </si>
  <si>
    <t>Q5JR08_RHOC</t>
  </si>
  <si>
    <t>Q5JR12-2_PPM1J</t>
  </si>
  <si>
    <t>Q5JRA6_MIA3</t>
  </si>
  <si>
    <t>Q5JRG1_NUPL1</t>
  </si>
  <si>
    <t>Q5JRI1_SRSF10</t>
  </si>
  <si>
    <t>Q5JRX3_PITRM1</t>
  </si>
  <si>
    <t>Q5JS37_NHLRC3</t>
  </si>
  <si>
    <t>Q5JS54_PSMG4</t>
  </si>
  <si>
    <t>Q5JSH3-2_WDR44</t>
  </si>
  <si>
    <t>Q5JSL0_HMGN5</t>
  </si>
  <si>
    <t>Q5JSZ5_PRRC2B</t>
  </si>
  <si>
    <t>Q5JTD0-2_TJAP1</t>
  </si>
  <si>
    <t>Q5JTH9-2_RRP12</t>
  </si>
  <si>
    <t>Q5JTJ3-3_COA6</t>
  </si>
  <si>
    <t>Q5JTV1_GMEB2</t>
  </si>
  <si>
    <t>Q5JTV8_TOR1AIP1</t>
  </si>
  <si>
    <t>Q5JTZ9_AARS2</t>
  </si>
  <si>
    <t>Q5JU69_TOR2A</t>
  </si>
  <si>
    <t>Q5JUE6_RAPGEF1</t>
  </si>
  <si>
    <t>Q5JUR7_TEX30</t>
  </si>
  <si>
    <t>Q5JUW8_DLG3</t>
  </si>
  <si>
    <t>Q5JV73_FRMPD3</t>
  </si>
  <si>
    <t>Q5JVF3-3_PCID2</t>
  </si>
  <si>
    <t>Q5JVS0_HABP4</t>
  </si>
  <si>
    <t>Q5JVZ5_ELMO2</t>
  </si>
  <si>
    <t>Q5JW30_STAU1</t>
  </si>
  <si>
    <t>Q5JWB9_TMEM230</t>
  </si>
  <si>
    <t>Q5JWT2_MED23</t>
  </si>
  <si>
    <t>Q5JXX2_MORF4L2</t>
  </si>
  <si>
    <t>Q5JY65_CRNKL1</t>
  </si>
  <si>
    <t>Q5K4L6_SLC27A3</t>
  </si>
  <si>
    <t>Q5M775_SPECC1</t>
  </si>
  <si>
    <t>Q5M8T2_SLC35D3</t>
  </si>
  <si>
    <t>Q5MIZ7-3_SMEK2</t>
  </si>
  <si>
    <t>Q5MNZ6_WDR45B</t>
  </si>
  <si>
    <t>Q5MNZ9-2_WIPI1</t>
  </si>
  <si>
    <t>Q5NDL2_EOGT</t>
  </si>
  <si>
    <t>Q5QJE6_DNTTIP2</t>
  </si>
  <si>
    <t>Q5QNY5_PEX19</t>
  </si>
  <si>
    <t>Q5QNZ2_ATP5F1</t>
  </si>
  <si>
    <t>Q5QP56_BCL2L1</t>
  </si>
  <si>
    <t>Q5QPK2_DPM1</t>
  </si>
  <si>
    <t>Q5QPL9_RALY</t>
  </si>
  <si>
    <t>Q5QPM7_PSMF1</t>
  </si>
  <si>
    <t>Q5R372-4_RABGAP1L</t>
  </si>
  <si>
    <t>Q5R3A8_FYN</t>
  </si>
  <si>
    <t>Q5R3B4_MPC2</t>
  </si>
  <si>
    <t>Q5RI15_COX20</t>
  </si>
  <si>
    <t>Q5RKV6_EXOSC6</t>
  </si>
  <si>
    <t>Q5SPY9_NPDC1</t>
  </si>
  <si>
    <t>Q5SQI0-5_ATAT1</t>
  </si>
  <si>
    <t>Q5SR54_CLSTN1</t>
  </si>
  <si>
    <t>Q5SR56_HIATL1</t>
  </si>
  <si>
    <t>Q5SRE5_NUP188</t>
  </si>
  <si>
    <t>Q5SRI9_MANEA</t>
  </si>
  <si>
    <t>Q5SRQ6_CSNK2B</t>
  </si>
  <si>
    <t>Q5SSJ5_HP1BP3</t>
  </si>
  <si>
    <t>Q5ST30_VARS2</t>
  </si>
  <si>
    <t>Q5SVS4_SLC25A30</t>
  </si>
  <si>
    <t>Q5SW79_CEP170</t>
  </si>
  <si>
    <t>Q5SWX3_CAMK2G</t>
  </si>
  <si>
    <t>Q5SWX8-4_ODR4</t>
  </si>
  <si>
    <t>Q5SX86_GDI2</t>
  </si>
  <si>
    <t>Q5SXM2_SNAPC4</t>
  </si>
  <si>
    <t>Q5SXM8_DNLZ</t>
  </si>
  <si>
    <t>Q5SYE7-2_NHSL1</t>
  </si>
  <si>
    <t>Q5SZ64_SF3B4</t>
  </si>
  <si>
    <t>Q5SZE2_CERS2</t>
  </si>
  <si>
    <t>Q5SZR4_TDRKH</t>
  </si>
  <si>
    <t>Q5T085_AMY1B</t>
  </si>
  <si>
    <t>Q5T0D9_TPRG1L</t>
  </si>
  <si>
    <t>Q5T0N5-3_FNBP1L</t>
  </si>
  <si>
    <t>Q5T0Q6_DPYSL4</t>
  </si>
  <si>
    <t>Q5T0Z8_C6orf132</t>
  </si>
  <si>
    <t>Q5T123_SH3BGRL3</t>
  </si>
  <si>
    <t>Q5T160_RARS2</t>
  </si>
  <si>
    <t>Q5T171_PYGO2</t>
  </si>
  <si>
    <t>Q5T1M5_FKBP15</t>
  </si>
  <si>
    <t>Q5T1V6_DDX59</t>
  </si>
  <si>
    <t>Q5T1Z4_PUM1</t>
  </si>
  <si>
    <t>Q5T200_ZC3H13</t>
  </si>
  <si>
    <t>Q5T266_ZDHHC12</t>
  </si>
  <si>
    <t>Q5T280_C9orf114</t>
  </si>
  <si>
    <t>Q5T2E6_C10orf76</t>
  </si>
  <si>
    <t>Q5T2R2-3_PDSS1</t>
  </si>
  <si>
    <t>Q5T2W9_C1orf159</t>
  </si>
  <si>
    <t>Q5T2Z0_PSRC1</t>
  </si>
  <si>
    <t>Q5T3F8_TMEM63B</t>
  </si>
  <si>
    <t>Q5T3U5-2_ABCC10</t>
  </si>
  <si>
    <t>Q5T440_IBA57</t>
  </si>
  <si>
    <t>Q5T4F4-7_ZFYVE27</t>
  </si>
  <si>
    <t>Q5T4S7-3_UBR4</t>
  </si>
  <si>
    <t>Q5T4U5_ACADM</t>
  </si>
  <si>
    <t>Q5T5C0-3_STXBP5</t>
  </si>
  <si>
    <t>Q5T5P2_KIAA1217</t>
  </si>
  <si>
    <t>Q5T5U3_ARHGAP21</t>
  </si>
  <si>
    <t>Q5T5Y3-2_CAMSAP1</t>
  </si>
  <si>
    <t>Q5T6F2_UBAP2</t>
  </si>
  <si>
    <t>Q5T6N4_ABLIM1</t>
  </si>
  <si>
    <t>Q5T6V5_C9orf64</t>
  </si>
  <si>
    <t>Q5T750_XP32</t>
  </si>
  <si>
    <t>Q5T7M9_FAM69A</t>
  </si>
  <si>
    <t>Q5T7V8_GORAB</t>
  </si>
  <si>
    <t>Q5T8D3-4_ACBD5</t>
  </si>
  <si>
    <t>Q5T8I0_COX6A1P2</t>
  </si>
  <si>
    <t>Q5T8P6_RBM26</t>
  </si>
  <si>
    <t>Q5T8U5_SURF4</t>
  </si>
  <si>
    <t>Q5T9B7_AK1</t>
  </si>
  <si>
    <t>Q5T9C2-2_FAM102A</t>
  </si>
  <si>
    <t>Q5TA45-3_CPSF3L</t>
  </si>
  <si>
    <t>Q5TA50_GLTPD1</t>
  </si>
  <si>
    <t>Q5TAX3_ZCCHC11</t>
  </si>
  <si>
    <t>Q5TBA9_FRY</t>
  </si>
  <si>
    <t>Q5TBB1_RNASEH2B</t>
  </si>
  <si>
    <t>Q5TBP5_TAF4</t>
  </si>
  <si>
    <t>Q5TCT4_RBM34</t>
  </si>
  <si>
    <t>Q5TD07_NQO2</t>
  </si>
  <si>
    <t>Q5TDC5_C6orf89</t>
  </si>
  <si>
    <t>Q5TDG9_DNAJC16</t>
  </si>
  <si>
    <t>Q5TDH0_DDI2</t>
  </si>
  <si>
    <t>Q5TEU4-2_NDUFAF5</t>
  </si>
  <si>
    <t>Q5TFE4_NT5DC1</t>
  </si>
  <si>
    <t>Q5TH58_C6orf106</t>
  </si>
  <si>
    <t>Q5TH69_ARFGEF3</t>
  </si>
  <si>
    <t>Q5THJ1_PRDM2</t>
  </si>
  <si>
    <t>Q5THK1-3_PRR14L</t>
  </si>
  <si>
    <t>Q5TIE1_SLC19A2</t>
  </si>
  <si>
    <t>Q5TZA2_CROCC</t>
  </si>
  <si>
    <t>Q5U5X0_LYRM7</t>
  </si>
  <si>
    <t>Q5UIP0-2_RIF1</t>
  </si>
  <si>
    <t>Q5VIR6-4_VPS53</t>
  </si>
  <si>
    <t>Q5VSL9_STRIP1</t>
  </si>
  <si>
    <t>Q5VST6_ABHD17B</t>
  </si>
  <si>
    <t>Q5VT06_CEP350</t>
  </si>
  <si>
    <t>Q5VT52-3_RPRD2</t>
  </si>
  <si>
    <t>Q5VT66_MARC1</t>
  </si>
  <si>
    <t>Q5VT94_GHITM</t>
  </si>
  <si>
    <t>Q5VTL8_PRPF38B</t>
  </si>
  <si>
    <t>Q5VTQ0-2_TTC39B</t>
  </si>
  <si>
    <t>Q5VTR2_RNF20</t>
  </si>
  <si>
    <t>Q5VTU3_DYNLT1</t>
  </si>
  <si>
    <t>Q5VTZ4_ATF3</t>
  </si>
  <si>
    <t>Q5VU58_TPM3</t>
  </si>
  <si>
    <t>Q5VUA4_ZNF318</t>
  </si>
  <si>
    <t>Q5VUE5_C1orf53</t>
  </si>
  <si>
    <t>Q5VUM1_C6orf57</t>
  </si>
  <si>
    <t>Q5VV41_ARHGEF16</t>
  </si>
  <si>
    <t>Q5VV42_CDKAL1</t>
  </si>
  <si>
    <t>Q5VV50_ZNF691</t>
  </si>
  <si>
    <t>Q5VV87_MGST3</t>
  </si>
  <si>
    <t>Q5VVJ2-2_MYSM1</t>
  </si>
  <si>
    <t>Q5VVQ6-2_YOD1</t>
  </si>
  <si>
    <t>Q5VW27_NFIB</t>
  </si>
  <si>
    <t>Q5VW32_BROX</t>
  </si>
  <si>
    <t>Q5VW36_FOCAD</t>
  </si>
  <si>
    <t>Q5VW52_GPAM</t>
  </si>
  <si>
    <t>Q5VWJ9_SNX30</t>
  </si>
  <si>
    <t>Q5VWP2_FAM46C</t>
  </si>
  <si>
    <t>Q5VWQ0_RSBN1</t>
  </si>
  <si>
    <t>Q5VWQ8-2_DAB2IP</t>
  </si>
  <si>
    <t>Q5VWV2_PARD3</t>
  </si>
  <si>
    <t>Q5VWZ2_LYPLAL1</t>
  </si>
  <si>
    <t>Q5VY93_ARHGEF2</t>
  </si>
  <si>
    <t>Q5VYS8-6_ZCCHC6</t>
  </si>
  <si>
    <t>Q5VYX0-2_RNLS</t>
  </si>
  <si>
    <t>Q5VZE5_NAA35</t>
  </si>
  <si>
    <t>Q5VZK9_LRRC16A</t>
  </si>
  <si>
    <t>Q5W0A2_ITM2B</t>
  </si>
  <si>
    <t>Q5W0U4_BSPRY</t>
  </si>
  <si>
    <t>Q5W0V3_FAM160B1</t>
  </si>
  <si>
    <t>Q5W0Z9-3_ZDHHC20</t>
  </si>
  <si>
    <t>Q5W111_SPRYD7</t>
  </si>
  <si>
    <t>Q5W125_NMRK1</t>
  </si>
  <si>
    <t>Q5W145_NDUFB8</t>
  </si>
  <si>
    <t>Q5W1L7_SLC35A1</t>
  </si>
  <si>
    <t>Q5XKP0_QIL1</t>
  </si>
  <si>
    <t>Q5XUX1-3_FBXW9</t>
  </si>
  <si>
    <t>Q5ZPR3_CD276</t>
  </si>
  <si>
    <t>Q63HN8_RNF213</t>
  </si>
  <si>
    <t>Q63HQ0_AP1AR</t>
  </si>
  <si>
    <t>Q641Q2_FAM21A</t>
  </si>
  <si>
    <t>Q643R3_LPCAT4</t>
  </si>
  <si>
    <t>Q658Y4_FAM91A1</t>
  </si>
  <si>
    <t>Q659C4_LARP1B</t>
  </si>
  <si>
    <t>Q66K14-2_TBC1D9B</t>
  </si>
  <si>
    <t>Q66PJ3_ARL6IP4</t>
  </si>
  <si>
    <t>Q66S35_PFKFB4</t>
  </si>
  <si>
    <t>Q68CP9-3_ARID2</t>
  </si>
  <si>
    <t>Q68CQ4_DIEXF</t>
  </si>
  <si>
    <t>Q68D10_SPTY2D1</t>
  </si>
  <si>
    <t>Q68D91_MBLAC2</t>
  </si>
  <si>
    <t>Q68DH5_LMBRD2</t>
  </si>
  <si>
    <t>Q68E01-2_INTS3</t>
  </si>
  <si>
    <t>Q68EM7-2_ARHGAP17</t>
  </si>
  <si>
    <t>Q69YL0_</t>
  </si>
  <si>
    <t>Q69YN2_CWF19L1</t>
  </si>
  <si>
    <t>Q69YN4_KIAA1429</t>
  </si>
  <si>
    <t>Q69YQ0-2_SPECC1L</t>
  </si>
  <si>
    <t>Q69YU5_C12orf73</t>
  </si>
  <si>
    <t>Q6BDS2_UHRF1BP1</t>
  </si>
  <si>
    <t>Q6DD87_ZNF787</t>
  </si>
  <si>
    <t>Q6DD88_ATL3</t>
  </si>
  <si>
    <t>Q6DHV7-3_ADAL</t>
  </si>
  <si>
    <t>Q6DKK2_TTC19</t>
  </si>
  <si>
    <t>Q6DT37_CDC42BPG</t>
  </si>
  <si>
    <t>Q6EEV4-2_POLR2M</t>
  </si>
  <si>
    <t>Q6EMK4_VASN</t>
  </si>
  <si>
    <t>Q6FI81-3_CIAPIN1</t>
  </si>
  <si>
    <t>Q6FIF0-2_ZFAND6</t>
  </si>
  <si>
    <t>Q6GMV2_SMYD5</t>
  </si>
  <si>
    <t>Q6GMV3_PTRHD1</t>
  </si>
  <si>
    <t>Q6GQQ9_OTUD7B</t>
  </si>
  <si>
    <t>Q6GYA4_SELS</t>
  </si>
  <si>
    <t>Q6GYQ0-4_RALGAPA1</t>
  </si>
  <si>
    <t>Q6H9L7-5_ISM2</t>
  </si>
  <si>
    <t>Q6I9Y2_THOC7</t>
  </si>
  <si>
    <t>Q6IA17_SIGIRR</t>
  </si>
  <si>
    <t>Q6IA69_NADSYN1</t>
  </si>
  <si>
    <t>Q6IA86-5_ELP2</t>
  </si>
  <si>
    <t>Q6IAA8_LAMTOR1</t>
  </si>
  <si>
    <t>Q6IAN0_DHRS7B</t>
  </si>
  <si>
    <t>Q6IBS0_TWF2</t>
  </si>
  <si>
    <t>Q6IBW4-2_NCAPH2</t>
  </si>
  <si>
    <t>Q6ICB0_DESI1</t>
  </si>
  <si>
    <t>Q6ICG6_KIAA0930</t>
  </si>
  <si>
    <t>Q6ICJ4_Em:AP000351.3</t>
  </si>
  <si>
    <t>Q6IN84_MRM1</t>
  </si>
  <si>
    <t>Q6IN85_SMEK1</t>
  </si>
  <si>
    <t>Q6IPR3_TYW3</t>
  </si>
  <si>
    <t>Q6IQ22_RAB12</t>
  </si>
  <si>
    <t>Q6IQ49-3_SDE2</t>
  </si>
  <si>
    <t>Q6ISB3_GRHL2</t>
  </si>
  <si>
    <t>Q6JHV3_USP3</t>
  </si>
  <si>
    <t>Q6JQN1_ACAD10</t>
  </si>
  <si>
    <t>Q6KC79-2_NIPBL</t>
  </si>
  <si>
    <t>Q6KCM7-2_SLC25A25</t>
  </si>
  <si>
    <t>Q6L8Q7-2_PDE12</t>
  </si>
  <si>
    <t>Q6MZP7-4_LIN54</t>
  </si>
  <si>
    <t>Q6N043-2_ZNF280D</t>
  </si>
  <si>
    <t>Q6N063_OGFOD2</t>
  </si>
  <si>
    <t>Q6N069_NAA16</t>
  </si>
  <si>
    <t>Q6NSJ0_KIAA1161</t>
  </si>
  <si>
    <t>Q6NT16_SLC18B1</t>
  </si>
  <si>
    <t>Q6NTE8_C5orf45</t>
  </si>
  <si>
    <t>Q6NUK1_SLC25A24</t>
  </si>
  <si>
    <t>Q6NUK4_REEP3</t>
  </si>
  <si>
    <t>Q6NUM9_RETSAT</t>
  </si>
  <si>
    <t>Q6NUQ1_RINT1</t>
  </si>
  <si>
    <t>Q6NUQ4-2_TMEM214</t>
  </si>
  <si>
    <t>Q6NUS6_TCTN3</t>
  </si>
  <si>
    <t>Q6NV74_KIAA1211L</t>
  </si>
  <si>
    <t>Q6NVH7_SWSAP1</t>
  </si>
  <si>
    <t>Q6NVY1_HIBCH</t>
  </si>
  <si>
    <t>Q6NXS1_PPP1R2P3</t>
  </si>
  <si>
    <t>Q6NXT1_ANKRD54</t>
  </si>
  <si>
    <t>Q6NXT6_TAPT1</t>
  </si>
  <si>
    <t>Q6NYC1_JMJD6</t>
  </si>
  <si>
    <t>Q6NYC8_PPP1R18</t>
  </si>
  <si>
    <t>Q6NZI2_PTRF</t>
  </si>
  <si>
    <t>Q6NZY4_ZCCHC8</t>
  </si>
  <si>
    <t>Q6P087-2_RPUSD3</t>
  </si>
  <si>
    <t>Q6P161_MRPL54</t>
  </si>
  <si>
    <t>Q6P179-3_ERAP2</t>
  </si>
  <si>
    <t>Q6P1J9_CDC73</t>
  </si>
  <si>
    <t>Q6P1K2-4_PMF1</t>
  </si>
  <si>
    <t>Q6P1L5_FAM117B</t>
  </si>
  <si>
    <t>Q6P1L8_MRPL14</t>
  </si>
  <si>
    <t>Q6P1M0_SLC27A4</t>
  </si>
  <si>
    <t>Q6P1N0_CC2D1A</t>
  </si>
  <si>
    <t>Q6P1Q9_METTL2B</t>
  </si>
  <si>
    <t>Q6P1R4_DUS1L</t>
  </si>
  <si>
    <t>Q6P1X5_TAF2</t>
  </si>
  <si>
    <t>Q6P1X6_C8orf82</t>
  </si>
  <si>
    <t>Q6P275_STAG1</t>
  </si>
  <si>
    <t>Q6P2E9_EDC4</t>
  </si>
  <si>
    <t>Q6P2H3-2_CEP85</t>
  </si>
  <si>
    <t>Q6P2I3_FAHD2B</t>
  </si>
  <si>
    <t>Q6P2P2_PRMT10</t>
  </si>
  <si>
    <t>Q6P2Q9_PRPF8</t>
  </si>
  <si>
    <t>Q6P3S6_FBXO42</t>
  </si>
  <si>
    <t>Q6P3W7_SCYL2</t>
  </si>
  <si>
    <t>Q6P3X3_TTC27</t>
  </si>
  <si>
    <t>Q6P4A7_SFXN4</t>
  </si>
  <si>
    <t>Q6P4A8_PLBD1</t>
  </si>
  <si>
    <t>Q6P4E1_CASC4</t>
  </si>
  <si>
    <t>Q6P4F2_FDX1L</t>
  </si>
  <si>
    <t>Q6P4I2_WDR73</t>
  </si>
  <si>
    <t>Q6P4R8-3_NFRKB</t>
  </si>
  <si>
    <t>Q6P582_MZT2A</t>
  </si>
  <si>
    <t>Q6P587_FAHD1</t>
  </si>
  <si>
    <t>Q6P6B7-2_ANKRD16</t>
  </si>
  <si>
    <t>Q6P6C2_ALKBH5</t>
  </si>
  <si>
    <t>Q6P988_NOTUM</t>
  </si>
  <si>
    <t>Q6PCB5_RSBN1L</t>
  </si>
  <si>
    <t>Q6PCB6-2_ABHD17C</t>
  </si>
  <si>
    <t>Q6PCE3_PGM2L1</t>
  </si>
  <si>
    <t>Q6PD62_CTR9</t>
  </si>
  <si>
    <t>Q6PD74_AAGAB</t>
  </si>
  <si>
    <t>Q6PGP7_TTC37</t>
  </si>
  <si>
    <t>Q6PH81_C16orf87</t>
  </si>
  <si>
    <t>Q6PI47-3_KCTD18</t>
  </si>
  <si>
    <t>Q6PI48_DARS2</t>
  </si>
  <si>
    <t>Q6PID6_TTC33</t>
  </si>
  <si>
    <t>Q6PII3_CCDC174</t>
  </si>
  <si>
    <t>Q6PII5-2_HAGHL</t>
  </si>
  <si>
    <t>Q6PIJ6_FBXO38</t>
  </si>
  <si>
    <t>Q6PIR0_CENPC1</t>
  </si>
  <si>
    <t>Q6PIW4-2_FIGNL1</t>
  </si>
  <si>
    <t>Q6PJ69_TRIM65</t>
  </si>
  <si>
    <t>Q6PJF5-2_RHBDF2</t>
  </si>
  <si>
    <t>Q6PJG6_BRAT1</t>
  </si>
  <si>
    <t>Q6PJI9_WDR59</t>
  </si>
  <si>
    <t>Q6PJT7-9_ZC3H14</t>
  </si>
  <si>
    <t>Q6PJZ0_RAB17</t>
  </si>
  <si>
    <t>Q6PKC3-2_TXNDC11</t>
  </si>
  <si>
    <t>Q6PKG0_LARP1</t>
  </si>
  <si>
    <t>Q6PL24_TMED8</t>
  </si>
  <si>
    <t>Q6PML9_SLC30A9</t>
  </si>
  <si>
    <t>Q6QHF9-4_PAOX</t>
  </si>
  <si>
    <t>Q6QNY0_BLOC1S3</t>
  </si>
  <si>
    <t>Q6QNY1_BLOC1S2</t>
  </si>
  <si>
    <t>Q6RFH5-2_WDR74</t>
  </si>
  <si>
    <t>Q6RW13_AGTRAP</t>
  </si>
  <si>
    <t>Q6S8J3_POTEE</t>
  </si>
  <si>
    <t>Q6SZW1-2_SARM1</t>
  </si>
  <si>
    <t>Q6UB28_METAP1D</t>
  </si>
  <si>
    <t>Q6UB35_MTHFD1L</t>
  </si>
  <si>
    <t>Q6UB98-2_ANKRD12</t>
  </si>
  <si>
    <t>Q6ULP2-5_AFTPH</t>
  </si>
  <si>
    <t>Q6UN15_FIP1L1</t>
  </si>
  <si>
    <t>Q6UUV9-3_CRTC1</t>
  </si>
  <si>
    <t>Q6UW56_ATRAID</t>
  </si>
  <si>
    <t>Q6UW63_KDELC1</t>
  </si>
  <si>
    <t>Q6UW78_C11orf83</t>
  </si>
  <si>
    <t>Q6UWE0_LRSAM1</t>
  </si>
  <si>
    <t>Q6UWP2_DHRS11</t>
  </si>
  <si>
    <t>Q6UWP7-3_LCLAT1</t>
  </si>
  <si>
    <t>Q6UWW0_LCN15</t>
  </si>
  <si>
    <t>Q6UX04_CWC27</t>
  </si>
  <si>
    <t>Q6UXD5-6_SEZ6L2</t>
  </si>
  <si>
    <t>Q6UXG2-2_KIAA1324</t>
  </si>
  <si>
    <t>Q6UXH1-5_CRELD2</t>
  </si>
  <si>
    <t>Q6UXN9_WDR82</t>
  </si>
  <si>
    <t>Q6UXV4_APOOL</t>
  </si>
  <si>
    <t>Q6W4X9_MUC6</t>
  </si>
  <si>
    <t>Q6WCQ1-2_MPRIP</t>
  </si>
  <si>
    <t>Q6WKZ4_RAB11FIP1</t>
  </si>
  <si>
    <t>Q6XQN6_NAPRT1</t>
  </si>
  <si>
    <t>Q6Y1H2_PTPLB</t>
  </si>
  <si>
    <t>Q6Y7W6_GIGYF2</t>
  </si>
  <si>
    <t>Q6YHK3_CD109</t>
  </si>
  <si>
    <t>Q6YHU6-3_THADA</t>
  </si>
  <si>
    <t>Q6YN16_HSDL2</t>
  </si>
  <si>
    <t>Q6YP21-3_CCBL2</t>
  </si>
  <si>
    <t>Q6ZMB5_TMEM184A</t>
  </si>
  <si>
    <t>Q6ZMG9_CERS6</t>
  </si>
  <si>
    <t>Q6ZMI0_PPP1R21</t>
  </si>
  <si>
    <t>Q6ZMP0_THSD4</t>
  </si>
  <si>
    <t>Q6ZMR3_LDHAL6A</t>
  </si>
  <si>
    <t>Q6ZN04_MEX3B</t>
  </si>
  <si>
    <t>Q6ZN17-2_LIN28B</t>
  </si>
  <si>
    <t>Q6ZNB6_NFXL1</t>
  </si>
  <si>
    <t>Q6ZNJ1-2_NBEAL2</t>
  </si>
  <si>
    <t>Q6ZNW5_GDPGP1</t>
  </si>
  <si>
    <t>Q6ZPD9_DPY19L3</t>
  </si>
  <si>
    <t>Q6ZRP7_QSOX2</t>
  </si>
  <si>
    <t>Q6ZRS2-2_SRCAP</t>
  </si>
  <si>
    <t>Q6ZS17-2_FAM65A</t>
  </si>
  <si>
    <t>Q6ZS30_NBEAL1</t>
  </si>
  <si>
    <t>Q6ZSJ8_C1orf122</t>
  </si>
  <si>
    <t>Q6ZSS7_MFSD6</t>
  </si>
  <si>
    <t>Q6ZT21-2_TMPPE</t>
  </si>
  <si>
    <t>Q6ZT62_SH3BP1</t>
  </si>
  <si>
    <t>Q6ZTQ3-4_RASSF6</t>
  </si>
  <si>
    <t>Q6ZUX7_LHFPL2</t>
  </si>
  <si>
    <t>Q6ZVF9_GPRIN3</t>
  </si>
  <si>
    <t>Q6ZVM7-2_TOM1L2</t>
  </si>
  <si>
    <t>Q6ZW13_C16orf86</t>
  </si>
  <si>
    <t>Q6ZW49-4_PAXIP1</t>
  </si>
  <si>
    <t>Q6ZXV5-2_TMTC3</t>
  </si>
  <si>
    <t>Q6ZYL4_GTF2H5</t>
  </si>
  <si>
    <t>Q709C8-3_VPS13C</t>
  </si>
  <si>
    <t>Q709F0_ACAD11</t>
  </si>
  <si>
    <t>Q70CQ2_USP34</t>
  </si>
  <si>
    <t>Q70IA6_MOB2</t>
  </si>
  <si>
    <t>Q70UQ0_IKBIP</t>
  </si>
  <si>
    <t>Q70UQ0-4_IKBIP</t>
  </si>
  <si>
    <t>Q70Z53-2_FRA10AC1</t>
  </si>
  <si>
    <t>Q712K3_UBE2R2</t>
  </si>
  <si>
    <t>Q71F56_MED13L</t>
  </si>
  <si>
    <t>Q71RC2-5_LARP4</t>
  </si>
  <si>
    <t>Q71SY5-5_MED25</t>
  </si>
  <si>
    <t>Q71UI9_H2AFV</t>
  </si>
  <si>
    <t>Q75QN2-2_INTS8</t>
  </si>
  <si>
    <t>Q765P7_MTSS1L</t>
  </si>
  <si>
    <t>Q7KYR7-5_BTN2A1</t>
  </si>
  <si>
    <t>Q7KZ85_SUPT6H</t>
  </si>
  <si>
    <t>Q7KZ85-2_SUPT6H</t>
  </si>
  <si>
    <t>Q7KZF4_SND1</t>
  </si>
  <si>
    <t>Q7KZN9-2_COX15</t>
  </si>
  <si>
    <t>Q7L014_DDX46</t>
  </si>
  <si>
    <t>Q7L099-4_RUFY3</t>
  </si>
  <si>
    <t>Q7L0Y3_TRMT10C</t>
  </si>
  <si>
    <t>Q7L1Q6-2_BZW1</t>
  </si>
  <si>
    <t>Q7L1T6_CYB5R4</t>
  </si>
  <si>
    <t>Q7L211_ABHD13</t>
  </si>
  <si>
    <t>Q7L266_ASRGL1</t>
  </si>
  <si>
    <t>Q7L273_KCTD9</t>
  </si>
  <si>
    <t>Q7L2H7_EIF3M</t>
  </si>
  <si>
    <t>Q7L2J0_MEPCE</t>
  </si>
  <si>
    <t>Q7L3T8_PARS2</t>
  </si>
  <si>
    <t>Q7L4E1-3_FAM73B</t>
  </si>
  <si>
    <t>Q7L4I2_RSRC2</t>
  </si>
  <si>
    <t>Q7L523_RRAGA</t>
  </si>
  <si>
    <t>Q7L576_CYFIP1</t>
  </si>
  <si>
    <t>Q7L592_NDUFAF7</t>
  </si>
  <si>
    <t>Q7L5D6_GET4</t>
  </si>
  <si>
    <t>Q7L5N7_LPCAT2</t>
  </si>
  <si>
    <t>Q7L5Y1_ENOSF1</t>
  </si>
  <si>
    <t>Q7L775_EPM2AIP1</t>
  </si>
  <si>
    <t>Q7L7V1_DHX32</t>
  </si>
  <si>
    <t>Q7L7X3_TAOK1</t>
  </si>
  <si>
    <t>Q7L8L6_FASTKD5</t>
  </si>
  <si>
    <t>Q7L8W6_ATPBD4</t>
  </si>
  <si>
    <t>Q7L9B9_EEPD1</t>
  </si>
  <si>
    <t>Q7LBC6_KDM3B</t>
  </si>
  <si>
    <t>Q7LBR1_CHMP1B</t>
  </si>
  <si>
    <t>Q7LGA3_HS2ST1</t>
  </si>
  <si>
    <t>Q7RTP0_NIPA1</t>
  </si>
  <si>
    <t>Q7RTP6_MICAL3</t>
  </si>
  <si>
    <t>Q7RTV0_PHF5A</t>
  </si>
  <si>
    <t>Q7RTX0_TAS1R3</t>
  </si>
  <si>
    <t>Q7Z2E3-8_APTX</t>
  </si>
  <si>
    <t>Q7Z2K8_GPRIN1</t>
  </si>
  <si>
    <t>Q7Z2W4_ZC3HAV1</t>
  </si>
  <si>
    <t>Q7Z2Y8_GVINP1</t>
  </si>
  <si>
    <t>Q7Z2Z2_EFTUD1</t>
  </si>
  <si>
    <t>Q7Z309_FAM122B</t>
  </si>
  <si>
    <t>Q7Z309-4_FAM122B</t>
  </si>
  <si>
    <t>Q7Z350_DKFZp686L0695</t>
  </si>
  <si>
    <t>Q7Z392_TRAPPC11</t>
  </si>
  <si>
    <t>Q7Z3C6-2_ATG9A</t>
  </si>
  <si>
    <t>Q7Z3D4_LYSMD3</t>
  </si>
  <si>
    <t>Q7Z3D6-2_C14orf159</t>
  </si>
  <si>
    <t>Q7Z3E2_C10orf118</t>
  </si>
  <si>
    <t>Q7Z3K3-5_POGZ</t>
  </si>
  <si>
    <t>Q7Z3T8_ZFYVE16</t>
  </si>
  <si>
    <t>Q7Z404-1_TMC4</t>
  </si>
  <si>
    <t>Q7Z417_NUFIP2</t>
  </si>
  <si>
    <t>Q7Z422-2_SZRD1</t>
  </si>
  <si>
    <t>Q7Z434_MAVS</t>
  </si>
  <si>
    <t>Q7Z478_DHX29</t>
  </si>
  <si>
    <t>Q7Z4G1_COMMD6</t>
  </si>
  <si>
    <t>Q7Z4G4-2_TRMT11</t>
  </si>
  <si>
    <t>Q7Z4H3_HDDC2</t>
  </si>
  <si>
    <t>Q7Z4H7-3_HAUS6</t>
  </si>
  <si>
    <t>Q7Z4H8_KDELC2</t>
  </si>
  <si>
    <t>Q7Z4I7-4_LIMS2</t>
  </si>
  <si>
    <t>Q7Z4Q2_HEATR3</t>
  </si>
  <si>
    <t>Q7Z4V5_HDGFRP2</t>
  </si>
  <si>
    <t>Q7Z4W1_DCXR</t>
  </si>
  <si>
    <t>Q7Z569_BRAP</t>
  </si>
  <si>
    <t>Q7Z589-2_EMSY</t>
  </si>
  <si>
    <t>Q7Z5G4-3_GOLGA7</t>
  </si>
  <si>
    <t>Q7Z5K2_WAPAL</t>
  </si>
  <si>
    <t>Q7Z5L9-2_IRF2BP2</t>
  </si>
  <si>
    <t>Q7Z5W3_BCDIN3D</t>
  </si>
  <si>
    <t>Q7Z6B0-2_CCDC91</t>
  </si>
  <si>
    <t>Q7Z6B7-2_SRGAP1</t>
  </si>
  <si>
    <t>Q7Z6E9_RBBP6</t>
  </si>
  <si>
    <t>Q7Z6I8_C5orf24</t>
  </si>
  <si>
    <t>Q7Z6J8_UBE3D</t>
  </si>
  <si>
    <t>Q7Z6J9_TSEN54</t>
  </si>
  <si>
    <t>Q7Z6K3_PTAR1</t>
  </si>
  <si>
    <t>Q7Z6L1_TECPR1</t>
  </si>
  <si>
    <t>Q7Z6M1_RABEPK</t>
  </si>
  <si>
    <t>Q7Z6M2_FBXO33</t>
  </si>
  <si>
    <t>Q7Z6M4_MTERFD2</t>
  </si>
  <si>
    <t>Q7Z6V5_ADAT2</t>
  </si>
  <si>
    <t>Q7Z6Z7-2_HUWE1</t>
  </si>
  <si>
    <t>Q7Z7A3_CTU1</t>
  </si>
  <si>
    <t>Q7Z7A4_PXK</t>
  </si>
  <si>
    <t>Q7Z7C8_TAF8</t>
  </si>
  <si>
    <t>Q7Z7E8_UBE2Q1</t>
  </si>
  <si>
    <t>Q7Z7F0-2_KIAA0907</t>
  </si>
  <si>
    <t>Q7Z7F7_MRPL55</t>
  </si>
  <si>
    <t>Q7Z7H5-3_TMED4</t>
  </si>
  <si>
    <t>Q7Z7H8_MRPL10</t>
  </si>
  <si>
    <t>Q7Z7K0_CMC1</t>
  </si>
  <si>
    <t>Q7Z7K6-3_CENPV</t>
  </si>
  <si>
    <t>Q7Z7L7_ZER1</t>
  </si>
  <si>
    <t>Q7Z7N9_TMEM179B</t>
  </si>
  <si>
    <t>Q86SQ9-3_DHDDS</t>
  </si>
  <si>
    <t>Q86SR1-2_GALNT10</t>
  </si>
  <si>
    <t>Q86SX6_GLRX5</t>
  </si>
  <si>
    <t>Q86SZ2_TRAPPC6B</t>
  </si>
  <si>
    <t>Q86T03_TMEM55B</t>
  </si>
  <si>
    <t>Q86TB9-4_PATL1</t>
  </si>
  <si>
    <t>Q86TG7_PEG10</t>
  </si>
  <si>
    <t>Q86TI0_TBC1D1</t>
  </si>
  <si>
    <t>Q86TI2_DPP9</t>
  </si>
  <si>
    <t>Q86TM6-2_SYVN1</t>
  </si>
  <si>
    <t>Q86TN4_TRPT1</t>
  </si>
  <si>
    <t>Q86TP1_PRUNE</t>
  </si>
  <si>
    <t>Q86TU7_SETD3</t>
  </si>
  <si>
    <t>Q86TW2-3_ADCK1</t>
  </si>
  <si>
    <t>Q86TX2_ACOT1</t>
  </si>
  <si>
    <t>Q86U28_ISCA2</t>
  </si>
  <si>
    <t>Q86U38_NOP9</t>
  </si>
  <si>
    <t>Q86U44_METTL3</t>
  </si>
  <si>
    <t>Q86U70-3_LDB1</t>
  </si>
  <si>
    <t>Q86U86-5_PBRM1</t>
  </si>
  <si>
    <t>Q86U90_YRDC</t>
  </si>
  <si>
    <t>Q86UA1_PRPF39</t>
  </si>
  <si>
    <t>Q86UD0_SAPCD2</t>
  </si>
  <si>
    <t>Q86UE4_MTDH</t>
  </si>
  <si>
    <t>Q86UE8-2_TLK2</t>
  </si>
  <si>
    <t>Q86UK7-3_ZNF598</t>
  </si>
  <si>
    <t>Q86UL3_AGPAT6</t>
  </si>
  <si>
    <t>Q86UP2_KTN1</t>
  </si>
  <si>
    <t>Q86US8_SMG6</t>
  </si>
  <si>
    <t>Q86UT6-2_NLRX1</t>
  </si>
  <si>
    <t>Q86UU0-4_BCL9L</t>
  </si>
  <si>
    <t>Q86UV5_USP48</t>
  </si>
  <si>
    <t>Q86UX3_ABCC5</t>
  </si>
  <si>
    <t>Q86UX6_STK32C</t>
  </si>
  <si>
    <t>Q86UY0_TXNDC5</t>
  </si>
  <si>
    <t>Q86UY8_NT5DC3</t>
  </si>
  <si>
    <t>Q86V15_CASZ1</t>
  </si>
  <si>
    <t>Q86V21_AACS</t>
  </si>
  <si>
    <t>Q86V48-2_LUZP1</t>
  </si>
  <si>
    <t>Q86V85_GPR180</t>
  </si>
  <si>
    <t>Q86V88_MDP1</t>
  </si>
  <si>
    <t>Q86V97_KBTBD6</t>
  </si>
  <si>
    <t>Q86VF7-4_NRAP</t>
  </si>
  <si>
    <t>Q86VI3_IQGAP3</t>
  </si>
  <si>
    <t>Q86VN1-2_VPS36</t>
  </si>
  <si>
    <t>Q86VP6_CAND1</t>
  </si>
  <si>
    <t>Q86VQ1_GLCCI1</t>
  </si>
  <si>
    <t>Q86VR2_FAM134C</t>
  </si>
  <si>
    <t>Q86VS8_HOOK3</t>
  </si>
  <si>
    <t>Q86VU5_COMTD1</t>
  </si>
  <si>
    <t>Q86VW0_SESTD1</t>
  </si>
  <si>
    <t>Q86VX9_MON1A</t>
  </si>
  <si>
    <t>Q86W42_THOC6</t>
  </si>
  <si>
    <t>Q86W50_METTL16</t>
  </si>
  <si>
    <t>Q86W56_PARG</t>
  </si>
  <si>
    <t>Q86W92-4_PPFIBP1</t>
  </si>
  <si>
    <t>Q86WA6-2_BPHL</t>
  </si>
  <si>
    <t>Q86WA8_LONP2</t>
  </si>
  <si>
    <t>Q86WC4_OSTM1</t>
  </si>
  <si>
    <t>Q86WJ1-2_CHD1L</t>
  </si>
  <si>
    <t>Q86WQ0_NR2C2AP</t>
  </si>
  <si>
    <t>Q86WR0_CCDC25</t>
  </si>
  <si>
    <t>Q86WR7_PROSER2</t>
  </si>
  <si>
    <t>Q86WU2-2_LDHD</t>
  </si>
  <si>
    <t>Q86WV7_CCDC43</t>
  </si>
  <si>
    <t>Q86X55-1_CARM1</t>
  </si>
  <si>
    <t>Q86X67_NUDT13</t>
  </si>
  <si>
    <t>Q86X76-2_NIT1</t>
  </si>
  <si>
    <t>Q86X83_COMMD2</t>
  </si>
  <si>
    <t>Q86X95-2_CIR1</t>
  </si>
  <si>
    <t>Q86XP0_PLA2G4D</t>
  </si>
  <si>
    <t>Q86XP1_DGKH</t>
  </si>
  <si>
    <t>Q86XP3_DDX42</t>
  </si>
  <si>
    <t>Q86XX4_FRAS1</t>
  </si>
  <si>
    <t>Q86XZ4_SPATS2</t>
  </si>
  <si>
    <t>Q86Y07_VRK2</t>
  </si>
  <si>
    <t>Q86Y07-4_VRK2</t>
  </si>
  <si>
    <t>Q86Y39_NDUFA11</t>
  </si>
  <si>
    <t>Q86Y56_HEATR2</t>
  </si>
  <si>
    <t>Q86Y79_PTRH1</t>
  </si>
  <si>
    <t>Q86Y82_STX12</t>
  </si>
  <si>
    <t>Q86YB8_ERO1LB</t>
  </si>
  <si>
    <t>Q86YH6_PDSS2</t>
  </si>
  <si>
    <t>Q86YM7_HOMER1</t>
  </si>
  <si>
    <t>Q86YN1-2_DOLPP1</t>
  </si>
  <si>
    <t>Q86YP4_GATAD2A</t>
  </si>
  <si>
    <t>Q86YS7_C2CD5</t>
  </si>
  <si>
    <t>Q86YT6_MIB1</t>
  </si>
  <si>
    <t>Q86YV5_SGK223</t>
  </si>
  <si>
    <t>Q86YV9_HPS6</t>
  </si>
  <si>
    <t>Q8IU81_IRF2BP1</t>
  </si>
  <si>
    <t>Q8IUC4_RHPN2</t>
  </si>
  <si>
    <t>Q8IUD2-2_ERC1</t>
  </si>
  <si>
    <t>Q8IUF8_MINA</t>
  </si>
  <si>
    <t>Q8IUF8-4_MINA</t>
  </si>
  <si>
    <t>Q8IUH4_ZDHHC13</t>
  </si>
  <si>
    <t>Q8IUI8_CRLF3</t>
  </si>
  <si>
    <t>Q8IUR0_TRAPPC5</t>
  </si>
  <si>
    <t>Q8IUW5_RELL1</t>
  </si>
  <si>
    <t>Q8IUX1-4_TMEM126B</t>
  </si>
  <si>
    <t>Q8IUZ5_AGXT2L2</t>
  </si>
  <si>
    <t>Q8IV08_PLD3</t>
  </si>
  <si>
    <t>Q8IV20_LACC1</t>
  </si>
  <si>
    <t>Q8IV36-2_HID1</t>
  </si>
  <si>
    <t>Q8IV38_ANKMY2</t>
  </si>
  <si>
    <t>Q8IV45_UNC5CL</t>
  </si>
  <si>
    <t>Q8IV50_LYSMD2</t>
  </si>
  <si>
    <t>Q8IV56_PRR15</t>
  </si>
  <si>
    <t>Q8IV63-3_VRK3</t>
  </si>
  <si>
    <t>Q8IVB5_LIX1L</t>
  </si>
  <si>
    <t>Q8IVD9_NUDCD3</t>
  </si>
  <si>
    <t>Q8IVF2-3_AHNAK2</t>
  </si>
  <si>
    <t>Q8IVH4_MMAA</t>
  </si>
  <si>
    <t>Q8IVH8-3_MAP4K3</t>
  </si>
  <si>
    <t>Q8IVL1-4_NAV2</t>
  </si>
  <si>
    <t>Q8IVM0_CCDC50</t>
  </si>
  <si>
    <t>Q8IVM0-2_CCDC50</t>
  </si>
  <si>
    <t>Q8IVQ6_ZDHHC21</t>
  </si>
  <si>
    <t>Q8IVR6_PPM1D</t>
  </si>
  <si>
    <t>Q8IVS2_MCAT</t>
  </si>
  <si>
    <t>Q8IVT2_C19orf21</t>
  </si>
  <si>
    <t>Q8IVW6-3_ARID3B</t>
  </si>
  <si>
    <t>Q8IW45_CARKD</t>
  </si>
  <si>
    <t>Q8IWA4_MFN1</t>
  </si>
  <si>
    <t>Q8IWB1_ITPRIP</t>
  </si>
  <si>
    <t>Q8IWB7_WDFY1</t>
  </si>
  <si>
    <t>Q8IWB9_TEX2</t>
  </si>
  <si>
    <t>Q8IWC1-2_MAP7D3</t>
  </si>
  <si>
    <t>Q8IWD4_CCDC117</t>
  </si>
  <si>
    <t>Q8IWE2_FAM114A1</t>
  </si>
  <si>
    <t>Q8IWE4_DCUN1D3</t>
  </si>
  <si>
    <t>Q8IWF6_DENND6A</t>
  </si>
  <si>
    <t>Q8IWJ2_GCC2</t>
  </si>
  <si>
    <t>Q8IWL3_HSCB</t>
  </si>
  <si>
    <t>Q8IWR0_ZC3H7A</t>
  </si>
  <si>
    <t>Q8IWS0_PHF6</t>
  </si>
  <si>
    <t>Q8IWT6_LRRC8A</t>
  </si>
  <si>
    <t>Q8IWU2_LMTK2</t>
  </si>
  <si>
    <t>Q8IWV7_UBR1</t>
  </si>
  <si>
    <t>Q8IWV8-4_UBR2</t>
  </si>
  <si>
    <t>Q8IWW6-2_ARHGAP12</t>
  </si>
  <si>
    <t>Q8IWX5_SGPP2</t>
  </si>
  <si>
    <t>Q8IWZ3-6_ANKHD1</t>
  </si>
  <si>
    <t>Q8IWZ8_SUGP1</t>
  </si>
  <si>
    <t>Q8IX04-6_UEVLD</t>
  </si>
  <si>
    <t>Q8IX12-2_CCAR1</t>
  </si>
  <si>
    <t>Q8IX18-3_DHX40</t>
  </si>
  <si>
    <t>Q8IX90_SKA3</t>
  </si>
  <si>
    <t>Q8IXB1_DNAJC10</t>
  </si>
  <si>
    <t>Q8IXI1_RHOT2</t>
  </si>
  <si>
    <t>Q8IXI2-4_RHOT1</t>
  </si>
  <si>
    <t>Q8IXM2-2_BAP18</t>
  </si>
  <si>
    <t>Q8IXQ4_KIAA1704</t>
  </si>
  <si>
    <t>Q8IXW5-2_RPAP2</t>
  </si>
  <si>
    <t>Q8IY17-5_PNPLA6</t>
  </si>
  <si>
    <t>Q8IY18_SMC5</t>
  </si>
  <si>
    <t>Q8IY22_CMIP</t>
  </si>
  <si>
    <t>Q8IY33_MICALL2</t>
  </si>
  <si>
    <t>Q8IY37_DHX37</t>
  </si>
  <si>
    <t>Q8IY47_KBTBD2</t>
  </si>
  <si>
    <t>Q8IY50-2_SLC35F3</t>
  </si>
  <si>
    <t>Q8IY81_FTSJ3</t>
  </si>
  <si>
    <t>Q8IY92-2_SLX4</t>
  </si>
  <si>
    <t>Q8IY95-2_TMEM192</t>
  </si>
  <si>
    <t>Q8IYB1_MB21D2</t>
  </si>
  <si>
    <t>Q8IYB5-3_SMAP1</t>
  </si>
  <si>
    <t>Q8IYB7_DIS3L2</t>
  </si>
  <si>
    <t>Q8IYB8_SUPV3L1</t>
  </si>
  <si>
    <t>Q8IYE0-2_CCDC146</t>
  </si>
  <si>
    <t>Q8IYH5-4_ZZZ3</t>
  </si>
  <si>
    <t>Q8IYI6_EXOC8</t>
  </si>
  <si>
    <t>Q8IYL3_C1orf174</t>
  </si>
  <si>
    <t>Q8IYQ7_THNSL1</t>
  </si>
  <si>
    <t>Q8IYS1_PM20D2</t>
  </si>
  <si>
    <t>Q8IYS2_KIAA2013</t>
  </si>
  <si>
    <t>Q8IYU8_MICU2</t>
  </si>
  <si>
    <t>Q8IYW5_RNF168</t>
  </si>
  <si>
    <t>Q8IZ07_ANKRD13A</t>
  </si>
  <si>
    <t>Q8IZ21-3_PHACTR4</t>
  </si>
  <si>
    <t>Q8IZ40_RCOR2</t>
  </si>
  <si>
    <t>Q8IZ41_RASEF</t>
  </si>
  <si>
    <t>Q8IZ52_CHPF</t>
  </si>
  <si>
    <t>Q8IZ68_MTX2</t>
  </si>
  <si>
    <t>Q8IZ73_RPUSD2</t>
  </si>
  <si>
    <t>Q8IZ81_ELMOD2</t>
  </si>
  <si>
    <t>Q8IZ83_ALDH16A1</t>
  </si>
  <si>
    <t>Q8IZF0_NALCN</t>
  </si>
  <si>
    <t>Q8IZH2-2_XRN1</t>
  </si>
  <si>
    <t>Q8IZL2_MAML2</t>
  </si>
  <si>
    <t>Q8IZQ5_SELH</t>
  </si>
  <si>
    <t>Q8IZR5-2_CMTM4</t>
  </si>
  <si>
    <t>Q8IZV5_RDH10</t>
  </si>
  <si>
    <t>Q8IZW8_TNS4</t>
  </si>
  <si>
    <t>Q8N0T1_C8orf59</t>
  </si>
  <si>
    <t>Q8N0U4_FAM185A</t>
  </si>
  <si>
    <t>Q8N0U8_VKORC1L1</t>
  </si>
  <si>
    <t>Q8N0W3_FUK</t>
  </si>
  <si>
    <t>Q8N0X4_CLYBL</t>
  </si>
  <si>
    <t>Q8N0Z6_TTC5</t>
  </si>
  <si>
    <t>Q8N0Z8_PUSL1</t>
  </si>
  <si>
    <t>Q8N0Z9-2_VSIG10</t>
  </si>
  <si>
    <t>Q8N108-17_MIER1</t>
  </si>
  <si>
    <t>Q8N122_RPTOR</t>
  </si>
  <si>
    <t>Q8N129_CNPY4</t>
  </si>
  <si>
    <t>Q8N163_KIAA1967</t>
  </si>
  <si>
    <t>Q8N183_NDUFAF2</t>
  </si>
  <si>
    <t>Q8N1B4_VPS52</t>
  </si>
  <si>
    <t>Q8N1F7_NUP93</t>
  </si>
  <si>
    <t>Q8N1G2_FTSJD2</t>
  </si>
  <si>
    <t>Q8N1G4_LRRC47</t>
  </si>
  <si>
    <t>Q8N1K5_THEMIS</t>
  </si>
  <si>
    <t>Q8N2A8_PLD6</t>
  </si>
  <si>
    <t>Q8N2F6-3_ARMC10</t>
  </si>
  <si>
    <t>Q8N2G8-3_GHDC</t>
  </si>
  <si>
    <t>Q8N2K0_ABHD12</t>
  </si>
  <si>
    <t>Q8N2Z9_APITD1</t>
  </si>
  <si>
    <t>Q8N300_CCDC23</t>
  </si>
  <si>
    <t>Q8N335_GPD1L</t>
  </si>
  <si>
    <t>Q8N350_DOS</t>
  </si>
  <si>
    <t>Q8N392-2_ARHGAP18</t>
  </si>
  <si>
    <t>Q8N398-2_VWA5B2</t>
  </si>
  <si>
    <t>Q8N3C0_ASCC3</t>
  </si>
  <si>
    <t>Q8N3D4_EHBP1L1</t>
  </si>
  <si>
    <t>Q8N3F8_MICALL1</t>
  </si>
  <si>
    <t>Q8N3R9-2_MPP5</t>
  </si>
  <si>
    <t>Q8N3X1_FNBP4</t>
  </si>
  <si>
    <t>Q8N442_GUF1</t>
  </si>
  <si>
    <t>Q8N465_D2HGDH</t>
  </si>
  <si>
    <t>Q8N488_RYBP</t>
  </si>
  <si>
    <t>Q8N490-2_PNKD</t>
  </si>
  <si>
    <t>Q8N490-4_PNKD</t>
  </si>
  <si>
    <t>Q8N4C8-2_MINK1</t>
  </si>
  <si>
    <t>Q8N4H5_TOMM5</t>
  </si>
  <si>
    <t>Q8N4P3_HDDC3</t>
  </si>
  <si>
    <t>Q8N4Q0_ZADH2</t>
  </si>
  <si>
    <t>Q8N4Q1_CHCHD4</t>
  </si>
  <si>
    <t>Q8N4T8_CBR4</t>
  </si>
  <si>
    <t>Q8N4V1_MMGT1</t>
  </si>
  <si>
    <t>Q8N567_ZCCHC9</t>
  </si>
  <si>
    <t>Q8N573-2_OXR1</t>
  </si>
  <si>
    <t>Q8N584_TTC39C</t>
  </si>
  <si>
    <t>Q8N5C6_SRBD1</t>
  </si>
  <si>
    <t>Q8N5F7_NKAP</t>
  </si>
  <si>
    <t>Q8N5G0-2_SMIM20</t>
  </si>
  <si>
    <t>Q8N5G2_TMEM57</t>
  </si>
  <si>
    <t>Q8N5I2_ARRDC1</t>
  </si>
  <si>
    <t>Q8N5I9_C12orf45</t>
  </si>
  <si>
    <t>Q8N5K1_CISD2</t>
  </si>
  <si>
    <t>Q8N5L8_RPP25L</t>
  </si>
  <si>
    <t>Q8N5M1_ATPAF2</t>
  </si>
  <si>
    <t>Q8N5M9_JAGN1</t>
  </si>
  <si>
    <t>Q8N5N7_MRPL50</t>
  </si>
  <si>
    <t>Q8N5X7-2_EIF4E3</t>
  </si>
  <si>
    <t>Q8N5Y8_PARP16</t>
  </si>
  <si>
    <t>Q8N5Z5-2_KCTD17</t>
  </si>
  <si>
    <t>Q8N684-2_CPSF7</t>
  </si>
  <si>
    <t>Q8N697_SLC15A4</t>
  </si>
  <si>
    <t>Q8N6H7_ARFGAP2</t>
  </si>
  <si>
    <t>Q8N6M0_OTUD6B</t>
  </si>
  <si>
    <t>Q8N6N3-2_C1orf52</t>
  </si>
  <si>
    <t>Q8N6N7_ACBD7</t>
  </si>
  <si>
    <t>Q8N6Q8_METTL25</t>
  </si>
  <si>
    <t>Q8N6S4-2_ANKRD13C</t>
  </si>
  <si>
    <t>Q8N6T3_ARFGAP1</t>
  </si>
  <si>
    <t>Q8N729_NPW</t>
  </si>
  <si>
    <t>Q8N749_TOM1L1</t>
  </si>
  <si>
    <t>Q8N766-3_EMC1</t>
  </si>
  <si>
    <t>Q8N806_UBR7</t>
  </si>
  <si>
    <t>Q8N8J7_C4orf32</t>
  </si>
  <si>
    <t>Q8N8N7_PTGR2</t>
  </si>
  <si>
    <t>Q8N8R3_SLC25A29</t>
  </si>
  <si>
    <t>Q8N8R5_C2orf69</t>
  </si>
  <si>
    <t>Q8N8R7_ARL14EP</t>
  </si>
  <si>
    <t>Q8N8S7_ENAH</t>
  </si>
  <si>
    <t>Q8N954_GPATCH11</t>
  </si>
  <si>
    <t>Q8N999_C12orf29</t>
  </si>
  <si>
    <t>Q8N9B5-2_JMY</t>
  </si>
  <si>
    <t>Q8N9F7_GDPD1</t>
  </si>
  <si>
    <t>Q8N9I9_DTX3</t>
  </si>
  <si>
    <t>Q8N9M5_TMEM102</t>
  </si>
  <si>
    <t>Q8N9N7_LRRC57</t>
  </si>
  <si>
    <t>Q8N9R8_SCAI</t>
  </si>
  <si>
    <t>Q8N9T8_KRI1</t>
  </si>
  <si>
    <t>Q8N9V3_WDSUB1</t>
  </si>
  <si>
    <t>Q8NAF0_ZNF579</t>
  </si>
  <si>
    <t>Q8NAV1_PRPF38A</t>
  </si>
  <si>
    <t>Q8NAX2_C1orf172</t>
  </si>
  <si>
    <t>Q8NB15-2_ZNF511</t>
  </si>
  <si>
    <t>Q8NB16_MLKL</t>
  </si>
  <si>
    <t>Q8NB37_PDDC1</t>
  </si>
  <si>
    <t>Q8NB46_ANKRD52</t>
  </si>
  <si>
    <t>Q8NB49-2_ATP11C</t>
  </si>
  <si>
    <t>Q8NB90_SPATA5</t>
  </si>
  <si>
    <t>Q8NBF2_NHLRC2</t>
  </si>
  <si>
    <t>Q8NBF6_AVL9</t>
  </si>
  <si>
    <t>Q8NBI6_XXYLT1</t>
  </si>
  <si>
    <t>Q8NBJ4-2_GOLM1</t>
  </si>
  <si>
    <t>Q8NBJ5_COLGALT1</t>
  </si>
  <si>
    <t>Q8NBK3-4_SUMF1</t>
  </si>
  <si>
    <t>Q8NBM4-2_UBAC2</t>
  </si>
  <si>
    <t>Q8NBM8_PCYOX1L</t>
  </si>
  <si>
    <t>Q8NBN3_TMEM87A</t>
  </si>
  <si>
    <t>Q8NBN7_RDH13</t>
  </si>
  <si>
    <t>Q8NBP7_PCSK9</t>
  </si>
  <si>
    <t>Q8NBU5_ATAD1</t>
  </si>
  <si>
    <t>Q8NBX0_SCCPDH</t>
  </si>
  <si>
    <t>Q8NBY1_MST4</t>
  </si>
  <si>
    <t>Q8NC51_SERBP1</t>
  </si>
  <si>
    <t>Q8NC54_KCT2</t>
  </si>
  <si>
    <t>Q8NC56_LEMD2</t>
  </si>
  <si>
    <t>Q8NC60_NOA1</t>
  </si>
  <si>
    <t>Q8NC96_NECAP1</t>
  </si>
  <si>
    <t>Q8NCA5-2_FAM98A</t>
  </si>
  <si>
    <t>Q8NCC3_PLA2G15</t>
  </si>
  <si>
    <t>Q8NCE0-4_TSEN2</t>
  </si>
  <si>
    <t>Q8NCE2_MTMR14</t>
  </si>
  <si>
    <t>Q8NCF5_NFATC2IP</t>
  </si>
  <si>
    <t>Q8NCG7_DAGLB</t>
  </si>
  <si>
    <t>Q8NCH0_CHST14</t>
  </si>
  <si>
    <t>Q8NCL4_GALNT6</t>
  </si>
  <si>
    <t>Q8NCN4_RNF169</t>
  </si>
  <si>
    <t>Q8NCN5_PDPR</t>
  </si>
  <si>
    <t>Q8NCW5_APOA1BP</t>
  </si>
  <si>
    <t>Q8ND04_SMG8</t>
  </si>
  <si>
    <t>Q8ND24_RNF214</t>
  </si>
  <si>
    <t>Q8ND56-2_LSM14A</t>
  </si>
  <si>
    <t>Q8ND76_CCNY</t>
  </si>
  <si>
    <t>Q8NDC0_MAPK1IP1L</t>
  </si>
  <si>
    <t>Q8NDD1-2_C1orf131</t>
  </si>
  <si>
    <t>Q8NDD1-3_C1orf131</t>
  </si>
  <si>
    <t>Q8NDH3_NPEPL1</t>
  </si>
  <si>
    <t>Q8NDT2_RBM15B</t>
  </si>
  <si>
    <t>Q8NDZ4_C3orf58</t>
  </si>
  <si>
    <t>Q8NE01-2_CNNM3</t>
  </si>
  <si>
    <t>Q8NE62_CHDH</t>
  </si>
  <si>
    <t>Q8NE71_ABCF1</t>
  </si>
  <si>
    <t>Q8NE86-3_MCU</t>
  </si>
  <si>
    <t>Q8NEC7_GSTCD</t>
  </si>
  <si>
    <t>Q8NEG4_FAM83F</t>
  </si>
  <si>
    <t>Q8NEG7_DENND6B</t>
  </si>
  <si>
    <t>Q8NEL9-2_DDHD1</t>
  </si>
  <si>
    <t>Q8NEN9_PDZD8</t>
  </si>
  <si>
    <t>Q8NEU8-2_APPL2</t>
  </si>
  <si>
    <t>Q8NEZ5_FBXO22</t>
  </si>
  <si>
    <t>Q8NF37_LPCAT1</t>
  </si>
  <si>
    <t>Q8NFC6_BOD1L1</t>
  </si>
  <si>
    <t>Q8NFF5-2_FLAD1</t>
  </si>
  <si>
    <t>Q8NFH3_NUP43</t>
  </si>
  <si>
    <t>Q8NFH4_NUP37</t>
  </si>
  <si>
    <t>Q8NFI3_ENGASE</t>
  </si>
  <si>
    <t>Q8NFM7-4_IL17RD</t>
  </si>
  <si>
    <t>Q8NFQ8_TOR1AIP2</t>
  </si>
  <si>
    <t>Q8NFU3_TSTD1</t>
  </si>
  <si>
    <t>Q8NFU3-4_TSTD1</t>
  </si>
  <si>
    <t>Q8NFV4_ABHD11</t>
  </si>
  <si>
    <t>Q8NFW8_CMAS</t>
  </si>
  <si>
    <t>Q8NFX7-2_STXBP6</t>
  </si>
  <si>
    <t>Q8NG68_TTL</t>
  </si>
  <si>
    <t>Q8NGG4_OR8H1</t>
  </si>
  <si>
    <t>Q8NHG7_SVIP</t>
  </si>
  <si>
    <t>Q8NHG8_ZNRF2</t>
  </si>
  <si>
    <t>Q8NHH9_ATL2</t>
  </si>
  <si>
    <t>Q8NHM4_TRY6</t>
  </si>
  <si>
    <t>Q8NHM5-4_KDM2B</t>
  </si>
  <si>
    <t>Q8NHP8_PLBD2</t>
  </si>
  <si>
    <t>Q8NHV1_GIMAP7</t>
  </si>
  <si>
    <t>Q8NHV4_NEDD1</t>
  </si>
  <si>
    <t>Q8NHZ8_CDC26</t>
  </si>
  <si>
    <t>Q8NI08-2_NCOA7</t>
  </si>
  <si>
    <t>Q8NI22-2_MCFD2</t>
  </si>
  <si>
    <t>Q8NI27_THOC2</t>
  </si>
  <si>
    <t>Q8NI35_INADL</t>
  </si>
  <si>
    <t>Q8NI36_WDR36</t>
  </si>
  <si>
    <t>Q8NI37_PPTC7</t>
  </si>
  <si>
    <t>Q8NI60_ADCK3</t>
  </si>
  <si>
    <t>Q8TA86_RP9</t>
  </si>
  <si>
    <t>Q8TAA5_GRPEL2</t>
  </si>
  <si>
    <t>Q8TAD8_SNIP1</t>
  </si>
  <si>
    <t>Q8TAE6_PPP1R14C</t>
  </si>
  <si>
    <t>Q8TAE8_GADD45GIP1</t>
  </si>
  <si>
    <t>Q8TAF3_WDR48</t>
  </si>
  <si>
    <t>Q8TAM6_ERMN</t>
  </si>
  <si>
    <t>Q8TAP6_CEP76</t>
  </si>
  <si>
    <t>Q8TAQ2_SMARCC2</t>
  </si>
  <si>
    <t>Q8TAT2_FGFBP3</t>
  </si>
  <si>
    <t>Q8TAT6_NPLOC4</t>
  </si>
  <si>
    <t>Q8TAV0-2_FAM76A</t>
  </si>
  <si>
    <t>Q8TB03_CXorf38</t>
  </si>
  <si>
    <t>Q8TB36_GDAP1</t>
  </si>
  <si>
    <t>Q8TB37_NUBPL</t>
  </si>
  <si>
    <t>Q8TB52_FBXO30</t>
  </si>
  <si>
    <t>Q8TB61-3_SLC35B2</t>
  </si>
  <si>
    <t>Q8TB72-3_PUM2</t>
  </si>
  <si>
    <t>Q8TBA6-2_GOLGA5</t>
  </si>
  <si>
    <t>Q8TBB1_LNX1</t>
  </si>
  <si>
    <t>Q8TBB5-3_KLHDC4</t>
  </si>
  <si>
    <t>Q8TBC4_UBA3</t>
  </si>
  <si>
    <t>Q8TBE9_NANP</t>
  </si>
  <si>
    <t>Q8TBF2_FAM213B</t>
  </si>
  <si>
    <t>Q8TBK2-2_SETD6</t>
  </si>
  <si>
    <t>Q8TBR7-1_FAM57A</t>
  </si>
  <si>
    <t>Q8TBX8_PIP4K2C</t>
  </si>
  <si>
    <t>Q8TBZ6_TRMT10A</t>
  </si>
  <si>
    <t>Q8TC07-2_TBC1D15</t>
  </si>
  <si>
    <t>Q8TC12_RDH11</t>
  </si>
  <si>
    <t>Q8TCA0_LRRC20</t>
  </si>
  <si>
    <t>Q8TCD1_C18orf32</t>
  </si>
  <si>
    <t>Q8TCD5_NT5C</t>
  </si>
  <si>
    <t>Q8TCG1_KIAA1524</t>
  </si>
  <si>
    <t>Q8TCG2_PI4K2B</t>
  </si>
  <si>
    <t>Q8TCJ2_STT3B</t>
  </si>
  <si>
    <t>Q8TCS8_PNPT1</t>
  </si>
  <si>
    <t>Q8TCT9-5_HM13</t>
  </si>
  <si>
    <t>Q8TCX1-5_DYNC2LI1</t>
  </si>
  <si>
    <t>Q8TCX5-2_RHPN1</t>
  </si>
  <si>
    <t>Q8TCY9-3_URGCP</t>
  </si>
  <si>
    <t>Q8TCZ2-6_CD99L2</t>
  </si>
  <si>
    <t>Q8TD16_BICD2</t>
  </si>
  <si>
    <t>Q8TD19_NEK9</t>
  </si>
  <si>
    <t>Q8TD30_GPT2</t>
  </si>
  <si>
    <t>Q8TDB6_DTX3L</t>
  </si>
  <si>
    <t>Q8TDD1-2_DDX54</t>
  </si>
  <si>
    <t>Q8TDH9_BLOC1S5</t>
  </si>
  <si>
    <t>Q8TDQ7_GNPDA2</t>
  </si>
  <si>
    <t>Q8TDR2_STK35</t>
  </si>
  <si>
    <t>Q8TDX7_NEK7</t>
  </si>
  <si>
    <t>Q8TDY2-2_RB1CC1</t>
  </si>
  <si>
    <t>Q8TDZ2_MICAL1</t>
  </si>
  <si>
    <t>Q8TE04-2_PANK1</t>
  </si>
  <si>
    <t>Q8TE77_SSH3</t>
  </si>
  <si>
    <t>Q8TEA1_NSUN6</t>
  </si>
  <si>
    <t>Q8TEA7-3_TBCK</t>
  </si>
  <si>
    <t>Q8TEA8_DTD1</t>
  </si>
  <si>
    <t>Q8TEB1-2_DCAF11</t>
  </si>
  <si>
    <t>Q8TED0_UTP15</t>
  </si>
  <si>
    <t>Q8TEM1_NUP210</t>
  </si>
  <si>
    <t>Q8TEQ6_GEMIN5</t>
  </si>
  <si>
    <t>Q8TEQ8-2_PIGO</t>
  </si>
  <si>
    <t>Q8TET4_GANC</t>
  </si>
  <si>
    <t>Q8TEV9-2_SMCR8</t>
  </si>
  <si>
    <t>Q8TEX9_IPO4</t>
  </si>
  <si>
    <t>Q8TEY7-3_USP33</t>
  </si>
  <si>
    <t>Q8TF01_PNISR</t>
  </si>
  <si>
    <t>Q8TF05-2_PPP4R1</t>
  </si>
  <si>
    <t>Q8TF71_SLC16A10</t>
  </si>
  <si>
    <t>Q8TF74_WIPF2</t>
  </si>
  <si>
    <t>Q8WTS1_ABHD5</t>
  </si>
  <si>
    <t>Q8WTS6_SETD7</t>
  </si>
  <si>
    <t>Q8WTW3_COG1</t>
  </si>
  <si>
    <t>Q8WTX9_ZDHHC1</t>
  </si>
  <si>
    <t>Q8WU10_PYROXD1</t>
  </si>
  <si>
    <t>Q8WU79-2_SMAP2</t>
  </si>
  <si>
    <t>Q8WU90_ZC3H15</t>
  </si>
  <si>
    <t>Q8WUA2_PPIL4</t>
  </si>
  <si>
    <t>Q8WUA4_GTF3C2</t>
  </si>
  <si>
    <t>Q8WUB8-3_PHF10</t>
  </si>
  <si>
    <t>Q8WUD1_RAB2B</t>
  </si>
  <si>
    <t>Q8WUF5_PPP1R13L</t>
  </si>
  <si>
    <t>Q8WUF8-3_FAM172A</t>
  </si>
  <si>
    <t>Q8WUH1_CHURC1</t>
  </si>
  <si>
    <t>Q8WUH2_TGFBRAP1</t>
  </si>
  <si>
    <t>Q8WUH6_C12orf23</t>
  </si>
  <si>
    <t>Q8WUJ0_STYX</t>
  </si>
  <si>
    <t>Q8WUK0_PTPMT1</t>
  </si>
  <si>
    <t>Q8WUM0_NUP133</t>
  </si>
  <si>
    <t>Q8WUM4_PDCD6IP</t>
  </si>
  <si>
    <t>Q8WUN7_UBTD2</t>
  </si>
  <si>
    <t>Q8WUP2_FBLIM1</t>
  </si>
  <si>
    <t>Q8WUR7_C15orf40</t>
  </si>
  <si>
    <t>Q8WUX2_CHAC2</t>
  </si>
  <si>
    <t>Q8WUX9_CHMP7</t>
  </si>
  <si>
    <t>Q8WUY1_THEM6</t>
  </si>
  <si>
    <t>Q8WUY8_NAT14</t>
  </si>
  <si>
    <t>Q8WV22_NSMCE1</t>
  </si>
  <si>
    <t>Q8WV41_SNX33</t>
  </si>
  <si>
    <t>Q8WV60_PTCD2</t>
  </si>
  <si>
    <t>Q8WV93_LACE1</t>
  </si>
  <si>
    <t>Q8WVB6_CHTF18</t>
  </si>
  <si>
    <t>Q8WVC0_LEO1</t>
  </si>
  <si>
    <t>Q8WVC2_RPS21</t>
  </si>
  <si>
    <t>Q8WVD3_RNF138</t>
  </si>
  <si>
    <t>Q8WVJ2_NUDCD2</t>
  </si>
  <si>
    <t>Q8WVK2_SNRNP27</t>
  </si>
  <si>
    <t>Q8WVL7_ANKRD49</t>
  </si>
  <si>
    <t>Q8WVM0_TFB1M</t>
  </si>
  <si>
    <t>Q8WVM8_SCFD1</t>
  </si>
  <si>
    <t>Q8WVQ1_CANT1</t>
  </si>
  <si>
    <t>Q8WVT3_TRAPPC12</t>
  </si>
  <si>
    <t>Q8WVV4_POF1B</t>
  </si>
  <si>
    <t>Q8WVV9-4_HNRPLL</t>
  </si>
  <si>
    <t>Q8WVX9_FAR1</t>
  </si>
  <si>
    <t>Q8WVY7_UBLCP1</t>
  </si>
  <si>
    <t>Q8WVZ9_KBTBD7</t>
  </si>
  <si>
    <t>Q8WW01_TSEN15</t>
  </si>
  <si>
    <t>Q8WW12_PCNP</t>
  </si>
  <si>
    <t>Q8WW59_SPRYD4</t>
  </si>
  <si>
    <t>Q8WWB7-2_C1orf85</t>
  </si>
  <si>
    <t>Q8WWC4_C2orf47</t>
  </si>
  <si>
    <t>Q8WWH5_TRUB1</t>
  </si>
  <si>
    <t>Q8WWI5_SLC44A1</t>
  </si>
  <si>
    <t>Q8WWM7_ATXN2L</t>
  </si>
  <si>
    <t>Q8WWV3_RTN4IP1</t>
  </si>
  <si>
    <t>Q8WWX9_SELM</t>
  </si>
  <si>
    <t>Q8WX77_IGFBPL1</t>
  </si>
  <si>
    <t>Q8WX92_NELFB</t>
  </si>
  <si>
    <t>Q8WXA9-2_SREK1</t>
  </si>
  <si>
    <t>Q8WXD2_SCG3</t>
  </si>
  <si>
    <t>Q8WXD5_GEMIN6</t>
  </si>
  <si>
    <t>Q8WXE1-5_ATRIP</t>
  </si>
  <si>
    <t>Q8WXF1_PSPC1</t>
  </si>
  <si>
    <t>Q8WXH0_SYNE2</t>
  </si>
  <si>
    <t>Q8WXI9_GATAD2B</t>
  </si>
  <si>
    <t>Q8WXX0_DNAH7</t>
  </si>
  <si>
    <t>Q8WXX5_DNAJC9</t>
  </si>
  <si>
    <t>Q8WY22_BRI3BP</t>
  </si>
  <si>
    <t>Q8WYA6_CTNNBL1</t>
  </si>
  <si>
    <t>Q8WYP5_AHCTF1</t>
  </si>
  <si>
    <t>Q8WZ82_OVCA2</t>
  </si>
  <si>
    <t>Q8WZA0_LZIC</t>
  </si>
  <si>
    <t>Q8WZA9_IRGQ</t>
  </si>
  <si>
    <t>Q92466_DDB2</t>
  </si>
  <si>
    <t>Q92485_SMPDL3B</t>
  </si>
  <si>
    <t>Q92499_DDX1</t>
  </si>
  <si>
    <t>Q92504_SLC39A7</t>
  </si>
  <si>
    <t>Q92506_HSD17B8</t>
  </si>
  <si>
    <t>Q92508_PIEZO1</t>
  </si>
  <si>
    <t>Q92520_FAM3C</t>
  </si>
  <si>
    <t>Q92522_H1FX</t>
  </si>
  <si>
    <t>Q92526_CCT6B</t>
  </si>
  <si>
    <t>Q92536_SLC7A6</t>
  </si>
  <si>
    <t>Q92537_KIAA0247</t>
  </si>
  <si>
    <t>Q92538_GBF1</t>
  </si>
  <si>
    <t>Q92541_RTF1</t>
  </si>
  <si>
    <t>Q92544_TM9SF4</t>
  </si>
  <si>
    <t>Q92546_RGP1</t>
  </si>
  <si>
    <t>Q92547_TOPBP1</t>
  </si>
  <si>
    <t>Q92551_IP6K1</t>
  </si>
  <si>
    <t>Q92552_MRPS27</t>
  </si>
  <si>
    <t>Q92558_WASF1</t>
  </si>
  <si>
    <t>Q92572_AP3S1</t>
  </si>
  <si>
    <t>Q92575_UBXN4</t>
  </si>
  <si>
    <t>Q92576-2_PHF3</t>
  </si>
  <si>
    <t>Q92585_MAML1</t>
  </si>
  <si>
    <t>Q92597_NDRG1</t>
  </si>
  <si>
    <t>Q92598-2_HSPH1</t>
  </si>
  <si>
    <t>Q92600_RQCD1</t>
  </si>
  <si>
    <t>Q92609_TBC1D5</t>
  </si>
  <si>
    <t>Q92615_LARP4B</t>
  </si>
  <si>
    <t>Q92616_GCN1L1</t>
  </si>
  <si>
    <t>Q92618_ZNF516</t>
  </si>
  <si>
    <t>Q92620_DHX38</t>
  </si>
  <si>
    <t>Q92621_NUP205</t>
  </si>
  <si>
    <t>Q92623_TTC9</t>
  </si>
  <si>
    <t>Q92625_ANKS1A</t>
  </si>
  <si>
    <t>Q92636_NSMAF</t>
  </si>
  <si>
    <t>Q92664-2_GTF3A</t>
  </si>
  <si>
    <t>Q92665_MRPS31</t>
  </si>
  <si>
    <t>Q92667_AKAP1</t>
  </si>
  <si>
    <t>Q92673_SORL1</t>
  </si>
  <si>
    <t>Q92688-2_ANP32B</t>
  </si>
  <si>
    <t>Q92692_PVRL2</t>
  </si>
  <si>
    <t>Q92692-2_PVRL2</t>
  </si>
  <si>
    <t>Q92696_RABGGTA</t>
  </si>
  <si>
    <t>Q92734-2_TFG</t>
  </si>
  <si>
    <t>Q92738_USP6NL</t>
  </si>
  <si>
    <t>Q92747_ARPC1A</t>
  </si>
  <si>
    <t>Q92766_RREB1</t>
  </si>
  <si>
    <t>Q92783-2_STAM</t>
  </si>
  <si>
    <t>Q92791_LEPREL4</t>
  </si>
  <si>
    <t>Q92793_CREBBP</t>
  </si>
  <si>
    <t>Q92797_SYMPK</t>
  </si>
  <si>
    <t>Q92804-2_TAF15</t>
  </si>
  <si>
    <t>Q92805_GOLGA1</t>
  </si>
  <si>
    <t>Q92820_GGH</t>
  </si>
  <si>
    <t>Q92843-2_BCL2L2</t>
  </si>
  <si>
    <t>Q92844_TANK</t>
  </si>
  <si>
    <t>Q92845-2_KIFAP3</t>
  </si>
  <si>
    <t>Q92854_SEMA4D</t>
  </si>
  <si>
    <t>Q92871_PMM1</t>
  </si>
  <si>
    <t>Q92876_KLK6</t>
  </si>
  <si>
    <t>Q92878_RAD50</t>
  </si>
  <si>
    <t>Q92882_OSTF1</t>
  </si>
  <si>
    <t>Q92889_ERCC4</t>
  </si>
  <si>
    <t>Q92890_UFD1L</t>
  </si>
  <si>
    <t>Q92896_GLG1</t>
  </si>
  <si>
    <t>Q92900_UPF1</t>
  </si>
  <si>
    <t>Q92905_COPS5</t>
  </si>
  <si>
    <t>Q92917_GPKOW</t>
  </si>
  <si>
    <t>Q92922_SMARCC1</t>
  </si>
  <si>
    <t>Q92934_BAD</t>
  </si>
  <si>
    <t>Q92945_KHSRP</t>
  </si>
  <si>
    <t>Q92947_GCDH</t>
  </si>
  <si>
    <t>Q92968_PEX13</t>
  </si>
  <si>
    <t>Q92973-2_TNPO1</t>
  </si>
  <si>
    <t>Q92979_EMG1</t>
  </si>
  <si>
    <t>Q92990_GLMN</t>
  </si>
  <si>
    <t>Q92995_USP13</t>
  </si>
  <si>
    <t>Q93008-1_USP9X</t>
  </si>
  <si>
    <t>Q93015-2_NAT6</t>
  </si>
  <si>
    <t>Q93034_CUL5</t>
  </si>
  <si>
    <t>Q93052_LPP</t>
  </si>
  <si>
    <t>Q93075_TATDN2</t>
  </si>
  <si>
    <t>Q93077_HIST1H2AC</t>
  </si>
  <si>
    <t>Q969E2-2_SCAMP4</t>
  </si>
  <si>
    <t>Q969E4_TCEAL3</t>
  </si>
  <si>
    <t>Q969E8_TSR2</t>
  </si>
  <si>
    <t>Q969G6_RFK</t>
  </si>
  <si>
    <t>Q969H6-2_POP5</t>
  </si>
  <si>
    <t>Q969H8_C19orf10</t>
  </si>
  <si>
    <t>Q969L2_MAL2</t>
  </si>
  <si>
    <t>Q969M3_YIPF5</t>
  </si>
  <si>
    <t>Q969N2-4_PIGT</t>
  </si>
  <si>
    <t>Q969P0-3_IGSF8</t>
  </si>
  <si>
    <t>Q969Q0_RPL36AL</t>
  </si>
  <si>
    <t>Q969S3_ZNF622</t>
  </si>
  <si>
    <t>Q969S9-3_GFM2</t>
  </si>
  <si>
    <t>Q969T7-2_NT5C3B</t>
  </si>
  <si>
    <t>Q969V3-2_NCLN</t>
  </si>
  <si>
    <t>Q969V5_MUL1</t>
  </si>
  <si>
    <t>Q969X5-2_ERGIC1</t>
  </si>
  <si>
    <t>Q969X6_CIRH1A</t>
  </si>
  <si>
    <t>Q969Y2-3_GTPBP3</t>
  </si>
  <si>
    <t>Q969Z0_TBRG4</t>
  </si>
  <si>
    <t>Q96A22_C11orf52</t>
  </si>
  <si>
    <t>Q96A29-2_SLC35C1</t>
  </si>
  <si>
    <t>Q96A33_CCDC47</t>
  </si>
  <si>
    <t>Q96A46_SLC25A28</t>
  </si>
  <si>
    <t>Q96A49_SYAP1</t>
  </si>
  <si>
    <t>Q96A59-2_MARVELD3</t>
  </si>
  <si>
    <t>Q96A65_EXOC4</t>
  </si>
  <si>
    <t>Q96A73_KIAA1191</t>
  </si>
  <si>
    <t>Q96AB3_ISOC2</t>
  </si>
  <si>
    <t>Q96AB6_NTAN1</t>
  </si>
  <si>
    <t>Q96AE4_FUBP1</t>
  </si>
  <si>
    <t>Q96AE4-2_FUBP1</t>
  </si>
  <si>
    <t>Q96AG4_LRRC59</t>
  </si>
  <si>
    <t>Q96AJ9-1_VTI1A</t>
  </si>
  <si>
    <t>Q96AQ8_MCUR1</t>
  </si>
  <si>
    <t>Q96AT1_KIAA1143</t>
  </si>
  <si>
    <t>Q96AT9_RPE</t>
  </si>
  <si>
    <t>Q96AY3_FKBP10</t>
  </si>
  <si>
    <t>Q96AZ6_ISG20</t>
  </si>
  <si>
    <t>Q96B01-2_RAD51AP1</t>
  </si>
  <si>
    <t>Q96B23-2_C18orf25</t>
  </si>
  <si>
    <t>Q96B26_EXOSC8</t>
  </si>
  <si>
    <t>Q96B36_AKT1S1</t>
  </si>
  <si>
    <t>Q96B45_C10orf32</t>
  </si>
  <si>
    <t>Q96B49_TOMM6</t>
  </si>
  <si>
    <t>Q96B70_LENG9</t>
  </si>
  <si>
    <t>Q96B97_SH3KBP1</t>
  </si>
  <si>
    <t>Q96BJ3_AIDA</t>
  </si>
  <si>
    <t>Q96BK5_PINX1</t>
  </si>
  <si>
    <t>Q96BM9_ARL8A</t>
  </si>
  <si>
    <t>Q96BN8_FAM105B</t>
  </si>
  <si>
    <t>Q96BP2_CHCHD1</t>
  </si>
  <si>
    <t>Q96BP3_PPWD1</t>
  </si>
  <si>
    <t>Q96BR5_SELRC1</t>
  </si>
  <si>
    <t>Q96BW1_UPRT</t>
  </si>
  <si>
    <t>Q96BW5-2_PTER</t>
  </si>
  <si>
    <t>Q96BY7_ATG2B</t>
  </si>
  <si>
    <t>Q96BZ8_LENG1</t>
  </si>
  <si>
    <t>Q96BZ9_TBC1D20</t>
  </si>
  <si>
    <t>Q96C01_FAM136A</t>
  </si>
  <si>
    <t>Q96C03_SMCR7</t>
  </si>
  <si>
    <t>Q96C19_EFHD2</t>
  </si>
  <si>
    <t>Q96C23_GALM</t>
  </si>
  <si>
    <t>Q96C34-2_RUNDC1</t>
  </si>
  <si>
    <t>Q96C36_PYCR2</t>
  </si>
  <si>
    <t>Q96C57_C12orf43</t>
  </si>
  <si>
    <t>Q96C86_DCPS</t>
  </si>
  <si>
    <t>Q96C90_PPP1R14B</t>
  </si>
  <si>
    <t>Q96CB8_INTS12</t>
  </si>
  <si>
    <t>Q96CB9_NSUN4</t>
  </si>
  <si>
    <t>Q96CD0_FBXL8</t>
  </si>
  <si>
    <t>Q96CD2_PPCDC</t>
  </si>
  <si>
    <t>Q96CF2_CHMP4C</t>
  </si>
  <si>
    <t>Q96CG3_TIFA</t>
  </si>
  <si>
    <t>Q96CG8_CTHRC1</t>
  </si>
  <si>
    <t>Q96CN7_ISOC1</t>
  </si>
  <si>
    <t>Q96CP2_FLYWCH2</t>
  </si>
  <si>
    <t>Q96CS3_FAF2</t>
  </si>
  <si>
    <t>Q96CT7_CCDC124</t>
  </si>
  <si>
    <t>Q96CU9_FOXRED1</t>
  </si>
  <si>
    <t>Q96CV9-3_OPTN</t>
  </si>
  <si>
    <t>Q96CW1-2_AP2M1</t>
  </si>
  <si>
    <t>Q96CW5_TUBGCP3</t>
  </si>
  <si>
    <t>Q96CW6_SLC7A6OS</t>
  </si>
  <si>
    <t>Q96CX2_KCTD12</t>
  </si>
  <si>
    <t>Q96D31-2_ORAI1</t>
  </si>
  <si>
    <t>Q96D71-3_REPS1</t>
  </si>
  <si>
    <t>Q96DA2_RAB39B</t>
  </si>
  <si>
    <t>Q96DA6_DNAJC19</t>
  </si>
  <si>
    <t>Q96DB5_RMDN1</t>
  </si>
  <si>
    <t>Q96DD7_SHISA4</t>
  </si>
  <si>
    <t>Q96DE0_NUDT16</t>
  </si>
  <si>
    <t>Q96DE5_ANAPC16</t>
  </si>
  <si>
    <t>Q96DF8_DGCR14</t>
  </si>
  <si>
    <t>Q96DI7_SNRNP40</t>
  </si>
  <si>
    <t>Q96DR4_STARD4</t>
  </si>
  <si>
    <t>Q96DT0-3_LGALS12</t>
  </si>
  <si>
    <t>Q96DV4_MRPL38</t>
  </si>
  <si>
    <t>Q96DX5-2_ASB9</t>
  </si>
  <si>
    <t>Q96DZ1_ERLEC1</t>
  </si>
  <si>
    <t>Q96E09_FAM122A</t>
  </si>
  <si>
    <t>Q96E11-3_MRRF</t>
  </si>
  <si>
    <t>Q96E14_RMI2</t>
  </si>
  <si>
    <t>Q96E16_SMIM19</t>
  </si>
  <si>
    <t>Q96E22_NUS1</t>
  </si>
  <si>
    <t>Q96E52_OMA1</t>
  </si>
  <si>
    <t>Q96EA4_SPDL1</t>
  </si>
  <si>
    <t>Q96EB1_ELP4</t>
  </si>
  <si>
    <t>Q96EB6_SIRT1</t>
  </si>
  <si>
    <t>Q96EC8_YIPF6</t>
  </si>
  <si>
    <t>Q96ED9-2_HOOK2</t>
  </si>
  <si>
    <t>Q96EE3-1_SEH1L</t>
  </si>
  <si>
    <t>Q96EH3_MALSU1</t>
  </si>
  <si>
    <t>Q96EI5_TCEAL4</t>
  </si>
  <si>
    <t>Q96EK4_THAP11</t>
  </si>
  <si>
    <t>Q96EK5_KIAA1279</t>
  </si>
  <si>
    <t>Q96EK6_GNPNAT1</t>
  </si>
  <si>
    <t>Q96EK9_KTI12</t>
  </si>
  <si>
    <t>Q96EL2_MRPS24</t>
  </si>
  <si>
    <t>Q96EL3_MRPL53</t>
  </si>
  <si>
    <t>Q96EP0_RNF31</t>
  </si>
  <si>
    <t>Q96EP5-2_DAZAP1</t>
  </si>
  <si>
    <t>Q96EQ0_SGTB</t>
  </si>
  <si>
    <t>Q96ER3_SAAL1</t>
  </si>
  <si>
    <t>Q96ER9_CCDC51</t>
  </si>
  <si>
    <t>Q96EU6-2_RRP36</t>
  </si>
  <si>
    <t>Q96EV2_RBM33</t>
  </si>
  <si>
    <t>Q96EV8_DTNBP1</t>
  </si>
  <si>
    <t>Q96EW2_HSPBAP1</t>
  </si>
  <si>
    <t>Q96EX1_SMIM12</t>
  </si>
  <si>
    <t>Q96EX3_WDR34</t>
  </si>
  <si>
    <t>Q96EY1_DNAJA3</t>
  </si>
  <si>
    <t>Q96EY5_MVB12A</t>
  </si>
  <si>
    <t>Q96EY7_PTCD3</t>
  </si>
  <si>
    <t>Q96EY8_MMAB</t>
  </si>
  <si>
    <t>Q96EY9_ADAT3</t>
  </si>
  <si>
    <t>Q96F44-3_TRIM11</t>
  </si>
  <si>
    <t>Q96F45_ZNF503</t>
  </si>
  <si>
    <t>Q96F63_CCDC97</t>
  </si>
  <si>
    <t>Q96F86_EDC3</t>
  </si>
  <si>
    <t>Q96FA3_PELI1</t>
  </si>
  <si>
    <t>Q96FC9-4_DDX11</t>
  </si>
  <si>
    <t>Q96FE5-2_LINGO1</t>
  </si>
  <si>
    <t>Q96FE7-4_PIK3IP1</t>
  </si>
  <si>
    <t>Q96FF7_</t>
  </si>
  <si>
    <t>Q96FH0_MEF2BNB</t>
  </si>
  <si>
    <t>Q96FK6_WDR89</t>
  </si>
  <si>
    <t>Q96FQ6_S100A16</t>
  </si>
  <si>
    <t>Q96FV9_THOC1</t>
  </si>
  <si>
    <t>Q96FX2_DPH3</t>
  </si>
  <si>
    <t>Q96FX7_TRMT61A</t>
  </si>
  <si>
    <t>Q96FZ2_C3orf37</t>
  </si>
  <si>
    <t>Q96FZ7_CHMP6</t>
  </si>
  <si>
    <t>Q96G03_PGM2</t>
  </si>
  <si>
    <t>Q96G04_FAM86A</t>
  </si>
  <si>
    <t>Q96G25_MED8</t>
  </si>
  <si>
    <t>Q96G28_CCDC104</t>
  </si>
  <si>
    <t>Q96G46_DUS3L</t>
  </si>
  <si>
    <t>Q96G74-3_OTUD5</t>
  </si>
  <si>
    <t>Q96GA3_LTV1</t>
  </si>
  <si>
    <t>Q96GA7_SDSL</t>
  </si>
  <si>
    <t>Q96GD0_PDXP</t>
  </si>
  <si>
    <t>Q96GF1_RNF185</t>
  </si>
  <si>
    <t>Q96GG9_DCUN1D1</t>
  </si>
  <si>
    <t>Q96GK7_FAHD2A</t>
  </si>
  <si>
    <t>Q96GM8_TOE1</t>
  </si>
  <si>
    <t>Q96GQ7_DDX27</t>
  </si>
  <si>
    <t>Q96GS4_C17orf59</t>
  </si>
  <si>
    <t>Q96GS6_ABHD17A</t>
  </si>
  <si>
    <t>Q96GV9_C5orf30</t>
  </si>
  <si>
    <t>Q96GW9_MARS2</t>
  </si>
  <si>
    <t>Q96GX2_ATXN7L3B</t>
  </si>
  <si>
    <t>Q96GX5-2_MASTL</t>
  </si>
  <si>
    <t>Q96GX9-3_APIP</t>
  </si>
  <si>
    <t>Q96GY0_ZC2HC1A</t>
  </si>
  <si>
    <t>Q96GZ6-6_SLC41A3</t>
  </si>
  <si>
    <t>Q96H20_SNF8</t>
  </si>
  <si>
    <t>Q96H79_ZC3HAV1L</t>
  </si>
  <si>
    <t>Q96HC4_PDLIM5</t>
  </si>
  <si>
    <t>Q96HD1_CRELD1</t>
  </si>
  <si>
    <t>Q96HE7_ERO1L</t>
  </si>
  <si>
    <t>Q96HJ9_C7orf55</t>
  </si>
  <si>
    <t>Q96HJ9-2_C7orf55</t>
  </si>
  <si>
    <t>Q96HL8-2_SH3YL1</t>
  </si>
  <si>
    <t>Q96HN2-2_AHCYL2</t>
  </si>
  <si>
    <t>Q96HP0_DOCK6</t>
  </si>
  <si>
    <t>Q96HQ2-2_CDKN2AIPNL</t>
  </si>
  <si>
    <t>Q96HR8-2_NAF1</t>
  </si>
  <si>
    <t>Q96HS1_PGAM5</t>
  </si>
  <si>
    <t>Q96HW7_INTS4</t>
  </si>
  <si>
    <t>Q96HY6_DDRGK1</t>
  </si>
  <si>
    <t>Q96HY7_DHTKD1</t>
  </si>
  <si>
    <t>Q96I15_SCLY</t>
  </si>
  <si>
    <t>Q96I24_FUBP3</t>
  </si>
  <si>
    <t>Q96I25_RBM17</t>
  </si>
  <si>
    <t>Q96I36_COX14</t>
  </si>
  <si>
    <t>Q96I51_WBSCR16</t>
  </si>
  <si>
    <t>Q96I59_NARS2</t>
  </si>
  <si>
    <t>Q96I99_SUCLG2</t>
  </si>
  <si>
    <t>Q96IJ6_GMPPA</t>
  </si>
  <si>
    <t>Q96IK1_BOD1</t>
  </si>
  <si>
    <t>Q96IQ9_ZNF414</t>
  </si>
  <si>
    <t>Q96IR2_ZNF845</t>
  </si>
  <si>
    <t>Q96IR7_HPDL</t>
  </si>
  <si>
    <t>Q96IU4_ABHD14B</t>
  </si>
  <si>
    <t>Q96IV0-2_NGLY1</t>
  </si>
  <si>
    <t>Q96IX5_USMG5</t>
  </si>
  <si>
    <t>Q96IY1_NSL1</t>
  </si>
  <si>
    <t>Q96IZ0_PAWR</t>
  </si>
  <si>
    <t>Q96IZ7-2_RSRC1</t>
  </si>
  <si>
    <t>Q96J01_THOC3</t>
  </si>
  <si>
    <t>Q96J02-2_ITCH</t>
  </si>
  <si>
    <t>Q96J92-3_WNK4</t>
  </si>
  <si>
    <t>Q96JA1_LRIG1</t>
  </si>
  <si>
    <t>Q96JB2_COG3</t>
  </si>
  <si>
    <t>Q96JB5_CDK5RAP3</t>
  </si>
  <si>
    <t>Q96JC1-2_VPS39</t>
  </si>
  <si>
    <t>Q96JC9_EAF1</t>
  </si>
  <si>
    <t>Q96JH7_VCPIP1</t>
  </si>
  <si>
    <t>Q96JJ7_TMX3</t>
  </si>
  <si>
    <t>Q96JK9_MAML3</t>
  </si>
  <si>
    <t>Q96JM3_CHAMP1</t>
  </si>
  <si>
    <t>Q96JP5_ZFP91</t>
  </si>
  <si>
    <t>Q96K19-2_RNF170</t>
  </si>
  <si>
    <t>Q96K80_ZC3H10</t>
  </si>
  <si>
    <t>Q96KA5-2_CLPTM1L</t>
  </si>
  <si>
    <t>Q96KB5_PBK</t>
  </si>
  <si>
    <t>Q96KC2_ARL5B</t>
  </si>
  <si>
    <t>Q96KC8_DNAJC1</t>
  </si>
  <si>
    <t>Q96KN1_FAM84B</t>
  </si>
  <si>
    <t>Q96KP1_EXOC2</t>
  </si>
  <si>
    <t>Q96KP4_CNDP2</t>
  </si>
  <si>
    <t>Q96KR1_ZFR</t>
  </si>
  <si>
    <t>Q96L50_LRR1</t>
  </si>
  <si>
    <t>Q96L58_B3GALT6</t>
  </si>
  <si>
    <t>Q96L91-4_EP400</t>
  </si>
  <si>
    <t>Q96L92_SNX27</t>
  </si>
  <si>
    <t>Q96L93-6_KIF16B</t>
  </si>
  <si>
    <t>Q96L96_ALPK3</t>
  </si>
  <si>
    <t>Q96LA8_PRMT6</t>
  </si>
  <si>
    <t>Q96LB3_IFT74</t>
  </si>
  <si>
    <t>Q96LD4_TRIM47</t>
  </si>
  <si>
    <t>Q96LD8_SENP8</t>
  </si>
  <si>
    <t>Q96LJ7_DHRS1</t>
  </si>
  <si>
    <t>Q96LR5_UBE2E2</t>
  </si>
  <si>
    <t>Q96LT7_C9orf72</t>
  </si>
  <si>
    <t>Q96M20-2_CNBD2</t>
  </si>
  <si>
    <t>Q96M27_PRRC1</t>
  </si>
  <si>
    <t>Q96M32_AK7</t>
  </si>
  <si>
    <t>Q96ME1-4_FBXL18</t>
  </si>
  <si>
    <t>Q96MG2_JSRP1</t>
  </si>
  <si>
    <t>Q96MG7_NDNL2</t>
  </si>
  <si>
    <t>Q96MH2_HEXIM2</t>
  </si>
  <si>
    <t>Q96MH6_TMEM68</t>
  </si>
  <si>
    <t>Q96MX6_WDR92</t>
  </si>
  <si>
    <t>Q96N21-2_ENTHD2</t>
  </si>
  <si>
    <t>Q96N46_TTC14</t>
  </si>
  <si>
    <t>Q96N66-2_MBOAT7</t>
  </si>
  <si>
    <t>Q96NB2_SFXN2</t>
  </si>
  <si>
    <t>Q96NB3_ZNF830</t>
  </si>
  <si>
    <t>Q96NC0_ZMAT2</t>
  </si>
  <si>
    <t>Q96NT1_NAP1L5</t>
  </si>
  <si>
    <t>Q96NU7_AMDHD1</t>
  </si>
  <si>
    <t>Q96NY7-2_CLIC6</t>
  </si>
  <si>
    <t>Q96P11-2_NSUN5</t>
  </si>
  <si>
    <t>Q96P16_RPRD1A</t>
  </si>
  <si>
    <t>Q96P47_AGAP3</t>
  </si>
  <si>
    <t>Q96P48-3_ARAP1</t>
  </si>
  <si>
    <t>Q96P70_IPO9</t>
  </si>
  <si>
    <t>Q96PD2_DCBLD2</t>
  </si>
  <si>
    <t>Q96PE2_ARHGEF17</t>
  </si>
  <si>
    <t>Q96PE7_MCEE</t>
  </si>
  <si>
    <t>Q96PK6_RBM14</t>
  </si>
  <si>
    <t>Q96PM5_RCHY1</t>
  </si>
  <si>
    <t>Q96PU5-9_NEDD4L</t>
  </si>
  <si>
    <t>Q96PY5_FMNL2</t>
  </si>
  <si>
    <t>Q96PZ0_PUS7</t>
  </si>
  <si>
    <t>Q96Q11-2_TRNT1</t>
  </si>
  <si>
    <t>Q96Q45-2_TMEM237</t>
  </si>
  <si>
    <t>Q96Q83_ALKBH3</t>
  </si>
  <si>
    <t>Q96QC0_PPP1R10</t>
  </si>
  <si>
    <t>Q96QC4_MICA</t>
  </si>
  <si>
    <t>Q96QD8_SLC38A2</t>
  </si>
  <si>
    <t>Q96QE2_SLC2A13</t>
  </si>
  <si>
    <t>Q96QE5_TEFM</t>
  </si>
  <si>
    <t>Q96QF0-2_RAB3IP</t>
  </si>
  <si>
    <t>Q96QK1_VPS35</t>
  </si>
  <si>
    <t>Q96QR8_PURB</t>
  </si>
  <si>
    <t>Q96QU8_XPO6</t>
  </si>
  <si>
    <t>Q96QZ7-6_MAGI1</t>
  </si>
  <si>
    <t>Q96RD7-2_PANX1</t>
  </si>
  <si>
    <t>Q96RE7_NACC1</t>
  </si>
  <si>
    <t>Q96RG2_PASK</t>
  </si>
  <si>
    <t>Q96RL7-4_VPS13A</t>
  </si>
  <si>
    <t>Q96RN5-3_MED15</t>
  </si>
  <si>
    <t>Q96RP9_GFM1</t>
  </si>
  <si>
    <t>Q96RQ1_ERGIC2</t>
  </si>
  <si>
    <t>Q96RR4-2_CAMKK2</t>
  </si>
  <si>
    <t>Q96RS6_NUDCD1</t>
  </si>
  <si>
    <t>Q96RT1-4_ERBB2IP</t>
  </si>
  <si>
    <t>Q96S16_JMJD8</t>
  </si>
  <si>
    <t>Q96S19_C16orf13</t>
  </si>
  <si>
    <t>Q96S44_TP53RK</t>
  </si>
  <si>
    <t>Q96S52_PIGS</t>
  </si>
  <si>
    <t>Q96S55-2_WRNIP1</t>
  </si>
  <si>
    <t>Q96S59_RANBP9</t>
  </si>
  <si>
    <t>Q96S66_CLCC1</t>
  </si>
  <si>
    <t>Q96S82_UBL7</t>
  </si>
  <si>
    <t>Q96S90_LYSMD1</t>
  </si>
  <si>
    <t>Q96S94_CCNL2</t>
  </si>
  <si>
    <t>Q96S99_PLEKHF1</t>
  </si>
  <si>
    <t>Q96SB4_SRPK1</t>
  </si>
  <si>
    <t>Q96SB8_SMC6</t>
  </si>
  <si>
    <t>Q96SH1_TFAP2A</t>
  </si>
  <si>
    <t>Q96SI1_KCTD15</t>
  </si>
  <si>
    <t>Q96SI9-2_STRBP</t>
  </si>
  <si>
    <t>Q96SK2-2_TMEM209</t>
  </si>
  <si>
    <t>Q96SL1-2_DIRC2</t>
  </si>
  <si>
    <t>Q96SL4_GPX7</t>
  </si>
  <si>
    <t>Q96ST2_IWS1</t>
  </si>
  <si>
    <t>Q96ST3_SIN3A</t>
  </si>
  <si>
    <t>Q96SZ5_ADO</t>
  </si>
  <si>
    <t>Q96SZ6-3_CDK5RAP1</t>
  </si>
  <si>
    <t>Q96T17_MAP7D2</t>
  </si>
  <si>
    <t>Q96T23-2_RSF1</t>
  </si>
  <si>
    <t>Q96T25_ZIC5</t>
  </si>
  <si>
    <t>Q96T37-2_RBM15</t>
  </si>
  <si>
    <t>Q96T51_RUFY1</t>
  </si>
  <si>
    <t>Q96T58_SPEN</t>
  </si>
  <si>
    <t>Q96T60_PNKP</t>
  </si>
  <si>
    <t>Q96T66_NMNAT3</t>
  </si>
  <si>
    <t>Q96T76_MMS19</t>
  </si>
  <si>
    <t>Q96T88_UHRF1</t>
  </si>
  <si>
    <t>Q96TA1-2_FAM129B</t>
  </si>
  <si>
    <t>Q96TA2-3_YME1L1</t>
  </si>
  <si>
    <t>Q99081_TCF12</t>
  </si>
  <si>
    <t>Q99417_MYCBP</t>
  </si>
  <si>
    <t>Q99426_TBCB</t>
  </si>
  <si>
    <t>Q99436_PSMB7</t>
  </si>
  <si>
    <t>Q99447_PCYT2</t>
  </si>
  <si>
    <t>Q99459_CDC5L</t>
  </si>
  <si>
    <t>Q99460_PSMD1</t>
  </si>
  <si>
    <t>Q99470_SDF2</t>
  </si>
  <si>
    <t>Q99471_PFDN5</t>
  </si>
  <si>
    <t>Q99487_PAFAH2</t>
  </si>
  <si>
    <t>Q99496_RNF2</t>
  </si>
  <si>
    <t>Q99497_PARK7</t>
  </si>
  <si>
    <t>Q99504-2_EYA3</t>
  </si>
  <si>
    <t>Q99519_NEU1</t>
  </si>
  <si>
    <t>Q99523_SORT1</t>
  </si>
  <si>
    <t>Q99536_VAT1</t>
  </si>
  <si>
    <t>Q99538_LGMN</t>
  </si>
  <si>
    <t>Q99541_PLIN2</t>
  </si>
  <si>
    <t>Q99543_DNAJC2</t>
  </si>
  <si>
    <t>Q99549_MPHOSPH8</t>
  </si>
  <si>
    <t>Q99567_NUP88</t>
  </si>
  <si>
    <t>Q99569-2_PKP4</t>
  </si>
  <si>
    <t>Q99570_PIK3R4</t>
  </si>
  <si>
    <t>Q99574_SERPINI1</t>
  </si>
  <si>
    <t>Q99575_POP1</t>
  </si>
  <si>
    <t>Q99583_MNT</t>
  </si>
  <si>
    <t>Q99584_S100A13</t>
  </si>
  <si>
    <t>Q99592_ZBTB18</t>
  </si>
  <si>
    <t>Q99595_TIMM17A</t>
  </si>
  <si>
    <t>Q99598_TSNAX</t>
  </si>
  <si>
    <t>Q99611_SEPHS2</t>
  </si>
  <si>
    <t>Q99614_TTC1</t>
  </si>
  <si>
    <t>Q99615_DNAJC7</t>
  </si>
  <si>
    <t>Q99618_CDCA3</t>
  </si>
  <si>
    <t>Q99622_C12orf57</t>
  </si>
  <si>
    <t>Q99623_PHB2</t>
  </si>
  <si>
    <t>Q99627_COPS8</t>
  </si>
  <si>
    <t>Q99633_PRPF18</t>
  </si>
  <si>
    <t>Q99638_RAD9A</t>
  </si>
  <si>
    <t>Q99653_CHP1</t>
  </si>
  <si>
    <t>Q99661_KIF2C</t>
  </si>
  <si>
    <t>Q99674_CGREF1</t>
  </si>
  <si>
    <t>Q99700-4_ATXN2</t>
  </si>
  <si>
    <t>Q99704_DOK1</t>
  </si>
  <si>
    <t>Q99707_MTR</t>
  </si>
  <si>
    <t>Q99714_HSD17B10</t>
  </si>
  <si>
    <t>Q99720_SIGMAR1</t>
  </si>
  <si>
    <t>Q99729-3_HNRNPAB</t>
  </si>
  <si>
    <t>Q99733_NAP1L4</t>
  </si>
  <si>
    <t>Q99735-2_MGST2</t>
  </si>
  <si>
    <t>Q99747_NAPG</t>
  </si>
  <si>
    <t>Q99757_TXN2</t>
  </si>
  <si>
    <t>Q99766_ATP5S</t>
  </si>
  <si>
    <t>Q99797_MIPEP</t>
  </si>
  <si>
    <t>Q99805_TM9SF2</t>
  </si>
  <si>
    <t>Q99808_SLC29A1</t>
  </si>
  <si>
    <t>Q99816_TSG101</t>
  </si>
  <si>
    <t>Q99828_CIB1</t>
  </si>
  <si>
    <t>Q99829_CPNE1</t>
  </si>
  <si>
    <t>Q99832_CCT7</t>
  </si>
  <si>
    <t>Q99856_ARID3A</t>
  </si>
  <si>
    <t>Q99878_HIST1H2AJ</t>
  </si>
  <si>
    <t>Q99959-2_PKP2</t>
  </si>
  <si>
    <t>Q99961_SH3GL1</t>
  </si>
  <si>
    <t>Q99986_VRK1</t>
  </si>
  <si>
    <t>Q99988_GDF15</t>
  </si>
  <si>
    <t>Q99996-5_AKAP9</t>
  </si>
  <si>
    <t>Q9BPW8_NIPSNAP1</t>
  </si>
  <si>
    <t>Q9BPX3_NCAPG</t>
  </si>
  <si>
    <t>Q9BPX5_ARPC5L</t>
  </si>
  <si>
    <t>Q9BQ13_KCTD14</t>
  </si>
  <si>
    <t>Q9BQ24_ZFYVE21</t>
  </si>
  <si>
    <t>Q9BQ39_DDX50</t>
  </si>
  <si>
    <t>Q9BQ52_ELAC2</t>
  </si>
  <si>
    <t>Q9BQ61_C19orf43</t>
  </si>
  <si>
    <t>Q9BQ67_GRWD1</t>
  </si>
  <si>
    <t>Q9BQ69_MACROD1</t>
  </si>
  <si>
    <t>Q9BQ70_TCF25</t>
  </si>
  <si>
    <t>Q9BQ90_KLHDC3</t>
  </si>
  <si>
    <t>Q9BQ95_ECSIT</t>
  </si>
  <si>
    <t>Q9BQA1_WDR77</t>
  </si>
  <si>
    <t>Q9BQC3_DPH2</t>
  </si>
  <si>
    <t>Q9BQG0_MYBBP1A</t>
  </si>
  <si>
    <t>Q9BQL6_FERMT1</t>
  </si>
  <si>
    <t>Q9BQP7_MGME1</t>
  </si>
  <si>
    <t>Q9BQQ3_GORASP1</t>
  </si>
  <si>
    <t>Q9BQS8_FYCO1</t>
  </si>
  <si>
    <t>Q9BQT8-2_SLC25A21</t>
  </si>
  <si>
    <t>Q9BQT9_CLSTN3</t>
  </si>
  <si>
    <t>Q9BR61_ACBD6</t>
  </si>
  <si>
    <t>Q9BR76_CORO1B</t>
  </si>
  <si>
    <t>Q9BRA0-2_LSMD1</t>
  </si>
  <si>
    <t>Q9BRA2_TXNDC17</t>
  </si>
  <si>
    <t>Q9BRD0_BUD13</t>
  </si>
  <si>
    <t>Q9BRF8_CPPED1</t>
  </si>
  <si>
    <t>Q9BRG1_VPS25</t>
  </si>
  <si>
    <t>Q9BRJ2_MRPL45</t>
  </si>
  <si>
    <t>Q9BRK5_SDF4</t>
  </si>
  <si>
    <t>Q9BRP1_PDCD2L</t>
  </si>
  <si>
    <t>Q9BRP4_PAAF1</t>
  </si>
  <si>
    <t>Q9BRP8-2_WIBG</t>
  </si>
  <si>
    <t>Q9BRQ8_AIFM2</t>
  </si>
  <si>
    <t>Q9BRR0-2_ZKSCAN3</t>
  </si>
  <si>
    <t>Q9BRR6-2_ADPGK</t>
  </si>
  <si>
    <t>Q9BRR8_GPATCH1</t>
  </si>
  <si>
    <t>Q9BRS2_RIOK1</t>
  </si>
  <si>
    <t>Q9BRT2_MNF1</t>
  </si>
  <si>
    <t>Q9BRT3_MIEN1</t>
  </si>
  <si>
    <t>Q9BRT8-3_CBWD1</t>
  </si>
  <si>
    <t>Q9BRT9_GINS4</t>
  </si>
  <si>
    <t>Q9BRV8_SIKE1</t>
  </si>
  <si>
    <t>Q9BRX2_PELO</t>
  </si>
  <si>
    <t>Q9BRX5_GINS3</t>
  </si>
  <si>
    <t>Q9BRX8-2_FAM213A</t>
  </si>
  <si>
    <t>Q9BS18_ANAPC13</t>
  </si>
  <si>
    <t>Q9BS26_ERP44</t>
  </si>
  <si>
    <t>Q9BSB4_ATG101</t>
  </si>
  <si>
    <t>Q9BSD7_NTPCR</t>
  </si>
  <si>
    <t>Q9BSE5_AGMAT</t>
  </si>
  <si>
    <t>Q9BSF4_C19orf52</t>
  </si>
  <si>
    <t>Q9BSH4_TACO1</t>
  </si>
  <si>
    <t>Q9BSH5_HDHD3</t>
  </si>
  <si>
    <t>Q9BSJ2_TUBGCP2</t>
  </si>
  <si>
    <t>Q9BSJ5-3_C17orf80</t>
  </si>
  <si>
    <t>Q9BSJ6_FAM64A</t>
  </si>
  <si>
    <t>Q9BSJ8_ESYT1</t>
  </si>
  <si>
    <t>Q9BSK2_SLC25A33</t>
  </si>
  <si>
    <t>Q9BSL1_UBAC1</t>
  </si>
  <si>
    <t>Q9BSR8_YIPF4</t>
  </si>
  <si>
    <t>Q9BST9_RTKN</t>
  </si>
  <si>
    <t>Q9BSV6_TSEN34</t>
  </si>
  <si>
    <t>Q9BSW2-2_EFCAB4B</t>
  </si>
  <si>
    <t>Q9BSY4_CHCHD5</t>
  </si>
  <si>
    <t>Q9BT09_CNPY3</t>
  </si>
  <si>
    <t>Q9BT17_MTG1</t>
  </si>
  <si>
    <t>Q9BT22_ALG1</t>
  </si>
  <si>
    <t>Q9BT23_LIMD2</t>
  </si>
  <si>
    <t>Q9BT30_ALKBH7</t>
  </si>
  <si>
    <t>Q9BT73_PSMG3</t>
  </si>
  <si>
    <t>Q9BT78_COPS4</t>
  </si>
  <si>
    <t>Q9BTA9_WAC</t>
  </si>
  <si>
    <t>Q9BTC0_DIDO1</t>
  </si>
  <si>
    <t>Q9BTE3-2_MCMBP</t>
  </si>
  <si>
    <t>Q9BTE6_AARSD1</t>
  </si>
  <si>
    <t>Q9BTE7_DCUN1D5</t>
  </si>
  <si>
    <t>Q9BTF0-2_THUMPD2</t>
  </si>
  <si>
    <t>Q9BTL3_FAM103A1</t>
  </si>
  <si>
    <t>Q9BTT0_ANP32E</t>
  </si>
  <si>
    <t>Q9BTT4_MED10</t>
  </si>
  <si>
    <t>Q9BTT6_LRRC1</t>
  </si>
  <si>
    <t>Q9BTU6_PI4K2A</t>
  </si>
  <si>
    <t>Q9BTV4_TMEM43</t>
  </si>
  <si>
    <t>Q9BTV6_WDR85</t>
  </si>
  <si>
    <t>Q9BTX7_TTPAL</t>
  </si>
  <si>
    <t>Q9BTY2_FUCA2</t>
  </si>
  <si>
    <t>Q9BTY7_FAM203A</t>
  </si>
  <si>
    <t>Q9BTZ2_DHRS4</t>
  </si>
  <si>
    <t>Q9BU02_THTPA</t>
  </si>
  <si>
    <t>Q9BU23-3_LMF2</t>
  </si>
  <si>
    <t>Q9BU61_NDUFAF3</t>
  </si>
  <si>
    <t>Q9BU76-4_MMTAG2</t>
  </si>
  <si>
    <t>Q9BU89_DOHH</t>
  </si>
  <si>
    <t>Q9BUA3_C11orf84</t>
  </si>
  <si>
    <t>Q9BUB5-2_MKNK1</t>
  </si>
  <si>
    <t>Q9BUB7-2_TMEM70</t>
  </si>
  <si>
    <t>Q9BUE0_MED18</t>
  </si>
  <si>
    <t>Q9BUE6_ISCA1</t>
  </si>
  <si>
    <t>Q9BUF5_TUBB6</t>
  </si>
  <si>
    <t>Q9BUH6_C9orf142</t>
  </si>
  <si>
    <t>Q9BUI4_POLR3C</t>
  </si>
  <si>
    <t>Q9BUJ2-2_HNRNPUL1</t>
  </si>
  <si>
    <t>Q9BUK6-2_MSTO1</t>
  </si>
  <si>
    <t>Q9BUL9_RPP25</t>
  </si>
  <si>
    <t>Q9BUN5_CCDC28B</t>
  </si>
  <si>
    <t>Q9BUP3-3_HTATIP2</t>
  </si>
  <si>
    <t>Q9BUQ8_DDX23</t>
  </si>
  <si>
    <t>Q9BUR4_WRAP53</t>
  </si>
  <si>
    <t>Q9BUT9_FAM195A</t>
  </si>
  <si>
    <t>Q9BUW7_C9orf16</t>
  </si>
  <si>
    <t>Q9BUZ4-2_TRAF4</t>
  </si>
  <si>
    <t>Q9BV10_ALG12</t>
  </si>
  <si>
    <t>Q9BV19_C1orf50</t>
  </si>
  <si>
    <t>Q9BV20_MRI1</t>
  </si>
  <si>
    <t>Q9BV23_ABHD6</t>
  </si>
  <si>
    <t>Q9BV38_WDR18</t>
  </si>
  <si>
    <t>Q9BV40_VAMP8</t>
  </si>
  <si>
    <t>Q9BV44_THUMPD3</t>
  </si>
  <si>
    <t>Q9BV57_ADI1</t>
  </si>
  <si>
    <t>Q9BV68-2_RNF126</t>
  </si>
  <si>
    <t>Q9BV79_MECR</t>
  </si>
  <si>
    <t>Q9BV81_EMC6</t>
  </si>
  <si>
    <t>Q9BV86_NTMT1</t>
  </si>
  <si>
    <t>Q9BVA0_KATNB1</t>
  </si>
  <si>
    <t>Q9BVA1_TUBB2B</t>
  </si>
  <si>
    <t>Q9BVC4_MLST8</t>
  </si>
  <si>
    <t>Q9BVC6_TMEM109</t>
  </si>
  <si>
    <t>Q9BVG4_PBDC1</t>
  </si>
  <si>
    <t>Q9BVG9_PTDSS2</t>
  </si>
  <si>
    <t>Q9BVI4_NOC4L</t>
  </si>
  <si>
    <t>Q9BVJ6-3_UTP14A</t>
  </si>
  <si>
    <t>Q9BVJ7_DUSP23</t>
  </si>
  <si>
    <t>Q9BVK6_TMED9</t>
  </si>
  <si>
    <t>Q9BVL4_SELO</t>
  </si>
  <si>
    <t>Q9BVM4_GGACT</t>
  </si>
  <si>
    <t>Q9BVP2-2_GNL3</t>
  </si>
  <si>
    <t>Q9BVQ7_SPATA5L1</t>
  </si>
  <si>
    <t>Q9BVS5_TRMT61B</t>
  </si>
  <si>
    <t>Q9BVV7_TIMM21</t>
  </si>
  <si>
    <t>Q9BVW5_TIPIN</t>
  </si>
  <si>
    <t>Q9BW04_SARG</t>
  </si>
  <si>
    <t>Q9BW19_KIFC1</t>
  </si>
  <si>
    <t>Q9BW27_NUP85</t>
  </si>
  <si>
    <t>Q9BW30_TPPP3</t>
  </si>
  <si>
    <t>Q9BW60_ELOVL1</t>
  </si>
  <si>
    <t>Q9BW61_DDA1</t>
  </si>
  <si>
    <t>Q9BW71_HIRIP3</t>
  </si>
  <si>
    <t>Q9BW83_IFT27</t>
  </si>
  <si>
    <t>Q9BW85_CCDC94</t>
  </si>
  <si>
    <t>Q9BW91-2_NUDT9</t>
  </si>
  <si>
    <t>Q9BW92_TARS2</t>
  </si>
  <si>
    <t>Q9BWD1_ACAT2</t>
  </si>
  <si>
    <t>Q9BWE0_REPIN1</t>
  </si>
  <si>
    <t>Q9BWF3_RBM4</t>
  </si>
  <si>
    <t>Q9BWH2_FUNDC2</t>
  </si>
  <si>
    <t>Q9BWH6_RPAP1</t>
  </si>
  <si>
    <t>Q9BWJ5_SF3B5</t>
  </si>
  <si>
    <t>Q9BWM7_SFXN3</t>
  </si>
  <si>
    <t>Q9BWT3_PAPOLG</t>
  </si>
  <si>
    <t>Q9BWU0_SLC4A1AP</t>
  </si>
  <si>
    <t>Q9BX40_LSM14B</t>
  </si>
  <si>
    <t>Q9BX66-9_SORBS1</t>
  </si>
  <si>
    <t>Q9BX68_HINT2</t>
  </si>
  <si>
    <t>Q9BX95_SGPP1</t>
  </si>
  <si>
    <t>Q9BXH1-2_BBC3</t>
  </si>
  <si>
    <t>Q9BXJ9_NAA15</t>
  </si>
  <si>
    <t>Q9BXK1_KLF16</t>
  </si>
  <si>
    <t>Q9BXK5_BCL2L13</t>
  </si>
  <si>
    <t>Q9BXP2_SLC12A9</t>
  </si>
  <si>
    <t>Q9BXP5-4_SRRT</t>
  </si>
  <si>
    <t>Q9BXR0_QTRT1</t>
  </si>
  <si>
    <t>Q9BXS4_TMEM59</t>
  </si>
  <si>
    <t>Q9BXS6-2_NUSAP1</t>
  </si>
  <si>
    <t>Q9BXV9_C14orf142</t>
  </si>
  <si>
    <t>Q9BXW6_OSBPL1A</t>
  </si>
  <si>
    <t>Q9BXW7-2_CECR5</t>
  </si>
  <si>
    <t>Q9BXW9-3_FANCD2</t>
  </si>
  <si>
    <t>Q9BY32_ITPA</t>
  </si>
  <si>
    <t>Q9BY41_HDAC8</t>
  </si>
  <si>
    <t>Q9BY43_CHMP4A</t>
  </si>
  <si>
    <t>Q9BY44_EIF2A</t>
  </si>
  <si>
    <t>Q9BY77_POLDIP3</t>
  </si>
  <si>
    <t>Q9BY89_KIAA1671</t>
  </si>
  <si>
    <t>Q9BYB4_GNB1L</t>
  </si>
  <si>
    <t>Q9BYC8_MRPL32</t>
  </si>
  <si>
    <t>Q9BYD6_MRPL1</t>
  </si>
  <si>
    <t>Q9BYM8-3_RBCK1</t>
  </si>
  <si>
    <t>Q9BYN0_SRXN1</t>
  </si>
  <si>
    <t>Q9BYN8_MRPS26</t>
  </si>
  <si>
    <t>Q9BYT8_NLN</t>
  </si>
  <si>
    <t>Q9BYW2_SETD2</t>
  </si>
  <si>
    <t>Q9BZ23-3_PANK2</t>
  </si>
  <si>
    <t>Q9BZ29-3_DOCK9</t>
  </si>
  <si>
    <t>Q9BZ67-2_FRMD8</t>
  </si>
  <si>
    <t>Q9BZ95-4_WHSC1L1</t>
  </si>
  <si>
    <t>Q9BZE1_MRPL37</t>
  </si>
  <si>
    <t>Q9BZE2_PUS3</t>
  </si>
  <si>
    <t>Q9BZE9_ASPSCR1</t>
  </si>
  <si>
    <t>Q9BZF1-3_OSBPL8</t>
  </si>
  <si>
    <t>Q9BZH6_WDR11</t>
  </si>
  <si>
    <t>Q9BZI7-2_UPF3B</t>
  </si>
  <si>
    <t>Q9BZK7_TBL1XR1</t>
  </si>
  <si>
    <t>Q9BZL1_UBL5</t>
  </si>
  <si>
    <t>Q9BZM1_PLA2G12A</t>
  </si>
  <si>
    <t>Q9BZM4_ULBP3</t>
  </si>
  <si>
    <t>Q9BZM5_ULBP2</t>
  </si>
  <si>
    <t>Q9BZX2_UCK2</t>
  </si>
  <si>
    <t>Q9BZZ5_API5</t>
  </si>
  <si>
    <t>Q9BZZ5-2_API5</t>
  </si>
  <si>
    <t>Q9C004_SPRY4</t>
  </si>
  <si>
    <t>Q9C005_DPY30</t>
  </si>
  <si>
    <t>Q9C037-2_TRIM4</t>
  </si>
  <si>
    <t>Q9C040_TRIM2</t>
  </si>
  <si>
    <t>Q9C0B0_UNK</t>
  </si>
  <si>
    <t>Q9C0B1_FTO</t>
  </si>
  <si>
    <t>Q9C0B5-2_ZDHHC5</t>
  </si>
  <si>
    <t>Q9C0B7_TANGO6</t>
  </si>
  <si>
    <t>Q9C0C2_TNKS1BP1</t>
  </si>
  <si>
    <t>Q9C0C7-6_AMBRA1</t>
  </si>
  <si>
    <t>Q9C0C9_UBE2O</t>
  </si>
  <si>
    <t>Q9C0D3_ZYG11B</t>
  </si>
  <si>
    <t>Q9C0D5-2_TANC1</t>
  </si>
  <si>
    <t>Q9C0F1_CEP44</t>
  </si>
  <si>
    <t>Q9C0H2-2_TTYH3</t>
  </si>
  <si>
    <t>Q9C0I1_MTMR12</t>
  </si>
  <si>
    <t>Q9C0J8_WDR33</t>
  </si>
  <si>
    <t>Q9C0K1-2_SLC39A8</t>
  </si>
  <si>
    <t>Q9GZL7_WDR12</t>
  </si>
  <si>
    <t>Q9GZN8_C20orf27</t>
  </si>
  <si>
    <t>Q9GZP1_NRSN2</t>
  </si>
  <si>
    <t>Q9GZP4_PITHD1</t>
  </si>
  <si>
    <t>Q9GZP9_DERL2</t>
  </si>
  <si>
    <t>Q9GZQ3_COMMD5</t>
  </si>
  <si>
    <t>Q9GZR2_REXO4</t>
  </si>
  <si>
    <t>Q9GZS1-2_POLR1E</t>
  </si>
  <si>
    <t>Q9GZS3_WDR61</t>
  </si>
  <si>
    <t>Q9GZT3_SLIRP</t>
  </si>
  <si>
    <t>Q9GZT5_WNT10A</t>
  </si>
  <si>
    <t>Q9GZT6-2_CCDC90B</t>
  </si>
  <si>
    <t>Q9GZT8-2_NIF3L1</t>
  </si>
  <si>
    <t>Q9GZT9_EGLN1</t>
  </si>
  <si>
    <t>Q9GZU8_FAM192A</t>
  </si>
  <si>
    <t>Q9GZX9_TWSG1</t>
  </si>
  <si>
    <t>Q9GZY8-2_MFF</t>
  </si>
  <si>
    <t>Q9GZZ9_UBA5</t>
  </si>
  <si>
    <t>Q9H008_LHPP</t>
  </si>
  <si>
    <t>Q9H019-3_MTFR1L</t>
  </si>
  <si>
    <t>Q9H061_TMEM126A</t>
  </si>
  <si>
    <t>Q9H074_PAIP1</t>
  </si>
  <si>
    <t>Q9H078-2_CLPB</t>
  </si>
  <si>
    <t>Q9H082_RAB33B</t>
  </si>
  <si>
    <t>Q9H089_LSG1</t>
  </si>
  <si>
    <t>Q9H0B6_KLC2</t>
  </si>
  <si>
    <t>Q9H0C8_ILKAP</t>
  </si>
  <si>
    <t>Q9H0D6_XRN2</t>
  </si>
  <si>
    <t>Q9H0E2_TOLLIP</t>
  </si>
  <si>
    <t>Q9H0E9-2_BRD8</t>
  </si>
  <si>
    <t>Q9H0F7_ARL6</t>
  </si>
  <si>
    <t>Q9H0G5_NSRP1</t>
  </si>
  <si>
    <t>Q9H0H5_RACGAP1</t>
  </si>
  <si>
    <t>Q9H0J9_PARP12</t>
  </si>
  <si>
    <t>Q9H0K1_SIK2</t>
  </si>
  <si>
    <t>Q9H0K6_PUS7L</t>
  </si>
  <si>
    <t>Q9H0L4_CSTF2T</t>
  </si>
  <si>
    <t>Q9H0P0-1_NT5C3A</t>
  </si>
  <si>
    <t>Q9H0R4_HDHD2</t>
  </si>
  <si>
    <t>Q9H0R6_QRSL1</t>
  </si>
  <si>
    <t>Q9H0S4-2_DDX47</t>
  </si>
  <si>
    <t>Q9H0U3_MAGT1</t>
  </si>
  <si>
    <t>Q9H0U4_RAB1B</t>
  </si>
  <si>
    <t>Q9H0U6_MRPL18</t>
  </si>
  <si>
    <t>Q9H0U9_TSPYL1</t>
  </si>
  <si>
    <t>Q9H0V9_LMAN2L</t>
  </si>
  <si>
    <t>Q9H0W8-2_SMG9</t>
  </si>
  <si>
    <t>Q9H0W9_C11orf54</t>
  </si>
  <si>
    <t>Q9H0X4_ITFG3</t>
  </si>
  <si>
    <t>Q9H115_NAPB</t>
  </si>
  <si>
    <t>Q9H173_SIL1</t>
  </si>
  <si>
    <t>Q9H1B7_IRF2BPL</t>
  </si>
  <si>
    <t>Q9H1C4_UNC93B1</t>
  </si>
  <si>
    <t>Q9H1D9_POLR3F</t>
  </si>
  <si>
    <t>Q9H1E3_NUCKS1</t>
  </si>
  <si>
    <t>Q9H1I8-3_ASCC2</t>
  </si>
  <si>
    <t>Q9H1J1_UPF3A</t>
  </si>
  <si>
    <t>Q9H1K0_ZFYVE20</t>
  </si>
  <si>
    <t>Q9H1K1_ISCU</t>
  </si>
  <si>
    <t>Q9H1K6_MESDC1</t>
  </si>
  <si>
    <t>Q9H1P3-2_OSBPL2</t>
  </si>
  <si>
    <t>Q9H1X3-3_DNAJC25</t>
  </si>
  <si>
    <t>Q9H1Y0_ATG5</t>
  </si>
  <si>
    <t>Q9H1Z4_WDR13</t>
  </si>
  <si>
    <t>Q9H204_MED28</t>
  </si>
  <si>
    <t>Q9H223_EHD4</t>
  </si>
  <si>
    <t>Q9H267_VPS33B</t>
  </si>
  <si>
    <t>Q9H269_VPS16</t>
  </si>
  <si>
    <t>Q9H270_VPS11</t>
  </si>
  <si>
    <t>Q9H2C0_GAN</t>
  </si>
  <si>
    <t>Q9H2D1_SLC25A32</t>
  </si>
  <si>
    <t>Q9H2D6-5_TRIOBP</t>
  </si>
  <si>
    <t>Q9H2G2_SLK</t>
  </si>
  <si>
    <t>Q9H2H8_PPIL3</t>
  </si>
  <si>
    <t>Q9H2J4_PDCL3</t>
  </si>
  <si>
    <t>Q9H2K0_MTIF3</t>
  </si>
  <si>
    <t>Q9H2K8_TAOK3</t>
  </si>
  <si>
    <t>Q9H2M9_RAB3GAP2</t>
  </si>
  <si>
    <t>Q9H2P0_ADNP</t>
  </si>
  <si>
    <t>Q9H2P9_DPH5</t>
  </si>
  <si>
    <t>Q9H2U2_PPA2</t>
  </si>
  <si>
    <t>Q9H2W6_MRPL46</t>
  </si>
  <si>
    <t>Q9H2Y7_ZNF106</t>
  </si>
  <si>
    <t>Q9H300_PARL</t>
  </si>
  <si>
    <t>Q9H307_PNN</t>
  </si>
  <si>
    <t>Q9H330-2_TMEM245</t>
  </si>
  <si>
    <t>Q9H3C7_GGNBP2</t>
  </si>
  <si>
    <t>Q9H3F6_KCTD10</t>
  </si>
  <si>
    <t>Q9H3H1-4_TRIT1</t>
  </si>
  <si>
    <t>Q9H3H3_C11orf68</t>
  </si>
  <si>
    <t>Q9H3H5-2_DPAGT1</t>
  </si>
  <si>
    <t>Q9H3J6_C12orf65</t>
  </si>
  <si>
    <t>Q9H3K6_BOLA2</t>
  </si>
  <si>
    <t>Q9H3N1_TMX1</t>
  </si>
  <si>
    <t>Q9H3P2_NELFA</t>
  </si>
  <si>
    <t>Q9H3P7_ACBD3</t>
  </si>
  <si>
    <t>Q9H3Q1_CDC42EP4</t>
  </si>
  <si>
    <t>Q9H3R0-4_KDM4C</t>
  </si>
  <si>
    <t>Q9H3R2_MUC13</t>
  </si>
  <si>
    <t>Q9H3S7_PTPN23</t>
  </si>
  <si>
    <t>Q9H3U1_UNC45A</t>
  </si>
  <si>
    <t>Q9H3U5-4_MFSD1</t>
  </si>
  <si>
    <t>Q9H3Y8_PPDPF</t>
  </si>
  <si>
    <t>Q9H3Z4-2_DNAJC5</t>
  </si>
  <si>
    <t>Q9H410_DSN1</t>
  </si>
  <si>
    <t>Q9H425_C1orf198</t>
  </si>
  <si>
    <t>Q9H444_CHMP4B</t>
  </si>
  <si>
    <t>Q9H467_CUEDC2</t>
  </si>
  <si>
    <t>Q9H479_FN3K</t>
  </si>
  <si>
    <t>Q9H488_POFUT1</t>
  </si>
  <si>
    <t>Q9H490-2_PIGU</t>
  </si>
  <si>
    <t>Q9H496_IFRG15</t>
  </si>
  <si>
    <t>Q9H497-2_TOR3A</t>
  </si>
  <si>
    <t>Q9H4A4_RNPEP</t>
  </si>
  <si>
    <t>Q9H4A5_GOLPH3L</t>
  </si>
  <si>
    <t>Q9H4A6_GOLPH3</t>
  </si>
  <si>
    <t>Q9H4B0_OSGEPL1</t>
  </si>
  <si>
    <t>Q9H4I2_ZHX3</t>
  </si>
  <si>
    <t>Q9H4K7_GTPBP5</t>
  </si>
  <si>
    <t>Q9H4L5-2_OSBPL3</t>
  </si>
  <si>
    <t>Q9H4L7-2_SMARCAD1</t>
  </si>
  <si>
    <t>Q9H4M9_EHD1</t>
  </si>
  <si>
    <t>Q9H4P4-2_RNF41</t>
  </si>
  <si>
    <t>Q9H4Z3_PCIF1</t>
  </si>
  <si>
    <t>Q9H501_ESF1</t>
  </si>
  <si>
    <t>Q9H553_ALG2</t>
  </si>
  <si>
    <t>Q9H583_HEATR1</t>
  </si>
  <si>
    <t>Q9H5K3_SGK196</t>
  </si>
  <si>
    <t>Q9H5N1_RABEP2</t>
  </si>
  <si>
    <t>Q9H5Q4_TFB2M</t>
  </si>
  <si>
    <t>Q9H5V8_CDCP1</t>
  </si>
  <si>
    <t>Q9H5V9_CXorf56</t>
  </si>
  <si>
    <t>Q9H5X1_FAM96A</t>
  </si>
  <si>
    <t>Q9H649_NSUN3</t>
  </si>
  <si>
    <t>Q9H6A9-2_PCNXL3</t>
  </si>
  <si>
    <t>Q9H6E4_CCDC134</t>
  </si>
  <si>
    <t>Q9H6F5_CCDC86</t>
  </si>
  <si>
    <t>Q9H6H4_REEP4</t>
  </si>
  <si>
    <t>Q9H6K4_OPA3</t>
  </si>
  <si>
    <t>Q9H6L4_ARMC7</t>
  </si>
  <si>
    <t>Q9H6L5_FAM134B</t>
  </si>
  <si>
    <t>Q9H6P5_TASP1</t>
  </si>
  <si>
    <t>Q9H6Q4_NARFL</t>
  </si>
  <si>
    <t>Q9H6R0_DHX33</t>
  </si>
  <si>
    <t>Q9H6R4-4_NOL6</t>
  </si>
  <si>
    <t>Q9H6R7-2_C2orf44</t>
  </si>
  <si>
    <t>Q9H6S3_EPS8L2</t>
  </si>
  <si>
    <t>Q9H6T0-2_ESRP2</t>
  </si>
  <si>
    <t>Q9H6T3_RPAP3</t>
  </si>
  <si>
    <t>Q9H6U6-2_BCAS3</t>
  </si>
  <si>
    <t>Q9H6U8_ALG9</t>
  </si>
  <si>
    <t>Q9H6W3_NO66</t>
  </si>
  <si>
    <t>Q9H6Y2_WDR55</t>
  </si>
  <si>
    <t>Q9H773_DCTPP1</t>
  </si>
  <si>
    <t>Q9H788-2_SH2D4A</t>
  </si>
  <si>
    <t>Q9H7B4_SMYD3</t>
  </si>
  <si>
    <t>Q9H7C9_AAMDC</t>
  </si>
  <si>
    <t>Q9H7D7-2_WDR26</t>
  </si>
  <si>
    <t>Q9H7E2-3_TDRD3</t>
  </si>
  <si>
    <t>Q9H7F0_ATP13A3</t>
  </si>
  <si>
    <t>Q9H7J1_PPP1R3E</t>
  </si>
  <si>
    <t>Q9H7L9_SUDS3</t>
  </si>
  <si>
    <t>Q9H7S9_ZNF703</t>
  </si>
  <si>
    <t>Q9H7Z3_NRDE2</t>
  </si>
  <si>
    <t>Q9H7Z6_KAT8</t>
  </si>
  <si>
    <t>Q9H7Z7_PTGES2</t>
  </si>
  <si>
    <t>Q9H814_PHAX</t>
  </si>
  <si>
    <t>Q9H832_UBE2Z</t>
  </si>
  <si>
    <t>Q9H840_GEMIN7</t>
  </si>
  <si>
    <t>Q9H845_ACAD9</t>
  </si>
  <si>
    <t>Q9H875_PRKRIP1</t>
  </si>
  <si>
    <t>Q9H8G2_CAAP1</t>
  </si>
  <si>
    <t>Q9H8H0_NOL11</t>
  </si>
  <si>
    <t>Q9H8J5_MANSC1</t>
  </si>
  <si>
    <t>Q9H8M7_FAM188A</t>
  </si>
  <si>
    <t>Q9H8S9_MOB1A</t>
  </si>
  <si>
    <t>Q9H8U3_ZFAND3</t>
  </si>
  <si>
    <t>Q9H8V3_ECT2</t>
  </si>
  <si>
    <t>Q9H8W3_FAM204A</t>
  </si>
  <si>
    <t>Q9H8W4_PLEKHF2</t>
  </si>
  <si>
    <t>Q9H8Y5_ANKZF1</t>
  </si>
  <si>
    <t>Q9H8Y8_GORASP2</t>
  </si>
  <si>
    <t>Q9H900_ZWILCH</t>
  </si>
  <si>
    <t>Q9H903-1_MTHFD2L</t>
  </si>
  <si>
    <t>Q9H910_HN1L</t>
  </si>
  <si>
    <t>Q9H910-2_HN1L</t>
  </si>
  <si>
    <t>Q9H936_SLC25A22</t>
  </si>
  <si>
    <t>Q9H939_PSTPIP2</t>
  </si>
  <si>
    <t>Q9H974_QTRTD1</t>
  </si>
  <si>
    <t>Q9H977_WDR54</t>
  </si>
  <si>
    <t>Q9H981_ACTR8</t>
  </si>
  <si>
    <t>Q9H993_C6orf211</t>
  </si>
  <si>
    <t>Q9H999_PANK3</t>
  </si>
  <si>
    <t>Q9H9A5-2_CNOT10</t>
  </si>
  <si>
    <t>Q9H9A6_LRRC40</t>
  </si>
  <si>
    <t>Q9H9A7_RMI1</t>
  </si>
  <si>
    <t>Q9H9B1_EHMT1</t>
  </si>
  <si>
    <t>Q9H9B4_SFXN1</t>
  </si>
  <si>
    <t>Q9H9F9_ACTR5</t>
  </si>
  <si>
    <t>Q9H9H4_VPS37B</t>
  </si>
  <si>
    <t>Q9H9J2_MRPL44</t>
  </si>
  <si>
    <t>Q9H9K5_ERVMER34-1</t>
  </si>
  <si>
    <t>Q9H9P8_L2HGDH</t>
  </si>
  <si>
    <t>Q9H9S4_CAB39L</t>
  </si>
  <si>
    <t>Q9H9V9-2_JMJD4</t>
  </si>
  <si>
    <t>Q9H9Y4_GPN2</t>
  </si>
  <si>
    <t>Q9HA47-3_UCK1</t>
  </si>
  <si>
    <t>Q9HA64_FN3KRP</t>
  </si>
  <si>
    <t>Q9HA65_TBC1D17</t>
  </si>
  <si>
    <t>Q9HA77_CARS2</t>
  </si>
  <si>
    <t>Q9HAB8_PPCS</t>
  </si>
  <si>
    <t>Q9HAF1-2_MEAF6</t>
  </si>
  <si>
    <t>Q9HAN9_NMNAT1</t>
  </si>
  <si>
    <t>Q9HAU0_PLEKHA5</t>
  </si>
  <si>
    <t>Q9HAU5_UPF2</t>
  </si>
  <si>
    <t>Q9HAV4_XPO5</t>
  </si>
  <si>
    <t>Q9HAV7_GRPEL1</t>
  </si>
  <si>
    <t>Q9HAW4-3_CLSPN</t>
  </si>
  <si>
    <t>Q9HB07_C12orf10</t>
  </si>
  <si>
    <t>Q9HB21_PLEKHA1</t>
  </si>
  <si>
    <t>Q9HB40_SCPEP1</t>
  </si>
  <si>
    <t>Q9HB65_ELL3</t>
  </si>
  <si>
    <t>Q9HB71_CACYBP</t>
  </si>
  <si>
    <t>Q9HB90_RRAGC</t>
  </si>
  <si>
    <t>Q9HBD4_SMARCA4</t>
  </si>
  <si>
    <t>Q9HBH1_PDF</t>
  </si>
  <si>
    <t>Q9HBH5_RDH14</t>
  </si>
  <si>
    <t>Q9HBI1_PARVB</t>
  </si>
  <si>
    <t>Q9HBL7_PLGRKT</t>
  </si>
  <si>
    <t>Q9HBL8_NMRAL1</t>
  </si>
  <si>
    <t>Q9HBM1_SPC25</t>
  </si>
  <si>
    <t>Q9HBM6_TAF9B</t>
  </si>
  <si>
    <t>Q9HBM8_AGPAT1</t>
  </si>
  <si>
    <t>Q9HBR0_SLC38A10</t>
  </si>
  <si>
    <t>Q9HBU6_ETNK1</t>
  </si>
  <si>
    <t>Q9HC07_TMEM165</t>
  </si>
  <si>
    <t>Q9HC35_EML4</t>
  </si>
  <si>
    <t>Q9HC36_RNMTL1</t>
  </si>
  <si>
    <t>Q9HC38-2_GLOD4</t>
  </si>
  <si>
    <t>Q9HC52_CBX8</t>
  </si>
  <si>
    <t>Q9HCC0_MCCC2</t>
  </si>
  <si>
    <t>Q9HCD5_NCOA5</t>
  </si>
  <si>
    <t>Q9HCE0-2_EPG5</t>
  </si>
  <si>
    <t>Q9HCE1_MOV10</t>
  </si>
  <si>
    <t>Q9HCE5_METTL14</t>
  </si>
  <si>
    <t>Q9HCG7_GBA2</t>
  </si>
  <si>
    <t>Q9HCJ3-2_RAVER2</t>
  </si>
  <si>
    <t>Q9HCN3_TMEM8A</t>
  </si>
  <si>
    <t>Q9HCN4_GPN1</t>
  </si>
  <si>
    <t>Q9HCN8_SDF2L1</t>
  </si>
  <si>
    <t>Q9HCP0-2_CSNK1G1</t>
  </si>
  <si>
    <t>Q9HCR9_PDE11A</t>
  </si>
  <si>
    <t>Q9HCU5_PREB</t>
  </si>
  <si>
    <t>Q9HCU8_POLD4</t>
  </si>
  <si>
    <t>Q9HCY8_S100A14</t>
  </si>
  <si>
    <t>Q9HD15_SRA1</t>
  </si>
  <si>
    <t>Q9HD20-2_ATP13A1</t>
  </si>
  <si>
    <t>Q9HD33-2_MRPL47</t>
  </si>
  <si>
    <t>Q9HD34_LYRM4</t>
  </si>
  <si>
    <t>Q9HD40-3_SEPSECS</t>
  </si>
  <si>
    <t>Q9HD42_CHMP1A</t>
  </si>
  <si>
    <t>Q9HD45_TM9SF3</t>
  </si>
  <si>
    <t>Q9HD47-2_RANGRF</t>
  </si>
  <si>
    <t>Q9HD67_MYO10</t>
  </si>
  <si>
    <t>Q9HDC5_JPH1</t>
  </si>
  <si>
    <t>Q9HDC9_APMAP</t>
  </si>
  <si>
    <t>Q9NNW5_WDR6</t>
  </si>
  <si>
    <t>Q9NP58-4_ABCB6</t>
  </si>
  <si>
    <t>Q9NP66_HMG20A</t>
  </si>
  <si>
    <t>Q9NP72_RAB18</t>
  </si>
  <si>
    <t>Q9NP73-2_ALG13</t>
  </si>
  <si>
    <t>Q9NP77_SSU72</t>
  </si>
  <si>
    <t>Q9NP79_VTA1</t>
  </si>
  <si>
    <t>Q9NP80-3_PNPLA8</t>
  </si>
  <si>
    <t>Q9NP84_TNFRSF12A</t>
  </si>
  <si>
    <t>Q9NP92_MRPS30</t>
  </si>
  <si>
    <t>Q9NPA0_EMC7</t>
  </si>
  <si>
    <t>Q9NPA3_MID1IP1</t>
  </si>
  <si>
    <t>Q9NPA8-2_ENY2</t>
  </si>
  <si>
    <t>Q9NPB8_GPCPD1</t>
  </si>
  <si>
    <t>Q9NPD3_EXOSC4</t>
  </si>
  <si>
    <t>Q9NPD8_UBE2T</t>
  </si>
  <si>
    <t>Q9NPE2_NGRN</t>
  </si>
  <si>
    <t>Q9NPE3_NOP10</t>
  </si>
  <si>
    <t>Q9NPF0_CD320</t>
  </si>
  <si>
    <t>Q9NPF4_OSGEP</t>
  </si>
  <si>
    <t>Q9NPG3-2_UBN1</t>
  </si>
  <si>
    <t>Q9NPH0_ACP6</t>
  </si>
  <si>
    <t>Q9NPI6_DCP1A</t>
  </si>
  <si>
    <t>Q9NPJ3_ACOT13</t>
  </si>
  <si>
    <t>Q9NPJ6_MED4</t>
  </si>
  <si>
    <t>Q9NPL8_TIMMDC1</t>
  </si>
  <si>
    <t>Q9NPQ8-4_RIC8A</t>
  </si>
  <si>
    <t>Q9NPR9_GPR108</t>
  </si>
  <si>
    <t>Q9NQ29_LUC7L</t>
  </si>
  <si>
    <t>Q9NQ88_TIGAR</t>
  </si>
  <si>
    <t>Q9NQC3_RTN4</t>
  </si>
  <si>
    <t>Q9NQC3-2_RTN4</t>
  </si>
  <si>
    <t>Q9NQE9_HINT3</t>
  </si>
  <si>
    <t>Q9NQG5_RPRD1B</t>
  </si>
  <si>
    <t>Q9NQG7-3_HPS4</t>
  </si>
  <si>
    <t>Q9NQH7-2_XPNPEP3</t>
  </si>
  <si>
    <t>Q9NQR4_NIT2</t>
  </si>
  <si>
    <t>Q9NQS1_AVEN</t>
  </si>
  <si>
    <t>Q9NQT4_EXOSC5</t>
  </si>
  <si>
    <t>Q9NQT5_EXOSC3</t>
  </si>
  <si>
    <t>Q9NQT8_KIF13B</t>
  </si>
  <si>
    <t>Q9NQW6-2_ANLN</t>
  </si>
  <si>
    <t>Q9NQW7_XPNPEP1</t>
  </si>
  <si>
    <t>Q9NQW7-3_XPNPEP1</t>
  </si>
  <si>
    <t>Q9NQY0_BIN3</t>
  </si>
  <si>
    <t>Q9NQZ2_UTP3</t>
  </si>
  <si>
    <t>Q9NQZ5_STARD7</t>
  </si>
  <si>
    <t>Q9NQZ6-3_ZC4H2</t>
  </si>
  <si>
    <t>Q9NR09_BIRC6</t>
  </si>
  <si>
    <t>Q9NR12_PDLIM7</t>
  </si>
  <si>
    <t>Q9NR19_ACSS2</t>
  </si>
  <si>
    <t>Q9NR28-2_DIABLO</t>
  </si>
  <si>
    <t>Q9NR30_DDX21</t>
  </si>
  <si>
    <t>Q9NR31_SAR1A</t>
  </si>
  <si>
    <t>Q9NR33_POLE4</t>
  </si>
  <si>
    <t>Q9NR45_NANS</t>
  </si>
  <si>
    <t>Q9NR48-2_ASH1L</t>
  </si>
  <si>
    <t>Q9NR50_EIF2B3</t>
  </si>
  <si>
    <t>Q9NRA2_SLC17A5</t>
  </si>
  <si>
    <t>Q9NRD5_PICK1</t>
  </si>
  <si>
    <t>Q9NRF8_CTPS2</t>
  </si>
  <si>
    <t>Q9NRF9_POLE3</t>
  </si>
  <si>
    <t>Q9NRG0_CHRAC1</t>
  </si>
  <si>
    <t>Q9NRG1_PRTFDC1</t>
  </si>
  <si>
    <t>Q9NRG4_SMYD2</t>
  </si>
  <si>
    <t>Q9NRG7-2_SDR39U1</t>
  </si>
  <si>
    <t>Q9NRG9_AAAS</t>
  </si>
  <si>
    <t>Q9NRH1_YAE1D1</t>
  </si>
  <si>
    <t>Q9NRK6_ABCB10</t>
  </si>
  <si>
    <t>Q9NRL2-2_BAZ1A</t>
  </si>
  <si>
    <t>Q9NRL3_STRN4</t>
  </si>
  <si>
    <t>Q9NRN7_AASDHPPT</t>
  </si>
  <si>
    <t>Q9NRN9_METTL5</t>
  </si>
  <si>
    <t>Q9NRP0_OSTC</t>
  </si>
  <si>
    <t>Q9NRP2_CMC2</t>
  </si>
  <si>
    <t>Q9NRP4_ACN9</t>
  </si>
  <si>
    <t>Q9NRR5_UBQLN4</t>
  </si>
  <si>
    <t>Q9NRR8_CDC42SE1</t>
  </si>
  <si>
    <t>Q9NRV9_HEBP1</t>
  </si>
  <si>
    <t>Q9NRW1_RAB6B</t>
  </si>
  <si>
    <t>Q9NRW4_DUSP22</t>
  </si>
  <si>
    <t>Q9NRW7_VPS45</t>
  </si>
  <si>
    <t>Q9NRX1_PNO1</t>
  </si>
  <si>
    <t>Q9NRX3_NDUFA4L2</t>
  </si>
  <si>
    <t>Q9NRX4_PHPT1</t>
  </si>
  <si>
    <t>Q9NRX5_SERINC1</t>
  </si>
  <si>
    <t>Q9NRY2_INIP</t>
  </si>
  <si>
    <t>Q9NRY4_ARHGAP35</t>
  </si>
  <si>
    <t>Q9NRY5_FAM114A2</t>
  </si>
  <si>
    <t>Q9NRZ5_AGPAT4</t>
  </si>
  <si>
    <t>Q9NRZ7-2_AGPAT3</t>
  </si>
  <si>
    <t>Q9NRZ9-2_HELLS</t>
  </si>
  <si>
    <t>Q9NS18_GLRX2</t>
  </si>
  <si>
    <t>Q9NS69_TOMM22</t>
  </si>
  <si>
    <t>Q9NS73-5_MBIP</t>
  </si>
  <si>
    <t>Q9NS86_LANCL2</t>
  </si>
  <si>
    <t>Q9NS87-2_KIF15</t>
  </si>
  <si>
    <t>Q9NS91_RAD18</t>
  </si>
  <si>
    <t>Q9NS93_TM7SF3</t>
  </si>
  <si>
    <t>Q9NSA3_CTNNBIP1</t>
  </si>
  <si>
    <t>Q9NSD9_FARSB</t>
  </si>
  <si>
    <t>Q9NSE4_IARS2</t>
  </si>
  <si>
    <t>Q9NSI2-2_FAM207A</t>
  </si>
  <si>
    <t>Q9NSK0_KLC4</t>
  </si>
  <si>
    <t>Q9NT62_ATG3</t>
  </si>
  <si>
    <t>Q9NTG7_SIRT3</t>
  </si>
  <si>
    <t>Q9NTI5-2_PDS5B</t>
  </si>
  <si>
    <t>Q9NTJ3_SMC4</t>
  </si>
  <si>
    <t>Q9NTJ4-3_MAN2C1</t>
  </si>
  <si>
    <t>Q9NTJ5_SACM1L</t>
  </si>
  <si>
    <t>Q9NTM9_CUTC</t>
  </si>
  <si>
    <t>Q9NTX5-2_ECHDC1</t>
  </si>
  <si>
    <t>Q9NTZ6_RBM12</t>
  </si>
  <si>
    <t>Q9NU22_MDN1</t>
  </si>
  <si>
    <t>Q9NU23_LYRM2</t>
  </si>
  <si>
    <t>Q9NUB1-2_ACSS1</t>
  </si>
  <si>
    <t>Q9NUD5_ZCCHC3</t>
  </si>
  <si>
    <t>Q9NUG6_PDRG1</t>
  </si>
  <si>
    <t>Q9NUJ1_ABHD10</t>
  </si>
  <si>
    <t>Q9NUL5-3_C19orf66</t>
  </si>
  <si>
    <t>Q9NUM4_TMEM106B</t>
  </si>
  <si>
    <t>Q9NUN5-3_LMBRD1</t>
  </si>
  <si>
    <t>Q9NUP1_BLOC1S4</t>
  </si>
  <si>
    <t>Q9NUP7_TRMT13</t>
  </si>
  <si>
    <t>Q9NUP9_LIN7C</t>
  </si>
  <si>
    <t>Q9NUQ2_AGPAT5</t>
  </si>
  <si>
    <t>Q9NUQ3_TXLNG</t>
  </si>
  <si>
    <t>Q9NUQ7_UFSP2</t>
  </si>
  <si>
    <t>Q9NUQ8-2_ABCF3</t>
  </si>
  <si>
    <t>Q9NUQ9_FAM49B</t>
  </si>
  <si>
    <t>Q9NUU7_DDX19A</t>
  </si>
  <si>
    <t>Q9NUW8_TDP1</t>
  </si>
  <si>
    <t>Q9NUY8_TBC1D23</t>
  </si>
  <si>
    <t>Q9NV06_DCAF13</t>
  </si>
  <si>
    <t>Q9NV35_NUDT15</t>
  </si>
  <si>
    <t>Q9NV56_MRGBP</t>
  </si>
  <si>
    <t>Q9NV66_TYW1</t>
  </si>
  <si>
    <t>Q9NV70_EXOC1</t>
  </si>
  <si>
    <t>Q9NV96-2_TMEM30A</t>
  </si>
  <si>
    <t>Q9NVA1_UQCC</t>
  </si>
  <si>
    <t>Q9NVA4_TMEM184C</t>
  </si>
  <si>
    <t>Q9NVC6_MED17</t>
  </si>
  <si>
    <t>Q9NVE7_PANK4</t>
  </si>
  <si>
    <t>Q9NVF7_FBXO28</t>
  </si>
  <si>
    <t>Q9NVG8_TBC1D13</t>
  </si>
  <si>
    <t>Q9NVH0_EXD2</t>
  </si>
  <si>
    <t>Q9NVH1-3_DNAJC11</t>
  </si>
  <si>
    <t>Q9NVH2-3_INTS7</t>
  </si>
  <si>
    <t>Q9NVH6_TMLHE</t>
  </si>
  <si>
    <t>Q9NVI1_FANCI</t>
  </si>
  <si>
    <t>Q9NVI7-2_ATAD3A</t>
  </si>
  <si>
    <t>Q9NVJ2_ARL8B</t>
  </si>
  <si>
    <t>Q9NVK5-2_FGFR1OP2</t>
  </si>
  <si>
    <t>Q9NVM4-3_PRMT7</t>
  </si>
  <si>
    <t>Q9NVM6_DNAJC17</t>
  </si>
  <si>
    <t>Q9NVM9_ASUN</t>
  </si>
  <si>
    <t>Q9NVN8_GNL3L</t>
  </si>
  <si>
    <t>Q9NVP1_DDX18</t>
  </si>
  <si>
    <t>Q9NVP2_ASF1B</t>
  </si>
  <si>
    <t>Q9NVQ4_FAIM</t>
  </si>
  <si>
    <t>Q9NVR0_KLHL11</t>
  </si>
  <si>
    <t>Q9NVR2_INTS10</t>
  </si>
  <si>
    <t>Q9NVR5_DNAAF2</t>
  </si>
  <si>
    <t>Q9NVS9_PNPO</t>
  </si>
  <si>
    <t>Q9NVT9_ARMC1</t>
  </si>
  <si>
    <t>Q9NVV4_MTPAP</t>
  </si>
  <si>
    <t>Q9NVX2_NLE1</t>
  </si>
  <si>
    <t>Q9NVX7_KBTBD4</t>
  </si>
  <si>
    <t>Q9NVZ3_NECAP2</t>
  </si>
  <si>
    <t>Q9NW07_ZNF358</t>
  </si>
  <si>
    <t>Q9NW15_ANO10</t>
  </si>
  <si>
    <t>Q9NW64_RBM22</t>
  </si>
  <si>
    <t>Q9NW82_WDR70</t>
  </si>
  <si>
    <t>Q9NWA0_MED9</t>
  </si>
  <si>
    <t>Q9NWB6_ARGLU1</t>
  </si>
  <si>
    <t>Q9NWD8_TMEM248</t>
  </si>
  <si>
    <t>Q9NWH2_TMEM242</t>
  </si>
  <si>
    <t>Q9NWH9_SLTM</t>
  </si>
  <si>
    <t>Q9NWM3_CUEDC1</t>
  </si>
  <si>
    <t>Q9NWM8_FKBP14</t>
  </si>
  <si>
    <t>Q9NWS0_PIH1D1</t>
  </si>
  <si>
    <t>Q9NWS6_FAM118A</t>
  </si>
  <si>
    <t>Q9NWS8_RMND1</t>
  </si>
  <si>
    <t>Q9NWT6_HIF1AN</t>
  </si>
  <si>
    <t>Q9NWU1_OXSM</t>
  </si>
  <si>
    <t>Q9NWU2_GID8</t>
  </si>
  <si>
    <t>Q9NWV4_C1orf123</t>
  </si>
  <si>
    <t>Q9NWX5_ASB6</t>
  </si>
  <si>
    <t>Q9NWX6_THG1L</t>
  </si>
  <si>
    <t>Q9NWY4_C4orf27</t>
  </si>
  <si>
    <t>Q9NWZ3_IRAK4</t>
  </si>
  <si>
    <t>Q9NWZ5_UCKL1</t>
  </si>
  <si>
    <t>Q9NX01_TXNL4B</t>
  </si>
  <si>
    <t>Q9NX07_TRNAU1AP</t>
  </si>
  <si>
    <t>Q9NX08_COMMD8</t>
  </si>
  <si>
    <t>Q9NX14-2_NDUFB11</t>
  </si>
  <si>
    <t>Q9NX24_NHP2</t>
  </si>
  <si>
    <t>Q9NX38_FAM206A</t>
  </si>
  <si>
    <t>Q9NX40_OCIAD1</t>
  </si>
  <si>
    <t>Q9NX46_ADPRHL2</t>
  </si>
  <si>
    <t>Q9NX47_MARCH5</t>
  </si>
  <si>
    <t>Q9NX55_HYPK</t>
  </si>
  <si>
    <t>Q9NX57_RAB20</t>
  </si>
  <si>
    <t>Q9NX58_LYAR</t>
  </si>
  <si>
    <t>Q9NX62_IMPAD1</t>
  </si>
  <si>
    <t>Q9NX70_MED29</t>
  </si>
  <si>
    <t>Q9NX74_DUS2L</t>
  </si>
  <si>
    <t>Q9NX78_TMEM260</t>
  </si>
  <si>
    <t>Q9NXA8_SIRT5</t>
  </si>
  <si>
    <t>Q9NXC5_MIOS</t>
  </si>
  <si>
    <t>Q9NXE8_CWC25</t>
  </si>
  <si>
    <t>Q9NXF1-2_TEX10</t>
  </si>
  <si>
    <t>Q9NXF7_DCAF16</t>
  </si>
  <si>
    <t>Q9NXF8_ZDHHC7</t>
  </si>
  <si>
    <t>Q9NXG6_P4HTM</t>
  </si>
  <si>
    <t>Q9NXH9_TRMT1</t>
  </si>
  <si>
    <t>Q9NXK8-2_FBXL12</t>
  </si>
  <si>
    <t>Q9NXN4-2_GDAP2</t>
  </si>
  <si>
    <t>Q9NXR1-2_NDE1</t>
  </si>
  <si>
    <t>Q9NXR5_ANKRD10</t>
  </si>
  <si>
    <t>Q9NXR7_BRE</t>
  </si>
  <si>
    <t>Q9NXS2_QPCTL</t>
  </si>
  <si>
    <t>Q9NXU5_ARL15</t>
  </si>
  <si>
    <t>Q9NXV2_KCTD5</t>
  </si>
  <si>
    <t>Q9NXV6_CDKN2AIP</t>
  </si>
  <si>
    <t>Q9NXW9_ALKBH4</t>
  </si>
  <si>
    <t>Q9NY27_PPP4R2</t>
  </si>
  <si>
    <t>Q9NY61_AATF</t>
  </si>
  <si>
    <t>Q9NYB0_TERF2IP</t>
  </si>
  <si>
    <t>Q9NYF8-2_BCLAF1</t>
  </si>
  <si>
    <t>Q9NYG2_ZDHHC3</t>
  </si>
  <si>
    <t>Q9NYG5_ANAPC11</t>
  </si>
  <si>
    <t>Q9NYH9_UTP6</t>
  </si>
  <si>
    <t>Q9NYJ1_COA4</t>
  </si>
  <si>
    <t>Q9NYK5_MRPL39</t>
  </si>
  <si>
    <t>Q9NYL2-2_MLTK</t>
  </si>
  <si>
    <t>Q9NYL9_TMOD3</t>
  </si>
  <si>
    <t>Q9NYM9_BET1L</t>
  </si>
  <si>
    <t>Q9NYP9_MIS18A</t>
  </si>
  <si>
    <t>Q9NYQ6_CELSR1</t>
  </si>
  <si>
    <t>Q9NYQ7_CELSR3</t>
  </si>
  <si>
    <t>Q9NYU2-2_UGGT1</t>
  </si>
  <si>
    <t>Q9NYV4-2_CDK12</t>
  </si>
  <si>
    <t>Q9NYY8_FASTKD2</t>
  </si>
  <si>
    <t>Q9NZ01_TECR</t>
  </si>
  <si>
    <t>Q9NZ08_ERAP1</t>
  </si>
  <si>
    <t>Q9NZ09-2_UBAP1</t>
  </si>
  <si>
    <t>Q9NZ32_ACTR10</t>
  </si>
  <si>
    <t>Q9NZ43_USE1</t>
  </si>
  <si>
    <t>Q9NZ45_CISD1</t>
  </si>
  <si>
    <t>Q9NZ53_PODXL2</t>
  </si>
  <si>
    <t>Q9NZ63_C9orf78</t>
  </si>
  <si>
    <t>Q9NZA1-2_CLIC5</t>
  </si>
  <si>
    <t>Q9NZB2-4_FAM120A</t>
  </si>
  <si>
    <t>Q9NZC3_GDE1</t>
  </si>
  <si>
    <t>Q9NZC7_WWOX</t>
  </si>
  <si>
    <t>Q9NZD2_GLTP</t>
  </si>
  <si>
    <t>Q9NZD8-2_SPG21</t>
  </si>
  <si>
    <t>Q9NZI7-4_UBP1</t>
  </si>
  <si>
    <t>Q9NZI8_IGF2BP1</t>
  </si>
  <si>
    <t>Q9NZJ4-2_SACS</t>
  </si>
  <si>
    <t>Q9NZJ6_COQ3</t>
  </si>
  <si>
    <t>Q9NZJ9-2_NUDT4</t>
  </si>
  <si>
    <t>Q9NZL4_HSPBP1</t>
  </si>
  <si>
    <t>Q9NZL9_MAT2B</t>
  </si>
  <si>
    <t>Q9NZL9-2_MAT2B</t>
  </si>
  <si>
    <t>Q9NZM3-2_ITSN2</t>
  </si>
  <si>
    <t>Q9NZM4-2_GLTSCR1</t>
  </si>
  <si>
    <t>Q9NZQ3-3_NCKIPSD</t>
  </si>
  <si>
    <t>Q9NZT1_CALML5</t>
  </si>
  <si>
    <t>Q9NZT2-2_OGFR</t>
  </si>
  <si>
    <t>Q9NZU5_LMCD1</t>
  </si>
  <si>
    <t>Q9NZW5_MPP6</t>
  </si>
  <si>
    <t>Q9NZZ3_CHMP5</t>
  </si>
  <si>
    <t>Q9P013_CWC15</t>
  </si>
  <si>
    <t>Q9P016_THYN1</t>
  </si>
  <si>
    <t>Q9P021_CRIPT</t>
  </si>
  <si>
    <t>Q9P031_CCDC59</t>
  </si>
  <si>
    <t>Q9P032_NDUFAF4</t>
  </si>
  <si>
    <t>Q9P035_PTPLAD1</t>
  </si>
  <si>
    <t>Q9P0B6_CCDC167</t>
  </si>
  <si>
    <t>Q9P0I2_EMC3</t>
  </si>
  <si>
    <t>Q9P0J1_PDP1</t>
  </si>
  <si>
    <t>Q9P0J7_KCMF1</t>
  </si>
  <si>
    <t>Q9P0L0_VAPA</t>
  </si>
  <si>
    <t>Q9P0P0_RNF181</t>
  </si>
  <si>
    <t>Q9P0R6_GSKIP</t>
  </si>
  <si>
    <t>Q9P0S2_COX16</t>
  </si>
  <si>
    <t>Q9P0U4_CXXC1</t>
  </si>
  <si>
    <t>Q9P0V3_SH3BP4</t>
  </si>
  <si>
    <t>Q9P0W2-2_HMG20B</t>
  </si>
  <si>
    <t>Q9P0Z9_PIPOX</t>
  </si>
  <si>
    <t>Q9P1F3_ABRACL</t>
  </si>
  <si>
    <t>Q9P1U1_ACTR3B</t>
  </si>
  <si>
    <t>Q9P1Y5_CAMSAP3</t>
  </si>
  <si>
    <t>Q9P1Z2-2_CALCOCO1</t>
  </si>
  <si>
    <t>Q9P206-2_KIAA1522</t>
  </si>
  <si>
    <t>Q9P209_CEP72</t>
  </si>
  <si>
    <t>Q9P219_CCDC88C</t>
  </si>
  <si>
    <t>Q9P258_RCC2</t>
  </si>
  <si>
    <t>Q9P260_KIAA1468</t>
  </si>
  <si>
    <t>Q9P265_DIP2B</t>
  </si>
  <si>
    <t>Q9P266_KIAA1462</t>
  </si>
  <si>
    <t>Q9P270_SLAIN2</t>
  </si>
  <si>
    <t>Q9P273_TENM3</t>
  </si>
  <si>
    <t>Q9P275_USP36</t>
  </si>
  <si>
    <t>Q9P287_BCCIP</t>
  </si>
  <si>
    <t>Q9P287-2_BCCIP</t>
  </si>
  <si>
    <t>Q9P2B2_PTGFRN</t>
  </si>
  <si>
    <t>Q9P2B4_CTTNBP2NL</t>
  </si>
  <si>
    <t>Q9P2C4_TMEM181</t>
  </si>
  <si>
    <t>Q9P2D1_CHD7</t>
  </si>
  <si>
    <t>Q9P2D3-3_HEATR5B</t>
  </si>
  <si>
    <t>Q9P2E9_RRBP1</t>
  </si>
  <si>
    <t>Q9P2I0_CPSF2</t>
  </si>
  <si>
    <t>Q9P2J9_PDP2</t>
  </si>
  <si>
    <t>Q9P2K3_RCOR3</t>
  </si>
  <si>
    <t>Q9P2K5-2_MYEF2</t>
  </si>
  <si>
    <t>Q9P2K6_KLHL42</t>
  </si>
  <si>
    <t>Q9P2M7_CGN</t>
  </si>
  <si>
    <t>Q9P2N5_RBM27</t>
  </si>
  <si>
    <t>Q9P2R3_ANKFY1</t>
  </si>
  <si>
    <t>Q9P2R6_RERE</t>
  </si>
  <si>
    <t>Q9P2W1-2_PSMC3IP</t>
  </si>
  <si>
    <t>Q9P2X0_DPM3</t>
  </si>
  <si>
    <t>Q9P2X3_IMPACT</t>
  </si>
  <si>
    <t>Q9P2Y5_UVRAG</t>
  </si>
  <si>
    <t>Q9UBB4_ATXN10</t>
  </si>
  <si>
    <t>Q9UBB5_MBD2</t>
  </si>
  <si>
    <t>Q9UBB6_NCDN</t>
  </si>
  <si>
    <t>Q9UBB9_TFIP11</t>
  </si>
  <si>
    <t>Q9UBC2-2_EPS15L1</t>
  </si>
  <si>
    <t>Q9UBC2-4_EPS15L1</t>
  </si>
  <si>
    <t>Q9UBD5_ORC3</t>
  </si>
  <si>
    <t>Q9UBE0_SAE1</t>
  </si>
  <si>
    <t>Q9UBF2_COPG2</t>
  </si>
  <si>
    <t>Q9UBF6_RNF7</t>
  </si>
  <si>
    <t>Q9UBF8-2_PI4KB</t>
  </si>
  <si>
    <t>Q9UBK8-2_MTRR</t>
  </si>
  <si>
    <t>Q9UBL3-3_ASH2L</t>
  </si>
  <si>
    <t>Q9UBM7_DHCR7</t>
  </si>
  <si>
    <t>Q9UBN6_TNFRSF10D</t>
  </si>
  <si>
    <t>Q9UBP0-3_SPAST</t>
  </si>
  <si>
    <t>Q9UBP6_METTL1</t>
  </si>
  <si>
    <t>Q9UBQ0_VPS29</t>
  </si>
  <si>
    <t>Q9UBQ7_GRHPR</t>
  </si>
  <si>
    <t>Q9UBR2_CTSZ</t>
  </si>
  <si>
    <t>Q9UBS0_RPS6KB2</t>
  </si>
  <si>
    <t>Q9UBS4_DNAJB11</t>
  </si>
  <si>
    <t>Q9UBS8_RNF14</t>
  </si>
  <si>
    <t>Q9UBS9_SUCO</t>
  </si>
  <si>
    <t>Q9UBT2_UBA2</t>
  </si>
  <si>
    <t>Q9UBU6_FAM8A1</t>
  </si>
  <si>
    <t>Q9UBU9_NXF1</t>
  </si>
  <si>
    <t>Q9UBV2_SEL1L</t>
  </si>
  <si>
    <t>Q9UBV8_PEF1</t>
  </si>
  <si>
    <t>Q9UBW7_ZMYM2</t>
  </si>
  <si>
    <t>Q9UBW8_COPS7A</t>
  </si>
  <si>
    <t>Q9UBX3_SLC25A10</t>
  </si>
  <si>
    <t>Q9UD71_PPP1R1B</t>
  </si>
  <si>
    <t>Q9UDW1_UQCR10</t>
  </si>
  <si>
    <t>Q9UDX5_MTFP1</t>
  </si>
  <si>
    <t>Q9UDY2-3_TJP2</t>
  </si>
  <si>
    <t>Q9UDY4_DNAJB4</t>
  </si>
  <si>
    <t>Q9UDY8_MALT1</t>
  </si>
  <si>
    <t>Q9UEE9_CFDP1</t>
  </si>
  <si>
    <t>Q9UEG4_ZNF629</t>
  </si>
  <si>
    <t>Q9UEL6_MPZL1</t>
  </si>
  <si>
    <t>Q9UER7-3_DAXX</t>
  </si>
  <si>
    <t>Q9UET6-2_FTSJ1</t>
  </si>
  <si>
    <t>Q9UEU0_VTI1B</t>
  </si>
  <si>
    <t>Q9UEW8_STK39</t>
  </si>
  <si>
    <t>Q9UEY8-2_ADD3</t>
  </si>
  <si>
    <t>Q9UFC0_LRWD1</t>
  </si>
  <si>
    <t>Q9UFG5_C19orf25</t>
  </si>
  <si>
    <t>Q9UFN0_NIPSNAP3A</t>
  </si>
  <si>
    <t>Q9UFW8_CGGBP1</t>
  </si>
  <si>
    <t>Q9UG56-2_PISD</t>
  </si>
  <si>
    <t>Q9UG63_ABCF2</t>
  </si>
  <si>
    <t>Q9UGC7_MTRF1L</t>
  </si>
  <si>
    <t>Q9UGI8_TES</t>
  </si>
  <si>
    <t>Q9UGJ1-2_TUBGCP4</t>
  </si>
  <si>
    <t>Q9UGK3_STAP2</t>
  </si>
  <si>
    <t>Q9UGK8_SERGEF</t>
  </si>
  <si>
    <t>Q9UGM6_WARS2</t>
  </si>
  <si>
    <t>Q9UGP4_LIMD1</t>
  </si>
  <si>
    <t>Q9UGP8_SEC63</t>
  </si>
  <si>
    <t>Q9UGQ2-2_CACFD1</t>
  </si>
  <si>
    <t>Q9UGQ3-2_SLC2A6</t>
  </si>
  <si>
    <t>Q9UGR2-2_ZC3H7B</t>
  </si>
  <si>
    <t>Q9UGU0-2_TCF20</t>
  </si>
  <si>
    <t>Q9UGU5_HMGXB4</t>
  </si>
  <si>
    <t>Q9UGV2_NDRG3</t>
  </si>
  <si>
    <t>Q9UH62_ARMCX3</t>
  </si>
  <si>
    <t>Q9UH65_SWAP70</t>
  </si>
  <si>
    <t>Q9UHA4_LAMTOR3</t>
  </si>
  <si>
    <t>Q9UHB6_LIMA1</t>
  </si>
  <si>
    <t>Q9UHB7_AFF4</t>
  </si>
  <si>
    <t>Q9UHB9_SRP68</t>
  </si>
  <si>
    <t>Q9UHD1_CHORDC1</t>
  </si>
  <si>
    <t>Q9UHD2_TBK1</t>
  </si>
  <si>
    <t>Q9UHD8_SEPT9</t>
  </si>
  <si>
    <t>Q9UHD9_UBQLN2</t>
  </si>
  <si>
    <t>Q9UHE8_STEAP1</t>
  </si>
  <si>
    <t>Q9UHF7_TRPS1</t>
  </si>
  <si>
    <t>Q9UHG3_PCYOX1</t>
  </si>
  <si>
    <t>Q9UHI6_DDX20</t>
  </si>
  <si>
    <t>Q9UHJ6_SHPK</t>
  </si>
  <si>
    <t>Q9UHK6_AMACR</t>
  </si>
  <si>
    <t>Q9UHL4_DPP7</t>
  </si>
  <si>
    <t>Q9UHN1_POLG2</t>
  </si>
  <si>
    <t>Q9UHN6_TMEM2</t>
  </si>
  <si>
    <t>Q9UHP3_USP25</t>
  </si>
  <si>
    <t>Q9UHQ4_BCAP29</t>
  </si>
  <si>
    <t>Q9UHQ9_CYB5R1</t>
  </si>
  <si>
    <t>Q9UHR4_BAIAP2L1</t>
  </si>
  <si>
    <t>Q9UHV7_MED13</t>
  </si>
  <si>
    <t>Q9UHV9_PFDN2</t>
  </si>
  <si>
    <t>Q9UHW5_GPN3</t>
  </si>
  <si>
    <t>Q9UHX1-4_PUF60</t>
  </si>
  <si>
    <t>Q9UHX3-4_EMR2</t>
  </si>
  <si>
    <t>Q9UHY1_NRBP1</t>
  </si>
  <si>
    <t>Q9UHY7_ENOPH1</t>
  </si>
  <si>
    <t>Q9UI09_NDUFA12</t>
  </si>
  <si>
    <t>Q9UI10_EIF2B4</t>
  </si>
  <si>
    <t>Q9UI12-2_ATP6V1H</t>
  </si>
  <si>
    <t>Q9UI15_TAGLN3</t>
  </si>
  <si>
    <t>Q9UI26_IPO11</t>
  </si>
  <si>
    <t>Q9UI30_TRMT112</t>
  </si>
  <si>
    <t>Q9UI32_GLS2</t>
  </si>
  <si>
    <t>Q9UI36-2_DACH1</t>
  </si>
  <si>
    <t>Q9UI43_FTSJ2</t>
  </si>
  <si>
    <t>Q9UIC8_LCMT1</t>
  </si>
  <si>
    <t>Q9UID3_VPS51</t>
  </si>
  <si>
    <t>Q9UII2_ATPIF1</t>
  </si>
  <si>
    <t>Q9UIJ7_AK3</t>
  </si>
  <si>
    <t>Q9UIK4_DAPK2</t>
  </si>
  <si>
    <t>Q9UIL1-3_SCOC</t>
  </si>
  <si>
    <t>Q9UIM3_FKBPL</t>
  </si>
  <si>
    <t>Q9UIQ6-3_LNPEP</t>
  </si>
  <si>
    <t>Q9UIU6_SIX4</t>
  </si>
  <si>
    <t>Q9UJ14_GGT7</t>
  </si>
  <si>
    <t>Q9UJ68-2_MSRA</t>
  </si>
  <si>
    <t>Q9UJA2-2_CRLS1</t>
  </si>
  <si>
    <t>Q9UJA5_TRMT6</t>
  </si>
  <si>
    <t>Q9UJC5_SH3BGRL2</t>
  </si>
  <si>
    <t>Q9UJJ2_ZNF280C</t>
  </si>
  <si>
    <t>Q9UJK0_TSR3</t>
  </si>
  <si>
    <t>Q9UJS0_SLC25A13</t>
  </si>
  <si>
    <t>Q9UJU6_DBNL</t>
  </si>
  <si>
    <t>Q9UJU6-2_DBNL</t>
  </si>
  <si>
    <t>Q9UJU6-3_DBNL</t>
  </si>
  <si>
    <t>Q9UJW0_DCTN4</t>
  </si>
  <si>
    <t>Q9UJX3-2_ANAPC7</t>
  </si>
  <si>
    <t>Q9UJX5-2_ANAPC4</t>
  </si>
  <si>
    <t>Q9UJX6-2_ANAPC2</t>
  </si>
  <si>
    <t>Q9UJY4_GGA2</t>
  </si>
  <si>
    <t>Q9UJY5-4_GGA1</t>
  </si>
  <si>
    <t>Q9UJZ1_STOML2</t>
  </si>
  <si>
    <t>Q9UK22_FBXO2</t>
  </si>
  <si>
    <t>Q9UK23_NAGPA</t>
  </si>
  <si>
    <t>Q9UK32_RPS6KA6</t>
  </si>
  <si>
    <t>Q9UK41_VPS28</t>
  </si>
  <si>
    <t>Q9UK45_LSM7</t>
  </si>
  <si>
    <t>Q9UK53-2_ING1</t>
  </si>
  <si>
    <t>Q9UK59_DBR1</t>
  </si>
  <si>
    <t>Q9UK76_HN1</t>
  </si>
  <si>
    <t>Q9UK97-3_FBXO9</t>
  </si>
  <si>
    <t>Q9UKA2_FBXL4</t>
  </si>
  <si>
    <t>Q9UKA4_AKAP11</t>
  </si>
  <si>
    <t>Q9UKB3_DNAJC12</t>
  </si>
  <si>
    <t>Q9UKB5_AJAP1</t>
  </si>
  <si>
    <t>Q9UKD2_MRTO4</t>
  </si>
  <si>
    <t>Q9UKF6_CPSF3</t>
  </si>
  <si>
    <t>Q9UKG1_APPL1</t>
  </si>
  <si>
    <t>Q9UKI8-5_TLK1</t>
  </si>
  <si>
    <t>Q9UKJ3_GPATCH8</t>
  </si>
  <si>
    <t>Q9UKK9_NUDT5</t>
  </si>
  <si>
    <t>Q9UKL3_CASP8AP2</t>
  </si>
  <si>
    <t>Q9UKL6_PCTP</t>
  </si>
  <si>
    <t>Q9UKM7_MAN1B1</t>
  </si>
  <si>
    <t>Q9UKN8_GTF3C4</t>
  </si>
  <si>
    <t>Q9UKQ2-2_ADAM28</t>
  </si>
  <si>
    <t>Q9UKR5_C14orf1</t>
  </si>
  <si>
    <t>Q9UKS6_PACSIN3</t>
  </si>
  <si>
    <t>Q9UKT5_FBXO4</t>
  </si>
  <si>
    <t>Q9UKU7_ACAD8</t>
  </si>
  <si>
    <t>Q9UKV8_AGO2</t>
  </si>
  <si>
    <t>Q9UKX7-2_NUP50</t>
  </si>
  <si>
    <t>Q9UKY7_CDV3</t>
  </si>
  <si>
    <t>Q9UKZ1_CNOT11</t>
  </si>
  <si>
    <t>Q9UL15_BAG5</t>
  </si>
  <si>
    <t>Q9UL18_AGO1</t>
  </si>
  <si>
    <t>Q9UL25_RAB21</t>
  </si>
  <si>
    <t>Q9UL26_RAB22A</t>
  </si>
  <si>
    <t>Q9UL42_PNMA2</t>
  </si>
  <si>
    <t>Q9UL46_PSME2</t>
  </si>
  <si>
    <t>Q9UL52_TMPRSS11E</t>
  </si>
  <si>
    <t>Q9UL54-2_TAOK2</t>
  </si>
  <si>
    <t>Q9ULC3_RAB23</t>
  </si>
  <si>
    <t>Q9ULC4_MCTS1</t>
  </si>
  <si>
    <t>Q9ULC5_ACSL5</t>
  </si>
  <si>
    <t>Q9ULD9_ZNF608</t>
  </si>
  <si>
    <t>Q9ULE6_PALD1</t>
  </si>
  <si>
    <t>Q9ULF5_SLC39A10</t>
  </si>
  <si>
    <t>Q9ULH0-2_KIDINS220</t>
  </si>
  <si>
    <t>Q9ULH7-4_MKL2</t>
  </si>
  <si>
    <t>Q9ULJ6_ZMIZ1</t>
  </si>
  <si>
    <t>Q9ULJ8_PPP1R9A</t>
  </si>
  <si>
    <t>Q9ULL5-3_PRR12</t>
  </si>
  <si>
    <t>Q9ULP9-2_TBC1D24</t>
  </si>
  <si>
    <t>Q9ULR0_ISY1</t>
  </si>
  <si>
    <t>Q9ULR3_PPM1H</t>
  </si>
  <si>
    <t>Q9ULV4_CORO1C</t>
  </si>
  <si>
    <t>Q9ULW0_TPX2</t>
  </si>
  <si>
    <t>Q9ULX3_NOB1</t>
  </si>
  <si>
    <t>Q9ULX6_AKAP8L</t>
  </si>
  <si>
    <t>Q9ULX7_CA14</t>
  </si>
  <si>
    <t>Q9ULX9_MAFF</t>
  </si>
  <si>
    <t>Q9ULZ3-2_PYCARD</t>
  </si>
  <si>
    <t>Q9UM54-5_MYO6</t>
  </si>
  <si>
    <t>Q9UMR2_DDX19B</t>
  </si>
  <si>
    <t>Q9UMS0-3_NFU1</t>
  </si>
  <si>
    <t>Q9UMS4_PRPF19</t>
  </si>
  <si>
    <t>Q9UMX0_UBQLN1</t>
  </si>
  <si>
    <t>Q9UMX0-2_UBQLN1</t>
  </si>
  <si>
    <t>Q9UMX5_NENF</t>
  </si>
  <si>
    <t>Q9UMY1_NOL7</t>
  </si>
  <si>
    <t>Q9UMY4-2_SNX12</t>
  </si>
  <si>
    <t>Q9UMZ2-6_SYNRG</t>
  </si>
  <si>
    <t>Q9UN37_VPS4A</t>
  </si>
  <si>
    <t>Q9UN79_SOX13</t>
  </si>
  <si>
    <t>Q9UN86-2_G3BP2</t>
  </si>
  <si>
    <t>Q9UNE7_STUB1</t>
  </si>
  <si>
    <t>Q9UNF0-2_PACSIN2</t>
  </si>
  <si>
    <t>Q9UNF1_MAGED2</t>
  </si>
  <si>
    <t>Q9UNH7_SNX6</t>
  </si>
  <si>
    <t>Q9UNI6_DUSP12</t>
  </si>
  <si>
    <t>Q9UNK0_STX8</t>
  </si>
  <si>
    <t>Q9UNK9_ANGEL1</t>
  </si>
  <si>
    <t>Q9UNM6_PSMD13</t>
  </si>
  <si>
    <t>Q9UNN5_FAF1</t>
  </si>
  <si>
    <t>Q9UNP9_PPIE</t>
  </si>
  <si>
    <t>Q9UNS1-2_TIMELESS</t>
  </si>
  <si>
    <t>Q9UNS2_COPS3</t>
  </si>
  <si>
    <t>Q9UNW1_MINPP1</t>
  </si>
  <si>
    <t>Q9UNX4_WDR3</t>
  </si>
  <si>
    <t>Q9UNY4_TTF2</t>
  </si>
  <si>
    <t>Q9UNZ5_C19orf53</t>
  </si>
  <si>
    <t>Q9UP83-3_COG5</t>
  </si>
  <si>
    <t>Q9UP95-5_SLC12A4</t>
  </si>
  <si>
    <t>Q9UPN6_SCAF8</t>
  </si>
  <si>
    <t>Q9UPN7_PPP6R1</t>
  </si>
  <si>
    <t>Q9UPN9-2_TRIM33</t>
  </si>
  <si>
    <t>Q9UPP1-4_PHF8</t>
  </si>
  <si>
    <t>Q9UPQ9-1_TNRC6B</t>
  </si>
  <si>
    <t>Q9UPR3_SMG5</t>
  </si>
  <si>
    <t>Q9UPT5-1_EXOC7</t>
  </si>
  <si>
    <t>Q9UPT8_ZC3H4</t>
  </si>
  <si>
    <t>Q9UPT9-2_USP22</t>
  </si>
  <si>
    <t>Q9UPU5_USP24</t>
  </si>
  <si>
    <t>Q9UPW5_AGTPBP1</t>
  </si>
  <si>
    <t>Q9UPY3_DICER1</t>
  </si>
  <si>
    <t>Q9UPY5_SLC7A11</t>
  </si>
  <si>
    <t>Q9UPY8-2_MAPRE3</t>
  </si>
  <si>
    <t>Q9UQ13-2_SHOC2</t>
  </si>
  <si>
    <t>Q9UQ35_SRRM2</t>
  </si>
  <si>
    <t>Q9UQ53-2_MGAT4B</t>
  </si>
  <si>
    <t>Q9UQ80_PA2G4</t>
  </si>
  <si>
    <t>Q9UQ90_SPG7</t>
  </si>
  <si>
    <t>Q9UQB8-5_BAIAP2</t>
  </si>
  <si>
    <t>Q9UQB8-6_BAIAP2</t>
  </si>
  <si>
    <t>Q9UQC2-2_GAB2</t>
  </si>
  <si>
    <t>Q9UQE7_SMC3</t>
  </si>
  <si>
    <t>Q9UQL6_HDAC5</t>
  </si>
  <si>
    <t>Q9UQN3_CHMP2B</t>
  </si>
  <si>
    <t>Q9Y217_MTMR6</t>
  </si>
  <si>
    <t>Q9Y219_JAG2</t>
  </si>
  <si>
    <t>Q9Y221-2_NIP7</t>
  </si>
  <si>
    <t>Q9Y223_GNE</t>
  </si>
  <si>
    <t>Q9Y224_C14orf166</t>
  </si>
  <si>
    <t>Q9Y230_RUVBL2</t>
  </si>
  <si>
    <t>Q9Y232-2_CDYL</t>
  </si>
  <si>
    <t>Q9Y234_LIPT1</t>
  </si>
  <si>
    <t>Q9Y235_APOBEC2</t>
  </si>
  <si>
    <t>Q9Y237_PIN4</t>
  </si>
  <si>
    <t>Q9Y241_HIGD1A</t>
  </si>
  <si>
    <t>Q9Y242_TCF19</t>
  </si>
  <si>
    <t>Q9Y243-2_AKT3</t>
  </si>
  <si>
    <t>Q9Y244_POMP</t>
  </si>
  <si>
    <t>Q9Y247_FAM50B</t>
  </si>
  <si>
    <t>Q9Y248_GINS2</t>
  </si>
  <si>
    <t>Q9Y259_CHKB</t>
  </si>
  <si>
    <t>Q9Y263_PLAA</t>
  </si>
  <si>
    <t>Q9Y265_RUVBL1</t>
  </si>
  <si>
    <t>Q9Y266_NUDC</t>
  </si>
  <si>
    <t>Q9Y276_BCS1L</t>
  </si>
  <si>
    <t>Q9Y277_VDAC3</t>
  </si>
  <si>
    <t>Q9Y281_CFL2</t>
  </si>
  <si>
    <t>Q9Y294_ASF1A</t>
  </si>
  <si>
    <t>Q9Y295_DRG1</t>
  </si>
  <si>
    <t>Q9Y296_TRAPPC4</t>
  </si>
  <si>
    <t>Q9Y2A7_NCKAP1</t>
  </si>
  <si>
    <t>Q9Y2A9_B3GNT3</t>
  </si>
  <si>
    <t>Q9Y2B0_CNPY2</t>
  </si>
  <si>
    <t>Q9Y2C4_EXOG</t>
  </si>
  <si>
    <t>Q9Y2D4_EXOC6B</t>
  </si>
  <si>
    <t>Q9Y2D5_AKAP2</t>
  </si>
  <si>
    <t>Q9Y2G5_POFUT2</t>
  </si>
  <si>
    <t>Q9Y2H0-3_DLGAP4</t>
  </si>
  <si>
    <t>Q9Y2H1_STK38L</t>
  </si>
  <si>
    <t>Q9Y2H6-2_FNDC3A</t>
  </si>
  <si>
    <t>Q9Y2I1_NISCH</t>
  </si>
  <si>
    <t>Q9Y2I8_WDR37</t>
  </si>
  <si>
    <t>Q9Y2I9_TBC1D30</t>
  </si>
  <si>
    <t>Q9Y2K6_USP20</t>
  </si>
  <si>
    <t>Q9Y2K7_KDM2A</t>
  </si>
  <si>
    <t>Q9Y2L1_DIS3</t>
  </si>
  <si>
    <t>Q9Y2Q0-3_ATP8A1</t>
  </si>
  <si>
    <t>Q9Y2Q3_GSTK1</t>
  </si>
  <si>
    <t>Q9Y2Q5_LAMTOR2</t>
  </si>
  <si>
    <t>Q9Y2Q9_MRPS28</t>
  </si>
  <si>
    <t>Q9Y2R0_COA3</t>
  </si>
  <si>
    <t>Q9Y2R4_DDX52</t>
  </si>
  <si>
    <t>Q9Y2S0_POLR1D</t>
  </si>
  <si>
    <t>Q9Y2S0-2_POLR1D</t>
  </si>
  <si>
    <t>Q9Y2S2-2_CRYL1</t>
  </si>
  <si>
    <t>Q9Y2S6_TMA7</t>
  </si>
  <si>
    <t>Q9Y2S7_POLDIP2</t>
  </si>
  <si>
    <t>Q9Y2T2_AP3M1</t>
  </si>
  <si>
    <t>Q9Y2U8_LEMD3</t>
  </si>
  <si>
    <t>Q9Y2V2_CARHSP1</t>
  </si>
  <si>
    <t>Q9Y2V7-2_COG6</t>
  </si>
  <si>
    <t>Q9Y2W1_THRAP3</t>
  </si>
  <si>
    <t>Q9Y2X3_NOP58</t>
  </si>
  <si>
    <t>Q9Y2X7-3_GIT1</t>
  </si>
  <si>
    <t>Q9Y2Y1_POLR3K</t>
  </si>
  <si>
    <t>Q9Y2Z0-2_SUGT1</t>
  </si>
  <si>
    <t>Q9Y2Z2-4_MTO1</t>
  </si>
  <si>
    <t>Q9Y2Z4_YARS2</t>
  </si>
  <si>
    <t>Q9Y2Z9-3_COQ6</t>
  </si>
  <si>
    <t>Q9Y303_AMDHD2</t>
  </si>
  <si>
    <t>Q9Y305_ACOT9</t>
  </si>
  <si>
    <t>Q9Y314_NOSIP</t>
  </si>
  <si>
    <t>Q9Y315_DERA</t>
  </si>
  <si>
    <t>Q9Y316_MEMO1</t>
  </si>
  <si>
    <t>Q9Y320-2_TMX2</t>
  </si>
  <si>
    <t>Q9Y333_LSM2</t>
  </si>
  <si>
    <t>Q9Y371_SH3GLB1</t>
  </si>
  <si>
    <t>Q9Y375_NDUFAF1</t>
  </si>
  <si>
    <t>Q9Y376_CAB39</t>
  </si>
  <si>
    <t>Q9Y383_LUC7L2</t>
  </si>
  <si>
    <t>Q9Y385_UBE2J1</t>
  </si>
  <si>
    <t>Q9Y388_RBMX2</t>
  </si>
  <si>
    <t>Q9Y394-2_DHRS7</t>
  </si>
  <si>
    <t>Q9Y399_MRPS2</t>
  </si>
  <si>
    <t>Q9Y3A0-2_COQ4</t>
  </si>
  <si>
    <t>Q9Y3A3-3_MOB4</t>
  </si>
  <si>
    <t>Q9Y3A5_SBDS</t>
  </si>
  <si>
    <t>Q9Y3A6_TMED5</t>
  </si>
  <si>
    <t>Q9Y3B1_SLMO2</t>
  </si>
  <si>
    <t>Q9Y3B2_EXOSC1</t>
  </si>
  <si>
    <t>Q9Y3B3_TMED7</t>
  </si>
  <si>
    <t>Q9Y3B4_SF3B14</t>
  </si>
  <si>
    <t>Q9Y3B9_RRP15</t>
  </si>
  <si>
    <t>Q9Y3C1_NOP16</t>
  </si>
  <si>
    <t>Q9Y3C4_TPRKB</t>
  </si>
  <si>
    <t>Q9Y3C6_PPIL1</t>
  </si>
  <si>
    <t>Q9Y3C8_UFC1</t>
  </si>
  <si>
    <t>Q9Y3D0_FAM96B</t>
  </si>
  <si>
    <t>Q9Y3D2_MSRB2</t>
  </si>
  <si>
    <t>Q9Y3D5_MRPS18C</t>
  </si>
  <si>
    <t>Q9Y3D6_FIS1</t>
  </si>
  <si>
    <t>Q9Y3D8_TAF9</t>
  </si>
  <si>
    <t>Q9Y3D9_MRPS23</t>
  </si>
  <si>
    <t>Q9Y3E2_BOLA1</t>
  </si>
  <si>
    <t>Q9Y3E7-4_CHMP3</t>
  </si>
  <si>
    <t>Q9Y3F4_STRAP</t>
  </si>
  <si>
    <t>Q9Y3I0_C22orf28</t>
  </si>
  <si>
    <t>Q9Y3I1_FBXO7</t>
  </si>
  <si>
    <t>Q9Y3L3_SH3BP1</t>
  </si>
  <si>
    <t>Q9Y3L5_RAP2C</t>
  </si>
  <si>
    <t>Q9Y3P8_SIT1</t>
  </si>
  <si>
    <t>Q9Y3P9_RABGAP1</t>
  </si>
  <si>
    <t>Q9Y3Q8_TSC22D4</t>
  </si>
  <si>
    <t>Q9Y3R5-2_DOPEY2</t>
  </si>
  <si>
    <t>Q9Y3S2_ZNF330</t>
  </si>
  <si>
    <t>Q9Y3T6_R3HCC1</t>
  </si>
  <si>
    <t>Q9Y3T9_NOC2L</t>
  </si>
  <si>
    <t>Q9Y3U8_RPL36</t>
  </si>
  <si>
    <t>Q9Y3X0_CCDC9</t>
  </si>
  <si>
    <t>Q9Y3Y2-4_CHTOP</t>
  </si>
  <si>
    <t>Q9Y3Z3_SAMHD1</t>
  </si>
  <si>
    <t>Q9Y421_FAM32A</t>
  </si>
  <si>
    <t>Q9Y446_PKP3</t>
  </si>
  <si>
    <t>Q9Y448-2_KNSTRN</t>
  </si>
  <si>
    <t>Q9Y450_HBS1L</t>
  </si>
  <si>
    <t>Q9Y478_PRKAB1</t>
  </si>
  <si>
    <t>Q9Y487_ATP6V0A2</t>
  </si>
  <si>
    <t>Q9Y490_TLN1</t>
  </si>
  <si>
    <t>Q9Y4B6_VPRBP</t>
  </si>
  <si>
    <t>Q9Y4C1_KDM3A</t>
  </si>
  <si>
    <t>Q9Y4D1-2_DAAM1</t>
  </si>
  <si>
    <t>Q9Y4D7-2_PLXND1</t>
  </si>
  <si>
    <t>Q9Y4E1-2_FAM21C</t>
  </si>
  <si>
    <t>Q9Y4E8_USP15</t>
  </si>
  <si>
    <t>Q9Y4H2_IRS2</t>
  </si>
  <si>
    <t>Q9Y4I5-3_MTL5</t>
  </si>
  <si>
    <t>Q9Y4K1_AIM1</t>
  </si>
  <si>
    <t>Q9Y4K4_MAP4K5</t>
  </si>
  <si>
    <t>Q9Y4L1_HYOU1</t>
  </si>
  <si>
    <t>Q9Y4P1-6_ATG4B</t>
  </si>
  <si>
    <t>Q9Y4P8-3_WIPI2</t>
  </si>
  <si>
    <t>Q9Y4R8_TELO2</t>
  </si>
  <si>
    <t>Q9Y4U1_MMACHC</t>
  </si>
  <si>
    <t>Q9Y4W6_AFG3L2</t>
  </si>
  <si>
    <t>Q9Y4X5_ARIH1</t>
  </si>
  <si>
    <t>Q9Y4Z0_LSM4</t>
  </si>
  <si>
    <t>Q9Y508_RNF114</t>
  </si>
  <si>
    <t>Q9Y512_SAMM50</t>
  </si>
  <si>
    <t>Q9Y520-7_PRRC2C</t>
  </si>
  <si>
    <t>Q9Y546_LRRC42</t>
  </si>
  <si>
    <t>Q9Y570_PPME1</t>
  </si>
  <si>
    <t>Q9Y584_TIMM22</t>
  </si>
  <si>
    <t>Q9Y597-2_KCTD3</t>
  </si>
  <si>
    <t>Q9Y5A9-2_YTHDF2</t>
  </si>
  <si>
    <t>Q9Y5B0_CTDP1</t>
  </si>
  <si>
    <t>Q9Y5B6_PAXBP1</t>
  </si>
  <si>
    <t>Q9Y5B8_NME7</t>
  </si>
  <si>
    <t>Q9Y5B9_SUPT16H</t>
  </si>
  <si>
    <t>Q9Y5J1_UTP18</t>
  </si>
  <si>
    <t>Q9Y5J6_TIMM10B</t>
  </si>
  <si>
    <t>Q9Y5J7_TIMM9</t>
  </si>
  <si>
    <t>Q9Y5K3-2_PCYT1B</t>
  </si>
  <si>
    <t>Q9Y5K5-2_UCHL5</t>
  </si>
  <si>
    <t>Q9Y5K6_CD2AP</t>
  </si>
  <si>
    <t>Q9Y5K8_ATP6V1D</t>
  </si>
  <si>
    <t>Q9Y5L0_TNPO3</t>
  </si>
  <si>
    <t>Q9Y5L3_ENTPD2</t>
  </si>
  <si>
    <t>Q9Y5L4_TIMM13</t>
  </si>
  <si>
    <t>Q9Y5M8_SRPRB</t>
  </si>
  <si>
    <t>Q9Y5P4-2_COL4A3BP</t>
  </si>
  <si>
    <t>Q9Y5P6_GMPPB</t>
  </si>
  <si>
    <t>Q9Y5Q8_GTF3C5</t>
  </si>
  <si>
    <t>Q9Y5Q9_GTF3C3</t>
  </si>
  <si>
    <t>Q9Y5R8_TRAPPC1</t>
  </si>
  <si>
    <t>Q9Y5S2_CDC42BPB</t>
  </si>
  <si>
    <t>Q9Y5S9_RBM8A</t>
  </si>
  <si>
    <t>Q9Y5T4_DNAJC15</t>
  </si>
  <si>
    <t>Q9Y5U2-2_TSSC4</t>
  </si>
  <si>
    <t>Q9Y5V0_ZNF706</t>
  </si>
  <si>
    <t>Q9Y5X1_SNX9</t>
  </si>
  <si>
    <t>Q9Y5X2_SNX8</t>
  </si>
  <si>
    <t>Q9Y5X3_SNX5</t>
  </si>
  <si>
    <t>Q9Y5Y0_FLVCR1</t>
  </si>
  <si>
    <t>Q9Y5Y2_NUBP2</t>
  </si>
  <si>
    <t>Q9Y5Y6_ST14</t>
  </si>
  <si>
    <t>Q9Y5Z0-3_BACE2</t>
  </si>
  <si>
    <t>Q9Y5Z4_HEBP2</t>
  </si>
  <si>
    <t>Q9Y5Z9-2_UBIAD1</t>
  </si>
  <si>
    <t>Q9Y605_MRFAP1</t>
  </si>
  <si>
    <t>Q9Y608_LRRFIP2</t>
  </si>
  <si>
    <t>Q9Y608-2_LRRFIP2</t>
  </si>
  <si>
    <t>Q9Y613_FHOD1</t>
  </si>
  <si>
    <t>Q9Y617_PSAT1</t>
  </si>
  <si>
    <t>Q9Y619_SLC25A15</t>
  </si>
  <si>
    <t>Q9Y620_RAD54B</t>
  </si>
  <si>
    <t>Q9Y639_NPTN</t>
  </si>
  <si>
    <t>Q9Y646_CPQ</t>
  </si>
  <si>
    <t>Q9Y657_SPIN1</t>
  </si>
  <si>
    <t>Q9Y666_SLC12A7</t>
  </si>
  <si>
    <t>Q9Y673_ALG5</t>
  </si>
  <si>
    <t>Q9Y676_MRPS18B</t>
  </si>
  <si>
    <t>Q9Y678_COPG1</t>
  </si>
  <si>
    <t>Q9Y679-2_AUP1</t>
  </si>
  <si>
    <t>Q9Y680-3_FKBP7</t>
  </si>
  <si>
    <t>Q9Y693_LHFP</t>
  </si>
  <si>
    <t>Q9Y696_CLIC4</t>
  </si>
  <si>
    <t>Q9Y697-2_NFS1</t>
  </si>
  <si>
    <t>Q9Y6A4_C16orf80</t>
  </si>
  <si>
    <t>Q9Y6A5_TACC3</t>
  </si>
  <si>
    <t>Q9Y6B6_SAR1B</t>
  </si>
  <si>
    <t>Q9Y6C9_MTCH2</t>
  </si>
  <si>
    <t>Q9Y6D5_ARFGEF2</t>
  </si>
  <si>
    <t>Q9Y6D6_ARFGEF1</t>
  </si>
  <si>
    <t>Q9Y6D9_MAD1L1</t>
  </si>
  <si>
    <t>Q9Y6E0-2_STK24</t>
  </si>
  <si>
    <t>Q9Y6G5_COMMD10</t>
  </si>
  <si>
    <t>Q9Y6G9_DYNC1LI1</t>
  </si>
  <si>
    <t>Q9Y6H1_CHCHD2</t>
  </si>
  <si>
    <t>Q9Y6I3_EPN1</t>
  </si>
  <si>
    <t>Q9Y6I9_TEX264</t>
  </si>
  <si>
    <t>Q9Y6K5_OAS3</t>
  </si>
  <si>
    <t>Q9Y6K9_IKBKG</t>
  </si>
  <si>
    <t>Q9Y6M4-4_CSNK1G3</t>
  </si>
  <si>
    <t>Q9Y6M5_SLC30A1</t>
  </si>
  <si>
    <t>Q9Y6M9_NDUFB9</t>
  </si>
  <si>
    <t>Q9Y6N1_COX11</t>
  </si>
  <si>
    <t>Q9Y6N5_SQRDL</t>
  </si>
  <si>
    <t>Q9Y6N7-4_ROBO1</t>
  </si>
  <si>
    <t>Q9Y6Q5_AP1M2</t>
  </si>
  <si>
    <t>Q9Y6Q9-2_NCOA3</t>
  </si>
  <si>
    <t>Q9Y6U3_SCIN</t>
  </si>
  <si>
    <t>Q9Y6V7_DDX49</t>
  </si>
  <si>
    <t>Q9Y6W3_CAPN7</t>
  </si>
  <si>
    <t>Q9Y6W5_WASF2</t>
  </si>
  <si>
    <t>Q9Y6X5_ENPP4</t>
  </si>
  <si>
    <t>Q9Y6X8_ZHX2</t>
  </si>
  <si>
    <t>Q9Y6X9_MORC2</t>
  </si>
  <si>
    <t>R4GMN1_MOSPD2</t>
  </si>
  <si>
    <t>R4GMR5_PSMD8</t>
  </si>
  <si>
    <t>R4GMU1_H6PD</t>
  </si>
  <si>
    <t>R4GMX3_BMI1</t>
  </si>
  <si>
    <t>R4GMX8_RANBP10</t>
  </si>
  <si>
    <t>R4GMZ0_PRSS56</t>
  </si>
  <si>
    <t>R4GN50_PTP4A2</t>
  </si>
  <si>
    <t>R4GN55_YTHDF3</t>
  </si>
  <si>
    <t>R4GN98_S100A6</t>
  </si>
  <si>
    <t>R4GNB2_DENND4C</t>
  </si>
  <si>
    <t>R4GND3_PHLDA1</t>
  </si>
  <si>
    <t>R4GND4_ACD</t>
  </si>
  <si>
    <t>R4GNH3_PSMC3</t>
  </si>
  <si>
    <t>Melting_Curves/meltCurve_A0AVT1_UBA6.pdf</t>
  </si>
  <si>
    <t>Melting_Curves/meltCurve_A0MZ66_KIAA1598.pdf</t>
  </si>
  <si>
    <t>Melting_Curves/meltCurve_A0PJW6_TMEM223.pdf</t>
  </si>
  <si>
    <t>Melting_Curves/meltCurve_A1A5A9_KIAA0999.pdf</t>
  </si>
  <si>
    <t>Melting_Curves/meltCurve_A1BQX2_MARVELD2.pdf</t>
  </si>
  <si>
    <t>Melting_Curves/meltCurve_A1L0T0_ILVBL.pdf</t>
  </si>
  <si>
    <t>Melting_Curves/meltCurve_A1L188_C17orf89.pdf</t>
  </si>
  <si>
    <t>Melting_Curves/meltCurve_A1X283_SH3PXD2B.pdf</t>
  </si>
  <si>
    <t>Melting_Curves/meltCurve_A2A274_ACO2.pdf</t>
  </si>
  <si>
    <t>Melting_Curves/meltCurve_A2A2F0_RALGAPB.pdf</t>
  </si>
  <si>
    <t>Melting_Curves/meltCurve_A2A2Q9_AAR2.pdf</t>
  </si>
  <si>
    <t>Melting_Curves/meltCurve_A2A2V1_PRNP.pdf</t>
  </si>
  <si>
    <t>Melting_Curves/meltCurve_A2A2V4_VEGFA.pdf</t>
  </si>
  <si>
    <t>Melting_Curves/meltCurve_A2A2Y4_5_FRMD3.pdf</t>
  </si>
  <si>
    <t>Melting_Curves/meltCurve_A2AEA2_HLA_C.pdf</t>
  </si>
  <si>
    <t>Melting_Curves/meltCurve_A2BF36_HLA_DQB1.pdf</t>
  </si>
  <si>
    <t>Melting_Curves/meltCurve_A2RRP1_NBAS.pdf</t>
  </si>
  <si>
    <t>Melting_Curves/meltCurve_A2RU67_KIAA1467.pdf</t>
  </si>
  <si>
    <t>Melting_Curves/meltCurve_A2RUC4_TYW5.pdf</t>
  </si>
  <si>
    <t>Melting_Curves/meltCurve_A3KN83_2_SBNO1.pdf</t>
  </si>
  <si>
    <t>Melting_Curves/meltCurve_A4D126_ISPD.pdf</t>
  </si>
  <si>
    <t>Melting_Curves/meltCurve_A4D161_2_FAM221A.pdf</t>
  </si>
  <si>
    <t>Melting_Curves/meltCurve_A4D1E9_GTPBP10.pdf</t>
  </si>
  <si>
    <t>Melting_Curves/meltCurve_A4D1S0_KLRG2.pdf</t>
  </si>
  <si>
    <t>Melting_Curves/meltCurve_A4D1U4_LCHN.pdf</t>
  </si>
  <si>
    <t>Melting_Curves/meltCurve_A4D212_DKFZP586J0619.pdf</t>
  </si>
  <si>
    <t>Melting_Curves/meltCurve_A4D2B0_MBLAC1.pdf</t>
  </si>
  <si>
    <t>Melting_Curves/meltCurve_A5PLL7_TMEM189.pdf</t>
  </si>
  <si>
    <t>Melting_Curves/meltCurve_A5YKK6_CNOT1.pdf</t>
  </si>
  <si>
    <t>Melting_Curves/meltCurve_A5YM69_ARHGEF35.pdf</t>
  </si>
  <si>
    <t>Melting_Curves/meltCurve_A6NC98_4_CCDC88B.pdf</t>
  </si>
  <si>
    <t>Melting_Curves/meltCurve_A6NCS9_SDCCAG8.pdf</t>
  </si>
  <si>
    <t>Melting_Curves/meltCurve_A6NDG6_PGP.pdf</t>
  </si>
  <si>
    <t>Melting_Curves/meltCurve_A6NDJ8_.pdf</t>
  </si>
  <si>
    <t>Melting_Curves/meltCurve_A6NDU8_C5orf51.pdf</t>
  </si>
  <si>
    <t>Melting_Curves/meltCurve_A6NED2_RCCD1.pdf</t>
  </si>
  <si>
    <t>Melting_Curves/meltCurve_A6NEM2_HCFC1.pdf</t>
  </si>
  <si>
    <t>Melting_Curves/meltCurve_A6NEM5_PIGK.pdf</t>
  </si>
  <si>
    <t>Melting_Curves/meltCurve_A6NEP9_TSPAN14.pdf</t>
  </si>
  <si>
    <t>Melting_Curves/meltCurve_A6NFI3_ZNF316.pdf</t>
  </si>
  <si>
    <t>Melting_Curves/meltCurve_A6NG32_CHMP1A.pdf</t>
  </si>
  <si>
    <t>Melting_Curves/meltCurve_A6NG79_PRCC.pdf</t>
  </si>
  <si>
    <t>Melting_Curves/meltCurve_A6NGJ0_DYNLT3.pdf</t>
  </si>
  <si>
    <t>Melting_Curves/meltCurve_A6NHB5_ZMYM3.pdf</t>
  </si>
  <si>
    <t>Melting_Curves/meltCurve_A6NHK2_SNRPE.pdf</t>
  </si>
  <si>
    <t>Melting_Curves/meltCurve_A6NHL2_2_TUBAL3.pdf</t>
  </si>
  <si>
    <t>Melting_Curves/meltCurve_A6NHR9_SMCHD1.pdf</t>
  </si>
  <si>
    <t>Melting_Curves/meltCurve_A6NIH7_UNC119B.pdf</t>
  </si>
  <si>
    <t>Melting_Curves/meltCurve_A6NIZ0_NDEL1.pdf</t>
  </si>
  <si>
    <t>Melting_Curves/meltCurve_A6NJ78_METTL15.pdf</t>
  </si>
  <si>
    <t>Melting_Curves/meltCurve_A6NJ97_C13orf23.pdf</t>
  </si>
  <si>
    <t>Melting_Curves/meltCurve_A6NK58_LIPT2.pdf</t>
  </si>
  <si>
    <t>Melting_Curves/meltCurve_A6NK88_CDKN1C.pdf</t>
  </si>
  <si>
    <t>Melting_Curves/meltCurve_A6NKD9_CCDC85C.pdf</t>
  </si>
  <si>
    <t>Melting_Curves/meltCurve_A6NKF9_GPR89C.pdf</t>
  </si>
  <si>
    <t>Melting_Curves/meltCurve_A6NMH6_SEPT8.pdf</t>
  </si>
  <si>
    <t>Melting_Curves/meltCurve_A6NML8_DIAPH2.pdf</t>
  </si>
  <si>
    <t>Melting_Curves/meltCurve_A6NMQ1_POLA1.pdf</t>
  </si>
  <si>
    <t>Melting_Curves/meltCurve_A6NNI4_CD9.pdf</t>
  </si>
  <si>
    <t>Melting_Curves/meltCurve_A6PVM9_AIF1L.pdf</t>
  </si>
  <si>
    <t>Melting_Curves/meltCurve_A6PW57_PIP5K1A.pdf</t>
  </si>
  <si>
    <t>Melting_Curves/meltCurve_A7KAX9_ARHGAP32.pdf</t>
  </si>
  <si>
    <t>Melting_Curves/meltCurve_A7XYQ1_SOBP.pdf</t>
  </si>
  <si>
    <t>Melting_Curves/meltCurve_A8K0B5_ZBTB8OS.pdf</t>
  </si>
  <si>
    <t>Melting_Curves/meltCurve_A8K0M9_SELK.pdf</t>
  </si>
  <si>
    <t>Melting_Curves/meltCurve_A8K7Q2_HSPA8.pdf</t>
  </si>
  <si>
    <t>Melting_Curves/meltCurve_A8MPS7_YDJC.pdf</t>
  </si>
  <si>
    <t>Melting_Curves/meltCurve_A8MQ02_MLLT4.pdf</t>
  </si>
  <si>
    <t>Melting_Curves/meltCurve_A8MSH5_RTFDC1.pdf</t>
  </si>
  <si>
    <t>Melting_Curves/meltCurve_A8MT72_RTN1.pdf</t>
  </si>
  <si>
    <t>Melting_Curves/meltCurve_A8MTF8_FAM3B.pdf</t>
  </si>
  <si>
    <t>Melting_Curves/meltCurve_A8MTG8_ARMC8.pdf</t>
  </si>
  <si>
    <t>Melting_Curves/meltCurve_A8MTT3_hCG_1988162.pdf</t>
  </si>
  <si>
    <t>Melting_Curves/meltCurve_A8MTY9_DSCR3.pdf</t>
  </si>
  <si>
    <t>Melting_Curves/meltCurve_A8MU21_TMEM147.pdf</t>
  </si>
  <si>
    <t>Melting_Curves/meltCurve_A8MU44_HOOK1.pdf</t>
  </si>
  <si>
    <t>Melting_Curves/meltCurve_A8MUA9_SUMO3.pdf</t>
  </si>
  <si>
    <t>Melting_Curves/meltCurve_A8MUB1_TUBA4A.pdf</t>
  </si>
  <si>
    <t>Melting_Curves/meltCurve_A8MVZ6_BICD1.pdf</t>
  </si>
  <si>
    <t>Melting_Curves/meltCurve_A8MW61_PLRG1.pdf</t>
  </si>
  <si>
    <t>Melting_Curves/meltCurve_A8MWH4_MT1F.pdf</t>
  </si>
  <si>
    <t>Melting_Curves/meltCurve_A8MWY0_KIAA1324L.pdf</t>
  </si>
  <si>
    <t>Melting_Curves/meltCurve_A8MX75_ERCC2.pdf</t>
  </si>
  <si>
    <t>Melting_Curves/meltCurve_A8MXN1_REEP6.pdf</t>
  </si>
  <si>
    <t>Melting_Curves/meltCurve_A8MXP9_MATR3.pdf</t>
  </si>
  <si>
    <t>Melting_Curves/meltCurve_A8MXQ1_PTTG1IP.pdf</t>
  </si>
  <si>
    <t>Melting_Curves/meltCurve_A8MXV4_NUDT19.pdf</t>
  </si>
  <si>
    <t>Melting_Curves/meltCurve_A8MYT4_PIK3C3.pdf</t>
  </si>
  <si>
    <t>Melting_Curves/meltCurve_A8MZ54_STX1A.pdf</t>
  </si>
  <si>
    <t>Melting_Curves/meltCurve_A8MZI9_RUNX1.pdf</t>
  </si>
  <si>
    <t>Melting_Curves/meltCurve_A9UHW6_MIF4GD.pdf</t>
  </si>
  <si>
    <t>Melting_Curves/meltCurve_A9Z1X7_SRRM1.pdf</t>
  </si>
  <si>
    <t>Melting_Curves/meltCurve_B0QY89_EIF3L.pdf</t>
  </si>
  <si>
    <t>Melting_Curves/meltCurve_B0QY95_SMCR7L.pdf</t>
  </si>
  <si>
    <t>Melting_Curves/meltCurve_B0QYI3_TBC1D22A.pdf</t>
  </si>
  <si>
    <t>Melting_Curves/meltCurve_B0QYK0_EWSR1.pdf</t>
  </si>
  <si>
    <t>Melting_Curves/meltCurve_B0QYS6_TFEB.pdf</t>
  </si>
  <si>
    <t>Melting_Curves/meltCurve_B0QYW5_SLC25A17.pdf</t>
  </si>
  <si>
    <t>Melting_Curves/meltCurve_B0UX83_BAG6.pdf</t>
  </si>
  <si>
    <t>Melting_Curves/meltCurve_B0UXB6_ABHD16A.pdf</t>
  </si>
  <si>
    <t>Melting_Curves/meltCurve_B0UY12_HLA_C.pdf</t>
  </si>
  <si>
    <t>Melting_Curves/meltCurve_B0UZY3_EHMT2.pdf</t>
  </si>
  <si>
    <t>Melting_Curves/meltCurve_B0V043_VARS.pdf</t>
  </si>
  <si>
    <t>Melting_Curves/meltCurve_B0V0T3_PSMB9.pdf</t>
  </si>
  <si>
    <t>Melting_Curves/meltCurve_B0YIW2_APOC3.pdf</t>
  </si>
  <si>
    <t>Melting_Curves/meltCurve_B0YJC4_VIM.pdf</t>
  </si>
  <si>
    <t>Melting_Curves/meltCurve_B1AH87_TSPO.pdf</t>
  </si>
  <si>
    <t>Melting_Curves/meltCurve_B1AHD1_NHP2L1.pdf</t>
  </si>
  <si>
    <t>Melting_Curves/meltCurve_B1AK13_HMGCL.pdf</t>
  </si>
  <si>
    <t>Melting_Curves/meltCurve_B1AK44_MAD2L2.pdf</t>
  </si>
  <si>
    <t>Melting_Curves/meltCurve_B1AK53_ESPN.pdf</t>
  </si>
  <si>
    <t>Melting_Curves/meltCurve_B1AKJ5_NRD1.pdf</t>
  </si>
  <si>
    <t>Melting_Curves/meltCurve_B1AKJ6_OSBPL9.pdf</t>
  </si>
  <si>
    <t>Melting_Curves/meltCurve_B1AKL4_EIF4ENIF1.pdf</t>
  </si>
  <si>
    <t>Melting_Curves/meltCurve_B1AKN6_NFIA.pdf</t>
  </si>
  <si>
    <t>Melting_Curves/meltCurve_B1AKY9_ATP1A2.pdf</t>
  </si>
  <si>
    <t>Melting_Curves/meltCurve_B1AL69_CDC37L1.pdf</t>
  </si>
  <si>
    <t>Melting_Curves/meltCurve_B1ALB4_SMG7.pdf</t>
  </si>
  <si>
    <t>Melting_Curves/meltCurve_B1ALH6_PHYH.pdf</t>
  </si>
  <si>
    <t>Melting_Curves/meltCurve_B1ALK7_ARHGEF7.pdf</t>
  </si>
  <si>
    <t>Melting_Curves/meltCurve_B1ALM5_TMEM9.pdf</t>
  </si>
  <si>
    <t>Melting_Curves/meltCurve_B1AMF0_UBE2J2.pdf</t>
  </si>
  <si>
    <t>Melting_Curves/meltCurve_B1AMS2_SEPT6.pdf</t>
  </si>
  <si>
    <t>Melting_Curves/meltCurve_B1AMW1_CD58.pdf</t>
  </si>
  <si>
    <t>Melting_Curves/meltCurve_B1AN89_EIF4G3.pdf</t>
  </si>
  <si>
    <t>Melting_Curves/meltCurve_B1AN99_PRSS3.pdf</t>
  </si>
  <si>
    <t>Melting_Curves/meltCurve_B1ANH0_GUK1.pdf</t>
  </si>
  <si>
    <t>Melting_Curves/meltCurve_B1AQP1_USF1.pdf</t>
  </si>
  <si>
    <t>Melting_Curves/meltCurve_B1AT46_GMEB1.pdf</t>
  </si>
  <si>
    <t>Melting_Curves/meltCurve_B1AVQ7_MUC1.pdf</t>
  </si>
  <si>
    <t>Melting_Curves/meltCurve_B1AVU8_PSAP.pdf</t>
  </si>
  <si>
    <t>Melting_Curves/meltCurve_B1AZV3_TAP1.pdf</t>
  </si>
  <si>
    <t>Melting_Curves/meltCurve_B2RCS5_ACTN2.pdf</t>
  </si>
  <si>
    <t>Melting_Curves/meltCurve_B3KPJ4_PHC2.pdf</t>
  </si>
  <si>
    <t>Melting_Curves/meltCurve_B3KS98_EIF3S3.pdf</t>
  </si>
  <si>
    <t>Melting_Curves/meltCurve_B3KSH1_EIF3F.pdf</t>
  </si>
  <si>
    <t>Melting_Curves/meltCurve_B3KSI9_LZTFL1.pdf</t>
  </si>
  <si>
    <t>Melting_Curves/meltCurve_B3KSJ7_DCLRE1C.pdf</t>
  </si>
  <si>
    <t>Melting_Curves/meltCurve_B3KUE5_PLTP.pdf</t>
  </si>
  <si>
    <t>Melting_Curves/meltCurve_B3KUK2_SOD2.pdf</t>
  </si>
  <si>
    <t>Melting_Curves/meltCurve_B3KV61_UXS1.pdf</t>
  </si>
  <si>
    <t>Melting_Curves/meltCurve_B3KVH8_PHF23.pdf</t>
  </si>
  <si>
    <t>Melting_Curves/meltCurve_B3KVZ3_CENPH.pdf</t>
  </si>
  <si>
    <t>Melting_Curves/meltCurve_B3KWW1_DDX58.pdf</t>
  </si>
  <si>
    <t>Melting_Curves/meltCurve_B3KXW5_AP1G1.pdf</t>
  </si>
  <si>
    <t>Melting_Curves/meltCurve_B3KXX3_SLC12A6.pdf</t>
  </si>
  <si>
    <t>Melting_Curves/meltCurve_B3KY94_CDIPT.pdf</t>
  </si>
  <si>
    <t>Melting_Curves/meltCurve_B3V0L1_ARL6IP4.pdf</t>
  </si>
  <si>
    <t>Melting_Curves/meltCurve_B4DDF4_CNN2.pdf</t>
  </si>
  <si>
    <t>Melting_Curves/meltCurve_B4DDS3_CLPTM1.pdf</t>
  </si>
  <si>
    <t>Melting_Curves/meltCurve_B4DDV3_SIRT6.pdf</t>
  </si>
  <si>
    <t>Melting_Curves/meltCurve_B4DDY8_HARS2.pdf</t>
  </si>
  <si>
    <t>Melting_Curves/meltCurve_B4DE11_SLC35A2.pdf</t>
  </si>
  <si>
    <t>Melting_Curves/meltCurve_B4DE60_REEP2.pdf</t>
  </si>
  <si>
    <t>Melting_Curves/meltCurve_B4DEX5_PRNPIP.pdf</t>
  </si>
  <si>
    <t>Melting_Curves/meltCurve_B4DFI9_HUS1.pdf</t>
  </si>
  <si>
    <t>Melting_Curves/meltCurve_B4DFQ4_COMMD1.pdf</t>
  </si>
  <si>
    <t>Melting_Curves/meltCurve_B4DFR2_DYNLRB1.pdf</t>
  </si>
  <si>
    <t>Melting_Curves/meltCurve_B4DGU4_CTNNB1.pdf</t>
  </si>
  <si>
    <t>Melting_Curves/meltCurve_B4DGX2_PIP4K2A.pdf</t>
  </si>
  <si>
    <t>Melting_Curves/meltCurve_B4DH53_MAP1S.pdf</t>
  </si>
  <si>
    <t>Melting_Curves/meltCurve_B4DHE8_MSI2.pdf</t>
  </si>
  <si>
    <t>Melting_Curves/meltCurve_B4DHL3_LRRC28.pdf</t>
  </si>
  <si>
    <t>Melting_Curves/meltCurve_B4DIG7_PIP5K1B.pdf</t>
  </si>
  <si>
    <t>Melting_Curves/meltCurve_B4DIP4_EIF2AK1.pdf</t>
  </si>
  <si>
    <t>Melting_Curves/meltCurve_B4DJA5_RAB5A.pdf</t>
  </si>
  <si>
    <t>Melting_Curves/meltCurve_B4DJC5_DHRS13.pdf</t>
  </si>
  <si>
    <t>Melting_Curves/meltCurve_B4DJP7_SNRPD3.pdf</t>
  </si>
  <si>
    <t>Melting_Curves/meltCurve_B4DJV2_CS.pdf</t>
  </si>
  <si>
    <t>Melting_Curves/meltCurve_B4DJV5_PWP1.pdf</t>
  </si>
  <si>
    <t>Melting_Curves/meltCurve_B4DK80_TOP3A.pdf</t>
  </si>
  <si>
    <t>Melting_Curves/meltCurve_B4DKF9_ZNF286A.pdf</t>
  </si>
  <si>
    <t>Melting_Curves/meltCurve_B4DKL4_LSR.pdf</t>
  </si>
  <si>
    <t>Melting_Curves/meltCurve_B4DL54_CHURC1_FNTB.pdf</t>
  </si>
  <si>
    <t>Melting_Curves/meltCurve_B4DLH2_C2orf18.pdf</t>
  </si>
  <si>
    <t>Melting_Curves/meltCurve_B4DLN1_SLC25A10.pdf</t>
  </si>
  <si>
    <t>Melting_Curves/meltCurve_B4DLR8_NQO1.pdf</t>
  </si>
  <si>
    <t>Melting_Curves/meltCurve_B4DLT4_RPS6KB1.pdf</t>
  </si>
  <si>
    <t>Melting_Curves/meltCurve_B4DLU3_PGS1.pdf</t>
  </si>
  <si>
    <t>Melting_Curves/meltCurve_B4DLZ9_RNF220.pdf</t>
  </si>
  <si>
    <t>Melting_Curves/meltCurve_B4DMU4_FAM45A.pdf</t>
  </si>
  <si>
    <t>Melting_Curves/meltCurve_B4DP21_PTGES3.pdf</t>
  </si>
  <si>
    <t>Melting_Curves/meltCurve_B4DPV4_SLC25A16.pdf</t>
  </si>
  <si>
    <t>Melting_Curves/meltCurve_B4DPY8_TOX4.pdf</t>
  </si>
  <si>
    <t>Melting_Curves/meltCurve_B4DQI6_TRA2A.pdf</t>
  </si>
  <si>
    <t>Melting_Curves/meltCurve_B4DQJ8_PGD.pdf</t>
  </si>
  <si>
    <t>Melting_Curves/meltCurve_B4DQL0_MTMR8.pdf</t>
  </si>
  <si>
    <t>Melting_Curves/meltCurve_B4DR52_HIST2H2BF.pdf</t>
  </si>
  <si>
    <t>Melting_Curves/meltCurve_B4DR61_SEC61A1.pdf</t>
  </si>
  <si>
    <t>Melting_Curves/meltCurve_B4DRL9_CHM.pdf</t>
  </si>
  <si>
    <t>Melting_Curves/meltCurve_B4DRN8_ZDHHC20.pdf</t>
  </si>
  <si>
    <t>Melting_Curves/meltCurve_B4DRS7_SH2D3A.pdf</t>
  </si>
  <si>
    <t>Melting_Curves/meltCurve_B4DSD4_C9orf41.pdf</t>
  </si>
  <si>
    <t>Melting_Curves/meltCurve_B4DSS8_PTBP2.pdf</t>
  </si>
  <si>
    <t>Melting_Curves/meltCurve_B4DT77_ANXA7.pdf</t>
  </si>
  <si>
    <t>Melting_Curves/meltCurve_B4DTA3_SLC25A46.pdf</t>
  </si>
  <si>
    <t>Melting_Curves/meltCurve_B4DTC3_HNRNPD.pdf</t>
  </si>
  <si>
    <t>Melting_Curves/meltCurve_B4DTZ6_SLC9A1.pdf</t>
  </si>
  <si>
    <t>Melting_Curves/meltCurve_B4DUB9_SLC35F2.pdf</t>
  </si>
  <si>
    <t>Melting_Curves/meltCurve_B4DUE3_MYLK.pdf</t>
  </si>
  <si>
    <t>Melting_Curves/meltCurve_B4DUE9_SERINC3.pdf</t>
  </si>
  <si>
    <t>Melting_Curves/meltCurve_B4DVE7_ANXA11.pdf</t>
  </si>
  <si>
    <t>Melting_Curves/meltCurve_B4DVY1_EIF3D.pdf</t>
  </si>
  <si>
    <t>Melting_Curves/meltCurve_B4DW83_NDUFAF6.pdf</t>
  </si>
  <si>
    <t>Melting_Curves/meltCurve_B4DWI1_HACL1.pdf</t>
  </si>
  <si>
    <t>Melting_Curves/meltCurve_B4DXN4_CNKSR1.pdf</t>
  </si>
  <si>
    <t>Melting_Curves/meltCurve_B4DXZ6_FXR1.pdf</t>
  </si>
  <si>
    <t>Melting_Curves/meltCurve_B4DYB4_NUP35.pdf</t>
  </si>
  <si>
    <t>Melting_Curves/meltCurve_B4DYR1_JAG1.pdf</t>
  </si>
  <si>
    <t>Melting_Curves/meltCurve_B4DYR7_SYPL2.pdf</t>
  </si>
  <si>
    <t>Melting_Curves/meltCurve_B4DZH6_HDAC6.pdf</t>
  </si>
  <si>
    <t>Melting_Curves/meltCurve_B4E0E3_TMEM134.pdf</t>
  </si>
  <si>
    <t>Melting_Curves/meltCurve_B4E0T2_PEX5.pdf</t>
  </si>
  <si>
    <t>Melting_Curves/meltCurve_B4E1J0_PBXIP1.pdf</t>
  </si>
  <si>
    <t>Melting_Curves/meltCurve_B4E1N1_ARMC6.pdf</t>
  </si>
  <si>
    <t>Melting_Curves/meltCurve_B4E1Q4_RIOK3.pdf</t>
  </si>
  <si>
    <t>Melting_Curves/meltCurve_B4E1S6_SDC4.pdf</t>
  </si>
  <si>
    <t>Melting_Curves/meltCurve_B4E1Y1_NET1.pdf</t>
  </si>
  <si>
    <t>Melting_Curves/meltCurve_B4E241_SFRS3.pdf</t>
  </si>
  <si>
    <t>Melting_Curves/meltCurve_B4E2S7_LAMP2.pdf</t>
  </si>
  <si>
    <t>Melting_Curves/meltCurve_B4E2W0_HADHB.pdf</t>
  </si>
  <si>
    <t>Melting_Curves/meltCurve_B4E2X3_METTL13.pdf</t>
  </si>
  <si>
    <t>Melting_Curves/meltCurve_B4E3L3_USP28.pdf</t>
  </si>
  <si>
    <t>Melting_Curves/meltCurve_B5MBW9_CHCHD10.pdf</t>
  </si>
  <si>
    <t>Melting_Curves/meltCurve_B5MBX0_CDCA5.pdf</t>
  </si>
  <si>
    <t>Melting_Curves/meltCurve_B5MBX2_TCN2.pdf</t>
  </si>
  <si>
    <t>Melting_Curves/meltCurve_B5MC02_STEAP2.pdf</t>
  </si>
  <si>
    <t>Melting_Curves/meltCurve_B5MC51_LIMK2.pdf</t>
  </si>
  <si>
    <t>Melting_Curves/meltCurve_B5MC53_MPV17.pdf</t>
  </si>
  <si>
    <t>Melting_Curves/meltCurve_B5MCA4_EPCAM.pdf</t>
  </si>
  <si>
    <t>Melting_Curves/meltCurve_B5MCF9_PES1.pdf</t>
  </si>
  <si>
    <t>Melting_Curves/meltCurve_B5MCT7_PPM1F.pdf</t>
  </si>
  <si>
    <t>Melting_Curves/meltCurve_B5MDE0_RFT1.pdf</t>
  </si>
  <si>
    <t>Melting_Curves/meltCurve_B5MDU6_C2orf43.pdf</t>
  </si>
  <si>
    <t>Melting_Curves/meltCurve_B5ME25_METTL8.pdf</t>
  </si>
  <si>
    <t>Melting_Curves/meltCurve_B5MEC7_PPP1R12C.pdf</t>
  </si>
  <si>
    <t>Melting_Curves/meltCurve_B7WP27_CWC22.pdf</t>
  </si>
  <si>
    <t>Melting_Curves/meltCurve_B7WPE2_EML3.pdf</t>
  </si>
  <si>
    <t>Melting_Curves/meltCurve_B7WPL0_RIC8B.pdf</t>
  </si>
  <si>
    <t>Melting_Curves/meltCurve_B7Z202_DTNB.pdf</t>
  </si>
  <si>
    <t>Melting_Curves/meltCurve_B7Z254_PDIA6.pdf</t>
  </si>
  <si>
    <t>Melting_Curves/meltCurve_B7Z291_MTMR9.pdf</t>
  </si>
  <si>
    <t>Melting_Curves/meltCurve_B7Z2Y5_RPS6KA5.pdf</t>
  </si>
  <si>
    <t>Melting_Curves/meltCurve_B7Z317_TSPAN5.pdf</t>
  </si>
  <si>
    <t>Melting_Curves/meltCurve_B7Z3D5_MTMR1.pdf</t>
  </si>
  <si>
    <t>Melting_Curves/meltCurve_B7Z3I9_ALAD.pdf</t>
  </si>
  <si>
    <t>Melting_Curves/meltCurve_B7Z463_NPEPPS.pdf</t>
  </si>
  <si>
    <t>Melting_Curves/meltCurve_B7Z493_FGD4.pdf</t>
  </si>
  <si>
    <t>Melting_Curves/meltCurve_B7Z4K6_DNASE2.pdf</t>
  </si>
  <si>
    <t>Melting_Curves/meltCurve_B7Z4R5_P2RX4.pdf</t>
  </si>
  <si>
    <t>Melting_Curves/meltCurve_B7Z4W5_CCBL1.pdf</t>
  </si>
  <si>
    <t>Melting_Curves/meltCurve_B7Z5W1_F11R.pdf</t>
  </si>
  <si>
    <t>Melting_Curves/meltCurve_B7Z662_SLC27A1.pdf</t>
  </si>
  <si>
    <t>Melting_Curves/meltCurve_B7Z683_ABR.pdf</t>
  </si>
  <si>
    <t>Melting_Curves/meltCurve_B7Z6B6_ZNF346.pdf</t>
  </si>
  <si>
    <t>Melting_Curves/meltCurve_B7Z6B8_DECR1.pdf</t>
  </si>
  <si>
    <t>Melting_Curves/meltCurve_B7Z6M4_TNFAIP1.pdf</t>
  </si>
  <si>
    <t>Melting_Curves/meltCurve_B7Z755_MLLT3.pdf</t>
  </si>
  <si>
    <t>Melting_Curves/meltCurve_B7Z7F3_RANBP3.pdf</t>
  </si>
  <si>
    <t>Melting_Curves/meltCurve_B7Z7H3_ZKSCAN4.pdf</t>
  </si>
  <si>
    <t>Melting_Curves/meltCurve_B7Z7J3_AMN1.pdf</t>
  </si>
  <si>
    <t>Melting_Curves/meltCurve_B7Z815_USP7.pdf</t>
  </si>
  <si>
    <t>Melting_Curves/meltCurve_B7Z817_DHCR24.pdf</t>
  </si>
  <si>
    <t>Melting_Curves/meltCurve_B7Z9I3_ATP6AP2.pdf</t>
  </si>
  <si>
    <t>Melting_Curves/meltCurve_B7Z9J4_CALB1.pdf</t>
  </si>
  <si>
    <t>Melting_Curves/meltCurve_B7Z9S8_ATP1B1.pdf</t>
  </si>
  <si>
    <t>Melting_Curves/meltCurve_B7ZAA0_PMS1.pdf</t>
  </si>
  <si>
    <t>Melting_Curves/meltCurve_B7ZAX5_GALK2.pdf</t>
  </si>
  <si>
    <t>Melting_Curves/meltCurve_B7ZBM3_FOXP4.pdf</t>
  </si>
  <si>
    <t>Melting_Curves/meltCurve_B7ZC38_SH3GLB2.pdf</t>
  </si>
  <si>
    <t>Melting_Curves/meltCurve_B7ZKK9_PPP2R5E.pdf</t>
  </si>
  <si>
    <t>Melting_Curves/meltCurve_B7ZKP8_UBXN2A.pdf</t>
  </si>
  <si>
    <t>Melting_Curves/meltCurve_B7ZKQ9_SCARB1.pdf</t>
  </si>
  <si>
    <t>Melting_Curves/meltCurve_B7ZL82_SMPD3.pdf</t>
  </si>
  <si>
    <t>Melting_Curves/meltCurve_B7ZL88_COX18.pdf</t>
  </si>
  <si>
    <t>Melting_Curves/meltCurve_B7ZLX3_CLASP1.pdf</t>
  </si>
  <si>
    <t>Melting_Curves/meltCurve_B7ZLZ2_EDEM3.pdf</t>
  </si>
  <si>
    <t>Melting_Curves/meltCurve_B8X2Z3_RLTPR.pdf</t>
  </si>
  <si>
    <t>Melting_Curves/meltCurve_B8ZZ99_CCDC115.pdf</t>
  </si>
  <si>
    <t>Melting_Curves/meltCurve_B8ZZC7_PIGQ.pdf</t>
  </si>
  <si>
    <t>Melting_Curves/meltCurve_B8ZZF8_LSM5.pdf</t>
  </si>
  <si>
    <t>Melting_Curves/meltCurve_B8ZZI5_STK16.pdf</t>
  </si>
  <si>
    <t>Melting_Curves/meltCurve_B8ZZN6_SUMO1.pdf</t>
  </si>
  <si>
    <t>Melting_Curves/meltCurve_B8ZZQ6_PTMA.pdf</t>
  </si>
  <si>
    <t>Melting_Curves/meltCurve_B8ZZS2_NAB1.pdf</t>
  </si>
  <si>
    <t>Melting_Curves/meltCurve_B8ZZU6_ATF2.pdf</t>
  </si>
  <si>
    <t>Melting_Curves/meltCurve_B8ZZV9_COQ10B.pdf</t>
  </si>
  <si>
    <t>Melting_Curves/meltCurve_B8ZZY2_AGFG1.pdf</t>
  </si>
  <si>
    <t>Melting_Curves/meltCurve_B9A018_USP39.pdf</t>
  </si>
  <si>
    <t>Melting_Curves/meltCurve_B9A054_RHBDD1.pdf</t>
  </si>
  <si>
    <t>Melting_Curves/meltCurve_B9A057_COA5.pdf</t>
  </si>
  <si>
    <t>Melting_Curves/meltCurve_B9A067_IMMT.pdf</t>
  </si>
  <si>
    <t>Melting_Curves/meltCurve_B9ZVT1_RBM12B.pdf</t>
  </si>
  <si>
    <t>Melting_Curves/meltCurve_C0H5Y7_BAK1.pdf</t>
  </si>
  <si>
    <t>Melting_Curves/meltCurve_C1IDX9_ATG12.pdf</t>
  </si>
  <si>
    <t>Melting_Curves/meltCurve_C1P671_KREMEN1.pdf</t>
  </si>
  <si>
    <t>Melting_Curves/meltCurve_C4AMC7_WASH3P.pdf</t>
  </si>
  <si>
    <t>Melting_Curves/meltCurve_C6G496_MAZ.pdf</t>
  </si>
  <si>
    <t>Melting_Curves/meltCurve_C6GKU9_MED30S.pdf</t>
  </si>
  <si>
    <t>Melting_Curves/meltCurve_C9IY40_MRPL2.pdf</t>
  </si>
  <si>
    <t>Melting_Curves/meltCurve_C9IYB5_TRABD2A.pdf</t>
  </si>
  <si>
    <t>Melting_Curves/meltCurve_C9IZG4_CUTA.pdf</t>
  </si>
  <si>
    <t>Melting_Curves/meltCurve_C9IZW8_NDUFB2.pdf</t>
  </si>
  <si>
    <t>Melting_Curves/meltCurve_C9J0I9_ZC3HC1.pdf</t>
  </si>
  <si>
    <t>Melting_Curves/meltCurve_C9J0J0_CCDC126.pdf</t>
  </si>
  <si>
    <t>Melting_Curves/meltCurve_C9J0J7_PFN2.pdf</t>
  </si>
  <si>
    <t>Melting_Curves/meltCurve_C9J0K6_SRI.pdf</t>
  </si>
  <si>
    <t>Melting_Curves/meltCurve_C9J167_PMS2.pdf</t>
  </si>
  <si>
    <t>Melting_Curves/meltCurve_C9J1G2_DNAJB2.pdf</t>
  </si>
  <si>
    <t>Melting_Curves/meltCurve_C9J1K8_MEGF9.pdf</t>
  </si>
  <si>
    <t>Melting_Curves/meltCurve_C9J212_UBE2F.pdf</t>
  </si>
  <si>
    <t>Melting_Curves/meltCurve_C9J240_SLC4A10.pdf</t>
  </si>
  <si>
    <t>Melting_Curves/meltCurve_C9J2P0_UBE2E1.pdf</t>
  </si>
  <si>
    <t>Melting_Curves/meltCurve_C9J2U4_TAMM41.pdf</t>
  </si>
  <si>
    <t>Melting_Curves/meltCurve_C9J2V2_IKBKG.pdf</t>
  </si>
  <si>
    <t>Melting_Curves/meltCurve_C9J2Y9_POLR2B.pdf</t>
  </si>
  <si>
    <t>Melting_Curves/meltCurve_C9J3D7_CROT.pdf</t>
  </si>
  <si>
    <t>Melting_Curves/meltCurve_C9J4K0_C2orf49.pdf</t>
  </si>
  <si>
    <t>Melting_Curves/meltCurve_C9J4T6_IL8.pdf</t>
  </si>
  <si>
    <t>Melting_Curves/meltCurve_C9J4Z3_RPL37A.pdf</t>
  </si>
  <si>
    <t>Melting_Curves/meltCurve_C9J5C3_PDCD10.pdf</t>
  </si>
  <si>
    <t>Melting_Curves/meltCurve_C9J5X1_IGF1R.pdf</t>
  </si>
  <si>
    <t>Melting_Curves/meltCurve_C9J652_ARHGAP31.pdf</t>
  </si>
  <si>
    <t>Melting_Curves/meltCurve_C9J712_PFN2.pdf</t>
  </si>
  <si>
    <t>Melting_Curves/meltCurve_C9J8B8_HDAC10.pdf</t>
  </si>
  <si>
    <t>Melting_Curves/meltCurve_C9J8Q5_ALDH5A1.pdf</t>
  </si>
  <si>
    <t>Melting_Curves/meltCurve_C9J976_SYNPR.pdf</t>
  </si>
  <si>
    <t>Melting_Curves/meltCurve_C9J9K3_RPSA.pdf</t>
  </si>
  <si>
    <t>Melting_Curves/meltCurve_C9JA07_COA1.pdf</t>
  </si>
  <si>
    <t>Melting_Curves/meltCurve_C9JA08_NMD3.pdf</t>
  </si>
  <si>
    <t>Melting_Curves/meltCurve_C9JA28_SSR3.pdf</t>
  </si>
  <si>
    <t>Melting_Curves/meltCurve_C9JA69_BBX.pdf</t>
  </si>
  <si>
    <t>Melting_Curves/meltCurve_C9JAB2_SRSF7.pdf</t>
  </si>
  <si>
    <t>Melting_Curves/meltCurve_C9JAB9_NCK1.pdf</t>
  </si>
  <si>
    <t>Melting_Curves/meltCurve_C9JAX1_FXN.pdf</t>
  </si>
  <si>
    <t>Melting_Curves/meltCurve_C9JB13_BSDC1.pdf</t>
  </si>
  <si>
    <t>Melting_Curves/meltCurve_C9JB55_TF.pdf</t>
  </si>
  <si>
    <t>Melting_Curves/meltCurve_C9JBA4_LYG2.pdf</t>
  </si>
  <si>
    <t>Melting_Curves/meltCurve_C9JBL1_SPCS1.pdf</t>
  </si>
  <si>
    <t>Melting_Curves/meltCurve_C9JBT1_C7orf41.pdf</t>
  </si>
  <si>
    <t>Melting_Curves/meltCurve_C9JBY7_MRPS33.pdf</t>
  </si>
  <si>
    <t>Melting_Curves/meltCurve_C9JCC6_DRAP1.pdf</t>
  </si>
  <si>
    <t>Melting_Curves/meltCurve_C9JCN0_MYOF.pdf</t>
  </si>
  <si>
    <t>Melting_Curves/meltCurve_C9JE12_TMUB1.pdf</t>
  </si>
  <si>
    <t>Melting_Curves/meltCurve_C9JE98_NCOR2.pdf</t>
  </si>
  <si>
    <t>Melting_Curves/meltCurve_C9JEZ4_CDC42EP3.pdf</t>
  </si>
  <si>
    <t>Melting_Curves/meltCurve_C9JFL1_POM121C.pdf</t>
  </si>
  <si>
    <t>Melting_Curves/meltCurve_C9JFW7_C19orf55.pdf</t>
  </si>
  <si>
    <t>Melting_Curves/meltCurve_C9JG41_ITM2C.pdf</t>
  </si>
  <si>
    <t>Melting_Curves/meltCurve_C9JG97_AAMP.pdf</t>
  </si>
  <si>
    <t>Melting_Curves/meltCurve_C9JGI3_TYMP.pdf</t>
  </si>
  <si>
    <t>Melting_Curves/meltCurve_C9JI98_TMEM238.pdf</t>
  </si>
  <si>
    <t>Melting_Curves/meltCurve_C9JIF9_APEH.pdf</t>
  </si>
  <si>
    <t>Melting_Curves/meltCurve_C9JJZ8_WDR53.pdf</t>
  </si>
  <si>
    <t>Melting_Curves/meltCurve_C9JK10_ITGA6.pdf</t>
  </si>
  <si>
    <t>Melting_Curves/meltCurve_C9JLU1_POLR2H.pdf</t>
  </si>
  <si>
    <t>Melting_Curves/meltCurve_C9JLV4_APAF1.pdf</t>
  </si>
  <si>
    <t>Melting_Curves/meltCurve_C9JM82_SEPT5.pdf</t>
  </si>
  <si>
    <t>Melting_Curves/meltCurve_C9JME2_FARP1.pdf</t>
  </si>
  <si>
    <t>Melting_Curves/meltCurve_C9JNE2_OARD1.pdf</t>
  </si>
  <si>
    <t>Melting_Curves/meltCurve_C9JNJ4_SH3RF3.pdf</t>
  </si>
  <si>
    <t>Melting_Curves/meltCurve_C9JNT3_GSTK1.pdf</t>
  </si>
  <si>
    <t>Melting_Curves/meltCurve_C9JP00_MBNL1.pdf</t>
  </si>
  <si>
    <t>Melting_Curves/meltCurve_C9JP16_CRTAP.pdf</t>
  </si>
  <si>
    <t>Melting_Curves/meltCurve_C9JPL0_CCNL1.pdf</t>
  </si>
  <si>
    <t>Melting_Curves/meltCurve_C9JPP2_NKIRAS2.pdf</t>
  </si>
  <si>
    <t>Melting_Curves/meltCurve_C9JQ41_CCDC58.pdf</t>
  </si>
  <si>
    <t>Melting_Curves/meltCurve_C9JQB1_NME6.pdf</t>
  </si>
  <si>
    <t>Melting_Curves/meltCurve_C9JQD4_PPIH.pdf</t>
  </si>
  <si>
    <t>Melting_Curves/meltCurve_C9JQV3_STK11IP.pdf</t>
  </si>
  <si>
    <t>Melting_Curves/meltCurve_C9JR56_SATB2.pdf</t>
  </si>
  <si>
    <t>Melting_Curves/meltCurve_C9JRY4_SEC22A.pdf</t>
  </si>
  <si>
    <t>Melting_Curves/meltCurve_C9JRZ6_CHCHD3.pdf</t>
  </si>
  <si>
    <t>Melting_Curves/meltCurve_C9JS59_RNF123.pdf</t>
  </si>
  <si>
    <t>Melting_Curves/meltCurve_C9JSZ2_SLC46A1.pdf</t>
  </si>
  <si>
    <t>Melting_Curves/meltCurve_C9JUH5_SERP1.pdf</t>
  </si>
  <si>
    <t>Melting_Curves/meltCurve_C9JVP0_FOXJ3.pdf</t>
  </si>
  <si>
    <t>Melting_Curves/meltCurve_C9JWU9_MEST.pdf</t>
  </si>
  <si>
    <t>Melting_Curves/meltCurve_C9JYJ6_FILIP1L.pdf</t>
  </si>
  <si>
    <t>Melting_Curves/meltCurve_C9JYM0_POP7.pdf</t>
  </si>
  <si>
    <t>Melting_Curves/meltCurve_C9JYN0_SYPL1.pdf</t>
  </si>
  <si>
    <t>Melting_Curves/meltCurve_C9JYY6_NRCAM.pdf</t>
  </si>
  <si>
    <t>Melting_Curves/meltCurve_C9JZB0_INPP5K.pdf</t>
  </si>
  <si>
    <t>Melting_Curves/meltCurve_C9JZI1_RFC4.pdf</t>
  </si>
  <si>
    <t>Melting_Curves/meltCurve_C9JZP6_DHRS2.pdf</t>
  </si>
  <si>
    <t>Melting_Curves/meltCurve_C9JZR4_ARFGAP3.pdf</t>
  </si>
  <si>
    <t>Melting_Curves/meltCurve_C9JZY3_PCBP4.pdf</t>
  </si>
  <si>
    <t>Melting_Curves/meltCurve_C9JZY6_UBE2H.pdf</t>
  </si>
  <si>
    <t>Melting_Curves/meltCurve_C9K0J5_RAPH1.pdf</t>
  </si>
  <si>
    <t>Melting_Curves/meltCurve_D0UFD3_PrLZ.pdf</t>
  </si>
  <si>
    <t>Melting_Curves/meltCurve_D3DQV9_EIF4G2.pdf</t>
  </si>
  <si>
    <t>Melting_Curves/meltCurve_D3DQZ6_ZCSL3.pdf</t>
  </si>
  <si>
    <t>Melting_Curves/meltCurve_D3K174_SLC4A7.pdf</t>
  </si>
  <si>
    <t>Melting_Curves/meltCurve_D3YTB1_RPL32.pdf</t>
  </si>
  <si>
    <t>Melting_Curves/meltCurve_D3YTG6_NDOR1.pdf</t>
  </si>
  <si>
    <t>Melting_Curves/meltCurve_D3YTI9_TAPBP.pdf</t>
  </si>
  <si>
    <t>Melting_Curves/meltCurve_D6R938_CAMK2D.pdf</t>
  </si>
  <si>
    <t>Melting_Curves/meltCurve_D6R9S4_MLF1IP.pdf</t>
  </si>
  <si>
    <t>Melting_Curves/meltCurve_D6R9U7_POLR3G.pdf</t>
  </si>
  <si>
    <t>Melting_Curves/meltCurve_D6RAC5_SSBP2.pdf</t>
  </si>
  <si>
    <t>Melting_Curves/meltCurve_D6RAR3_TMEM161B.pdf</t>
  </si>
  <si>
    <t>Melting_Curves/meltCurve_D6RB01_FAM169A.pdf</t>
  </si>
  <si>
    <t>Melting_Curves/meltCurve_D6RB34_IRF2.pdf</t>
  </si>
  <si>
    <t>Melting_Curves/meltCurve_D6RBE0_CXXC5.pdf</t>
  </si>
  <si>
    <t>Melting_Curves/meltCurve_D6RBE3_FAM173B.pdf</t>
  </si>
  <si>
    <t>Melting_Curves/meltCurve_D6RBW1_EIF4E.pdf</t>
  </si>
  <si>
    <t>Melting_Curves/meltCurve_D6RCD0_HSD17B11.pdf</t>
  </si>
  <si>
    <t>Melting_Curves/meltCurve_D6RCD9_TMEM175.pdf</t>
  </si>
  <si>
    <t>Melting_Curves/meltCurve_D6RDN0_CDV3.pdf</t>
  </si>
  <si>
    <t>Melting_Curves/meltCurve_D6REA0_PET112.pdf</t>
  </si>
  <si>
    <t>Melting_Curves/meltCurve_D6REL0_CDC42SE2.pdf</t>
  </si>
  <si>
    <t>Melting_Curves/meltCurve_D6REL5_FAM175A.pdf</t>
  </si>
  <si>
    <t>Melting_Curves/meltCurve_D6REM4_CSNK1A1.pdf</t>
  </si>
  <si>
    <t>Melting_Curves/meltCurve_D6RER8_SLC38A9.pdf</t>
  </si>
  <si>
    <t>Melting_Curves/meltCurve_D6REX3_SEC31A.pdf</t>
  </si>
  <si>
    <t>Melting_Curves/meltCurve_D6RF48_STX18.pdf</t>
  </si>
  <si>
    <t>Melting_Curves/meltCurve_D6RFG8_DCK.pdf</t>
  </si>
  <si>
    <t>Melting_Curves/meltCurve_D6RFX7_FAM117A.pdf</t>
  </si>
  <si>
    <t>Melting_Curves/meltCurve_D6RGI3_SEPT11.pdf</t>
  </si>
  <si>
    <t>Melting_Curves/meltCurve_D6RGK9_CNOT6L.pdf</t>
  </si>
  <si>
    <t>Melting_Curves/meltCurve_D6RHD3_CENPK.pdf</t>
  </si>
  <si>
    <t>Melting_Curves/meltCurve_D6RHI9_RNASET2.pdf</t>
  </si>
  <si>
    <t>Melting_Curves/meltCurve_D6RIE3_COX7A2.pdf</t>
  </si>
  <si>
    <t>Melting_Curves/meltCurve_D6RIU2_CLDND1.pdf</t>
  </si>
  <si>
    <t>Melting_Curves/meltCurve_D6RIZ4_MFSD10.pdf</t>
  </si>
  <si>
    <t>Melting_Curves/meltCurve_D6RJG8_RFESD.pdf</t>
  </si>
  <si>
    <t>Melting_Curves/meltCurve_E1P5H9_SLCO4A1.pdf</t>
  </si>
  <si>
    <t>Melting_Curves/meltCurve_E2QRD0_VWA8.pdf</t>
  </si>
  <si>
    <t>Melting_Curves/meltCurve_E2QRD5_C15orf38_AP3S2.pdf</t>
  </si>
  <si>
    <t>Melting_Curves/meltCurve_E2QRF9_GMNN.pdf</t>
  </si>
  <si>
    <t>Melting_Curves/meltCurve_E5RFI2_MRPL13.pdf</t>
  </si>
  <si>
    <t>Melting_Curves/meltCurve_E5RFJ1_NSMCE2.pdf</t>
  </si>
  <si>
    <t>Melting_Curves/meltCurve_E5RG17_TATDN1.pdf</t>
  </si>
  <si>
    <t>Melting_Curves/meltCurve_E5RG44_TRIQK.pdf</t>
  </si>
  <si>
    <t>Melting_Curves/meltCurve_E5RGQ3_RWDD1.pdf</t>
  </si>
  <si>
    <t>Melting_Curves/meltCurve_E5RGX5_STMN2.pdf</t>
  </si>
  <si>
    <t>Melting_Curves/meltCurve_E5RGY0_DERL1.pdf</t>
  </si>
  <si>
    <t>Melting_Curves/meltCurve_E5RHG8_TCEB1.pdf</t>
  </si>
  <si>
    <t>Melting_Curves/meltCurve_E5RHK8_DNM3.pdf</t>
  </si>
  <si>
    <t>Melting_Curves/meltCurve_E5RHW0_TMEM66.pdf</t>
  </si>
  <si>
    <t>Melting_Curves/meltCurve_E5RHW4_ERLIN2.pdf</t>
  </si>
  <si>
    <t>Melting_Curves/meltCurve_E5RI99_RPL30.pdf</t>
  </si>
  <si>
    <t>Melting_Curves/meltCurve_E5RIH5_TTI2.pdf</t>
  </si>
  <si>
    <t>Melting_Curves/meltCurve_E5RIP7_IMPA1.pdf</t>
  </si>
  <si>
    <t>Melting_Curves/meltCurve_E5RIQ9_SERF1A.pdf</t>
  </si>
  <si>
    <t>Melting_Curves/meltCurve_E5RIX2_IDO1.pdf</t>
  </si>
  <si>
    <t>Melting_Curves/meltCurve_E5RJ26_PSEN2.pdf</t>
  </si>
  <si>
    <t>Melting_Curves/meltCurve_E5RJ99_ZFAND1.pdf</t>
  </si>
  <si>
    <t>Melting_Curves/meltCurve_E5RJD2_DECR1.pdf</t>
  </si>
  <si>
    <t>Melting_Curves/meltCurve_E5RJJ3_NUDT18.pdf</t>
  </si>
  <si>
    <t>Melting_Curves/meltCurve_E5RJM0_CPEB4.pdf</t>
  </si>
  <si>
    <t>Melting_Curves/meltCurve_E5RJR4_PTTG1.pdf</t>
  </si>
  <si>
    <t>Melting_Curves/meltCurve_E5RJR5_SKP1.pdf</t>
  </si>
  <si>
    <t>Melting_Curves/meltCurve_E5RJS5_MTFR1.pdf</t>
  </si>
  <si>
    <t>Melting_Curves/meltCurve_E7EM50_PIGG.pdf</t>
  </si>
  <si>
    <t>Melting_Curves/meltCurve_E7EM64_COPS6.pdf</t>
  </si>
  <si>
    <t>Melting_Curves/meltCurve_E7EM95_RNF5.pdf</t>
  </si>
  <si>
    <t>Melting_Curves/meltCurve_E7EMB8_PTPN18.pdf</t>
  </si>
  <si>
    <t>Melting_Curves/meltCurve_E7EMC6_ANXA6.pdf</t>
  </si>
  <si>
    <t>Melting_Curves/meltCurve_E7EMD6_AKAP10.pdf</t>
  </si>
  <si>
    <t>Melting_Curves/meltCurve_E7EMM4_ASAH1.pdf</t>
  </si>
  <si>
    <t>Melting_Curves/meltCurve_E7EMN6_PPP1R2.pdf</t>
  </si>
  <si>
    <t>Melting_Curves/meltCurve_E7EMQ9_ARMC5.pdf</t>
  </si>
  <si>
    <t>Melting_Curves/meltCurve_E7EMX7_RAI14.pdf</t>
  </si>
  <si>
    <t>Melting_Curves/meltCurve_E7EMZ9_TACC2.pdf</t>
  </si>
  <si>
    <t>Melting_Curves/meltCurve_E7EN73_KIAA0319L.pdf</t>
  </si>
  <si>
    <t>Melting_Curves/meltCurve_E7EN86_ZNF143.pdf</t>
  </si>
  <si>
    <t>Melting_Curves/meltCurve_E7ENA9_NCSTN.pdf</t>
  </si>
  <si>
    <t>Melting_Curves/meltCurve_E7ENK0_CALCOCO2.pdf</t>
  </si>
  <si>
    <t>Melting_Curves/meltCurve_E7ENU4_ADAR.pdf</t>
  </si>
  <si>
    <t>Melting_Curves/meltCurve_E7EP70_BRCA1.pdf</t>
  </si>
  <si>
    <t>Melting_Curves/meltCurve_E7EP87_NARF.pdf</t>
  </si>
  <si>
    <t>Melting_Curves/meltCurve_E7EPB3_RPL14.pdf</t>
  </si>
  <si>
    <t>Melting_Curves/meltCurve_E7EPC6_CD44.pdf</t>
  </si>
  <si>
    <t>Melting_Curves/meltCurve_E7EPD0_TOM1.pdf</t>
  </si>
  <si>
    <t>Melting_Curves/meltCurve_E7EPI0_IBTK.pdf</t>
  </si>
  <si>
    <t>Melting_Curves/meltCurve_E7EPL4_PDXDC1.pdf</t>
  </si>
  <si>
    <t>Melting_Curves/meltCurve_E7EPN9_PRRC2C.pdf</t>
  </si>
  <si>
    <t>Melting_Curves/meltCurve_E7EPT4_NDUFV2.pdf</t>
  </si>
  <si>
    <t>Melting_Curves/meltCurve_E7EPY1_TNIP1.pdf</t>
  </si>
  <si>
    <t>Melting_Curves/meltCurve_E7EQ69_NAA50.pdf</t>
  </si>
  <si>
    <t>Melting_Curves/meltCurve_E7EQB2_LTF.pdf</t>
  </si>
  <si>
    <t>Melting_Curves/meltCurve_E7EQE7_CORIN.pdf</t>
  </si>
  <si>
    <t>Melting_Curves/meltCurve_E7EQL6_PRODH.pdf</t>
  </si>
  <si>
    <t>Melting_Curves/meltCurve_E7EQN5_ARHGAP4.pdf</t>
  </si>
  <si>
    <t>Melting_Curves/meltCurve_E7EQN6_SENP6.pdf</t>
  </si>
  <si>
    <t>Melting_Curves/meltCurve_E7EQR8_YIPF3.pdf</t>
  </si>
  <si>
    <t>Melting_Curves/meltCurve_E7EQT4_ACIN1.pdf</t>
  </si>
  <si>
    <t>Melting_Curves/meltCurve_E7EQV9_RPL15.pdf</t>
  </si>
  <si>
    <t>Melting_Curves/meltCurve_E7ER77_ERMP1.pdf</t>
  </si>
  <si>
    <t>Melting_Curves/meltCurve_E7ER81_FAM193B.pdf</t>
  </si>
  <si>
    <t>Melting_Curves/meltCurve_E7ERB7_GMIP.pdf</t>
  </si>
  <si>
    <t>Melting_Curves/meltCurve_E7ERH3_TNS3.pdf</t>
  </si>
  <si>
    <t>Melting_Curves/meltCurve_E7ERS3_ZC3H18.pdf</t>
  </si>
  <si>
    <t>Melting_Curves/meltCurve_E7ES08_HMGB3.pdf</t>
  </si>
  <si>
    <t>Melting_Curves/meltCurve_E7ES35_TTC38.pdf</t>
  </si>
  <si>
    <t>Melting_Curves/meltCurve_E7ES43_HSPA4L.pdf</t>
  </si>
  <si>
    <t>Melting_Curves/meltCurve_E7ES96_PSEN1.pdf</t>
  </si>
  <si>
    <t>Melting_Curves/meltCurve_E7ESA8_PRPF31.pdf</t>
  </si>
  <si>
    <t>Melting_Curves/meltCurve_E7ESP4_ITGA2.pdf</t>
  </si>
  <si>
    <t>Melting_Curves/meltCurve_E7ESU4_NAT10.pdf</t>
  </si>
  <si>
    <t>Melting_Curves/meltCurve_E7ESX1_CHRD.pdf</t>
  </si>
  <si>
    <t>Melting_Curves/meltCurve_E7ESZ7_NDUFA10.pdf</t>
  </si>
  <si>
    <t>Melting_Curves/meltCurve_E7ET15_U2SURP.pdf</t>
  </si>
  <si>
    <t>Melting_Curves/meltCurve_E7ETB3_DNPEP.pdf</t>
  </si>
  <si>
    <t>Melting_Curves/meltCurve_E7ETK0_RPS24.pdf</t>
  </si>
  <si>
    <t>Melting_Curves/meltCurve_E7ETZ4_BZW2.pdf</t>
  </si>
  <si>
    <t>Melting_Curves/meltCurve_E7EU23_GDI2.pdf</t>
  </si>
  <si>
    <t>Melting_Curves/meltCurve_E7EU96_CSNK2A1.pdf</t>
  </si>
  <si>
    <t>Melting_Curves/meltCurve_E7EUE1_ABCD3.pdf</t>
  </si>
  <si>
    <t>Melting_Curves/meltCurve_E7EUL7_SSFA2.pdf</t>
  </si>
  <si>
    <t>Melting_Curves/meltCurve_E7EUM5_NUP54.pdf</t>
  </si>
  <si>
    <t>Melting_Curves/meltCurve_E7EV46_PGBD3.pdf</t>
  </si>
  <si>
    <t>Melting_Curves/meltCurve_E7EV56_PCM1.pdf</t>
  </si>
  <si>
    <t>Melting_Curves/meltCurve_E7EVA0_MAP4.pdf</t>
  </si>
  <si>
    <t>Melting_Curves/meltCurve_E7EVC7_ATG16L1.pdf</t>
  </si>
  <si>
    <t>Melting_Curves/meltCurve_E7EVJ5_CYFIP2.pdf</t>
  </si>
  <si>
    <t>Melting_Curves/meltCurve_E7EVZ3_RAI1.pdf</t>
  </si>
  <si>
    <t>Melting_Curves/meltCurve_E7EW05_SDAD1.pdf</t>
  </si>
  <si>
    <t>Melting_Curves/meltCurve_E7EW18_POLB.pdf</t>
  </si>
  <si>
    <t>Melting_Curves/meltCurve_E7EW20_MYO6.pdf</t>
  </si>
  <si>
    <t>Melting_Curves/meltCurve_E7EW32_MON1B.pdf</t>
  </si>
  <si>
    <t>Melting_Curves/meltCurve_E7EW69_SEPT10.pdf</t>
  </si>
  <si>
    <t>Melting_Curves/meltCurve_E7EW77_ABI2.pdf</t>
  </si>
  <si>
    <t>Melting_Curves/meltCurve_E7EW84_EXOC6.pdf</t>
  </si>
  <si>
    <t>Melting_Curves/meltCurve_E7EWD6_ASXL2.pdf</t>
  </si>
  <si>
    <t>Melting_Curves/meltCurve_E7EWM3_ZMIZ2.pdf</t>
  </si>
  <si>
    <t>Melting_Curves/meltCurve_E7EWN3_SETD5.pdf</t>
  </si>
  <si>
    <t>Melting_Curves/meltCurve_E7EWP0_NDUFB5.pdf</t>
  </si>
  <si>
    <t>Melting_Curves/meltCurve_E7EWQ5_MAST4.pdf</t>
  </si>
  <si>
    <t>Melting_Curves/meltCurve_E7EWX6_SIRT2.pdf</t>
  </si>
  <si>
    <t>Melting_Curves/meltCurve_E7EX01_MPP2.pdf</t>
  </si>
  <si>
    <t>Melting_Curves/meltCurve_E7EX17_EIF4B.pdf</t>
  </si>
  <si>
    <t>Melting_Curves/meltCurve_E7EX59_PCCB.pdf</t>
  </si>
  <si>
    <t>Melting_Curves/meltCurve_E7EX73_EIF4G1.pdf</t>
  </si>
  <si>
    <t>Melting_Curves/meltCurve_E7EX90_DCTN1.pdf</t>
  </si>
  <si>
    <t>Melting_Curves/meltCurve_E9PAL9_NT5DC2.pdf</t>
  </si>
  <si>
    <t>Melting_Curves/meltCurve_E9PAU2_RAVER1.pdf</t>
  </si>
  <si>
    <t>Melting_Curves/meltCurve_E9PAV9_GPATCH4.pdf</t>
  </si>
  <si>
    <t>Melting_Curves/meltCurve_E9PB61_ALYREF.pdf</t>
  </si>
  <si>
    <t>Melting_Curves/meltCurve_E9PBP4_MLLT10.pdf</t>
  </si>
  <si>
    <t>Melting_Curves/meltCurve_E9PBR6_TMEM201.pdf</t>
  </si>
  <si>
    <t>Melting_Curves/meltCurve_E9PC62_CELF2.pdf</t>
  </si>
  <si>
    <t>Melting_Curves/meltCurve_E9PC69_MARK2.pdf</t>
  </si>
  <si>
    <t>Melting_Curves/meltCurve_E9PC74_EIF2B5.pdf</t>
  </si>
  <si>
    <t>Melting_Curves/meltCurve_E9PCD7_MAN2B2.pdf</t>
  </si>
  <si>
    <t>Melting_Curves/meltCurve_E9PCH4_FNIP1.pdf</t>
  </si>
  <si>
    <t>Melting_Curves/meltCurve_E9PCV0_GUSB.pdf</t>
  </si>
  <si>
    <t>Melting_Curves/meltCurve_E9PCW1_GOSR1.pdf</t>
  </si>
  <si>
    <t>Melting_Curves/meltCurve_E9PD25_TLL1.pdf</t>
  </si>
  <si>
    <t>Melting_Curves/meltCurve_E9PD90_CKAP2.pdf</t>
  </si>
  <si>
    <t>Melting_Curves/meltCurve_E9PDC3_ARVCF.pdf</t>
  </si>
  <si>
    <t>Melting_Curves/meltCurve_E9PDF6_MYO1B.pdf</t>
  </si>
  <si>
    <t>Melting_Curves/meltCurve_E9PDG9_RPAIN.pdf</t>
  </si>
  <si>
    <t>Melting_Curves/meltCurve_E9PEE8_ITGB6.pdf</t>
  </si>
  <si>
    <t>Melting_Curves/meltCurve_E9PEJ6_ATP11A.pdf</t>
  </si>
  <si>
    <t>Melting_Curves/meltCurve_E9PEN8_XPO7.pdf</t>
  </si>
  <si>
    <t>Melting_Curves/meltCurve_E9PER1_DIP2A.pdf</t>
  </si>
  <si>
    <t>Melting_Curves/meltCurve_E9PER6_PDPK1.pdf</t>
  </si>
  <si>
    <t>Melting_Curves/meltCurve_E9PEZ3_DIAPH1.pdf</t>
  </si>
  <si>
    <t>Melting_Curves/meltCurve_E9PF10_NUP155.pdf</t>
  </si>
  <si>
    <t>Melting_Curves/meltCurve_E9PF16_ACSF2.pdf</t>
  </si>
  <si>
    <t>Melting_Curves/meltCurve_E9PF18_HADH.pdf</t>
  </si>
  <si>
    <t>Melting_Curves/meltCurve_E9PF19_TBL2.pdf</t>
  </si>
  <si>
    <t>Melting_Curves/meltCurve_E9PF36_VPS41.pdf</t>
  </si>
  <si>
    <t>Melting_Curves/meltCurve_E9PF74_SLC25A19.pdf</t>
  </si>
  <si>
    <t>Melting_Curves/meltCurve_E9PFH7_MAPK8IP3.pdf</t>
  </si>
  <si>
    <t>Melting_Curves/meltCurve_E9PFK9_RABGEF1.pdf</t>
  </si>
  <si>
    <t>Melting_Curves/meltCurve_E9PFR3_PPP2R5D.pdf</t>
  </si>
  <si>
    <t>Melting_Curves/meltCurve_E9PG22_CEP97.pdf</t>
  </si>
  <si>
    <t>Melting_Curves/meltCurve_E9PGC0_RASA1.pdf</t>
  </si>
  <si>
    <t>Melting_Curves/meltCurve_E9PGT1_TSN.pdf</t>
  </si>
  <si>
    <t>Melting_Curves/meltCurve_E9PGT3_RPS6KA1.pdf</t>
  </si>
  <si>
    <t>Melting_Curves/meltCurve_E9PGW7_MED22.pdf</t>
  </si>
  <si>
    <t>Melting_Curves/meltCurve_E9PH18_DNAJB6.pdf</t>
  </si>
  <si>
    <t>Melting_Curves/meltCurve_E9PH29_PRDX3.pdf</t>
  </si>
  <si>
    <t>Melting_Curves/meltCurve_E9PHF7_MCCC1.pdf</t>
  </si>
  <si>
    <t>Melting_Curves/meltCurve_E9PHG5_CYP20A1.pdf</t>
  </si>
  <si>
    <t>Melting_Curves/meltCurve_E9PHH8_PIAS3.pdf</t>
  </si>
  <si>
    <t>Melting_Curves/meltCurve_E9PHY5_EPB41L2.pdf</t>
  </si>
  <si>
    <t>Melting_Curves/meltCurve_E9PHY8_MROH1.pdf</t>
  </si>
  <si>
    <t>Melting_Curves/meltCurve_E9PIB1_HLA_DQB1.pdf</t>
  </si>
  <si>
    <t>Melting_Curves/meltCurve_E9PIE4_MTCH2.pdf</t>
  </si>
  <si>
    <t>Melting_Curves/meltCurve_E9PJ24_PHRF1.pdf</t>
  </si>
  <si>
    <t>Melting_Curves/meltCurve_E9PJ55_TCP11L1.pdf</t>
  </si>
  <si>
    <t>Melting_Curves/meltCurve_E9PJ81_UBXN1.pdf</t>
  </si>
  <si>
    <t>Melting_Curves/meltCurve_E9PJD7_CYHR1.pdf</t>
  </si>
  <si>
    <t>Melting_Curves/meltCurve_E9PJK1_CD81.pdf</t>
  </si>
  <si>
    <t>Melting_Curves/meltCurve_E9PJM3_FBXO3.pdf</t>
  </si>
  <si>
    <t>Melting_Curves/meltCurve_E9PK01_EEF1D.pdf</t>
  </si>
  <si>
    <t>Melting_Curves/meltCurve_E9PK26_SNX15.pdf</t>
  </si>
  <si>
    <t>Melting_Curves/meltCurve_E9PK91_BCLAF1.pdf</t>
  </si>
  <si>
    <t>Melting_Curves/meltCurve_E9PKC0_PLEKHA7.pdf</t>
  </si>
  <si>
    <t>Melting_Curves/meltCurve_E9PKF3_ACAT1.pdf</t>
  </si>
  <si>
    <t>Melting_Curves/meltCurve_E9PKG1_PRMT1.pdf</t>
  </si>
  <si>
    <t>Melting_Curves/meltCurve_E9PKP7_UBTF.pdf</t>
  </si>
  <si>
    <t>Melting_Curves/meltCurve_E9PKT4_TMEM123.pdf</t>
  </si>
  <si>
    <t>Melting_Curves/meltCurve_E9PKV2_MRPL17.pdf</t>
  </si>
  <si>
    <t>Melting_Curves/meltCurve_E9PKV8_TTC9C.pdf</t>
  </si>
  <si>
    <t>Melting_Curves/meltCurve_E9PL10_BTF3L4.pdf</t>
  </si>
  <si>
    <t>Melting_Curves/meltCurve_E9PL17_CLP1.pdf</t>
  </si>
  <si>
    <t>Melting_Curves/meltCurve_E9PL33_EI24.pdf</t>
  </si>
  <si>
    <t>Melting_Curves/meltCurve_E9PL57_NEDD8_MDP1.pdf</t>
  </si>
  <si>
    <t>Melting_Curves/meltCurve_E9PLK3_NPEPPS.pdf</t>
  </si>
  <si>
    <t>Melting_Curves/meltCurve_E9PLL6_RPL27A.pdf</t>
  </si>
  <si>
    <t>Melting_Curves/meltCurve_E9PM46_USP47.pdf</t>
  </si>
  <si>
    <t>Melting_Curves/meltCurve_E9PM92_C11orf58.pdf</t>
  </si>
  <si>
    <t>Melting_Curves/meltCurve_E9PMH5_BIRC2.pdf</t>
  </si>
  <si>
    <t>Melting_Curves/meltCurve_E9PMI6_CLNS1A.pdf</t>
  </si>
  <si>
    <t>Melting_Curves/meltCurve_E9PMJ2_FAM118B.pdf</t>
  </si>
  <si>
    <t>Melting_Curves/meltCurve_E9PML6_ATG13.pdf</t>
  </si>
  <si>
    <t>Melting_Curves/meltCurve_E9PMR4_CD151.pdf</t>
  </si>
  <si>
    <t>Melting_Curves/meltCurve_E9PMR6_ARHGEF12.pdf</t>
  </si>
  <si>
    <t>Melting_Curves/meltCurve_E9PMS5_KCTD21.pdf</t>
  </si>
  <si>
    <t>Melting_Curves/meltCurve_E9PMS6_LMO7.pdf</t>
  </si>
  <si>
    <t>Melting_Curves/meltCurve_E9PN48_ARFGAP2.pdf</t>
  </si>
  <si>
    <t>Melting_Curves/meltCurve_E9PND3_EBAG9.pdf</t>
  </si>
  <si>
    <t>Melting_Curves/meltCurve_E9PNL8_DGKZ.pdf</t>
  </si>
  <si>
    <t>Melting_Curves/meltCurve_E9PNQ6_TXNRD1.pdf</t>
  </si>
  <si>
    <t>Melting_Curves/meltCurve_E9PNT2_ARHGAP27.pdf</t>
  </si>
  <si>
    <t>Melting_Curves/meltCurve_E9PNW4_CD59.pdf</t>
  </si>
  <si>
    <t>Melting_Curves/meltCurve_E9PPT7_LTBP3.pdf</t>
  </si>
  <si>
    <t>Melting_Curves/meltCurve_E9PPY3_RRP8.pdf</t>
  </si>
  <si>
    <t>Melting_Curves/meltCurve_E9PQL5_C11orf57.pdf</t>
  </si>
  <si>
    <t>Melting_Curves/meltCurve_E9PQY2_PFDN4.pdf</t>
  </si>
  <si>
    <t>Melting_Curves/meltCurve_E9PR30_FAU.pdf</t>
  </si>
  <si>
    <t>Melting_Curves/meltCurve_E9PR76_MAF1.pdf</t>
  </si>
  <si>
    <t>Melting_Curves/meltCurve_E9PRM7_SLC22A18.pdf</t>
  </si>
  <si>
    <t>Melting_Curves/meltCurve_E9PRR8_EIF1AD.pdf</t>
  </si>
  <si>
    <t>Melting_Curves/meltCurve_E9PRY8_EEF1D.pdf</t>
  </si>
  <si>
    <t>Melting_Curves/meltCurve_E9PS17_SCYL1.pdf</t>
  </si>
  <si>
    <t>Melting_Curves/meltCurve_E9PSB8_SMCO4.pdf</t>
  </si>
  <si>
    <t>Melting_Curves/meltCurve_E9PSI1_TM9SF1.pdf</t>
  </si>
  <si>
    <t>Melting_Curves/meltCurve_F2Z2I2_PFKFB3.pdf</t>
  </si>
  <si>
    <t>Melting_Curves/meltCurve_F2Z2U8_MYH14.pdf</t>
  </si>
  <si>
    <t>Melting_Curves/meltCurve_F2Z2V1_FGGY.pdf</t>
  </si>
  <si>
    <t>Melting_Curves/meltCurve_F2Z2W7_TRMT2A.pdf</t>
  </si>
  <si>
    <t>Melting_Curves/meltCurve_F2Z2X4_XPO4.pdf</t>
  </si>
  <si>
    <t>Melting_Curves/meltCurve_F2Z384_TRMT2B.pdf</t>
  </si>
  <si>
    <t>Melting_Curves/meltCurve_F5GWD3_GTF2H3.pdf</t>
  </si>
  <si>
    <t>Melting_Curves/meltCurve_F5GWH5_TMEM258.pdf</t>
  </si>
  <si>
    <t>Melting_Curves/meltCurve_F5GWI9_CCDC53.pdf</t>
  </si>
  <si>
    <t>Melting_Curves/meltCurve_F5GWP8_JUP.pdf</t>
  </si>
  <si>
    <t>Melting_Curves/meltCurve_F5GWS3_TLDC1.pdf</t>
  </si>
  <si>
    <t>Melting_Curves/meltCurve_F5GWT4_WNK1.pdf</t>
  </si>
  <si>
    <t>Melting_Curves/meltCurve_F5GWX5_CHD4.pdf</t>
  </si>
  <si>
    <t>Melting_Curves/meltCurve_F5GWY5_PODXL.pdf</t>
  </si>
  <si>
    <t>Melting_Curves/meltCurve_F5GX09_FAM76B.pdf</t>
  </si>
  <si>
    <t>Melting_Curves/meltCurve_F5GX28_KDM4B.pdf</t>
  </si>
  <si>
    <t>Melting_Curves/meltCurve_F5GX82_FRYL.pdf</t>
  </si>
  <si>
    <t>Melting_Curves/meltCurve_F5GXC8_SUCLA2.pdf</t>
  </si>
  <si>
    <t>Melting_Curves/meltCurve_F5GXE4_ATE1.pdf</t>
  </si>
  <si>
    <t>Melting_Curves/meltCurve_F5GXF0_NR4A1.pdf</t>
  </si>
  <si>
    <t>Melting_Curves/meltCurve_F5GXK8_DNAJB11.pdf</t>
  </si>
  <si>
    <t>Melting_Curves/meltCurve_F5GXX5_DAD1.pdf</t>
  </si>
  <si>
    <t>Melting_Curves/meltCurve_F5GXY5_SASS6.pdf</t>
  </si>
  <si>
    <t>Melting_Curves/meltCurve_F5GY56_PRPF19.pdf</t>
  </si>
  <si>
    <t>Melting_Curves/meltCurve_F5GY92_GPBP1.pdf</t>
  </si>
  <si>
    <t>Melting_Curves/meltCurve_F5GY98_HN1.pdf</t>
  </si>
  <si>
    <t>Melting_Curves/meltCurve_F5GY99_GALNT1.pdf</t>
  </si>
  <si>
    <t>Melting_Curves/meltCurve_F5GYJ5_.pdf</t>
  </si>
  <si>
    <t>Melting_Curves/meltCurve_F5GYN4_OTUB1.pdf</t>
  </si>
  <si>
    <t>Melting_Curves/meltCurve_F5GYQ1_ATP6V0D1.pdf</t>
  </si>
  <si>
    <t>Melting_Curves/meltCurve_F5GYV3_TM7SF2.pdf</t>
  </si>
  <si>
    <t>Melting_Curves/meltCurve_F5GZ78_PXN.pdf</t>
  </si>
  <si>
    <t>Melting_Curves/meltCurve_F5GZH3_PLEKHB1.pdf</t>
  </si>
  <si>
    <t>Melting_Curves/meltCurve_F5GZS0_DHX36.pdf</t>
  </si>
  <si>
    <t>Melting_Curves/meltCurve_F5GZS6_SLC3A2.pdf</t>
  </si>
  <si>
    <t>Melting_Curves/meltCurve_F5GZX9_FAM120B.pdf</t>
  </si>
  <si>
    <t>Melting_Curves/meltCurve_F5GZZ0_ALKBH2.pdf</t>
  </si>
  <si>
    <t>Melting_Curves/meltCurve_F5H012_TRIM21.pdf</t>
  </si>
  <si>
    <t>Melting_Curves/meltCurve_F5H0B0_TPD52.pdf</t>
  </si>
  <si>
    <t>Melting_Curves/meltCurve_F5H0F9_ANAPC5.pdf</t>
  </si>
  <si>
    <t>Melting_Curves/meltCurve_F5H0I3_SOX5.pdf</t>
  </si>
  <si>
    <t>Melting_Curves/meltCurve_F5H0L8_SEC23IP.pdf</t>
  </si>
  <si>
    <t>Melting_Curves/meltCurve_F5H0Q6_CLASRP.pdf</t>
  </si>
  <si>
    <t>Melting_Curves/meltCurve_F5H144_GPR56.pdf</t>
  </si>
  <si>
    <t>Melting_Curves/meltCurve_F5H148_RRN3.pdf</t>
  </si>
  <si>
    <t>Melting_Curves/meltCurve_F5H170_DNAJA4.pdf</t>
  </si>
  <si>
    <t>Melting_Curves/meltCurve_F5H1G9_ABI1.pdf</t>
  </si>
  <si>
    <t>Melting_Curves/meltCurve_F5H1I4_HELB.pdf</t>
  </si>
  <si>
    <t>Melting_Curves/meltCurve_F5H1L4_TXNRD2.pdf</t>
  </si>
  <si>
    <t>Melting_Curves/meltCurve_F5H1N7_KIAA1211.pdf</t>
  </si>
  <si>
    <t>Melting_Curves/meltCurve_F5H1R7_FLJ22184.pdf</t>
  </si>
  <si>
    <t>Melting_Curves/meltCurve_F5H1X8_LRBA.pdf</t>
  </si>
  <si>
    <t>Melting_Curves/meltCurve_F5H1Y4_GOPC.pdf</t>
  </si>
  <si>
    <t>Melting_Curves/meltCurve_F5H1Z6_STARD10.pdf</t>
  </si>
  <si>
    <t>Melting_Curves/meltCurve_F5H211_ATXN3.pdf</t>
  </si>
  <si>
    <t>Melting_Curves/meltCurve_F5H232_CDKN3.pdf</t>
  </si>
  <si>
    <t>Melting_Curves/meltCurve_F5H2H5_ANKLE2.pdf</t>
  </si>
  <si>
    <t>Melting_Curves/meltCurve_F5H2J3_VMP1.pdf</t>
  </si>
  <si>
    <t>Melting_Curves/meltCurve_F5H2Q7_KIAA1715.pdf</t>
  </si>
  <si>
    <t>Melting_Curves/meltCurve_F5H2S7_DCTN2.pdf</t>
  </si>
  <si>
    <t>Melting_Curves/meltCurve_F5H2U2_PRPF4B.pdf</t>
  </si>
  <si>
    <t>Melting_Curves/meltCurve_F5H315_XAB2.pdf</t>
  </si>
  <si>
    <t>Melting_Curves/meltCurve_F5H365_SEC23A.pdf</t>
  </si>
  <si>
    <t>Melting_Curves/meltCurve_F5H3Q5_COL4A6.pdf</t>
  </si>
  <si>
    <t>Melting_Curves/meltCurve_F5H4G7_KPNA6.pdf</t>
  </si>
  <si>
    <t>Melting_Curves/meltCurve_F5H4H2_ATP5J2.pdf</t>
  </si>
  <si>
    <t>Melting_Curves/meltCurve_F5H4V9_PDCD2.pdf</t>
  </si>
  <si>
    <t>Melting_Curves/meltCurve_F5H562_ATP7B.pdf</t>
  </si>
  <si>
    <t>Melting_Curves/meltCurve_F5H569_ATP6V0A1.pdf</t>
  </si>
  <si>
    <t>Melting_Curves/meltCurve_F5H577_BRK1.pdf</t>
  </si>
  <si>
    <t>Melting_Curves/meltCurve_F5H5D3_TUBA1C.pdf</t>
  </si>
  <si>
    <t>Melting_Curves/meltCurve_F5H5I6_GRSF1.pdf</t>
  </si>
  <si>
    <t>Melting_Curves/meltCurve_F5H5M7_IFNGR1.pdf</t>
  </si>
  <si>
    <t>Melting_Curves/meltCurve_F5H5N0_CDC42BPA.pdf</t>
  </si>
  <si>
    <t>Melting_Curves/meltCurve_F5H5N1_NDUFS7.pdf</t>
  </si>
  <si>
    <t>Melting_Curves/meltCurve_F5H5P2_BCKDHA.pdf</t>
  </si>
  <si>
    <t>Melting_Curves/meltCurve_F5H5R8_NAT1.pdf</t>
  </si>
  <si>
    <t>Melting_Curves/meltCurve_F5H604_CLASP2.pdf</t>
  </si>
  <si>
    <t>Melting_Curves/meltCurve_F5H607_TUFT1.pdf</t>
  </si>
  <si>
    <t>Melting_Curves/meltCurve_F5H620_OXNAD1.pdf</t>
  </si>
  <si>
    <t>Melting_Curves/meltCurve_F5H698_LARS.pdf</t>
  </si>
  <si>
    <t>Melting_Curves/meltCurve_F5H6G7_NOL10.pdf</t>
  </si>
  <si>
    <t>Melting_Curves/meltCurve_F5H6U2_FAM60A.pdf</t>
  </si>
  <si>
    <t>Melting_Curves/meltCurve_F5H702_MRPL48.pdf</t>
  </si>
  <si>
    <t>Melting_Curves/meltCurve_F5H721_WBP11.pdf</t>
  </si>
  <si>
    <t>Melting_Curves/meltCurve_F5H7C4_MSRB3.pdf</t>
  </si>
  <si>
    <t>Melting_Curves/meltCurve_F5H7F6_MGST1.pdf</t>
  </si>
  <si>
    <t>Melting_Curves/meltCurve_F5H7I4_GABPB1.pdf</t>
  </si>
  <si>
    <t>Melting_Curves/meltCurve_F5H7K2_MGA.pdf</t>
  </si>
  <si>
    <t>Melting_Curves/meltCurve_F5H7N9_MFGE8.pdf</t>
  </si>
  <si>
    <t>Melting_Curves/meltCurve_F5H7T0_RPS6KC1.pdf</t>
  </si>
  <si>
    <t>Melting_Curves/meltCurve_F5H7Z9_REEP1.pdf</t>
  </si>
  <si>
    <t>Melting_Curves/meltCurve_F5H801_OGDH.pdf</t>
  </si>
  <si>
    <t>Melting_Curves/meltCurve_F5H860_INPP4A.pdf</t>
  </si>
  <si>
    <t>Melting_Curves/meltCurve_F5H872_MED21.pdf</t>
  </si>
  <si>
    <t>Melting_Curves/meltCurve_F5H877_SPINT1.pdf</t>
  </si>
  <si>
    <t>Melting_Curves/meltCurve_F5H897_TRAP1.pdf</t>
  </si>
  <si>
    <t>Melting_Curves/meltCurve_F5H8D7_XRCC1.pdf</t>
  </si>
  <si>
    <t>Melting_Curves/meltCurve_F5H8H2_MVK.pdf</t>
  </si>
  <si>
    <t>Melting_Curves/meltCurve_F5H8L0_RABGAP1L.pdf</t>
  </si>
  <si>
    <t>Melting_Curves/meltCurve_F5H8L4_SIDT2.pdf</t>
  </si>
  <si>
    <t>Melting_Curves/meltCurve_F6PQP6_EPN2.pdf</t>
  </si>
  <si>
    <t>Melting_Curves/meltCurve_F6RIS4_TXNIP.pdf</t>
  </si>
  <si>
    <t>Melting_Curves/meltCurve_F6RY50_SIPA1.pdf</t>
  </si>
  <si>
    <t>Melting_Curves/meltCurve_F6TQG2_SMARCA1.pdf</t>
  </si>
  <si>
    <t>Melting_Curves/meltCurve_F6U1F2_BAG6.pdf</t>
  </si>
  <si>
    <t>Melting_Curves/meltCurve_F6U1T9_PPP3R1.pdf</t>
  </si>
  <si>
    <t>Melting_Curves/meltCurve_F6UJY9_HYI.pdf</t>
  </si>
  <si>
    <t>Melting_Curves/meltCurve_F6V707_TPD52L1.pdf</t>
  </si>
  <si>
    <t>Melting_Curves/meltCurve_F6XY72_NME2.pdf</t>
  </si>
  <si>
    <t>Melting_Curves/meltCurve_F8VP89_EIF4B.pdf</t>
  </si>
  <si>
    <t>Melting_Curves/meltCurve_F8VPD4_CAD.pdf</t>
  </si>
  <si>
    <t>Melting_Curves/meltCurve_F8VQ10_DDX39B.pdf</t>
  </si>
  <si>
    <t>Melting_Curves/meltCurve_F8VQ19_BRF1.pdf</t>
  </si>
  <si>
    <t>Melting_Curves/meltCurve_F8VQD4_C12orf75.pdf</t>
  </si>
  <si>
    <t>Melting_Curves/meltCurve_F8VQY2_UIMC1.pdf</t>
  </si>
  <si>
    <t>Melting_Curves/meltCurve_F8VQZ7_METAP2.pdf</t>
  </si>
  <si>
    <t>Melting_Curves/meltCurve_F8VRE8_TMEM19.pdf</t>
  </si>
  <si>
    <t>Melting_Curves/meltCurve_F8VS78_TSPAN31.pdf</t>
  </si>
  <si>
    <t>Melting_Curves/meltCurve_F8VSL3_NFYB.pdf</t>
  </si>
  <si>
    <t>Melting_Curves/meltCurve_F8VSZ4_PLXNA1.pdf</t>
  </si>
  <si>
    <t>Melting_Curves/meltCurve_F8VU90_FKBP11.pdf</t>
  </si>
  <si>
    <t>Melting_Curves/meltCurve_F8VUW5_DAZAP2.pdf</t>
  </si>
  <si>
    <t>Melting_Curves/meltCurve_F8VV52_CNOT2.pdf</t>
  </si>
  <si>
    <t>Melting_Curves/meltCurve_F8VV56_CD63.pdf</t>
  </si>
  <si>
    <t>Melting_Curves/meltCurve_F8VVA7_COPZ1.pdf</t>
  </si>
  <si>
    <t>Melting_Curves/meltCurve_F8VW41_PACS2.pdf</t>
  </si>
  <si>
    <t>Melting_Curves/meltCurve_F8VW96_CSRP2.pdf</t>
  </si>
  <si>
    <t>Melting_Curves/meltCurve_F8VWA6_MON2.pdf</t>
  </si>
  <si>
    <t>Melting_Curves/meltCurve_F8VWA9_ALG10B.pdf</t>
  </si>
  <si>
    <t>Melting_Curves/meltCurve_F8VX04_SLC38A1.pdf</t>
  </si>
  <si>
    <t>Melting_Curves/meltCurve_F8VXG7_SCAF11.pdf</t>
  </si>
  <si>
    <t>Melting_Curves/meltCurve_F8VY35_NAP1L1.pdf</t>
  </si>
  <si>
    <t>Melting_Curves/meltCurve_F8VYN9_ARL1.pdf</t>
  </si>
  <si>
    <t>Melting_Curves/meltCurve_F8VZA2_LETMD1.pdf</t>
  </si>
  <si>
    <t>Melting_Curves/meltCurve_F8VZJ2_NACA.pdf</t>
  </si>
  <si>
    <t>Melting_Curves/meltCurve_F8W031_.pdf</t>
  </si>
  <si>
    <t>Melting_Curves/meltCurve_F8W038_C17orf49.pdf</t>
  </si>
  <si>
    <t>Melting_Curves/meltCurve_F8W0Q9_PPHLN1.pdf</t>
  </si>
  <si>
    <t>Melting_Curves/meltCurve_F8W1P7_SLC11A2.pdf</t>
  </si>
  <si>
    <t>Melting_Curves/meltCurve_F8W1Q3_BTD.pdf</t>
  </si>
  <si>
    <t>Melting_Curves/meltCurve_F8W689_RFX5.pdf</t>
  </si>
  <si>
    <t>Melting_Curves/meltCurve_F8W6I7_HNRNPA1.pdf</t>
  </si>
  <si>
    <t>Melting_Curves/meltCurve_F8W726_UBAP2L.pdf</t>
  </si>
  <si>
    <t>Melting_Curves/meltCurve_F8W785_GOLIM4.pdf</t>
  </si>
  <si>
    <t>Melting_Curves/meltCurve_F8W7D0_PBLD.pdf</t>
  </si>
  <si>
    <t>Melting_Curves/meltCurve_F8W7D6_GPHN.pdf</t>
  </si>
  <si>
    <t>Melting_Curves/meltCurve_F8W7Q4_FAM162A.pdf</t>
  </si>
  <si>
    <t>Melting_Curves/meltCurve_F8W810_.pdf</t>
  </si>
  <si>
    <t>Melting_Curves/meltCurve_F8W8C2_VEZT.pdf</t>
  </si>
  <si>
    <t>Melting_Curves/meltCurve_F8W8D3_SLBP.pdf</t>
  </si>
  <si>
    <t>Melting_Curves/meltCurve_F8W8D8_PLS3.pdf</t>
  </si>
  <si>
    <t>Melting_Curves/meltCurve_F8W8E4_FAM179A.pdf</t>
  </si>
  <si>
    <t>Melting_Curves/meltCurve_F8W8H5_RAB24.pdf</t>
  </si>
  <si>
    <t>Melting_Curves/meltCurve_F8W8I6_TIA1.pdf</t>
  </si>
  <si>
    <t>Melting_Curves/meltCurve_F8W8M9_UNC13B.pdf</t>
  </si>
  <si>
    <t>Melting_Curves/meltCurve_F8W8P5_CADPS2.pdf</t>
  </si>
  <si>
    <t>Melting_Curves/meltCurve_F8W8Q9_STX5.pdf</t>
  </si>
  <si>
    <t>Melting_Curves/meltCurve_F8W930_IGF2BP2.pdf</t>
  </si>
  <si>
    <t>Melting_Curves/meltCurve_F8W946_FSD1L.pdf</t>
  </si>
  <si>
    <t>Melting_Curves/meltCurve_F8W998_CASK.pdf</t>
  </si>
  <si>
    <t>Melting_Curves/meltCurve_F8W9F9_WNK2.pdf</t>
  </si>
  <si>
    <t>Melting_Curves/meltCurve_F8W9I9_DYRK1A.pdf</t>
  </si>
  <si>
    <t>Melting_Curves/meltCurve_F8W9Q9_LENG8.pdf</t>
  </si>
  <si>
    <t>Melting_Curves/meltCurve_F8W9R9_MED24.pdf</t>
  </si>
  <si>
    <t>Melting_Curves/meltCurve_F8W9X7_CCDC93.pdf</t>
  </si>
  <si>
    <t>Melting_Curves/meltCurve_F8WAB8_SLC25A26.pdf</t>
  </si>
  <si>
    <t>Melting_Curves/meltCurve_F8WAD8_ADAM22.pdf</t>
  </si>
  <si>
    <t>Melting_Curves/meltCurve_F8WAK8_STAG2.pdf</t>
  </si>
  <si>
    <t>Melting_Curves/meltCurve_F8WB74_SEPW1.pdf</t>
  </si>
  <si>
    <t>Melting_Curves/meltCurve_F8WBK5_MRPL40.pdf</t>
  </si>
  <si>
    <t>Melting_Curves/meltCurve_F8WBV7_PLD1.pdf</t>
  </si>
  <si>
    <t>Melting_Curves/meltCurve_F8WBY6_GTPBP8.pdf</t>
  </si>
  <si>
    <t>Melting_Curves/meltCurve_F8WC89_SAC3D1.pdf</t>
  </si>
  <si>
    <t>Melting_Curves/meltCurve_F8WCF2_EIF4G1.pdf</t>
  </si>
  <si>
    <t>Melting_Curves/meltCurve_F8WCP6_KIF21A.pdf</t>
  </si>
  <si>
    <t>Melting_Curves/meltCurve_F8WCT2_FRMPD2.pdf</t>
  </si>
  <si>
    <t>Melting_Curves/meltCurve_F8WD04_ATL1.pdf</t>
  </si>
  <si>
    <t>Melting_Curves/meltCurve_F8WE42_NOL8.pdf</t>
  </si>
  <si>
    <t>Melting_Curves/meltCurve_F8WE91_DNMT3A.pdf</t>
  </si>
  <si>
    <t>Melting_Curves/meltCurve_F8WEA9_KSR1.pdf</t>
  </si>
  <si>
    <t>Melting_Curves/meltCurve_F8WEE4_ZFAND2B.pdf</t>
  </si>
  <si>
    <t>Melting_Curves/meltCurve_F8WF48_SEC62.pdf</t>
  </si>
  <si>
    <t>Melting_Curves/meltCurve_F8WF93_ALG3.pdf</t>
  </si>
  <si>
    <t>Melting_Curves/meltCurve_G3V0I5_NDUFV1.pdf</t>
  </si>
  <si>
    <t>Melting_Curves/meltCurve_G3V0I6_OTUD4.pdf</t>
  </si>
  <si>
    <t>Melting_Curves/meltCurve_G3V145_SDR16C5.pdf</t>
  </si>
  <si>
    <t>Melting_Curves/meltCurve_G3V1A6_GSDMD.pdf</t>
  </si>
  <si>
    <t>Melting_Curves/meltCurve_G3V1D3_DPP3.pdf</t>
  </si>
  <si>
    <t>Melting_Curves/meltCurve_G3V1K3_PON2.pdf</t>
  </si>
  <si>
    <t>Melting_Curves/meltCurve_G3V1P3_LOH12CR1.pdf</t>
  </si>
  <si>
    <t>Melting_Curves/meltCurve_G3V1R9_ISYNA1.pdf</t>
  </si>
  <si>
    <t>Melting_Curves/meltCurve_G3V1U0_ATF7IP.pdf</t>
  </si>
  <si>
    <t>Melting_Curves/meltCurve_G3V1U5_GOLT1B.pdf</t>
  </si>
  <si>
    <t>Melting_Curves/meltCurve_G3V1V1_ZCRB1.pdf</t>
  </si>
  <si>
    <t>Melting_Curves/meltCurve_G3V203_RPL18.pdf</t>
  </si>
  <si>
    <t>Melting_Curves/meltCurve_G3V207_TMCC3.pdf</t>
  </si>
  <si>
    <t>Melting_Curves/meltCurve_G3V238_METTL10.pdf</t>
  </si>
  <si>
    <t>Melting_Curves/meltCurve_G3V2F7_TMEM189.pdf</t>
  </si>
  <si>
    <t>Melting_Curves/meltCurve_G3V2U7_ACYP1.pdf</t>
  </si>
  <si>
    <t>Melting_Curves/meltCurve_G3V325_ATP5J2_PTCD1.pdf</t>
  </si>
  <si>
    <t>Melting_Curves/meltCurve_G3V379_FERMT2.pdf</t>
  </si>
  <si>
    <t>Melting_Curves/meltCurve_G3V394_MYO5A.pdf</t>
  </si>
  <si>
    <t>Melting_Curves/meltCurve_G3V3D2_SPATA7.pdf</t>
  </si>
  <si>
    <t>Melting_Curves/meltCurve_G3V3G9_DCAF8.pdf</t>
  </si>
  <si>
    <t>Melting_Curves/meltCurve_G3V3I4_NFKBIA.pdf</t>
  </si>
  <si>
    <t>Melting_Curves/meltCurve_G3V4E1_DGKA.pdf</t>
  </si>
  <si>
    <t>Melting_Curves/meltCurve_G3V4K3_VIPAS39.pdf</t>
  </si>
  <si>
    <t>Melting_Curves/meltCurve_G3V4W0_HNRNPC.pdf</t>
  </si>
  <si>
    <t>Melting_Curves/meltCurve_G3V529_DDX24.pdf</t>
  </si>
  <si>
    <t>Melting_Curves/meltCurve_G3V583_FAM177A1.pdf</t>
  </si>
  <si>
    <t>Melting_Curves/meltCurve_G3V599_CTAGE5.pdf</t>
  </si>
  <si>
    <t>Melting_Curves/meltCurve_G3V5E1_CCNK.pdf</t>
  </si>
  <si>
    <t>Melting_Curves/meltCurve_G3V5N8_ZFYVE1.pdf</t>
  </si>
  <si>
    <t>Melting_Curves/meltCurve_G3V5T0_GSTZ1.pdf</t>
  </si>
  <si>
    <t>Melting_Curves/meltCurve_G3V5T9_CDK2.pdf</t>
  </si>
  <si>
    <t>Melting_Curves/meltCurve_G3V5W1_WARS.pdf</t>
  </si>
  <si>
    <t>Melting_Curves/meltCurve_G3V5Z7_PSMA6.pdf</t>
  </si>
  <si>
    <t>Melting_Curves/meltCurve_G3XA81_TMEM48.pdf</t>
  </si>
  <si>
    <t>Melting_Curves/meltCurve_G3XAA0_ARID1B.pdf</t>
  </si>
  <si>
    <t>Melting_Curves/meltCurve_G3XAA2_MAP4K4.pdf</t>
  </si>
  <si>
    <t>Melting_Curves/meltCurve_G3XAB3_TTC17.pdf</t>
  </si>
  <si>
    <t>Melting_Curves/meltCurve_G3XAC1_SLC26A6.pdf</t>
  </si>
  <si>
    <t>Melting_Curves/meltCurve_G3XAD5_PTPRD.pdf</t>
  </si>
  <si>
    <t>Melting_Curves/meltCurve_G3XAH6_PAPOLA.pdf</t>
  </si>
  <si>
    <t>Melting_Curves/meltCurve_G3XAI2_LAMB1.pdf</t>
  </si>
  <si>
    <t>Melting_Curves/meltCurve_G3XAN4_TRAM1.pdf</t>
  </si>
  <si>
    <t>Melting_Curves/meltCurve_G3XAN8_TIMM8B.pdf</t>
  </si>
  <si>
    <t>Melting_Curves/meltCurve_G5E933_SBF1.pdf</t>
  </si>
  <si>
    <t>Melting_Curves/meltCurve_G5E975_SMARCB1.pdf</t>
  </si>
  <si>
    <t>Melting_Curves/meltCurve_G5E994_GPR107.pdf</t>
  </si>
  <si>
    <t>Melting_Curves/meltCurve_G5E9A6_USP11.pdf</t>
  </si>
  <si>
    <t>Melting_Curves/meltCurve_G5E9E7_TJP1.pdf</t>
  </si>
  <si>
    <t>Melting_Curves/meltCurve_G5E9P3_NKIRAS1.pdf</t>
  </si>
  <si>
    <t>Melting_Curves/meltCurve_G5E9V4_HPS3.pdf</t>
  </si>
  <si>
    <t>Melting_Curves/meltCurve_G5EA07_PWWP2A.pdf</t>
  </si>
  <si>
    <t>Melting_Curves/meltCurve_G5EA30_CELF1.pdf</t>
  </si>
  <si>
    <t>Melting_Curves/meltCurve_G8JL95_MAU2.pdf</t>
  </si>
  <si>
    <t>Melting_Curves/meltCurve_G8JL98_TDG.pdf</t>
  </si>
  <si>
    <t>Melting_Curves/meltCurve_G8JLB3_PUS1.pdf</t>
  </si>
  <si>
    <t>Melting_Curves/meltCurve_G8JLB6_HNRNPH1.pdf</t>
  </si>
  <si>
    <t>Melting_Curves/meltCurve_G8JLC4_SMPD4.pdf</t>
  </si>
  <si>
    <t>Melting_Curves/meltCurve_G8JLI5_WDR45.pdf</t>
  </si>
  <si>
    <t>Melting_Curves/meltCurve_G8JLI6_LEPREL2.pdf</t>
  </si>
  <si>
    <t>Melting_Curves/meltCurve_G8JLK4_TACC1.pdf</t>
  </si>
  <si>
    <t>Melting_Curves/meltCurve_G8JLL2_PPT2.pdf</t>
  </si>
  <si>
    <t>Melting_Curves/meltCurve_G8JLL7_MVB12B.pdf</t>
  </si>
  <si>
    <t>Melting_Curves/meltCurve_G8JLM6_TAF6.pdf</t>
  </si>
  <si>
    <t>Melting_Curves/meltCurve_G8JLQ3_BLOC1S1.pdf</t>
  </si>
  <si>
    <t>Melting_Curves/meltCurve_H0UI80_TH1L.pdf</t>
  </si>
  <si>
    <t>Melting_Curves/meltCurve_H0Y2S9_MPRIP.pdf</t>
  </si>
  <si>
    <t>Melting_Curves/meltCurve_H0Y327_MTHFD1L.pdf</t>
  </si>
  <si>
    <t>Melting_Curves/meltCurve_H0Y360_AMPD2.pdf</t>
  </si>
  <si>
    <t>Melting_Curves/meltCurve_H0Y362_SLC30A7.pdf</t>
  </si>
  <si>
    <t>Melting_Curves/meltCurve_H0Y3H2_ABCA3.pdf</t>
  </si>
  <si>
    <t>Melting_Curves/meltCurve_H0Y412_PRRC2B.pdf</t>
  </si>
  <si>
    <t>Melting_Curves/meltCurve_H0Y4G9_MYD88.pdf</t>
  </si>
  <si>
    <t>Melting_Curves/meltCurve_H0Y4W2_TRRAP.pdf</t>
  </si>
  <si>
    <t>Melting_Curves/meltCurve_H0Y4Y2_NAPEPLD.pdf</t>
  </si>
  <si>
    <t>Melting_Curves/meltCurve_H0Y530_PAEP.pdf</t>
  </si>
  <si>
    <t>Melting_Curves/meltCurve_H0Y5D5_CIZ1.pdf</t>
  </si>
  <si>
    <t>Melting_Curves/meltCurve_H0Y614_UFM1.pdf</t>
  </si>
  <si>
    <t>Melting_Curves/meltCurve_H0Y627_SNAP47.pdf</t>
  </si>
  <si>
    <t>Melting_Curves/meltCurve_H0Y6A0_ARFGAP3.pdf</t>
  </si>
  <si>
    <t>Melting_Curves/meltCurve_H0Y6I7_KDM6A.pdf</t>
  </si>
  <si>
    <t>Melting_Curves/meltCurve_H0Y6J0_NME4.pdf</t>
  </si>
  <si>
    <t>Melting_Curves/meltCurve_H0Y6K2_BRD2.pdf</t>
  </si>
  <si>
    <t>Melting_Curves/meltCurve_H0Y6K5_SP3.pdf</t>
  </si>
  <si>
    <t>Melting_Curves/meltCurve_H0Y742_SUN1.pdf</t>
  </si>
  <si>
    <t>Melting_Curves/meltCurve_H0Y7A7_CALM2.pdf</t>
  </si>
  <si>
    <t>Melting_Curves/meltCurve_H0Y7S3_ATP2B2.pdf</t>
  </si>
  <si>
    <t>Melting_Curves/meltCurve_H0Y7X5_PLXNB2.pdf</t>
  </si>
  <si>
    <t>Melting_Curves/meltCurve_H0Y858_.pdf</t>
  </si>
  <si>
    <t>Melting_Curves/meltCurve_H0Y882_FOXP1.pdf</t>
  </si>
  <si>
    <t>Melting_Curves/meltCurve_H0Y8C3_MTCH1.pdf</t>
  </si>
  <si>
    <t>Melting_Curves/meltCurve_H0Y8D0_TMEM222.pdf</t>
  </si>
  <si>
    <t>Melting_Curves/meltCurve_H0Y9D6_B4GALT7.pdf</t>
  </si>
  <si>
    <t>Melting_Curves/meltCurve_H0Y9T8_PRR5_ARHGAP8.pdf</t>
  </si>
  <si>
    <t>Melting_Curves/meltCurve_H0Y9X1_TMA16.pdf</t>
  </si>
  <si>
    <t>Melting_Curves/meltCurve_H0YA52_PCBD2.pdf</t>
  </si>
  <si>
    <t>Melting_Curves/meltCurve_H0YA80_UBE2B.pdf</t>
  </si>
  <si>
    <t>Melting_Curves/meltCurve_H0YAV1_RRM2B.pdf</t>
  </si>
  <si>
    <t>Melting_Curves/meltCurve_H0YB73_UBE2W.pdf</t>
  </si>
  <si>
    <t>Melting_Curves/meltCurve_H0YBC7_BNIP3L.pdf</t>
  </si>
  <si>
    <t>Melting_Curves/meltCurve_H0YBI6_TXNRD3.pdf</t>
  </si>
  <si>
    <t>Melting_Curves/meltCurve_H0YBN0_VPS37A.pdf</t>
  </si>
  <si>
    <t>Melting_Curves/meltCurve_H0YBP1_PTK2.pdf</t>
  </si>
  <si>
    <t>Melting_Curves/meltCurve_H0YBR0_TRAPPC9.pdf</t>
  </si>
  <si>
    <t>Melting_Curves/meltCurve_H0YBR2_ESRP1.pdf</t>
  </si>
  <si>
    <t>Melting_Curves/meltCurve_H0YBZ2_CD74.pdf</t>
  </si>
  <si>
    <t>Melting_Curves/meltCurve_H0YCY4_GLB1L2.pdf</t>
  </si>
  <si>
    <t>Melting_Curves/meltCurve_H0YD93_RUFY2.pdf</t>
  </si>
  <si>
    <t>Melting_Curves/meltCurve_H0YDK9_PPP6R3.pdf</t>
  </si>
  <si>
    <t>Melting_Curves/meltCurve_H0YDQ8_CRTC2.pdf</t>
  </si>
  <si>
    <t>Melting_Curves/meltCurve_H0YDU8_PPP5C.pdf</t>
  </si>
  <si>
    <t>Melting_Curves/meltCurve_H0YEB6_SSSCA1.pdf</t>
  </si>
  <si>
    <t>Melting_Curves/meltCurve_H0YEF3_RNASEH2C.pdf</t>
  </si>
  <si>
    <t>Melting_Curves/meltCurve_H0YEM6_PELI3.pdf</t>
  </si>
  <si>
    <t>Melting_Curves/meltCurve_H0YEP0_KAT5.pdf</t>
  </si>
  <si>
    <t>Melting_Curves/meltCurve_H0YEP5_SMPD1.pdf</t>
  </si>
  <si>
    <t>Melting_Curves/meltCurve_H0YGA7_CADM1.pdf</t>
  </si>
  <si>
    <t>Melting_Curves/meltCurve_H0YGF8_PLCD3.pdf</t>
  </si>
  <si>
    <t>Melting_Curves/meltCurve_H0YGR4_REXO2.pdf</t>
  </si>
  <si>
    <t>Melting_Curves/meltCurve_H0YGW5_LRP6.pdf</t>
  </si>
  <si>
    <t>Melting_Curves/meltCurve_H0YHG0_.pdf</t>
  </si>
  <si>
    <t>Melting_Curves/meltCurve_H0YI09_METTL7A.pdf</t>
  </si>
  <si>
    <t>Melting_Curves/meltCurve_H0YI20_OAS1.pdf</t>
  </si>
  <si>
    <t>Melting_Curves/meltCurve_H0YIE9_FBXO21.pdf</t>
  </si>
  <si>
    <t>Melting_Curves/meltCurve_H0YIV9_.pdf</t>
  </si>
  <si>
    <t>Melting_Curves/meltCurve_H0YJ17_NGDN.pdf</t>
  </si>
  <si>
    <t>Melting_Curves/meltCurve_H0YK61_EMC4.pdf</t>
  </si>
  <si>
    <t>Melting_Curves/meltCurve_H0YKD8_RPL28.pdf</t>
  </si>
  <si>
    <t>Melting_Curves/meltCurve_H0YKG9_EID1.pdf</t>
  </si>
  <si>
    <t>Melting_Curves/meltCurve_H0YL70_TLE3.pdf</t>
  </si>
  <si>
    <t>Melting_Curves/meltCurve_H0YLB5_POU2F1.pdf</t>
  </si>
  <si>
    <t>Melting_Curves/meltCurve_H0YLX2_RFX7.pdf</t>
  </si>
  <si>
    <t>Melting_Curves/meltCurve_H0YMB3_GMPR2.pdf</t>
  </si>
  <si>
    <t>Melting_Curves/meltCurve_H0YMG7_ALDH1A2.pdf</t>
  </si>
  <si>
    <t>Melting_Curves/meltCurve_H0YMI6_PSMA4.pdf</t>
  </si>
  <si>
    <t>Melting_Curves/meltCurve_H0YMJ0_MORF4L1.pdf</t>
  </si>
  <si>
    <t>Melting_Curves/meltCurve_H0YN78_C15orf57.pdf</t>
  </si>
  <si>
    <t>Melting_Curves/meltCurve_H0YNB6_PBX3.pdf</t>
  </si>
  <si>
    <t>Melting_Curves/meltCurve_H0YNE9_RAB8B.pdf</t>
  </si>
  <si>
    <t>Melting_Curves/meltCurve_H0YNG3_SEC11A.pdf</t>
  </si>
  <si>
    <t>Melting_Curves/meltCurve_H0YNH6_EMC9.pdf</t>
  </si>
  <si>
    <t>Melting_Curves/meltCurve_H0YNH8_UACA.pdf</t>
  </si>
  <si>
    <t>Melting_Curves/meltCurve_H0YNU5_BLM.pdf</t>
  </si>
  <si>
    <t>Melting_Curves/meltCurve_H3BLV0_CD55.pdf</t>
  </si>
  <si>
    <t>Melting_Curves/meltCurve_H3BLZ2_DBNDD1.pdf</t>
  </si>
  <si>
    <t>Melting_Curves/meltCurve_H3BLZ8_DDX17.pdf</t>
  </si>
  <si>
    <t>Melting_Curves/meltCurve_H3BM14_NUB1.pdf</t>
  </si>
  <si>
    <t>Melting_Curves/meltCurve_H3BM42_GLG1.pdf</t>
  </si>
  <si>
    <t>Melting_Curves/meltCurve_H3BM67_NOL3.pdf</t>
  </si>
  <si>
    <t>Melting_Curves/meltCurve_H3BM91_COMMD4.pdf</t>
  </si>
  <si>
    <t>Melting_Curves/meltCurve_H3BMF4_SPNS1.pdf</t>
  </si>
  <si>
    <t>Melting_Curves/meltCurve_H3BMM5_.pdf</t>
  </si>
  <si>
    <t>Melting_Curves/meltCurve_H3BMN1_C1orf63.pdf</t>
  </si>
  <si>
    <t>Melting_Curves/meltCurve_H3BMQ0_TSC2.pdf</t>
  </si>
  <si>
    <t>Melting_Curves/meltCurve_H3BN98_.pdf</t>
  </si>
  <si>
    <t>Melting_Curves/meltCurve_H3BNT4_MPHOSPH6.pdf</t>
  </si>
  <si>
    <t>Melting_Curves/meltCurve_H3BP13_TRAPPC2L.pdf</t>
  </si>
  <si>
    <t>Melting_Curves/meltCurve_H3BP20_HEXA.pdf</t>
  </si>
  <si>
    <t>Melting_Curves/meltCurve_H3BP28_COQ7.pdf</t>
  </si>
  <si>
    <t>Melting_Curves/meltCurve_H3BP77_TK2.pdf</t>
  </si>
  <si>
    <t>Melting_Curves/meltCurve_H3BPE1_MACF1.pdf</t>
  </si>
  <si>
    <t>Melting_Curves/meltCurve_H3BPJ7_TCF4.pdf</t>
  </si>
  <si>
    <t>Melting_Curves/meltCurve_H3BPL0_CLN3.pdf</t>
  </si>
  <si>
    <t>Melting_Curves/meltCurve_H3BPS8_ALDOA.pdf</t>
  </si>
  <si>
    <t>Melting_Curves/meltCurve_H3BQA0_SNAPC5.pdf</t>
  </si>
  <si>
    <t>Melting_Curves/meltCurve_H3BQA7_OBSCN.pdf</t>
  </si>
  <si>
    <t>Melting_Curves/meltCurve_H3BQQ9_UBE2I.pdf</t>
  </si>
  <si>
    <t>Melting_Curves/meltCurve_H3BQT8_TMEM170A.pdf</t>
  </si>
  <si>
    <t>Melting_Curves/meltCurve_H3BQV3_COG8.pdf</t>
  </si>
  <si>
    <t>Melting_Curves/meltCurve_H3BR01_SPINT1.pdf</t>
  </si>
  <si>
    <t>Melting_Curves/meltCurve_H3BR94_DCTN5.pdf</t>
  </si>
  <si>
    <t>Melting_Curves/meltCurve_H3BRF9_ZFYVE19.pdf</t>
  </si>
  <si>
    <t>Melting_Curves/meltCurve_H3BRL3_UBFD1.pdf</t>
  </si>
  <si>
    <t>Melting_Curves/meltCurve_H3BRN4_ABAT.pdf</t>
  </si>
  <si>
    <t>Melting_Curves/meltCurve_H3BRS1_NFATC3.pdf</t>
  </si>
  <si>
    <t>Melting_Curves/meltCurve_H3BRU1_FAM219B.pdf</t>
  </si>
  <si>
    <t>Melting_Curves/meltCurve_H3BRV0_EIF3C.pdf</t>
  </si>
  <si>
    <t>Melting_Curves/meltCurve_H3BRY6_VWA9.pdf</t>
  </si>
  <si>
    <t>Melting_Curves/meltCurve_H3BS09_CYLD.pdf</t>
  </si>
  <si>
    <t>Melting_Curves/meltCurve_H3BS42_ZNF768.pdf</t>
  </si>
  <si>
    <t>Melting_Curves/meltCurve_H3BS64_MSRB1.pdf</t>
  </si>
  <si>
    <t>Melting_Curves/meltCurve_H3BSM5_GABARAPL2.pdf</t>
  </si>
  <si>
    <t>Melting_Curves/meltCurve_H3BSM7_C16orf58.pdf</t>
  </si>
  <si>
    <t>Melting_Curves/meltCurve_H3BST1_BLOC1S6.pdf</t>
  </si>
  <si>
    <t>Melting_Curves/meltCurve_H3BSW6_CTU2.pdf</t>
  </si>
  <si>
    <t>Melting_Curves/meltCurve_H3BTL1_MAP1LC3B.pdf</t>
  </si>
  <si>
    <t>Melting_Curves/meltCurve_H3BTN5_PKM.pdf</t>
  </si>
  <si>
    <t>Melting_Curves/meltCurve_H3BTQ7_ORC6.pdf</t>
  </si>
  <si>
    <t>Melting_Curves/meltCurve_H3BTX0_.pdf</t>
  </si>
  <si>
    <t>Melting_Curves/meltCurve_H3BU23_CDR2.pdf</t>
  </si>
  <si>
    <t>Melting_Curves/meltCurve_H3BU49_ARL2BP.pdf</t>
  </si>
  <si>
    <t>Melting_Curves/meltCurve_H3BUJ1_ITFG1.pdf</t>
  </si>
  <si>
    <t>Melting_Curves/meltCurve_H3BUQ2_OGFOD1.pdf</t>
  </si>
  <si>
    <t>Melting_Curves/meltCurve_H3BV80_RNPS1.pdf</t>
  </si>
  <si>
    <t>Melting_Curves/meltCurve_H3BVI4_LMF1.pdf</t>
  </si>
  <si>
    <t>Melting_Curves/meltCurve_H6UMI1_GABARAP.pdf</t>
  </si>
  <si>
    <t>Melting_Curves/meltCurve_H7BXD5_GCA.pdf</t>
  </si>
  <si>
    <t>Melting_Curves/meltCurve_H7BXF5_SAP130.pdf</t>
  </si>
  <si>
    <t>Melting_Curves/meltCurve_H7BXH2_PPP6R3.pdf</t>
  </si>
  <si>
    <t>Melting_Curves/meltCurve_H7BXH9_METTL21A.pdf</t>
  </si>
  <si>
    <t>Melting_Curves/meltCurve_H7BXI1_ESYT2.pdf</t>
  </si>
  <si>
    <t>Melting_Curves/meltCurve_H7BXI5_ERGIC3.pdf</t>
  </si>
  <si>
    <t>Melting_Curves/meltCurve_H7BXL1_TMEM41A.pdf</t>
  </si>
  <si>
    <t>Melting_Curves/meltCurve_H7BXW7_MPC1.pdf</t>
  </si>
  <si>
    <t>Melting_Curves/meltCurve_H7BXY3_DHX30.pdf</t>
  </si>
  <si>
    <t>Melting_Curves/meltCurve_H7BY58_PCMT1.pdf</t>
  </si>
  <si>
    <t>Melting_Curves/meltCurve_H7BYE5_WRB.pdf</t>
  </si>
  <si>
    <t>Melting_Curves/meltCurve_H7BYJ1_RNF34.pdf</t>
  </si>
  <si>
    <t>Melting_Curves/meltCurve_H7BYQ6_INTS9.pdf</t>
  </si>
  <si>
    <t>Melting_Curves/meltCurve_H7BYY1_TPM1.pdf</t>
  </si>
  <si>
    <t>Melting_Curves/meltCurve_H7BZ70_KRTCAP3.pdf</t>
  </si>
  <si>
    <t>Melting_Curves/meltCurve_H7BZ94_P4HB.pdf</t>
  </si>
  <si>
    <t>Melting_Curves/meltCurve_H7BZJ3_PDIA3.pdf</t>
  </si>
  <si>
    <t>Melting_Curves/meltCurve_H7BZT4_.pdf</t>
  </si>
  <si>
    <t>Melting_Curves/meltCurve_H7C024_GPC1.pdf</t>
  </si>
  <si>
    <t>Melting_Curves/meltCurve_H7C091_RBKS.pdf</t>
  </si>
  <si>
    <t>Melting_Curves/meltCurve_H7C0G7_NHEJ1.pdf</t>
  </si>
  <si>
    <t>Melting_Curves/meltCurve_H7C0J0_CHL1.pdf</t>
  </si>
  <si>
    <t>Melting_Curves/meltCurve_H7C0N4_SF1.pdf</t>
  </si>
  <si>
    <t>Melting_Curves/meltCurve_H7C107_IQSEC1.pdf</t>
  </si>
  <si>
    <t>Melting_Curves/meltCurve_H7C155_RAF1.pdf</t>
  </si>
  <si>
    <t>Melting_Curves/meltCurve_H7C173_MZT2B.pdf</t>
  </si>
  <si>
    <t>Melting_Curves/meltCurve_H7C1F9_RALGAPA2.pdf</t>
  </si>
  <si>
    <t>Melting_Curves/meltCurve_H7C1I0_SLC35E1.pdf</t>
  </si>
  <si>
    <t>Melting_Curves/meltCurve_H7C1N3_BET1.pdf</t>
  </si>
  <si>
    <t>Melting_Curves/meltCurve_H7C1U3_CC2D1B.pdf</t>
  </si>
  <si>
    <t>Melting_Curves/meltCurve_H7C1U8_APOO.pdf</t>
  </si>
  <si>
    <t>Melting_Curves/meltCurve_H7C270_CTDSP1.pdf</t>
  </si>
  <si>
    <t>Melting_Curves/meltCurve_H7C285_TSPAN15.pdf</t>
  </si>
  <si>
    <t>Melting_Curves/meltCurve_H7C2U6_NIPSNAP1.pdf</t>
  </si>
  <si>
    <t>Melting_Curves/meltCurve_H7C2W9_RPL31.pdf</t>
  </si>
  <si>
    <t>Melting_Curves/meltCurve_H7C368_OSBP2.pdf</t>
  </si>
  <si>
    <t>Melting_Curves/meltCurve_H7C3G9_NAGK.pdf</t>
  </si>
  <si>
    <t>Melting_Curves/meltCurve_H7C3P4_GNS.pdf</t>
  </si>
  <si>
    <t>Melting_Curves/meltCurve_H7C3Q6_MITD1.pdf</t>
  </si>
  <si>
    <t>Melting_Curves/meltCurve_H7C3T2_ATG2A.pdf</t>
  </si>
  <si>
    <t>Melting_Curves/meltCurve_H7C3Z1_TTC3.pdf</t>
  </si>
  <si>
    <t>Melting_Curves/meltCurve_H7C417_.pdf</t>
  </si>
  <si>
    <t>Melting_Curves/meltCurve_H7C446_PPAN.pdf</t>
  </si>
  <si>
    <t>Melting_Curves/meltCurve_H7C484_ARV1.pdf</t>
  </si>
  <si>
    <t>Melting_Curves/meltCurve_H7C4K1_STK19.pdf</t>
  </si>
  <si>
    <t>Melting_Curves/meltCurve_H7C4W1_ITGB5.pdf</t>
  </si>
  <si>
    <t>Melting_Curves/meltCurve_H7C4X9_ZMYND8.pdf</t>
  </si>
  <si>
    <t>Melting_Curves/meltCurve_H7C5F7_NDFIP2.pdf</t>
  </si>
  <si>
    <t>Melting_Curves/meltCurve_H7C5G1_IAH1.pdf</t>
  </si>
  <si>
    <t>Melting_Curves/meltCurve_H7C5R4_GK5.pdf</t>
  </si>
  <si>
    <t>Melting_Curves/meltCurve_H7C5R8_PARP14.pdf</t>
  </si>
  <si>
    <t>Melting_Curves/meltCurve_H9KV70_LCN2.pdf</t>
  </si>
  <si>
    <t>Melting_Curves/meltCurve_H9KVB4_TNRC18.pdf</t>
  </si>
  <si>
    <t>Melting_Curves/meltCurve_H9KVB8_MICU1.pdf</t>
  </si>
  <si>
    <t>Melting_Curves/meltCurve_I3L097_.pdf</t>
  </si>
  <si>
    <t>Melting_Curves/meltCurve_I3L0B8_SLC25A52.pdf</t>
  </si>
  <si>
    <t>Melting_Curves/meltCurve_I3L0C1_SMG1.pdf</t>
  </si>
  <si>
    <t>Melting_Curves/meltCurve_I3L0K1_GOSR2.pdf</t>
  </si>
  <si>
    <t>Melting_Curves/meltCurve_I3L0N3_NSF.pdf</t>
  </si>
  <si>
    <t>Melting_Curves/meltCurve_I3L112_DGKE.pdf</t>
  </si>
  <si>
    <t>Melting_Curves/meltCurve_I3L1H5_DPH1.pdf</t>
  </si>
  <si>
    <t>Melting_Curves/meltCurve_I3L1P8_SLC25A11.pdf</t>
  </si>
  <si>
    <t>Melting_Curves/meltCurve_I3L1Q3_ELP5.pdf</t>
  </si>
  <si>
    <t>Melting_Curves/meltCurve_I3L2C7_GEMIN4.pdf</t>
  </si>
  <si>
    <t>Melting_Curves/meltCurve_I3L2H2_ZNF174.pdf</t>
  </si>
  <si>
    <t>Melting_Curves/meltCurve_I3L2J0_CIC.pdf</t>
  </si>
  <si>
    <t>Melting_Curves/meltCurve_I3L2J8_AZI1.pdf</t>
  </si>
  <si>
    <t>Melting_Curves/meltCurve_I3L2L5_FAM195B.pdf</t>
  </si>
  <si>
    <t>Melting_Curves/meltCurve_I3L2R4_SLC2A4.pdf</t>
  </si>
  <si>
    <t>Melting_Curves/meltCurve_I3L397_EIF5A.pdf</t>
  </si>
  <si>
    <t>Melting_Curves/meltCurve_I3L3A8_PELP1.pdf</t>
  </si>
  <si>
    <t>Melting_Curves/meltCurve_I3L3B4_.pdf</t>
  </si>
  <si>
    <t>Melting_Curves/meltCurve_I3L3P7_RPS15A.pdf</t>
  </si>
  <si>
    <t>Melting_Curves/meltCurve_I3L448_ATPAF1.pdf</t>
  </si>
  <si>
    <t>Melting_Curves/meltCurve_I3L4B1_MYL4.pdf</t>
  </si>
  <si>
    <t>Melting_Curves/meltCurve_I3L4X2_ABCC1.pdf</t>
  </si>
  <si>
    <t>Melting_Curves/meltCurve_I3L4X3_NFKBIB.pdf</t>
  </si>
  <si>
    <t>Melting_Curves/meltCurve_I3L505_NDUFAB1.pdf</t>
  </si>
  <si>
    <t>Melting_Curves/meltCurve_I3NI03_P4HB.pdf</t>
  </si>
  <si>
    <t>Melting_Curves/meltCurve_I6L8B7_FABP5.pdf</t>
  </si>
  <si>
    <t>Melting_Curves/meltCurve_J3KMW8_CACTIN.pdf</t>
  </si>
  <si>
    <t>Melting_Curves/meltCurve_J3KMX2_SMARCD2.pdf</t>
  </si>
  <si>
    <t>Melting_Curves/meltCurve_J3KMY5_NPC2.pdf</t>
  </si>
  <si>
    <t>Melting_Curves/meltCurve_J3KMZ8_DPF2.pdf</t>
  </si>
  <si>
    <t>Melting_Curves/meltCurve_J3KMZ9_LDLR.pdf</t>
  </si>
  <si>
    <t>Melting_Curves/meltCurve_J3KN00_NDUFA13.pdf</t>
  </si>
  <si>
    <t>Melting_Curves/meltCurve_J3KN16_KIAA0368.pdf</t>
  </si>
  <si>
    <t>Melting_Curves/meltCurve_J3KN27_FBRSL1.pdf</t>
  </si>
  <si>
    <t>Melting_Curves/meltCurve_J3KN29_PSMD9.pdf</t>
  </si>
  <si>
    <t>Melting_Curves/meltCurve_J3KN32_RCOR1.pdf</t>
  </si>
  <si>
    <t>Melting_Curves/meltCurve_J3KN39_NLRP2.pdf</t>
  </si>
  <si>
    <t>Melting_Curves/meltCurve_J3KN59_BNIP2.pdf</t>
  </si>
  <si>
    <t>Melting_Curves/meltCurve_J3KN66_TOR1AIP1.pdf</t>
  </si>
  <si>
    <t>Melting_Curves/meltCurve_J3KN67_TPM3.pdf</t>
  </si>
  <si>
    <t>Melting_Curves/meltCurve_J3KN69_NCEH1.pdf</t>
  </si>
  <si>
    <t>Melting_Curves/meltCurve_J3KN75_TBC1D8B.pdf</t>
  </si>
  <si>
    <t>Melting_Curves/meltCurve_J3KN82_APIP.pdf</t>
  </si>
  <si>
    <t>Melting_Curves/meltCurve_J3KNA0_OXA1L.pdf</t>
  </si>
  <si>
    <t>Melting_Curves/meltCurve_J3KNB8_MAP3K4.pdf</t>
  </si>
  <si>
    <t>Melting_Curves/meltCurve_J3KND1_SAAL1.pdf</t>
  </si>
  <si>
    <t>Melting_Curves/meltCurve_J3KND3_MYL6.pdf</t>
  </si>
  <si>
    <t>Melting_Curves/meltCurve_J3KND8_PAH.pdf</t>
  </si>
  <si>
    <t>Melting_Curves/meltCurve_J3KNF4_CCS.pdf</t>
  </si>
  <si>
    <t>Melting_Curves/meltCurve_J3KNF8_CYB5B.pdf</t>
  </si>
  <si>
    <t>Melting_Curves/meltCurve_J3KNI1_COG4.pdf</t>
  </si>
  <si>
    <t>Melting_Curves/meltCurve_J3KNL3_CHID1.pdf</t>
  </si>
  <si>
    <t>Melting_Curves/meltCurve_J3KNL6_SEC16A.pdf</t>
  </si>
  <si>
    <t>Melting_Curves/meltCurve_J3KNM5_YAF2.pdf</t>
  </si>
  <si>
    <t>Melting_Curves/meltCurve_J3KNN5_DDX41.pdf</t>
  </si>
  <si>
    <t>Melting_Curves/meltCurve_J3KNP4_SEMA4B.pdf</t>
  </si>
  <si>
    <t>Melting_Curves/meltCurve_J3KNR0_MARK3.pdf</t>
  </si>
  <si>
    <t>Melting_Curves/meltCurve_J3KNT4_FGFR1.pdf</t>
  </si>
  <si>
    <t>Melting_Curves/meltCurve_J3KNV1_ZNF292.pdf</t>
  </si>
  <si>
    <t>Melting_Curves/meltCurve_J3KNW7_CCDC41.pdf</t>
  </si>
  <si>
    <t>Melting_Curves/meltCurve_J3KNX9_MYO18A.pdf</t>
  </si>
  <si>
    <t>Melting_Curves/meltCurve_J3KP19_SIPA1L1.pdf</t>
  </si>
  <si>
    <t>Melting_Curves/meltCurve_J3KP22_PTPRA.pdf</t>
  </si>
  <si>
    <t>Melting_Curves/meltCurve_J3KP75_PHACTR2.pdf</t>
  </si>
  <si>
    <t>Melting_Curves/meltCurve_J3KPD3_RBM7.pdf</t>
  </si>
  <si>
    <t>Melting_Curves/meltCurve_J3KPF9_KIF3A.pdf</t>
  </si>
  <si>
    <t>Melting_Curves/meltCurve_J3KPH8_HDAC7.pdf</t>
  </si>
  <si>
    <t>Melting_Curves/meltCurve_J3KPJ3_CAMKK1.pdf</t>
  </si>
  <si>
    <t>Melting_Curves/meltCurve_J3KPL2_KDM1B.pdf</t>
  </si>
  <si>
    <t>Melting_Curves/meltCurve_J3KPS0_DNAJB12.pdf</t>
  </si>
  <si>
    <t>Melting_Curves/meltCurve_J3KPT0_DPP8.pdf</t>
  </si>
  <si>
    <t>Melting_Curves/meltCurve_J3KPT4_TRABD.pdf</t>
  </si>
  <si>
    <t>Melting_Curves/meltCurve_J3KPV1_CHCHD7.pdf</t>
  </si>
  <si>
    <t>Melting_Curves/meltCurve_J3KPV7_MPST.pdf</t>
  </si>
  <si>
    <t>Melting_Curves/meltCurve_J3KPW7_HDAC2.pdf</t>
  </si>
  <si>
    <t>Melting_Curves/meltCurve_J3KPY9_ANTXR2.pdf</t>
  </si>
  <si>
    <t>Melting_Curves/meltCurve_J3KPZ4_C1D.pdf</t>
  </si>
  <si>
    <t>Melting_Curves/meltCurve_J3KPZ8_RFXANK.pdf</t>
  </si>
  <si>
    <t>Melting_Curves/meltCurve_J3KQ32_OLA1.pdf</t>
  </si>
  <si>
    <t>Melting_Curves/meltCurve_J3KQ34_COPS7B.pdf</t>
  </si>
  <si>
    <t>Melting_Curves/meltCurve_J3KQ40_TBC1D8.pdf</t>
  </si>
  <si>
    <t>Melting_Curves/meltCurve_J3KQ48_PTRH2.pdf</t>
  </si>
  <si>
    <t>Melting_Curves/meltCurve_J3KQ88_C6orf203.pdf</t>
  </si>
  <si>
    <t>Melting_Curves/meltCurve_J3KQ98_PPP1R37.pdf</t>
  </si>
  <si>
    <t>Melting_Curves/meltCurve_J3KQA0_SYT1.pdf</t>
  </si>
  <si>
    <t>Melting_Curves/meltCurve_J3KQA6_CYTH2.pdf</t>
  </si>
  <si>
    <t>Melting_Curves/meltCurve_J3KQB0_THUMPD1.pdf</t>
  </si>
  <si>
    <t>Melting_Curves/meltCurve_J3KQE0_SUN2.pdf</t>
  </si>
  <si>
    <t>Melting_Curves/meltCurve_J3KQE5_RAN.pdf</t>
  </si>
  <si>
    <t>Melting_Curves/meltCurve_J3KQG4_GBA.pdf</t>
  </si>
  <si>
    <t>Melting_Curves/meltCurve_J3KQJ1_SUMF2.pdf</t>
  </si>
  <si>
    <t>Melting_Curves/meltCurve_J3KQL8_APOL2.pdf</t>
  </si>
  <si>
    <t>Melting_Curves/meltCurve_J3KQS6_BABAM1.pdf</t>
  </si>
  <si>
    <t>Melting_Curves/meltCurve_J3KQV0_CDKN1A.pdf</t>
  </si>
  <si>
    <t>Melting_Curves/meltCurve_J3KR33_MED19.pdf</t>
  </si>
  <si>
    <t>Melting_Curves/meltCurve_J3KR35_CCDC12.pdf</t>
  </si>
  <si>
    <t>Melting_Curves/meltCurve_J3KR86_GRAMD1A.pdf</t>
  </si>
  <si>
    <t>Melting_Curves/meltCurve_J3KR97_TBCD.pdf</t>
  </si>
  <si>
    <t>Melting_Curves/meltCurve_J3KRC8_C16orf55.pdf</t>
  </si>
  <si>
    <t>Melting_Curves/meltCurve_J3KRG2_GSDMA.pdf</t>
  </si>
  <si>
    <t>Melting_Curves/meltCurve_J3KRP6_SS18.pdf</t>
  </si>
  <si>
    <t>Melting_Curves/meltCurve_J3KS05_CBX1.pdf</t>
  </si>
  <si>
    <t>Melting_Curves/meltCurve_J3KS15_ICT1.pdf</t>
  </si>
  <si>
    <t>Melting_Curves/meltCurve_J3KS94_MBP.pdf</t>
  </si>
  <si>
    <t>Melting_Curves/meltCurve_J3KSJ7_CHTF8.pdf</t>
  </si>
  <si>
    <t>Melting_Curves/meltCurve_J3KSS7_GGA3.pdf</t>
  </si>
  <si>
    <t>Melting_Curves/meltCurve_J3KTA1_FBXL20.pdf</t>
  </si>
  <si>
    <t>Melting_Curves/meltCurve_J3KTA4_DDX5.pdf</t>
  </si>
  <si>
    <t>Melting_Curves/meltCurve_J3KTD2_RTTN.pdf</t>
  </si>
  <si>
    <t>Melting_Curves/meltCurve_J3KTE9_CDH3.pdf</t>
  </si>
  <si>
    <t>Melting_Curves/meltCurve_J3KTL2_SRSF1.pdf</t>
  </si>
  <si>
    <t>Melting_Curves/meltCurve_J3QK89_CHERP.pdf</t>
  </si>
  <si>
    <t>Melting_Curves/meltCurve_J3QK90_NSFL1C.pdf</t>
  </si>
  <si>
    <t>Melting_Curves/meltCurve_J3QKS7_SMARCE1.pdf</t>
  </si>
  <si>
    <t>Melting_Curves/meltCurve_J3QL56_SCO1.pdf</t>
  </si>
  <si>
    <t>Melting_Curves/meltCurve_J3QL71_SCRN2.pdf</t>
  </si>
  <si>
    <t>Melting_Curves/meltCurve_J3QLB2_SLC39A11.pdf</t>
  </si>
  <si>
    <t>Melting_Curves/meltCurve_J3QLM0_CD7.pdf</t>
  </si>
  <si>
    <t>Melting_Curves/meltCurve_J3QLS3_MRPS7.pdf</t>
  </si>
  <si>
    <t>Melting_Curves/meltCurve_J3QLV8_SNX11.pdf</t>
  </si>
  <si>
    <t>Melting_Curves/meltCurve_J3QQJ0_SAP30BP.pdf</t>
  </si>
  <si>
    <t>Melting_Curves/meltCurve_J3QQJ5_TRAPPC8.pdf</t>
  </si>
  <si>
    <t>Melting_Curves/meltCurve_J3QQT2_RPL17.pdf</t>
  </si>
  <si>
    <t>Melting_Curves/meltCurve_J3QQW9_SUZ12.pdf</t>
  </si>
  <si>
    <t>Melting_Curves/meltCurve_J3QR07_YTHDC1.pdf</t>
  </si>
  <si>
    <t>Melting_Curves/meltCurve_J3QR09_RPL19.pdf</t>
  </si>
  <si>
    <t>Melting_Curves/meltCurve_J3QRM9_ORMDL3.pdf</t>
  </si>
  <si>
    <t>Melting_Curves/meltCurve_J3QRS3_MYL12A.pdf</t>
  </si>
  <si>
    <t>Melting_Curves/meltCurve_J3QRS9_ZNF207.pdf</t>
  </si>
  <si>
    <t>Melting_Curves/meltCurve_J3QRU1_YES1.pdf</t>
  </si>
  <si>
    <t>Melting_Curves/meltCurve_J3QRU4_VAMP2.pdf</t>
  </si>
  <si>
    <t>Melting_Curves/meltCurve_J3QRV5_LLGL2.pdf</t>
  </si>
  <si>
    <t>Melting_Curves/meltCurve_J3QRX6_COPRS.pdf</t>
  </si>
  <si>
    <t>Melting_Curves/meltCurve_J3QS41_HELZ.pdf</t>
  </si>
  <si>
    <t>Melting_Curves/meltCurve_J3QS47_CYB561.pdf</t>
  </si>
  <si>
    <t>Melting_Curves/meltCurve_J3QSE8_BRIP1.pdf</t>
  </si>
  <si>
    <t>Melting_Curves/meltCurve_J3QSH4_VEZF1.pdf</t>
  </si>
  <si>
    <t>Melting_Curves/meltCurve_J3QSS3_ABCA2.pdf</t>
  </si>
  <si>
    <t>Melting_Curves/meltCurve_J3QSV6_RSL1D1.pdf</t>
  </si>
  <si>
    <t>Melting_Curves/meltCurve_J3QSW3_ZFP62.pdf</t>
  </si>
  <si>
    <t>Melting_Curves/meltCurve_J3QT87_CRBN.pdf</t>
  </si>
  <si>
    <t>Melting_Curves/meltCurve_J3QTA2_BAG1.pdf</t>
  </si>
  <si>
    <t>Melting_Curves/meltCurve_J3QTA6_CHCHD6.pdf</t>
  </si>
  <si>
    <t>Melting_Curves/meltCurve_J9JIC5_C17orf75.pdf</t>
  </si>
  <si>
    <t>Melting_Curves/meltCurve_J9JID7_LMNB2.pdf</t>
  </si>
  <si>
    <t>Melting_Curves/meltCurve_J9JID9_PITPNC1.pdf</t>
  </si>
  <si>
    <t>Melting_Curves/meltCurve_J9JIE6_TMCO1.pdf</t>
  </si>
  <si>
    <t>Melting_Curves/meltCurve_K4DI92_RWDD4.pdf</t>
  </si>
  <si>
    <t>Melting_Curves/meltCurve_K4DI93_CUL4B.pdf</t>
  </si>
  <si>
    <t>Melting_Curves/meltCurve_K7EID0_MLX.pdf</t>
  </si>
  <si>
    <t>Melting_Curves/meltCurve_K7EIG1_CLUH.pdf</t>
  </si>
  <si>
    <t>Melting_Curves/meltCurve_K7EIG5_LOC440335.pdf</t>
  </si>
  <si>
    <t>Melting_Curves/meltCurve_K7EIJ0_WBP2.pdf</t>
  </si>
  <si>
    <t>Melting_Curves/meltCurve_K7EIN2_NUDT16L1.pdf</t>
  </si>
  <si>
    <t>Melting_Curves/meltCurve_K7EIP7_YIPF2.pdf</t>
  </si>
  <si>
    <t>Melting_Curves/meltCurve_K7EIU8_SMAD4.pdf</t>
  </si>
  <si>
    <t>Melting_Curves/meltCurve_K7EIY4_STX10.pdf</t>
  </si>
  <si>
    <t>Melting_Curves/meltCurve_K7EJ08_SEC14L1.pdf</t>
  </si>
  <si>
    <t>Melting_Curves/meltCurve_K7EJ78_RPS15.pdf</t>
  </si>
  <si>
    <t>Melting_Curves/meltCurve_K7EJB9_CALR.pdf</t>
  </si>
  <si>
    <t>Melting_Curves/meltCurve_K7EJL1_AP1M1.pdf</t>
  </si>
  <si>
    <t>Melting_Curves/meltCurve_K7EJQ7_SEC11C.pdf</t>
  </si>
  <si>
    <t>Melting_Curves/meltCurve_K7EK00_FAM210A.pdf</t>
  </si>
  <si>
    <t>Melting_Curves/meltCurve_K7EK07_H3F3B.pdf</t>
  </si>
  <si>
    <t>Melting_Curves/meltCurve_K7EKA0_FOSB.pdf</t>
  </si>
  <si>
    <t>Melting_Curves/meltCurve_K7EKE6_LONP1.pdf</t>
  </si>
  <si>
    <t>Melting_Curves/meltCurve_K7EKI0_EVPL.pdf</t>
  </si>
  <si>
    <t>Melting_Curves/meltCurve_K7EKI4_MRPL4.pdf</t>
  </si>
  <si>
    <t>Melting_Curves/meltCurve_K7EKI8_PPL.pdf</t>
  </si>
  <si>
    <t>Melting_Curves/meltCurve_K7EKW3_TMUB2.pdf</t>
  </si>
  <si>
    <t>Melting_Curves/meltCurve_K7EL21_CAPS.pdf</t>
  </si>
  <si>
    <t>Melting_Curves/meltCurve_K7EL68_CDC37.pdf</t>
  </si>
  <si>
    <t>Melting_Curves/meltCurve_K7ELL7_PRKCSH.pdf</t>
  </si>
  <si>
    <t>Melting_Curves/meltCurve_K7EM02_KATNAL2.pdf</t>
  </si>
  <si>
    <t>Melting_Curves/meltCurve_K7EM09_TMEM205.pdf</t>
  </si>
  <si>
    <t>Melting_Curves/meltCurve_K7EM88_UBALD1.pdf</t>
  </si>
  <si>
    <t>Melting_Curves/meltCurve_K7EMM8_GLYR1.pdf</t>
  </si>
  <si>
    <t>Melting_Curves/meltCurve_K7EMR7_RTN2.pdf</t>
  </si>
  <si>
    <t>Melting_Curves/meltCurve_K7EMV5_ZNF444.pdf</t>
  </si>
  <si>
    <t>Melting_Curves/meltCurve_K7EN05_ELOF1.pdf</t>
  </si>
  <si>
    <t>Melting_Curves/meltCurve_K7EN88_hCG_2039718.pdf</t>
  </si>
  <si>
    <t>Melting_Curves/meltCurve_K7ENC0_FUT5.pdf</t>
  </si>
  <si>
    <t>Melting_Curves/meltCurve_K7ENF0_NARS.pdf</t>
  </si>
  <si>
    <t>Melting_Curves/meltCurve_K7ENL9_C18orf8.pdf</t>
  </si>
  <si>
    <t>Melting_Curves/meltCurve_K7ENR6_PSMG2.pdf</t>
  </si>
  <si>
    <t>Melting_Curves/meltCurve_K7ENW2_ZNF286A.pdf</t>
  </si>
  <si>
    <t>Melting_Curves/meltCurve_K7EP31_ATP5SL.pdf</t>
  </si>
  <si>
    <t>Melting_Curves/meltCurve_K7EP32_UBXN6.pdf</t>
  </si>
  <si>
    <t>Melting_Curves/meltCurve_K7EP90_RBM42.pdf</t>
  </si>
  <si>
    <t>Melting_Curves/meltCurve_K7EPJ5_MGRN1.pdf</t>
  </si>
  <si>
    <t>Melting_Curves/meltCurve_K7EPV6_SLC44A2.pdf</t>
  </si>
  <si>
    <t>Melting_Curves/meltCurve_K7EPX7_MOB3A.pdf</t>
  </si>
  <si>
    <t>Melting_Curves/meltCurve_K7EQ34_TMEM161A.pdf</t>
  </si>
  <si>
    <t>Melting_Curves/meltCurve_K7EQH5_AES.pdf</t>
  </si>
  <si>
    <t>Melting_Curves/meltCurve_K7EQW8_TPM4.pdf</t>
  </si>
  <si>
    <t>Melting_Curves/meltCurve_K7ER00_FARSA.pdf</t>
  </si>
  <si>
    <t>Melting_Curves/meltCurve_K7ER74_APOC2.pdf</t>
  </si>
  <si>
    <t>Melting_Curves/meltCurve_K7ERF1_EIF3K.pdf</t>
  </si>
  <si>
    <t>Melting_Curves/meltCurve_K7ES11_UBE2O.pdf</t>
  </si>
  <si>
    <t>Melting_Curves/meltCurve_K7ESE3_RAD23A.pdf</t>
  </si>
  <si>
    <t>Melting_Curves/meltCurve_K7ESE6_G6PC3.pdf</t>
  </si>
  <si>
    <t>Melting_Curves/meltCurve_K7ESI9_DNM2.pdf</t>
  </si>
  <si>
    <t>Melting_Curves/meltCurve_M0QWZ7_SARS2.pdf</t>
  </si>
  <si>
    <t>Melting_Curves/meltCurve_M0QX35_PAF1.pdf</t>
  </si>
  <si>
    <t>Melting_Curves/meltCurve_M0QXA7_WIZ.pdf</t>
  </si>
  <si>
    <t>Melting_Curves/meltCurve_M0QXT0_USF2.pdf</t>
  </si>
  <si>
    <t>Melting_Curves/meltCurve_M0QXZ5_ZNF428.pdf</t>
  </si>
  <si>
    <t>Melting_Curves/meltCurve_M0QY01_EPS15L1.pdf</t>
  </si>
  <si>
    <t>Melting_Curves/meltCurve_M0QY29_LIPE.pdf</t>
  </si>
  <si>
    <t>Melting_Curves/meltCurve_M0QY76_ZFP36.pdf</t>
  </si>
  <si>
    <t>Melting_Curves/meltCurve_M0QYH5_MPV17L2.pdf</t>
  </si>
  <si>
    <t>Melting_Curves/meltCurve_M0QYJ8_GMFG.pdf</t>
  </si>
  <si>
    <t>Melting_Curves/meltCurve_M0QYM7_TUBB4A.pdf</t>
  </si>
  <si>
    <t>Melting_Curves/meltCurve_M0QYS1_RPL13A.pdf</t>
  </si>
  <si>
    <t>Melting_Curves/meltCurve_M0QZ22_SAMD4B.pdf</t>
  </si>
  <si>
    <t>Melting_Curves/meltCurve_M0QZL8_JOSD2.pdf</t>
  </si>
  <si>
    <t>Melting_Curves/meltCurve_M0QZM1_HNRNPM.pdf</t>
  </si>
  <si>
    <t>Melting_Curves/meltCurve_M0QZR4_ARHGEF1.pdf</t>
  </si>
  <si>
    <t>Melting_Curves/meltCurve_M0QZW1_PRKD2.pdf</t>
  </si>
  <si>
    <t>Melting_Curves/meltCurve_M0R042_TUBB4A.pdf</t>
  </si>
  <si>
    <t>Melting_Curves/meltCurve_M0R0B4_KXD1.pdf</t>
  </si>
  <si>
    <t>Melting_Curves/meltCurve_M0R0E9_SPHK2.pdf</t>
  </si>
  <si>
    <t>Melting_Curves/meltCurve_M0R0F0_RPS5.pdf</t>
  </si>
  <si>
    <t>Melting_Curves/meltCurve_M0R0N4_AP2S1.pdf</t>
  </si>
  <si>
    <t>Melting_Curves/meltCurve_M0R150_.pdf</t>
  </si>
  <si>
    <t>Melting_Curves/meltCurve_M0R226_MRPL34.pdf</t>
  </si>
  <si>
    <t>Melting_Curves/meltCurve_M0R2A0_EMC10.pdf</t>
  </si>
  <si>
    <t>Melting_Curves/meltCurve_M0R2B7_POLD1.pdf</t>
  </si>
  <si>
    <t>Melting_Curves/meltCurve_M0R2C4_LSR.pdf</t>
  </si>
  <si>
    <t>Melting_Curves/meltCurve_M0R2Z1_CGB1.pdf</t>
  </si>
  <si>
    <t>Melting_Curves/meltCurve_M0R2Z9_SUGP2.pdf</t>
  </si>
  <si>
    <t>Melting_Curves/meltCurve_M0R328_PEX11G.pdf</t>
  </si>
  <si>
    <t>Melting_Curves/meltCurve_M0R366_FSD1.pdf</t>
  </si>
  <si>
    <t>Melting_Curves/meltCurve_M0R3D4_RABAC1.pdf</t>
  </si>
  <si>
    <t>Melting_Curves/meltCurve_O00116_AGPS.pdf</t>
  </si>
  <si>
    <t>Melting_Curves/meltCurve_O00139_2_KIF2A.pdf</t>
  </si>
  <si>
    <t>Melting_Curves/meltCurve_O00148_DDX39A.pdf</t>
  </si>
  <si>
    <t>Melting_Curves/meltCurve_O00151_PDLIM1.pdf</t>
  </si>
  <si>
    <t>Melting_Curves/meltCurve_O00154_ACOT7.pdf</t>
  </si>
  <si>
    <t>Melting_Curves/meltCurve_O00159_MYO1C.pdf</t>
  </si>
  <si>
    <t>Melting_Curves/meltCurve_O00161_SNAP23.pdf</t>
  </si>
  <si>
    <t>Melting_Curves/meltCurve_O00165_5_HAX1.pdf</t>
  </si>
  <si>
    <t>Melting_Curves/meltCurve_O00170_AIP.pdf</t>
  </si>
  <si>
    <t>Melting_Curves/meltCurve_O00178_GTPBP1.pdf</t>
  </si>
  <si>
    <t>Melting_Curves/meltCurve_O00186_STXBP3.pdf</t>
  </si>
  <si>
    <t>Melting_Curves/meltCurve_O00203_AP3B1.pdf</t>
  </si>
  <si>
    <t>Melting_Curves/meltCurve_O00217_NDUFS8.pdf</t>
  </si>
  <si>
    <t>Melting_Curves/meltCurve_O00220_TNFRSF10A.pdf</t>
  </si>
  <si>
    <t>Melting_Curves/meltCurve_O00221_NFKBIE.pdf</t>
  </si>
  <si>
    <t>Melting_Curves/meltCurve_O00231_PSMD11.pdf</t>
  </si>
  <si>
    <t>Melting_Curves/meltCurve_O00232_PSMD12.pdf</t>
  </si>
  <si>
    <t>Melting_Curves/meltCurve_O00244_ATOX1.pdf</t>
  </si>
  <si>
    <t>Melting_Curves/meltCurve_O00257_CBX4.pdf</t>
  </si>
  <si>
    <t>Melting_Curves/meltCurve_O00264_PGRMC1.pdf</t>
  </si>
  <si>
    <t>Melting_Curves/meltCurve_O00267_2_SUPT5H.pdf</t>
  </si>
  <si>
    <t>Melting_Curves/meltCurve_O00273_DFFA.pdf</t>
  </si>
  <si>
    <t>Melting_Curves/meltCurve_O00273_2_DFFA.pdf</t>
  </si>
  <si>
    <t>Melting_Curves/meltCurve_O00287_RFXAP.pdf</t>
  </si>
  <si>
    <t>Melting_Curves/meltCurve_O00291_HIP1.pdf</t>
  </si>
  <si>
    <t>Melting_Curves/meltCurve_O00299_CLIC1.pdf</t>
  </si>
  <si>
    <t>Melting_Curves/meltCurve_O00300_TNFRSF11B.pdf</t>
  </si>
  <si>
    <t>Melting_Curves/meltCurve_O00308_WWP2.pdf</t>
  </si>
  <si>
    <t>Melting_Curves/meltCurve_O00330_PDHX.pdf</t>
  </si>
  <si>
    <t>Melting_Curves/meltCurve_O00391_QSOX1.pdf</t>
  </si>
  <si>
    <t>Melting_Curves/meltCurve_O00399_DCTN6.pdf</t>
  </si>
  <si>
    <t>Melting_Curves/meltCurve_O00400_SLC33A1.pdf</t>
  </si>
  <si>
    <t>Melting_Curves/meltCurve_O00401_WASL.pdf</t>
  </si>
  <si>
    <t>Melting_Curves/meltCurve_O00410_IPO5.pdf</t>
  </si>
  <si>
    <t>Melting_Curves/meltCurve_O00422_SAP18.pdf</t>
  </si>
  <si>
    <t>Melting_Curves/meltCurve_O00429_3_DNM1L.pdf</t>
  </si>
  <si>
    <t>Melting_Curves/meltCurve_O00429_4_DNM1L.pdf</t>
  </si>
  <si>
    <t>Melting_Curves/meltCurve_O00442_RTCA.pdf</t>
  </si>
  <si>
    <t>Melting_Curves/meltCurve_O00443_PIK3C2A.pdf</t>
  </si>
  <si>
    <t>Melting_Curves/meltCurve_O00459_PIK3R2.pdf</t>
  </si>
  <si>
    <t>Melting_Curves/meltCurve_O00462_MANBA.pdf</t>
  </si>
  <si>
    <t>Melting_Curves/meltCurve_O00463_TRAF5.pdf</t>
  </si>
  <si>
    <t>Melting_Curves/meltCurve_O00468_6_AGRN.pdf</t>
  </si>
  <si>
    <t>Melting_Curves/meltCurve_O00469_PLOD2.pdf</t>
  </si>
  <si>
    <t>Melting_Curves/meltCurve_O00469_2_PLOD2.pdf</t>
  </si>
  <si>
    <t>Melting_Curves/meltCurve_O00471_EXOC5.pdf</t>
  </si>
  <si>
    <t>Melting_Curves/meltCurve_O00479_HMGN4.pdf</t>
  </si>
  <si>
    <t>Melting_Curves/meltCurve_O00483_NDUFA4.pdf</t>
  </si>
  <si>
    <t>Melting_Curves/meltCurve_O00487_PSMD14.pdf</t>
  </si>
  <si>
    <t>Melting_Curves/meltCurve_O00488_ZNF593.pdf</t>
  </si>
  <si>
    <t>Melting_Curves/meltCurve_O00505_KPNA3.pdf</t>
  </si>
  <si>
    <t>Melting_Curves/meltCurve_O00506_STK25.pdf</t>
  </si>
  <si>
    <t>Melting_Curves/meltCurve_O00512_BCL9.pdf</t>
  </si>
  <si>
    <t>Melting_Curves/meltCurve_O00515_LAD1.pdf</t>
  </si>
  <si>
    <t>Melting_Curves/meltCurve_O00533_2_CHL1.pdf</t>
  </si>
  <si>
    <t>Melting_Curves/meltCurve_O00534_VWA5A.pdf</t>
  </si>
  <si>
    <t>Melting_Curves/meltCurve_O00560_SDCBP.pdf</t>
  </si>
  <si>
    <t>Melting_Curves/meltCurve_O00562_2_PITPNM1.pdf</t>
  </si>
  <si>
    <t>Melting_Curves/meltCurve_O00566_MPHOSPH10.pdf</t>
  </si>
  <si>
    <t>Melting_Curves/meltCurve_O00567_NOP56.pdf</t>
  </si>
  <si>
    <t>Melting_Curves/meltCurve_O00571_DDX3X.pdf</t>
  </si>
  <si>
    <t>Melting_Curves/meltCurve_O00625_PIR.pdf</t>
  </si>
  <si>
    <t>Melting_Curves/meltCurve_O00629_KPNA4.pdf</t>
  </si>
  <si>
    <t>Melting_Curves/meltCurve_O00743_PPP6C.pdf</t>
  </si>
  <si>
    <t>Melting_Curves/meltCurve_O00748_CES2.pdf</t>
  </si>
  <si>
    <t>Melting_Curves/meltCurve_O00754_2_MAN2B1.pdf</t>
  </si>
  <si>
    <t>Melting_Curves/meltCurve_O00757_FBP2.pdf</t>
  </si>
  <si>
    <t>Melting_Curves/meltCurve_O00762_2_UBE2C.pdf</t>
  </si>
  <si>
    <t>Melting_Curves/meltCurve_O00764_PDXK.pdf</t>
  </si>
  <si>
    <t>Melting_Curves/meltCurve_O00767_SCD.pdf</t>
  </si>
  <si>
    <t>Melting_Curves/meltCurve_O14497_ARID1A.pdf</t>
  </si>
  <si>
    <t>Melting_Curves/meltCurve_O14503_BHLHE40.pdf</t>
  </si>
  <si>
    <t>Melting_Curves/meltCurve_O14519_2_CDK2AP1.pdf</t>
  </si>
  <si>
    <t>Melting_Curves/meltCurve_O14523_C2CD2L.pdf</t>
  </si>
  <si>
    <t>Melting_Curves/meltCurve_O14524_2_TMEM194A.pdf</t>
  </si>
  <si>
    <t>Melting_Curves/meltCurve_O14545_TRAFD1.pdf</t>
  </si>
  <si>
    <t>Melting_Curves/meltCurve_O14548_COX7A2L.pdf</t>
  </si>
  <si>
    <t>Melting_Curves/meltCurve_O14556_GAPDHS.pdf</t>
  </si>
  <si>
    <t>Melting_Curves/meltCurve_O14561_NDUFAB1.pdf</t>
  </si>
  <si>
    <t>Melting_Curves/meltCurve_O14578_4_CIT.pdf</t>
  </si>
  <si>
    <t>Melting_Curves/meltCurve_O14579_COPE.pdf</t>
  </si>
  <si>
    <t>Melting_Curves/meltCurve_O14617_AP3D1.pdf</t>
  </si>
  <si>
    <t>Melting_Curves/meltCurve_O14656_TOR1A.pdf</t>
  </si>
  <si>
    <t>Melting_Curves/meltCurve_O14657_TOR1B.pdf</t>
  </si>
  <si>
    <t>Melting_Curves/meltCurve_O14662_2_STX16.pdf</t>
  </si>
  <si>
    <t>Melting_Curves/meltCurve_O14672_ADAM10.pdf</t>
  </si>
  <si>
    <t>Melting_Curves/meltCurve_O14686_MLL2.pdf</t>
  </si>
  <si>
    <t>Melting_Curves/meltCurve_O14732_IMPA2.pdf</t>
  </si>
  <si>
    <t>Melting_Curves/meltCurve_O14733_MAP2K7.pdf</t>
  </si>
  <si>
    <t>Melting_Curves/meltCurve_O14734_ACOT8.pdf</t>
  </si>
  <si>
    <t>Melting_Curves/meltCurve_O14737_PDCD5.pdf</t>
  </si>
  <si>
    <t>Melting_Curves/meltCurve_O14744_PRMT5.pdf</t>
  </si>
  <si>
    <t>Melting_Curves/meltCurve_O14745_SLC9A3R1.pdf</t>
  </si>
  <si>
    <t>Melting_Curves/meltCurve_O14757_CHEK1.pdf</t>
  </si>
  <si>
    <t>Melting_Curves/meltCurve_O14763_2_TNFRSF10B.pdf</t>
  </si>
  <si>
    <t>Melting_Curves/meltCurve_O14772_FPGT.pdf</t>
  </si>
  <si>
    <t>Melting_Curves/meltCurve_O14773_TPP1.pdf</t>
  </si>
  <si>
    <t>Melting_Curves/meltCurve_O14776_2_TCERG1.pdf</t>
  </si>
  <si>
    <t>Melting_Curves/meltCurve_O14777_NDC80.pdf</t>
  </si>
  <si>
    <t>Melting_Curves/meltCurve_O14787_2_TNPO2.pdf</t>
  </si>
  <si>
    <t>Melting_Curves/meltCurve_O14802_POLR3A.pdf</t>
  </si>
  <si>
    <t>Melting_Curves/meltCurve_O14818_PSMA7.pdf</t>
  </si>
  <si>
    <t>Melting_Curves/meltCurve_O14828_SCAMP3.pdf</t>
  </si>
  <si>
    <t>Melting_Curves/meltCurve_O14841_OPLAH.pdf</t>
  </si>
  <si>
    <t>Melting_Curves/meltCurve_O14867_BACH1.pdf</t>
  </si>
  <si>
    <t>Melting_Curves/meltCurve_O14874_BCKDK.pdf</t>
  </si>
  <si>
    <t>Melting_Curves/meltCurve_O14896_IRF6.pdf</t>
  </si>
  <si>
    <t>Melting_Curves/meltCurve_O14907_TAX1BP3.pdf</t>
  </si>
  <si>
    <t>Melting_Curves/meltCurve_O14908_GIPC1.pdf</t>
  </si>
  <si>
    <t>Melting_Curves/meltCurve_O14920_IKBKB.pdf</t>
  </si>
  <si>
    <t>Melting_Curves/meltCurve_O14925_TIMM23.pdf</t>
  </si>
  <si>
    <t>Melting_Curves/meltCurve_O14929_HAT1.pdf</t>
  </si>
  <si>
    <t>Melting_Curves/meltCurve_O14933_UBE2L6.pdf</t>
  </si>
  <si>
    <t>Melting_Curves/meltCurve_O14949_UQCRQ.pdf</t>
  </si>
  <si>
    <t>Melting_Curves/meltCurve_O14964_HGS.pdf</t>
  </si>
  <si>
    <t>Melting_Curves/meltCurve_O14965_AURKA.pdf</t>
  </si>
  <si>
    <t>Melting_Curves/meltCurve_O14974_PPP1R12A.pdf</t>
  </si>
  <si>
    <t>Melting_Curves/meltCurve_O14975_2_SLC27A2.pdf</t>
  </si>
  <si>
    <t>Melting_Curves/meltCurve_O14976_GAK.pdf</t>
  </si>
  <si>
    <t>Melting_Curves/meltCurve_O14979_3_HNRPDL.pdf</t>
  </si>
  <si>
    <t>Melting_Curves/meltCurve_O14980_XPO1.pdf</t>
  </si>
  <si>
    <t>Melting_Curves/meltCurve_O14981_BTAF1.pdf</t>
  </si>
  <si>
    <t>Melting_Curves/meltCurve_O15014_ZNF609.pdf</t>
  </si>
  <si>
    <t>Melting_Curves/meltCurve_O15015_ZNF646.pdf</t>
  </si>
  <si>
    <t>Melting_Curves/meltCurve_O15020_SPTBN2.pdf</t>
  </si>
  <si>
    <t>Melting_Curves/meltCurve_O15031_PLXNB2.pdf</t>
  </si>
  <si>
    <t>Melting_Curves/meltCurve_O15034_RIMBP2.pdf</t>
  </si>
  <si>
    <t>Melting_Curves/meltCurve_O15040_TECPR2.pdf</t>
  </si>
  <si>
    <t>Melting_Curves/meltCurve_O15066_KIF3B.pdf</t>
  </si>
  <si>
    <t>Melting_Curves/meltCurve_O15067_PFAS.pdf</t>
  </si>
  <si>
    <t>Melting_Curves/meltCurve_O15075_4_DCLK1.pdf</t>
  </si>
  <si>
    <t>Melting_Curves/meltCurve_O15084_ANKRD28.pdf</t>
  </si>
  <si>
    <t>Melting_Curves/meltCurve_O15091_2_KIAA0391.pdf</t>
  </si>
  <si>
    <t>Melting_Curves/meltCurve_O15116_LSM1.pdf</t>
  </si>
  <si>
    <t>Melting_Curves/meltCurve_O15118_NPC1.pdf</t>
  </si>
  <si>
    <t>Melting_Curves/meltCurve_O15121_DEGS1.pdf</t>
  </si>
  <si>
    <t>Melting_Curves/meltCurve_O15126_SCAMP1.pdf</t>
  </si>
  <si>
    <t>Melting_Curves/meltCurve_O15127_SCAMP2.pdf</t>
  </si>
  <si>
    <t>Melting_Curves/meltCurve_O15143_ARPC1B.pdf</t>
  </si>
  <si>
    <t>Melting_Curves/meltCurve_O15144_ARPC2.pdf</t>
  </si>
  <si>
    <t>Melting_Curves/meltCurve_O15145_ARPC3.pdf</t>
  </si>
  <si>
    <t>Melting_Curves/meltCurve_O15156_ZBTB7B.pdf</t>
  </si>
  <si>
    <t>Melting_Curves/meltCurve_O15160_POLR1C.pdf</t>
  </si>
  <si>
    <t>Melting_Curves/meltCurve_O15169_2_AXIN1.pdf</t>
  </si>
  <si>
    <t>Melting_Curves/meltCurve_O15173_PGRMC2.pdf</t>
  </si>
  <si>
    <t>Melting_Curves/meltCurve_O15211_RGL2.pdf</t>
  </si>
  <si>
    <t>Melting_Curves/meltCurve_O15212_PFDN6.pdf</t>
  </si>
  <si>
    <t>Melting_Curves/meltCurve_O15213_WDR46.pdf</t>
  </si>
  <si>
    <t>Melting_Curves/meltCurve_O15228_GNPAT.pdf</t>
  </si>
  <si>
    <t>Melting_Curves/meltCurve_O15230_LAMA5.pdf</t>
  </si>
  <si>
    <t>Melting_Curves/meltCurve_O15234_CASC3.pdf</t>
  </si>
  <si>
    <t>Melting_Curves/meltCurve_O15235_MRPS12.pdf</t>
  </si>
  <si>
    <t>Melting_Curves/meltCurve_O15239_NDUFA1.pdf</t>
  </si>
  <si>
    <t>Melting_Curves/meltCurve_O15240_VGF.pdf</t>
  </si>
  <si>
    <t>Melting_Curves/meltCurve_O15258_RER1.pdf</t>
  </si>
  <si>
    <t>Melting_Curves/meltCurve_O15264_MAPK13.pdf</t>
  </si>
  <si>
    <t>Melting_Curves/meltCurve_O15269_SPTLC1.pdf</t>
  </si>
  <si>
    <t>Melting_Curves/meltCurve_O15270_SPTLC2.pdf</t>
  </si>
  <si>
    <t>Melting_Curves/meltCurve_O15294_OGT.pdf</t>
  </si>
  <si>
    <t>Melting_Curves/meltCurve_O15305_PMM2.pdf</t>
  </si>
  <si>
    <t>Melting_Curves/meltCurve_O15327_INPP4B.pdf</t>
  </si>
  <si>
    <t>Melting_Curves/meltCurve_O15344_MID1.pdf</t>
  </si>
  <si>
    <t>Melting_Curves/meltCurve_O15355_PPM1G.pdf</t>
  </si>
  <si>
    <t>Melting_Curves/meltCurve_O15357_INPPL1.pdf</t>
  </si>
  <si>
    <t>Melting_Curves/meltCurve_O15379_HDAC3.pdf</t>
  </si>
  <si>
    <t>Melting_Curves/meltCurve_O15382_BCAT2.pdf</t>
  </si>
  <si>
    <t>Melting_Curves/meltCurve_O15397_IPO8.pdf</t>
  </si>
  <si>
    <t>Melting_Curves/meltCurve_O15400_2_STX7.pdf</t>
  </si>
  <si>
    <t>Melting_Curves/meltCurve_O15427_SLC16A3.pdf</t>
  </si>
  <si>
    <t>Melting_Curves/meltCurve_O15431_SLC31A1.pdf</t>
  </si>
  <si>
    <t>Melting_Curves/meltCurve_O15439_2_ABCC4.pdf</t>
  </si>
  <si>
    <t>Melting_Curves/meltCurve_O15446_CD3EAP.pdf</t>
  </si>
  <si>
    <t>Melting_Curves/meltCurve_O15460_2_P4HA2.pdf</t>
  </si>
  <si>
    <t>Melting_Curves/meltCurve_O15498_YKT6.pdf</t>
  </si>
  <si>
    <t>Melting_Curves/meltCurve_O15511_ARPC5.pdf</t>
  </si>
  <si>
    <t>Melting_Curves/meltCurve_O15514_POLR2D.pdf</t>
  </si>
  <si>
    <t>Melting_Curves/meltCurve_O15541_RNF113A.pdf</t>
  </si>
  <si>
    <t>Melting_Curves/meltCurve_O15551_CLDN3.pdf</t>
  </si>
  <si>
    <t>Melting_Curves/meltCurve_O43143_DHX15.pdf</t>
  </si>
  <si>
    <t>Melting_Curves/meltCurve_O43148_RNMT.pdf</t>
  </si>
  <si>
    <t>Melting_Curves/meltCurve_O43149_ZZEF1.pdf</t>
  </si>
  <si>
    <t>Melting_Curves/meltCurve_O43150_2_ASAP2.pdf</t>
  </si>
  <si>
    <t>Melting_Curves/meltCurve_O43156_TTI1.pdf</t>
  </si>
  <si>
    <t>Melting_Curves/meltCurve_O43157_2_PLXNB1.pdf</t>
  </si>
  <si>
    <t>Melting_Curves/meltCurve_O43164_2_PJA2.pdf</t>
  </si>
  <si>
    <t>Melting_Curves/meltCurve_O43172_2_PRPF4.pdf</t>
  </si>
  <si>
    <t>Melting_Curves/meltCurve_O43175_PHGDH.pdf</t>
  </si>
  <si>
    <t>Melting_Curves/meltCurve_O43181_NDUFS4.pdf</t>
  </si>
  <si>
    <t>Melting_Curves/meltCurve_O43237_DYNC1LI2.pdf</t>
  </si>
  <si>
    <t>Melting_Curves/meltCurve_O43242_PSMD3.pdf</t>
  </si>
  <si>
    <t>Melting_Curves/meltCurve_O43251_6_RBFOX2.pdf</t>
  </si>
  <si>
    <t>Melting_Curves/meltCurve_O43252_PAPSS1.pdf</t>
  </si>
  <si>
    <t>Melting_Curves/meltCurve_O43264_ZW10.pdf</t>
  </si>
  <si>
    <t>Melting_Curves/meltCurve_O43278_2_SPINT1.pdf</t>
  </si>
  <si>
    <t>Melting_Curves/meltCurve_O43286_B4GALT5.pdf</t>
  </si>
  <si>
    <t>Melting_Curves/meltCurve_O43290_SART1.pdf</t>
  </si>
  <si>
    <t>Melting_Curves/meltCurve_O43291_SPINT2.pdf</t>
  </si>
  <si>
    <t>Melting_Curves/meltCurve_O43292_GPAA1.pdf</t>
  </si>
  <si>
    <t>Melting_Curves/meltCurve_O43293_DAPK3.pdf</t>
  </si>
  <si>
    <t>Melting_Curves/meltCurve_O43298_ZBTB43.pdf</t>
  </si>
  <si>
    <t>Melting_Curves/meltCurve_O43299_AP5Z1.pdf</t>
  </si>
  <si>
    <t>Melting_Curves/meltCurve_O43310_CTIF.pdf</t>
  </si>
  <si>
    <t>Melting_Curves/meltCurve_O43314_2_PPIP5K2.pdf</t>
  </si>
  <si>
    <t>Melting_Curves/meltCurve_O43318_2_MAP3K7.pdf</t>
  </si>
  <si>
    <t>Melting_Curves/meltCurve_O43325_LYRM1.pdf</t>
  </si>
  <si>
    <t>Melting_Curves/meltCurve_O43353_RIPK2.pdf</t>
  </si>
  <si>
    <t>Melting_Curves/meltCurve_O43379_WDR62.pdf</t>
  </si>
  <si>
    <t>Melting_Curves/meltCurve_O43390_HNRNPR.pdf</t>
  </si>
  <si>
    <t>Melting_Curves/meltCurve_O43395_PRPF3.pdf</t>
  </si>
  <si>
    <t>Melting_Curves/meltCurve_O43396_TXNL1.pdf</t>
  </si>
  <si>
    <t>Melting_Curves/meltCurve_O43399_4_TPD52L2.pdf</t>
  </si>
  <si>
    <t>Melting_Curves/meltCurve_O43399_5_TPD52L2.pdf</t>
  </si>
  <si>
    <t>Melting_Curves/meltCurve_O43402_EMC8.pdf</t>
  </si>
  <si>
    <t>Melting_Curves/meltCurve_O43422_PRKRIR.pdf</t>
  </si>
  <si>
    <t>Melting_Curves/meltCurve_O43427_2_FIBP.pdf</t>
  </si>
  <si>
    <t>Melting_Curves/meltCurve_O43432_EIF4G3.pdf</t>
  </si>
  <si>
    <t>Melting_Curves/meltCurve_O43439_2_CBFA2T2.pdf</t>
  </si>
  <si>
    <t>Melting_Curves/meltCurve_O43464_3_HTRA2.pdf</t>
  </si>
  <si>
    <t>Melting_Curves/meltCurve_O43474_1_KLF4.pdf</t>
  </si>
  <si>
    <t>Melting_Curves/meltCurve_O43482_OIP5.pdf</t>
  </si>
  <si>
    <t>Melting_Curves/meltCurve_O43488_AKR7A2.pdf</t>
  </si>
  <si>
    <t>Melting_Curves/meltCurve_O43490_4_PROM1.pdf</t>
  </si>
  <si>
    <t>Melting_Curves/meltCurve_O43493_4_TGOLN2.pdf</t>
  </si>
  <si>
    <t>Melting_Curves/meltCurve_O43502_RAD51C.pdf</t>
  </si>
  <si>
    <t>Melting_Curves/meltCurve_O43504_LAMTOR5.pdf</t>
  </si>
  <si>
    <t>Melting_Curves/meltCurve_O43505_B3GNT1.pdf</t>
  </si>
  <si>
    <t>Melting_Curves/meltCurve_O43513_MED7.pdf</t>
  </si>
  <si>
    <t>Melting_Curves/meltCurve_O43520_ATP8B1.pdf</t>
  </si>
  <si>
    <t>Melting_Curves/meltCurve_O43524_FOXO3.pdf</t>
  </si>
  <si>
    <t>Melting_Curves/meltCurve_O43542_XRCC3.pdf</t>
  </si>
  <si>
    <t>Melting_Curves/meltCurve_O43567_RNF13.pdf</t>
  </si>
  <si>
    <t>Melting_Curves/meltCurve_O43583_DENR.pdf</t>
  </si>
  <si>
    <t>Melting_Curves/meltCurve_O43592_XPOT.pdf</t>
  </si>
  <si>
    <t>Melting_Curves/meltCurve_O43597_SPRY2.pdf</t>
  </si>
  <si>
    <t>Melting_Curves/meltCurve_O43598_DNPH1.pdf</t>
  </si>
  <si>
    <t>Melting_Curves/meltCurve_O43615_TIMM44.pdf</t>
  </si>
  <si>
    <t>Melting_Curves/meltCurve_O43617_TRAPPC3.pdf</t>
  </si>
  <si>
    <t>Melting_Curves/meltCurve_O43633_CHMP2A.pdf</t>
  </si>
  <si>
    <t>Melting_Curves/meltCurve_O43639_NCK2.pdf</t>
  </si>
  <si>
    <t>Melting_Curves/meltCurve_O43657_TSPAN6.pdf</t>
  </si>
  <si>
    <t>Melting_Curves/meltCurve_O43663_2_PRC1.pdf</t>
  </si>
  <si>
    <t>Melting_Curves/meltCurve_O43676_NDUFB3.pdf</t>
  </si>
  <si>
    <t>Melting_Curves/meltCurve_O43677_NDUFC1.pdf</t>
  </si>
  <si>
    <t>Melting_Curves/meltCurve_O43678_NDUFA2.pdf</t>
  </si>
  <si>
    <t>Melting_Curves/meltCurve_O43681_ASNA1.pdf</t>
  </si>
  <si>
    <t>Melting_Curves/meltCurve_O43684_BUB3.pdf</t>
  </si>
  <si>
    <t>Melting_Curves/meltCurve_O43707_ACTN4.pdf</t>
  </si>
  <si>
    <t>Melting_Curves/meltCurve_O43709_WBSCR22.pdf</t>
  </si>
  <si>
    <t>Melting_Curves/meltCurve_O43715_TRIAP1.pdf</t>
  </si>
  <si>
    <t>Melting_Curves/meltCurve_O43719_HTATSF1.pdf</t>
  </si>
  <si>
    <t>Melting_Curves/meltCurve_O43752_STX6.pdf</t>
  </si>
  <si>
    <t>Melting_Curves/meltCurve_O43760_SYNGR2.pdf</t>
  </si>
  <si>
    <t>Melting_Curves/meltCurve_O43765_SGTA.pdf</t>
  </si>
  <si>
    <t>Melting_Curves/meltCurve_O43766_LIAS.pdf</t>
  </si>
  <si>
    <t>Melting_Curves/meltCurve_O43768_2_ENSA.pdf</t>
  </si>
  <si>
    <t>Melting_Curves/meltCurve_O43772_SLC25A20.pdf</t>
  </si>
  <si>
    <t>Melting_Curves/meltCurve_O43776_NARS.pdf</t>
  </si>
  <si>
    <t>Melting_Curves/meltCurve_O43805_SSNA1.pdf</t>
  </si>
  <si>
    <t>Melting_Curves/meltCurve_O43809_NUDT21.pdf</t>
  </si>
  <si>
    <t>Melting_Curves/meltCurve_O43813_LANCL1.pdf</t>
  </si>
  <si>
    <t>Melting_Curves/meltCurve_O43815_STRN.pdf</t>
  </si>
  <si>
    <t>Melting_Curves/meltCurve_O43818_RRP9.pdf</t>
  </si>
  <si>
    <t>Melting_Curves/meltCurve_O43819_SCO2.pdf</t>
  </si>
  <si>
    <t>Melting_Curves/meltCurve_O43820_4_HYAL3.pdf</t>
  </si>
  <si>
    <t>Melting_Curves/meltCurve_O43823_AKAP8.pdf</t>
  </si>
  <si>
    <t>Melting_Curves/meltCurve_O43824_GTPBP6.pdf</t>
  </si>
  <si>
    <t>Melting_Curves/meltCurve_O43826_SLC37A4.pdf</t>
  </si>
  <si>
    <t>Melting_Curves/meltCurve_O43829_ZBTB14.pdf</t>
  </si>
  <si>
    <t>Melting_Curves/meltCurve_O43837_IDH3B.pdf</t>
  </si>
  <si>
    <t>Melting_Curves/meltCurve_O43852_CALU.pdf</t>
  </si>
  <si>
    <t>Melting_Curves/meltCurve_O43865_AHCYL1.pdf</t>
  </si>
  <si>
    <t>Melting_Curves/meltCurve_O43909_EXTL3.pdf</t>
  </si>
  <si>
    <t>Melting_Curves/meltCurve_O43913_ORC5.pdf</t>
  </si>
  <si>
    <t>Melting_Curves/meltCurve_O43920_NDUFS5.pdf</t>
  </si>
  <si>
    <t>Melting_Curves/meltCurve_O43924_PDE6D.pdf</t>
  </si>
  <si>
    <t>Melting_Curves/meltCurve_O43933_PEX1.pdf</t>
  </si>
  <si>
    <t>Melting_Curves/meltCurve_O60216_RAD21.pdf</t>
  </si>
  <si>
    <t>Melting_Curves/meltCurve_O60218_AKR1B10.pdf</t>
  </si>
  <si>
    <t>Melting_Curves/meltCurve_O60220_TIMM8A.pdf</t>
  </si>
  <si>
    <t>Melting_Curves/meltCurve_O60231_DHX16.pdf</t>
  </si>
  <si>
    <t>Melting_Curves/meltCurve_O60256_PRPSAP2.pdf</t>
  </si>
  <si>
    <t>Melting_Curves/meltCurve_O60264_SMARCA5.pdf</t>
  </si>
  <si>
    <t>Melting_Curves/meltCurve_O60271_4_SPAG9.pdf</t>
  </si>
  <si>
    <t>Melting_Curves/meltCurve_O60292_SIPA1L3.pdf</t>
  </si>
  <si>
    <t>Melting_Curves/meltCurve_O60294_LCMT2.pdf</t>
  </si>
  <si>
    <t>Melting_Curves/meltCurve_O60306_AQR.pdf</t>
  </si>
  <si>
    <t>Melting_Curves/meltCurve_O60313_2_OPA1.pdf</t>
  </si>
  <si>
    <t>Melting_Curves/meltCurve_O60333_2_KIF1B.pdf</t>
  </si>
  <si>
    <t>Melting_Curves/meltCurve_O60341_KDM1A.pdf</t>
  </si>
  <si>
    <t>Melting_Curves/meltCurve_O60343_2_TBC1D4.pdf</t>
  </si>
  <si>
    <t>Melting_Curves/meltCurve_O60344_4_ECE2.pdf</t>
  </si>
  <si>
    <t>Melting_Curves/meltCurve_O60346_PHLPP1.pdf</t>
  </si>
  <si>
    <t>Melting_Curves/meltCurve_O60347_TBC1D12.pdf</t>
  </si>
  <si>
    <t>Melting_Curves/meltCurve_O60353_2_FZD6.pdf</t>
  </si>
  <si>
    <t>Melting_Curves/meltCurve_O60427_FADS1.pdf</t>
  </si>
  <si>
    <t>Melting_Curves/meltCurve_O60449_2_LY75.pdf</t>
  </si>
  <si>
    <t>Melting_Curves/meltCurve_O60476_MAN1A2.pdf</t>
  </si>
  <si>
    <t>Melting_Curves/meltCurve_O60486_PLXNC1.pdf</t>
  </si>
  <si>
    <t>Melting_Curves/meltCurve_O60487_MPZL2.pdf</t>
  </si>
  <si>
    <t>Melting_Curves/meltCurve_O60488_2_ACSL4.pdf</t>
  </si>
  <si>
    <t>Melting_Curves/meltCurve_O60493_SNX3.pdf</t>
  </si>
  <si>
    <t>Melting_Curves/meltCurve_O60502_MGEA5.pdf</t>
  </si>
  <si>
    <t>Melting_Curves/meltCurve_O60504_2_SORBS3.pdf</t>
  </si>
  <si>
    <t>Melting_Curves/meltCurve_O60506_3_SYNCRIP.pdf</t>
  </si>
  <si>
    <t>Melting_Curves/meltCurve_O60507_TPST1.pdf</t>
  </si>
  <si>
    <t>Melting_Curves/meltCurve_O60508_CDC40.pdf</t>
  </si>
  <si>
    <t>Melting_Curves/meltCurve_O60518_RANBP6.pdf</t>
  </si>
  <si>
    <t>Melting_Curves/meltCurve_O60524_4_NEMF.pdf</t>
  </si>
  <si>
    <t>Melting_Curves/meltCurve_O60547_GMDS.pdf</t>
  </si>
  <si>
    <t>Melting_Curves/meltCurve_O60551_NMT2.pdf</t>
  </si>
  <si>
    <t>Melting_Curves/meltCurve_O60563_CCNT1.pdf</t>
  </si>
  <si>
    <t>Melting_Curves/meltCurve_O60566_3_BUB1B.pdf</t>
  </si>
  <si>
    <t>Melting_Curves/meltCurve_O60568_PLOD3.pdf</t>
  </si>
  <si>
    <t>Melting_Curves/meltCurve_O60573_EIF4E2.pdf</t>
  </si>
  <si>
    <t>Melting_Curves/meltCurve_O60613_SEP15.pdf</t>
  </si>
  <si>
    <t>Melting_Curves/meltCurve_O60645_3_EXOC3.pdf</t>
  </si>
  <si>
    <t>Melting_Curves/meltCurve_O60662_KLHL41.pdf</t>
  </si>
  <si>
    <t>Melting_Curves/meltCurve_O60664_PLIN3.pdf</t>
  </si>
  <si>
    <t>Melting_Curves/meltCurve_O60671_RAD1.pdf</t>
  </si>
  <si>
    <t>Melting_Curves/meltCurve_O60678_PRMT3.pdf</t>
  </si>
  <si>
    <t>Melting_Curves/meltCurve_O60701_UGDH.pdf</t>
  </si>
  <si>
    <t>Melting_Curves/meltCurve_O60704_TPST2.pdf</t>
  </si>
  <si>
    <t>Melting_Curves/meltCurve_O60716_5_CTNND1.pdf</t>
  </si>
  <si>
    <t>Melting_Curves/meltCurve_O60725_ICMT.pdf</t>
  </si>
  <si>
    <t>Melting_Curves/meltCurve_O60733_2_PLA2G6.pdf</t>
  </si>
  <si>
    <t>Melting_Curves/meltCurve_O60739_EIF1B.pdf</t>
  </si>
  <si>
    <t>Melting_Curves/meltCurve_O60749_SNX2.pdf</t>
  </si>
  <si>
    <t>Melting_Curves/meltCurve_O60763_USO1.pdf</t>
  </si>
  <si>
    <t>Melting_Curves/meltCurve_O60825_2_PFKFB2.pdf</t>
  </si>
  <si>
    <t>Melting_Curves/meltCurve_O60828_PQBP1.pdf</t>
  </si>
  <si>
    <t>Melting_Curves/meltCurve_O60830_TIMM17B.pdf</t>
  </si>
  <si>
    <t>Melting_Curves/meltCurve_O60831_PRAF2.pdf</t>
  </si>
  <si>
    <t>Melting_Curves/meltCurve_O60832_DKC1.pdf</t>
  </si>
  <si>
    <t>Melting_Curves/meltCurve_O60841_EIF5B.pdf</t>
  </si>
  <si>
    <t>Melting_Curves/meltCurve_O60869_EDF1.pdf</t>
  </si>
  <si>
    <t>Melting_Curves/meltCurve_O60870_KIN.pdf</t>
  </si>
  <si>
    <t>Melting_Curves/meltCurve_O60884_DNAJA2.pdf</t>
  </si>
  <si>
    <t>Melting_Curves/meltCurve_O60885_BRD4.pdf</t>
  </si>
  <si>
    <t>Melting_Curves/meltCurve_O60888_3_CUTA.pdf</t>
  </si>
  <si>
    <t>Melting_Curves/meltCurve_O60906_SMPD2.pdf</t>
  </si>
  <si>
    <t>Melting_Curves/meltCurve_O60911_CTSL2.pdf</t>
  </si>
  <si>
    <t>Melting_Curves/meltCurve_O60925_PFDN1.pdf</t>
  </si>
  <si>
    <t>Melting_Curves/meltCurve_O60927_PPP1R11.pdf</t>
  </si>
  <si>
    <t>Melting_Curves/meltCurve_O60934_NBN.pdf</t>
  </si>
  <si>
    <t>Melting_Curves/meltCurve_O60942_RNGTT.pdf</t>
  </si>
  <si>
    <t>Melting_Curves/meltCurve_O75027_ABCB7.pdf</t>
  </si>
  <si>
    <t>Melting_Curves/meltCurve_O75044_SRGAP2.pdf</t>
  </si>
  <si>
    <t>Melting_Curves/meltCurve_O75051_PLXNA2.pdf</t>
  </si>
  <si>
    <t>Melting_Curves/meltCurve_O75054_IGSF3.pdf</t>
  </si>
  <si>
    <t>Melting_Curves/meltCurve_O75063_FAM20B.pdf</t>
  </si>
  <si>
    <t>Melting_Curves/meltCurve_O75071_EFCAB14.pdf</t>
  </si>
  <si>
    <t>Melting_Curves/meltCurve_O75083_WDR1.pdf</t>
  </si>
  <si>
    <t>Melting_Curves/meltCurve_O75095_MEGF6.pdf</t>
  </si>
  <si>
    <t>Melting_Curves/meltCurve_O75095_2_MEGF6.pdf</t>
  </si>
  <si>
    <t>Melting_Curves/meltCurve_O75110_ATP9A.pdf</t>
  </si>
  <si>
    <t>Melting_Curves/meltCurve_O75113_N4BP1.pdf</t>
  </si>
  <si>
    <t>Melting_Curves/meltCurve_O75116_ROCK2.pdf</t>
  </si>
  <si>
    <t>Melting_Curves/meltCurve_O75128_3_COBL.pdf</t>
  </si>
  <si>
    <t>Melting_Curves/meltCurve_O75131_CPNE3.pdf</t>
  </si>
  <si>
    <t>Melting_Curves/meltCurve_O75146_HIP1R.pdf</t>
  </si>
  <si>
    <t>Melting_Curves/meltCurve_O75150_RNF40.pdf</t>
  </si>
  <si>
    <t>Melting_Curves/meltCurve_O75152_ZC3H11A.pdf</t>
  </si>
  <si>
    <t>Melting_Curves/meltCurve_O75153_CLUH.pdf</t>
  </si>
  <si>
    <t>Melting_Curves/meltCurve_O75157_2_TSC22D2.pdf</t>
  </si>
  <si>
    <t>Melting_Curves/meltCurve_O75161_NPHP4.pdf</t>
  </si>
  <si>
    <t>Melting_Curves/meltCurve_O75164_KDM4A.pdf</t>
  </si>
  <si>
    <t>Melting_Curves/meltCurve_O75165_DNAJC13.pdf</t>
  </si>
  <si>
    <t>Melting_Curves/meltCurve_O75170_4_PPP6R2.pdf</t>
  </si>
  <si>
    <t>Melting_Curves/meltCurve_O75175_CNOT3.pdf</t>
  </si>
  <si>
    <t>Melting_Curves/meltCurve_O75177_2_SS18L1.pdf</t>
  </si>
  <si>
    <t>Melting_Curves/meltCurve_O75179_2_ANKRD17.pdf</t>
  </si>
  <si>
    <t>Melting_Curves/meltCurve_O75185_ATP2C2.pdf</t>
  </si>
  <si>
    <t>Melting_Curves/meltCurve_O75191_XYLB.pdf</t>
  </si>
  <si>
    <t>Melting_Curves/meltCurve_O75204_TMEM127.pdf</t>
  </si>
  <si>
    <t>Melting_Curves/meltCurve_O75208_COQ9.pdf</t>
  </si>
  <si>
    <t>Melting_Curves/meltCurve_O75223_GGCT.pdf</t>
  </si>
  <si>
    <t>Melting_Curves/meltCurve_O75306_NDUFS2.pdf</t>
  </si>
  <si>
    <t>Melting_Curves/meltCurve_O75312_ZNF259.pdf</t>
  </si>
  <si>
    <t>Melting_Curves/meltCurve_O75323_GBAS.pdf</t>
  </si>
  <si>
    <t>Melting_Curves/meltCurve_O75330_2_HMMR.pdf</t>
  </si>
  <si>
    <t>Melting_Curves/meltCurve_O75340_PDCD6.pdf</t>
  </si>
  <si>
    <t>Melting_Curves/meltCurve_O75347_TBCA.pdf</t>
  </si>
  <si>
    <t>Melting_Curves/meltCurve_O75348_ATP6V1G1.pdf</t>
  </si>
  <si>
    <t>Melting_Curves/meltCurve_O75351_VPS4B.pdf</t>
  </si>
  <si>
    <t>Melting_Curves/meltCurve_O75355_ENTPD3.pdf</t>
  </si>
  <si>
    <t>Melting_Curves/meltCurve_O75356_ENTPD5.pdf</t>
  </si>
  <si>
    <t>Melting_Curves/meltCurve_O75362_ZNF217.pdf</t>
  </si>
  <si>
    <t>Melting_Curves/meltCurve_O75367_2_H2AFY.pdf</t>
  </si>
  <si>
    <t>Melting_Curves/meltCurve_O75368_SH3BGRL.pdf</t>
  </si>
  <si>
    <t>Melting_Curves/meltCurve_O75369_2_FLNB.pdf</t>
  </si>
  <si>
    <t>Melting_Curves/meltCurve_O75376_NCOR1.pdf</t>
  </si>
  <si>
    <t>Melting_Curves/meltCurve_O75379_2_VAMP4.pdf</t>
  </si>
  <si>
    <t>Melting_Curves/meltCurve_O75380_NDUFS6.pdf</t>
  </si>
  <si>
    <t>Melting_Curves/meltCurve_O75381_2_PEX14.pdf</t>
  </si>
  <si>
    <t>Melting_Curves/meltCurve_O75382_2_TRIM3.pdf</t>
  </si>
  <si>
    <t>Melting_Curves/meltCurve_O75387_SLC43A1.pdf</t>
  </si>
  <si>
    <t>Melting_Curves/meltCurve_O75391_SPAG7.pdf</t>
  </si>
  <si>
    <t>Melting_Curves/meltCurve_O75396_SEC22B.pdf</t>
  </si>
  <si>
    <t>Melting_Curves/meltCurve_O75400_3_PRPF40A.pdf</t>
  </si>
  <si>
    <t>Melting_Curves/meltCurve_O75419_2_CDC45.pdf</t>
  </si>
  <si>
    <t>Melting_Curves/meltCurve_O75427_LRCH4.pdf</t>
  </si>
  <si>
    <t>Melting_Curves/meltCurve_O75436_VPS26A.pdf</t>
  </si>
  <si>
    <t>Melting_Curves/meltCurve_O75438_NDUFB1.pdf</t>
  </si>
  <si>
    <t>Melting_Curves/meltCurve_O75439_PMPCB.pdf</t>
  </si>
  <si>
    <t>Melting_Curves/meltCurve_O75446_SAP30.pdf</t>
  </si>
  <si>
    <t>Melting_Curves/meltCurve_O75449_KATNA1.pdf</t>
  </si>
  <si>
    <t>Melting_Curves/meltCurve_O75475_PSIP1.pdf</t>
  </si>
  <si>
    <t>Melting_Curves/meltCurve_O75475_3_PSIP1.pdf</t>
  </si>
  <si>
    <t>Melting_Curves/meltCurve_O75477_ERLIN1.pdf</t>
  </si>
  <si>
    <t>Melting_Curves/meltCurve_O75487_GPC4.pdf</t>
  </si>
  <si>
    <t>Melting_Curves/meltCurve_O75489_NDUFS3.pdf</t>
  </si>
  <si>
    <t>Melting_Curves/meltCurve_O75503_CLN5.pdf</t>
  </si>
  <si>
    <t>Melting_Curves/meltCurve_O75506_HSBP1.pdf</t>
  </si>
  <si>
    <t>Melting_Curves/meltCurve_O75521_2_ECI2.pdf</t>
  </si>
  <si>
    <t>Melting_Curves/meltCurve_O75528_TADA3.pdf</t>
  </si>
  <si>
    <t>Melting_Curves/meltCurve_O75530_3_EED.pdf</t>
  </si>
  <si>
    <t>Melting_Curves/meltCurve_O75531_BANF1.pdf</t>
  </si>
  <si>
    <t>Melting_Curves/meltCurve_O75533_SF3B1.pdf</t>
  </si>
  <si>
    <t>Melting_Curves/meltCurve_O75534_CSDE1.pdf</t>
  </si>
  <si>
    <t>Melting_Curves/meltCurve_O75554_WBP4.pdf</t>
  </si>
  <si>
    <t>Melting_Curves/meltCurve_O75570_MTRF1.pdf</t>
  </si>
  <si>
    <t>Melting_Curves/meltCurve_O75575_CRCP.pdf</t>
  </si>
  <si>
    <t>Melting_Curves/meltCurve_O75600_GCAT.pdf</t>
  </si>
  <si>
    <t>Melting_Curves/meltCurve_O75607_NPM3.pdf</t>
  </si>
  <si>
    <t>Melting_Curves/meltCurve_O75608_2_LYPLA1.pdf</t>
  </si>
  <si>
    <t>Melting_Curves/meltCurve_O75616_ERAL1.pdf</t>
  </si>
  <si>
    <t>Melting_Curves/meltCurve_O75629_CREG1.pdf</t>
  </si>
  <si>
    <t>Melting_Curves/meltCurve_O75643_SNRNP200.pdf</t>
  </si>
  <si>
    <t>Melting_Curves/meltCurve_O75648_TRMU.pdf</t>
  </si>
  <si>
    <t>Melting_Curves/meltCurve_O75663_TIPRL.pdf</t>
  </si>
  <si>
    <t>Melting_Curves/meltCurve_O75683_SURF6.pdf</t>
  </si>
  <si>
    <t>Melting_Curves/meltCurve_O75688_PPM1B.pdf</t>
  </si>
  <si>
    <t>Melting_Curves/meltCurve_O75688_2_PPM1B.pdf</t>
  </si>
  <si>
    <t>Melting_Curves/meltCurve_O75691_UTP20.pdf</t>
  </si>
  <si>
    <t>Melting_Curves/meltCurve_O75695_RP2.pdf</t>
  </si>
  <si>
    <t>Melting_Curves/meltCurve_O75717_WDHD1.pdf</t>
  </si>
  <si>
    <t>Melting_Curves/meltCurve_O75746_SLC25A12.pdf</t>
  </si>
  <si>
    <t>Melting_Curves/meltCurve_O75791_GRAP2.pdf</t>
  </si>
  <si>
    <t>Melting_Curves/meltCurve_O75792_RNASEH2A.pdf</t>
  </si>
  <si>
    <t>Melting_Curves/meltCurve_O75794_CDC123.pdf</t>
  </si>
  <si>
    <t>Melting_Curves/meltCurve_O75808_SOLH.pdf</t>
  </si>
  <si>
    <t>Melting_Curves/meltCurve_O75818_2_RPP40.pdf</t>
  </si>
  <si>
    <t>Melting_Curves/meltCurve_O75821_EIF3G.pdf</t>
  </si>
  <si>
    <t>Melting_Curves/meltCurve_O75822_EIF3J.pdf</t>
  </si>
  <si>
    <t>Melting_Curves/meltCurve_O75828_CBR3.pdf</t>
  </si>
  <si>
    <t>Melting_Curves/meltCurve_O75832_PSMD10.pdf</t>
  </si>
  <si>
    <t>Melting_Curves/meltCurve_O75844_ZMPSTE24.pdf</t>
  </si>
  <si>
    <t>Melting_Curves/meltCurve_O75845_SC5D.pdf</t>
  </si>
  <si>
    <t>Melting_Curves/meltCurve_O75874_IDH1.pdf</t>
  </si>
  <si>
    <t>Melting_Curves/meltCurve_O75882_ATRN.pdf</t>
  </si>
  <si>
    <t>Melting_Curves/meltCurve_O75884_RBBP9.pdf</t>
  </si>
  <si>
    <t>Melting_Curves/meltCurve_O75886_STAM2.pdf</t>
  </si>
  <si>
    <t>Melting_Curves/meltCurve_O75891_ALDH1L1.pdf</t>
  </si>
  <si>
    <t>Melting_Curves/meltCurve_O75896_TUSC2.pdf</t>
  </si>
  <si>
    <t>Melting_Curves/meltCurve_O75915_ARL6IP5.pdf</t>
  </si>
  <si>
    <t>Melting_Curves/meltCurve_O75925_PIAS1.pdf</t>
  </si>
  <si>
    <t>Melting_Curves/meltCurve_O75934_BCAS2.pdf</t>
  </si>
  <si>
    <t>Melting_Curves/meltCurve_O75935_DCTN3.pdf</t>
  </si>
  <si>
    <t>Melting_Curves/meltCurve_O75937_DNAJC8.pdf</t>
  </si>
  <si>
    <t>Melting_Curves/meltCurve_O75940_SMNDC1.pdf</t>
  </si>
  <si>
    <t>Melting_Curves/meltCurve_O75943_2_RAD17.pdf</t>
  </si>
  <si>
    <t>Melting_Curves/meltCurve_O75947_ATP5H.pdf</t>
  </si>
  <si>
    <t>Melting_Curves/meltCurve_O75955_FLOT1.pdf</t>
  </si>
  <si>
    <t>Melting_Curves/meltCurve_O75962_TRIO.pdf</t>
  </si>
  <si>
    <t>Melting_Curves/meltCurve_O75964_ATP5L.pdf</t>
  </si>
  <si>
    <t>Melting_Curves/meltCurve_O75976_CPD.pdf</t>
  </si>
  <si>
    <t>Melting_Curves/meltCurve_O76003_GLRX3.pdf</t>
  </si>
  <si>
    <t>Melting_Curves/meltCurve_O76024_WFS1.pdf</t>
  </si>
  <si>
    <t>Melting_Curves/meltCurve_O76031_CLPX.pdf</t>
  </si>
  <si>
    <t>Melting_Curves/meltCurve_O76041_2_NEBL.pdf</t>
  </si>
  <si>
    <t>Melting_Curves/meltCurve_O76054_4_SEC14L2.pdf</t>
  </si>
  <si>
    <t>Melting_Curves/meltCurve_O76061_STC2.pdf</t>
  </si>
  <si>
    <t>Melting_Curves/meltCurve_O76071_CIAO1.pdf</t>
  </si>
  <si>
    <t>Melting_Curves/meltCurve_O76074_2_PDE5A.pdf</t>
  </si>
  <si>
    <t>Melting_Curves/meltCurve_O76075_DFFB.pdf</t>
  </si>
  <si>
    <t>Melting_Curves/meltCurve_O76080_ZFAND5.pdf</t>
  </si>
  <si>
    <t>Melting_Curves/meltCurve_O76094_SRP72.pdf</t>
  </si>
  <si>
    <t>Melting_Curves/meltCurve_O76095_2_JTB.pdf</t>
  </si>
  <si>
    <t>Melting_Curves/meltCurve_O77932_DOM3Z.pdf</t>
  </si>
  <si>
    <t>Melting_Curves/meltCurve_O94760_DDAH1.pdf</t>
  </si>
  <si>
    <t>Melting_Curves/meltCurve_O94763_URI1.pdf</t>
  </si>
  <si>
    <t>Melting_Curves/meltCurve_O94766_B3GAT3.pdf</t>
  </si>
  <si>
    <t>Melting_Curves/meltCurve_O94776_MTA2.pdf</t>
  </si>
  <si>
    <t>Melting_Curves/meltCurve_O94782_USP1.pdf</t>
  </si>
  <si>
    <t>Melting_Curves/meltCurve_O94804_STK10.pdf</t>
  </si>
  <si>
    <t>Melting_Curves/meltCurve_O94822_LTN1.pdf</t>
  </si>
  <si>
    <t>Melting_Curves/meltCurve_O94826_TOMM70A.pdf</t>
  </si>
  <si>
    <t>Melting_Curves/meltCurve_O94827_5_PLEKHG5.pdf</t>
  </si>
  <si>
    <t>Melting_Curves/meltCurve_O94829_IPO13.pdf</t>
  </si>
  <si>
    <t>Melting_Curves/meltCurve_O94830_DDHD2.pdf</t>
  </si>
  <si>
    <t>Melting_Curves/meltCurve_O94832_MYO1D.pdf</t>
  </si>
  <si>
    <t>Melting_Curves/meltCurve_O94851_6_MICAL2.pdf</t>
  </si>
  <si>
    <t>Melting_Curves/meltCurve_O94855_SEC24D.pdf</t>
  </si>
  <si>
    <t>Melting_Curves/meltCurve_O94864_2_SUPT7L.pdf</t>
  </si>
  <si>
    <t>Melting_Curves/meltCurve_O94874_UFL1.pdf</t>
  </si>
  <si>
    <t>Melting_Curves/meltCurve_O94875_12_SORBS2.pdf</t>
  </si>
  <si>
    <t>Melting_Curves/meltCurve_O94876_TMCC1.pdf</t>
  </si>
  <si>
    <t>Melting_Curves/meltCurve_O94880_PHF14.pdf</t>
  </si>
  <si>
    <t>Melting_Curves/meltCurve_O94880_2_PHF14.pdf</t>
  </si>
  <si>
    <t>Melting_Curves/meltCurve_O94886_TMEM63A.pdf</t>
  </si>
  <si>
    <t>Melting_Curves/meltCurve_O94888_UBXN7.pdf</t>
  </si>
  <si>
    <t>Melting_Curves/meltCurve_O94903_PROSC.pdf</t>
  </si>
  <si>
    <t>Melting_Curves/meltCurve_O94906_2_PRPF6.pdf</t>
  </si>
  <si>
    <t>Melting_Curves/meltCurve_O94907_DKK1.pdf</t>
  </si>
  <si>
    <t>Melting_Curves/meltCurve_O94913_PCF11.pdf</t>
  </si>
  <si>
    <t>Melting_Curves/meltCurve_O94916_2_NFAT5.pdf</t>
  </si>
  <si>
    <t>Melting_Curves/meltCurve_O94919_ENDOD1.pdf</t>
  </si>
  <si>
    <t>Melting_Curves/meltCurve_O94925_GLS.pdf</t>
  </si>
  <si>
    <t>Melting_Curves/meltCurve_O94925_3_GLS.pdf</t>
  </si>
  <si>
    <t>Melting_Curves/meltCurve_O94966_7_USP19.pdf</t>
  </si>
  <si>
    <t>Melting_Curves/meltCurve_O94973_AP2A2.pdf</t>
  </si>
  <si>
    <t>Melting_Curves/meltCurve_O94973_2_AP2A2.pdf</t>
  </si>
  <si>
    <t>Melting_Curves/meltCurve_O94992_HEXIM1.pdf</t>
  </si>
  <si>
    <t>Melting_Curves/meltCurve_O95059_RPP14.pdf</t>
  </si>
  <si>
    <t>Melting_Curves/meltCurve_O95067_CCNB2.pdf</t>
  </si>
  <si>
    <t>Melting_Curves/meltCurve_O95081_AGFG2.pdf</t>
  </si>
  <si>
    <t>Melting_Curves/meltCurve_O95104_3_SCAF4.pdf</t>
  </si>
  <si>
    <t>Melting_Curves/meltCurve_O95139_NDUFB6.pdf</t>
  </si>
  <si>
    <t>Melting_Curves/meltCurve_O95140_MFN2.pdf</t>
  </si>
  <si>
    <t>Melting_Curves/meltCurve_O95155_2_UBE4B.pdf</t>
  </si>
  <si>
    <t>Melting_Curves/meltCurve_O95159_ZFPL1.pdf</t>
  </si>
  <si>
    <t>Melting_Curves/meltCurve_O95163_IKBKAP.pdf</t>
  </si>
  <si>
    <t>Melting_Curves/meltCurve_O95167_NDUFA3.pdf</t>
  </si>
  <si>
    <t>Melting_Curves/meltCurve_O95168_NDUFB4.pdf</t>
  </si>
  <si>
    <t>Melting_Curves/meltCurve_O95171_3_SCEL.pdf</t>
  </si>
  <si>
    <t>Melting_Curves/meltCurve_O95182_NDUFA7.pdf</t>
  </si>
  <si>
    <t>Melting_Curves/meltCurve_O95196_3_CSPG5.pdf</t>
  </si>
  <si>
    <t>Melting_Curves/meltCurve_O95197_2_RTN3.pdf</t>
  </si>
  <si>
    <t>Melting_Curves/meltCurve_O95202_LETM1.pdf</t>
  </si>
  <si>
    <t>Melting_Curves/meltCurve_O95205_MBLL.pdf</t>
  </si>
  <si>
    <t>Melting_Curves/meltCurve_O95218_2_ZRANB2.pdf</t>
  </si>
  <si>
    <t>Melting_Curves/meltCurve_O95219_SNX4.pdf</t>
  </si>
  <si>
    <t>Melting_Curves/meltCurve_O95229_ZWINT.pdf</t>
  </si>
  <si>
    <t>Melting_Curves/meltCurve_O95231_VENTX.pdf</t>
  </si>
  <si>
    <t>Melting_Curves/meltCurve_O95232_LUC7L3.pdf</t>
  </si>
  <si>
    <t>Melting_Curves/meltCurve_O95235_KIF20A.pdf</t>
  </si>
  <si>
    <t>Melting_Curves/meltCurve_O95239_KIF4A.pdf</t>
  </si>
  <si>
    <t>Melting_Curves/meltCurve_O95251_2_KAT7.pdf</t>
  </si>
  <si>
    <t>Melting_Curves/meltCurve_O95274_LYPD3.pdf</t>
  </si>
  <si>
    <t>Melting_Curves/meltCurve_O95292_VAPB.pdf</t>
  </si>
  <si>
    <t>Melting_Curves/meltCurve_O95295_SNAPIN.pdf</t>
  </si>
  <si>
    <t>Melting_Curves/meltCurve_O95297_2_MPZL1.pdf</t>
  </si>
  <si>
    <t>Melting_Curves/meltCurve_O95298_2_NDUFC2.pdf</t>
  </si>
  <si>
    <t>Melting_Curves/meltCurve_O95302_FKBP9.pdf</t>
  </si>
  <si>
    <t>Melting_Curves/meltCurve_O95336_PGLS.pdf</t>
  </si>
  <si>
    <t>Melting_Curves/meltCurve_O95347_SMC2.pdf</t>
  </si>
  <si>
    <t>Melting_Curves/meltCurve_O95352_ATG7.pdf</t>
  </si>
  <si>
    <t>Melting_Curves/meltCurve_O95363_FARS2.pdf</t>
  </si>
  <si>
    <t>Melting_Curves/meltCurve_O95365_ZBTB7A.pdf</t>
  </si>
  <si>
    <t>Melting_Curves/meltCurve_O95372_LYPLA2.pdf</t>
  </si>
  <si>
    <t>Melting_Curves/meltCurve_O95373_IPO7.pdf</t>
  </si>
  <si>
    <t>Melting_Curves/meltCurve_O95376_ARIH2.pdf</t>
  </si>
  <si>
    <t>Melting_Curves/meltCurve_O95391_SLU7.pdf</t>
  </si>
  <si>
    <t>Melting_Curves/meltCurve_O95394_PGM3.pdf</t>
  </si>
  <si>
    <t>Melting_Curves/meltCurve_O95396_MOCS3.pdf</t>
  </si>
  <si>
    <t>Melting_Curves/meltCurve_O95400_CD2BP2.pdf</t>
  </si>
  <si>
    <t>Melting_Curves/meltCurve_O95402_MED26.pdf</t>
  </si>
  <si>
    <t>Melting_Curves/meltCurve_O95405_3_ZFYVE9.pdf</t>
  </si>
  <si>
    <t>Melting_Curves/meltCurve_O95409_ZIC2.pdf</t>
  </si>
  <si>
    <t>Melting_Curves/meltCurve_O95425_2_SVIL.pdf</t>
  </si>
  <si>
    <t>Melting_Curves/meltCurve_O95429_2_BAG4.pdf</t>
  </si>
  <si>
    <t>Melting_Curves/meltCurve_O95433_AHSA1.pdf</t>
  </si>
  <si>
    <t>Melting_Curves/meltCurve_O95453_2_PARN.pdf</t>
  </si>
  <si>
    <t>Melting_Curves/meltCurve_O95455_TGDS.pdf</t>
  </si>
  <si>
    <t>Melting_Curves/meltCurve_O95456_2_PSMG1.pdf</t>
  </si>
  <si>
    <t>Melting_Curves/meltCurve_O95470_SGPL1.pdf</t>
  </si>
  <si>
    <t>Melting_Curves/meltCurve_O95471_CLDN7.pdf</t>
  </si>
  <si>
    <t>Melting_Curves/meltCurve_O95486_SEC24A.pdf</t>
  </si>
  <si>
    <t>Melting_Curves/meltCurve_O95487_2_SEC24B.pdf</t>
  </si>
  <si>
    <t>Melting_Curves/meltCurve_O95544_NADK.pdf</t>
  </si>
  <si>
    <t>Melting_Curves/meltCurve_O95551_TDP2.pdf</t>
  </si>
  <si>
    <t>Melting_Curves/meltCurve_O95571_ETHE1.pdf</t>
  </si>
  <si>
    <t>Melting_Curves/meltCurve_O95573_ACSL3.pdf</t>
  </si>
  <si>
    <t>Melting_Curves/meltCurve_O95602_POLR1A.pdf</t>
  </si>
  <si>
    <t>Melting_Curves/meltCurve_O95619_YEATS4.pdf</t>
  </si>
  <si>
    <t>Melting_Curves/meltCurve_O95620_DUS4L.pdf</t>
  </si>
  <si>
    <t>Melting_Curves/meltCurve_O95622_ADCY5.pdf</t>
  </si>
  <si>
    <t>Melting_Curves/meltCurve_O95628_5_CNOT4.pdf</t>
  </si>
  <si>
    <t>Melting_Curves/meltCurve_O95630_STAMBP.pdf</t>
  </si>
  <si>
    <t>Melting_Curves/meltCurve_O95670_ATP6V1G2.pdf</t>
  </si>
  <si>
    <t>Melting_Curves/meltCurve_O95671_2_ASMTL.pdf</t>
  </si>
  <si>
    <t>Melting_Curves/meltCurve_O95674_CDS2.pdf</t>
  </si>
  <si>
    <t>Melting_Curves/meltCurve_O95684_FGFR1OP.pdf</t>
  </si>
  <si>
    <t>Melting_Curves/meltCurve_O95685_PPP1R3D.pdf</t>
  </si>
  <si>
    <t>Melting_Curves/meltCurve_O95716_RAB3D.pdf</t>
  </si>
  <si>
    <t>Melting_Curves/meltCurve_O95721_SNAP29.pdf</t>
  </si>
  <si>
    <t>Melting_Curves/meltCurve_O95747_OXSR1.pdf</t>
  </si>
  <si>
    <t>Melting_Curves/meltCurve_O95749_GGPS1.pdf</t>
  </si>
  <si>
    <t>Melting_Curves/meltCurve_O95750_FGF19.pdf</t>
  </si>
  <si>
    <t>Melting_Curves/meltCurve_O95758_1_PTBP3.pdf</t>
  </si>
  <si>
    <t>Melting_Curves/meltCurve_O95777_NAA38.pdf</t>
  </si>
  <si>
    <t>Melting_Curves/meltCurve_O95782_2_AP2A1.pdf</t>
  </si>
  <si>
    <t>Melting_Curves/meltCurve_O95801_TTC4.pdf</t>
  </si>
  <si>
    <t>Melting_Curves/meltCurve_O95810_SDPR.pdf</t>
  </si>
  <si>
    <t>Melting_Curves/meltCurve_O95816_BAG2.pdf</t>
  </si>
  <si>
    <t>Melting_Curves/meltCurve_O95817_BAG3.pdf</t>
  </si>
  <si>
    <t>Melting_Curves/meltCurve_O95822_MLYCD.pdf</t>
  </si>
  <si>
    <t>Melting_Curves/meltCurve_O95825_CRYZL1.pdf</t>
  </si>
  <si>
    <t>Melting_Curves/meltCurve_O95831_3_AIFM1.pdf</t>
  </si>
  <si>
    <t>Melting_Curves/meltCurve_O95834_2_EML2.pdf</t>
  </si>
  <si>
    <t>Melting_Curves/meltCurve_O95835_LATS1.pdf</t>
  </si>
  <si>
    <t>Melting_Curves/meltCurve_O95848_NUDT14.pdf</t>
  </si>
  <si>
    <t>Melting_Curves/meltCurve_O95857_TSPAN13.pdf</t>
  </si>
  <si>
    <t>Melting_Curves/meltCurve_O95861_BPNT1.pdf</t>
  </si>
  <si>
    <t>Melting_Curves/meltCurve_O95865_DDAH2.pdf</t>
  </si>
  <si>
    <t>Melting_Curves/meltCurve_O95873_C6orf47.pdf</t>
  </si>
  <si>
    <t>Melting_Curves/meltCurve_O95881_TXNDC12.pdf</t>
  </si>
  <si>
    <t>Melting_Curves/meltCurve_O95905_ECD.pdf</t>
  </si>
  <si>
    <t>Melting_Curves/meltCurve_O95926_SYF2.pdf</t>
  </si>
  <si>
    <t>Melting_Curves/meltCurve_O95983_2_MBD3.pdf</t>
  </si>
  <si>
    <t>Melting_Curves/meltCurve_O95985_TOP3B.pdf</t>
  </si>
  <si>
    <t>Melting_Curves/meltCurve_O95989_NUDT3.pdf</t>
  </si>
  <si>
    <t>Melting_Curves/meltCurve_O95999_BCL10.pdf</t>
  </si>
  <si>
    <t>Melting_Curves/meltCurve_O96000_NDUFB10.pdf</t>
  </si>
  <si>
    <t>Melting_Curves/meltCurve_O96007_MOCS2.pdf</t>
  </si>
  <si>
    <t>Melting_Curves/meltCurve_O96008_TOMM40.pdf</t>
  </si>
  <si>
    <t>Melting_Curves/meltCurve_O96011_2_PEX11B.pdf</t>
  </si>
  <si>
    <t>Melting_Curves/meltCurve_O96013_PAK4.pdf</t>
  </si>
  <si>
    <t>Melting_Curves/meltCurve_O96017_CHEK2.pdf</t>
  </si>
  <si>
    <t>Melting_Curves/meltCurve_O96019_ACTL6A.pdf</t>
  </si>
  <si>
    <t>Melting_Curves/meltCurve_O96033_MOCS2.pdf</t>
  </si>
  <si>
    <t>Melting_Curves/meltCurve_P00167_2_CYB5A.pdf</t>
  </si>
  <si>
    <t>Melting_Curves/meltCurve_P00338_LDHA.pdf</t>
  </si>
  <si>
    <t>Melting_Curves/meltCurve_P00352_ALDH1A1.pdf</t>
  </si>
  <si>
    <t>Melting_Curves/meltCurve_P00367_GLUD1.pdf</t>
  </si>
  <si>
    <t>Melting_Curves/meltCurve_P00374_DHFR.pdf</t>
  </si>
  <si>
    <t>Melting_Curves/meltCurve_P00387_2_CYB5R3.pdf</t>
  </si>
  <si>
    <t>Melting_Curves/meltCurve_P00390_2_GSR.pdf</t>
  </si>
  <si>
    <t>Melting_Curves/meltCurve_P00403_MT_CO2.pdf</t>
  </si>
  <si>
    <t>Melting_Curves/meltCurve_P00441_SOD1.pdf</t>
  </si>
  <si>
    <t>Melting_Curves/meltCurve_P00491_PNP.pdf</t>
  </si>
  <si>
    <t>Melting_Curves/meltCurve_P00492_HPRT1.pdf</t>
  </si>
  <si>
    <t>Melting_Curves/meltCurve_P00505_GOT2.pdf</t>
  </si>
  <si>
    <t>Melting_Curves/meltCurve_P00519_ABL1.pdf</t>
  </si>
  <si>
    <t>Melting_Curves/meltCurve_P00558_PGK1.pdf</t>
  </si>
  <si>
    <t>Melting_Curves/meltCurve_P00813_ADA.pdf</t>
  </si>
  <si>
    <t>Melting_Curves/meltCurve_P00846_MT_ATP6.pdf</t>
  </si>
  <si>
    <t>Melting_Curves/meltCurve_P00918_CA2.pdf</t>
  </si>
  <si>
    <t>Melting_Curves/meltCurve_P00966_ASS1.pdf</t>
  </si>
  <si>
    <t>Melting_Curves/meltCurve_P01034_CST3.pdf</t>
  </si>
  <si>
    <t>Melting_Curves/meltCurve_P01037_CST1.pdf</t>
  </si>
  <si>
    <t>Melting_Curves/meltCurve_P01100_FOS.pdf</t>
  </si>
  <si>
    <t>Melting_Curves/meltCurve_P01111_NRAS.pdf</t>
  </si>
  <si>
    <t>Melting_Curves/meltCurve_P01112_HRAS.pdf</t>
  </si>
  <si>
    <t>Melting_Curves/meltCurve_P01116_2_KRAS.pdf</t>
  </si>
  <si>
    <t>Melting_Curves/meltCurve_P01137_TGFB1.pdf</t>
  </si>
  <si>
    <t>Melting_Curves/meltCurve_P02008_HBZ.pdf</t>
  </si>
  <si>
    <t>Melting_Curves/meltCurve_P02144_MB.pdf</t>
  </si>
  <si>
    <t>Melting_Curves/meltCurve_P02545_LMNA.pdf</t>
  </si>
  <si>
    <t>Melting_Curves/meltCurve_P02649_APOE.pdf</t>
  </si>
  <si>
    <t>Melting_Curves/meltCurve_P02786_TFRC.pdf</t>
  </si>
  <si>
    <t>Melting_Curves/meltCurve_P02787_TF.pdf</t>
  </si>
  <si>
    <t>Melting_Curves/meltCurve_P02792_FTL.pdf</t>
  </si>
  <si>
    <t>Melting_Curves/meltCurve_P02794_FTH1.pdf</t>
  </si>
  <si>
    <t>Melting_Curves/meltCurve_P02795_MT2A.pdf</t>
  </si>
  <si>
    <t>Melting_Curves/meltCurve_P03928_MT_ATP8.pdf</t>
  </si>
  <si>
    <t>Melting_Curves/meltCurve_P04040_CAT.pdf</t>
  </si>
  <si>
    <t>Melting_Curves/meltCurve_P04066_FUCA1.pdf</t>
  </si>
  <si>
    <t>Melting_Curves/meltCurve_P04075_ALDOA.pdf</t>
  </si>
  <si>
    <t>Melting_Curves/meltCurve_P04080_CSTB.pdf</t>
  </si>
  <si>
    <t>Melting_Curves/meltCurve_P04083_ANXA1.pdf</t>
  </si>
  <si>
    <t>Melting_Curves/meltCurve_P04114_APOB.pdf</t>
  </si>
  <si>
    <t>Melting_Curves/meltCurve_P04181_OAT.pdf</t>
  </si>
  <si>
    <t>Melting_Curves/meltCurve_P04183_TK1.pdf</t>
  </si>
  <si>
    <t>Melting_Curves/meltCurve_P04350_TUBB4A.pdf</t>
  </si>
  <si>
    <t>Melting_Curves/meltCurve_P04406_GAPDH.pdf</t>
  </si>
  <si>
    <t>Melting_Curves/meltCurve_P04424_ASL.pdf</t>
  </si>
  <si>
    <t>Melting_Curves/meltCurve_P04632_CAPNS1.pdf</t>
  </si>
  <si>
    <t>Melting_Curves/meltCurve_P04792_HSPB1.pdf</t>
  </si>
  <si>
    <t>Melting_Curves/meltCurve_P04818_TYMS.pdf</t>
  </si>
  <si>
    <t>Melting_Curves/meltCurve_P04843_RPN1.pdf</t>
  </si>
  <si>
    <t>Melting_Curves/meltCurve_P04844_RPN2.pdf</t>
  </si>
  <si>
    <t>Melting_Curves/meltCurve_P04899_GNAI2.pdf</t>
  </si>
  <si>
    <t>Melting_Curves/meltCurve_P04920_2_SLC4A2.pdf</t>
  </si>
  <si>
    <t>Melting_Curves/meltCurve_P05023_4_ATP1A1.pdf</t>
  </si>
  <si>
    <t>Melting_Curves/meltCurve_P05060_CHGB.pdf</t>
  </si>
  <si>
    <t>Melting_Curves/meltCurve_P05067_7_APP.pdf</t>
  </si>
  <si>
    <t>Melting_Curves/meltCurve_P05091_ALDH2.pdf</t>
  </si>
  <si>
    <t>Melting_Curves/meltCurve_P05114_HMGN1.pdf</t>
  </si>
  <si>
    <t>Melting_Curves/meltCurve_P05141_SLC25A5.pdf</t>
  </si>
  <si>
    <t>Melting_Curves/meltCurve_P05161_ISG15.pdf</t>
  </si>
  <si>
    <t>Melting_Curves/meltCurve_P05165_2_PCCA.pdf</t>
  </si>
  <si>
    <t>Melting_Curves/meltCurve_P05198_EIF2S1.pdf</t>
  </si>
  <si>
    <t>Melting_Curves/meltCurve_P05204_HMGN2.pdf</t>
  </si>
  <si>
    <t>Melting_Curves/meltCurve_P05362_ICAM1.pdf</t>
  </si>
  <si>
    <t>Melting_Curves/meltCurve_P05386_RPLP1.pdf</t>
  </si>
  <si>
    <t>Melting_Curves/meltCurve_P05387_RPLP2.pdf</t>
  </si>
  <si>
    <t>Melting_Curves/meltCurve_P05388_RPLP0.pdf</t>
  </si>
  <si>
    <t>Melting_Curves/meltCurve_P05412_JUN.pdf</t>
  </si>
  <si>
    <t>Melting_Curves/meltCurve_P05455_SSB.pdf</t>
  </si>
  <si>
    <t>Melting_Curves/meltCurve_P05556_ITGB1.pdf</t>
  </si>
  <si>
    <t>Melting_Curves/meltCurve_P05783_KRT18.pdf</t>
  </si>
  <si>
    <t>Melting_Curves/meltCurve_P05976_2_MYL1.pdf</t>
  </si>
  <si>
    <t>Melting_Curves/meltCurve_P06132_UROD.pdf</t>
  </si>
  <si>
    <t>Melting_Curves/meltCurve_P06276_BCHE.pdf</t>
  </si>
  <si>
    <t>Melting_Curves/meltCurve_P06280_GLA.pdf</t>
  </si>
  <si>
    <t>Melting_Curves/meltCurve_P06396_2_GSN.pdf</t>
  </si>
  <si>
    <t>Melting_Curves/meltCurve_P06400_RB1.pdf</t>
  </si>
  <si>
    <t>Melting_Curves/meltCurve_P06493_CDK1.pdf</t>
  </si>
  <si>
    <t>Melting_Curves/meltCurve_P06576_ATP5B.pdf</t>
  </si>
  <si>
    <t>Melting_Curves/meltCurve_P06733_ENO1.pdf</t>
  </si>
  <si>
    <t>Melting_Curves/meltCurve_P06733_2_ENO1.pdf</t>
  </si>
  <si>
    <t>Melting_Curves/meltCurve_P06737_PYGL.pdf</t>
  </si>
  <si>
    <t>Melting_Curves/meltCurve_P06744_GPI.pdf</t>
  </si>
  <si>
    <t>Melting_Curves/meltCurve_P06748_NPM1.pdf</t>
  </si>
  <si>
    <t>Melting_Curves/meltCurve_P06748_3_NPM1.pdf</t>
  </si>
  <si>
    <t>Melting_Curves/meltCurve_P06753_3_TPM3.pdf</t>
  </si>
  <si>
    <t>Melting_Curves/meltCurve_P06756_3_ITGAV.pdf</t>
  </si>
  <si>
    <t>Melting_Curves/meltCurve_P07108_DBI.pdf</t>
  </si>
  <si>
    <t>Melting_Curves/meltCurve_P07195_LDHB.pdf</t>
  </si>
  <si>
    <t>Melting_Curves/meltCurve_P07199_CENPB.pdf</t>
  </si>
  <si>
    <t>Melting_Curves/meltCurve_P07203_GPX1.pdf</t>
  </si>
  <si>
    <t>Melting_Curves/meltCurve_P07205_PGK2.pdf</t>
  </si>
  <si>
    <t>Melting_Curves/meltCurve_P07237_P4HB.pdf</t>
  </si>
  <si>
    <t>Melting_Curves/meltCurve_P07305_2_H1F0.pdf</t>
  </si>
  <si>
    <t>Melting_Curves/meltCurve_P07339_CTSD.pdf</t>
  </si>
  <si>
    <t>Melting_Curves/meltCurve_P07355_ANXA2.pdf</t>
  </si>
  <si>
    <t>Melting_Curves/meltCurve_P07384_CAPN1.pdf</t>
  </si>
  <si>
    <t>Melting_Curves/meltCurve_P07686_HEXB.pdf</t>
  </si>
  <si>
    <t>Melting_Curves/meltCurve_P07737_PFN1.pdf</t>
  </si>
  <si>
    <t>Melting_Curves/meltCurve_P07738_BPGM.pdf</t>
  </si>
  <si>
    <t>Melting_Curves/meltCurve_P07741_APRT.pdf</t>
  </si>
  <si>
    <t>Melting_Curves/meltCurve_P07814_EPRS.pdf</t>
  </si>
  <si>
    <t>Melting_Curves/meltCurve_P07858_CTSB.pdf</t>
  </si>
  <si>
    <t>Melting_Curves/meltCurve_P07900_HSP90AA1.pdf</t>
  </si>
  <si>
    <t>Melting_Curves/meltCurve_P07902_GALT.pdf</t>
  </si>
  <si>
    <t>Melting_Curves/meltCurve_P07919_UQCRH.pdf</t>
  </si>
  <si>
    <t>Melting_Curves/meltCurve_P07948_2_LYN.pdf</t>
  </si>
  <si>
    <t>Melting_Curves/meltCurve_P07951_TPM2.pdf</t>
  </si>
  <si>
    <t>Melting_Curves/meltCurve_P07954_2_FH.pdf</t>
  </si>
  <si>
    <t>Melting_Curves/meltCurve_P08034_GJB1.pdf</t>
  </si>
  <si>
    <t>Melting_Curves/meltCurve_P08047_SP1.pdf</t>
  </si>
  <si>
    <t>Melting_Curves/meltCurve_P08107_HSPA1A.pdf</t>
  </si>
  <si>
    <t>Melting_Curves/meltCurve_P08237_PFKM.pdf</t>
  </si>
  <si>
    <t>Melting_Curves/meltCurve_P08238_HSP90AB1.pdf</t>
  </si>
  <si>
    <t>Melting_Curves/meltCurve_P08240_SRPR.pdf</t>
  </si>
  <si>
    <t>Melting_Curves/meltCurve_P08243_2_ASNS.pdf</t>
  </si>
  <si>
    <t>Melting_Curves/meltCurve_P08294_SOD3.pdf</t>
  </si>
  <si>
    <t>Melting_Curves/meltCurve_P08397_2_HMBS.pdf</t>
  </si>
  <si>
    <t>Melting_Curves/meltCurve_P08473_MME.pdf</t>
  </si>
  <si>
    <t>Melting_Curves/meltCurve_P08559_PDHA1.pdf</t>
  </si>
  <si>
    <t>Melting_Curves/meltCurve_P08574_CYC1.pdf</t>
  </si>
  <si>
    <t>Melting_Curves/meltCurve_P08579_SNRPB2.pdf</t>
  </si>
  <si>
    <t>Melting_Curves/meltCurve_P08621_SNRNP70.pdf</t>
  </si>
  <si>
    <t>Melting_Curves/meltCurve_P08754_GNAI3.pdf</t>
  </si>
  <si>
    <t>Melting_Curves/meltCurve_P08758_ANXA5.pdf</t>
  </si>
  <si>
    <t>Melting_Curves/meltCurve_P09012_SNRPA.pdf</t>
  </si>
  <si>
    <t>Melting_Curves/meltCurve_P09038_2_FGF2.pdf</t>
  </si>
  <si>
    <t>Melting_Curves/meltCurve_P09104_ENO2.pdf</t>
  </si>
  <si>
    <t>Melting_Curves/meltCurve_P09110_ACAA1.pdf</t>
  </si>
  <si>
    <t>Melting_Curves/meltCurve_P09132_SRP19.pdf</t>
  </si>
  <si>
    <t>Melting_Curves/meltCurve_P09172_DBH.pdf</t>
  </si>
  <si>
    <t>Melting_Curves/meltCurve_P09211_GSTP1.pdf</t>
  </si>
  <si>
    <t>Melting_Curves/meltCurve_P09234_SNRPC.pdf</t>
  </si>
  <si>
    <t>Melting_Curves/meltCurve_P09382_LGALS1.pdf</t>
  </si>
  <si>
    <t>Melting_Curves/meltCurve_P09417_QDPR.pdf</t>
  </si>
  <si>
    <t>Melting_Curves/meltCurve_P09429_HMGB1.pdf</t>
  </si>
  <si>
    <t>Melting_Curves/meltCurve_P09467_FBP1.pdf</t>
  </si>
  <si>
    <t>Melting_Curves/meltCurve_P09493_10_TPM1.pdf</t>
  </si>
  <si>
    <t>Melting_Curves/meltCurve_P09493_3_TPM1.pdf</t>
  </si>
  <si>
    <t>Melting_Curves/meltCurve_P09496_2_CLTA.pdf</t>
  </si>
  <si>
    <t>Melting_Curves/meltCurve_P09497_2_CLTB.pdf</t>
  </si>
  <si>
    <t>Melting_Curves/meltCurve_P09525_ANXA4.pdf</t>
  </si>
  <si>
    <t>Melting_Curves/meltCurve_P09543_2_CNP.pdf</t>
  </si>
  <si>
    <t>Melting_Curves/meltCurve_P09601_HMOX1.pdf</t>
  </si>
  <si>
    <t>Melting_Curves/meltCurve_P09619_PDGFRB.pdf</t>
  </si>
  <si>
    <t>Melting_Curves/meltCurve_P09622_DLD.pdf</t>
  </si>
  <si>
    <t>Melting_Curves/meltCurve_P09661_SNRPA1.pdf</t>
  </si>
  <si>
    <t>Melting_Curves/meltCurve_P09668_CTSH.pdf</t>
  </si>
  <si>
    <t>Melting_Curves/meltCurve_P09669_COX6C.pdf</t>
  </si>
  <si>
    <t>Melting_Curves/meltCurve_P09874_PARP1.pdf</t>
  </si>
  <si>
    <t>Melting_Curves/meltCurve_P09960_LTA4H.pdf</t>
  </si>
  <si>
    <t>Melting_Curves/meltCurve_P09972_ALDOC.pdf</t>
  </si>
  <si>
    <t>Melting_Curves/meltCurve_P0C024_NUDT7.pdf</t>
  </si>
  <si>
    <t>Melting_Curves/meltCurve_P0C7P0_CISD3.pdf</t>
  </si>
  <si>
    <t>Melting_Curves/meltCurve_P0C7T5_ATXN1L.pdf</t>
  </si>
  <si>
    <t>Melting_Curves/meltCurve_P0C870_JMJD7.pdf</t>
  </si>
  <si>
    <t>Melting_Curves/meltCurve_P0CAP2_POLR2M.pdf</t>
  </si>
  <si>
    <t>Melting_Curves/meltCurve_P0CG12_CHTF8.pdf</t>
  </si>
  <si>
    <t>Melting_Curves/meltCurve_P0CW22_RPS17L.pdf</t>
  </si>
  <si>
    <t>Melting_Curves/meltCurve_P0DJ93_SMIM13.pdf</t>
  </si>
  <si>
    <t>Melting_Curves/meltCurve_P10109_FDX1.pdf</t>
  </si>
  <si>
    <t>Melting_Curves/meltCurve_P10114_RAP2A.pdf</t>
  </si>
  <si>
    <t>Melting_Curves/meltCurve_P10155_TROVE2.pdf</t>
  </si>
  <si>
    <t>Melting_Curves/meltCurve_P10176_COX8A.pdf</t>
  </si>
  <si>
    <t>Melting_Curves/meltCurve_P10253_GAA.pdf</t>
  </si>
  <si>
    <t>Melting_Curves/meltCurve_P10301_RRAS.pdf</t>
  </si>
  <si>
    <t>Melting_Curves/meltCurve_P10398_ARAF.pdf</t>
  </si>
  <si>
    <t>Melting_Curves/meltCurve_P10412_HIST1H1E.pdf</t>
  </si>
  <si>
    <t>Melting_Curves/meltCurve_P10515_DLAT.pdf</t>
  </si>
  <si>
    <t>Melting_Curves/meltCurve_P10586_2_PTPRF.pdf</t>
  </si>
  <si>
    <t>Melting_Curves/meltCurve_P10588_NR2F6.pdf</t>
  </si>
  <si>
    <t>Melting_Curves/meltCurve_P10599_TXN.pdf</t>
  </si>
  <si>
    <t>Melting_Curves/meltCurve_P10606_COX5B.pdf</t>
  </si>
  <si>
    <t>Melting_Curves/meltCurve_P10619_CTSA.pdf</t>
  </si>
  <si>
    <t>Melting_Curves/meltCurve_P10636_5_MAPT.pdf</t>
  </si>
  <si>
    <t>Melting_Curves/meltCurve_P10643_C7.pdf</t>
  </si>
  <si>
    <t>Melting_Curves/meltCurve_P10644_PRKAR1A.pdf</t>
  </si>
  <si>
    <t>Melting_Curves/meltCurve_P10746_UROS.pdf</t>
  </si>
  <si>
    <t>Melting_Curves/meltCurve_P10768_ESD.pdf</t>
  </si>
  <si>
    <t>Melting_Curves/meltCurve_P10809_HSPD1.pdf</t>
  </si>
  <si>
    <t>Melting_Curves/meltCurve_P10909_4_CLU.pdf</t>
  </si>
  <si>
    <t>Melting_Curves/meltCurve_P11021_HSPA5.pdf</t>
  </si>
  <si>
    <t>Melting_Curves/meltCurve_P11047_LAMC1.pdf</t>
  </si>
  <si>
    <t>Melting_Curves/meltCurve_P11086_PNMT.pdf</t>
  </si>
  <si>
    <t>Melting_Curves/meltCurve_P11117_ACP2.pdf</t>
  </si>
  <si>
    <t>Melting_Curves/meltCurve_P11142_HSPA8.pdf</t>
  </si>
  <si>
    <t>Melting_Curves/meltCurve_P11166_SLC2A1.pdf</t>
  </si>
  <si>
    <t>Melting_Curves/meltCurve_P11171_EPB41.pdf</t>
  </si>
  <si>
    <t>Melting_Curves/meltCurve_P11171_2_EPB41.pdf</t>
  </si>
  <si>
    <t>Melting_Curves/meltCurve_P11172_UMPS.pdf</t>
  </si>
  <si>
    <t>Melting_Curves/meltCurve_P11177_PDHB.pdf</t>
  </si>
  <si>
    <t>Melting_Curves/meltCurve_P11182_DBT.pdf</t>
  </si>
  <si>
    <t>Melting_Curves/meltCurve_P11216_PYGB.pdf</t>
  </si>
  <si>
    <t>Melting_Curves/meltCurve_P11233_RALA.pdf</t>
  </si>
  <si>
    <t>Melting_Curves/meltCurve_P11234_RALB.pdf</t>
  </si>
  <si>
    <t>Melting_Curves/meltCurve_P11274_BCR.pdf</t>
  </si>
  <si>
    <t>Melting_Curves/meltCurve_P11279_LAMP1.pdf</t>
  </si>
  <si>
    <t>Melting_Curves/meltCurve_P11387_TOP1.pdf</t>
  </si>
  <si>
    <t>Melting_Curves/meltCurve_P11388_TOP2A.pdf</t>
  </si>
  <si>
    <t>Melting_Curves/meltCurve_P11413_G6PD.pdf</t>
  </si>
  <si>
    <t>Melting_Curves/meltCurve_P11441_UBL4A.pdf</t>
  </si>
  <si>
    <t>Melting_Curves/meltCurve_P11498_PC.pdf</t>
  </si>
  <si>
    <t>Melting_Curves/meltCurve_P11586_MTHFD1.pdf</t>
  </si>
  <si>
    <t>Melting_Curves/meltCurve_P11717_IGF2R.pdf</t>
  </si>
  <si>
    <t>Melting_Curves/meltCurve_P11766_ADH5.pdf</t>
  </si>
  <si>
    <t>Melting_Curves/meltCurve_P11801_PSKH1.pdf</t>
  </si>
  <si>
    <t>Melting_Curves/meltCurve_P11802_CDK4.pdf</t>
  </si>
  <si>
    <t>Melting_Curves/meltCurve_P11908_PRPS2.pdf</t>
  </si>
  <si>
    <t>Melting_Curves/meltCurve_P11940_2_PABPC1.pdf</t>
  </si>
  <si>
    <t>Melting_Curves/meltCurve_P12004_PCNA.pdf</t>
  </si>
  <si>
    <t>Melting_Curves/meltCurve_P12081_HARS.pdf</t>
  </si>
  <si>
    <t>Melting_Curves/meltCurve_P12109_COL6A1.pdf</t>
  </si>
  <si>
    <t>Melting_Curves/meltCurve_P12235_SLC25A4.pdf</t>
  </si>
  <si>
    <t>Melting_Curves/meltCurve_P12236_SLC25A6.pdf</t>
  </si>
  <si>
    <t>Melting_Curves/meltCurve_P12268_IMPDH2.pdf</t>
  </si>
  <si>
    <t>Melting_Curves/meltCurve_P12270_TPR.pdf</t>
  </si>
  <si>
    <t>Melting_Curves/meltCurve_P12277_CKB.pdf</t>
  </si>
  <si>
    <t>Melting_Curves/meltCurve_P12429_ANXA3.pdf</t>
  </si>
  <si>
    <t>Melting_Curves/meltCurve_P12532_CKMT1A.pdf</t>
  </si>
  <si>
    <t>Melting_Curves/meltCurve_P12755_SKI.pdf</t>
  </si>
  <si>
    <t>Melting_Curves/meltCurve_P12814_2_ACTN1.pdf</t>
  </si>
  <si>
    <t>Melting_Curves/meltCurve_P12830_CDH1.pdf</t>
  </si>
  <si>
    <t>Melting_Curves/meltCurve_P12955_PEPD.pdf</t>
  </si>
  <si>
    <t>Melting_Curves/meltCurve_P12956_XRCC6.pdf</t>
  </si>
  <si>
    <t>Melting_Curves/meltCurve_P13010_XRCC5.pdf</t>
  </si>
  <si>
    <t>Melting_Curves/meltCurve_P13051_UNG.pdf</t>
  </si>
  <si>
    <t>Melting_Curves/meltCurve_P13056_NR2C1.pdf</t>
  </si>
  <si>
    <t>Melting_Curves/meltCurve_P13073_COX4I1.pdf</t>
  </si>
  <si>
    <t>Melting_Curves/meltCurve_P13196_ALAS1.pdf</t>
  </si>
  <si>
    <t>Melting_Curves/meltCurve_P13284_IFI30.pdf</t>
  </si>
  <si>
    <t>Melting_Curves/meltCurve_P13489_RNH1.pdf</t>
  </si>
  <si>
    <t>Melting_Curves/meltCurve_P13498_CYBA.pdf</t>
  </si>
  <si>
    <t>Melting_Curves/meltCurve_P13521_SCG2.pdf</t>
  </si>
  <si>
    <t>Melting_Curves/meltCurve_P13639_EEF2.pdf</t>
  </si>
  <si>
    <t>Melting_Curves/meltCurve_P13640_2_MT1G.pdf</t>
  </si>
  <si>
    <t>Melting_Curves/meltCurve_P13667_PDIA4.pdf</t>
  </si>
  <si>
    <t>Melting_Curves/meltCurve_P13674_P4HA1.pdf</t>
  </si>
  <si>
    <t>Melting_Curves/meltCurve_P13674_2_P4HA1.pdf</t>
  </si>
  <si>
    <t>Melting_Curves/meltCurve_P13693_TPT1.pdf</t>
  </si>
  <si>
    <t>Melting_Curves/meltCurve_P13804_ETFA.pdf</t>
  </si>
  <si>
    <t>Melting_Curves/meltCurve_P13861_PRKAR2A.pdf</t>
  </si>
  <si>
    <t>Melting_Curves/meltCurve_P13866_2_SLC5A1.pdf</t>
  </si>
  <si>
    <t>Melting_Curves/meltCurve_P13929_ENO3.pdf</t>
  </si>
  <si>
    <t>Melting_Curves/meltCurve_P13984_GTF2F2.pdf</t>
  </si>
  <si>
    <t>Melting_Curves/meltCurve_P13994_CCDC130.pdf</t>
  </si>
  <si>
    <t>Melting_Curves/meltCurve_P13995_MTHFD2.pdf</t>
  </si>
  <si>
    <t>Melting_Curves/meltCurve_P14174_MIF.pdf</t>
  </si>
  <si>
    <t>Melting_Curves/meltCurve_P14222_PRF1.pdf</t>
  </si>
  <si>
    <t>Melting_Curves/meltCurve_P14324_2_FDPS.pdf</t>
  </si>
  <si>
    <t>Melting_Curves/meltCurve_P14550_AKR1A1.pdf</t>
  </si>
  <si>
    <t>Melting_Curves/meltCurve_P14555_PLA2G2A.pdf</t>
  </si>
  <si>
    <t>Melting_Curves/meltCurve_P14618_PKM.pdf</t>
  </si>
  <si>
    <t>Melting_Curves/meltCurve_P14618_2_PKM.pdf</t>
  </si>
  <si>
    <t>Melting_Curves/meltCurve_P14621_ACYP2.pdf</t>
  </si>
  <si>
    <t>Melting_Curves/meltCurve_P14625_HSP90B1.pdf</t>
  </si>
  <si>
    <t>Melting_Curves/meltCurve_P14635_CCNB1.pdf</t>
  </si>
  <si>
    <t>Melting_Curves/meltCurve_P14649_MYL6B.pdf</t>
  </si>
  <si>
    <t>Melting_Curves/meltCurve_P14678_2_SNRPB.pdf</t>
  </si>
  <si>
    <t>Melting_Curves/meltCurve_P14735_IDE.pdf</t>
  </si>
  <si>
    <t>Melting_Curves/meltCurve_P14854_COX6B1.pdf</t>
  </si>
  <si>
    <t>Melting_Curves/meltCurve_P14866_HNRNPL.pdf</t>
  </si>
  <si>
    <t>Melting_Curves/meltCurve_P14868_DARS.pdf</t>
  </si>
  <si>
    <t>Melting_Curves/meltCurve_P14923_JUP.pdf</t>
  </si>
  <si>
    <t>Melting_Curves/meltCurve_P14927_UQCRB.pdf</t>
  </si>
  <si>
    <t>Melting_Curves/meltCurve_P15104_GLUL.pdf</t>
  </si>
  <si>
    <t>Melting_Curves/meltCurve_P15144_ANPEP.pdf</t>
  </si>
  <si>
    <t>Melting_Curves/meltCurve_P15151_3_PVR.pdf</t>
  </si>
  <si>
    <t>Melting_Curves/meltCurve_P15170_2_GSPT1.pdf</t>
  </si>
  <si>
    <t>Melting_Curves/meltCurve_P15289_ARSA.pdf</t>
  </si>
  <si>
    <t>Melting_Curves/meltCurve_P15291_2_B4GALT1.pdf</t>
  </si>
  <si>
    <t>Melting_Curves/meltCurve_P15311_EZR.pdf</t>
  </si>
  <si>
    <t>Melting_Curves/meltCurve_P15374_UCHL3.pdf</t>
  </si>
  <si>
    <t>Melting_Curves/meltCurve_P15407_FOSL1.pdf</t>
  </si>
  <si>
    <t>Melting_Curves/meltCurve_P15529_7_CD46.pdf</t>
  </si>
  <si>
    <t>Melting_Curves/meltCurve_P15531_NME1.pdf</t>
  </si>
  <si>
    <t>Melting_Curves/meltCurve_P15822_HIVEP1.pdf</t>
  </si>
  <si>
    <t>Melting_Curves/meltCurve_P15848_ARSB.pdf</t>
  </si>
  <si>
    <t>Melting_Curves/meltCurve_P15880_RPS2.pdf</t>
  </si>
  <si>
    <t>Melting_Curves/meltCurve_P15882_3_CHN1.pdf</t>
  </si>
  <si>
    <t>Melting_Curves/meltCurve_P15924_DSP.pdf</t>
  </si>
  <si>
    <t>Melting_Curves/meltCurve_P15927_RPA2.pdf</t>
  </si>
  <si>
    <t>Melting_Curves/meltCurve_P15954_COX7C.pdf</t>
  </si>
  <si>
    <t>Melting_Curves/meltCurve_P16144_2_ITGB4.pdf</t>
  </si>
  <si>
    <t>Melting_Curves/meltCurve_P16152_CBR1.pdf</t>
  </si>
  <si>
    <t>Melting_Curves/meltCurve_P16188_HLA_A.pdf</t>
  </si>
  <si>
    <t>Melting_Curves/meltCurve_P16219_ACADS.pdf</t>
  </si>
  <si>
    <t>Melting_Curves/meltCurve_P16220_2_CREB1.pdf</t>
  </si>
  <si>
    <t>Melting_Curves/meltCurve_P16278_3_GLB1.pdf</t>
  </si>
  <si>
    <t>Melting_Curves/meltCurve_P16298_PPP3CB.pdf</t>
  </si>
  <si>
    <t>Melting_Curves/meltCurve_P16383_GCFC2.pdf</t>
  </si>
  <si>
    <t>Melting_Curves/meltCurve_P16401_HIST1H1B.pdf</t>
  </si>
  <si>
    <t>Melting_Curves/meltCurve_P16435_POR.pdf</t>
  </si>
  <si>
    <t>Melting_Curves/meltCurve_P16455_MGMT.pdf</t>
  </si>
  <si>
    <t>Melting_Curves/meltCurve_P16615_ATP2A2.pdf</t>
  </si>
  <si>
    <t>Melting_Curves/meltCurve_P16870_2_CPE.pdf</t>
  </si>
  <si>
    <t>Melting_Curves/meltCurve_P16930_FAH.pdf</t>
  </si>
  <si>
    <t>Melting_Curves/meltCurve_P16949_STMN1.pdf</t>
  </si>
  <si>
    <t>Melting_Curves/meltCurve_P16989_YBX3.pdf</t>
  </si>
  <si>
    <t>Melting_Curves/meltCurve_P16989_2_YBX3.pdf</t>
  </si>
  <si>
    <t>Melting_Curves/meltCurve_P17028_ZNF24.pdf</t>
  </si>
  <si>
    <t>Melting_Curves/meltCurve_P17050_NAGA.pdf</t>
  </si>
  <si>
    <t>Melting_Curves/meltCurve_P17066_HSPA6.pdf</t>
  </si>
  <si>
    <t>Melting_Curves/meltCurve_P17096_HMGA1.pdf</t>
  </si>
  <si>
    <t>Melting_Curves/meltCurve_P17096_2_HMGA1.pdf</t>
  </si>
  <si>
    <t>Melting_Curves/meltCurve_P17152_TMEM11.pdf</t>
  </si>
  <si>
    <t>Melting_Curves/meltCurve_P17174_GOT1.pdf</t>
  </si>
  <si>
    <t>Melting_Curves/meltCurve_P17252_PRKCA.pdf</t>
  </si>
  <si>
    <t>Melting_Curves/meltCurve_P17275_JUNB.pdf</t>
  </si>
  <si>
    <t>Melting_Curves/meltCurve_P17301_ITGA2.pdf</t>
  </si>
  <si>
    <t>Melting_Curves/meltCurve_P17535_JUND.pdf</t>
  </si>
  <si>
    <t>Melting_Curves/meltCurve_P17568_NDUFB7.pdf</t>
  </si>
  <si>
    <t>Melting_Curves/meltCurve_P17612_PRKACA.pdf</t>
  </si>
  <si>
    <t>Melting_Curves/meltCurve_P17655_CAPN2.pdf</t>
  </si>
  <si>
    <t>Melting_Curves/meltCurve_P17706_2_PTPN2.pdf</t>
  </si>
  <si>
    <t>Melting_Curves/meltCurve_P17812_CTPS1.pdf</t>
  </si>
  <si>
    <t>Melting_Curves/meltCurve_P17858_PFKL.pdf</t>
  </si>
  <si>
    <t>Melting_Curves/meltCurve_P17900_GM2A.pdf</t>
  </si>
  <si>
    <t>Melting_Curves/meltCurve_P17931_LGALS3.pdf</t>
  </si>
  <si>
    <t>Melting_Curves/meltCurve_P17987_TCP1.pdf</t>
  </si>
  <si>
    <t>Melting_Curves/meltCurve_P18031_PTPN1.pdf</t>
  </si>
  <si>
    <t>Melting_Curves/meltCurve_P18065_IGFBP2.pdf</t>
  </si>
  <si>
    <t>Melting_Curves/meltCurve_P18085_ARF4.pdf</t>
  </si>
  <si>
    <t>Melting_Curves/meltCurve_P18124_RPL7.pdf</t>
  </si>
  <si>
    <t>Melting_Curves/meltCurve_P18146_EGR1.pdf</t>
  </si>
  <si>
    <t>Melting_Curves/meltCurve_P18206_2_VCL.pdf</t>
  </si>
  <si>
    <t>Melting_Curves/meltCurve_P18283_GPX2.pdf</t>
  </si>
  <si>
    <t>Melting_Curves/meltCurve_P18615_NELFE.pdf</t>
  </si>
  <si>
    <t>Melting_Curves/meltCurve_P18669_PGAM1.pdf</t>
  </si>
  <si>
    <t>Melting_Curves/meltCurve_P18754_RCC1.pdf</t>
  </si>
  <si>
    <t>Melting_Curves/meltCurve_P18827_SDC1.pdf</t>
  </si>
  <si>
    <t>Melting_Curves/meltCurve_P18846_ATF1.pdf</t>
  </si>
  <si>
    <t>Melting_Curves/meltCurve_P18858_LIG1.pdf</t>
  </si>
  <si>
    <t>Melting_Curves/meltCurve_P18859_ATP5J.pdf</t>
  </si>
  <si>
    <t>Melting_Curves/meltCurve_P19021_6_PAM.pdf</t>
  </si>
  <si>
    <t>Melting_Curves/meltCurve_P19174_PLCG1.pdf</t>
  </si>
  <si>
    <t>Melting_Curves/meltCurve_P19338_NCL.pdf</t>
  </si>
  <si>
    <t>Melting_Curves/meltCurve_P19367_HK1.pdf</t>
  </si>
  <si>
    <t>Melting_Curves/meltCurve_P19387_POLR2C.pdf</t>
  </si>
  <si>
    <t>Melting_Curves/meltCurve_P19388_POLR2E.pdf</t>
  </si>
  <si>
    <t>Melting_Curves/meltCurve_P19447_ERCC3.pdf</t>
  </si>
  <si>
    <t>Melting_Curves/meltCurve_P19525_EIF2AK2.pdf</t>
  </si>
  <si>
    <t>Melting_Curves/meltCurve_P19623_SRM.pdf</t>
  </si>
  <si>
    <t>Melting_Curves/meltCurve_P19784_CSNK2A2.pdf</t>
  </si>
  <si>
    <t>Melting_Curves/meltCurve_P19838_NFKB1.pdf</t>
  </si>
  <si>
    <t>Melting_Curves/meltCurve_P20020_6_ATP2B1.pdf</t>
  </si>
  <si>
    <t>Melting_Curves/meltCurve_P20042_EIF2S2.pdf</t>
  </si>
  <si>
    <t>Melting_Curves/meltCurve_P20248_CCNA2.pdf</t>
  </si>
  <si>
    <t>Melting_Curves/meltCurve_P20290_BTF3.pdf</t>
  </si>
  <si>
    <t>Melting_Curves/meltCurve_P20290_2_BTF3.pdf</t>
  </si>
  <si>
    <t>Melting_Curves/meltCurve_P20309_CHRM3.pdf</t>
  </si>
  <si>
    <t>Melting_Curves/meltCurve_P20336_RAB3A.pdf</t>
  </si>
  <si>
    <t>Melting_Curves/meltCurve_P20337_RAB3B.pdf</t>
  </si>
  <si>
    <t>Melting_Curves/meltCurve_P20338_RAB4A.pdf</t>
  </si>
  <si>
    <t>Melting_Curves/meltCurve_P20340_RAB6A.pdf</t>
  </si>
  <si>
    <t>Melting_Curves/meltCurve_P20340_2_RAB6A.pdf</t>
  </si>
  <si>
    <t>Melting_Curves/meltCurve_P20585_MSH3.pdf</t>
  </si>
  <si>
    <t>Melting_Curves/meltCurve_P20618_PSMB1.pdf</t>
  </si>
  <si>
    <t>Melting_Curves/meltCurve_P20645_M6PR.pdf</t>
  </si>
  <si>
    <t>Melting_Curves/meltCurve_P20674_COX5A.pdf</t>
  </si>
  <si>
    <t>Melting_Curves/meltCurve_P20700_LMNB1.pdf</t>
  </si>
  <si>
    <t>Melting_Curves/meltCurve_P20810_5_CAST.pdf</t>
  </si>
  <si>
    <t>Melting_Curves/meltCurve_P20933_AGA.pdf</t>
  </si>
  <si>
    <t>Melting_Curves/meltCurve_P20962_PTMS.pdf</t>
  </si>
  <si>
    <t>Melting_Curves/meltCurve_P21127_8_CDK11B.pdf</t>
  </si>
  <si>
    <t>Melting_Curves/meltCurve_P21266_GSTM3.pdf</t>
  </si>
  <si>
    <t>Melting_Curves/meltCurve_P21281_ATP6V1B2.pdf</t>
  </si>
  <si>
    <t>Melting_Curves/meltCurve_P21283_ATP6V1C1.pdf</t>
  </si>
  <si>
    <t>Melting_Curves/meltCurve_P21291_CSRP1.pdf</t>
  </si>
  <si>
    <t>Melting_Curves/meltCurve_P21333_2_FLNA.pdf</t>
  </si>
  <si>
    <t>Melting_Curves/meltCurve_P21359_2_NF1.pdf</t>
  </si>
  <si>
    <t>Melting_Curves/meltCurve_P21397_MAOA.pdf</t>
  </si>
  <si>
    <t>Melting_Curves/meltCurve_P21399_ACO1.pdf</t>
  </si>
  <si>
    <t>Melting_Curves/meltCurve_P21580_TNFAIP3.pdf</t>
  </si>
  <si>
    <t>Melting_Curves/meltCurve_P21695_2_GPD1.pdf</t>
  </si>
  <si>
    <t>Melting_Curves/meltCurve_P21796_VDAC1.pdf</t>
  </si>
  <si>
    <t>Melting_Curves/meltCurve_P21860_4_ERBB3.pdf</t>
  </si>
  <si>
    <t>Melting_Curves/meltCurve_P21912_SDHB.pdf</t>
  </si>
  <si>
    <t>Melting_Curves/meltCurve_P21953_BCKDHB.pdf</t>
  </si>
  <si>
    <t>Melting_Curves/meltCurve_P21964_2_COMT.pdf</t>
  </si>
  <si>
    <t>Melting_Curves/meltCurve_P22033_MUT.pdf</t>
  </si>
  <si>
    <t>Melting_Curves/meltCurve_P22059_OSBP.pdf</t>
  </si>
  <si>
    <t>Melting_Curves/meltCurve_P22083_FUT4.pdf</t>
  </si>
  <si>
    <t>Melting_Curves/meltCurve_P22087_FBL.pdf</t>
  </si>
  <si>
    <t>Melting_Curves/meltCurve_P22102_GART.pdf</t>
  </si>
  <si>
    <t>Melting_Curves/meltCurve_P22234_PAICS.pdf</t>
  </si>
  <si>
    <t>Melting_Curves/meltCurve_P22304_IDS.pdf</t>
  </si>
  <si>
    <t>Melting_Curves/meltCurve_P22307_6_SCP2.pdf</t>
  </si>
  <si>
    <t>Melting_Curves/meltCurve_P22314_UBA1.pdf</t>
  </si>
  <si>
    <t>Melting_Curves/meltCurve_P22532_SPRR2D.pdf</t>
  </si>
  <si>
    <t>Melting_Curves/meltCurve_P22570_FDXR.pdf</t>
  </si>
  <si>
    <t>Melting_Curves/meltCurve_P22626_HNRNPA2B1.pdf</t>
  </si>
  <si>
    <t>Melting_Curves/meltCurve_P22681_CBL.pdf</t>
  </si>
  <si>
    <t>Melting_Curves/meltCurve_P22692_IGFBP4.pdf</t>
  </si>
  <si>
    <t>Melting_Curves/meltCurve_P22694_PRKACB.pdf</t>
  </si>
  <si>
    <t>Melting_Curves/meltCurve_P22695_UQCRC2.pdf</t>
  </si>
  <si>
    <t>Melting_Curves/meltCurve_P22830_FECH.pdf</t>
  </si>
  <si>
    <t>Melting_Curves/meltCurve_P23025_XPA.pdf</t>
  </si>
  <si>
    <t>Melting_Curves/meltCurve_P23141_3_CES1.pdf</t>
  </si>
  <si>
    <t>Melting_Curves/meltCurve_P23193_TCEA1.pdf</t>
  </si>
  <si>
    <t>Melting_Curves/meltCurve_P23246_SFPQ.pdf</t>
  </si>
  <si>
    <t>Melting_Curves/meltCurve_P23258_TUBG1.pdf</t>
  </si>
  <si>
    <t>Melting_Curves/meltCurve_P23280_CA6.pdf</t>
  </si>
  <si>
    <t>Melting_Curves/meltCurve_P23284_PPIB.pdf</t>
  </si>
  <si>
    <t>Melting_Curves/meltCurve_P23368_ME2.pdf</t>
  </si>
  <si>
    <t>Melting_Curves/meltCurve_P23381_WARS.pdf</t>
  </si>
  <si>
    <t>Melting_Curves/meltCurve_P23396_RPS3.pdf</t>
  </si>
  <si>
    <t>Melting_Curves/meltCurve_P23409_MYF6.pdf</t>
  </si>
  <si>
    <t>Melting_Curves/meltCurve_P23434_GCSH.pdf</t>
  </si>
  <si>
    <t>Melting_Curves/meltCurve_P23469_2_PTPRE.pdf</t>
  </si>
  <si>
    <t>Melting_Curves/meltCurve_P23497_SP100.pdf</t>
  </si>
  <si>
    <t>Melting_Curves/meltCurve_P23511_2_NFYA.pdf</t>
  </si>
  <si>
    <t>Melting_Curves/meltCurve_P23526_AHCY.pdf</t>
  </si>
  <si>
    <t>Melting_Curves/meltCurve_P23528_CFL1.pdf</t>
  </si>
  <si>
    <t>Melting_Curves/meltCurve_P23610_F8A1.pdf</t>
  </si>
  <si>
    <t>Melting_Curves/meltCurve_P23786_CPT2.pdf</t>
  </si>
  <si>
    <t>Melting_Curves/meltCurve_P23919_DTYMK.pdf</t>
  </si>
  <si>
    <t>Melting_Curves/meltCurve_P23921_RRM1.pdf</t>
  </si>
  <si>
    <t>Melting_Curves/meltCurve_P24385_CCND1.pdf</t>
  </si>
  <si>
    <t>Melting_Curves/meltCurve_P24468_NR2F2.pdf</t>
  </si>
  <si>
    <t>Melting_Curves/meltCurve_P24534_EEF1B2.pdf</t>
  </si>
  <si>
    <t>Melting_Curves/meltCurve_P24593_IGFBP5.pdf</t>
  </si>
  <si>
    <t>Melting_Curves/meltCurve_P24666_ACP1.pdf</t>
  </si>
  <si>
    <t>Melting_Curves/meltCurve_P24666_2_ACP1.pdf</t>
  </si>
  <si>
    <t>Melting_Curves/meltCurve_P24752_ACAT1.pdf</t>
  </si>
  <si>
    <t>Melting_Curves/meltCurve_P24928_POLR2A.pdf</t>
  </si>
  <si>
    <t>Melting_Curves/meltCurve_P25054_2_APC.pdf</t>
  </si>
  <si>
    <t>Melting_Curves/meltCurve_P25098_ADRBK1.pdf</t>
  </si>
  <si>
    <t>Melting_Curves/meltCurve_P25205_MCM3.pdf</t>
  </si>
  <si>
    <t>Melting_Curves/meltCurve_P25311_AZGP1.pdf</t>
  </si>
  <si>
    <t>Melting_Curves/meltCurve_P25398_RPS12.pdf</t>
  </si>
  <si>
    <t>Melting_Curves/meltCurve_P25490_YY1.pdf</t>
  </si>
  <si>
    <t>Melting_Curves/meltCurve_P25685_DNAJB1.pdf</t>
  </si>
  <si>
    <t>Melting_Curves/meltCurve_P25705_ATP5A1.pdf</t>
  </si>
  <si>
    <t>Melting_Curves/meltCurve_P25786_PSMA1.pdf</t>
  </si>
  <si>
    <t>Melting_Curves/meltCurve_P25787_PSMA2.pdf</t>
  </si>
  <si>
    <t>Melting_Curves/meltCurve_P25788_2_PSMA3.pdf</t>
  </si>
  <si>
    <t>Melting_Curves/meltCurve_P25789_PSMA4.pdf</t>
  </si>
  <si>
    <t>Melting_Curves/meltCurve_P25815_S100P.pdf</t>
  </si>
  <si>
    <t>Melting_Curves/meltCurve_P26038_MSN.pdf</t>
  </si>
  <si>
    <t>Melting_Curves/meltCurve_P26196_DDX6.pdf</t>
  </si>
  <si>
    <t>Melting_Curves/meltCurve_P26358_DNMT1.pdf</t>
  </si>
  <si>
    <t>Melting_Curves/meltCurve_P26368_2_U2AF2.pdf</t>
  </si>
  <si>
    <t>Melting_Curves/meltCurve_P26373_RPL13.pdf</t>
  </si>
  <si>
    <t>Melting_Curves/meltCurve_P26374_CHML.pdf</t>
  </si>
  <si>
    <t>Melting_Curves/meltCurve_P26440_IVD.pdf</t>
  </si>
  <si>
    <t>Melting_Curves/meltCurve_P26447_S100A4.pdf</t>
  </si>
  <si>
    <t>Melting_Curves/meltCurve_P26572_MGAT1.pdf</t>
  </si>
  <si>
    <t>Melting_Curves/meltCurve_P26583_HMGB2.pdf</t>
  </si>
  <si>
    <t>Melting_Curves/meltCurve_P26599_PTBP1.pdf</t>
  </si>
  <si>
    <t>Melting_Curves/meltCurve_P26639_TARS.pdf</t>
  </si>
  <si>
    <t>Melting_Curves/meltCurve_P26641_EEF1G.pdf</t>
  </si>
  <si>
    <t>Melting_Curves/meltCurve_P26885_FKBP2.pdf</t>
  </si>
  <si>
    <t>Melting_Curves/meltCurve_P27144_AK4.pdf</t>
  </si>
  <si>
    <t>Melting_Curves/meltCurve_P27338_MAOB.pdf</t>
  </si>
  <si>
    <t>Melting_Curves/meltCurve_P27348_YWHAQ.pdf</t>
  </si>
  <si>
    <t>Melting_Curves/meltCurve_P27361_MAPK3.pdf</t>
  </si>
  <si>
    <t>Melting_Curves/meltCurve_P27449_ATP6V0C.pdf</t>
  </si>
  <si>
    <t>Melting_Curves/meltCurve_P27482_CALML3.pdf</t>
  </si>
  <si>
    <t>Melting_Curves/meltCurve_P27540_2_ARNT.pdf</t>
  </si>
  <si>
    <t>Melting_Curves/meltCurve_P27635_RPL10.pdf</t>
  </si>
  <si>
    <t>Melting_Curves/meltCurve_P27694_RPA1.pdf</t>
  </si>
  <si>
    <t>Melting_Curves/meltCurve_P27695_APEX1.pdf</t>
  </si>
  <si>
    <t>Melting_Curves/meltCurve_P27797_CALR.pdf</t>
  </si>
  <si>
    <t>Melting_Curves/meltCurve_P27816_5_MAP4.pdf</t>
  </si>
  <si>
    <t>Melting_Curves/meltCurve_P27824_CANX.pdf</t>
  </si>
  <si>
    <t>Melting_Curves/meltCurve_P27986_PIK3R1.pdf</t>
  </si>
  <si>
    <t>Melting_Curves/meltCurve_P27987_ITPKB.pdf</t>
  </si>
  <si>
    <t>Melting_Curves/meltCurve_P28062_2_PSMB8.pdf</t>
  </si>
  <si>
    <t>Melting_Curves/meltCurve_P28066_PSMA5.pdf</t>
  </si>
  <si>
    <t>Melting_Curves/meltCurve_P28070_PSMB4.pdf</t>
  </si>
  <si>
    <t>Melting_Curves/meltCurve_P28072_PSMB6.pdf</t>
  </si>
  <si>
    <t>Melting_Curves/meltCurve_P28074_PSMB5.pdf</t>
  </si>
  <si>
    <t>Melting_Curves/meltCurve_P28331_4_NDUFS1.pdf</t>
  </si>
  <si>
    <t>Melting_Curves/meltCurve_P28482_MAPK1.pdf</t>
  </si>
  <si>
    <t>Melting_Curves/meltCurve_P28702_RXRB.pdf</t>
  </si>
  <si>
    <t>Melting_Curves/meltCurve_P28715_ERCC5.pdf</t>
  </si>
  <si>
    <t>Melting_Curves/meltCurve_P28799_GRN.pdf</t>
  </si>
  <si>
    <t>Melting_Curves/meltCurve_P28838_2_LAP3.pdf</t>
  </si>
  <si>
    <t>Melting_Curves/meltCurve_P29034_S100A2.pdf</t>
  </si>
  <si>
    <t>Melting_Curves/meltCurve_P29083_GTF2E1.pdf</t>
  </si>
  <si>
    <t>Melting_Curves/meltCurve_P29084_GTF2E2.pdf</t>
  </si>
  <si>
    <t>Melting_Curves/meltCurve_P29144_TPP2.pdf</t>
  </si>
  <si>
    <t>Melting_Curves/meltCurve_P29218_IMPA1.pdf</t>
  </si>
  <si>
    <t>Melting_Curves/meltCurve_P29317_EPHA2.pdf</t>
  </si>
  <si>
    <t>Melting_Curves/meltCurve_P29323_2_EPHB2.pdf</t>
  </si>
  <si>
    <t>Melting_Curves/meltCurve_P29350_PTPN6.pdf</t>
  </si>
  <si>
    <t>Melting_Curves/meltCurve_P29353_2_SHC1.pdf</t>
  </si>
  <si>
    <t>Melting_Curves/meltCurve_P29372_5_MPG.pdf</t>
  </si>
  <si>
    <t>Melting_Curves/meltCurve_P29373_CRABP2.pdf</t>
  </si>
  <si>
    <t>Melting_Curves/meltCurve_P29400_COL4A5.pdf</t>
  </si>
  <si>
    <t>Melting_Curves/meltCurve_P29401_TKT.pdf</t>
  </si>
  <si>
    <t>Melting_Curves/meltCurve_P29590_11_PML.pdf</t>
  </si>
  <si>
    <t>Melting_Curves/meltCurve_P29966_MARCKS.pdf</t>
  </si>
  <si>
    <t>Melting_Curves/meltCurve_P29992_GNA11.pdf</t>
  </si>
  <si>
    <t>Melting_Curves/meltCurve_P30038_ALDH4A1.pdf</t>
  </si>
  <si>
    <t>Melting_Curves/meltCurve_P30040_ERP29.pdf</t>
  </si>
  <si>
    <t>Melting_Curves/meltCurve_P30041_PRDX6.pdf</t>
  </si>
  <si>
    <t>Melting_Curves/meltCurve_P30042_C21orf33.pdf</t>
  </si>
  <si>
    <t>Melting_Curves/meltCurve_P30043_BLVRB.pdf</t>
  </si>
  <si>
    <t>Melting_Curves/meltCurve_P30044_PRDX5.pdf</t>
  </si>
  <si>
    <t>Melting_Curves/meltCurve_P30046_DDT.pdf</t>
  </si>
  <si>
    <t>Melting_Curves/meltCurve_P30047_GCHFR.pdf</t>
  </si>
  <si>
    <t>Melting_Curves/meltCurve_P30049_ATP5D.pdf</t>
  </si>
  <si>
    <t>Melting_Curves/meltCurve_P30050_RPL12.pdf</t>
  </si>
  <si>
    <t>Melting_Curves/meltCurve_P30084_ECHS1.pdf</t>
  </si>
  <si>
    <t>Melting_Curves/meltCurve_P30085_CMPK1.pdf</t>
  </si>
  <si>
    <t>Melting_Curves/meltCurve_P30086_PEBP1.pdf</t>
  </si>
  <si>
    <t>Melting_Curves/meltCurve_P30101_PDIA3.pdf</t>
  </si>
  <si>
    <t>Melting_Curves/meltCurve_P30153_PPP2R1A.pdf</t>
  </si>
  <si>
    <t>Melting_Curves/meltCurve_P30154_PPP2R1B.pdf</t>
  </si>
  <si>
    <t>Melting_Curves/meltCurve_P30260_CDC27.pdf</t>
  </si>
  <si>
    <t>Melting_Curves/meltCurve_P30281_3_CCND3.pdf</t>
  </si>
  <si>
    <t>Melting_Curves/meltCurve_P30291_WEE1.pdf</t>
  </si>
  <si>
    <t>Melting_Curves/meltCurve_P30405_PPIF.pdf</t>
  </si>
  <si>
    <t>Melting_Curves/meltCurve_P30414_NKTR.pdf</t>
  </si>
  <si>
    <t>Melting_Curves/meltCurve_P30419_NMT1.pdf</t>
  </si>
  <si>
    <t>Melting_Curves/meltCurve_P30443_HLA_A.pdf</t>
  </si>
  <si>
    <t>Melting_Curves/meltCurve_P30492_HLA_B.pdf</t>
  </si>
  <si>
    <t>Melting_Curves/meltCurve_P30504_HLA_C.pdf</t>
  </si>
  <si>
    <t>Melting_Curves/meltCurve_P30508_HLA_C.pdf</t>
  </si>
  <si>
    <t>Melting_Curves/meltCurve_P30519_HMOX2.pdf</t>
  </si>
  <si>
    <t>Melting_Curves/meltCurve_P30520_ADSS.pdf</t>
  </si>
  <si>
    <t>Melting_Curves/meltCurve_P30533_LRPAP1.pdf</t>
  </si>
  <si>
    <t>Melting_Curves/meltCurve_P30566_ADSL.pdf</t>
  </si>
  <si>
    <t>Melting_Curves/meltCurve_P30613_2_PKLR.pdf</t>
  </si>
  <si>
    <t>Melting_Curves/meltCurve_P30622_2_CLIP1.pdf</t>
  </si>
  <si>
    <t>Melting_Curves/meltCurve_P30711_GSTT1.pdf</t>
  </si>
  <si>
    <t>Melting_Curves/meltCurve_P30740_SERPINB1.pdf</t>
  </si>
  <si>
    <t>Melting_Curves/meltCurve_P30793_GCH1.pdf</t>
  </si>
  <si>
    <t>Melting_Curves/meltCurve_P30825_SLC7A1.pdf</t>
  </si>
  <si>
    <t>Melting_Curves/meltCurve_P30837_ALDH1B1.pdf</t>
  </si>
  <si>
    <t>Melting_Curves/meltCurve_P30838_ALDH3A1.pdf</t>
  </si>
  <si>
    <t>Melting_Curves/meltCurve_P31040_SDHA.pdf</t>
  </si>
  <si>
    <t>Melting_Curves/meltCurve_P31146_CORO1A.pdf</t>
  </si>
  <si>
    <t>Melting_Curves/meltCurve_P31150_GDI1.pdf</t>
  </si>
  <si>
    <t>Melting_Curves/meltCurve_P31153_MAT2A.pdf</t>
  </si>
  <si>
    <t>Melting_Curves/meltCurve_P31323_PRKAR2B.pdf</t>
  </si>
  <si>
    <t>Melting_Curves/meltCurve_P31350_RRM2.pdf</t>
  </si>
  <si>
    <t>Melting_Curves/meltCurve_P31641_SLC6A6.pdf</t>
  </si>
  <si>
    <t>Melting_Curves/meltCurve_P31689_DNAJA1.pdf</t>
  </si>
  <si>
    <t>Melting_Curves/meltCurve_P31749_AKT1.pdf</t>
  </si>
  <si>
    <t>Melting_Curves/meltCurve_P31751_AKT2.pdf</t>
  </si>
  <si>
    <t>Melting_Curves/meltCurve_P31930_UQCRC1.pdf</t>
  </si>
  <si>
    <t>Melting_Curves/meltCurve_P31937_HIBADH.pdf</t>
  </si>
  <si>
    <t>Melting_Curves/meltCurve_P31939_ATIC.pdf</t>
  </si>
  <si>
    <t>Melting_Curves/meltCurve_P31942_2_HNRNPH3.pdf</t>
  </si>
  <si>
    <t>Melting_Curves/meltCurve_P31946_YWHAB.pdf</t>
  </si>
  <si>
    <t>Melting_Curves/meltCurve_P31947_SFN.pdf</t>
  </si>
  <si>
    <t>Melting_Curves/meltCurve_P31948_STIP1.pdf</t>
  </si>
  <si>
    <t>Melting_Curves/meltCurve_P31949_S100A11.pdf</t>
  </si>
  <si>
    <t>Melting_Curves/meltCurve_P32019_3_INPP5B.pdf</t>
  </si>
  <si>
    <t>Melting_Curves/meltCurve_P32119_PRDX2.pdf</t>
  </si>
  <si>
    <t>Melting_Curves/meltCurve_P32121_5_ARRB2.pdf</t>
  </si>
  <si>
    <t>Melting_Curves/meltCurve_P32189_1_GK.pdf</t>
  </si>
  <si>
    <t>Melting_Curves/meltCurve_P32320_CDA.pdf</t>
  </si>
  <si>
    <t>Melting_Curves/meltCurve_P32321_2_DCTD.pdf</t>
  </si>
  <si>
    <t>Melting_Curves/meltCurve_P32322_PYCR1.pdf</t>
  </si>
  <si>
    <t>Melting_Curves/meltCurve_P32519_2_ELF1.pdf</t>
  </si>
  <si>
    <t>Melting_Curves/meltCurve_P32929_CTH.pdf</t>
  </si>
  <si>
    <t>Melting_Curves/meltCurve_P32969_RPL9.pdf</t>
  </si>
  <si>
    <t>Melting_Curves/meltCurve_P33121_ACSL1.pdf</t>
  </si>
  <si>
    <t>Melting_Curves/meltCurve_P33176_KIF5B.pdf</t>
  </si>
  <si>
    <t>Melting_Curves/meltCurve_P33240_2_CSTF2.pdf</t>
  </si>
  <si>
    <t>Melting_Curves/meltCurve_P33316_DUT.pdf</t>
  </si>
  <si>
    <t>Melting_Curves/meltCurve_P33316_2_DUT.pdf</t>
  </si>
  <si>
    <t>Melting_Curves/meltCurve_P33552_CKS2.pdf</t>
  </si>
  <si>
    <t>Melting_Curves/meltCurve_P33764_S100A3.pdf</t>
  </si>
  <si>
    <t>Melting_Curves/meltCurve_P33908_MAN1A1.pdf</t>
  </si>
  <si>
    <t>Melting_Curves/meltCurve_P33981_2_TTK.pdf</t>
  </si>
  <si>
    <t>Melting_Curves/meltCurve_P33991_MCM4.pdf</t>
  </si>
  <si>
    <t>Melting_Curves/meltCurve_P33992_MCM5.pdf</t>
  </si>
  <si>
    <t>Melting_Curves/meltCurve_P33993_MCM7.pdf</t>
  </si>
  <si>
    <t>Melting_Curves/meltCurve_P34059_GALNS.pdf</t>
  </si>
  <si>
    <t>Melting_Curves/meltCurve_P34896_2_SHMT1.pdf</t>
  </si>
  <si>
    <t>Melting_Curves/meltCurve_P34897_3_SHMT2.pdf</t>
  </si>
  <si>
    <t>Melting_Curves/meltCurve_P34932_HSPA4.pdf</t>
  </si>
  <si>
    <t>Melting_Curves/meltCurve_P34949_MPI.pdf</t>
  </si>
  <si>
    <t>Melting_Curves/meltCurve_P35219_CA8.pdf</t>
  </si>
  <si>
    <t>Melting_Curves/meltCurve_P35221_CTNNA1.pdf</t>
  </si>
  <si>
    <t>Melting_Curves/meltCurve_P35227_PCGF2.pdf</t>
  </si>
  <si>
    <t>Melting_Curves/meltCurve_P35232_PHB.pdf</t>
  </si>
  <si>
    <t>Melting_Curves/meltCurve_P35237_SERPINB6.pdf</t>
  </si>
  <si>
    <t>Melting_Curves/meltCurve_P35240_4_NF2.pdf</t>
  </si>
  <si>
    <t>Melting_Curves/meltCurve_P35241_RDX.pdf</t>
  </si>
  <si>
    <t>Melting_Curves/meltCurve_P35244_RPA3.pdf</t>
  </si>
  <si>
    <t>Melting_Curves/meltCurve_P35250_RFC2.pdf</t>
  </si>
  <si>
    <t>Melting_Curves/meltCurve_P35251_2_RFC1.pdf</t>
  </si>
  <si>
    <t>Melting_Curves/meltCurve_P35268_RPL22.pdf</t>
  </si>
  <si>
    <t>Melting_Curves/meltCurve_P35269_GTF2F1.pdf</t>
  </si>
  <si>
    <t>Melting_Curves/meltCurve_P35270_SPR.pdf</t>
  </si>
  <si>
    <t>Melting_Curves/meltCurve_P35318_ADM.pdf</t>
  </si>
  <si>
    <t>Melting_Curves/meltCurve_P35475_IDUA.pdf</t>
  </si>
  <si>
    <t>Melting_Curves/meltCurve_P35573_AGL.pdf</t>
  </si>
  <si>
    <t>Melting_Curves/meltCurve_P35579_MYH9.pdf</t>
  </si>
  <si>
    <t>Melting_Curves/meltCurve_P35580_MYH10.pdf</t>
  </si>
  <si>
    <t>Melting_Curves/meltCurve_P35606_COPB2.pdf</t>
  </si>
  <si>
    <t>Melting_Curves/meltCurve_P35610_SOAT1.pdf</t>
  </si>
  <si>
    <t>Melting_Curves/meltCurve_P35611_ADD1.pdf</t>
  </si>
  <si>
    <t>Melting_Curves/meltCurve_P35613_2_BSG.pdf</t>
  </si>
  <si>
    <t>Melting_Curves/meltCurve_P35626_ADRBK2.pdf</t>
  </si>
  <si>
    <t>Melting_Curves/meltCurve_P35637_2_FUS.pdf</t>
  </si>
  <si>
    <t>Melting_Curves/meltCurve_P35658_2_NUP214.pdf</t>
  </si>
  <si>
    <t>Melting_Curves/meltCurve_P35659_DEK.pdf</t>
  </si>
  <si>
    <t>Melting_Curves/meltCurve_P35754_GLRX.pdf</t>
  </si>
  <si>
    <t>Melting_Curves/meltCurve_P35790_CHKA.pdf</t>
  </si>
  <si>
    <t>Melting_Curves/meltCurve_P35813_PPM1A.pdf</t>
  </si>
  <si>
    <t>Melting_Curves/meltCurve_P35998_PSMC2.pdf</t>
  </si>
  <si>
    <t>Melting_Curves/meltCurve_P36404_ARL2.pdf</t>
  </si>
  <si>
    <t>Melting_Curves/meltCurve_P36405_ARL3.pdf</t>
  </si>
  <si>
    <t>Melting_Curves/meltCurve_P36507_MAP2K2.pdf</t>
  </si>
  <si>
    <t>Melting_Curves/meltCurve_P36542_ATP5C1.pdf</t>
  </si>
  <si>
    <t>Melting_Curves/meltCurve_P36543_ATP6V1E1.pdf</t>
  </si>
  <si>
    <t>Melting_Curves/meltCurve_P36551_CPOX.pdf</t>
  </si>
  <si>
    <t>Melting_Curves/meltCurve_P36578_RPL4.pdf</t>
  </si>
  <si>
    <t>Melting_Curves/meltCurve_P36639_4_NUDT1.pdf</t>
  </si>
  <si>
    <t>Melting_Curves/meltCurve_P36871_PGM1.pdf</t>
  </si>
  <si>
    <t>Melting_Curves/meltCurve_P36873_2_PPP1CC.pdf</t>
  </si>
  <si>
    <t>Melting_Curves/meltCurve_P36915_GNL1.pdf</t>
  </si>
  <si>
    <t>Melting_Curves/meltCurve_P36952_SERPINB5.pdf</t>
  </si>
  <si>
    <t>Melting_Curves/meltCurve_P36954_POLR2I.pdf</t>
  </si>
  <si>
    <t>Melting_Curves/meltCurve_P36955_SERPINF1.pdf</t>
  </si>
  <si>
    <t>Melting_Curves/meltCurve_P36957_DLST.pdf</t>
  </si>
  <si>
    <t>Melting_Curves/meltCurve_P36959_GMPR.pdf</t>
  </si>
  <si>
    <t>Melting_Curves/meltCurve_P36969_2_GPX4.pdf</t>
  </si>
  <si>
    <t>Melting_Curves/meltCurve_P37108_SRP14.pdf</t>
  </si>
  <si>
    <t>Melting_Curves/meltCurve_P37198_NUP62.pdf</t>
  </si>
  <si>
    <t>Melting_Curves/meltCurve_P37235_HPCAL1.pdf</t>
  </si>
  <si>
    <t>Melting_Curves/meltCurve_P37268_FDFT1.pdf</t>
  </si>
  <si>
    <t>Melting_Curves/meltCurve_P37287_3_PIGA.pdf</t>
  </si>
  <si>
    <t>Melting_Curves/meltCurve_P37802_TAGLN2.pdf</t>
  </si>
  <si>
    <t>Melting_Curves/meltCurve_P37837_TALDO1.pdf</t>
  </si>
  <si>
    <t>Melting_Curves/meltCurve_P38117_ETFB.pdf</t>
  </si>
  <si>
    <t>Melting_Curves/meltCurve_P38117_2_ETFB.pdf</t>
  </si>
  <si>
    <t>Melting_Curves/meltCurve_P38159_RBMX.pdf</t>
  </si>
  <si>
    <t>Melting_Curves/meltCurve_P38432_COIL.pdf</t>
  </si>
  <si>
    <t>Melting_Curves/meltCurve_P38435_GGCX.pdf</t>
  </si>
  <si>
    <t>Melting_Curves/meltCurve_P38570_ITGAE.pdf</t>
  </si>
  <si>
    <t>Melting_Curves/meltCurve_P38606_ATP6V1A.pdf</t>
  </si>
  <si>
    <t>Melting_Curves/meltCurve_P38646_HSPA9.pdf</t>
  </si>
  <si>
    <t>Melting_Curves/meltCurve_P38919_EIF4A3.pdf</t>
  </si>
  <si>
    <t>Melting_Curves/meltCurve_P38935_IGHMBP2.pdf</t>
  </si>
  <si>
    <t>Melting_Curves/meltCurve_P39019_RPS19.pdf</t>
  </si>
  <si>
    <t>Melting_Curves/meltCurve_P39023_RPL3.pdf</t>
  </si>
  <si>
    <t>Melting_Curves/meltCurve_P39656_DDOST.pdf</t>
  </si>
  <si>
    <t>Melting_Curves/meltCurve_P39687_ANP32A.pdf</t>
  </si>
  <si>
    <t>Melting_Curves/meltCurve_P39748_FEN1.pdf</t>
  </si>
  <si>
    <t>Melting_Curves/meltCurve_P39880_3_CUX1.pdf</t>
  </si>
  <si>
    <t>Melting_Curves/meltCurve_P40121_2_CAPG.pdf</t>
  </si>
  <si>
    <t>Melting_Curves/meltCurve_P40189_3_IL6ST.pdf</t>
  </si>
  <si>
    <t>Melting_Curves/meltCurve_P40222_TXLNA.pdf</t>
  </si>
  <si>
    <t>Melting_Curves/meltCurve_P40227_CCT6A.pdf</t>
  </si>
  <si>
    <t>Melting_Curves/meltCurve_P40306_PSMB10.pdf</t>
  </si>
  <si>
    <t>Melting_Curves/meltCurve_P40337_3_VHL.pdf</t>
  </si>
  <si>
    <t>Melting_Curves/meltCurve_P40692_MLH1.pdf</t>
  </si>
  <si>
    <t>Melting_Curves/meltCurve_P40763_STAT3.pdf</t>
  </si>
  <si>
    <t>Melting_Curves/meltCurve_P40763_2_STAT3.pdf</t>
  </si>
  <si>
    <t>Melting_Curves/meltCurve_P40818_USP8.pdf</t>
  </si>
  <si>
    <t>Melting_Curves/meltCurve_P40925_MDH1.pdf</t>
  </si>
  <si>
    <t>Melting_Curves/meltCurve_P40926_MDH2.pdf</t>
  </si>
  <si>
    <t>Melting_Curves/meltCurve_P40937_RFC5.pdf</t>
  </si>
  <si>
    <t>Melting_Curves/meltCurve_P40938_2_RFC3.pdf</t>
  </si>
  <si>
    <t>Melting_Curves/meltCurve_P40939_HADHA.pdf</t>
  </si>
  <si>
    <t>Melting_Curves/meltCurve_P41091_EIF2S3.pdf</t>
  </si>
  <si>
    <t>Melting_Curves/meltCurve_P41134_ID1.pdf</t>
  </si>
  <si>
    <t>Melting_Curves/meltCurve_P41182_2_BCL6.pdf</t>
  </si>
  <si>
    <t>Melting_Curves/meltCurve_P41208_CETN2.pdf</t>
  </si>
  <si>
    <t>Melting_Curves/meltCurve_P41212_ETV6.pdf</t>
  </si>
  <si>
    <t>Melting_Curves/meltCurve_P41214_EIF2D.pdf</t>
  </si>
  <si>
    <t>Melting_Curves/meltCurve_P41223_BUD31.pdf</t>
  </si>
  <si>
    <t>Melting_Curves/meltCurve_P41227_NAA10.pdf</t>
  </si>
  <si>
    <t>Melting_Curves/meltCurve_P41229_3_KDM5C.pdf</t>
  </si>
  <si>
    <t>Melting_Curves/meltCurve_P41240_CSK.pdf</t>
  </si>
  <si>
    <t>Melting_Curves/meltCurve_P41247_PNPLA4.pdf</t>
  </si>
  <si>
    <t>Melting_Curves/meltCurve_P41250_GARS.pdf</t>
  </si>
  <si>
    <t>Melting_Curves/meltCurve_P41252_IARS.pdf</t>
  </si>
  <si>
    <t>Melting_Curves/meltCurve_P41440_2_SLC19A1.pdf</t>
  </si>
  <si>
    <t>Melting_Curves/meltCurve_P41567_EIF1.pdf</t>
  </si>
  <si>
    <t>Melting_Curves/meltCurve_P41743_PRKCI.pdf</t>
  </si>
  <si>
    <t>Melting_Curves/meltCurve_P42025_ACTR1B.pdf</t>
  </si>
  <si>
    <t>Melting_Curves/meltCurve_P42126_2_ECI1.pdf</t>
  </si>
  <si>
    <t>Melting_Curves/meltCurve_P42166_TMPO.pdf</t>
  </si>
  <si>
    <t>Melting_Curves/meltCurve_P42167_TMPO.pdf</t>
  </si>
  <si>
    <t>Melting_Curves/meltCurve_P42167_2_TMPO.pdf</t>
  </si>
  <si>
    <t>Melting_Curves/meltCurve_P42224_STAT1.pdf</t>
  </si>
  <si>
    <t>Melting_Curves/meltCurve_P42226_STAT6.pdf</t>
  </si>
  <si>
    <t>Melting_Curves/meltCurve_P42285_SKIV2L2.pdf</t>
  </si>
  <si>
    <t>Melting_Curves/meltCurve_P42330_AKR1C3.pdf</t>
  </si>
  <si>
    <t>Melting_Curves/meltCurve_P42345_MTOR.pdf</t>
  </si>
  <si>
    <t>Melting_Curves/meltCurve_P42566_EPS15.pdf</t>
  </si>
  <si>
    <t>Melting_Curves/meltCurve_P42574_CASP3.pdf</t>
  </si>
  <si>
    <t>Melting_Curves/meltCurve_P42575_CASP2.pdf</t>
  </si>
  <si>
    <t>Melting_Curves/meltCurve_P42677_RPS27.pdf</t>
  </si>
  <si>
    <t>Melting_Curves/meltCurve_P42684_8_ABL2.pdf</t>
  </si>
  <si>
    <t>Melting_Curves/meltCurve_P42685_FRK.pdf</t>
  </si>
  <si>
    <t>Melting_Curves/meltCurve_P42695_NCAPD3.pdf</t>
  </si>
  <si>
    <t>Melting_Curves/meltCurve_P42704_LRPPRC.pdf</t>
  </si>
  <si>
    <t>Melting_Curves/meltCurve_P42765_ACAA2.pdf</t>
  </si>
  <si>
    <t>Melting_Curves/meltCurve_P42766_RPL35.pdf</t>
  </si>
  <si>
    <t>Melting_Curves/meltCurve_P42772_CDKN2B.pdf</t>
  </si>
  <si>
    <t>Melting_Curves/meltCurve_P42785_PRCP.pdf</t>
  </si>
  <si>
    <t>Melting_Curves/meltCurve_P42858_HTT.pdf</t>
  </si>
  <si>
    <t>Melting_Curves/meltCurve_P42892_3_ECE1.pdf</t>
  </si>
  <si>
    <t>Melting_Curves/meltCurve_P42898_MTHFR.pdf</t>
  </si>
  <si>
    <t>Melting_Curves/meltCurve_P43003_2_SLC1A3.pdf</t>
  </si>
  <si>
    <t>Melting_Curves/meltCurve_P43007_SLC1A4.pdf</t>
  </si>
  <si>
    <t>Melting_Curves/meltCurve_P43034_PAFAH1B1.pdf</t>
  </si>
  <si>
    <t>Melting_Curves/meltCurve_P43121_MCAM.pdf</t>
  </si>
  <si>
    <t>Melting_Curves/meltCurve_P43155_2_CRAT.pdf</t>
  </si>
  <si>
    <t>Melting_Curves/meltCurve_P43246_MSH2.pdf</t>
  </si>
  <si>
    <t>Melting_Curves/meltCurve_P43304_GPD2.pdf</t>
  </si>
  <si>
    <t>Melting_Curves/meltCurve_P43307_SSR1.pdf</t>
  </si>
  <si>
    <t>Melting_Curves/meltCurve_P43378_PTPN9.pdf</t>
  </si>
  <si>
    <t>Melting_Curves/meltCurve_P43405_SYK.pdf</t>
  </si>
  <si>
    <t>Melting_Curves/meltCurve_P43487_RANBP1.pdf</t>
  </si>
  <si>
    <t>Melting_Curves/meltCurve_P43490_NAMPT.pdf</t>
  </si>
  <si>
    <t>Melting_Curves/meltCurve_P43686_PSMC4.pdf</t>
  </si>
  <si>
    <t>Melting_Curves/meltCurve_P43897_TSFM.pdf</t>
  </si>
  <si>
    <t>Melting_Curves/meltCurve_P45880_VDAC2.pdf</t>
  </si>
  <si>
    <t>Melting_Curves/meltCurve_P45954_ACADSB.pdf</t>
  </si>
  <si>
    <t>Melting_Curves/meltCurve_P45973_CBX5.pdf</t>
  </si>
  <si>
    <t>Melting_Curves/meltCurve_P45974_2_USP5.pdf</t>
  </si>
  <si>
    <t>Melting_Curves/meltCurve_P45983_3_MAPK8.pdf</t>
  </si>
  <si>
    <t>Melting_Curves/meltCurve_P45984_3_MAPK9.pdf</t>
  </si>
  <si>
    <t>Melting_Curves/meltCurve_P45985_MAP2K4.pdf</t>
  </si>
  <si>
    <t>Melting_Curves/meltCurve_P46013_MKI67.pdf</t>
  </si>
  <si>
    <t>Melting_Curves/meltCurve_P46060_RANGAP1.pdf</t>
  </si>
  <si>
    <t>Melting_Curves/meltCurve_P46063_RECQL.pdf</t>
  </si>
  <si>
    <t>Melting_Curves/meltCurve_P46087_NOP2.pdf</t>
  </si>
  <si>
    <t>Melting_Curves/meltCurve_P46100_2_ATRX.pdf</t>
  </si>
  <si>
    <t>Melting_Curves/meltCurve_P46108_CRK.pdf</t>
  </si>
  <si>
    <t>Melting_Curves/meltCurve_P46108_2_CRK.pdf</t>
  </si>
  <si>
    <t>Melting_Curves/meltCurve_P46109_CRKL.pdf</t>
  </si>
  <si>
    <t>Melting_Curves/meltCurve_P46199_MTIF2.pdf</t>
  </si>
  <si>
    <t>Melting_Curves/meltCurve_P46527_CDKN1B.pdf</t>
  </si>
  <si>
    <t>Melting_Curves/meltCurve_P46531_NOTCH1.pdf</t>
  </si>
  <si>
    <t>Melting_Curves/meltCurve_P46734_MAP2K3.pdf</t>
  </si>
  <si>
    <t>Melting_Curves/meltCurve_P46736_2_BRCC3.pdf</t>
  </si>
  <si>
    <t>Melting_Curves/meltCurve_P46777_RPL5.pdf</t>
  </si>
  <si>
    <t>Melting_Curves/meltCurve_P46778_RPL21.pdf</t>
  </si>
  <si>
    <t>Melting_Curves/meltCurve_P46781_RPS9.pdf</t>
  </si>
  <si>
    <t>Melting_Curves/meltCurve_P46783_RPS10.pdf</t>
  </si>
  <si>
    <t>Melting_Curves/meltCurve_P46926_GNPDA1.pdf</t>
  </si>
  <si>
    <t>Melting_Curves/meltCurve_P46937_YAP1.pdf</t>
  </si>
  <si>
    <t>Melting_Curves/meltCurve_P46939_UTRN.pdf</t>
  </si>
  <si>
    <t>Melting_Curves/meltCurve_P46940_IQGAP1.pdf</t>
  </si>
  <si>
    <t>Melting_Curves/meltCurve_P46976_2_GYG1.pdf</t>
  </si>
  <si>
    <t>Melting_Curves/meltCurve_P46977_STT3A.pdf</t>
  </si>
  <si>
    <t>Melting_Curves/meltCurve_P47224_RABIF.pdf</t>
  </si>
  <si>
    <t>Melting_Curves/meltCurve_P47712_PLA2G4A.pdf</t>
  </si>
  <si>
    <t>Melting_Curves/meltCurve_P47755_CAPZA2.pdf</t>
  </si>
  <si>
    <t>Melting_Curves/meltCurve_P47756_2_CAPZB.pdf</t>
  </si>
  <si>
    <t>Melting_Curves/meltCurve_P47813_EIF1AX.pdf</t>
  </si>
  <si>
    <t>Melting_Curves/meltCurve_P47897_QARS.pdf</t>
  </si>
  <si>
    <t>Melting_Curves/meltCurve_P47914_RPL29.pdf</t>
  </si>
  <si>
    <t>Melting_Curves/meltCurve_P47929_LGALS7.pdf</t>
  </si>
  <si>
    <t>Melting_Curves/meltCurve_P47985_UQCRFS1.pdf</t>
  </si>
  <si>
    <t>Melting_Curves/meltCurve_P48029_SLC6A8.pdf</t>
  </si>
  <si>
    <t>Melting_Curves/meltCurve_P48047_ATP5O.pdf</t>
  </si>
  <si>
    <t>Melting_Curves/meltCurve_P48059_LIMS1.pdf</t>
  </si>
  <si>
    <t>Melting_Curves/meltCurve_P48060_GLIPR1.pdf</t>
  </si>
  <si>
    <t>Melting_Curves/meltCurve_P48067_2_SLC6A9.pdf</t>
  </si>
  <si>
    <t>Melting_Curves/meltCurve_P48147_PREP.pdf</t>
  </si>
  <si>
    <t>Melting_Curves/meltCurve_P48163_ME1.pdf</t>
  </si>
  <si>
    <t>Melting_Curves/meltCurve_P48200_IREB2.pdf</t>
  </si>
  <si>
    <t>Melting_Curves/meltCurve_P48431_SOX2.pdf</t>
  </si>
  <si>
    <t>Melting_Curves/meltCurve_P48436_SOX9.pdf</t>
  </si>
  <si>
    <t>Melting_Curves/meltCurve_P48444_ARCN1.pdf</t>
  </si>
  <si>
    <t>Melting_Curves/meltCurve_P48449_LSS.pdf</t>
  </si>
  <si>
    <t>Melting_Curves/meltCurve_P48454_2_PPP3CC.pdf</t>
  </si>
  <si>
    <t>Melting_Curves/meltCurve_P48506_GCLC.pdf</t>
  </si>
  <si>
    <t>Melting_Curves/meltCurve_P48507_GCLM.pdf</t>
  </si>
  <si>
    <t>Melting_Curves/meltCurve_P48634_PRRC2A.pdf</t>
  </si>
  <si>
    <t>Melting_Curves/meltCurve_P48637_GSS.pdf</t>
  </si>
  <si>
    <t>Melting_Curves/meltCurve_P48643_CCT5.pdf</t>
  </si>
  <si>
    <t>Melting_Curves/meltCurve_P48651_PTDSS1.pdf</t>
  </si>
  <si>
    <t>Melting_Curves/meltCurve_P48723_HSPA13.pdf</t>
  </si>
  <si>
    <t>Melting_Curves/meltCurve_P48728_AMT.pdf</t>
  </si>
  <si>
    <t>Melting_Curves/meltCurve_P48729_CSNK1A1.pdf</t>
  </si>
  <si>
    <t>Melting_Curves/meltCurve_P48730_2_CSNK1D.pdf</t>
  </si>
  <si>
    <t>Melting_Curves/meltCurve_P48735_IDH2.pdf</t>
  </si>
  <si>
    <t>Melting_Curves/meltCurve_P48739_PITPNB.pdf</t>
  </si>
  <si>
    <t>Melting_Curves/meltCurve_P48960_2_CD97.pdf</t>
  </si>
  <si>
    <t>Melting_Curves/meltCurve_P49005_POLD2.pdf</t>
  </si>
  <si>
    <t>Melting_Curves/meltCurve_P49006_MARCKSL1.pdf</t>
  </si>
  <si>
    <t>Melting_Curves/meltCurve_P49069_CAMLG.pdf</t>
  </si>
  <si>
    <t>Melting_Curves/meltCurve_P49116_NR2C2.pdf</t>
  </si>
  <si>
    <t>Melting_Curves/meltCurve_P49137_MAPKAPK2.pdf</t>
  </si>
  <si>
    <t>Melting_Curves/meltCurve_P49189_ALDH9A1.pdf</t>
  </si>
  <si>
    <t>Melting_Curves/meltCurve_P49207_RPL34.pdf</t>
  </si>
  <si>
    <t>Melting_Curves/meltCurve_P49247_RPIA.pdf</t>
  </si>
  <si>
    <t>Melting_Curves/meltCurve_P49257_LMAN1.pdf</t>
  </si>
  <si>
    <t>Melting_Curves/meltCurve_P49321_3_NASP.pdf</t>
  </si>
  <si>
    <t>Melting_Curves/meltCurve_P49327_FASN.pdf</t>
  </si>
  <si>
    <t>Melting_Curves/meltCurve_P49336_2_CDK8.pdf</t>
  </si>
  <si>
    <t>Melting_Curves/meltCurve_P49354_FNTA.pdf</t>
  </si>
  <si>
    <t>Melting_Curves/meltCurve_P49366_DHPS.pdf</t>
  </si>
  <si>
    <t>Melting_Curves/meltCurve_P49368_CCT3.pdf</t>
  </si>
  <si>
    <t>Melting_Curves/meltCurve_P49406_MRPL19.pdf</t>
  </si>
  <si>
    <t>Melting_Curves/meltCurve_P49407_2_ARRB1.pdf</t>
  </si>
  <si>
    <t>Melting_Curves/meltCurve_P49411_TUFM.pdf</t>
  </si>
  <si>
    <t>Melting_Curves/meltCurve_P49419_2_ALDH7A1.pdf</t>
  </si>
  <si>
    <t>Melting_Curves/meltCurve_P49427_CDC34.pdf</t>
  </si>
  <si>
    <t>Melting_Curves/meltCurve_P49441_INPP1.pdf</t>
  </si>
  <si>
    <t>Melting_Curves/meltCurve_P49454_CENPF.pdf</t>
  </si>
  <si>
    <t>Melting_Curves/meltCurve_P49458_SRP9.pdf</t>
  </si>
  <si>
    <t>Melting_Curves/meltCurve_P49459_UBE2A.pdf</t>
  </si>
  <si>
    <t>Melting_Curves/meltCurve_P49585_PCYT1A.pdf</t>
  </si>
  <si>
    <t>Melting_Curves/meltCurve_P49588_AARS.pdf</t>
  </si>
  <si>
    <t>Melting_Curves/meltCurve_P49589_3_CARS.pdf</t>
  </si>
  <si>
    <t>Melting_Curves/meltCurve_P49591_SARS.pdf</t>
  </si>
  <si>
    <t>Melting_Curves/meltCurve_P49642_PRIM1.pdf</t>
  </si>
  <si>
    <t>Melting_Curves/meltCurve_P49643_PRIM2.pdf</t>
  </si>
  <si>
    <t>Melting_Curves/meltCurve_P49662_CASP4.pdf</t>
  </si>
  <si>
    <t>Melting_Curves/meltCurve_P49674_CSNK1E.pdf</t>
  </si>
  <si>
    <t>Melting_Curves/meltCurve_P49711_2_CTCF.pdf</t>
  </si>
  <si>
    <t>Melting_Curves/meltCurve_P49720_PSMB3.pdf</t>
  </si>
  <si>
    <t>Melting_Curves/meltCurve_P49721_PSMB2.pdf</t>
  </si>
  <si>
    <t>Melting_Curves/meltCurve_P49736_MCM2.pdf</t>
  </si>
  <si>
    <t>Melting_Curves/meltCurve_P49748_2_ACADVL.pdf</t>
  </si>
  <si>
    <t>Melting_Curves/meltCurve_P49750_4_YLPM1.pdf</t>
  </si>
  <si>
    <t>Melting_Curves/meltCurve_P49753_ACOT2.pdf</t>
  </si>
  <si>
    <t>Melting_Curves/meltCurve_P49755_TMED10.pdf</t>
  </si>
  <si>
    <t>Melting_Curves/meltCurve_P49756_RBM25.pdf</t>
  </si>
  <si>
    <t>Melting_Curves/meltCurve_P49757_4_NUMB.pdf</t>
  </si>
  <si>
    <t>Melting_Curves/meltCurve_P49770_EIF2B2.pdf</t>
  </si>
  <si>
    <t>Melting_Curves/meltCurve_P49773_HINT1.pdf</t>
  </si>
  <si>
    <t>Melting_Curves/meltCurve_P49789_FHIT.pdf</t>
  </si>
  <si>
    <t>Melting_Curves/meltCurve_P49790_NUP153.pdf</t>
  </si>
  <si>
    <t>Melting_Curves/meltCurve_P49792_RANBP2.pdf</t>
  </si>
  <si>
    <t>Melting_Curves/meltCurve_P49798_3_RGS4.pdf</t>
  </si>
  <si>
    <t>Melting_Curves/meltCurve_P49840_GSK3A.pdf</t>
  </si>
  <si>
    <t>Melting_Curves/meltCurve_P49841_GSK3B.pdf</t>
  </si>
  <si>
    <t>Melting_Curves/meltCurve_P49902_NT5C2.pdf</t>
  </si>
  <si>
    <t>Melting_Curves/meltCurve_P49903_SEPHS1.pdf</t>
  </si>
  <si>
    <t>Melting_Curves/meltCurve_P49914_MTHFS.pdf</t>
  </si>
  <si>
    <t>Melting_Curves/meltCurve_P49915_GMPS.pdf</t>
  </si>
  <si>
    <t>Melting_Curves/meltCurve_P49916_LIG3.pdf</t>
  </si>
  <si>
    <t>Melting_Curves/meltCurve_P49959_MRE11A.pdf</t>
  </si>
  <si>
    <t>Melting_Curves/meltCurve_P49961_ENTPD1.pdf</t>
  </si>
  <si>
    <t>Melting_Curves/meltCurve_P50053_KHK.pdf</t>
  </si>
  <si>
    <t>Melting_Curves/meltCurve_P50148_GNAQ.pdf</t>
  </si>
  <si>
    <t>Melting_Curves/meltCurve_P50151_GNG10.pdf</t>
  </si>
  <si>
    <t>Melting_Curves/meltCurve_P50213_IDH3A.pdf</t>
  </si>
  <si>
    <t>Melting_Curves/meltCurve_P50238_CRIP1.pdf</t>
  </si>
  <si>
    <t>Melting_Curves/meltCurve_P50336_PPOX.pdf</t>
  </si>
  <si>
    <t>Melting_Curves/meltCurve_P50402_EMD.pdf</t>
  </si>
  <si>
    <t>Melting_Curves/meltCurve_P50416_2_CPT1A.pdf</t>
  </si>
  <si>
    <t>Melting_Curves/meltCurve_P50452_SERPINB8.pdf</t>
  </si>
  <si>
    <t>Melting_Curves/meltCurve_P50453_SERPINB9.pdf</t>
  </si>
  <si>
    <t>Melting_Curves/meltCurve_P50454_SERPINH1.pdf</t>
  </si>
  <si>
    <t>Melting_Curves/meltCurve_P50502_ST13.pdf</t>
  </si>
  <si>
    <t>Melting_Curves/meltCurve_P50552_VASP.pdf</t>
  </si>
  <si>
    <t>Melting_Curves/meltCurve_P50570_4_DNM2.pdf</t>
  </si>
  <si>
    <t>Melting_Curves/meltCurve_P50579_METAP2.pdf</t>
  </si>
  <si>
    <t>Melting_Curves/meltCurve_P50583_NUDT2.pdf</t>
  </si>
  <si>
    <t>Melting_Curves/meltCurve_P50613_CDK7.pdf</t>
  </si>
  <si>
    <t>Melting_Curves/meltCurve_P50747_HLCS.pdf</t>
  </si>
  <si>
    <t>Melting_Curves/meltCurve_P50748_KNTC1.pdf</t>
  </si>
  <si>
    <t>Melting_Curves/meltCurve_P50750_CDK9.pdf</t>
  </si>
  <si>
    <t>Melting_Curves/meltCurve_P50895_BCAM.pdf</t>
  </si>
  <si>
    <t>Melting_Curves/meltCurve_P50897_PPT1.pdf</t>
  </si>
  <si>
    <t>Melting_Curves/meltCurve_P50990_CCT8.pdf</t>
  </si>
  <si>
    <t>Melting_Curves/meltCurve_P50991_CCT4.pdf</t>
  </si>
  <si>
    <t>Melting_Curves/meltCurve_P51116_FXR2.pdf</t>
  </si>
  <si>
    <t>Melting_Curves/meltCurve_P51148_RAB5C.pdf</t>
  </si>
  <si>
    <t>Melting_Curves/meltCurve_P51149_RAB7A.pdf</t>
  </si>
  <si>
    <t>Melting_Curves/meltCurve_P51151_RAB9A.pdf</t>
  </si>
  <si>
    <t>Melting_Curves/meltCurve_P51153_RAB13.pdf</t>
  </si>
  <si>
    <t>Melting_Curves/meltCurve_P51157_RAB28.pdf</t>
  </si>
  <si>
    <t>Melting_Curves/meltCurve_P51161_FABP6.pdf</t>
  </si>
  <si>
    <t>Melting_Curves/meltCurve_P51397_DAP.pdf</t>
  </si>
  <si>
    <t>Melting_Curves/meltCurve_P51398_2_DAP3.pdf</t>
  </si>
  <si>
    <t>Melting_Curves/meltCurve_P51452_DUSP3.pdf</t>
  </si>
  <si>
    <t>Melting_Curves/meltCurve_P51531_2_SMARCA2.pdf</t>
  </si>
  <si>
    <t>Melting_Curves/meltCurve_P51553_IDH3G.pdf</t>
  </si>
  <si>
    <t>Melting_Curves/meltCurve_P51570_GALK1.pdf</t>
  </si>
  <si>
    <t>Melting_Curves/meltCurve_P51571_SSR4.pdf</t>
  </si>
  <si>
    <t>Melting_Curves/meltCurve_P51572_BCAP31.pdf</t>
  </si>
  <si>
    <t>Melting_Curves/meltCurve_P51580_TPMT.pdf</t>
  </si>
  <si>
    <t>Melting_Curves/meltCurve_P51608_MECP2.pdf</t>
  </si>
  <si>
    <t>Melting_Curves/meltCurve_P51610_2_HCFC1.pdf</t>
  </si>
  <si>
    <t>Melting_Curves/meltCurve_P51648_ALDH3A2.pdf</t>
  </si>
  <si>
    <t>Melting_Curves/meltCurve_P51659_HSD17B4.pdf</t>
  </si>
  <si>
    <t>Melting_Curves/meltCurve_P51665_PSMD7.pdf</t>
  </si>
  <si>
    <t>Melting_Curves/meltCurve_P51687_SUOX.pdf</t>
  </si>
  <si>
    <t>Melting_Curves/meltCurve_P51688_SGSH.pdf</t>
  </si>
  <si>
    <t>Melting_Curves/meltCurve_P51787_2_KCNQ1.pdf</t>
  </si>
  <si>
    <t>Melting_Curves/meltCurve_P51790_4_CLCN3.pdf</t>
  </si>
  <si>
    <t>Melting_Curves/meltCurve_P51797_CLCN6.pdf</t>
  </si>
  <si>
    <t>Melting_Curves/meltCurve_P51798_2_CLCN7.pdf</t>
  </si>
  <si>
    <t>Melting_Curves/meltCurve_P51805_PLXNA3.pdf</t>
  </si>
  <si>
    <t>Melting_Curves/meltCurve_P51809_VAMP7.pdf</t>
  </si>
  <si>
    <t>Melting_Curves/meltCurve_P51812_RPS6KA3.pdf</t>
  </si>
  <si>
    <t>Melting_Curves/meltCurve_P51817_PRKX.pdf</t>
  </si>
  <si>
    <t>Melting_Curves/meltCurve_P51857_2_AKR1D1.pdf</t>
  </si>
  <si>
    <t>Melting_Curves/meltCurve_P51858_HDGF.pdf</t>
  </si>
  <si>
    <t>Melting_Curves/meltCurve_P51946_CCNH.pdf</t>
  </si>
  <si>
    <t>Melting_Curves/meltCurve_P51948_2_MNAT1.pdf</t>
  </si>
  <si>
    <t>Melting_Curves/meltCurve_P51970_NDUFA8.pdf</t>
  </si>
  <si>
    <t>Melting_Curves/meltCurve_P51991_HNRNPA3.pdf</t>
  </si>
  <si>
    <t>Melting_Curves/meltCurve_P52272_2_HNRNPM.pdf</t>
  </si>
  <si>
    <t>Melting_Curves/meltCurve_P52292_KPNA2.pdf</t>
  </si>
  <si>
    <t>Melting_Curves/meltCurve_P52294_KPNA1.pdf</t>
  </si>
  <si>
    <t>Melting_Curves/meltCurve_P52298_NCBP2.pdf</t>
  </si>
  <si>
    <t>Melting_Curves/meltCurve_P52306_RAP1GDS1.pdf</t>
  </si>
  <si>
    <t>Melting_Curves/meltCurve_P52306_4_RAP1GDS1.pdf</t>
  </si>
  <si>
    <t>Melting_Curves/meltCurve_P52564_MAP2K6.pdf</t>
  </si>
  <si>
    <t>Melting_Curves/meltCurve_P52565_ARHGDIA.pdf</t>
  </si>
  <si>
    <t>Melting_Curves/meltCurve_P52597_HNRNPF.pdf</t>
  </si>
  <si>
    <t>Melting_Curves/meltCurve_P52630_4_STAT2.pdf</t>
  </si>
  <si>
    <t>Melting_Curves/meltCurve_P52655_GTF2A1.pdf</t>
  </si>
  <si>
    <t>Melting_Curves/meltCurve_P52657_GTF2A2.pdf</t>
  </si>
  <si>
    <t>Melting_Curves/meltCurve_P52701_MSH6.pdf</t>
  </si>
  <si>
    <t>Melting_Curves/meltCurve_P52732_KIF11.pdf</t>
  </si>
  <si>
    <t>Melting_Curves/meltCurve_P52735_3_VAV2.pdf</t>
  </si>
  <si>
    <t>Melting_Curves/meltCurve_P52756_RBM5.pdf</t>
  </si>
  <si>
    <t>Melting_Curves/meltCurve_P52758_HRSP12.pdf</t>
  </si>
  <si>
    <t>Melting_Curves/meltCurve_P52788_SMS.pdf</t>
  </si>
  <si>
    <t>Melting_Curves/meltCurve_P52789_HK2.pdf</t>
  </si>
  <si>
    <t>Melting_Curves/meltCurve_P52798_2_EFNA4.pdf</t>
  </si>
  <si>
    <t>Melting_Curves/meltCurve_P52799_EFNB2.pdf</t>
  </si>
  <si>
    <t>Melting_Curves/meltCurve_P52888_THOP1.pdf</t>
  </si>
  <si>
    <t>Melting_Curves/meltCurve_P52895_AKR1C2.pdf</t>
  </si>
  <si>
    <t>Melting_Curves/meltCurve_P52907_CAPZA1.pdf</t>
  </si>
  <si>
    <t>Melting_Curves/meltCurve_P52943_CRIP2.pdf</t>
  </si>
  <si>
    <t>Melting_Curves/meltCurve_P52948_6_NUP98.pdf</t>
  </si>
  <si>
    <t>Melting_Curves/meltCurve_P53004_BLVRA.pdf</t>
  </si>
  <si>
    <t>Melting_Curves/meltCurve_P53007_SLC25A1.pdf</t>
  </si>
  <si>
    <t>Melting_Curves/meltCurve_P53365_ARFIP2.pdf</t>
  </si>
  <si>
    <t>Melting_Curves/meltCurve_P53367_2_ARFIP1.pdf</t>
  </si>
  <si>
    <t>Melting_Curves/meltCurve_P53370_NUDT6.pdf</t>
  </si>
  <si>
    <t>Melting_Curves/meltCurve_P53384_2_NUBP1.pdf</t>
  </si>
  <si>
    <t>Melting_Curves/meltCurve_P53396_ACLY.pdf</t>
  </si>
  <si>
    <t>Melting_Curves/meltCurve_P53567_CEBPG.pdf</t>
  </si>
  <si>
    <t>Melting_Curves/meltCurve_P53582_METAP1.pdf</t>
  </si>
  <si>
    <t>Melting_Curves/meltCurve_P53597_SUCLG1.pdf</t>
  </si>
  <si>
    <t>Melting_Curves/meltCurve_P53602_MVD.pdf</t>
  </si>
  <si>
    <t>Melting_Curves/meltCurve_P53609_PGGT1B.pdf</t>
  </si>
  <si>
    <t>Melting_Curves/meltCurve_P53611_RABGGTB.pdf</t>
  </si>
  <si>
    <t>Melting_Curves/meltCurve_P53618_COPB1.pdf</t>
  </si>
  <si>
    <t>Melting_Curves/meltCurve_P53621_COPA.pdf</t>
  </si>
  <si>
    <t>Melting_Curves/meltCurve_P53634_CTSC.pdf</t>
  </si>
  <si>
    <t>Melting_Curves/meltCurve_P53677_AP3M2.pdf</t>
  </si>
  <si>
    <t>Melting_Curves/meltCurve_P53701_HCCS.pdf</t>
  </si>
  <si>
    <t>Melting_Curves/meltCurve_P53778_MAPK12.pdf</t>
  </si>
  <si>
    <t>Melting_Curves/meltCurve_P53794_SLC5A3.pdf</t>
  </si>
  <si>
    <t>Melting_Curves/meltCurve_P53803_POLR2K.pdf</t>
  </si>
  <si>
    <t>Melting_Curves/meltCurve_P53814_5_SMTN.pdf</t>
  </si>
  <si>
    <t>Melting_Curves/meltCurve_P53816_PLA2G16.pdf</t>
  </si>
  <si>
    <t>Melting_Curves/meltCurve_P53985_SLC16A1.pdf</t>
  </si>
  <si>
    <t>Melting_Curves/meltCurve_P53990_2_IST1.pdf</t>
  </si>
  <si>
    <t>Melting_Curves/meltCurve_P53992_SEC24C.pdf</t>
  </si>
  <si>
    <t>Melting_Curves/meltCurve_P53999_SUB1.pdf</t>
  </si>
  <si>
    <t>Melting_Curves/meltCurve_P54098_POLG.pdf</t>
  </si>
  <si>
    <t>Melting_Curves/meltCurve_P54136_RARS.pdf</t>
  </si>
  <si>
    <t>Melting_Curves/meltCurve_P54136_2_RARS.pdf</t>
  </si>
  <si>
    <t>Melting_Curves/meltCurve_P54253_ATXN1.pdf</t>
  </si>
  <si>
    <t>Melting_Curves/meltCurve_P54259_ATN1.pdf</t>
  </si>
  <si>
    <t>Melting_Curves/meltCurve_P54577_YARS.pdf</t>
  </si>
  <si>
    <t>Melting_Curves/meltCurve_P54578_USP14.pdf</t>
  </si>
  <si>
    <t>Melting_Curves/meltCurve_P54619_2_PRKAG1.pdf</t>
  </si>
  <si>
    <t>Melting_Curves/meltCurve_P54709_ATP1B3.pdf</t>
  </si>
  <si>
    <t>Melting_Curves/meltCurve_P54727_RAD23B.pdf</t>
  </si>
  <si>
    <t>Melting_Curves/meltCurve_P54753_EPHB3.pdf</t>
  </si>
  <si>
    <t>Melting_Curves/meltCurve_P54764_EPHA4.pdf</t>
  </si>
  <si>
    <t>Melting_Curves/meltCurve_P54802_NAGLU.pdf</t>
  </si>
  <si>
    <t>Melting_Curves/meltCurve_P54819_AK2.pdf</t>
  </si>
  <si>
    <t>Melting_Curves/meltCurve_P54886_2_ALDH18A1.pdf</t>
  </si>
  <si>
    <t>Melting_Curves/meltCurve_P54920_NAPA.pdf</t>
  </si>
  <si>
    <t>Melting_Curves/meltCurve_P55010_EIF5.pdf</t>
  </si>
  <si>
    <t>Melting_Curves/meltCurve_P55011_3_SLC12A2.pdf</t>
  </si>
  <si>
    <t>Melting_Curves/meltCurve_P55036_PSMD4.pdf</t>
  </si>
  <si>
    <t>Melting_Curves/meltCurve_P55039_DRG2.pdf</t>
  </si>
  <si>
    <t>Melting_Curves/meltCurve_P55060_3_CSE1L.pdf</t>
  </si>
  <si>
    <t>Melting_Curves/meltCurve_P55072_VCP.pdf</t>
  </si>
  <si>
    <t>Melting_Curves/meltCurve_P55081_MFAP1.pdf</t>
  </si>
  <si>
    <t>Melting_Curves/meltCurve_P55082_2_MFAP3.pdf</t>
  </si>
  <si>
    <t>Melting_Curves/meltCurve_P55145_MANF.pdf</t>
  </si>
  <si>
    <t>Melting_Curves/meltCurve_P55198_MLLT6.pdf</t>
  </si>
  <si>
    <t>Melting_Curves/meltCurve_P55199_ELL.pdf</t>
  </si>
  <si>
    <t>Melting_Curves/meltCurve_P55210_CASP7.pdf</t>
  </si>
  <si>
    <t>Melting_Curves/meltCurve_P55211_CASP9.pdf</t>
  </si>
  <si>
    <t>Melting_Curves/meltCurve_P55212_CASP6.pdf</t>
  </si>
  <si>
    <t>Melting_Curves/meltCurve_P55263_ADK.pdf</t>
  </si>
  <si>
    <t>Melting_Curves/meltCurve_P55268_LAMB2.pdf</t>
  </si>
  <si>
    <t>Melting_Curves/meltCurve_P55273_CDKN2D.pdf</t>
  </si>
  <si>
    <t>Melting_Curves/meltCurve_P55327_2_TPD52.pdf</t>
  </si>
  <si>
    <t>Melting_Curves/meltCurve_P55735_SEC13.pdf</t>
  </si>
  <si>
    <t>Melting_Curves/meltCurve_P55789_GFER.pdf</t>
  </si>
  <si>
    <t>Melting_Curves/meltCurve_P55795_HNRNPH2.pdf</t>
  </si>
  <si>
    <t>Melting_Curves/meltCurve_P55809_OXCT1.pdf</t>
  </si>
  <si>
    <t>Melting_Curves/meltCurve_P55884_EIF3B.pdf</t>
  </si>
  <si>
    <t>Melting_Curves/meltCurve_P55957_BID.pdf</t>
  </si>
  <si>
    <t>Melting_Curves/meltCurve_P56181_NDUFV3.pdf</t>
  </si>
  <si>
    <t>Melting_Curves/meltCurve_P56181_2_NDUFV3.pdf</t>
  </si>
  <si>
    <t>Melting_Curves/meltCurve_P56182_RRP1.pdf</t>
  </si>
  <si>
    <t>Melting_Curves/meltCurve_P56192_MARS.pdf</t>
  </si>
  <si>
    <t>Melting_Curves/meltCurve_P56199_ITGA1.pdf</t>
  </si>
  <si>
    <t>Melting_Curves/meltCurve_P56211_ARPP19.pdf</t>
  </si>
  <si>
    <t>Melting_Curves/meltCurve_P56270_2_MAZ.pdf</t>
  </si>
  <si>
    <t>Melting_Curves/meltCurve_P56277_CMC4.pdf</t>
  </si>
  <si>
    <t>Melting_Curves/meltCurve_P56378_MP68.pdf</t>
  </si>
  <si>
    <t>Melting_Curves/meltCurve_P56381_ATP5E.pdf</t>
  </si>
  <si>
    <t>Melting_Curves/meltCurve_P56385_ATP5I.pdf</t>
  </si>
  <si>
    <t>Melting_Curves/meltCurve_P56524_HDAC4.pdf</t>
  </si>
  <si>
    <t>Melting_Curves/meltCurve_P56537_EIF6.pdf</t>
  </si>
  <si>
    <t>Melting_Curves/meltCurve_P56545_2_CTBP2.pdf</t>
  </si>
  <si>
    <t>Melting_Curves/meltCurve_P56556_NDUFA6.pdf</t>
  </si>
  <si>
    <t>Melting_Curves/meltCurve_P56559_ARL4C.pdf</t>
  </si>
  <si>
    <t>Melting_Curves/meltCurve_P56589_PEX3.pdf</t>
  </si>
  <si>
    <t>Melting_Curves/meltCurve_P56937_3_HSD17B7.pdf</t>
  </si>
  <si>
    <t>Melting_Curves/meltCurve_P56945_5_BCAR1.pdf</t>
  </si>
  <si>
    <t>Melting_Curves/meltCurve_P56962_STX17.pdf</t>
  </si>
  <si>
    <t>Melting_Curves/meltCurve_P57054_3_PIGP.pdf</t>
  </si>
  <si>
    <t>Melting_Curves/meltCurve_P57060_RWDD2B.pdf</t>
  </si>
  <si>
    <t>Melting_Curves/meltCurve_P57076_C21orf59.pdf</t>
  </si>
  <si>
    <t>Melting_Curves/meltCurve_P57081_2_WDR4.pdf</t>
  </si>
  <si>
    <t>Melting_Curves/meltCurve_P57088_TMEM33.pdf</t>
  </si>
  <si>
    <t>Melting_Curves/meltCurve_P57105_SYNJ2BP.pdf</t>
  </si>
  <si>
    <t>Melting_Curves/meltCurve_P57682_KLF3.pdf</t>
  </si>
  <si>
    <t>Melting_Curves/meltCurve_P57735_RAB25.pdf</t>
  </si>
  <si>
    <t>Melting_Curves/meltCurve_P57737_3_CORO7.pdf</t>
  </si>
  <si>
    <t>Melting_Curves/meltCurve_P57740_NUP107.pdf</t>
  </si>
  <si>
    <t>Melting_Curves/meltCurve_P57772_EEFSEC.pdf</t>
  </si>
  <si>
    <t>Melting_Curves/meltCurve_P58546_MTPN.pdf</t>
  </si>
  <si>
    <t>Melting_Curves/meltCurve_P59998_ARPC4.pdf</t>
  </si>
  <si>
    <t>Melting_Curves/meltCurve_P60059_SEC61G.pdf</t>
  </si>
  <si>
    <t>Melting_Curves/meltCurve_P60174_TPI1.pdf</t>
  </si>
  <si>
    <t>Melting_Curves/meltCurve_P60228_EIF3E.pdf</t>
  </si>
  <si>
    <t>Melting_Curves/meltCurve_P60468_SEC61B.pdf</t>
  </si>
  <si>
    <t>Melting_Curves/meltCurve_P60484_PTEN.pdf</t>
  </si>
  <si>
    <t>Melting_Curves/meltCurve_P60510_PPP4C.pdf</t>
  </si>
  <si>
    <t>Melting_Curves/meltCurve_P60602_ROMO1.pdf</t>
  </si>
  <si>
    <t>Melting_Curves/meltCurve_P60604_2_UBE2G2.pdf</t>
  </si>
  <si>
    <t>Melting_Curves/meltCurve_P60709_ACTB.pdf</t>
  </si>
  <si>
    <t>Melting_Curves/meltCurve_P60763_RAC3.pdf</t>
  </si>
  <si>
    <t>Melting_Curves/meltCurve_P60842_EIF4A1.pdf</t>
  </si>
  <si>
    <t>Melting_Curves/meltCurve_P60866_RPS20.pdf</t>
  </si>
  <si>
    <t>Melting_Curves/meltCurve_P60891_PRPS1.pdf</t>
  </si>
  <si>
    <t>Melting_Curves/meltCurve_P60896_SHFM1.pdf</t>
  </si>
  <si>
    <t>Melting_Curves/meltCurve_P60903_S100A10.pdf</t>
  </si>
  <si>
    <t>Melting_Curves/meltCurve_P60953_CDC42.pdf</t>
  </si>
  <si>
    <t>Melting_Curves/meltCurve_P60981_DSTN.pdf</t>
  </si>
  <si>
    <t>Melting_Curves/meltCurve_P60983_GMFB.pdf</t>
  </si>
  <si>
    <t>Melting_Curves/meltCurve_P61006_RAB8A.pdf</t>
  </si>
  <si>
    <t>Melting_Curves/meltCurve_P61009_SPCS3.pdf</t>
  </si>
  <si>
    <t>Melting_Curves/meltCurve_P61011_SRP54.pdf</t>
  </si>
  <si>
    <t>Melting_Curves/meltCurve_P61018_RAB4B.pdf</t>
  </si>
  <si>
    <t>Melting_Curves/meltCurve_P61019_RAB2A.pdf</t>
  </si>
  <si>
    <t>Melting_Curves/meltCurve_P61020_RAB5B.pdf</t>
  </si>
  <si>
    <t>Melting_Curves/meltCurve_P61024_CKS1B.pdf</t>
  </si>
  <si>
    <t>Melting_Curves/meltCurve_P61026_RAB10.pdf</t>
  </si>
  <si>
    <t>Melting_Curves/meltCurve_P61077_UBE2D3.pdf</t>
  </si>
  <si>
    <t>Melting_Curves/meltCurve_P61081_UBE2M.pdf</t>
  </si>
  <si>
    <t>Melting_Curves/meltCurve_P61086_UBE2K.pdf</t>
  </si>
  <si>
    <t>Melting_Curves/meltCurve_P61088_UBE2N.pdf</t>
  </si>
  <si>
    <t>Melting_Curves/meltCurve_P61106_RAB14.pdf</t>
  </si>
  <si>
    <t>Melting_Curves/meltCurve_P61129_ZC3H6.pdf</t>
  </si>
  <si>
    <t>Melting_Curves/meltCurve_P61158_ACTR3.pdf</t>
  </si>
  <si>
    <t>Melting_Curves/meltCurve_P61160_ACTR2.pdf</t>
  </si>
  <si>
    <t>Melting_Curves/meltCurve_P61163_ACTR1A.pdf</t>
  </si>
  <si>
    <t>Melting_Curves/meltCurve_P61201_COPS2.pdf</t>
  </si>
  <si>
    <t>Melting_Curves/meltCurve_P61204_ARF3.pdf</t>
  </si>
  <si>
    <t>Melting_Curves/meltCurve_P61218_POLR2F.pdf</t>
  </si>
  <si>
    <t>Melting_Curves/meltCurve_P61221_ABCE1.pdf</t>
  </si>
  <si>
    <t>Melting_Curves/meltCurve_P61224_RAP1B.pdf</t>
  </si>
  <si>
    <t>Melting_Curves/meltCurve_P61225_RAP2B.pdf</t>
  </si>
  <si>
    <t>Melting_Curves/meltCurve_P61244_2_MAX.pdf</t>
  </si>
  <si>
    <t>Melting_Curves/meltCurve_P61247_RPS3A.pdf</t>
  </si>
  <si>
    <t>Melting_Curves/meltCurve_P61254_RPL26.pdf</t>
  </si>
  <si>
    <t>Melting_Curves/meltCurve_P61289_PSME3.pdf</t>
  </si>
  <si>
    <t>Melting_Curves/meltCurve_P61326_MAGOH.pdf</t>
  </si>
  <si>
    <t>Melting_Curves/meltCurve_P61353_RPL27.pdf</t>
  </si>
  <si>
    <t>Melting_Curves/meltCurve_P61457_PCBD1.pdf</t>
  </si>
  <si>
    <t>Melting_Curves/meltCurve_P61586_RHOA.pdf</t>
  </si>
  <si>
    <t>Melting_Curves/meltCurve_P61599_NAA20.pdf</t>
  </si>
  <si>
    <t>Melting_Curves/meltCurve_P61601_NCALD.pdf</t>
  </si>
  <si>
    <t>Melting_Curves/meltCurve_P61604_HSPE1.pdf</t>
  </si>
  <si>
    <t>Melting_Curves/meltCurve_P61758_VBP1.pdf</t>
  </si>
  <si>
    <t>Melting_Curves/meltCurve_P61764_STXBP1.pdf</t>
  </si>
  <si>
    <t>Melting_Curves/meltCurve_P61769_B2M.pdf</t>
  </si>
  <si>
    <t>Melting_Curves/meltCurve_P61812_TGFB2.pdf</t>
  </si>
  <si>
    <t>Melting_Curves/meltCurve_P61927_RPL37.pdf</t>
  </si>
  <si>
    <t>Melting_Curves/meltCurve_P61962_DCAF7.pdf</t>
  </si>
  <si>
    <t>Melting_Curves/meltCurve_P61964_WDR5.pdf</t>
  </si>
  <si>
    <t>Melting_Curves/meltCurve_P61966_AP1S1.pdf</t>
  </si>
  <si>
    <t>Melting_Curves/meltCurve_P61970_NUTF2.pdf</t>
  </si>
  <si>
    <t>Melting_Curves/meltCurve_P61978_3_HNRNPK.pdf</t>
  </si>
  <si>
    <t>Melting_Curves/meltCurve_P61981_YWHAG.pdf</t>
  </si>
  <si>
    <t>Melting_Curves/meltCurve_P62070_RRAS2.pdf</t>
  </si>
  <si>
    <t>Melting_Curves/meltCurve_P62072_TIMM10.pdf</t>
  </si>
  <si>
    <t>Melting_Curves/meltCurve_P62081_RPS7.pdf</t>
  </si>
  <si>
    <t>Melting_Curves/meltCurve_P62136_PPP1CA.pdf</t>
  </si>
  <si>
    <t>Melting_Curves/meltCurve_P62140_PPP1CB.pdf</t>
  </si>
  <si>
    <t>Melting_Curves/meltCurve_P62191_PSMC1.pdf</t>
  </si>
  <si>
    <t>Melting_Curves/meltCurve_P62195_2_PSMC5.pdf</t>
  </si>
  <si>
    <t>Melting_Curves/meltCurve_P62241_RPS8.pdf</t>
  </si>
  <si>
    <t>Melting_Curves/meltCurve_P62249_RPS16.pdf</t>
  </si>
  <si>
    <t>Melting_Curves/meltCurve_P62258_YWHAE.pdf</t>
  </si>
  <si>
    <t>Melting_Curves/meltCurve_P62263_RPS14.pdf</t>
  </si>
  <si>
    <t>Melting_Curves/meltCurve_P62266_RPS23.pdf</t>
  </si>
  <si>
    <t>Melting_Curves/meltCurve_P62269_RPS18.pdf</t>
  </si>
  <si>
    <t>Melting_Curves/meltCurve_P62273_RPS29.pdf</t>
  </si>
  <si>
    <t>Melting_Curves/meltCurve_P62277_RPS13.pdf</t>
  </si>
  <si>
    <t>Melting_Curves/meltCurve_P62280_RPS11.pdf</t>
  </si>
  <si>
    <t>Melting_Curves/meltCurve_P62304_SNRPE.pdf</t>
  </si>
  <si>
    <t>Melting_Curves/meltCurve_P62306_SNRPF.pdf</t>
  </si>
  <si>
    <t>Melting_Curves/meltCurve_P62308_SNRPG.pdf</t>
  </si>
  <si>
    <t>Melting_Curves/meltCurve_P62310_LSM3.pdf</t>
  </si>
  <si>
    <t>Melting_Curves/meltCurve_P62312_LSM6.pdf</t>
  </si>
  <si>
    <t>Melting_Curves/meltCurve_P62314_SNRPD1.pdf</t>
  </si>
  <si>
    <t>Melting_Curves/meltCurve_P62316_SNRPD2.pdf</t>
  </si>
  <si>
    <t>Melting_Curves/meltCurve_P62324_BTG1.pdf</t>
  </si>
  <si>
    <t>Melting_Curves/meltCurve_P62328_TMSB4X.pdf</t>
  </si>
  <si>
    <t>Melting_Curves/meltCurve_P62330_ARF6.pdf</t>
  </si>
  <si>
    <t>Melting_Curves/meltCurve_P62333_PSMC6.pdf</t>
  </si>
  <si>
    <t>Melting_Curves/meltCurve_P62341_SELT.pdf</t>
  </si>
  <si>
    <t>Melting_Curves/meltCurve_P62380_TBPL1.pdf</t>
  </si>
  <si>
    <t>Melting_Curves/meltCurve_P62424_RPL7A.pdf</t>
  </si>
  <si>
    <t>Melting_Curves/meltCurve_P62487_POLR2G.pdf</t>
  </si>
  <si>
    <t>Melting_Curves/meltCurve_P62495_ETF1.pdf</t>
  </si>
  <si>
    <t>Melting_Curves/meltCurve_P62633_2_CNBP.pdf</t>
  </si>
  <si>
    <t>Melting_Curves/meltCurve_P62633_4_CNBP.pdf</t>
  </si>
  <si>
    <t>Melting_Curves/meltCurve_P62633_5_CNBP.pdf</t>
  </si>
  <si>
    <t>Melting_Curves/meltCurve_P62701_RPS4X.pdf</t>
  </si>
  <si>
    <t>Melting_Curves/meltCurve_P62714_PPP2CB.pdf</t>
  </si>
  <si>
    <t>Melting_Curves/meltCurve_P62745_RHOB.pdf</t>
  </si>
  <si>
    <t>Melting_Curves/meltCurve_P62750_RPL23A.pdf</t>
  </si>
  <si>
    <t>Melting_Curves/meltCurve_P62753_RPS6.pdf</t>
  </si>
  <si>
    <t>Melting_Curves/meltCurve_P62760_VSNL1.pdf</t>
  </si>
  <si>
    <t>Melting_Curves/meltCurve_P62805_HIST1H4A.pdf</t>
  </si>
  <si>
    <t>Melting_Curves/meltCurve_P62820_RAB1A.pdf</t>
  </si>
  <si>
    <t>Melting_Curves/meltCurve_P62829_RPL23.pdf</t>
  </si>
  <si>
    <t>Melting_Curves/meltCurve_P62834_RAP1A.pdf</t>
  </si>
  <si>
    <t>Melting_Curves/meltCurve_P62837_UBE2D2.pdf</t>
  </si>
  <si>
    <t>Melting_Curves/meltCurve_P62851_RPS25.pdf</t>
  </si>
  <si>
    <t>Melting_Curves/meltCurve_P62854_RPS26.pdf</t>
  </si>
  <si>
    <t>Melting_Curves/meltCurve_P62857_RPS28.pdf</t>
  </si>
  <si>
    <t>Melting_Curves/meltCurve_P62873_GNB1.pdf</t>
  </si>
  <si>
    <t>Melting_Curves/meltCurve_P62877_RBX1.pdf</t>
  </si>
  <si>
    <t>Melting_Curves/meltCurve_P62879_GNB2.pdf</t>
  </si>
  <si>
    <t>Melting_Curves/meltCurve_P62906_RPL10A.pdf</t>
  </si>
  <si>
    <t>Melting_Curves/meltCurve_P62913_2_RPL11.pdf</t>
  </si>
  <si>
    <t>Melting_Curves/meltCurve_P62917_RPL8.pdf</t>
  </si>
  <si>
    <t>Melting_Curves/meltCurve_P62937_PPIA.pdf</t>
  </si>
  <si>
    <t>Melting_Curves/meltCurve_P62942_FKBP1A.pdf</t>
  </si>
  <si>
    <t>Melting_Curves/meltCurve_P62979_RPS27A.pdf</t>
  </si>
  <si>
    <t>Melting_Curves/meltCurve_P62987_UBA52.pdf</t>
  </si>
  <si>
    <t>Melting_Curves/meltCurve_P62993_GRB2.pdf</t>
  </si>
  <si>
    <t>Melting_Curves/meltCurve_P62995_3_TRA2B.pdf</t>
  </si>
  <si>
    <t>Melting_Curves/meltCurve_P63000_RAC1.pdf</t>
  </si>
  <si>
    <t>Melting_Curves/meltCurve_P63010_AP2B1.pdf</t>
  </si>
  <si>
    <t>Melting_Curves/meltCurve_P63092_3_GNAS.pdf</t>
  </si>
  <si>
    <t>Melting_Curves/meltCurve_P63096_GNAI1.pdf</t>
  </si>
  <si>
    <t>Melting_Curves/meltCurve_P63104_YWHAZ.pdf</t>
  </si>
  <si>
    <t>Melting_Curves/meltCurve_P63151_PPP2R2A.pdf</t>
  </si>
  <si>
    <t>Melting_Curves/meltCurve_P63167_DYNLL1.pdf</t>
  </si>
  <si>
    <t>Melting_Curves/meltCurve_P63173_RPL38.pdf</t>
  </si>
  <si>
    <t>Melting_Curves/meltCurve_P63218_GNG5.pdf</t>
  </si>
  <si>
    <t>Melting_Curves/meltCurve_P63244_GNB2L1.pdf</t>
  </si>
  <si>
    <t>Melting_Curves/meltCurve_P63272_SUPT4H1.pdf</t>
  </si>
  <si>
    <t>Melting_Curves/meltCurve_P67775_PPP2CA.pdf</t>
  </si>
  <si>
    <t>Melting_Curves/meltCurve_P67809_YBX1.pdf</t>
  </si>
  <si>
    <t>Melting_Curves/meltCurve_P67936_TPM4.pdf</t>
  </si>
  <si>
    <t>Melting_Curves/meltCurve_P68036_UBE2L3.pdf</t>
  </si>
  <si>
    <t>Melting_Curves/meltCurve_P68104_EEF1A1.pdf</t>
  </si>
  <si>
    <t>Melting_Curves/meltCurve_P68133_ACTA1.pdf</t>
  </si>
  <si>
    <t>Melting_Curves/meltCurve_P68363_TUBA1B.pdf</t>
  </si>
  <si>
    <t>Melting_Curves/meltCurve_P68371_TUBB4B.pdf</t>
  </si>
  <si>
    <t>Melting_Curves/meltCurve_P68402_PAFAH1B2.pdf</t>
  </si>
  <si>
    <t>Melting_Curves/meltCurve_P69905_HBA1.pdf</t>
  </si>
  <si>
    <t>Melting_Curves/meltCurve_P78310_CXADR.pdf</t>
  </si>
  <si>
    <t>Melting_Curves/meltCurve_P78318_IGBP1.pdf</t>
  </si>
  <si>
    <t>Melting_Curves/meltCurve_P78330_PSPH.pdf</t>
  </si>
  <si>
    <t>Melting_Curves/meltCurve_P78332_RBM6.pdf</t>
  </si>
  <si>
    <t>Melting_Curves/meltCurve_P78345_RPP38.pdf</t>
  </si>
  <si>
    <t>Melting_Curves/meltCurve_P78346_RPP30.pdf</t>
  </si>
  <si>
    <t>Melting_Curves/meltCurve_P78347_2_GTF2I.pdf</t>
  </si>
  <si>
    <t>Melting_Curves/meltCurve_P78356_PIP4K2B.pdf</t>
  </si>
  <si>
    <t>Melting_Curves/meltCurve_P78368_CSNK1G2.pdf</t>
  </si>
  <si>
    <t>Melting_Curves/meltCurve_P78371_CCT2.pdf</t>
  </si>
  <si>
    <t>Melting_Curves/meltCurve_P78406_RAE1.pdf</t>
  </si>
  <si>
    <t>Melting_Curves/meltCurve_P78417_GSTO1.pdf</t>
  </si>
  <si>
    <t>Melting_Curves/meltCurve_P78524_ST5.pdf</t>
  </si>
  <si>
    <t>Melting_Curves/meltCurve_P78527_PRKDC.pdf</t>
  </si>
  <si>
    <t>Melting_Curves/meltCurve_P78536_ADAM17.pdf</t>
  </si>
  <si>
    <t>Melting_Curves/meltCurve_P78540_ARG2.pdf</t>
  </si>
  <si>
    <t>Melting_Curves/meltCurve_P78549_NTHL1.pdf</t>
  </si>
  <si>
    <t>Melting_Curves/meltCurve_P80217_IFI35.pdf</t>
  </si>
  <si>
    <t>Melting_Curves/meltCurve_P80294_MT1H.pdf</t>
  </si>
  <si>
    <t>Melting_Curves/meltCurve_P80297_MT1X.pdf</t>
  </si>
  <si>
    <t>Melting_Curves/meltCurve_P80303_NUCB2.pdf</t>
  </si>
  <si>
    <t>Melting_Curves/meltCurve_P80723_BASP1.pdf</t>
  </si>
  <si>
    <t>Melting_Curves/meltCurve_P81605_DCD.pdf</t>
  </si>
  <si>
    <t>Melting_Curves/meltCurve_P82094_TMF1.pdf</t>
  </si>
  <si>
    <t>Melting_Curves/meltCurve_P82664_MRPS10.pdf</t>
  </si>
  <si>
    <t>Melting_Curves/meltCurve_P82673_MRPS35.pdf</t>
  </si>
  <si>
    <t>Melting_Curves/meltCurve_P82675_MRPS5.pdf</t>
  </si>
  <si>
    <t>Melting_Curves/meltCurve_P82909_MRPS36.pdf</t>
  </si>
  <si>
    <t>Melting_Curves/meltCurve_P82912_2_MRPS11.pdf</t>
  </si>
  <si>
    <t>Melting_Curves/meltCurve_P82930_MRPS34.pdf</t>
  </si>
  <si>
    <t>Melting_Curves/meltCurve_P82932_MRPS6.pdf</t>
  </si>
  <si>
    <t>Melting_Curves/meltCurve_P82933_MRPS9.pdf</t>
  </si>
  <si>
    <t>Melting_Curves/meltCurve_P82979_SARNP.pdf</t>
  </si>
  <si>
    <t>Melting_Curves/meltCurve_P83111_LACTB.pdf</t>
  </si>
  <si>
    <t>Melting_Curves/meltCurve_P83436_COG7.pdf</t>
  </si>
  <si>
    <t>Melting_Curves/meltCurve_P83731_RPL24.pdf</t>
  </si>
  <si>
    <t>Melting_Curves/meltCurve_P84085_ARF5.pdf</t>
  </si>
  <si>
    <t>Melting_Curves/meltCurve_P84090_ERH.pdf</t>
  </si>
  <si>
    <t>Melting_Curves/meltCurve_P84095_RHOG.pdf</t>
  </si>
  <si>
    <t>Melting_Curves/meltCurve_P84101_4_SERF2.pdf</t>
  </si>
  <si>
    <t>Melting_Curves/meltCurve_P84157_MXRA7.pdf</t>
  </si>
  <si>
    <t>Melting_Curves/meltCurve_P84157_2_MXRA7.pdf</t>
  </si>
  <si>
    <t>Melting_Curves/meltCurve_P85037_FOXK1.pdf</t>
  </si>
  <si>
    <t>Melting_Curves/meltCurve_P86397_RPP14.pdf</t>
  </si>
  <si>
    <t>Melting_Curves/meltCurve_P86791_CCZ1.pdf</t>
  </si>
  <si>
    <t>Melting_Curves/meltCurve_P98155_2_VLDLR.pdf</t>
  </si>
  <si>
    <t>Melting_Curves/meltCurve_P98172_EFNB1.pdf</t>
  </si>
  <si>
    <t>Melting_Curves/meltCurve_P98173_3_FAM3A.pdf</t>
  </si>
  <si>
    <t>Melting_Curves/meltCurve_P98175_2_RBM10.pdf</t>
  </si>
  <si>
    <t>Melting_Curves/meltCurve_P98179_RBM3.pdf</t>
  </si>
  <si>
    <t>Melting_Curves/meltCurve_P98194_2_ATP2C1.pdf</t>
  </si>
  <si>
    <t>Melting_Curves/meltCurve_P99999_CYCS.pdf</t>
  </si>
  <si>
    <t>Melting_Curves/meltCurve_Q00059_TFAM.pdf</t>
  </si>
  <si>
    <t>Melting_Curves/meltCurve_Q00169_PITPNA.pdf</t>
  </si>
  <si>
    <t>Melting_Curves/meltCurve_Q00266_MAT1A.pdf</t>
  </si>
  <si>
    <t>Melting_Curves/meltCurve_Q00325_2_SLC25A3.pdf</t>
  </si>
  <si>
    <t>Melting_Curves/meltCurve_Q00341_HDLBP.pdf</t>
  </si>
  <si>
    <t>Melting_Curves/meltCurve_Q00403_GTF2B.pdf</t>
  </si>
  <si>
    <t>Melting_Curves/meltCurve_Q00534_CDK6.pdf</t>
  </si>
  <si>
    <t>Melting_Curves/meltCurve_Q00535_CDK5.pdf</t>
  </si>
  <si>
    <t>Melting_Curves/meltCurve_Q00577_PURA.pdf</t>
  </si>
  <si>
    <t>Melting_Curves/meltCurve_Q00587_2_CDC42EP1.pdf</t>
  </si>
  <si>
    <t>Melting_Curves/meltCurve_Q00610_2_CLTC.pdf</t>
  </si>
  <si>
    <t>Melting_Curves/meltCurve_Q00613_2_HSF1.pdf</t>
  </si>
  <si>
    <t>Melting_Curves/meltCurve_Q00653_4_NFKB2.pdf</t>
  </si>
  <si>
    <t>Melting_Curves/meltCurve_Q00688_FKBP3.pdf</t>
  </si>
  <si>
    <t>Melting_Curves/meltCurve_Q00765_REEP5.pdf</t>
  </si>
  <si>
    <t>Melting_Curves/meltCurve_Q00796_SORD.pdf</t>
  </si>
  <si>
    <t>Melting_Curves/meltCurve_Q00839_2_HNRNPU.pdf</t>
  </si>
  <si>
    <t>Melting_Curves/meltCurve_Q01081_U2AF1.pdf</t>
  </si>
  <si>
    <t>Melting_Curves/meltCurve_Q01082_SPTBN1.pdf</t>
  </si>
  <si>
    <t>Melting_Curves/meltCurve_Q01082_3_SPTBN1.pdf</t>
  </si>
  <si>
    <t>Melting_Curves/meltCurve_Q01085_2_TIAL1.pdf</t>
  </si>
  <si>
    <t>Melting_Curves/meltCurve_Q01105_SET.pdf</t>
  </si>
  <si>
    <t>Melting_Curves/meltCurve_Q01105_2_SET.pdf</t>
  </si>
  <si>
    <t>Melting_Curves/meltCurve_Q01130_SRSF2.pdf</t>
  </si>
  <si>
    <t>Melting_Curves/meltCurve_Q01151_CD83.pdf</t>
  </si>
  <si>
    <t>Melting_Curves/meltCurve_Q01167_FOXK2.pdf</t>
  </si>
  <si>
    <t>Melting_Curves/meltCurve_Q01469_FABP5.pdf</t>
  </si>
  <si>
    <t>Melting_Curves/meltCurve_Q01518_2_CAP1.pdf</t>
  </si>
  <si>
    <t>Melting_Curves/meltCurve_Q01523_DEFA5.pdf</t>
  </si>
  <si>
    <t>Melting_Curves/meltCurve_Q01581_HMGCS1.pdf</t>
  </si>
  <si>
    <t>Melting_Curves/meltCurve_Q01650_SLC7A5.pdf</t>
  </si>
  <si>
    <t>Melting_Curves/meltCurve_Q01658_DR1.pdf</t>
  </si>
  <si>
    <t>Melting_Curves/meltCurve_Q01780_2_EXOSC10.pdf</t>
  </si>
  <si>
    <t>Melting_Curves/meltCurve_Q01813_PFKP.pdf</t>
  </si>
  <si>
    <t>Melting_Curves/meltCurve_Q01968_2_OCRL.pdf</t>
  </si>
  <si>
    <t>Melting_Curves/meltCurve_Q01970_PLCB3.pdf</t>
  </si>
  <si>
    <t>Melting_Curves/meltCurve_Q01995_TAGLN.pdf</t>
  </si>
  <si>
    <t>Melting_Curves/meltCurve_Q02040_AKAP17A.pdf</t>
  </si>
  <si>
    <t>Melting_Curves/meltCurve_Q02083_2_NAAA.pdf</t>
  </si>
  <si>
    <t>Melting_Curves/meltCurve_Q02127_DHODH.pdf</t>
  </si>
  <si>
    <t>Melting_Curves/meltCurve_Q02156_PRKCE.pdf</t>
  </si>
  <si>
    <t>Melting_Curves/meltCurve_Q02241_KIF23.pdf</t>
  </si>
  <si>
    <t>Melting_Curves/meltCurve_Q02252_ALDH6A1.pdf</t>
  </si>
  <si>
    <t>Melting_Curves/meltCurve_Q02318_CYP27A1.pdf</t>
  </si>
  <si>
    <t>Melting_Curves/meltCurve_Q02338_BDH1.pdf</t>
  </si>
  <si>
    <t>Melting_Curves/meltCurve_Q02383_SEMG2.pdf</t>
  </si>
  <si>
    <t>Melting_Curves/meltCurve_Q02446_SP4.pdf</t>
  </si>
  <si>
    <t>Melting_Curves/meltCurve_Q02487_2_DSC2.pdf</t>
  </si>
  <si>
    <t>Melting_Curves/meltCurve_Q02543_RPL18A.pdf</t>
  </si>
  <si>
    <t>Melting_Curves/meltCurve_Q02742_GCNT1.pdf</t>
  </si>
  <si>
    <t>Melting_Curves/meltCurve_Q02750_MAP2K1.pdf</t>
  </si>
  <si>
    <t>Melting_Curves/meltCurve_Q02790_FKBP4.pdf</t>
  </si>
  <si>
    <t>Melting_Curves/meltCurve_Q02809_PLOD1.pdf</t>
  </si>
  <si>
    <t>Melting_Curves/meltCurve_Q02818_NUCB1.pdf</t>
  </si>
  <si>
    <t>Melting_Curves/meltCurve_Q02878_RPL6.pdf</t>
  </si>
  <si>
    <t>Melting_Curves/meltCurve_Q02880_2_TOP2B.pdf</t>
  </si>
  <si>
    <t>Melting_Curves/meltCurve_Q02952_3_AKAP12.pdf</t>
  </si>
  <si>
    <t>Melting_Curves/meltCurve_Q03001_DST.pdf</t>
  </si>
  <si>
    <t>Melting_Curves/meltCurve_Q03111_MLLT1.pdf</t>
  </si>
  <si>
    <t>Melting_Curves/meltCurve_Q03113_GNA12.pdf</t>
  </si>
  <si>
    <t>Melting_Curves/meltCurve_Q03154_ACY1.pdf</t>
  </si>
  <si>
    <t>Melting_Curves/meltCurve_Q03169_TNFAIP2.pdf</t>
  </si>
  <si>
    <t>Melting_Curves/meltCurve_Q03393_PTS.pdf</t>
  </si>
  <si>
    <t>Melting_Curves/meltCurve_Q03519_TAP2.pdf</t>
  </si>
  <si>
    <t>Melting_Curves/meltCurve_Q03701_CEBPZ.pdf</t>
  </si>
  <si>
    <t>Melting_Curves/meltCurve_Q04446_GBE1.pdf</t>
  </si>
  <si>
    <t>Melting_Curves/meltCurve_Q04637_5_EIF4G1.pdf</t>
  </si>
  <si>
    <t>Melting_Curves/meltCurve_Q04656_5_ATP7A.pdf</t>
  </si>
  <si>
    <t>Melting_Curves/meltCurve_Q04721_NOTCH2.pdf</t>
  </si>
  <si>
    <t>Melting_Curves/meltCurve_Q04724_TLE1.pdf</t>
  </si>
  <si>
    <t>Melting_Curves/meltCurve_Q04726_5_TLE3.pdf</t>
  </si>
  <si>
    <t>Melting_Curves/meltCurve_Q04759_PRKCQ.pdf</t>
  </si>
  <si>
    <t>Melting_Curves/meltCurve_Q04760_GLO1.pdf</t>
  </si>
  <si>
    <t>Melting_Curves/meltCurve_Q04828_AKR1C1.pdf</t>
  </si>
  <si>
    <t>Melting_Curves/meltCurve_Q04837_SSBP1.pdf</t>
  </si>
  <si>
    <t>Melting_Curves/meltCurve_Q04917_YWHAH.pdf</t>
  </si>
  <si>
    <t>Melting_Curves/meltCurve_Q04941_PLP2.pdf</t>
  </si>
  <si>
    <t>Melting_Curves/meltCurve_Q05048_CSTF1.pdf</t>
  </si>
  <si>
    <t>Melting_Curves/meltCurve_Q05084_ICA1.pdf</t>
  </si>
  <si>
    <t>Melting_Curves/meltCurve_Q05086_3_UBE3A.pdf</t>
  </si>
  <si>
    <t>Melting_Curves/meltCurve_Q05193_5_DNM1.pdf</t>
  </si>
  <si>
    <t>Melting_Curves/meltCurve_Q05209_PTPN12.pdf</t>
  </si>
  <si>
    <t>Melting_Curves/meltCurve_Q05513_PRKCZ.pdf</t>
  </si>
  <si>
    <t>Melting_Curves/meltCurve_Q05519_2_SRSF11.pdf</t>
  </si>
  <si>
    <t>Melting_Curves/meltCurve_Q05639_EEF1A2.pdf</t>
  </si>
  <si>
    <t>Melting_Curves/meltCurve_Q05655_PRKCD.pdf</t>
  </si>
  <si>
    <t>Melting_Curves/meltCurve_Q05682_5_CALD1.pdf</t>
  </si>
  <si>
    <t>Melting_Curves/meltCurve_Q05932_3_FPGS.pdf</t>
  </si>
  <si>
    <t>Melting_Curves/meltCurve_Q05D32_2_CTDSPL2.pdf</t>
  </si>
  <si>
    <t>Melting_Curves/meltCurve_Q06124_2_PTPN11.pdf</t>
  </si>
  <si>
    <t>Melting_Curves/meltCurve_Q06136_KDSR.pdf</t>
  </si>
  <si>
    <t>Melting_Curves/meltCurve_Q06203_PPAT.pdf</t>
  </si>
  <si>
    <t>Melting_Curves/meltCurve_Q06210_2_GFPT1.pdf</t>
  </si>
  <si>
    <t>Melting_Curves/meltCurve_Q06265_EXOSC9.pdf</t>
  </si>
  <si>
    <t>Melting_Curves/meltCurve_Q06323_PSME1.pdf</t>
  </si>
  <si>
    <t>Melting_Curves/meltCurve_Q06330_5_RBPJ.pdf</t>
  </si>
  <si>
    <t>Melting_Curves/meltCurve_Q06481_APLP2.pdf</t>
  </si>
  <si>
    <t>Melting_Curves/meltCurve_Q06546_GABPA.pdf</t>
  </si>
  <si>
    <t>Melting_Curves/meltCurve_Q06587_RING1.pdf</t>
  </si>
  <si>
    <t>Melting_Curves/meltCurve_Q06609_3_RAD51.pdf</t>
  </si>
  <si>
    <t>Melting_Curves/meltCurve_Q06787_8_FMR1.pdf</t>
  </si>
  <si>
    <t>Melting_Curves/meltCurve_Q06830_PRDX1.pdf</t>
  </si>
  <si>
    <t>Melting_Curves/meltCurve_Q07021_C1QBP.pdf</t>
  </si>
  <si>
    <t>Melting_Curves/meltCurve_Q07065_CKAP4.pdf</t>
  </si>
  <si>
    <t>Melting_Curves/meltCurve_Q07654_TFF3.pdf</t>
  </si>
  <si>
    <t>Melting_Curves/meltCurve_Q07666_KHDRBS1.pdf</t>
  </si>
  <si>
    <t>Melting_Curves/meltCurve_Q07812_5_BAX.pdf</t>
  </si>
  <si>
    <t>Melting_Curves/meltCurve_Q07820_MCL1.pdf</t>
  </si>
  <si>
    <t>Melting_Curves/meltCurve_Q07866_6_KLC1.pdf</t>
  </si>
  <si>
    <t>Melting_Curves/meltCurve_Q07954_LRP1.pdf</t>
  </si>
  <si>
    <t>Melting_Curves/meltCurve_Q07960_ARHGAP1.pdf</t>
  </si>
  <si>
    <t>Melting_Curves/meltCurve_Q08170_SRSF4.pdf</t>
  </si>
  <si>
    <t>Melting_Curves/meltCurve_Q08209_2_PPP3CA.pdf</t>
  </si>
  <si>
    <t>Melting_Curves/meltCurve_Q08211_DHX9.pdf</t>
  </si>
  <si>
    <t>Melting_Curves/meltCurve_Q08257_CRYZ.pdf</t>
  </si>
  <si>
    <t>Melting_Curves/meltCurve_Q08357_SLC20A2.pdf</t>
  </si>
  <si>
    <t>Melting_Curves/meltCurve_Q08378_GOLGA3.pdf</t>
  </si>
  <si>
    <t>Melting_Curves/meltCurve_Q08379_GOLGA2.pdf</t>
  </si>
  <si>
    <t>Melting_Curves/meltCurve_Q08380_LGALS3BP.pdf</t>
  </si>
  <si>
    <t>Melting_Curves/meltCurve_Q08426_EHHADH.pdf</t>
  </si>
  <si>
    <t>Melting_Curves/meltCurve_Q08722_CD47.pdf</t>
  </si>
  <si>
    <t>Melting_Curves/meltCurve_Q08752_PPID.pdf</t>
  </si>
  <si>
    <t>Melting_Curves/meltCurve_Q08945_SSRP1.pdf</t>
  </si>
  <si>
    <t>Melting_Curves/meltCurve_Q08AF3_SLFN5.pdf</t>
  </si>
  <si>
    <t>Melting_Curves/meltCurve_Q08AG7_MZT1.pdf</t>
  </si>
  <si>
    <t>Melting_Curves/meltCurve_Q08AM6_VAC14.pdf</t>
  </si>
  <si>
    <t>Melting_Curves/meltCurve_Q08E86_KIAA0100.pdf</t>
  </si>
  <si>
    <t>Melting_Curves/meltCurve_Q08J23_NSUN2.pdf</t>
  </si>
  <si>
    <t>Melting_Curves/meltCurve_Q09028_3_RBBP4.pdf</t>
  </si>
  <si>
    <t>Melting_Curves/meltCurve_Q09161_NCBP1.pdf</t>
  </si>
  <si>
    <t>Melting_Curves/meltCurve_Q09328_MGAT5.pdf</t>
  </si>
  <si>
    <t>Melting_Curves/meltCurve_Q09472_EP300.pdf</t>
  </si>
  <si>
    <t>Melting_Curves/meltCurve_Q09666_AHNAK.pdf</t>
  </si>
  <si>
    <t>Melting_Curves/meltCurve_Q0JRZ9_FCHO2.pdf</t>
  </si>
  <si>
    <t>Melting_Curves/meltCurve_Q0PNE2_ELP6.pdf</t>
  </si>
  <si>
    <t>Melting_Curves/meltCurve_Q0VDF9_HSPA14.pdf</t>
  </si>
  <si>
    <t>Melting_Curves/meltCurve_Q0VDG4_2_SCRN3.pdf</t>
  </si>
  <si>
    <t>Melting_Curves/meltCurve_Q0VG06_FAAP100.pdf</t>
  </si>
  <si>
    <t>Melting_Curves/meltCurve_Q0VGL1_LAMTOR4.pdf</t>
  </si>
  <si>
    <t>Melting_Curves/meltCurve_Q10469_MGAT2.pdf</t>
  </si>
  <si>
    <t>Melting_Curves/meltCurve_Q10471_GALNT2.pdf</t>
  </si>
  <si>
    <t>Melting_Curves/meltCurve_Q10567_3_AP1B1.pdf</t>
  </si>
  <si>
    <t>Melting_Curves/meltCurve_Q10570_CPSF1.pdf</t>
  </si>
  <si>
    <t>Melting_Curves/meltCurve_Q10713_PMPCA.pdf</t>
  </si>
  <si>
    <t>Melting_Curves/meltCurve_Q11206_3_ST3GAL4.pdf</t>
  </si>
  <si>
    <t>Melting_Curves/meltCurve_Q12765_SCRN1.pdf</t>
  </si>
  <si>
    <t>Melting_Curves/meltCurve_Q12768_KIAA0196.pdf</t>
  </si>
  <si>
    <t>Melting_Curves/meltCurve_Q12770_SCAP.pdf</t>
  </si>
  <si>
    <t>Melting_Curves/meltCurve_Q12774_ARHGEF5.pdf</t>
  </si>
  <si>
    <t>Melting_Curves/meltCurve_Q12788_TBL3.pdf</t>
  </si>
  <si>
    <t>Melting_Curves/meltCurve_Q12789_3_GTF3C1.pdf</t>
  </si>
  <si>
    <t>Melting_Curves/meltCurve_Q12792_TWF1.pdf</t>
  </si>
  <si>
    <t>Melting_Curves/meltCurve_Q12796_PNRC1.pdf</t>
  </si>
  <si>
    <t>Melting_Curves/meltCurve_Q12797_ASPH.pdf</t>
  </si>
  <si>
    <t>Melting_Curves/meltCurve_Q12800_4_TFCP2.pdf</t>
  </si>
  <si>
    <t>Melting_Curves/meltCurve_Q12802_4_AKAP13.pdf</t>
  </si>
  <si>
    <t>Melting_Curves/meltCurve_Q12830_4_BPTF.pdf</t>
  </si>
  <si>
    <t>Melting_Curves/meltCurve_Q12834_CDC20.pdf</t>
  </si>
  <si>
    <t>Melting_Curves/meltCurve_Q12846_STX4.pdf</t>
  </si>
  <si>
    <t>Melting_Curves/meltCurve_Q12872_SFSWAP.pdf</t>
  </si>
  <si>
    <t>Melting_Curves/meltCurve_Q12874_SF3A3.pdf</t>
  </si>
  <si>
    <t>Melting_Curves/meltCurve_Q12888_TP53BP1.pdf</t>
  </si>
  <si>
    <t>Melting_Curves/meltCurve_Q12894_IFRD2.pdf</t>
  </si>
  <si>
    <t>Melting_Curves/meltCurve_Q12904_AIMP1.pdf</t>
  </si>
  <si>
    <t>Melting_Curves/meltCurve_Q12905_ILF2.pdf</t>
  </si>
  <si>
    <t>Melting_Curves/meltCurve_Q12906_ILF3.pdf</t>
  </si>
  <si>
    <t>Melting_Curves/meltCurve_Q12907_LMAN2.pdf</t>
  </si>
  <si>
    <t>Melting_Curves/meltCurve_Q12929_EPS8.pdf</t>
  </si>
  <si>
    <t>Melting_Curves/meltCurve_Q12933_3_TRAF2.pdf</t>
  </si>
  <si>
    <t>Melting_Curves/meltCurve_Q12955_ANK3.pdf</t>
  </si>
  <si>
    <t>Melting_Curves/meltCurve_Q12959_5_DLG1.pdf</t>
  </si>
  <si>
    <t>Melting_Curves/meltCurve_Q12962_TAF10.pdf</t>
  </si>
  <si>
    <t>Melting_Curves/meltCurve_Q12965_MYO1E.pdf</t>
  </si>
  <si>
    <t>Melting_Curves/meltCurve_Q12972_PPP1R8.pdf</t>
  </si>
  <si>
    <t>Melting_Curves/meltCurve_Q12981_BNIP1.pdf</t>
  </si>
  <si>
    <t>Melting_Curves/meltCurve_Q12986_NFX1.pdf</t>
  </si>
  <si>
    <t>Melting_Curves/meltCurve_Q12996_CSTF3.pdf</t>
  </si>
  <si>
    <t>Melting_Curves/meltCurve_Q13011_ECH1.pdf</t>
  </si>
  <si>
    <t>Melting_Curves/meltCurve_Q13015_MLLT11.pdf</t>
  </si>
  <si>
    <t>Melting_Curves/meltCurve_Q13017_2_ARHGAP5.pdf</t>
  </si>
  <si>
    <t>Melting_Curves/meltCurve_Q13033_2_STRN3.pdf</t>
  </si>
  <si>
    <t>Melting_Curves/meltCurve_Q13043_STK4.pdf</t>
  </si>
  <si>
    <t>Melting_Curves/meltCurve_Q13045_FLII.pdf</t>
  </si>
  <si>
    <t>Melting_Curves/meltCurve_Q13045_2_FLII.pdf</t>
  </si>
  <si>
    <t>Melting_Curves/meltCurve_Q13057_COASY.pdf</t>
  </si>
  <si>
    <t>Melting_Curves/meltCurve_Q13085_3_ACACA.pdf</t>
  </si>
  <si>
    <t>Melting_Curves/meltCurve_Q13098_GPS1.pdf</t>
  </si>
  <si>
    <t>Melting_Curves/meltCurve_Q13107_2_USP4.pdf</t>
  </si>
  <si>
    <t>Melting_Curves/meltCurve_Q13111_CHAF1A.pdf</t>
  </si>
  <si>
    <t>Melting_Curves/meltCurve_Q13112_CHAF1B.pdf</t>
  </si>
  <si>
    <t>Melting_Curves/meltCurve_Q13123_IK.pdf</t>
  </si>
  <si>
    <t>Melting_Curves/meltCurve_Q13126_MTAP.pdf</t>
  </si>
  <si>
    <t>Melting_Curves/meltCurve_Q13131_PRKAA1.pdf</t>
  </si>
  <si>
    <t>Melting_Curves/meltCurve_Q13136_PPFIA1.pdf</t>
  </si>
  <si>
    <t>Melting_Curves/meltCurve_Q13145_BAMBI.pdf</t>
  </si>
  <si>
    <t>Melting_Curves/meltCurve_Q13148_TARDBP.pdf</t>
  </si>
  <si>
    <t>Melting_Curves/meltCurve_Q13151_HNRNPA0.pdf</t>
  </si>
  <si>
    <t>Melting_Curves/meltCurve_Q13153_PAK1.pdf</t>
  </si>
  <si>
    <t>Melting_Curves/meltCurve_Q13155_AIMP2.pdf</t>
  </si>
  <si>
    <t>Melting_Curves/meltCurve_Q13158_FADD.pdf</t>
  </si>
  <si>
    <t>Melting_Curves/meltCurve_Q13162_PRDX4.pdf</t>
  </si>
  <si>
    <t>Melting_Curves/meltCurve_Q13164_3_MAPK7.pdf</t>
  </si>
  <si>
    <t>Melting_Curves/meltCurve_Q13177_PAK2.pdf</t>
  </si>
  <si>
    <t>Melting_Curves/meltCurve_Q13185_CBX3.pdf</t>
  </si>
  <si>
    <t>Melting_Curves/meltCurve_Q13188_STK3.pdf</t>
  </si>
  <si>
    <t>Melting_Curves/meltCurve_Q13200_PSMD2.pdf</t>
  </si>
  <si>
    <t>Melting_Curves/meltCurve_Q13206_DDX10.pdf</t>
  </si>
  <si>
    <t>Melting_Curves/meltCurve_Q13216_ERCC8.pdf</t>
  </si>
  <si>
    <t>Melting_Curves/meltCurve_Q13217_DNAJC3.pdf</t>
  </si>
  <si>
    <t>Melting_Curves/meltCurve_Q13228_SELENBP1.pdf</t>
  </si>
  <si>
    <t>Melting_Curves/meltCurve_Q13232_NME3.pdf</t>
  </si>
  <si>
    <t>Melting_Curves/meltCurve_Q13242_SRSF9.pdf</t>
  </si>
  <si>
    <t>Melting_Curves/meltCurve_Q13243_3_SRSF5.pdf</t>
  </si>
  <si>
    <t>Melting_Curves/meltCurve_Q13247_3_SRSF6.pdf</t>
  </si>
  <si>
    <t>Melting_Curves/meltCurve_Q13257_MAD2L1.pdf</t>
  </si>
  <si>
    <t>Melting_Curves/meltCurve_Q13263_TRIM28.pdf</t>
  </si>
  <si>
    <t>Melting_Curves/meltCurve_Q13277_2_STX3.pdf</t>
  </si>
  <si>
    <t>Melting_Curves/meltCurve_Q13283_G3BP1.pdf</t>
  </si>
  <si>
    <t>Melting_Curves/meltCurve_Q13287_NMI.pdf</t>
  </si>
  <si>
    <t>Melting_Curves/meltCurve_Q13303_2_KCNAB2.pdf</t>
  </si>
  <si>
    <t>Melting_Curves/meltCurve_Q13308_PTK7.pdf</t>
  </si>
  <si>
    <t>Melting_Curves/meltCurve_Q13310_2_PABPC4.pdf</t>
  </si>
  <si>
    <t>Melting_Curves/meltCurve_Q13315_ATM.pdf</t>
  </si>
  <si>
    <t>Melting_Curves/meltCurve_Q13322_3_GRB10.pdf</t>
  </si>
  <si>
    <t>Melting_Curves/meltCurve_Q13330_3_MTA1.pdf</t>
  </si>
  <si>
    <t>Melting_Curves/meltCurve_Q13347_EIF3I.pdf</t>
  </si>
  <si>
    <t>Melting_Curves/meltCurve_Q13356_PPIL2.pdf</t>
  </si>
  <si>
    <t>Melting_Curves/meltCurve_Q13362_3_PPP2R5C.pdf</t>
  </si>
  <si>
    <t>Melting_Curves/meltCurve_Q13363_CTBP1.pdf</t>
  </si>
  <si>
    <t>Melting_Curves/meltCurve_Q13371_PDCL.pdf</t>
  </si>
  <si>
    <t>Melting_Curves/meltCurve_Q13395_TARBP1.pdf</t>
  </si>
  <si>
    <t>Melting_Curves/meltCurve_Q13405_MRPL49.pdf</t>
  </si>
  <si>
    <t>Melting_Curves/meltCurve_Q13409_3_DYNC1I2.pdf</t>
  </si>
  <si>
    <t>Melting_Curves/meltCurve_Q13416_ORC2.pdf</t>
  </si>
  <si>
    <t>Melting_Curves/meltCurve_Q13418_ILK.pdf</t>
  </si>
  <si>
    <t>Melting_Curves/meltCurve_Q13423_NNT.pdf</t>
  </si>
  <si>
    <t>Melting_Curves/meltCurve_Q13425_SNTB2.pdf</t>
  </si>
  <si>
    <t>Melting_Curves/meltCurve_Q13426_XRCC4.pdf</t>
  </si>
  <si>
    <t>Melting_Curves/meltCurve_Q13427_PPIG.pdf</t>
  </si>
  <si>
    <t>Melting_Curves/meltCurve_Q13428_3_TCOF1.pdf</t>
  </si>
  <si>
    <t>Melting_Curves/meltCurve_Q13432_2_UNC119.pdf</t>
  </si>
  <si>
    <t>Melting_Curves/meltCurve_Q13433_SLC39A6.pdf</t>
  </si>
  <si>
    <t>Melting_Curves/meltCurve_Q13435_SF3B2.pdf</t>
  </si>
  <si>
    <t>Melting_Curves/meltCurve_Q13438_4_OS9.pdf</t>
  </si>
  <si>
    <t>Melting_Curves/meltCurve_Q13439_3_GOLGA4.pdf</t>
  </si>
  <si>
    <t>Melting_Curves/meltCurve_Q13442_PDAP1.pdf</t>
  </si>
  <si>
    <t>Melting_Curves/meltCurve_Q13443_ADAM9.pdf</t>
  </si>
  <si>
    <t>Melting_Curves/meltCurve_Q13445_TMED1.pdf</t>
  </si>
  <si>
    <t>Melting_Curves/meltCurve_Q13451_FKBP5.pdf</t>
  </si>
  <si>
    <t>Melting_Curves/meltCurve_Q13464_ROCK1.pdf</t>
  </si>
  <si>
    <t>Melting_Curves/meltCurve_Q13488_TCIRG1.pdf</t>
  </si>
  <si>
    <t>Melting_Curves/meltCurve_Q13492_2_PICALM.pdf</t>
  </si>
  <si>
    <t>Melting_Curves/meltCurve_Q13496_MTM1.pdf</t>
  </si>
  <si>
    <t>Melting_Curves/meltCurve_Q13501_SQSTM1.pdf</t>
  </si>
  <si>
    <t>Melting_Curves/meltCurve_Q13505_3_MTX1.pdf</t>
  </si>
  <si>
    <t>Melting_Curves/meltCurve_Q13509_TUBB3.pdf</t>
  </si>
  <si>
    <t>Melting_Curves/meltCurve_Q13526_PIN1.pdf</t>
  </si>
  <si>
    <t>Melting_Curves/meltCurve_Q13535_3_ATR.pdf</t>
  </si>
  <si>
    <t>Melting_Curves/meltCurve_Q13541_EIF4EBP1.pdf</t>
  </si>
  <si>
    <t>Melting_Curves/meltCurve_Q13542_EIF4EBP2.pdf</t>
  </si>
  <si>
    <t>Melting_Curves/meltCurve_Q13546_RIPK1.pdf</t>
  </si>
  <si>
    <t>Melting_Curves/meltCurve_Q13547_HDAC1.pdf</t>
  </si>
  <si>
    <t>Melting_Curves/meltCurve_Q13564_NAE1.pdf</t>
  </si>
  <si>
    <t>Melting_Curves/meltCurve_Q13572_ITPK1.pdf</t>
  </si>
  <si>
    <t>Melting_Curves/meltCurve_Q13573_SNW1.pdf</t>
  </si>
  <si>
    <t>Melting_Curves/meltCurve_Q13586_STIM1.pdf</t>
  </si>
  <si>
    <t>Melting_Curves/meltCurve_Q13596_SNX1.pdf</t>
  </si>
  <si>
    <t>Melting_Curves/meltCurve_Q13601_2_KRR1.pdf</t>
  </si>
  <si>
    <t>Melting_Curves/meltCurve_Q13608_PEX6.pdf</t>
  </si>
  <si>
    <t>Melting_Curves/meltCurve_Q13614_MTMR2.pdf</t>
  </si>
  <si>
    <t>Melting_Curves/meltCurve_Q13615_3_MTMR3.pdf</t>
  </si>
  <si>
    <t>Melting_Curves/meltCurve_Q13616_CUL1.pdf</t>
  </si>
  <si>
    <t>Melting_Curves/meltCurve_Q13617_CUL2.pdf</t>
  </si>
  <si>
    <t>Melting_Curves/meltCurve_Q13618_CUL3.pdf</t>
  </si>
  <si>
    <t>Melting_Curves/meltCurve_Q13619_CUL4A.pdf</t>
  </si>
  <si>
    <t>Melting_Curves/meltCurve_Q13630_TSTA3.pdf</t>
  </si>
  <si>
    <t>Melting_Curves/meltCurve_Q13641_TPBG.pdf</t>
  </si>
  <si>
    <t>Melting_Curves/meltCurve_Q13642_1_FHL1.pdf</t>
  </si>
  <si>
    <t>Melting_Curves/meltCurve_Q13643_FHL3.pdf</t>
  </si>
  <si>
    <t>Melting_Curves/meltCurve_Q13686_ALKBH1.pdf</t>
  </si>
  <si>
    <t>Melting_Curves/meltCurve_Q13724_MOGS.pdf</t>
  </si>
  <si>
    <t>Melting_Curves/meltCurve_Q13733_ATP1A4.pdf</t>
  </si>
  <si>
    <t>Melting_Curves/meltCurve_Q13740_2_ALCAM.pdf</t>
  </si>
  <si>
    <t>Melting_Curves/meltCurve_Q13751_LAMB3.pdf</t>
  </si>
  <si>
    <t>Melting_Curves/meltCurve_Q13753_LAMC2.pdf</t>
  </si>
  <si>
    <t>Melting_Curves/meltCurve_Q13769_THOC5.pdf</t>
  </si>
  <si>
    <t>Melting_Curves/meltCurve_Q13795_ARFRP1.pdf</t>
  </si>
  <si>
    <t>Melting_Curves/meltCurve_Q13813_SPTAN1.pdf</t>
  </si>
  <si>
    <t>Melting_Curves/meltCurve_Q13813_2_SPTAN1.pdf</t>
  </si>
  <si>
    <t>Melting_Curves/meltCurve_Q13825_AUH.pdf</t>
  </si>
  <si>
    <t>Melting_Curves/meltCurve_Q13867_BLMH.pdf</t>
  </si>
  <si>
    <t>Melting_Curves/meltCurve_Q13868_EXOSC2.pdf</t>
  </si>
  <si>
    <t>Melting_Curves/meltCurve_Q13884_SNTB1.pdf</t>
  </si>
  <si>
    <t>Melting_Curves/meltCurve_Q13885_TUBB2A.pdf</t>
  </si>
  <si>
    <t>Melting_Curves/meltCurve_Q13895_BYSL.pdf</t>
  </si>
  <si>
    <t>Melting_Curves/meltCurve_Q13907_IDI1.pdf</t>
  </si>
  <si>
    <t>Melting_Curves/meltCurve_Q13948_CUX1.pdf</t>
  </si>
  <si>
    <t>Melting_Curves/meltCurve_Q13951_2_CBFB.pdf</t>
  </si>
  <si>
    <t>Melting_Curves/meltCurve_Q13952_3_NFYC.pdf</t>
  </si>
  <si>
    <t>Melting_Curves/meltCurve_Q14008_2_CKAP5.pdf</t>
  </si>
  <si>
    <t>Melting_Curves/meltCurve_Q14011_CIRBP.pdf</t>
  </si>
  <si>
    <t>Melting_Curves/meltCurve_Q14019_COTL1.pdf</t>
  </si>
  <si>
    <t>Melting_Curves/meltCurve_Q14061_COX17.pdf</t>
  </si>
  <si>
    <t>Melting_Curves/meltCurve_Q14103_3_HNRNPD.pdf</t>
  </si>
  <si>
    <t>Melting_Curves/meltCurve_Q14108_SCARB2.pdf</t>
  </si>
  <si>
    <t>Melting_Curves/meltCurve_Q14114_4_LRP8.pdf</t>
  </si>
  <si>
    <t>Melting_Curves/meltCurve_Q14118_DAG1.pdf</t>
  </si>
  <si>
    <t>Melting_Curves/meltCurve_Q14126_DSG2.pdf</t>
  </si>
  <si>
    <t>Melting_Curves/meltCurve_Q14135_VGLL4.pdf</t>
  </si>
  <si>
    <t>Melting_Curves/meltCurve_Q14137_BOP1.pdf</t>
  </si>
  <si>
    <t>Melting_Curves/meltCurve_Q14139_UBE4A.pdf</t>
  </si>
  <si>
    <t>Melting_Curves/meltCurve_Q14146_URB2.pdf</t>
  </si>
  <si>
    <t>Melting_Curves/meltCurve_Q14149_MORC3.pdf</t>
  </si>
  <si>
    <t>Melting_Curves/meltCurve_Q14151_SAFB2.pdf</t>
  </si>
  <si>
    <t>Melting_Curves/meltCurve_Q14152_EIF3A.pdf</t>
  </si>
  <si>
    <t>Melting_Curves/meltCurve_Q14157_1_UBAP2L.pdf</t>
  </si>
  <si>
    <t>Melting_Curves/meltCurve_Q14157_5_UBAP2L.pdf</t>
  </si>
  <si>
    <t>Melting_Curves/meltCurve_Q14160_SCRIB.pdf</t>
  </si>
  <si>
    <t>Melting_Curves/meltCurve_Q14161_7_GIT2.pdf</t>
  </si>
  <si>
    <t>Melting_Curves/meltCurve_Q14165_MLEC.pdf</t>
  </si>
  <si>
    <t>Melting_Curves/meltCurve_Q14166_TTLL12.pdf</t>
  </si>
  <si>
    <t>Melting_Curves/meltCurve_Q14181_POLA2.pdf</t>
  </si>
  <si>
    <t>Melting_Curves/meltCurve_Q14186_TFDP1.pdf</t>
  </si>
  <si>
    <t>Melting_Curves/meltCurve_Q14191_WRN.pdf</t>
  </si>
  <si>
    <t>Melting_Curves/meltCurve_Q14195_DPYSL3.pdf</t>
  </si>
  <si>
    <t>Melting_Curves/meltCurve_Q14204_DYNC1H1.pdf</t>
  </si>
  <si>
    <t>Melting_Curves/meltCurve_Q14207_NPAT.pdf</t>
  </si>
  <si>
    <t>Melting_Curves/meltCurve_Q14232_EIF2B1.pdf</t>
  </si>
  <si>
    <t>Melting_Curves/meltCurve_Q14240_EIF4A2.pdf</t>
  </si>
  <si>
    <t>Melting_Curves/meltCurve_Q14241_TCEB3.pdf</t>
  </si>
  <si>
    <t>Melting_Curves/meltCurve_Q14244_MAP7.pdf</t>
  </si>
  <si>
    <t>Melting_Curves/meltCurve_Q14247_CTTN.pdf</t>
  </si>
  <si>
    <t>Melting_Curves/meltCurve_Q14247_3_CTTN.pdf</t>
  </si>
  <si>
    <t>Melting_Curves/meltCurve_Q14249_ENDOG.pdf</t>
  </si>
  <si>
    <t>Melting_Curves/meltCurve_Q14254_FLOT2.pdf</t>
  </si>
  <si>
    <t>Melting_Curves/meltCurve_Q14257_RCN2.pdf</t>
  </si>
  <si>
    <t>Melting_Curves/meltCurve_Q14258_TRIM25.pdf</t>
  </si>
  <si>
    <t>Melting_Curves/meltCurve_Q14318_2_FKBP8.pdf</t>
  </si>
  <si>
    <t>Melting_Curves/meltCurve_Q14320_FAM50A.pdf</t>
  </si>
  <si>
    <t>Melting_Curves/meltCurve_Q14331_FRG1.pdf</t>
  </si>
  <si>
    <t>Melting_Curves/meltCurve_Q14344_GNA13.pdf</t>
  </si>
  <si>
    <t>Melting_Curves/meltCurve_Q14376_GALE.pdf</t>
  </si>
  <si>
    <t>Melting_Curves/meltCurve_Q14435_GALNT3.pdf</t>
  </si>
  <si>
    <t>Melting_Curves/meltCurve_Q14444_2_CAPRIN1.pdf</t>
  </si>
  <si>
    <t>Melting_Curves/meltCurve_Q14451_GRB7.pdf</t>
  </si>
  <si>
    <t>Melting_Curves/meltCurve_Q14457_BECN1.pdf</t>
  </si>
  <si>
    <t>Melting_Curves/meltCurve_Q14469_HES1.pdf</t>
  </si>
  <si>
    <t>Melting_Curves/meltCurve_Q14498_2_RBM39.pdf</t>
  </si>
  <si>
    <t>Melting_Curves/meltCurve_Q14508_WFDC2.pdf</t>
  </si>
  <si>
    <t>Melting_Curves/meltCurve_Q14511_3_NEDD9.pdf</t>
  </si>
  <si>
    <t>Melting_Curves/meltCurve_Q14520_2_HABP2.pdf</t>
  </si>
  <si>
    <t>Melting_Curves/meltCurve_Q14526_HIC1.pdf</t>
  </si>
  <si>
    <t>Melting_Curves/meltCurve_Q14534_SQLE.pdf</t>
  </si>
  <si>
    <t>Melting_Curves/meltCurve_Q14554_PDIA5.pdf</t>
  </si>
  <si>
    <t>Melting_Curves/meltCurve_Q14558_2_PRPSAP1.pdf</t>
  </si>
  <si>
    <t>Melting_Curves/meltCurve_Q14562_DHX8.pdf</t>
  </si>
  <si>
    <t>Melting_Curves/meltCurve_Q14566_MCM6.pdf</t>
  </si>
  <si>
    <t>Melting_Curves/meltCurve_Q14573_ITPR3.pdf</t>
  </si>
  <si>
    <t>Melting_Curves/meltCurve_Q14651_PLS1.pdf</t>
  </si>
  <si>
    <t>Melting_Curves/meltCurve_Q14653_IRF3.pdf</t>
  </si>
  <si>
    <t>Melting_Curves/meltCurve_Q14657_LAGE3.pdf</t>
  </si>
  <si>
    <t>Melting_Curves/meltCurve_Q14669_2_TRIP12.pdf</t>
  </si>
  <si>
    <t>Melting_Curves/meltCurve_Q14676_MDC1.pdf</t>
  </si>
  <si>
    <t>Melting_Curves/meltCurve_Q14677_CLINT1.pdf</t>
  </si>
  <si>
    <t>Melting_Curves/meltCurve_Q14678_KANK1.pdf</t>
  </si>
  <si>
    <t>Melting_Curves/meltCurve_Q14680_3_MELK.pdf</t>
  </si>
  <si>
    <t>Melting_Curves/meltCurve_Q14681_KCTD2.pdf</t>
  </si>
  <si>
    <t>Melting_Curves/meltCurve_Q14683_SMC1A.pdf</t>
  </si>
  <si>
    <t>Melting_Curves/meltCurve_Q14684_2_RRP1B.pdf</t>
  </si>
  <si>
    <t>Melting_Curves/meltCurve_Q14686_NCOA6.pdf</t>
  </si>
  <si>
    <t>Melting_Curves/meltCurve_Q14687_2_GSE1.pdf</t>
  </si>
  <si>
    <t>Melting_Curves/meltCurve_Q14691_GINS1.pdf</t>
  </si>
  <si>
    <t>Melting_Curves/meltCurve_Q14694_USP10.pdf</t>
  </si>
  <si>
    <t>Melting_Curves/meltCurve_Q14696_MESDC2.pdf</t>
  </si>
  <si>
    <t>Melting_Curves/meltCurve_Q14697_GANAB.pdf</t>
  </si>
  <si>
    <t>Melting_Curves/meltCurve_Q14697_2_GANAB.pdf</t>
  </si>
  <si>
    <t>Melting_Curves/meltCurve_Q14699_RFTN1.pdf</t>
  </si>
  <si>
    <t>Melting_Curves/meltCurve_Q14739_LBR.pdf</t>
  </si>
  <si>
    <t>Melting_Curves/meltCurve_Q14746_2_COG2.pdf</t>
  </si>
  <si>
    <t>Melting_Curves/meltCurve_Q14789_GOLGB1.pdf</t>
  </si>
  <si>
    <t>Melting_Curves/meltCurve_Q14790_CASP8.pdf</t>
  </si>
  <si>
    <t>Melting_Curves/meltCurve_Q147X3_NAA30.pdf</t>
  </si>
  <si>
    <t>Melting_Curves/meltCurve_Q14802_2_FXYD3.pdf</t>
  </si>
  <si>
    <t>Melting_Curves/meltCurve_Q14807_KIF22.pdf</t>
  </si>
  <si>
    <t>Melting_Curves/meltCurve_Q14847_LASP1.pdf</t>
  </si>
  <si>
    <t>Melting_Curves/meltCurve_Q14914_2_PTGR1.pdf</t>
  </si>
  <si>
    <t>Melting_Curves/meltCurve_Q14964_RAB39A.pdf</t>
  </si>
  <si>
    <t>Melting_Curves/meltCurve_Q14966_ZNF638.pdf</t>
  </si>
  <si>
    <t>Melting_Curves/meltCurve_Q14974_KPNB1.pdf</t>
  </si>
  <si>
    <t>Melting_Curves/meltCurve_Q14978_2_NOLC1.pdf</t>
  </si>
  <si>
    <t>Melting_Curves/meltCurve_Q14980_NUMA1.pdf</t>
  </si>
  <si>
    <t>Melting_Curves/meltCurve_Q14997_PSME4.pdf</t>
  </si>
  <si>
    <t>Melting_Curves/meltCurve_Q14BN4_2_SLMAP.pdf</t>
  </si>
  <si>
    <t>Melting_Curves/meltCurve_Q14C86_6_GAPVD1.pdf</t>
  </si>
  <si>
    <t>Melting_Curves/meltCurve_Q14CM0_FRMPD4.pdf</t>
  </si>
  <si>
    <t>Melting_Curves/meltCurve_Q14CX7_NAA25.pdf</t>
  </si>
  <si>
    <t>Melting_Curves/meltCurve_Q14CZ7_FASTKD3.pdf</t>
  </si>
  <si>
    <t>Melting_Curves/meltCurve_Q15003_NCAPH.pdf</t>
  </si>
  <si>
    <t>Melting_Curves/meltCurve_Q15004_KIAA0101.pdf</t>
  </si>
  <si>
    <t>Melting_Curves/meltCurve_Q15005_SPCS2.pdf</t>
  </si>
  <si>
    <t>Melting_Curves/meltCurve_Q15006_EMC2.pdf</t>
  </si>
  <si>
    <t>Melting_Curves/meltCurve_Q15007_WTAP.pdf</t>
  </si>
  <si>
    <t>Melting_Curves/meltCurve_Q15008_PSMD6.pdf</t>
  </si>
  <si>
    <t>Melting_Curves/meltCurve_Q15011_3_HERPUD1.pdf</t>
  </si>
  <si>
    <t>Melting_Curves/meltCurve_Q15012_LAPTM4A.pdf</t>
  </si>
  <si>
    <t>Melting_Curves/meltCurve_Q15013_MAD2L1BP.pdf</t>
  </si>
  <si>
    <t>Melting_Curves/meltCurve_Q15018_FAM175B.pdf</t>
  </si>
  <si>
    <t>Melting_Curves/meltCurve_Q15019_SEPT2.pdf</t>
  </si>
  <si>
    <t>Melting_Curves/meltCurve_Q15020_SART3.pdf</t>
  </si>
  <si>
    <t>Melting_Curves/meltCurve_Q15021_NCAPD2.pdf</t>
  </si>
  <si>
    <t>Melting_Curves/meltCurve_Q15024_EXOSC7.pdf</t>
  </si>
  <si>
    <t>Melting_Curves/meltCurve_Q15029_2_EFTUD2.pdf</t>
  </si>
  <si>
    <t>Melting_Curves/meltCurve_Q15031_LARS2.pdf</t>
  </si>
  <si>
    <t>Melting_Curves/meltCurve_Q15032_2_R3HDM1.pdf</t>
  </si>
  <si>
    <t>Melting_Curves/meltCurve_Q15036_2_SNX17.pdf</t>
  </si>
  <si>
    <t>Melting_Curves/meltCurve_Q15042_RAB3GAP1.pdf</t>
  </si>
  <si>
    <t>Melting_Curves/meltCurve_Q15043_2_SLC39A14.pdf</t>
  </si>
  <si>
    <t>Melting_Curves/meltCurve_Q15046_KARS.pdf</t>
  </si>
  <si>
    <t>Melting_Curves/meltCurve_Q15047_3_SETDB1.pdf</t>
  </si>
  <si>
    <t>Melting_Curves/meltCurve_Q15048_LRRC14.pdf</t>
  </si>
  <si>
    <t>Melting_Curves/meltCurve_Q15050_RRS1.pdf</t>
  </si>
  <si>
    <t>Melting_Curves/meltCurve_Q15051_2_IQCB1.pdf</t>
  </si>
  <si>
    <t>Melting_Curves/meltCurve_Q15056_EIF4H.pdf</t>
  </si>
  <si>
    <t>Melting_Curves/meltCurve_Q15056_2_EIF4H.pdf</t>
  </si>
  <si>
    <t>Melting_Curves/meltCurve_Q15057_ACAP2.pdf</t>
  </si>
  <si>
    <t>Melting_Curves/meltCurve_Q15059_BRD3.pdf</t>
  </si>
  <si>
    <t>Melting_Curves/meltCurve_Q15061_WDR43.pdf</t>
  </si>
  <si>
    <t>Melting_Curves/meltCurve_Q15067_2_ACOX1.pdf</t>
  </si>
  <si>
    <t>Melting_Curves/meltCurve_Q15075_EEA1.pdf</t>
  </si>
  <si>
    <t>Melting_Curves/meltCurve_Q15102_PAFAH1B3.pdf</t>
  </si>
  <si>
    <t>Melting_Curves/meltCurve_Q15118_PDK1.pdf</t>
  </si>
  <si>
    <t>Melting_Curves/meltCurve_Q15120_PDK3.pdf</t>
  </si>
  <si>
    <t>Melting_Curves/meltCurve_Q15121_PEA15.pdf</t>
  </si>
  <si>
    <t>Melting_Curves/meltCurve_Q15125_EBP.pdf</t>
  </si>
  <si>
    <t>Melting_Curves/meltCurve_Q15126_PMVK.pdf</t>
  </si>
  <si>
    <t>Melting_Curves/meltCurve_Q15139_PRKD1.pdf</t>
  </si>
  <si>
    <t>Melting_Curves/meltCurve_Q15149_4_PLEC.pdf</t>
  </si>
  <si>
    <t>Melting_Curves/meltCurve_Q15155_NOMO1.pdf</t>
  </si>
  <si>
    <t>Melting_Curves/meltCurve_Q15170_2_TCEAL1.pdf</t>
  </si>
  <si>
    <t>Melting_Curves/meltCurve_Q15172_PPP2R5A.pdf</t>
  </si>
  <si>
    <t>Melting_Curves/meltCurve_Q15181_PPA1.pdf</t>
  </si>
  <si>
    <t>Melting_Curves/meltCurve_Q15208_STK38.pdf</t>
  </si>
  <si>
    <t>Melting_Curves/meltCurve_Q15223_PVRL1.pdf</t>
  </si>
  <si>
    <t>Melting_Curves/meltCurve_Q15233_NONO.pdf</t>
  </si>
  <si>
    <t>Melting_Curves/meltCurve_Q15257_PPP2R4.pdf</t>
  </si>
  <si>
    <t>Melting_Curves/meltCurve_Q15269_PWP2.pdf</t>
  </si>
  <si>
    <t>Melting_Curves/meltCurve_Q15274_QPRT.pdf</t>
  </si>
  <si>
    <t>Melting_Curves/meltCurve_Q15276_RABEP1.pdf</t>
  </si>
  <si>
    <t>Melting_Curves/meltCurve_Q15283_2_RASA2.pdf</t>
  </si>
  <si>
    <t>Melting_Curves/meltCurve_Q15286_RAB35.pdf</t>
  </si>
  <si>
    <t>Melting_Curves/meltCurve_Q15291_RBBP5.pdf</t>
  </si>
  <si>
    <t>Melting_Curves/meltCurve_Q15293_RCN1.pdf</t>
  </si>
  <si>
    <t>Melting_Curves/meltCurve_Q15311_RALBP1.pdf</t>
  </si>
  <si>
    <t>Melting_Curves/meltCurve_Q15334_LLGL1.pdf</t>
  </si>
  <si>
    <t>Melting_Curves/meltCurve_Q15345_3_LRRC41.pdf</t>
  </si>
  <si>
    <t>Melting_Curves/meltCurve_Q15363_TMED2.pdf</t>
  </si>
  <si>
    <t>Melting_Curves/meltCurve_Q15365_PCBP1.pdf</t>
  </si>
  <si>
    <t>Melting_Curves/meltCurve_Q15366_PCBP2.pdf</t>
  </si>
  <si>
    <t>Melting_Curves/meltCurve_Q15366_2_PCBP2.pdf</t>
  </si>
  <si>
    <t>Melting_Curves/meltCurve_Q15366_3_PCBP2.pdf</t>
  </si>
  <si>
    <t>Melting_Curves/meltCurve_Q15370_TCEB2.pdf</t>
  </si>
  <si>
    <t>Melting_Curves/meltCurve_Q15382_RHEB.pdf</t>
  </si>
  <si>
    <t>Melting_Curves/meltCurve_Q15386_UBE3C.pdf</t>
  </si>
  <si>
    <t>Melting_Curves/meltCurve_Q15393_SF3B3.pdf</t>
  </si>
  <si>
    <t>Melting_Curves/meltCurve_Q15398_3_DLGAP5.pdf</t>
  </si>
  <si>
    <t>Melting_Curves/meltCurve_Q15404_RSU1.pdf</t>
  </si>
  <si>
    <t>Melting_Curves/meltCurve_Q15417_CNN3.pdf</t>
  </si>
  <si>
    <t>Melting_Curves/meltCurve_Q15424_SAFB.pdf</t>
  </si>
  <si>
    <t>Melting_Curves/meltCurve_Q15428_SF3A2.pdf</t>
  </si>
  <si>
    <t>Melting_Curves/meltCurve_Q15435_PPP1R7.pdf</t>
  </si>
  <si>
    <t>Melting_Curves/meltCurve_Q15437_SEC23B.pdf</t>
  </si>
  <si>
    <t>Melting_Curves/meltCurve_Q15459_SF3A1.pdf</t>
  </si>
  <si>
    <t>Melting_Curves/meltCurve_Q15464_SHB.pdf</t>
  </si>
  <si>
    <t>Melting_Curves/meltCurve_Q15477_SKIV2L.pdf</t>
  </si>
  <si>
    <t>Melting_Curves/meltCurve_Q15526_2_SURF1.pdf</t>
  </si>
  <si>
    <t>Melting_Curves/meltCurve_Q15527_SURF2.pdf</t>
  </si>
  <si>
    <t>Melting_Curves/meltCurve_Q15545_TAF7.pdf</t>
  </si>
  <si>
    <t>Melting_Curves/meltCurve_Q15554_TERF2.pdf</t>
  </si>
  <si>
    <t>Melting_Curves/meltCurve_Q15555_4_MAPRE2.pdf</t>
  </si>
  <si>
    <t>Melting_Curves/meltCurve_Q15560_2_TCEA2.pdf</t>
  </si>
  <si>
    <t>Melting_Curves/meltCurve_Q15599_SLC9A3R2.pdf</t>
  </si>
  <si>
    <t>Melting_Curves/meltCurve_Q15628_TRADD.pdf</t>
  </si>
  <si>
    <t>Melting_Curves/meltCurve_Q15633_2_TARBP2.pdf</t>
  </si>
  <si>
    <t>Melting_Curves/meltCurve_Q15637_5_SF1.pdf</t>
  </si>
  <si>
    <t>Melting_Curves/meltCurve_Q15637_6_SF1.pdf</t>
  </si>
  <si>
    <t>Melting_Curves/meltCurve_Q15642_TRIP10.pdf</t>
  </si>
  <si>
    <t>Melting_Curves/meltCurve_Q15643_TRIP11.pdf</t>
  </si>
  <si>
    <t>Melting_Curves/meltCurve_Q15645_TRIP13.pdf</t>
  </si>
  <si>
    <t>Melting_Curves/meltCurve_Q15648_MED1.pdf</t>
  </si>
  <si>
    <t>Melting_Curves/meltCurve_Q15649_ZNHIT3.pdf</t>
  </si>
  <si>
    <t>Melting_Curves/meltCurve_Q15651_HMGN3.pdf</t>
  </si>
  <si>
    <t>Melting_Curves/meltCurve_Q15652_3_JMJD1C.pdf</t>
  </si>
  <si>
    <t>Melting_Curves/meltCurve_Q15654_TRIP6.pdf</t>
  </si>
  <si>
    <t>Melting_Curves/meltCurve_Q15691_MAPRE1.pdf</t>
  </si>
  <si>
    <t>Melting_Curves/meltCurve_Q15714_TSC22D1.pdf</t>
  </si>
  <si>
    <t>Melting_Curves/meltCurve_Q15717_ELAVL1.pdf</t>
  </si>
  <si>
    <t>Melting_Curves/meltCurve_Q15738_NSDHL.pdf</t>
  </si>
  <si>
    <t>Melting_Curves/meltCurve_Q15750_2_TAB1.pdf</t>
  </si>
  <si>
    <t>Melting_Curves/meltCurve_Q15758_SLC1A5.pdf</t>
  </si>
  <si>
    <t>Melting_Curves/meltCurve_Q15771_RAB30.pdf</t>
  </si>
  <si>
    <t>Melting_Curves/meltCurve_Q15785_TOMM34.pdf</t>
  </si>
  <si>
    <t>Melting_Curves/meltCurve_Q15788_2_NCOA1.pdf</t>
  </si>
  <si>
    <t>Melting_Curves/meltCurve_Q15796_2_SMAD2.pdf</t>
  </si>
  <si>
    <t>Melting_Curves/meltCurve_Q15797_SMAD1.pdf</t>
  </si>
  <si>
    <t>Melting_Curves/meltCurve_Q15800_MSMO1.pdf</t>
  </si>
  <si>
    <t>Melting_Curves/meltCurve_Q15813_TBCE.pdf</t>
  </si>
  <si>
    <t>Melting_Curves/meltCurve_Q15814_TBCC.pdf</t>
  </si>
  <si>
    <t>Melting_Curves/meltCurve_Q15819_UBE2V2.pdf</t>
  </si>
  <si>
    <t>Melting_Curves/meltCurve_Q15833_STXBP2.pdf</t>
  </si>
  <si>
    <t>Melting_Curves/meltCurve_Q15836_VAMP3.pdf</t>
  </si>
  <si>
    <t>Melting_Curves/meltCurve_Q15843_NEDD8.pdf</t>
  </si>
  <si>
    <t>Melting_Curves/meltCurve_Q15847_ADIRF.pdf</t>
  </si>
  <si>
    <t>Melting_Curves/meltCurve_Q15904_ATP6AP1.pdf</t>
  </si>
  <si>
    <t>Melting_Curves/meltCurve_Q15906_VPS72.pdf</t>
  </si>
  <si>
    <t>Melting_Curves/meltCurve_Q15907_RAB11B.pdf</t>
  </si>
  <si>
    <t>Melting_Curves/meltCurve_Q15942_ZYX.pdf</t>
  </si>
  <si>
    <t>Melting_Curves/meltCurve_Q16134_ETFDH.pdf</t>
  </si>
  <si>
    <t>Melting_Curves/meltCurve_Q16181_SEPT7.pdf</t>
  </si>
  <si>
    <t>Melting_Curves/meltCurve_Q16186_ADRM1.pdf</t>
  </si>
  <si>
    <t>Melting_Curves/meltCurve_Q16204_CCDC6.pdf</t>
  </si>
  <si>
    <t>Melting_Curves/meltCurve_Q16222_2_UAP1.pdf</t>
  </si>
  <si>
    <t>Melting_Curves/meltCurve_Q16254_E2F4.pdf</t>
  </si>
  <si>
    <t>Melting_Curves/meltCurve_Q16401_2_PSMD5.pdf</t>
  </si>
  <si>
    <t>Melting_Curves/meltCurve_Q16512_PKN1.pdf</t>
  </si>
  <si>
    <t>Melting_Curves/meltCurve_Q16513_PKN2.pdf</t>
  </si>
  <si>
    <t>Melting_Curves/meltCurve_Q16514_2_TAF12.pdf</t>
  </si>
  <si>
    <t>Melting_Curves/meltCurve_Q16531_DDB1.pdf</t>
  </si>
  <si>
    <t>Melting_Curves/meltCurve_Q16539_2_MAPK14.pdf</t>
  </si>
  <si>
    <t>Melting_Curves/meltCurve_Q16543_CDC37.pdf</t>
  </si>
  <si>
    <t>Melting_Curves/meltCurve_Q16555_DPYSL2.pdf</t>
  </si>
  <si>
    <t>Melting_Curves/meltCurve_Q16576_RBBP7.pdf</t>
  </si>
  <si>
    <t>Melting_Curves/meltCurve_Q16594_TAF9.pdf</t>
  </si>
  <si>
    <t>Melting_Curves/meltCurve_Q16600_ZNF239.pdf</t>
  </si>
  <si>
    <t>Melting_Curves/meltCurve_Q16610_ECM1.pdf</t>
  </si>
  <si>
    <t>Melting_Curves/meltCurve_Q16625_4_OCLN.pdf</t>
  </si>
  <si>
    <t>Melting_Curves/meltCurve_Q16626_MEA1.pdf</t>
  </si>
  <si>
    <t>Melting_Curves/meltCurve_Q16630_2_CPSF6.pdf</t>
  </si>
  <si>
    <t>Melting_Curves/meltCurve_Q16643_DBN1.pdf</t>
  </si>
  <si>
    <t>Melting_Curves/meltCurve_Q16644_MAPKAPK3.pdf</t>
  </si>
  <si>
    <t>Melting_Curves/meltCurve_Q16656_2_NRF1.pdf</t>
  </si>
  <si>
    <t>Melting_Curves/meltCurve_Q16658_FSCN1.pdf</t>
  </si>
  <si>
    <t>Melting_Curves/meltCurve_Q16670_2_ZSCAN26.pdf</t>
  </si>
  <si>
    <t>Melting_Curves/meltCurve_Q16706_MAN2A1.pdf</t>
  </si>
  <si>
    <t>Melting_Curves/meltCurve_Q16718_NDUFA5.pdf</t>
  </si>
  <si>
    <t>Melting_Curves/meltCurve_Q16740_CLPP.pdf</t>
  </si>
  <si>
    <t>Melting_Curves/meltCurve_Q16762_TST.pdf</t>
  </si>
  <si>
    <t>Melting_Curves/meltCurve_Q16763_UBE2S.pdf</t>
  </si>
  <si>
    <t>Melting_Curves/meltCurve_Q16769_QPCT.pdf</t>
  </si>
  <si>
    <t>Melting_Curves/meltCurve_Q16775_2_HAGH.pdf</t>
  </si>
  <si>
    <t>Melting_Curves/meltCurve_Q16778_HIST2H2BE.pdf</t>
  </si>
  <si>
    <t>Melting_Curves/meltCurve_Q16790_CA9.pdf</t>
  </si>
  <si>
    <t>Melting_Curves/meltCurve_Q16795_NDUFA9.pdf</t>
  </si>
  <si>
    <t>Melting_Curves/meltCurve_Q16822_PCK2.pdf</t>
  </si>
  <si>
    <t>Melting_Curves/meltCurve_Q16850_CYP51A1.pdf</t>
  </si>
  <si>
    <t>Melting_Curves/meltCurve_Q16851_UGP2.pdf</t>
  </si>
  <si>
    <t>Melting_Curves/meltCurve_Q16854_DGUOK.pdf</t>
  </si>
  <si>
    <t>Melting_Curves/meltCurve_Q16864_ATP6V1F.pdf</t>
  </si>
  <si>
    <t>Melting_Curves/meltCurve_Q16880_UGT8.pdf</t>
  </si>
  <si>
    <t>Melting_Curves/meltCurve_Q17R31_2_TATDN3.pdf</t>
  </si>
  <si>
    <t>Melting_Curves/meltCurve_Q17RN3_FAM98C.pdf</t>
  </si>
  <si>
    <t>Melting_Curves/meltCurve_Q17RU2_REL.pdf</t>
  </si>
  <si>
    <t>Melting_Curves/meltCurve_Q18PE1_2_DOK7.pdf</t>
  </si>
  <si>
    <t>Melting_Curves/meltCurve_Q1ED39_KNOP1.pdf</t>
  </si>
  <si>
    <t>Melting_Curves/meltCurve_Q1KMD3_HNRNPUL2.pdf</t>
  </si>
  <si>
    <t>Melting_Curves/meltCurve_Q1MSJ5_1_CSPP1.pdf</t>
  </si>
  <si>
    <t>Melting_Curves/meltCurve_Q24JP5_TMEM132A.pdf</t>
  </si>
  <si>
    <t>Melting_Curves/meltCurve_Q27J81_2_INF2.pdf</t>
  </si>
  <si>
    <t>Melting_Curves/meltCurve_Q29RF7_PDS5A.pdf</t>
  </si>
  <si>
    <t>Melting_Curves/meltCurve_Q2KHR3_2_QSER1.pdf</t>
  </si>
  <si>
    <t>Melting_Curves/meltCurve_Q2KHT3_CLEC16A.pdf</t>
  </si>
  <si>
    <t>Melting_Curves/meltCurve_Q2M296_2_MTHFSD.pdf</t>
  </si>
  <si>
    <t>Melting_Curves/meltCurve_Q2M2I8_2_AAK1.pdf</t>
  </si>
  <si>
    <t>Melting_Curves/meltCurve_Q2M2Z5_5_PLK1S1.pdf</t>
  </si>
  <si>
    <t>Melting_Curves/meltCurve_Q2M389_KIAA1033.pdf</t>
  </si>
  <si>
    <t>Melting_Curves/meltCurve_Q2N1I1_KCNE3.pdf</t>
  </si>
  <si>
    <t>Melting_Curves/meltCurve_Q2NKX8_ERCC6L.pdf</t>
  </si>
  <si>
    <t>Melting_Curves/meltCurve_Q2NL82_TSR1.pdf</t>
  </si>
  <si>
    <t>Melting_Curves/meltCurve_Q2T9J0_TYSND1.pdf</t>
  </si>
  <si>
    <t>Melting_Curves/meltCurve_Q2TAA5_ALG11.pdf</t>
  </si>
  <si>
    <t>Melting_Curves/meltCurve_Q2TAL8_QRICH1.pdf</t>
  </si>
  <si>
    <t>Melting_Curves/meltCurve_Q2TAM5_RELA.pdf</t>
  </si>
  <si>
    <t>Melting_Curves/meltCurve_Q2TAM9_TUSC1.pdf</t>
  </si>
  <si>
    <t>Melting_Curves/meltCurve_Q2TAP0_GOLGA7B.pdf</t>
  </si>
  <si>
    <t>Melting_Curves/meltCurve_Q2TAY7_SMU1.pdf</t>
  </si>
  <si>
    <t>Melting_Curves/meltCurve_Q2TBE0_CWF19L2.pdf</t>
  </si>
  <si>
    <t>Melting_Curves/meltCurve_Q32MZ4_2_LRRFIP1.pdf</t>
  </si>
  <si>
    <t>Melting_Curves/meltCurve_Q32MZ4_3_LRRFIP1.pdf</t>
  </si>
  <si>
    <t>Melting_Curves/meltCurve_Q32MZ4_4_LRRFIP1.pdf</t>
  </si>
  <si>
    <t>Melting_Curves/meltCurve_Q32MZ9_POLD3.pdf</t>
  </si>
  <si>
    <t>Melting_Curves/meltCurve_Q32P28_LEPRE1.pdf</t>
  </si>
  <si>
    <t>Melting_Curves/meltCurve_Q32P41_TRMT5.pdf</t>
  </si>
  <si>
    <t>Melting_Curves/meltCurve_Q32Q12_NME1_NME2.pdf</t>
  </si>
  <si>
    <t>Melting_Curves/meltCurve_Q3B726_TWISTNB.pdf</t>
  </si>
  <si>
    <t>Melting_Curves/meltCurve_Q3B7J2_GFOD2.pdf</t>
  </si>
  <si>
    <t>Melting_Curves/meltCurve_Q3KQU3_2_MAP7D1.pdf</t>
  </si>
  <si>
    <t>Melting_Curves/meltCurve_Q3KQV9_UAP1L1.pdf</t>
  </si>
  <si>
    <t>Melting_Curves/meltCurve_Q3KRA6_C2orf76.pdf</t>
  </si>
  <si>
    <t>Melting_Curves/meltCurve_Q3KRA9_ALKBH6.pdf</t>
  </si>
  <si>
    <t>Melting_Curves/meltCurve_Q3LXA3_DAK.pdf</t>
  </si>
  <si>
    <t>Melting_Curves/meltCurve_Q3MHD2_LSM12.pdf</t>
  </si>
  <si>
    <t>Melting_Curves/meltCurve_Q3MII6_TBC1D25.pdf</t>
  </si>
  <si>
    <t>Melting_Curves/meltCurve_Q3MIN7_RGL3.pdf</t>
  </si>
  <si>
    <t>Melting_Curves/meltCurve_Q3MIT2_PUS10.pdf</t>
  </si>
  <si>
    <t>Melting_Curves/meltCurve_Q3MIX3_ADCK5.pdf</t>
  </si>
  <si>
    <t>Melting_Curves/meltCurve_Q3SXM5_HSDL1.pdf</t>
  </si>
  <si>
    <t>Melting_Curves/meltCurve_Q3SY69_ALDH1L2.pdf</t>
  </si>
  <si>
    <t>Melting_Curves/meltCurve_Q3YEC7_RABL6.pdf</t>
  </si>
  <si>
    <t>Melting_Curves/meltCurve_Q3ZAQ7_VMA21.pdf</t>
  </si>
  <si>
    <t>Melting_Curves/meltCurve_Q3ZCM7_TUBB8.pdf</t>
  </si>
  <si>
    <t>Melting_Curves/meltCurve_Q3ZCQ3_FAM174B.pdf</t>
  </si>
  <si>
    <t>Melting_Curves/meltCurve_Q3ZCQ8_TIMM50.pdf</t>
  </si>
  <si>
    <t>Melting_Curves/meltCurve_Q3ZCW2_LGALSL.pdf</t>
  </si>
  <si>
    <t>Melting_Curves/meltCurve_Q495W5_2_FUT11.pdf</t>
  </si>
  <si>
    <t>Melting_Curves/meltCurve_Q49AH0_2_CDNF.pdf</t>
  </si>
  <si>
    <t>Melting_Curves/meltCurve_Q49AR2_C5orf22.pdf</t>
  </si>
  <si>
    <t>Melting_Curves/meltCurve_Q49B96_COX19.pdf</t>
  </si>
  <si>
    <t>Melting_Curves/meltCurve_Q4G0F5_VPS26B.pdf</t>
  </si>
  <si>
    <t>Melting_Curves/meltCurve_Q4G0I0_CCSMST1.pdf</t>
  </si>
  <si>
    <t>Melting_Curves/meltCurve_Q4G0J3_LARP7.pdf</t>
  </si>
  <si>
    <t>Melting_Curves/meltCurve_Q4G0N4_NADKD1.pdf</t>
  </si>
  <si>
    <t>Melting_Curves/meltCurve_Q4G0X9_3_CCDC40.pdf</t>
  </si>
  <si>
    <t>Melting_Curves/meltCurve_Q4G148_2_GXYLT1.pdf</t>
  </si>
  <si>
    <t>Melting_Curves/meltCurve_Q4G176_ACSF3.pdf</t>
  </si>
  <si>
    <t>Melting_Curves/meltCurve_Q4J6C6_4_PREPL.pdf</t>
  </si>
  <si>
    <t>Melting_Curves/meltCurve_Q4JM47_AGR2.pdf</t>
  </si>
  <si>
    <t>Melting_Curves/meltCurve_Q4KMP7_TBC1D10B.pdf</t>
  </si>
  <si>
    <t>Melting_Curves/meltCurve_Q4KMQ2_3_ANO6.pdf</t>
  </si>
  <si>
    <t>Melting_Curves/meltCurve_Q4KWH8_3_PLCH1.pdf</t>
  </si>
  <si>
    <t>Melting_Curves/meltCurve_Q4LDG9_3_DNAL1.pdf</t>
  </si>
  <si>
    <t>Melting_Curves/meltCurve_Q4LE39_3_ARID4B.pdf</t>
  </si>
  <si>
    <t>Melting_Curves/meltCurve_Q4V328_GRIPAP1.pdf</t>
  </si>
  <si>
    <t>Melting_Curves/meltCurve_Q4VC05_BCL7A.pdf</t>
  </si>
  <si>
    <t>Melting_Curves/meltCurve_Q4VCS5_AMOT.pdf</t>
  </si>
  <si>
    <t>Melting_Curves/meltCurve_Q4VXZ8_DECR2.pdf</t>
  </si>
  <si>
    <t>Melting_Curves/meltCurve_Q4ZIN3_2_TMEM259.pdf</t>
  </si>
  <si>
    <t>Melting_Curves/meltCurve_Q504U0_C4orf46.pdf</t>
  </si>
  <si>
    <t>Melting_Curves/meltCurve_Q52LA3_LIN52.pdf</t>
  </si>
  <si>
    <t>Melting_Curves/meltCurve_Q52LJ0_2_FAM98B.pdf</t>
  </si>
  <si>
    <t>Melting_Curves/meltCurve_Q53EL6_2_PDCD4.pdf</t>
  </si>
  <si>
    <t>Melting_Curves/meltCurve_Q53EU6_AGPAT9.pdf</t>
  </si>
  <si>
    <t>Melting_Curves/meltCurve_Q53F19_C17orf85.pdf</t>
  </si>
  <si>
    <t>Melting_Curves/meltCurve_Q53FA7_TP53I3.pdf</t>
  </si>
  <si>
    <t>Melting_Curves/meltCurve_Q53FT3_C11orf73.pdf</t>
  </si>
  <si>
    <t>Melting_Curves/meltCurve_Q53GG5_2_PDLIM3.pdf</t>
  </si>
  <si>
    <t>Melting_Curves/meltCurve_Q53GQ0_HSD17B12.pdf</t>
  </si>
  <si>
    <t>Melting_Curves/meltCurve_Q53H12_AGK.pdf</t>
  </si>
  <si>
    <t>Melting_Curves/meltCurve_Q53H47_SETMAR.pdf</t>
  </si>
  <si>
    <t>Melting_Curves/meltCurve_Q53H82_LACTB2.pdf</t>
  </si>
  <si>
    <t>Melting_Curves/meltCurve_Q53H96_PYCRL.pdf</t>
  </si>
  <si>
    <t>Melting_Curves/meltCurve_Q53HC9_TSSC1.pdf</t>
  </si>
  <si>
    <t>Melting_Curves/meltCurve_Q53HV7_SMUG1.pdf</t>
  </si>
  <si>
    <t>Melting_Curves/meltCurve_Q53LP3_SOWAHC.pdf</t>
  </si>
  <si>
    <t>Melting_Curves/meltCurve_Q53R41_FASTKD1.pdf</t>
  </si>
  <si>
    <t>Melting_Curves/meltCurve_Q53RT3_ASPRV1.pdf</t>
  </si>
  <si>
    <t>Melting_Curves/meltCurve_Q53S33_BOLA3.pdf</t>
  </si>
  <si>
    <t>Melting_Curves/meltCurve_Q53SF7_4_COBLL1.pdf</t>
  </si>
  <si>
    <t>Melting_Curves/meltCurve_Q53T59_HS1BP3.pdf</t>
  </si>
  <si>
    <t>Melting_Curves/meltCurve_Q562F6_2_SGOL2.pdf</t>
  </si>
  <si>
    <t>Melting_Curves/meltCurve_Q56VL3_OCIAD2.pdf</t>
  </si>
  <si>
    <t>Melting_Curves/meltCurve_Q587I9_SFT2D3.pdf</t>
  </si>
  <si>
    <t>Melting_Curves/meltCurve_Q587J8_KHDC3L.pdf</t>
  </si>
  <si>
    <t>Melting_Curves/meltCurve_Q58FF8_HSP90AB2P.pdf</t>
  </si>
  <si>
    <t>Melting_Curves/meltCurve_Q58FG1_HSP90AA4P.pdf</t>
  </si>
  <si>
    <t>Melting_Curves/meltCurve_Q58WW2_DCAF6.pdf</t>
  </si>
  <si>
    <t>Melting_Curves/meltCurve_Q59GN2_RPL39P5.pdf</t>
  </si>
  <si>
    <t>Melting_Curves/meltCurve_Q5BJF2_TMEM97.pdf</t>
  </si>
  <si>
    <t>Melting_Curves/meltCurve_Q5BKU9_OXLD1.pdf</t>
  </si>
  <si>
    <t>Melting_Curves/meltCurve_Q5BKX5_C19orf54.pdf</t>
  </si>
  <si>
    <t>Melting_Curves/meltCurve_Q5BKZ1_ZNF326.pdf</t>
  </si>
  <si>
    <t>Melting_Curves/meltCurve_Q5EBL8_PDZD11.pdf</t>
  </si>
  <si>
    <t>Melting_Curves/meltCurve_Q5F1R6_DNAJC21.pdf</t>
  </si>
  <si>
    <t>Melting_Curves/meltCurve_Q5GFL6_VWA2.pdf</t>
  </si>
  <si>
    <t>Melting_Curves/meltCurve_Q5GLZ8_3_HERC4.pdf</t>
  </si>
  <si>
    <t>Melting_Curves/meltCurve_Q5H8X8_UTS2.pdf</t>
  </si>
  <si>
    <t>Melting_Curves/meltCurve_Q5HY62_CXorf40B.pdf</t>
  </si>
  <si>
    <t>Melting_Curves/meltCurve_Q5HYI7_MTX3.pdf</t>
  </si>
  <si>
    <t>Melting_Curves/meltCurve_Q5HYI8_RABL3.pdf</t>
  </si>
  <si>
    <t>Melting_Curves/meltCurve_Q5HYK3_COQ5.pdf</t>
  </si>
  <si>
    <t>Melting_Curves/meltCurve_Q5HYK7_2_SH3D19.pdf</t>
  </si>
  <si>
    <t>Melting_Curves/meltCurve_Q5JP53_TUBB.pdf</t>
  </si>
  <si>
    <t>Melting_Curves/meltCurve_Q5JPE7_2_NOMO2.pdf</t>
  </si>
  <si>
    <t>Melting_Curves/meltCurve_Q5JPH6_EARS2.pdf</t>
  </si>
  <si>
    <t>Melting_Curves/meltCurve_Q5JQQ2_DPCD.pdf</t>
  </si>
  <si>
    <t>Melting_Curves/meltCurve_Q5JR08_RHOC.pdf</t>
  </si>
  <si>
    <t>Melting_Curves/meltCurve_Q5JR12_2_PPM1J.pdf</t>
  </si>
  <si>
    <t>Melting_Curves/meltCurve_Q5JRA6_MIA3.pdf</t>
  </si>
  <si>
    <t>Melting_Curves/meltCurve_Q5JRG1_NUPL1.pdf</t>
  </si>
  <si>
    <t>Melting_Curves/meltCurve_Q5JRI1_SRSF10.pdf</t>
  </si>
  <si>
    <t>Melting_Curves/meltCurve_Q5JRX3_PITRM1.pdf</t>
  </si>
  <si>
    <t>Melting_Curves/meltCurve_Q5JS37_NHLRC3.pdf</t>
  </si>
  <si>
    <t>Melting_Curves/meltCurve_Q5JS54_PSMG4.pdf</t>
  </si>
  <si>
    <t>Melting_Curves/meltCurve_Q5JSH3_2_WDR44.pdf</t>
  </si>
  <si>
    <t>Melting_Curves/meltCurve_Q5JSL0_HMGN5.pdf</t>
  </si>
  <si>
    <t>Melting_Curves/meltCurve_Q5JSZ5_PRRC2B.pdf</t>
  </si>
  <si>
    <t>Melting_Curves/meltCurve_Q5JTD0_2_TJAP1.pdf</t>
  </si>
  <si>
    <t>Melting_Curves/meltCurve_Q5JTH9_2_RRP12.pdf</t>
  </si>
  <si>
    <t>Melting_Curves/meltCurve_Q5JTJ3_3_COA6.pdf</t>
  </si>
  <si>
    <t>Melting_Curves/meltCurve_Q5JTV1_GMEB2.pdf</t>
  </si>
  <si>
    <t>Melting_Curves/meltCurve_Q5JTV8_TOR1AIP1.pdf</t>
  </si>
  <si>
    <t>Melting_Curves/meltCurve_Q5JTZ9_AARS2.pdf</t>
  </si>
  <si>
    <t>Melting_Curves/meltCurve_Q5JU69_TOR2A.pdf</t>
  </si>
  <si>
    <t>Melting_Curves/meltCurve_Q5JUE6_RAPGEF1.pdf</t>
  </si>
  <si>
    <t>Melting_Curves/meltCurve_Q5JUR7_TEX30.pdf</t>
  </si>
  <si>
    <t>Melting_Curves/meltCurve_Q5JUW8_DLG3.pdf</t>
  </si>
  <si>
    <t>Melting_Curves/meltCurve_Q5JV73_FRMPD3.pdf</t>
  </si>
  <si>
    <t>Melting_Curves/meltCurve_Q5JVF3_3_PCID2.pdf</t>
  </si>
  <si>
    <t>Melting_Curves/meltCurve_Q5JVS0_HABP4.pdf</t>
  </si>
  <si>
    <t>Melting_Curves/meltCurve_Q5JVZ5_ELMO2.pdf</t>
  </si>
  <si>
    <t>Melting_Curves/meltCurve_Q5JW30_STAU1.pdf</t>
  </si>
  <si>
    <t>Melting_Curves/meltCurve_Q5JWB9_TMEM230.pdf</t>
  </si>
  <si>
    <t>Melting_Curves/meltCurve_Q5JWT2_MED23.pdf</t>
  </si>
  <si>
    <t>Melting_Curves/meltCurve_Q5JXX2_MORF4L2.pdf</t>
  </si>
  <si>
    <t>Melting_Curves/meltCurve_Q5JY65_CRNKL1.pdf</t>
  </si>
  <si>
    <t>Melting_Curves/meltCurve_Q5K4L6_SLC27A3.pdf</t>
  </si>
  <si>
    <t>Melting_Curves/meltCurve_Q5M775_SPECC1.pdf</t>
  </si>
  <si>
    <t>Melting_Curves/meltCurve_Q5M8T2_SLC35D3.pdf</t>
  </si>
  <si>
    <t>Melting_Curves/meltCurve_Q5MIZ7_3_SMEK2.pdf</t>
  </si>
  <si>
    <t>Melting_Curves/meltCurve_Q5MNZ6_WDR45B.pdf</t>
  </si>
  <si>
    <t>Melting_Curves/meltCurve_Q5MNZ9_2_WIPI1.pdf</t>
  </si>
  <si>
    <t>Melting_Curves/meltCurve_Q5NDL2_EOGT.pdf</t>
  </si>
  <si>
    <t>Melting_Curves/meltCurve_Q5QJE6_DNTTIP2.pdf</t>
  </si>
  <si>
    <t>Melting_Curves/meltCurve_Q5QNY5_PEX19.pdf</t>
  </si>
  <si>
    <t>Melting_Curves/meltCurve_Q5QNZ2_ATP5F1.pdf</t>
  </si>
  <si>
    <t>Melting_Curves/meltCurve_Q5QP56_BCL2L1.pdf</t>
  </si>
  <si>
    <t>Melting_Curves/meltCurve_Q5QPK2_DPM1.pdf</t>
  </si>
  <si>
    <t>Melting_Curves/meltCurve_Q5QPL9_RALY.pdf</t>
  </si>
  <si>
    <t>Melting_Curves/meltCurve_Q5QPM7_PSMF1.pdf</t>
  </si>
  <si>
    <t>Melting_Curves/meltCurve_Q5R372_4_RABGAP1L.pdf</t>
  </si>
  <si>
    <t>Melting_Curves/meltCurve_Q5R3A8_FYN.pdf</t>
  </si>
  <si>
    <t>Melting_Curves/meltCurve_Q5R3B4_MPC2.pdf</t>
  </si>
  <si>
    <t>Melting_Curves/meltCurve_Q5RI15_COX20.pdf</t>
  </si>
  <si>
    <t>Melting_Curves/meltCurve_Q5RKV6_EXOSC6.pdf</t>
  </si>
  <si>
    <t>Melting_Curves/meltCurve_Q5SPY9_NPDC1.pdf</t>
  </si>
  <si>
    <t>Melting_Curves/meltCurve_Q5SQI0_5_ATAT1.pdf</t>
  </si>
  <si>
    <t>Melting_Curves/meltCurve_Q5SR54_CLSTN1.pdf</t>
  </si>
  <si>
    <t>Melting_Curves/meltCurve_Q5SR56_HIATL1.pdf</t>
  </si>
  <si>
    <t>Melting_Curves/meltCurve_Q5SRE5_NUP188.pdf</t>
  </si>
  <si>
    <t>Melting_Curves/meltCurve_Q5SRI9_MANEA.pdf</t>
  </si>
  <si>
    <t>Melting_Curves/meltCurve_Q5SRQ6_CSNK2B.pdf</t>
  </si>
  <si>
    <t>Melting_Curves/meltCurve_Q5SSJ5_HP1BP3.pdf</t>
  </si>
  <si>
    <t>Melting_Curves/meltCurve_Q5ST30_VARS2.pdf</t>
  </si>
  <si>
    <t>Melting_Curves/meltCurve_Q5SVS4_SLC25A30.pdf</t>
  </si>
  <si>
    <t>Melting_Curves/meltCurve_Q5SW79_CEP170.pdf</t>
  </si>
  <si>
    <t>Melting_Curves/meltCurve_Q5SWX3_CAMK2G.pdf</t>
  </si>
  <si>
    <t>Melting_Curves/meltCurve_Q5SWX8_4_ODR4.pdf</t>
  </si>
  <si>
    <t>Melting_Curves/meltCurve_Q5SX86_GDI2.pdf</t>
  </si>
  <si>
    <t>Melting_Curves/meltCurve_Q5SXM2_SNAPC4.pdf</t>
  </si>
  <si>
    <t>Melting_Curves/meltCurve_Q5SXM8_DNLZ.pdf</t>
  </si>
  <si>
    <t>Melting_Curves/meltCurve_Q5SYE7_2_NHSL1.pdf</t>
  </si>
  <si>
    <t>Melting_Curves/meltCurve_Q5SZ64_SF3B4.pdf</t>
  </si>
  <si>
    <t>Melting_Curves/meltCurve_Q5SZE2_CERS2.pdf</t>
  </si>
  <si>
    <t>Melting_Curves/meltCurve_Q5SZR4_TDRKH.pdf</t>
  </si>
  <si>
    <t>Melting_Curves/meltCurve_Q5T085_AMY1B.pdf</t>
  </si>
  <si>
    <t>Melting_Curves/meltCurve_Q5T0D9_TPRG1L.pdf</t>
  </si>
  <si>
    <t>Melting_Curves/meltCurve_Q5T0N5_3_FNBP1L.pdf</t>
  </si>
  <si>
    <t>Melting_Curves/meltCurve_Q5T0Q6_DPYSL4.pdf</t>
  </si>
  <si>
    <t>Melting_Curves/meltCurve_Q5T0Z8_C6orf132.pdf</t>
  </si>
  <si>
    <t>Melting_Curves/meltCurve_Q5T123_SH3BGRL3.pdf</t>
  </si>
  <si>
    <t>Melting_Curves/meltCurve_Q5T160_RARS2.pdf</t>
  </si>
  <si>
    <t>Melting_Curves/meltCurve_Q5T171_PYGO2.pdf</t>
  </si>
  <si>
    <t>Melting_Curves/meltCurve_Q5T1M5_FKBP15.pdf</t>
  </si>
  <si>
    <t>Melting_Curves/meltCurve_Q5T1V6_DDX59.pdf</t>
  </si>
  <si>
    <t>Melting_Curves/meltCurve_Q5T1Z4_PUM1.pdf</t>
  </si>
  <si>
    <t>Melting_Curves/meltCurve_Q5T200_ZC3H13.pdf</t>
  </si>
  <si>
    <t>Melting_Curves/meltCurve_Q5T266_ZDHHC12.pdf</t>
  </si>
  <si>
    <t>Melting_Curves/meltCurve_Q5T280_C9orf114.pdf</t>
  </si>
  <si>
    <t>Melting_Curves/meltCurve_Q5T2E6_C10orf76.pdf</t>
  </si>
  <si>
    <t>Melting_Curves/meltCurve_Q5T2R2_3_PDSS1.pdf</t>
  </si>
  <si>
    <t>Melting_Curves/meltCurve_Q5T2W9_C1orf159.pdf</t>
  </si>
  <si>
    <t>Melting_Curves/meltCurve_Q5T2Z0_PSRC1.pdf</t>
  </si>
  <si>
    <t>Melting_Curves/meltCurve_Q5T3F8_TMEM63B.pdf</t>
  </si>
  <si>
    <t>Melting_Curves/meltCurve_Q5T3U5_2_ABCC10.pdf</t>
  </si>
  <si>
    <t>Melting_Curves/meltCurve_Q5T440_IBA57.pdf</t>
  </si>
  <si>
    <t>Melting_Curves/meltCurve_Q5T4F4_7_ZFYVE27.pdf</t>
  </si>
  <si>
    <t>Melting_Curves/meltCurve_Q5T4S7_3_UBR4.pdf</t>
  </si>
  <si>
    <t>Melting_Curves/meltCurve_Q5T4U5_ACADM.pdf</t>
  </si>
  <si>
    <t>Melting_Curves/meltCurve_Q5T5C0_3_STXBP5.pdf</t>
  </si>
  <si>
    <t>Melting_Curves/meltCurve_Q5T5P2_KIAA1217.pdf</t>
  </si>
  <si>
    <t>Melting_Curves/meltCurve_Q5T5U3_ARHGAP21.pdf</t>
  </si>
  <si>
    <t>Melting_Curves/meltCurve_Q5T5Y3_2_CAMSAP1.pdf</t>
  </si>
  <si>
    <t>Melting_Curves/meltCurve_Q5T6F2_UBAP2.pdf</t>
  </si>
  <si>
    <t>Melting_Curves/meltCurve_Q5T6N4_ABLIM1.pdf</t>
  </si>
  <si>
    <t>Melting_Curves/meltCurve_Q5T6V5_C9orf64.pdf</t>
  </si>
  <si>
    <t>Melting_Curves/meltCurve_Q5T750_XP32.pdf</t>
  </si>
  <si>
    <t>Melting_Curves/meltCurve_Q5T7M9_FAM69A.pdf</t>
  </si>
  <si>
    <t>Melting_Curves/meltCurve_Q5T7V8_GORAB.pdf</t>
  </si>
  <si>
    <t>Melting_Curves/meltCurve_Q5T8D3_4_ACBD5.pdf</t>
  </si>
  <si>
    <t>Melting_Curves/meltCurve_Q5T8I0_COX6A1P2.pdf</t>
  </si>
  <si>
    <t>Melting_Curves/meltCurve_Q5T8P6_RBM26.pdf</t>
  </si>
  <si>
    <t>Melting_Curves/meltCurve_Q5T8U5_SURF4.pdf</t>
  </si>
  <si>
    <t>Melting_Curves/meltCurve_Q5T9B7_AK1.pdf</t>
  </si>
  <si>
    <t>Melting_Curves/meltCurve_Q5T9C2_2_FAM102A.pdf</t>
  </si>
  <si>
    <t>Melting_Curves/meltCurve_Q5TA45_3_CPSF3L.pdf</t>
  </si>
  <si>
    <t>Melting_Curves/meltCurve_Q5TA50_GLTPD1.pdf</t>
  </si>
  <si>
    <t>Melting_Curves/meltCurve_Q5TAX3_ZCCHC11.pdf</t>
  </si>
  <si>
    <t>Melting_Curves/meltCurve_Q5TBA9_FRY.pdf</t>
  </si>
  <si>
    <t>Melting_Curves/meltCurve_Q5TBB1_RNASEH2B.pdf</t>
  </si>
  <si>
    <t>Melting_Curves/meltCurve_Q5TBP5_TAF4.pdf</t>
  </si>
  <si>
    <t>Melting_Curves/meltCurve_Q5TCT4_RBM34.pdf</t>
  </si>
  <si>
    <t>Melting_Curves/meltCurve_Q5TD07_NQO2.pdf</t>
  </si>
  <si>
    <t>Melting_Curves/meltCurve_Q5TDC5_C6orf89.pdf</t>
  </si>
  <si>
    <t>Melting_Curves/meltCurve_Q5TDG9_DNAJC16.pdf</t>
  </si>
  <si>
    <t>Melting_Curves/meltCurve_Q5TDH0_DDI2.pdf</t>
  </si>
  <si>
    <t>Melting_Curves/meltCurve_Q5TEU4_2_NDUFAF5.pdf</t>
  </si>
  <si>
    <t>Melting_Curves/meltCurve_Q5TFE4_NT5DC1.pdf</t>
  </si>
  <si>
    <t>Melting_Curves/meltCurve_Q5TH58_C6orf106.pdf</t>
  </si>
  <si>
    <t>Melting_Curves/meltCurve_Q5TH69_ARFGEF3.pdf</t>
  </si>
  <si>
    <t>Melting_Curves/meltCurve_Q5THJ1_PRDM2.pdf</t>
  </si>
  <si>
    <t>Melting_Curves/meltCurve_Q5THK1_3_PRR14L.pdf</t>
  </si>
  <si>
    <t>Melting_Curves/meltCurve_Q5TIE1_SLC19A2.pdf</t>
  </si>
  <si>
    <t>Melting_Curves/meltCurve_Q5TZA2_CROCC.pdf</t>
  </si>
  <si>
    <t>Melting_Curves/meltCurve_Q5U5X0_LYRM7.pdf</t>
  </si>
  <si>
    <t>Melting_Curves/meltCurve_Q5UIP0_2_RIF1.pdf</t>
  </si>
  <si>
    <t>Melting_Curves/meltCurve_Q5VIR6_4_VPS53.pdf</t>
  </si>
  <si>
    <t>Melting_Curves/meltCurve_Q5VSL9_STRIP1.pdf</t>
  </si>
  <si>
    <t>Melting_Curves/meltCurve_Q5VST6_ABHD17B.pdf</t>
  </si>
  <si>
    <t>Melting_Curves/meltCurve_Q5VT06_CEP350.pdf</t>
  </si>
  <si>
    <t>Melting_Curves/meltCurve_Q5VT52_3_RPRD2.pdf</t>
  </si>
  <si>
    <t>Melting_Curves/meltCurve_Q5VT66_MARC1.pdf</t>
  </si>
  <si>
    <t>Melting_Curves/meltCurve_Q5VT94_GHITM.pdf</t>
  </si>
  <si>
    <t>Melting_Curves/meltCurve_Q5VTL8_PRPF38B.pdf</t>
  </si>
  <si>
    <t>Melting_Curves/meltCurve_Q5VTQ0_2_TTC39B.pdf</t>
  </si>
  <si>
    <t>Melting_Curves/meltCurve_Q5VTR2_RNF20.pdf</t>
  </si>
  <si>
    <t>Melting_Curves/meltCurve_Q5VTU3_DYNLT1.pdf</t>
  </si>
  <si>
    <t>Melting_Curves/meltCurve_Q5VTZ4_ATF3.pdf</t>
  </si>
  <si>
    <t>Melting_Curves/meltCurve_Q5VU58_TPM3.pdf</t>
  </si>
  <si>
    <t>Melting_Curves/meltCurve_Q5VUA4_ZNF318.pdf</t>
  </si>
  <si>
    <t>Melting_Curves/meltCurve_Q5VUE5_C1orf53.pdf</t>
  </si>
  <si>
    <t>Melting_Curves/meltCurve_Q5VUM1_C6orf57.pdf</t>
  </si>
  <si>
    <t>Melting_Curves/meltCurve_Q5VV41_ARHGEF16.pdf</t>
  </si>
  <si>
    <t>Melting_Curves/meltCurve_Q5VV42_CDKAL1.pdf</t>
  </si>
  <si>
    <t>Melting_Curves/meltCurve_Q5VV50_ZNF691.pdf</t>
  </si>
  <si>
    <t>Melting_Curves/meltCurve_Q5VV87_MGST3.pdf</t>
  </si>
  <si>
    <t>Melting_Curves/meltCurve_Q5VVJ2_2_MYSM1.pdf</t>
  </si>
  <si>
    <t>Melting_Curves/meltCurve_Q5VVQ6_2_YOD1.pdf</t>
  </si>
  <si>
    <t>Melting_Curves/meltCurve_Q5VW27_NFIB.pdf</t>
  </si>
  <si>
    <t>Melting_Curves/meltCurve_Q5VW32_BROX.pdf</t>
  </si>
  <si>
    <t>Melting_Curves/meltCurve_Q5VW36_FOCAD.pdf</t>
  </si>
  <si>
    <t>Melting_Curves/meltCurve_Q5VW52_GPAM.pdf</t>
  </si>
  <si>
    <t>Melting_Curves/meltCurve_Q5VWJ9_SNX30.pdf</t>
  </si>
  <si>
    <t>Melting_Curves/meltCurve_Q5VWP2_FAM46C.pdf</t>
  </si>
  <si>
    <t>Melting_Curves/meltCurve_Q5VWQ0_RSBN1.pdf</t>
  </si>
  <si>
    <t>Melting_Curves/meltCurve_Q5VWQ8_2_DAB2IP.pdf</t>
  </si>
  <si>
    <t>Melting_Curves/meltCurve_Q5VWV2_PARD3.pdf</t>
  </si>
  <si>
    <t>Melting_Curves/meltCurve_Q5VWZ2_LYPLAL1.pdf</t>
  </si>
  <si>
    <t>Melting_Curves/meltCurve_Q5VY93_ARHGEF2.pdf</t>
  </si>
  <si>
    <t>Melting_Curves/meltCurve_Q5VYS8_6_ZCCHC6.pdf</t>
  </si>
  <si>
    <t>Melting_Curves/meltCurve_Q5VYX0_2_RNLS.pdf</t>
  </si>
  <si>
    <t>Melting_Curves/meltCurve_Q5VZE5_NAA35.pdf</t>
  </si>
  <si>
    <t>Melting_Curves/meltCurve_Q5VZK9_LRRC16A.pdf</t>
  </si>
  <si>
    <t>Melting_Curves/meltCurve_Q5W0A2_ITM2B.pdf</t>
  </si>
  <si>
    <t>Melting_Curves/meltCurve_Q5W0U4_BSPRY.pdf</t>
  </si>
  <si>
    <t>Melting_Curves/meltCurve_Q5W0V3_FAM160B1.pdf</t>
  </si>
  <si>
    <t>Melting_Curves/meltCurve_Q5W0Z9_3_ZDHHC20.pdf</t>
  </si>
  <si>
    <t>Melting_Curves/meltCurve_Q5W111_SPRYD7.pdf</t>
  </si>
  <si>
    <t>Melting_Curves/meltCurve_Q5W125_NMRK1.pdf</t>
  </si>
  <si>
    <t>Melting_Curves/meltCurve_Q5W145_NDUFB8.pdf</t>
  </si>
  <si>
    <t>Melting_Curves/meltCurve_Q5W1L7_SLC35A1.pdf</t>
  </si>
  <si>
    <t>Melting_Curves/meltCurve_Q5XKP0_QIL1.pdf</t>
  </si>
  <si>
    <t>Melting_Curves/meltCurve_Q5XUX1_3_FBXW9.pdf</t>
  </si>
  <si>
    <t>Melting_Curves/meltCurve_Q5ZPR3_CD276.pdf</t>
  </si>
  <si>
    <t>Melting_Curves/meltCurve_Q63HN8_RNF213.pdf</t>
  </si>
  <si>
    <t>Melting_Curves/meltCurve_Q63HQ0_AP1AR.pdf</t>
  </si>
  <si>
    <t>Melting_Curves/meltCurve_Q641Q2_FAM21A.pdf</t>
  </si>
  <si>
    <t>Melting_Curves/meltCurve_Q643R3_LPCAT4.pdf</t>
  </si>
  <si>
    <t>Melting_Curves/meltCurve_Q658Y4_FAM91A1.pdf</t>
  </si>
  <si>
    <t>Melting_Curves/meltCurve_Q659C4_LARP1B.pdf</t>
  </si>
  <si>
    <t>Melting_Curves/meltCurve_Q66K14_2_TBC1D9B.pdf</t>
  </si>
  <si>
    <t>Melting_Curves/meltCurve_Q66PJ3_ARL6IP4.pdf</t>
  </si>
  <si>
    <t>Melting_Curves/meltCurve_Q66S35_PFKFB4.pdf</t>
  </si>
  <si>
    <t>Melting_Curves/meltCurve_Q68CP9_3_ARID2.pdf</t>
  </si>
  <si>
    <t>Melting_Curves/meltCurve_Q68CQ4_DIEXF.pdf</t>
  </si>
  <si>
    <t>Melting_Curves/meltCurve_Q68D10_SPTY2D1.pdf</t>
  </si>
  <si>
    <t>Melting_Curves/meltCurve_Q68D91_MBLAC2.pdf</t>
  </si>
  <si>
    <t>Melting_Curves/meltCurve_Q68DH5_LMBRD2.pdf</t>
  </si>
  <si>
    <t>Melting_Curves/meltCurve_Q68E01_2_INTS3.pdf</t>
  </si>
  <si>
    <t>Melting_Curves/meltCurve_Q68EM7_2_ARHGAP17.pdf</t>
  </si>
  <si>
    <t>Melting_Curves/meltCurve_Q69YL0_.pdf</t>
  </si>
  <si>
    <t>Melting_Curves/meltCurve_Q69YN2_CWF19L1.pdf</t>
  </si>
  <si>
    <t>Melting_Curves/meltCurve_Q69YN4_KIAA1429.pdf</t>
  </si>
  <si>
    <t>Melting_Curves/meltCurve_Q69YQ0_2_SPECC1L.pdf</t>
  </si>
  <si>
    <t>Melting_Curves/meltCurve_Q69YU5_C12orf73.pdf</t>
  </si>
  <si>
    <t>Melting_Curves/meltCurve_Q6BDS2_UHRF1BP1.pdf</t>
  </si>
  <si>
    <t>Melting_Curves/meltCurve_Q6DD87_ZNF787.pdf</t>
  </si>
  <si>
    <t>Melting_Curves/meltCurve_Q6DD88_ATL3.pdf</t>
  </si>
  <si>
    <t>Melting_Curves/meltCurve_Q6DHV7_3_ADAL.pdf</t>
  </si>
  <si>
    <t>Melting_Curves/meltCurve_Q6DKK2_TTC19.pdf</t>
  </si>
  <si>
    <t>Melting_Curves/meltCurve_Q6DT37_CDC42BPG.pdf</t>
  </si>
  <si>
    <t>Melting_Curves/meltCurve_Q6EEV4_2_POLR2M.pdf</t>
  </si>
  <si>
    <t>Melting_Curves/meltCurve_Q6EMK4_VASN.pdf</t>
  </si>
  <si>
    <t>Melting_Curves/meltCurve_Q6FI81_3_CIAPIN1.pdf</t>
  </si>
  <si>
    <t>Melting_Curves/meltCurve_Q6FIF0_2_ZFAND6.pdf</t>
  </si>
  <si>
    <t>Melting_Curves/meltCurve_Q6GMV2_SMYD5.pdf</t>
  </si>
  <si>
    <t>Melting_Curves/meltCurve_Q6GMV3_PTRHD1.pdf</t>
  </si>
  <si>
    <t>Melting_Curves/meltCurve_Q6GQQ9_OTUD7B.pdf</t>
  </si>
  <si>
    <t>Melting_Curves/meltCurve_Q6GYA4_SELS.pdf</t>
  </si>
  <si>
    <t>Melting_Curves/meltCurve_Q6GYQ0_4_RALGAPA1.pdf</t>
  </si>
  <si>
    <t>Melting_Curves/meltCurve_Q6H9L7_5_ISM2.pdf</t>
  </si>
  <si>
    <t>Melting_Curves/meltCurve_Q6I9Y2_THOC7.pdf</t>
  </si>
  <si>
    <t>Melting_Curves/meltCurve_Q6IA17_SIGIRR.pdf</t>
  </si>
  <si>
    <t>Melting_Curves/meltCurve_Q6IA69_NADSYN1.pdf</t>
  </si>
  <si>
    <t>Melting_Curves/meltCurve_Q6IA86_5_ELP2.pdf</t>
  </si>
  <si>
    <t>Melting_Curves/meltCurve_Q6IAA8_LAMTOR1.pdf</t>
  </si>
  <si>
    <t>Melting_Curves/meltCurve_Q6IAN0_DHRS7B.pdf</t>
  </si>
  <si>
    <t>Melting_Curves/meltCurve_Q6IBS0_TWF2.pdf</t>
  </si>
  <si>
    <t>Melting_Curves/meltCurve_Q6IBW4_2_NCAPH2.pdf</t>
  </si>
  <si>
    <t>Melting_Curves/meltCurve_Q6ICB0_DESI1.pdf</t>
  </si>
  <si>
    <t>Melting_Curves/meltCurve_Q6ICG6_KIAA0930.pdf</t>
  </si>
  <si>
    <t>Melting_Curves/meltCurve_Q6ICJ4_Em_AP000351_3.pdf</t>
  </si>
  <si>
    <t>Melting_Curves/meltCurve_Q6IN84_MRM1.pdf</t>
  </si>
  <si>
    <t>Melting_Curves/meltCurve_Q6IN85_SMEK1.pdf</t>
  </si>
  <si>
    <t>Melting_Curves/meltCurve_Q6IPR3_TYW3.pdf</t>
  </si>
  <si>
    <t>Melting_Curves/meltCurve_Q6IQ22_RAB12.pdf</t>
  </si>
  <si>
    <t>Melting_Curves/meltCurve_Q6IQ49_3_SDE2.pdf</t>
  </si>
  <si>
    <t>Melting_Curves/meltCurve_Q6ISB3_GRHL2.pdf</t>
  </si>
  <si>
    <t>Melting_Curves/meltCurve_Q6JHV3_USP3.pdf</t>
  </si>
  <si>
    <t>Melting_Curves/meltCurve_Q6JQN1_ACAD10.pdf</t>
  </si>
  <si>
    <t>Melting_Curves/meltCurve_Q6KC79_2_NIPBL.pdf</t>
  </si>
  <si>
    <t>Melting_Curves/meltCurve_Q6KCM7_2_SLC25A25.pdf</t>
  </si>
  <si>
    <t>Melting_Curves/meltCurve_Q6L8Q7_2_PDE12.pdf</t>
  </si>
  <si>
    <t>Melting_Curves/meltCurve_Q6MZP7_4_LIN54.pdf</t>
  </si>
  <si>
    <t>Melting_Curves/meltCurve_Q6N043_2_ZNF280D.pdf</t>
  </si>
  <si>
    <t>Melting_Curves/meltCurve_Q6N063_OGFOD2.pdf</t>
  </si>
  <si>
    <t>Melting_Curves/meltCurve_Q6N069_NAA16.pdf</t>
  </si>
  <si>
    <t>Melting_Curves/meltCurve_Q6NSJ0_KIAA1161.pdf</t>
  </si>
  <si>
    <t>Melting_Curves/meltCurve_Q6NT16_SLC18B1.pdf</t>
  </si>
  <si>
    <t>Melting_Curves/meltCurve_Q6NTE8_C5orf45.pdf</t>
  </si>
  <si>
    <t>Melting_Curves/meltCurve_Q6NUK1_SLC25A24.pdf</t>
  </si>
  <si>
    <t>Melting_Curves/meltCurve_Q6NUK4_REEP3.pdf</t>
  </si>
  <si>
    <t>Melting_Curves/meltCurve_Q6NUM9_RETSAT.pdf</t>
  </si>
  <si>
    <t>Melting_Curves/meltCurve_Q6NUQ1_RINT1.pdf</t>
  </si>
  <si>
    <t>Melting_Curves/meltCurve_Q6NUQ4_2_TMEM214.pdf</t>
  </si>
  <si>
    <t>Melting_Curves/meltCurve_Q6NUS6_TCTN3.pdf</t>
  </si>
  <si>
    <t>Melting_Curves/meltCurve_Q6NV74_KIAA1211L.pdf</t>
  </si>
  <si>
    <t>Melting_Curves/meltCurve_Q6NVH7_SWSAP1.pdf</t>
  </si>
  <si>
    <t>Melting_Curves/meltCurve_Q6NVY1_HIBCH.pdf</t>
  </si>
  <si>
    <t>Melting_Curves/meltCurve_Q6NXS1_PPP1R2P3.pdf</t>
  </si>
  <si>
    <t>Melting_Curves/meltCurve_Q6NXT1_ANKRD54.pdf</t>
  </si>
  <si>
    <t>Melting_Curves/meltCurve_Q6NXT6_TAPT1.pdf</t>
  </si>
  <si>
    <t>Melting_Curves/meltCurve_Q6NYC1_JMJD6.pdf</t>
  </si>
  <si>
    <t>Melting_Curves/meltCurve_Q6NYC8_PPP1R18.pdf</t>
  </si>
  <si>
    <t>Melting_Curves/meltCurve_Q6NZI2_PTRF.pdf</t>
  </si>
  <si>
    <t>Melting_Curves/meltCurve_Q6NZY4_ZCCHC8.pdf</t>
  </si>
  <si>
    <t>Melting_Curves/meltCurve_Q6P087_2_RPUSD3.pdf</t>
  </si>
  <si>
    <t>Melting_Curves/meltCurve_Q6P161_MRPL54.pdf</t>
  </si>
  <si>
    <t>Melting_Curves/meltCurve_Q6P179_3_ERAP2.pdf</t>
  </si>
  <si>
    <t>Melting_Curves/meltCurve_Q6P1J9_CDC73.pdf</t>
  </si>
  <si>
    <t>Melting_Curves/meltCurve_Q6P1K2_4_PMF1.pdf</t>
  </si>
  <si>
    <t>Melting_Curves/meltCurve_Q6P1L5_FAM117B.pdf</t>
  </si>
  <si>
    <t>Melting_Curves/meltCurve_Q6P1L8_MRPL14.pdf</t>
  </si>
  <si>
    <t>Melting_Curves/meltCurve_Q6P1M0_SLC27A4.pdf</t>
  </si>
  <si>
    <t>Melting_Curves/meltCurve_Q6P1N0_CC2D1A.pdf</t>
  </si>
  <si>
    <t>Melting_Curves/meltCurve_Q6P1Q9_METTL2B.pdf</t>
  </si>
  <si>
    <t>Melting_Curves/meltCurve_Q6P1R4_DUS1L.pdf</t>
  </si>
  <si>
    <t>Melting_Curves/meltCurve_Q6P1X5_TAF2.pdf</t>
  </si>
  <si>
    <t>Melting_Curves/meltCurve_Q6P1X6_C8orf82.pdf</t>
  </si>
  <si>
    <t>Melting_Curves/meltCurve_Q6P275_STAG1.pdf</t>
  </si>
  <si>
    <t>Melting_Curves/meltCurve_Q6P2E9_EDC4.pdf</t>
  </si>
  <si>
    <t>Melting_Curves/meltCurve_Q6P2H3_2_CEP85.pdf</t>
  </si>
  <si>
    <t>Melting_Curves/meltCurve_Q6P2I3_FAHD2B.pdf</t>
  </si>
  <si>
    <t>Melting_Curves/meltCurve_Q6P2P2_PRMT10.pdf</t>
  </si>
  <si>
    <t>Melting_Curves/meltCurve_Q6P2Q9_PRPF8.pdf</t>
  </si>
  <si>
    <t>Melting_Curves/meltCurve_Q6P3S6_FBXO42.pdf</t>
  </si>
  <si>
    <t>Melting_Curves/meltCurve_Q6P3W7_SCYL2.pdf</t>
  </si>
  <si>
    <t>Melting_Curves/meltCurve_Q6P3X3_TTC27.pdf</t>
  </si>
  <si>
    <t>Melting_Curves/meltCurve_Q6P4A7_SFXN4.pdf</t>
  </si>
  <si>
    <t>Melting_Curves/meltCurve_Q6P4A8_PLBD1.pdf</t>
  </si>
  <si>
    <t>Melting_Curves/meltCurve_Q6P4E1_CASC4.pdf</t>
  </si>
  <si>
    <t>Melting_Curves/meltCurve_Q6P4F2_FDX1L.pdf</t>
  </si>
  <si>
    <t>Melting_Curves/meltCurve_Q6P4I2_WDR73.pdf</t>
  </si>
  <si>
    <t>Melting_Curves/meltCurve_Q6P4R8_3_NFRKB.pdf</t>
  </si>
  <si>
    <t>Melting_Curves/meltCurve_Q6P582_MZT2A.pdf</t>
  </si>
  <si>
    <t>Melting_Curves/meltCurve_Q6P587_FAHD1.pdf</t>
  </si>
  <si>
    <t>Melting_Curves/meltCurve_Q6P6B7_2_ANKRD16.pdf</t>
  </si>
  <si>
    <t>Melting_Curves/meltCurve_Q6P6C2_ALKBH5.pdf</t>
  </si>
  <si>
    <t>Melting_Curves/meltCurve_Q6P988_NOTUM.pdf</t>
  </si>
  <si>
    <t>Melting_Curves/meltCurve_Q6PCB5_RSBN1L.pdf</t>
  </si>
  <si>
    <t>Melting_Curves/meltCurve_Q6PCB6_2_ABHD17C.pdf</t>
  </si>
  <si>
    <t>Melting_Curves/meltCurve_Q6PCE3_PGM2L1.pdf</t>
  </si>
  <si>
    <t>Melting_Curves/meltCurve_Q6PD62_CTR9.pdf</t>
  </si>
  <si>
    <t>Melting_Curves/meltCurve_Q6PD74_AAGAB.pdf</t>
  </si>
  <si>
    <t>Melting_Curves/meltCurve_Q6PGP7_TTC37.pdf</t>
  </si>
  <si>
    <t>Melting_Curves/meltCurve_Q6PH81_C16orf87.pdf</t>
  </si>
  <si>
    <t>Melting_Curves/meltCurve_Q6PI47_3_KCTD18.pdf</t>
  </si>
  <si>
    <t>Melting_Curves/meltCurve_Q6PI48_DARS2.pdf</t>
  </si>
  <si>
    <t>Melting_Curves/meltCurve_Q6PID6_TTC33.pdf</t>
  </si>
  <si>
    <t>Melting_Curves/meltCurve_Q6PII3_CCDC174.pdf</t>
  </si>
  <si>
    <t>Melting_Curves/meltCurve_Q6PII5_2_HAGHL.pdf</t>
  </si>
  <si>
    <t>Melting_Curves/meltCurve_Q6PIJ6_FBXO38.pdf</t>
  </si>
  <si>
    <t>Melting_Curves/meltCurve_Q6PIR0_CENPC1.pdf</t>
  </si>
  <si>
    <t>Melting_Curves/meltCurve_Q6PIW4_2_FIGNL1.pdf</t>
  </si>
  <si>
    <t>Melting_Curves/meltCurve_Q6PJ69_TRIM65.pdf</t>
  </si>
  <si>
    <t>Melting_Curves/meltCurve_Q6PJF5_2_RHBDF2.pdf</t>
  </si>
  <si>
    <t>Melting_Curves/meltCurve_Q6PJG6_BRAT1.pdf</t>
  </si>
  <si>
    <t>Melting_Curves/meltCurve_Q6PJI9_WDR59.pdf</t>
  </si>
  <si>
    <t>Melting_Curves/meltCurve_Q6PJT7_9_ZC3H14.pdf</t>
  </si>
  <si>
    <t>Melting_Curves/meltCurve_Q6PJZ0_RAB17.pdf</t>
  </si>
  <si>
    <t>Melting_Curves/meltCurve_Q6PKC3_2_TXNDC11.pdf</t>
  </si>
  <si>
    <t>Melting_Curves/meltCurve_Q6PKG0_LARP1.pdf</t>
  </si>
  <si>
    <t>Melting_Curves/meltCurve_Q6PL24_TMED8.pdf</t>
  </si>
  <si>
    <t>Melting_Curves/meltCurve_Q6PML9_SLC30A9.pdf</t>
  </si>
  <si>
    <t>Melting_Curves/meltCurve_Q6QHF9_4_PAOX.pdf</t>
  </si>
  <si>
    <t>Melting_Curves/meltCurve_Q6QNY0_BLOC1S3.pdf</t>
  </si>
  <si>
    <t>Melting_Curves/meltCurve_Q6QNY1_BLOC1S2.pdf</t>
  </si>
  <si>
    <t>Melting_Curves/meltCurve_Q6RFH5_2_WDR74.pdf</t>
  </si>
  <si>
    <t>Melting_Curves/meltCurve_Q6RW13_AGTRAP.pdf</t>
  </si>
  <si>
    <t>Melting_Curves/meltCurve_Q6S8J3_POTEE.pdf</t>
  </si>
  <si>
    <t>Melting_Curves/meltCurve_Q6SZW1_2_SARM1.pdf</t>
  </si>
  <si>
    <t>Melting_Curves/meltCurve_Q6UB28_METAP1D.pdf</t>
  </si>
  <si>
    <t>Melting_Curves/meltCurve_Q6UB35_MTHFD1L.pdf</t>
  </si>
  <si>
    <t>Melting_Curves/meltCurve_Q6UB98_2_ANKRD12.pdf</t>
  </si>
  <si>
    <t>Melting_Curves/meltCurve_Q6ULP2_5_AFTPH.pdf</t>
  </si>
  <si>
    <t>Melting_Curves/meltCurve_Q6UN15_FIP1L1.pdf</t>
  </si>
  <si>
    <t>Melting_Curves/meltCurve_Q6UUV9_3_CRTC1.pdf</t>
  </si>
  <si>
    <t>Melting_Curves/meltCurve_Q6UW56_ATRAID.pdf</t>
  </si>
  <si>
    <t>Melting_Curves/meltCurve_Q6UW63_KDELC1.pdf</t>
  </si>
  <si>
    <t>Melting_Curves/meltCurve_Q6UW78_C11orf83.pdf</t>
  </si>
  <si>
    <t>Melting_Curves/meltCurve_Q6UWE0_LRSAM1.pdf</t>
  </si>
  <si>
    <t>Melting_Curves/meltCurve_Q6UWP2_DHRS11.pdf</t>
  </si>
  <si>
    <t>Melting_Curves/meltCurve_Q6UWP7_3_LCLAT1.pdf</t>
  </si>
  <si>
    <t>Melting_Curves/meltCurve_Q6UWW0_LCN15.pdf</t>
  </si>
  <si>
    <t>Melting_Curves/meltCurve_Q6UX04_CWC27.pdf</t>
  </si>
  <si>
    <t>Melting_Curves/meltCurve_Q6UXD5_6_SEZ6L2.pdf</t>
  </si>
  <si>
    <t>Melting_Curves/meltCurve_Q6UXG2_2_KIAA1324.pdf</t>
  </si>
  <si>
    <t>Melting_Curves/meltCurve_Q6UXH1_5_CRELD2.pdf</t>
  </si>
  <si>
    <t>Melting_Curves/meltCurve_Q6UXN9_WDR82.pdf</t>
  </si>
  <si>
    <t>Melting_Curves/meltCurve_Q6UXV4_APOOL.pdf</t>
  </si>
  <si>
    <t>Melting_Curves/meltCurve_Q6W4X9_MUC6.pdf</t>
  </si>
  <si>
    <t>Melting_Curves/meltCurve_Q6WCQ1_2_MPRIP.pdf</t>
  </si>
  <si>
    <t>Melting_Curves/meltCurve_Q6WKZ4_RAB11FIP1.pdf</t>
  </si>
  <si>
    <t>Melting_Curves/meltCurve_Q6XQN6_NAPRT1.pdf</t>
  </si>
  <si>
    <t>Melting_Curves/meltCurve_Q6Y1H2_PTPLB.pdf</t>
  </si>
  <si>
    <t>Melting_Curves/meltCurve_Q6Y7W6_GIGYF2.pdf</t>
  </si>
  <si>
    <t>Melting_Curves/meltCurve_Q6YHK3_CD109.pdf</t>
  </si>
  <si>
    <t>Melting_Curves/meltCurve_Q6YHU6_3_THADA.pdf</t>
  </si>
  <si>
    <t>Melting_Curves/meltCurve_Q6YN16_HSDL2.pdf</t>
  </si>
  <si>
    <t>Melting_Curves/meltCurve_Q6YP21_3_CCBL2.pdf</t>
  </si>
  <si>
    <t>Melting_Curves/meltCurve_Q6ZMB5_TMEM184A.pdf</t>
  </si>
  <si>
    <t>Melting_Curves/meltCurve_Q6ZMG9_CERS6.pdf</t>
  </si>
  <si>
    <t>Melting_Curves/meltCurve_Q6ZMI0_PPP1R21.pdf</t>
  </si>
  <si>
    <t>Melting_Curves/meltCurve_Q6ZMP0_THSD4.pdf</t>
  </si>
  <si>
    <t>Melting_Curves/meltCurve_Q6ZMR3_LDHAL6A.pdf</t>
  </si>
  <si>
    <t>Melting_Curves/meltCurve_Q6ZN04_MEX3B.pdf</t>
  </si>
  <si>
    <t>Melting_Curves/meltCurve_Q6ZN17_2_LIN28B.pdf</t>
  </si>
  <si>
    <t>Melting_Curves/meltCurve_Q6ZNB6_NFXL1.pdf</t>
  </si>
  <si>
    <t>Melting_Curves/meltCurve_Q6ZNJ1_2_NBEAL2.pdf</t>
  </si>
  <si>
    <t>Melting_Curves/meltCurve_Q6ZNW5_GDPGP1.pdf</t>
  </si>
  <si>
    <t>Melting_Curves/meltCurve_Q6ZPD9_DPY19L3.pdf</t>
  </si>
  <si>
    <t>Melting_Curves/meltCurve_Q6ZRP7_QSOX2.pdf</t>
  </si>
  <si>
    <t>Melting_Curves/meltCurve_Q6ZRS2_2_SRCAP.pdf</t>
  </si>
  <si>
    <t>Melting_Curves/meltCurve_Q6ZS17_2_FAM65A.pdf</t>
  </si>
  <si>
    <t>Melting_Curves/meltCurve_Q6ZS30_NBEAL1.pdf</t>
  </si>
  <si>
    <t>Melting_Curves/meltCurve_Q6ZSJ8_C1orf122.pdf</t>
  </si>
  <si>
    <t>Melting_Curves/meltCurve_Q6ZSS7_MFSD6.pdf</t>
  </si>
  <si>
    <t>Melting_Curves/meltCurve_Q6ZT21_2_TMPPE.pdf</t>
  </si>
  <si>
    <t>Melting_Curves/meltCurve_Q6ZT62_SH3BP1.pdf</t>
  </si>
  <si>
    <t>Melting_Curves/meltCurve_Q6ZTQ3_4_RASSF6.pdf</t>
  </si>
  <si>
    <t>Melting_Curves/meltCurve_Q6ZUX7_LHFPL2.pdf</t>
  </si>
  <si>
    <t>Melting_Curves/meltCurve_Q6ZVF9_GPRIN3.pdf</t>
  </si>
  <si>
    <t>Melting_Curves/meltCurve_Q6ZVM7_2_TOM1L2.pdf</t>
  </si>
  <si>
    <t>Melting_Curves/meltCurve_Q6ZW13_C16orf86.pdf</t>
  </si>
  <si>
    <t>Melting_Curves/meltCurve_Q6ZW49_4_PAXIP1.pdf</t>
  </si>
  <si>
    <t>Melting_Curves/meltCurve_Q6ZXV5_2_TMTC3.pdf</t>
  </si>
  <si>
    <t>Melting_Curves/meltCurve_Q6ZYL4_GTF2H5.pdf</t>
  </si>
  <si>
    <t>Melting_Curves/meltCurve_Q709C8_3_VPS13C.pdf</t>
  </si>
  <si>
    <t>Melting_Curves/meltCurve_Q709F0_ACAD11.pdf</t>
  </si>
  <si>
    <t>Melting_Curves/meltCurve_Q70CQ2_USP34.pdf</t>
  </si>
  <si>
    <t>Melting_Curves/meltCurve_Q70IA6_MOB2.pdf</t>
  </si>
  <si>
    <t>Melting_Curves/meltCurve_Q70UQ0_IKBIP.pdf</t>
  </si>
  <si>
    <t>Melting_Curves/meltCurve_Q70UQ0_4_IKBIP.pdf</t>
  </si>
  <si>
    <t>Melting_Curves/meltCurve_Q70Z53_2_FRA10AC1.pdf</t>
  </si>
  <si>
    <t>Melting_Curves/meltCurve_Q712K3_UBE2R2.pdf</t>
  </si>
  <si>
    <t>Melting_Curves/meltCurve_Q71F56_MED13L.pdf</t>
  </si>
  <si>
    <t>Melting_Curves/meltCurve_Q71RC2_5_LARP4.pdf</t>
  </si>
  <si>
    <t>Melting_Curves/meltCurve_Q71SY5_5_MED25.pdf</t>
  </si>
  <si>
    <t>Melting_Curves/meltCurve_Q71UI9_H2AFV.pdf</t>
  </si>
  <si>
    <t>Melting_Curves/meltCurve_Q75QN2_2_INTS8.pdf</t>
  </si>
  <si>
    <t>Melting_Curves/meltCurve_Q765P7_MTSS1L.pdf</t>
  </si>
  <si>
    <t>Melting_Curves/meltCurve_Q7KYR7_5_BTN2A1.pdf</t>
  </si>
  <si>
    <t>Melting_Curves/meltCurve_Q7KZ85_SUPT6H.pdf</t>
  </si>
  <si>
    <t>Melting_Curves/meltCurve_Q7KZ85_2_SUPT6H.pdf</t>
  </si>
  <si>
    <t>Melting_Curves/meltCurve_Q7KZF4_SND1.pdf</t>
  </si>
  <si>
    <t>Melting_Curves/meltCurve_Q7KZN9_2_COX15.pdf</t>
  </si>
  <si>
    <t>Melting_Curves/meltCurve_Q7L014_DDX46.pdf</t>
  </si>
  <si>
    <t>Melting_Curves/meltCurve_Q7L099_4_RUFY3.pdf</t>
  </si>
  <si>
    <t>Melting_Curves/meltCurve_Q7L0Y3_TRMT10C.pdf</t>
  </si>
  <si>
    <t>Melting_Curves/meltCurve_Q7L1Q6_2_BZW1.pdf</t>
  </si>
  <si>
    <t>Melting_Curves/meltCurve_Q7L1T6_CYB5R4.pdf</t>
  </si>
  <si>
    <t>Melting_Curves/meltCurve_Q7L211_ABHD13.pdf</t>
  </si>
  <si>
    <t>Melting_Curves/meltCurve_Q7L266_ASRGL1.pdf</t>
  </si>
  <si>
    <t>Melting_Curves/meltCurve_Q7L273_KCTD9.pdf</t>
  </si>
  <si>
    <t>Melting_Curves/meltCurve_Q7L2H7_EIF3M.pdf</t>
  </si>
  <si>
    <t>Melting_Curves/meltCurve_Q7L2J0_MEPCE.pdf</t>
  </si>
  <si>
    <t>Melting_Curves/meltCurve_Q7L3T8_PARS2.pdf</t>
  </si>
  <si>
    <t>Melting_Curves/meltCurve_Q7L4E1_3_FAM73B.pdf</t>
  </si>
  <si>
    <t>Melting_Curves/meltCurve_Q7L4I2_RSRC2.pdf</t>
  </si>
  <si>
    <t>Melting_Curves/meltCurve_Q7L523_RRAGA.pdf</t>
  </si>
  <si>
    <t>Melting_Curves/meltCurve_Q7L576_CYFIP1.pdf</t>
  </si>
  <si>
    <t>Melting_Curves/meltCurve_Q7L592_NDUFAF7.pdf</t>
  </si>
  <si>
    <t>Melting_Curves/meltCurve_Q7L5D6_GET4.pdf</t>
  </si>
  <si>
    <t>Melting_Curves/meltCurve_Q7L5N7_LPCAT2.pdf</t>
  </si>
  <si>
    <t>Melting_Curves/meltCurve_Q7L5Y1_ENOSF1.pdf</t>
  </si>
  <si>
    <t>Melting_Curves/meltCurve_Q7L775_EPM2AIP1.pdf</t>
  </si>
  <si>
    <t>Melting_Curves/meltCurve_Q7L7V1_DHX32.pdf</t>
  </si>
  <si>
    <t>Melting_Curves/meltCurve_Q7L7X3_TAOK1.pdf</t>
  </si>
  <si>
    <t>Melting_Curves/meltCurve_Q7L8L6_FASTKD5.pdf</t>
  </si>
  <si>
    <t>Melting_Curves/meltCurve_Q7L8W6_ATPBD4.pdf</t>
  </si>
  <si>
    <t>Melting_Curves/meltCurve_Q7L9B9_EEPD1.pdf</t>
  </si>
  <si>
    <t>Melting_Curves/meltCurve_Q7LBC6_KDM3B.pdf</t>
  </si>
  <si>
    <t>Melting_Curves/meltCurve_Q7LBR1_CHMP1B.pdf</t>
  </si>
  <si>
    <t>Melting_Curves/meltCurve_Q7LGA3_HS2ST1.pdf</t>
  </si>
  <si>
    <t>Melting_Curves/meltCurve_Q7RTP0_NIPA1.pdf</t>
  </si>
  <si>
    <t>Melting_Curves/meltCurve_Q7RTP6_MICAL3.pdf</t>
  </si>
  <si>
    <t>Melting_Curves/meltCurve_Q7RTV0_PHF5A.pdf</t>
  </si>
  <si>
    <t>Melting_Curves/meltCurve_Q7RTX0_TAS1R3.pdf</t>
  </si>
  <si>
    <t>Melting_Curves/meltCurve_Q7Z2E3_8_APTX.pdf</t>
  </si>
  <si>
    <t>Melting_Curves/meltCurve_Q7Z2K8_GPRIN1.pdf</t>
  </si>
  <si>
    <t>Melting_Curves/meltCurve_Q7Z2W4_ZC3HAV1.pdf</t>
  </si>
  <si>
    <t>Melting_Curves/meltCurve_Q7Z2Y8_GVINP1.pdf</t>
  </si>
  <si>
    <t>Melting_Curves/meltCurve_Q7Z2Z2_EFTUD1.pdf</t>
  </si>
  <si>
    <t>Melting_Curves/meltCurve_Q7Z309_FAM122B.pdf</t>
  </si>
  <si>
    <t>Melting_Curves/meltCurve_Q7Z309_4_FAM122B.pdf</t>
  </si>
  <si>
    <t>Melting_Curves/meltCurve_Q7Z350_DKFZp686L0695.pdf</t>
  </si>
  <si>
    <t>Melting_Curves/meltCurve_Q7Z392_TRAPPC11.pdf</t>
  </si>
  <si>
    <t>Melting_Curves/meltCurve_Q7Z3C6_2_ATG9A.pdf</t>
  </si>
  <si>
    <t>Melting_Curves/meltCurve_Q7Z3D4_LYSMD3.pdf</t>
  </si>
  <si>
    <t>Melting_Curves/meltCurve_Q7Z3D6_2_C14orf159.pdf</t>
  </si>
  <si>
    <t>Melting_Curves/meltCurve_Q7Z3E2_C10orf118.pdf</t>
  </si>
  <si>
    <t>Melting_Curves/meltCurve_Q7Z3K3_5_POGZ.pdf</t>
  </si>
  <si>
    <t>Melting_Curves/meltCurve_Q7Z3T8_ZFYVE16.pdf</t>
  </si>
  <si>
    <t>Melting_Curves/meltCurve_Q7Z404_1_TMC4.pdf</t>
  </si>
  <si>
    <t>Melting_Curves/meltCurve_Q7Z417_NUFIP2.pdf</t>
  </si>
  <si>
    <t>Melting_Curves/meltCurve_Q7Z422_2_SZRD1.pdf</t>
  </si>
  <si>
    <t>Melting_Curves/meltCurve_Q7Z434_MAVS.pdf</t>
  </si>
  <si>
    <t>Melting_Curves/meltCurve_Q7Z478_DHX29.pdf</t>
  </si>
  <si>
    <t>Melting_Curves/meltCurve_Q7Z4G1_COMMD6.pdf</t>
  </si>
  <si>
    <t>Melting_Curves/meltCurve_Q7Z4G4_2_TRMT11.pdf</t>
  </si>
  <si>
    <t>Melting_Curves/meltCurve_Q7Z4H3_HDDC2.pdf</t>
  </si>
  <si>
    <t>Melting_Curves/meltCurve_Q7Z4H7_3_HAUS6.pdf</t>
  </si>
  <si>
    <t>Melting_Curves/meltCurve_Q7Z4H8_KDELC2.pdf</t>
  </si>
  <si>
    <t>Melting_Curves/meltCurve_Q7Z4I7_4_LIMS2.pdf</t>
  </si>
  <si>
    <t>Melting_Curves/meltCurve_Q7Z4Q2_HEATR3.pdf</t>
  </si>
  <si>
    <t>Melting_Curves/meltCurve_Q7Z4V5_HDGFRP2.pdf</t>
  </si>
  <si>
    <t>Melting_Curves/meltCurve_Q7Z4W1_DCXR.pdf</t>
  </si>
  <si>
    <t>Melting_Curves/meltCurve_Q7Z569_BRAP.pdf</t>
  </si>
  <si>
    <t>Melting_Curves/meltCurve_Q7Z589_2_EMSY.pdf</t>
  </si>
  <si>
    <t>Melting_Curves/meltCurve_Q7Z5G4_3_GOLGA7.pdf</t>
  </si>
  <si>
    <t>Melting_Curves/meltCurve_Q7Z5K2_WAPAL.pdf</t>
  </si>
  <si>
    <t>Melting_Curves/meltCurve_Q7Z5L9_2_IRF2BP2.pdf</t>
  </si>
  <si>
    <t>Melting_Curves/meltCurve_Q7Z5W3_BCDIN3D.pdf</t>
  </si>
  <si>
    <t>Melting_Curves/meltCurve_Q7Z6B0_2_CCDC91.pdf</t>
  </si>
  <si>
    <t>Melting_Curves/meltCurve_Q7Z6B7_2_SRGAP1.pdf</t>
  </si>
  <si>
    <t>Melting_Curves/meltCurve_Q7Z6E9_RBBP6.pdf</t>
  </si>
  <si>
    <t>Melting_Curves/meltCurve_Q7Z6I8_C5orf24.pdf</t>
  </si>
  <si>
    <t>Melting_Curves/meltCurve_Q7Z6J8_UBE3D.pdf</t>
  </si>
  <si>
    <t>Melting_Curves/meltCurve_Q7Z6J9_TSEN54.pdf</t>
  </si>
  <si>
    <t>Melting_Curves/meltCurve_Q7Z6K3_PTAR1.pdf</t>
  </si>
  <si>
    <t>Melting_Curves/meltCurve_Q7Z6L1_TECPR1.pdf</t>
  </si>
  <si>
    <t>Melting_Curves/meltCurve_Q7Z6M1_RABEPK.pdf</t>
  </si>
  <si>
    <t>Melting_Curves/meltCurve_Q7Z6M2_FBXO33.pdf</t>
  </si>
  <si>
    <t>Melting_Curves/meltCurve_Q7Z6M4_MTERFD2.pdf</t>
  </si>
  <si>
    <t>Melting_Curves/meltCurve_Q7Z6V5_ADAT2.pdf</t>
  </si>
  <si>
    <t>Melting_Curves/meltCurve_Q7Z6Z7_2_HUWE1.pdf</t>
  </si>
  <si>
    <t>Melting_Curves/meltCurve_Q7Z7A3_CTU1.pdf</t>
  </si>
  <si>
    <t>Melting_Curves/meltCurve_Q7Z7A4_PXK.pdf</t>
  </si>
  <si>
    <t>Melting_Curves/meltCurve_Q7Z7C8_TAF8.pdf</t>
  </si>
  <si>
    <t>Melting_Curves/meltCurve_Q7Z7E8_UBE2Q1.pdf</t>
  </si>
  <si>
    <t>Melting_Curves/meltCurve_Q7Z7F0_2_KIAA0907.pdf</t>
  </si>
  <si>
    <t>Melting_Curves/meltCurve_Q7Z7F7_MRPL55.pdf</t>
  </si>
  <si>
    <t>Melting_Curves/meltCurve_Q7Z7H5_3_TMED4.pdf</t>
  </si>
  <si>
    <t>Melting_Curves/meltCurve_Q7Z7H8_MRPL10.pdf</t>
  </si>
  <si>
    <t>Melting_Curves/meltCurve_Q7Z7K0_CMC1.pdf</t>
  </si>
  <si>
    <t>Melting_Curves/meltCurve_Q7Z7K6_3_CENPV.pdf</t>
  </si>
  <si>
    <t>Melting_Curves/meltCurve_Q7Z7L7_ZER1.pdf</t>
  </si>
  <si>
    <t>Melting_Curves/meltCurve_Q7Z7N9_TMEM179B.pdf</t>
  </si>
  <si>
    <t>Melting_Curves/meltCurve_Q86SQ9_3_DHDDS.pdf</t>
  </si>
  <si>
    <t>Melting_Curves/meltCurve_Q86SR1_2_GALNT10.pdf</t>
  </si>
  <si>
    <t>Melting_Curves/meltCurve_Q86SX6_GLRX5.pdf</t>
  </si>
  <si>
    <t>Melting_Curves/meltCurve_Q86SZ2_TRAPPC6B.pdf</t>
  </si>
  <si>
    <t>Melting_Curves/meltCurve_Q86T03_TMEM55B.pdf</t>
  </si>
  <si>
    <t>Melting_Curves/meltCurve_Q86TB9_4_PATL1.pdf</t>
  </si>
  <si>
    <t>Melting_Curves/meltCurve_Q86TG7_PEG10.pdf</t>
  </si>
  <si>
    <t>Melting_Curves/meltCurve_Q86TI0_TBC1D1.pdf</t>
  </si>
  <si>
    <t>Melting_Curves/meltCurve_Q86TI2_DPP9.pdf</t>
  </si>
  <si>
    <t>Melting_Curves/meltCurve_Q86TM6_2_SYVN1.pdf</t>
  </si>
  <si>
    <t>Melting_Curves/meltCurve_Q86TN4_TRPT1.pdf</t>
  </si>
  <si>
    <t>Melting_Curves/meltCurve_Q86TP1_PRUNE.pdf</t>
  </si>
  <si>
    <t>Melting_Curves/meltCurve_Q86TU7_SETD3.pdf</t>
  </si>
  <si>
    <t>Melting_Curves/meltCurve_Q86TW2_3_ADCK1.pdf</t>
  </si>
  <si>
    <t>Melting_Curves/meltCurve_Q86TX2_ACOT1.pdf</t>
  </si>
  <si>
    <t>Melting_Curves/meltCurve_Q86U28_ISCA2.pdf</t>
  </si>
  <si>
    <t>Melting_Curves/meltCurve_Q86U38_NOP9.pdf</t>
  </si>
  <si>
    <t>Melting_Curves/meltCurve_Q86U44_METTL3.pdf</t>
  </si>
  <si>
    <t>Melting_Curves/meltCurve_Q86U70_3_LDB1.pdf</t>
  </si>
  <si>
    <t>Melting_Curves/meltCurve_Q86U86_5_PBRM1.pdf</t>
  </si>
  <si>
    <t>Melting_Curves/meltCurve_Q86U90_YRDC.pdf</t>
  </si>
  <si>
    <t>Melting_Curves/meltCurve_Q86UA1_PRPF39.pdf</t>
  </si>
  <si>
    <t>Melting_Curves/meltCurve_Q86UD0_SAPCD2.pdf</t>
  </si>
  <si>
    <t>Melting_Curves/meltCurve_Q86UE4_MTDH.pdf</t>
  </si>
  <si>
    <t>Melting_Curves/meltCurve_Q86UE8_2_TLK2.pdf</t>
  </si>
  <si>
    <t>Melting_Curves/meltCurve_Q86UK7_3_ZNF598.pdf</t>
  </si>
  <si>
    <t>Melting_Curves/meltCurve_Q86UL3_AGPAT6.pdf</t>
  </si>
  <si>
    <t>Melting_Curves/meltCurve_Q86UP2_KTN1.pdf</t>
  </si>
  <si>
    <t>Melting_Curves/meltCurve_Q86US8_SMG6.pdf</t>
  </si>
  <si>
    <t>Melting_Curves/meltCurve_Q86UT6_2_NLRX1.pdf</t>
  </si>
  <si>
    <t>Melting_Curves/meltCurve_Q86UU0_4_BCL9L.pdf</t>
  </si>
  <si>
    <t>Melting_Curves/meltCurve_Q86UV5_USP48.pdf</t>
  </si>
  <si>
    <t>Melting_Curves/meltCurve_Q86UX3_ABCC5.pdf</t>
  </si>
  <si>
    <t>Melting_Curves/meltCurve_Q86UX6_STK32C.pdf</t>
  </si>
  <si>
    <t>Melting_Curves/meltCurve_Q86UY0_TXNDC5.pdf</t>
  </si>
  <si>
    <t>Melting_Curves/meltCurve_Q86UY8_NT5DC3.pdf</t>
  </si>
  <si>
    <t>Melting_Curves/meltCurve_Q86V15_CASZ1.pdf</t>
  </si>
  <si>
    <t>Melting_Curves/meltCurve_Q86V21_AACS.pdf</t>
  </si>
  <si>
    <t>Melting_Curves/meltCurve_Q86V48_2_LUZP1.pdf</t>
  </si>
  <si>
    <t>Melting_Curves/meltCurve_Q86V85_GPR180.pdf</t>
  </si>
  <si>
    <t>Melting_Curves/meltCurve_Q86V88_MDP1.pdf</t>
  </si>
  <si>
    <t>Melting_Curves/meltCurve_Q86V97_KBTBD6.pdf</t>
  </si>
  <si>
    <t>Melting_Curves/meltCurve_Q86VF7_4_NRAP.pdf</t>
  </si>
  <si>
    <t>Melting_Curves/meltCurve_Q86VI3_IQGAP3.pdf</t>
  </si>
  <si>
    <t>Melting_Curves/meltCurve_Q86VN1_2_VPS36.pdf</t>
  </si>
  <si>
    <t>Melting_Curves/meltCurve_Q86VP6_CAND1.pdf</t>
  </si>
  <si>
    <t>Melting_Curves/meltCurve_Q86VQ1_GLCCI1.pdf</t>
  </si>
  <si>
    <t>Melting_Curves/meltCurve_Q86VR2_FAM134C.pdf</t>
  </si>
  <si>
    <t>Melting_Curves/meltCurve_Q86VS8_HOOK3.pdf</t>
  </si>
  <si>
    <t>Melting_Curves/meltCurve_Q86VU5_COMTD1.pdf</t>
  </si>
  <si>
    <t>Melting_Curves/meltCurve_Q86VW0_SESTD1.pdf</t>
  </si>
  <si>
    <t>Melting_Curves/meltCurve_Q86VX9_MON1A.pdf</t>
  </si>
  <si>
    <t>Melting_Curves/meltCurve_Q86W42_THOC6.pdf</t>
  </si>
  <si>
    <t>Melting_Curves/meltCurve_Q86W50_METTL16.pdf</t>
  </si>
  <si>
    <t>Melting_Curves/meltCurve_Q86W56_PARG.pdf</t>
  </si>
  <si>
    <t>Melting_Curves/meltCurve_Q86W92_4_PPFIBP1.pdf</t>
  </si>
  <si>
    <t>Melting_Curves/meltCurve_Q86WA6_2_BPHL.pdf</t>
  </si>
  <si>
    <t>Melting_Curves/meltCurve_Q86WA8_LONP2.pdf</t>
  </si>
  <si>
    <t>Melting_Curves/meltCurve_Q86WC4_OSTM1.pdf</t>
  </si>
  <si>
    <t>Melting_Curves/meltCurve_Q86WJ1_2_CHD1L.pdf</t>
  </si>
  <si>
    <t>Melting_Curves/meltCurve_Q86WQ0_NR2C2AP.pdf</t>
  </si>
  <si>
    <t>Melting_Curves/meltCurve_Q86WR0_CCDC25.pdf</t>
  </si>
  <si>
    <t>Melting_Curves/meltCurve_Q86WR7_PROSER2.pdf</t>
  </si>
  <si>
    <t>Melting_Curves/meltCurve_Q86WU2_2_LDHD.pdf</t>
  </si>
  <si>
    <t>Melting_Curves/meltCurve_Q86WV7_CCDC43.pdf</t>
  </si>
  <si>
    <t>Melting_Curves/meltCurve_Q86X55_1_CARM1.pdf</t>
  </si>
  <si>
    <t>Melting_Curves/meltCurve_Q86X67_NUDT13.pdf</t>
  </si>
  <si>
    <t>Melting_Curves/meltCurve_Q86X76_2_NIT1.pdf</t>
  </si>
  <si>
    <t>Melting_Curves/meltCurve_Q86X83_COMMD2.pdf</t>
  </si>
  <si>
    <t>Melting_Curves/meltCurve_Q86X95_2_CIR1.pdf</t>
  </si>
  <si>
    <t>Melting_Curves/meltCurve_Q86XP0_PLA2G4D.pdf</t>
  </si>
  <si>
    <t>Melting_Curves/meltCurve_Q86XP1_DGKH.pdf</t>
  </si>
  <si>
    <t>Melting_Curves/meltCurve_Q86XP3_DDX42.pdf</t>
  </si>
  <si>
    <t>Melting_Curves/meltCurve_Q86XX4_FRAS1.pdf</t>
  </si>
  <si>
    <t>Melting_Curves/meltCurve_Q86XZ4_SPATS2.pdf</t>
  </si>
  <si>
    <t>Melting_Curves/meltCurve_Q86Y07_VRK2.pdf</t>
  </si>
  <si>
    <t>Melting_Curves/meltCurve_Q86Y07_4_VRK2.pdf</t>
  </si>
  <si>
    <t>Melting_Curves/meltCurve_Q86Y39_NDUFA11.pdf</t>
  </si>
  <si>
    <t>Melting_Curves/meltCurve_Q86Y56_HEATR2.pdf</t>
  </si>
  <si>
    <t>Melting_Curves/meltCurve_Q86Y79_PTRH1.pdf</t>
  </si>
  <si>
    <t>Melting_Curves/meltCurve_Q86Y82_STX12.pdf</t>
  </si>
  <si>
    <t>Melting_Curves/meltCurve_Q86YB8_ERO1LB.pdf</t>
  </si>
  <si>
    <t>Melting_Curves/meltCurve_Q86YH6_PDSS2.pdf</t>
  </si>
  <si>
    <t>Melting_Curves/meltCurve_Q86YM7_HOMER1.pdf</t>
  </si>
  <si>
    <t>Melting_Curves/meltCurve_Q86YN1_2_DOLPP1.pdf</t>
  </si>
  <si>
    <t>Melting_Curves/meltCurve_Q86YP4_GATAD2A.pdf</t>
  </si>
  <si>
    <t>Melting_Curves/meltCurve_Q86YS7_C2CD5.pdf</t>
  </si>
  <si>
    <t>Melting_Curves/meltCurve_Q86YT6_MIB1.pdf</t>
  </si>
  <si>
    <t>Melting_Curves/meltCurve_Q86YV5_SGK223.pdf</t>
  </si>
  <si>
    <t>Melting_Curves/meltCurve_Q86YV9_HPS6.pdf</t>
  </si>
  <si>
    <t>Melting_Curves/meltCurve_Q8IU81_IRF2BP1.pdf</t>
  </si>
  <si>
    <t>Melting_Curves/meltCurve_Q8IUC4_RHPN2.pdf</t>
  </si>
  <si>
    <t>Melting_Curves/meltCurve_Q8IUD2_2_ERC1.pdf</t>
  </si>
  <si>
    <t>Melting_Curves/meltCurve_Q8IUF8_MINA.pdf</t>
  </si>
  <si>
    <t>Melting_Curves/meltCurve_Q8IUF8_4_MINA.pdf</t>
  </si>
  <si>
    <t>Melting_Curves/meltCurve_Q8IUH4_ZDHHC13.pdf</t>
  </si>
  <si>
    <t>Melting_Curves/meltCurve_Q8IUI8_CRLF3.pdf</t>
  </si>
  <si>
    <t>Melting_Curves/meltCurve_Q8IUR0_TRAPPC5.pdf</t>
  </si>
  <si>
    <t>Melting_Curves/meltCurve_Q8IUW5_RELL1.pdf</t>
  </si>
  <si>
    <t>Melting_Curves/meltCurve_Q8IUX1_4_TMEM126B.pdf</t>
  </si>
  <si>
    <t>Melting_Curves/meltCurve_Q8IUZ5_AGXT2L2.pdf</t>
  </si>
  <si>
    <t>Melting_Curves/meltCurve_Q8IV08_PLD3.pdf</t>
  </si>
  <si>
    <t>Melting_Curves/meltCurve_Q8IV20_LACC1.pdf</t>
  </si>
  <si>
    <t>Melting_Curves/meltCurve_Q8IV36_2_HID1.pdf</t>
  </si>
  <si>
    <t>Melting_Curves/meltCurve_Q8IV38_ANKMY2.pdf</t>
  </si>
  <si>
    <t>Melting_Curves/meltCurve_Q8IV45_UNC5CL.pdf</t>
  </si>
  <si>
    <t>Melting_Curves/meltCurve_Q8IV50_LYSMD2.pdf</t>
  </si>
  <si>
    <t>Melting_Curves/meltCurve_Q8IV56_PRR15.pdf</t>
  </si>
  <si>
    <t>Melting_Curves/meltCurve_Q8IV63_3_VRK3.pdf</t>
  </si>
  <si>
    <t>Melting_Curves/meltCurve_Q8IVB5_LIX1L.pdf</t>
  </si>
  <si>
    <t>Melting_Curves/meltCurve_Q8IVD9_NUDCD3.pdf</t>
  </si>
  <si>
    <t>Melting_Curves/meltCurve_Q8IVF2_3_AHNAK2.pdf</t>
  </si>
  <si>
    <t>Melting_Curves/meltCurve_Q8IVH4_MMAA.pdf</t>
  </si>
  <si>
    <t>Melting_Curves/meltCurve_Q8IVH8_3_MAP4K3.pdf</t>
  </si>
  <si>
    <t>Melting_Curves/meltCurve_Q8IVL1_4_NAV2.pdf</t>
  </si>
  <si>
    <t>Melting_Curves/meltCurve_Q8IVM0_CCDC50.pdf</t>
  </si>
  <si>
    <t>Melting_Curves/meltCurve_Q8IVM0_2_CCDC50.pdf</t>
  </si>
  <si>
    <t>Melting_Curves/meltCurve_Q8IVQ6_ZDHHC21.pdf</t>
  </si>
  <si>
    <t>Melting_Curves/meltCurve_Q8IVR6_PPM1D.pdf</t>
  </si>
  <si>
    <t>Melting_Curves/meltCurve_Q8IVS2_MCAT.pdf</t>
  </si>
  <si>
    <t>Melting_Curves/meltCurve_Q8IVT2_C19orf21.pdf</t>
  </si>
  <si>
    <t>Melting_Curves/meltCurve_Q8IVW6_3_ARID3B.pdf</t>
  </si>
  <si>
    <t>Melting_Curves/meltCurve_Q8IW45_CARKD.pdf</t>
  </si>
  <si>
    <t>Melting_Curves/meltCurve_Q8IWA4_MFN1.pdf</t>
  </si>
  <si>
    <t>Melting_Curves/meltCurve_Q8IWB1_ITPRIP.pdf</t>
  </si>
  <si>
    <t>Melting_Curves/meltCurve_Q8IWB7_WDFY1.pdf</t>
  </si>
  <si>
    <t>Melting_Curves/meltCurve_Q8IWB9_TEX2.pdf</t>
  </si>
  <si>
    <t>Melting_Curves/meltCurve_Q8IWC1_2_MAP7D3.pdf</t>
  </si>
  <si>
    <t>Melting_Curves/meltCurve_Q8IWD4_CCDC117.pdf</t>
  </si>
  <si>
    <t>Melting_Curves/meltCurve_Q8IWE2_FAM114A1.pdf</t>
  </si>
  <si>
    <t>Melting_Curves/meltCurve_Q8IWE4_DCUN1D3.pdf</t>
  </si>
  <si>
    <t>Melting_Curves/meltCurve_Q8IWF6_DENND6A.pdf</t>
  </si>
  <si>
    <t>Melting_Curves/meltCurve_Q8IWJ2_GCC2.pdf</t>
  </si>
  <si>
    <t>Melting_Curves/meltCurve_Q8IWL3_HSCB.pdf</t>
  </si>
  <si>
    <t>Melting_Curves/meltCurve_Q8IWR0_ZC3H7A.pdf</t>
  </si>
  <si>
    <t>Melting_Curves/meltCurve_Q8IWS0_PHF6.pdf</t>
  </si>
  <si>
    <t>Melting_Curves/meltCurve_Q8IWT6_LRRC8A.pdf</t>
  </si>
  <si>
    <t>Melting_Curves/meltCurve_Q8IWU2_LMTK2.pdf</t>
  </si>
  <si>
    <t>Melting_Curves/meltCurve_Q8IWV7_UBR1.pdf</t>
  </si>
  <si>
    <t>Melting_Curves/meltCurve_Q8IWV8_4_UBR2.pdf</t>
  </si>
  <si>
    <t>Melting_Curves/meltCurve_Q8IWW6_2_ARHGAP12.pdf</t>
  </si>
  <si>
    <t>Melting_Curves/meltCurve_Q8IWX5_SGPP2.pdf</t>
  </si>
  <si>
    <t>Melting_Curves/meltCurve_Q8IWZ3_6_ANKHD1.pdf</t>
  </si>
  <si>
    <t>Melting_Curves/meltCurve_Q8IWZ8_SUGP1.pdf</t>
  </si>
  <si>
    <t>Melting_Curves/meltCurve_Q8IX04_6_UEVLD.pdf</t>
  </si>
  <si>
    <t>Melting_Curves/meltCurve_Q8IX12_2_CCAR1.pdf</t>
  </si>
  <si>
    <t>Melting_Curves/meltCurve_Q8IX18_3_DHX40.pdf</t>
  </si>
  <si>
    <t>Melting_Curves/meltCurve_Q8IX90_SKA3.pdf</t>
  </si>
  <si>
    <t>Melting_Curves/meltCurve_Q8IXB1_DNAJC10.pdf</t>
  </si>
  <si>
    <t>Melting_Curves/meltCurve_Q8IXI1_RHOT2.pdf</t>
  </si>
  <si>
    <t>Melting_Curves/meltCurve_Q8IXI2_4_RHOT1.pdf</t>
  </si>
  <si>
    <t>Melting_Curves/meltCurve_Q8IXM2_2_BAP18.pdf</t>
  </si>
  <si>
    <t>Melting_Curves/meltCurve_Q8IXQ4_KIAA1704.pdf</t>
  </si>
  <si>
    <t>Melting_Curves/meltCurve_Q8IXW5_2_RPAP2.pdf</t>
  </si>
  <si>
    <t>Melting_Curves/meltCurve_Q8IY17_5_PNPLA6.pdf</t>
  </si>
  <si>
    <t>Melting_Curves/meltCurve_Q8IY18_SMC5.pdf</t>
  </si>
  <si>
    <t>Melting_Curves/meltCurve_Q8IY22_CMIP.pdf</t>
  </si>
  <si>
    <t>Melting_Curves/meltCurve_Q8IY33_MICALL2.pdf</t>
  </si>
  <si>
    <t>Melting_Curves/meltCurve_Q8IY37_DHX37.pdf</t>
  </si>
  <si>
    <t>Melting_Curves/meltCurve_Q8IY47_KBTBD2.pdf</t>
  </si>
  <si>
    <t>Melting_Curves/meltCurve_Q8IY50_2_SLC35F3.pdf</t>
  </si>
  <si>
    <t>Melting_Curves/meltCurve_Q8IY81_FTSJ3.pdf</t>
  </si>
  <si>
    <t>Melting_Curves/meltCurve_Q8IY92_2_SLX4.pdf</t>
  </si>
  <si>
    <t>Melting_Curves/meltCurve_Q8IY95_2_TMEM192.pdf</t>
  </si>
  <si>
    <t>Melting_Curves/meltCurve_Q8IYB1_MB21D2.pdf</t>
  </si>
  <si>
    <t>Melting_Curves/meltCurve_Q8IYB5_3_SMAP1.pdf</t>
  </si>
  <si>
    <t>Melting_Curves/meltCurve_Q8IYB7_DIS3L2.pdf</t>
  </si>
  <si>
    <t>Melting_Curves/meltCurve_Q8IYB8_SUPV3L1.pdf</t>
  </si>
  <si>
    <t>Melting_Curves/meltCurve_Q8IYE0_2_CCDC146.pdf</t>
  </si>
  <si>
    <t>Melting_Curves/meltCurve_Q8IYH5_4_ZZZ3.pdf</t>
  </si>
  <si>
    <t>Melting_Curves/meltCurve_Q8IYI6_EXOC8.pdf</t>
  </si>
  <si>
    <t>Melting_Curves/meltCurve_Q8IYL3_C1orf174.pdf</t>
  </si>
  <si>
    <t>Melting_Curves/meltCurve_Q8IYQ7_THNSL1.pdf</t>
  </si>
  <si>
    <t>Melting_Curves/meltCurve_Q8IYS1_PM20D2.pdf</t>
  </si>
  <si>
    <t>Melting_Curves/meltCurve_Q8IYS2_KIAA2013.pdf</t>
  </si>
  <si>
    <t>Melting_Curves/meltCurve_Q8IYU8_MICU2.pdf</t>
  </si>
  <si>
    <t>Melting_Curves/meltCurve_Q8IYW5_RNF168.pdf</t>
  </si>
  <si>
    <t>Melting_Curves/meltCurve_Q8IZ07_ANKRD13A.pdf</t>
  </si>
  <si>
    <t>Melting_Curves/meltCurve_Q8IZ21_3_PHACTR4.pdf</t>
  </si>
  <si>
    <t>Melting_Curves/meltCurve_Q8IZ40_RCOR2.pdf</t>
  </si>
  <si>
    <t>Melting_Curves/meltCurve_Q8IZ41_RASEF.pdf</t>
  </si>
  <si>
    <t>Melting_Curves/meltCurve_Q8IZ52_CHPF.pdf</t>
  </si>
  <si>
    <t>Melting_Curves/meltCurve_Q8IZ68_MTX2.pdf</t>
  </si>
  <si>
    <t>Melting_Curves/meltCurve_Q8IZ73_RPUSD2.pdf</t>
  </si>
  <si>
    <t>Melting_Curves/meltCurve_Q8IZ81_ELMOD2.pdf</t>
  </si>
  <si>
    <t>Melting_Curves/meltCurve_Q8IZ83_ALDH16A1.pdf</t>
  </si>
  <si>
    <t>Melting_Curves/meltCurve_Q8IZF0_NALCN.pdf</t>
  </si>
  <si>
    <t>Melting_Curves/meltCurve_Q8IZH2_2_XRN1.pdf</t>
  </si>
  <si>
    <t>Melting_Curves/meltCurve_Q8IZL2_MAML2.pdf</t>
  </si>
  <si>
    <t>Melting_Curves/meltCurve_Q8IZQ5_SELH.pdf</t>
  </si>
  <si>
    <t>Melting_Curves/meltCurve_Q8IZR5_2_CMTM4.pdf</t>
  </si>
  <si>
    <t>Melting_Curves/meltCurve_Q8IZV5_RDH10.pdf</t>
  </si>
  <si>
    <t>Melting_Curves/meltCurve_Q8IZW8_TNS4.pdf</t>
  </si>
  <si>
    <t>Melting_Curves/meltCurve_Q8N0T1_C8orf59.pdf</t>
  </si>
  <si>
    <t>Melting_Curves/meltCurve_Q8N0U4_FAM185A.pdf</t>
  </si>
  <si>
    <t>Melting_Curves/meltCurve_Q8N0U8_VKORC1L1.pdf</t>
  </si>
  <si>
    <t>Melting_Curves/meltCurve_Q8N0W3_FUK.pdf</t>
  </si>
  <si>
    <t>Melting_Curves/meltCurve_Q8N0X4_CLYBL.pdf</t>
  </si>
  <si>
    <t>Melting_Curves/meltCurve_Q8N0Z6_TTC5.pdf</t>
  </si>
  <si>
    <t>Melting_Curves/meltCurve_Q8N0Z8_PUSL1.pdf</t>
  </si>
  <si>
    <t>Melting_Curves/meltCurve_Q8N0Z9_2_VSIG10.pdf</t>
  </si>
  <si>
    <t>Melting_Curves/meltCurve_Q8N108_17_MIER1.pdf</t>
  </si>
  <si>
    <t>Melting_Curves/meltCurve_Q8N122_RPTOR.pdf</t>
  </si>
  <si>
    <t>Melting_Curves/meltCurve_Q8N129_CNPY4.pdf</t>
  </si>
  <si>
    <t>Melting_Curves/meltCurve_Q8N163_KIAA1967.pdf</t>
  </si>
  <si>
    <t>Melting_Curves/meltCurve_Q8N183_NDUFAF2.pdf</t>
  </si>
  <si>
    <t>Melting_Curves/meltCurve_Q8N1B4_VPS52.pdf</t>
  </si>
  <si>
    <t>Melting_Curves/meltCurve_Q8N1F7_NUP93.pdf</t>
  </si>
  <si>
    <t>Melting_Curves/meltCurve_Q8N1G2_FTSJD2.pdf</t>
  </si>
  <si>
    <t>Melting_Curves/meltCurve_Q8N1G4_LRRC47.pdf</t>
  </si>
  <si>
    <t>Melting_Curves/meltCurve_Q8N1K5_THEMIS.pdf</t>
  </si>
  <si>
    <t>Melting_Curves/meltCurve_Q8N2A8_PLD6.pdf</t>
  </si>
  <si>
    <t>Melting_Curves/meltCurve_Q8N2F6_3_ARMC10.pdf</t>
  </si>
  <si>
    <t>Melting_Curves/meltCurve_Q8N2G8_3_GHDC.pdf</t>
  </si>
  <si>
    <t>Melting_Curves/meltCurve_Q8N2K0_ABHD12.pdf</t>
  </si>
  <si>
    <t>Melting_Curves/meltCurve_Q8N2Z9_APITD1.pdf</t>
  </si>
  <si>
    <t>Melting_Curves/meltCurve_Q8N300_CCDC23.pdf</t>
  </si>
  <si>
    <t>Melting_Curves/meltCurve_Q8N335_GPD1L.pdf</t>
  </si>
  <si>
    <t>Melting_Curves/meltCurve_Q8N350_DOS.pdf</t>
  </si>
  <si>
    <t>Melting_Curves/meltCurve_Q8N392_2_ARHGAP18.pdf</t>
  </si>
  <si>
    <t>Melting_Curves/meltCurve_Q8N398_2_VWA5B2.pdf</t>
  </si>
  <si>
    <t>Melting_Curves/meltCurve_Q8N3C0_ASCC3.pdf</t>
  </si>
  <si>
    <t>Melting_Curves/meltCurve_Q8N3D4_EHBP1L1.pdf</t>
  </si>
  <si>
    <t>Melting_Curves/meltCurve_Q8N3F8_MICALL1.pdf</t>
  </si>
  <si>
    <t>Melting_Curves/meltCurve_Q8N3R9_2_MPP5.pdf</t>
  </si>
  <si>
    <t>Melting_Curves/meltCurve_Q8N3X1_FNBP4.pdf</t>
  </si>
  <si>
    <t>Melting_Curves/meltCurve_Q8N442_GUF1.pdf</t>
  </si>
  <si>
    <t>Melting_Curves/meltCurve_Q8N465_D2HGDH.pdf</t>
  </si>
  <si>
    <t>Melting_Curves/meltCurve_Q8N488_RYBP.pdf</t>
  </si>
  <si>
    <t>Melting_Curves/meltCurve_Q8N490_2_PNKD.pdf</t>
  </si>
  <si>
    <t>Melting_Curves/meltCurve_Q8N490_4_PNKD.pdf</t>
  </si>
  <si>
    <t>Melting_Curves/meltCurve_Q8N4C8_2_MINK1.pdf</t>
  </si>
  <si>
    <t>Melting_Curves/meltCurve_Q8N4H5_TOMM5.pdf</t>
  </si>
  <si>
    <t>Melting_Curves/meltCurve_Q8N4P3_HDDC3.pdf</t>
  </si>
  <si>
    <t>Melting_Curves/meltCurve_Q8N4Q0_ZADH2.pdf</t>
  </si>
  <si>
    <t>Melting_Curves/meltCurve_Q8N4Q1_CHCHD4.pdf</t>
  </si>
  <si>
    <t>Melting_Curves/meltCurve_Q8N4T8_CBR4.pdf</t>
  </si>
  <si>
    <t>Melting_Curves/meltCurve_Q8N4V1_MMGT1.pdf</t>
  </si>
  <si>
    <t>Melting_Curves/meltCurve_Q8N567_ZCCHC9.pdf</t>
  </si>
  <si>
    <t>Melting_Curves/meltCurve_Q8N573_2_OXR1.pdf</t>
  </si>
  <si>
    <t>Melting_Curves/meltCurve_Q8N584_TTC39C.pdf</t>
  </si>
  <si>
    <t>Melting_Curves/meltCurve_Q8N5C6_SRBD1.pdf</t>
  </si>
  <si>
    <t>Melting_Curves/meltCurve_Q8N5F7_NKAP.pdf</t>
  </si>
  <si>
    <t>Melting_Curves/meltCurve_Q8N5G0_2_SMIM20.pdf</t>
  </si>
  <si>
    <t>Melting_Curves/meltCurve_Q8N5G2_TMEM57.pdf</t>
  </si>
  <si>
    <t>Melting_Curves/meltCurve_Q8N5I2_ARRDC1.pdf</t>
  </si>
  <si>
    <t>Melting_Curves/meltCurve_Q8N5I9_C12orf45.pdf</t>
  </si>
  <si>
    <t>Melting_Curves/meltCurve_Q8N5K1_CISD2.pdf</t>
  </si>
  <si>
    <t>Melting_Curves/meltCurve_Q8N5L8_RPP25L.pdf</t>
  </si>
  <si>
    <t>Melting_Curves/meltCurve_Q8N5M1_ATPAF2.pdf</t>
  </si>
  <si>
    <t>Melting_Curves/meltCurve_Q8N5M9_JAGN1.pdf</t>
  </si>
  <si>
    <t>Melting_Curves/meltCurve_Q8N5N7_MRPL50.pdf</t>
  </si>
  <si>
    <t>Melting_Curves/meltCurve_Q8N5X7_2_EIF4E3.pdf</t>
  </si>
  <si>
    <t>Melting_Curves/meltCurve_Q8N5Y8_PARP16.pdf</t>
  </si>
  <si>
    <t>Melting_Curves/meltCurve_Q8N5Z5_2_KCTD17.pdf</t>
  </si>
  <si>
    <t>Melting_Curves/meltCurve_Q8N684_2_CPSF7.pdf</t>
  </si>
  <si>
    <t>Melting_Curves/meltCurve_Q8N697_SLC15A4.pdf</t>
  </si>
  <si>
    <t>Melting_Curves/meltCurve_Q8N6H7_ARFGAP2.pdf</t>
  </si>
  <si>
    <t>Melting_Curves/meltCurve_Q8N6M0_OTUD6B.pdf</t>
  </si>
  <si>
    <t>Melting_Curves/meltCurve_Q8N6N3_2_C1orf52.pdf</t>
  </si>
  <si>
    <t>Melting_Curves/meltCurve_Q8N6N7_ACBD7.pdf</t>
  </si>
  <si>
    <t>Melting_Curves/meltCurve_Q8N6Q8_METTL25.pdf</t>
  </si>
  <si>
    <t>Melting_Curves/meltCurve_Q8N6S4_2_ANKRD13C.pdf</t>
  </si>
  <si>
    <t>Melting_Curves/meltCurve_Q8N6T3_ARFGAP1.pdf</t>
  </si>
  <si>
    <t>Melting_Curves/meltCurve_Q8N729_NPW.pdf</t>
  </si>
  <si>
    <t>Melting_Curves/meltCurve_Q8N749_TOM1L1.pdf</t>
  </si>
  <si>
    <t>Melting_Curves/meltCurve_Q8N766_3_EMC1.pdf</t>
  </si>
  <si>
    <t>Melting_Curves/meltCurve_Q8N806_UBR7.pdf</t>
  </si>
  <si>
    <t>Melting_Curves/meltCurve_Q8N8J7_C4orf32.pdf</t>
  </si>
  <si>
    <t>Melting_Curves/meltCurve_Q8N8N7_PTGR2.pdf</t>
  </si>
  <si>
    <t>Melting_Curves/meltCurve_Q8N8R3_SLC25A29.pdf</t>
  </si>
  <si>
    <t>Melting_Curves/meltCurve_Q8N8R5_C2orf69.pdf</t>
  </si>
  <si>
    <t>Melting_Curves/meltCurve_Q8N8R7_ARL14EP.pdf</t>
  </si>
  <si>
    <t>Melting_Curves/meltCurve_Q8N8S7_ENAH.pdf</t>
  </si>
  <si>
    <t>Melting_Curves/meltCurve_Q8N954_GPATCH11.pdf</t>
  </si>
  <si>
    <t>Melting_Curves/meltCurve_Q8N999_C12orf29.pdf</t>
  </si>
  <si>
    <t>Melting_Curves/meltCurve_Q8N9B5_2_JMY.pdf</t>
  </si>
  <si>
    <t>Melting_Curves/meltCurve_Q8N9F7_GDPD1.pdf</t>
  </si>
  <si>
    <t>Melting_Curves/meltCurve_Q8N9I9_DTX3.pdf</t>
  </si>
  <si>
    <t>Melting_Curves/meltCurve_Q8N9M5_TMEM102.pdf</t>
  </si>
  <si>
    <t>Melting_Curves/meltCurve_Q8N9N7_LRRC57.pdf</t>
  </si>
  <si>
    <t>Melting_Curves/meltCurve_Q8N9R8_SCAI.pdf</t>
  </si>
  <si>
    <t>Melting_Curves/meltCurve_Q8N9T8_KRI1.pdf</t>
  </si>
  <si>
    <t>Melting_Curves/meltCurve_Q8N9V3_WDSUB1.pdf</t>
  </si>
  <si>
    <t>Melting_Curves/meltCurve_Q8NAF0_ZNF579.pdf</t>
  </si>
  <si>
    <t>Melting_Curves/meltCurve_Q8NAV1_PRPF38A.pdf</t>
  </si>
  <si>
    <t>Melting_Curves/meltCurve_Q8NAX2_C1orf172.pdf</t>
  </si>
  <si>
    <t>Melting_Curves/meltCurve_Q8NB15_2_ZNF511.pdf</t>
  </si>
  <si>
    <t>Melting_Curves/meltCurve_Q8NB16_MLKL.pdf</t>
  </si>
  <si>
    <t>Melting_Curves/meltCurve_Q8NB37_PDDC1.pdf</t>
  </si>
  <si>
    <t>Melting_Curves/meltCurve_Q8NB46_ANKRD52.pdf</t>
  </si>
  <si>
    <t>Melting_Curves/meltCurve_Q8NB49_2_ATP11C.pdf</t>
  </si>
  <si>
    <t>Melting_Curves/meltCurve_Q8NB90_SPATA5.pdf</t>
  </si>
  <si>
    <t>Melting_Curves/meltCurve_Q8NBF2_NHLRC2.pdf</t>
  </si>
  <si>
    <t>Melting_Curves/meltCurve_Q8NBF6_AVL9.pdf</t>
  </si>
  <si>
    <t>Melting_Curves/meltCurve_Q8NBI6_XXYLT1.pdf</t>
  </si>
  <si>
    <t>Melting_Curves/meltCurve_Q8NBJ4_2_GOLM1.pdf</t>
  </si>
  <si>
    <t>Melting_Curves/meltCurve_Q8NBJ5_COLGALT1.pdf</t>
  </si>
  <si>
    <t>Melting_Curves/meltCurve_Q8NBK3_4_SUMF1.pdf</t>
  </si>
  <si>
    <t>Melting_Curves/meltCurve_Q8NBM4_2_UBAC2.pdf</t>
  </si>
  <si>
    <t>Melting_Curves/meltCurve_Q8NBM8_PCYOX1L.pdf</t>
  </si>
  <si>
    <t>Melting_Curves/meltCurve_Q8NBN3_TMEM87A.pdf</t>
  </si>
  <si>
    <t>Melting_Curves/meltCurve_Q8NBN7_RDH13.pdf</t>
  </si>
  <si>
    <t>Melting_Curves/meltCurve_Q8NBP7_PCSK9.pdf</t>
  </si>
  <si>
    <t>Melting_Curves/meltCurve_Q8NBU5_ATAD1.pdf</t>
  </si>
  <si>
    <t>Melting_Curves/meltCurve_Q8NBX0_SCCPDH.pdf</t>
  </si>
  <si>
    <t>Melting_Curves/meltCurve_Q8NBY1_MST4.pdf</t>
  </si>
  <si>
    <t>Melting_Curves/meltCurve_Q8NC51_SERBP1.pdf</t>
  </si>
  <si>
    <t>Melting_Curves/meltCurve_Q8NC54_KCT2.pdf</t>
  </si>
  <si>
    <t>Melting_Curves/meltCurve_Q8NC56_LEMD2.pdf</t>
  </si>
  <si>
    <t>Melting_Curves/meltCurve_Q8NC60_NOA1.pdf</t>
  </si>
  <si>
    <t>Melting_Curves/meltCurve_Q8NC96_NECAP1.pdf</t>
  </si>
  <si>
    <t>Melting_Curves/meltCurve_Q8NCA5_2_FAM98A.pdf</t>
  </si>
  <si>
    <t>Melting_Curves/meltCurve_Q8NCC3_PLA2G15.pdf</t>
  </si>
  <si>
    <t>Melting_Curves/meltCurve_Q8NCE0_4_TSEN2.pdf</t>
  </si>
  <si>
    <t>Melting_Curves/meltCurve_Q8NCE2_MTMR14.pdf</t>
  </si>
  <si>
    <t>Melting_Curves/meltCurve_Q8NCF5_NFATC2IP.pdf</t>
  </si>
  <si>
    <t>Melting_Curves/meltCurve_Q8NCG7_DAGLB.pdf</t>
  </si>
  <si>
    <t>Melting_Curves/meltCurve_Q8NCH0_CHST14.pdf</t>
  </si>
  <si>
    <t>Melting_Curves/meltCurve_Q8NCL4_GALNT6.pdf</t>
  </si>
  <si>
    <t>Melting_Curves/meltCurve_Q8NCN4_RNF169.pdf</t>
  </si>
  <si>
    <t>Melting_Curves/meltCurve_Q8NCN5_PDPR.pdf</t>
  </si>
  <si>
    <t>Melting_Curves/meltCurve_Q8NCW5_APOA1BP.pdf</t>
  </si>
  <si>
    <t>Melting_Curves/meltCurve_Q8ND04_SMG8.pdf</t>
  </si>
  <si>
    <t>Melting_Curves/meltCurve_Q8ND24_RNF214.pdf</t>
  </si>
  <si>
    <t>Melting_Curves/meltCurve_Q8ND56_2_LSM14A.pdf</t>
  </si>
  <si>
    <t>Melting_Curves/meltCurve_Q8ND76_CCNY.pdf</t>
  </si>
  <si>
    <t>Melting_Curves/meltCurve_Q8NDC0_MAPK1IP1L.pdf</t>
  </si>
  <si>
    <t>Melting_Curves/meltCurve_Q8NDD1_2_C1orf131.pdf</t>
  </si>
  <si>
    <t>Melting_Curves/meltCurve_Q8NDD1_3_C1orf131.pdf</t>
  </si>
  <si>
    <t>Melting_Curves/meltCurve_Q8NDH3_NPEPL1.pdf</t>
  </si>
  <si>
    <t>Melting_Curves/meltCurve_Q8NDT2_RBM15B.pdf</t>
  </si>
  <si>
    <t>Melting_Curves/meltCurve_Q8NDZ4_C3orf58.pdf</t>
  </si>
  <si>
    <t>Melting_Curves/meltCurve_Q8NE01_2_CNNM3.pdf</t>
  </si>
  <si>
    <t>Melting_Curves/meltCurve_Q8NE62_CHDH.pdf</t>
  </si>
  <si>
    <t>Melting_Curves/meltCurve_Q8NE71_ABCF1.pdf</t>
  </si>
  <si>
    <t>Melting_Curves/meltCurve_Q8NE86_3_MCU.pdf</t>
  </si>
  <si>
    <t>Melting_Curves/meltCurve_Q8NEC7_GSTCD.pdf</t>
  </si>
  <si>
    <t>Melting_Curves/meltCurve_Q8NEG4_FAM83F.pdf</t>
  </si>
  <si>
    <t>Melting_Curves/meltCurve_Q8NEG7_DENND6B.pdf</t>
  </si>
  <si>
    <t>Melting_Curves/meltCurve_Q8NEL9_2_DDHD1.pdf</t>
  </si>
  <si>
    <t>Melting_Curves/meltCurve_Q8NEN9_PDZD8.pdf</t>
  </si>
  <si>
    <t>Melting_Curves/meltCurve_Q8NEU8_2_APPL2.pdf</t>
  </si>
  <si>
    <t>Melting_Curves/meltCurve_Q8NEZ5_FBXO22.pdf</t>
  </si>
  <si>
    <t>Melting_Curves/meltCurve_Q8NF37_LPCAT1.pdf</t>
  </si>
  <si>
    <t>Melting_Curves/meltCurve_Q8NFC6_BOD1L1.pdf</t>
  </si>
  <si>
    <t>Melting_Curves/meltCurve_Q8NFF5_2_FLAD1.pdf</t>
  </si>
  <si>
    <t>Melting_Curves/meltCurve_Q8NFH3_NUP43.pdf</t>
  </si>
  <si>
    <t>Melting_Curves/meltCurve_Q8NFH4_NUP37.pdf</t>
  </si>
  <si>
    <t>Melting_Curves/meltCurve_Q8NFI3_ENGASE.pdf</t>
  </si>
  <si>
    <t>Melting_Curves/meltCurve_Q8NFM7_4_IL17RD.pdf</t>
  </si>
  <si>
    <t>Melting_Curves/meltCurve_Q8NFQ8_TOR1AIP2.pdf</t>
  </si>
  <si>
    <t>Melting_Curves/meltCurve_Q8NFU3_TSTD1.pdf</t>
  </si>
  <si>
    <t>Melting_Curves/meltCurve_Q8NFU3_4_TSTD1.pdf</t>
  </si>
  <si>
    <t>Melting_Curves/meltCurve_Q8NFV4_ABHD11.pdf</t>
  </si>
  <si>
    <t>Melting_Curves/meltCurve_Q8NFW8_CMAS.pdf</t>
  </si>
  <si>
    <t>Melting_Curves/meltCurve_Q8NFX7_2_STXBP6.pdf</t>
  </si>
  <si>
    <t>Melting_Curves/meltCurve_Q8NG68_TTL.pdf</t>
  </si>
  <si>
    <t>Melting_Curves/meltCurve_Q8NGG4_OR8H1.pdf</t>
  </si>
  <si>
    <t>Melting_Curves/meltCurve_Q8NHG7_SVIP.pdf</t>
  </si>
  <si>
    <t>Melting_Curves/meltCurve_Q8NHG8_ZNRF2.pdf</t>
  </si>
  <si>
    <t>Melting_Curves/meltCurve_Q8NHH9_ATL2.pdf</t>
  </si>
  <si>
    <t>Melting_Curves/meltCurve_Q8NHM4_TRY6.pdf</t>
  </si>
  <si>
    <t>Melting_Curves/meltCurve_Q8NHM5_4_KDM2B.pdf</t>
  </si>
  <si>
    <t>Melting_Curves/meltCurve_Q8NHP8_PLBD2.pdf</t>
  </si>
  <si>
    <t>Melting_Curves/meltCurve_Q8NHV1_GIMAP7.pdf</t>
  </si>
  <si>
    <t>Melting_Curves/meltCurve_Q8NHV4_NEDD1.pdf</t>
  </si>
  <si>
    <t>Melting_Curves/meltCurve_Q8NHZ8_CDC26.pdf</t>
  </si>
  <si>
    <t>Melting_Curves/meltCurve_Q8NI08_2_NCOA7.pdf</t>
  </si>
  <si>
    <t>Melting_Curves/meltCurve_Q8NI22_2_MCFD2.pdf</t>
  </si>
  <si>
    <t>Melting_Curves/meltCurve_Q8NI27_THOC2.pdf</t>
  </si>
  <si>
    <t>Melting_Curves/meltCurve_Q8NI35_INADL.pdf</t>
  </si>
  <si>
    <t>Melting_Curves/meltCurve_Q8NI36_WDR36.pdf</t>
  </si>
  <si>
    <t>Melting_Curves/meltCurve_Q8NI37_PPTC7.pdf</t>
  </si>
  <si>
    <t>Melting_Curves/meltCurve_Q8NI60_ADCK3.pdf</t>
  </si>
  <si>
    <t>Melting_Curves/meltCurve_Q8TA86_RP9.pdf</t>
  </si>
  <si>
    <t>Melting_Curves/meltCurve_Q8TAA5_GRPEL2.pdf</t>
  </si>
  <si>
    <t>Melting_Curves/meltCurve_Q8TAD8_SNIP1.pdf</t>
  </si>
  <si>
    <t>Melting_Curves/meltCurve_Q8TAE6_PPP1R14C.pdf</t>
  </si>
  <si>
    <t>Melting_Curves/meltCurve_Q8TAE8_GADD45GIP1.pdf</t>
  </si>
  <si>
    <t>Melting_Curves/meltCurve_Q8TAF3_WDR48.pdf</t>
  </si>
  <si>
    <t>Melting_Curves/meltCurve_Q8TAM6_ERMN.pdf</t>
  </si>
  <si>
    <t>Melting_Curves/meltCurve_Q8TAP6_CEP76.pdf</t>
  </si>
  <si>
    <t>Melting_Curves/meltCurve_Q8TAQ2_SMARCC2.pdf</t>
  </si>
  <si>
    <t>Melting_Curves/meltCurve_Q8TAT2_FGFBP3.pdf</t>
  </si>
  <si>
    <t>Melting_Curves/meltCurve_Q8TAT6_NPLOC4.pdf</t>
  </si>
  <si>
    <t>Melting_Curves/meltCurve_Q8TAV0_2_FAM76A.pdf</t>
  </si>
  <si>
    <t>Melting_Curves/meltCurve_Q8TB03_CXorf38.pdf</t>
  </si>
  <si>
    <t>Melting_Curves/meltCurve_Q8TB36_GDAP1.pdf</t>
  </si>
  <si>
    <t>Melting_Curves/meltCurve_Q8TB37_NUBPL.pdf</t>
  </si>
  <si>
    <t>Melting_Curves/meltCurve_Q8TB52_FBXO30.pdf</t>
  </si>
  <si>
    <t>Melting_Curves/meltCurve_Q8TB61_3_SLC35B2.pdf</t>
  </si>
  <si>
    <t>Melting_Curves/meltCurve_Q8TB72_3_PUM2.pdf</t>
  </si>
  <si>
    <t>Melting_Curves/meltCurve_Q8TBA6_2_GOLGA5.pdf</t>
  </si>
  <si>
    <t>Melting_Curves/meltCurve_Q8TBB1_LNX1.pdf</t>
  </si>
  <si>
    <t>Melting_Curves/meltCurve_Q8TBB5_3_KLHDC4.pdf</t>
  </si>
  <si>
    <t>Melting_Curves/meltCurve_Q8TBC4_UBA3.pdf</t>
  </si>
  <si>
    <t>Melting_Curves/meltCurve_Q8TBE9_NANP.pdf</t>
  </si>
  <si>
    <t>Melting_Curves/meltCurve_Q8TBF2_FAM213B.pdf</t>
  </si>
  <si>
    <t>Melting_Curves/meltCurve_Q8TBK2_2_SETD6.pdf</t>
  </si>
  <si>
    <t>Melting_Curves/meltCurve_Q8TBR7_1_FAM57A.pdf</t>
  </si>
  <si>
    <t>Melting_Curves/meltCurve_Q8TBX8_PIP4K2C.pdf</t>
  </si>
  <si>
    <t>Melting_Curves/meltCurve_Q8TBZ6_TRMT10A.pdf</t>
  </si>
  <si>
    <t>Melting_Curves/meltCurve_Q8TC07_2_TBC1D15.pdf</t>
  </si>
  <si>
    <t>Melting_Curves/meltCurve_Q8TC12_RDH11.pdf</t>
  </si>
  <si>
    <t>Melting_Curves/meltCurve_Q8TCA0_LRRC20.pdf</t>
  </si>
  <si>
    <t>Melting_Curves/meltCurve_Q8TCD1_C18orf32.pdf</t>
  </si>
  <si>
    <t>Melting_Curves/meltCurve_Q8TCD5_NT5C.pdf</t>
  </si>
  <si>
    <t>Melting_Curves/meltCurve_Q8TCG1_KIAA1524.pdf</t>
  </si>
  <si>
    <t>Melting_Curves/meltCurve_Q8TCG2_PI4K2B.pdf</t>
  </si>
  <si>
    <t>Melting_Curves/meltCurve_Q8TCJ2_STT3B.pdf</t>
  </si>
  <si>
    <t>Melting_Curves/meltCurve_Q8TCS8_PNPT1.pdf</t>
  </si>
  <si>
    <t>Melting_Curves/meltCurve_Q8TCT9_5_HM13.pdf</t>
  </si>
  <si>
    <t>Melting_Curves/meltCurve_Q8TCX1_5_DYNC2LI1.pdf</t>
  </si>
  <si>
    <t>Melting_Curves/meltCurve_Q8TCX5_2_RHPN1.pdf</t>
  </si>
  <si>
    <t>Melting_Curves/meltCurve_Q8TCY9_3_URGCP.pdf</t>
  </si>
  <si>
    <t>Melting_Curves/meltCurve_Q8TCZ2_6_CD99L2.pdf</t>
  </si>
  <si>
    <t>Melting_Curves/meltCurve_Q8TD16_BICD2.pdf</t>
  </si>
  <si>
    <t>Melting_Curves/meltCurve_Q8TD19_NEK9.pdf</t>
  </si>
  <si>
    <t>Melting_Curves/meltCurve_Q8TD30_GPT2.pdf</t>
  </si>
  <si>
    <t>Melting_Curves/meltCurve_Q8TDB6_DTX3L.pdf</t>
  </si>
  <si>
    <t>Melting_Curves/meltCurve_Q8TDD1_2_DDX54.pdf</t>
  </si>
  <si>
    <t>Melting_Curves/meltCurve_Q8TDH9_BLOC1S5.pdf</t>
  </si>
  <si>
    <t>Melting_Curves/meltCurve_Q8TDQ7_GNPDA2.pdf</t>
  </si>
  <si>
    <t>Melting_Curves/meltCurve_Q8TDR2_STK35.pdf</t>
  </si>
  <si>
    <t>Melting_Curves/meltCurve_Q8TDX7_NEK7.pdf</t>
  </si>
  <si>
    <t>Melting_Curves/meltCurve_Q8TDY2_2_RB1CC1.pdf</t>
  </si>
  <si>
    <t>Melting_Curves/meltCurve_Q8TDZ2_MICAL1.pdf</t>
  </si>
  <si>
    <t>Melting_Curves/meltCurve_Q8TE04_2_PANK1.pdf</t>
  </si>
  <si>
    <t>Melting_Curves/meltCurve_Q8TE77_SSH3.pdf</t>
  </si>
  <si>
    <t>Melting_Curves/meltCurve_Q8TEA1_NSUN6.pdf</t>
  </si>
  <si>
    <t>Melting_Curves/meltCurve_Q8TEA7_3_TBCK.pdf</t>
  </si>
  <si>
    <t>Melting_Curves/meltCurve_Q8TEA8_DTD1.pdf</t>
  </si>
  <si>
    <t>Melting_Curves/meltCurve_Q8TEB1_2_DCAF11.pdf</t>
  </si>
  <si>
    <t>Melting_Curves/meltCurve_Q8TED0_UTP15.pdf</t>
  </si>
  <si>
    <t>Melting_Curves/meltCurve_Q8TEM1_NUP210.pdf</t>
  </si>
  <si>
    <t>Melting_Curves/meltCurve_Q8TEQ6_GEMIN5.pdf</t>
  </si>
  <si>
    <t>Melting_Curves/meltCurve_Q8TEQ8_2_PIGO.pdf</t>
  </si>
  <si>
    <t>Melting_Curves/meltCurve_Q8TET4_GANC.pdf</t>
  </si>
  <si>
    <t>Melting_Curves/meltCurve_Q8TEV9_2_SMCR8.pdf</t>
  </si>
  <si>
    <t>Melting_Curves/meltCurve_Q8TEX9_IPO4.pdf</t>
  </si>
  <si>
    <t>Melting_Curves/meltCurve_Q8TEY7_3_USP33.pdf</t>
  </si>
  <si>
    <t>Melting_Curves/meltCurve_Q8TF01_PNISR.pdf</t>
  </si>
  <si>
    <t>Melting_Curves/meltCurve_Q8TF05_2_PPP4R1.pdf</t>
  </si>
  <si>
    <t>Melting_Curves/meltCurve_Q8TF71_SLC16A10.pdf</t>
  </si>
  <si>
    <t>Melting_Curves/meltCurve_Q8TF74_WIPF2.pdf</t>
  </si>
  <si>
    <t>Melting_Curves/meltCurve_Q8WTS1_ABHD5.pdf</t>
  </si>
  <si>
    <t>Melting_Curves/meltCurve_Q8WTS6_SETD7.pdf</t>
  </si>
  <si>
    <t>Melting_Curves/meltCurve_Q8WTW3_COG1.pdf</t>
  </si>
  <si>
    <t>Melting_Curves/meltCurve_Q8WTX9_ZDHHC1.pdf</t>
  </si>
  <si>
    <t>Melting_Curves/meltCurve_Q8WU10_PYROXD1.pdf</t>
  </si>
  <si>
    <t>Melting_Curves/meltCurve_Q8WU79_2_SMAP2.pdf</t>
  </si>
  <si>
    <t>Melting_Curves/meltCurve_Q8WU90_ZC3H15.pdf</t>
  </si>
  <si>
    <t>Melting_Curves/meltCurve_Q8WUA2_PPIL4.pdf</t>
  </si>
  <si>
    <t>Melting_Curves/meltCurve_Q8WUA4_GTF3C2.pdf</t>
  </si>
  <si>
    <t>Melting_Curves/meltCurve_Q8WUB8_3_PHF10.pdf</t>
  </si>
  <si>
    <t>Melting_Curves/meltCurve_Q8WUD1_RAB2B.pdf</t>
  </si>
  <si>
    <t>Melting_Curves/meltCurve_Q8WUF5_PPP1R13L.pdf</t>
  </si>
  <si>
    <t>Melting_Curves/meltCurve_Q8WUF8_3_FAM172A.pdf</t>
  </si>
  <si>
    <t>Melting_Curves/meltCurve_Q8WUH1_CHURC1.pdf</t>
  </si>
  <si>
    <t>Melting_Curves/meltCurve_Q8WUH2_TGFBRAP1.pdf</t>
  </si>
  <si>
    <t>Melting_Curves/meltCurve_Q8WUH6_C12orf23.pdf</t>
  </si>
  <si>
    <t>Melting_Curves/meltCurve_Q8WUJ0_STYX.pdf</t>
  </si>
  <si>
    <t>Melting_Curves/meltCurve_Q8WUK0_PTPMT1.pdf</t>
  </si>
  <si>
    <t>Melting_Curves/meltCurve_Q8WUM0_NUP133.pdf</t>
  </si>
  <si>
    <t>Melting_Curves/meltCurve_Q8WUM4_PDCD6IP.pdf</t>
  </si>
  <si>
    <t>Melting_Curves/meltCurve_Q8WUN7_UBTD2.pdf</t>
  </si>
  <si>
    <t>Melting_Curves/meltCurve_Q8WUP2_FBLIM1.pdf</t>
  </si>
  <si>
    <t>Melting_Curves/meltCurve_Q8WUR7_C15orf40.pdf</t>
  </si>
  <si>
    <t>Melting_Curves/meltCurve_Q8WUX2_CHAC2.pdf</t>
  </si>
  <si>
    <t>Melting_Curves/meltCurve_Q8WUX9_CHMP7.pdf</t>
  </si>
  <si>
    <t>Melting_Curves/meltCurve_Q8WUY1_THEM6.pdf</t>
  </si>
  <si>
    <t>Melting_Curves/meltCurve_Q8WUY8_NAT14.pdf</t>
  </si>
  <si>
    <t>Melting_Curves/meltCurve_Q8WV22_NSMCE1.pdf</t>
  </si>
  <si>
    <t>Melting_Curves/meltCurve_Q8WV41_SNX33.pdf</t>
  </si>
  <si>
    <t>Melting_Curves/meltCurve_Q8WV60_PTCD2.pdf</t>
  </si>
  <si>
    <t>Melting_Curves/meltCurve_Q8WV93_LACE1.pdf</t>
  </si>
  <si>
    <t>Melting_Curves/meltCurve_Q8WVB6_CHTF18.pdf</t>
  </si>
  <si>
    <t>Melting_Curves/meltCurve_Q8WVC0_LEO1.pdf</t>
  </si>
  <si>
    <t>Melting_Curves/meltCurve_Q8WVC2_RPS21.pdf</t>
  </si>
  <si>
    <t>Melting_Curves/meltCurve_Q8WVD3_RNF138.pdf</t>
  </si>
  <si>
    <t>Melting_Curves/meltCurve_Q8WVJ2_NUDCD2.pdf</t>
  </si>
  <si>
    <t>Melting_Curves/meltCurve_Q8WVK2_SNRNP27.pdf</t>
  </si>
  <si>
    <t>Melting_Curves/meltCurve_Q8WVL7_ANKRD49.pdf</t>
  </si>
  <si>
    <t>Melting_Curves/meltCurve_Q8WVM0_TFB1M.pdf</t>
  </si>
  <si>
    <t>Melting_Curves/meltCurve_Q8WVM8_SCFD1.pdf</t>
  </si>
  <si>
    <t>Melting_Curves/meltCurve_Q8WVQ1_CANT1.pdf</t>
  </si>
  <si>
    <t>Melting_Curves/meltCurve_Q8WVT3_TRAPPC12.pdf</t>
  </si>
  <si>
    <t>Melting_Curves/meltCurve_Q8WVV4_POF1B.pdf</t>
  </si>
  <si>
    <t>Melting_Curves/meltCurve_Q8WVV9_4_HNRPLL.pdf</t>
  </si>
  <si>
    <t>Melting_Curves/meltCurve_Q8WVX9_FAR1.pdf</t>
  </si>
  <si>
    <t>Melting_Curves/meltCurve_Q8WVY7_UBLCP1.pdf</t>
  </si>
  <si>
    <t>Melting_Curves/meltCurve_Q8WVZ9_KBTBD7.pdf</t>
  </si>
  <si>
    <t>Melting_Curves/meltCurve_Q8WW01_TSEN15.pdf</t>
  </si>
  <si>
    <t>Melting_Curves/meltCurve_Q8WW12_PCNP.pdf</t>
  </si>
  <si>
    <t>Melting_Curves/meltCurve_Q8WW59_SPRYD4.pdf</t>
  </si>
  <si>
    <t>Melting_Curves/meltCurve_Q8WWB7_2_C1orf85.pdf</t>
  </si>
  <si>
    <t>Melting_Curves/meltCurve_Q8WWC4_C2orf47.pdf</t>
  </si>
  <si>
    <t>Melting_Curves/meltCurve_Q8WWH5_TRUB1.pdf</t>
  </si>
  <si>
    <t>Melting_Curves/meltCurve_Q8WWI5_SLC44A1.pdf</t>
  </si>
  <si>
    <t>Melting_Curves/meltCurve_Q8WWM7_ATXN2L.pdf</t>
  </si>
  <si>
    <t>Melting_Curves/meltCurve_Q8WWV3_RTN4IP1.pdf</t>
  </si>
  <si>
    <t>Melting_Curves/meltCurve_Q8WWX9_SELM.pdf</t>
  </si>
  <si>
    <t>Melting_Curves/meltCurve_Q8WX77_IGFBPL1.pdf</t>
  </si>
  <si>
    <t>Melting_Curves/meltCurve_Q8WX92_NELFB.pdf</t>
  </si>
  <si>
    <t>Melting_Curves/meltCurve_Q8WXA9_2_SREK1.pdf</t>
  </si>
  <si>
    <t>Melting_Curves/meltCurve_Q8WXD2_SCG3.pdf</t>
  </si>
  <si>
    <t>Melting_Curves/meltCurve_Q8WXD5_GEMIN6.pdf</t>
  </si>
  <si>
    <t>Melting_Curves/meltCurve_Q8WXE1_5_ATRIP.pdf</t>
  </si>
  <si>
    <t>Melting_Curves/meltCurve_Q8WXF1_PSPC1.pdf</t>
  </si>
  <si>
    <t>Melting_Curves/meltCurve_Q8WXH0_SYNE2.pdf</t>
  </si>
  <si>
    <t>Melting_Curves/meltCurve_Q8WXI9_GATAD2B.pdf</t>
  </si>
  <si>
    <t>Melting_Curves/meltCurve_Q8WXX0_DNAH7.pdf</t>
  </si>
  <si>
    <t>Melting_Curves/meltCurve_Q8WXX5_DNAJC9.pdf</t>
  </si>
  <si>
    <t>Melting_Curves/meltCurve_Q8WY22_BRI3BP.pdf</t>
  </si>
  <si>
    <t>Melting_Curves/meltCurve_Q8WYA6_CTNNBL1.pdf</t>
  </si>
  <si>
    <t>Melting_Curves/meltCurve_Q8WYP5_AHCTF1.pdf</t>
  </si>
  <si>
    <t>Melting_Curves/meltCurve_Q8WZ82_OVCA2.pdf</t>
  </si>
  <si>
    <t>Melting_Curves/meltCurve_Q8WZA0_LZIC.pdf</t>
  </si>
  <si>
    <t>Melting_Curves/meltCurve_Q8WZA9_IRGQ.pdf</t>
  </si>
  <si>
    <t>Melting_Curves/meltCurve_Q92466_DDB2.pdf</t>
  </si>
  <si>
    <t>Melting_Curves/meltCurve_Q92485_SMPDL3B.pdf</t>
  </si>
  <si>
    <t>Melting_Curves/meltCurve_Q92499_DDX1.pdf</t>
  </si>
  <si>
    <t>Melting_Curves/meltCurve_Q92504_SLC39A7.pdf</t>
  </si>
  <si>
    <t>Melting_Curves/meltCurve_Q92506_HSD17B8.pdf</t>
  </si>
  <si>
    <t>Melting_Curves/meltCurve_Q92508_PIEZO1.pdf</t>
  </si>
  <si>
    <t>Melting_Curves/meltCurve_Q92520_FAM3C.pdf</t>
  </si>
  <si>
    <t>Melting_Curves/meltCurve_Q92522_H1FX.pdf</t>
  </si>
  <si>
    <t>Melting_Curves/meltCurve_Q92526_CCT6B.pdf</t>
  </si>
  <si>
    <t>Melting_Curves/meltCurve_Q92536_SLC7A6.pdf</t>
  </si>
  <si>
    <t>Melting_Curves/meltCurve_Q92537_KIAA0247.pdf</t>
  </si>
  <si>
    <t>Melting_Curves/meltCurve_Q92538_GBF1.pdf</t>
  </si>
  <si>
    <t>Melting_Curves/meltCurve_Q92541_RTF1.pdf</t>
  </si>
  <si>
    <t>Melting_Curves/meltCurve_Q92544_TM9SF4.pdf</t>
  </si>
  <si>
    <t>Melting_Curves/meltCurve_Q92546_RGP1.pdf</t>
  </si>
  <si>
    <t>Melting_Curves/meltCurve_Q92547_TOPBP1.pdf</t>
  </si>
  <si>
    <t>Melting_Curves/meltCurve_Q92551_IP6K1.pdf</t>
  </si>
  <si>
    <t>Melting_Curves/meltCurve_Q92552_MRPS27.pdf</t>
  </si>
  <si>
    <t>Melting_Curves/meltCurve_Q92558_WASF1.pdf</t>
  </si>
  <si>
    <t>Melting_Curves/meltCurve_Q92572_AP3S1.pdf</t>
  </si>
  <si>
    <t>Melting_Curves/meltCurve_Q92575_UBXN4.pdf</t>
  </si>
  <si>
    <t>Melting_Curves/meltCurve_Q92576_2_PHF3.pdf</t>
  </si>
  <si>
    <t>Melting_Curves/meltCurve_Q92585_MAML1.pdf</t>
  </si>
  <si>
    <t>Melting_Curves/meltCurve_Q92597_NDRG1.pdf</t>
  </si>
  <si>
    <t>Melting_Curves/meltCurve_Q92598_2_HSPH1.pdf</t>
  </si>
  <si>
    <t>Melting_Curves/meltCurve_Q92600_RQCD1.pdf</t>
  </si>
  <si>
    <t>Melting_Curves/meltCurve_Q92609_TBC1D5.pdf</t>
  </si>
  <si>
    <t>Melting_Curves/meltCurve_Q92615_LARP4B.pdf</t>
  </si>
  <si>
    <t>Melting_Curves/meltCurve_Q92616_GCN1L1.pdf</t>
  </si>
  <si>
    <t>Melting_Curves/meltCurve_Q92618_ZNF516.pdf</t>
  </si>
  <si>
    <t>Melting_Curves/meltCurve_Q92620_DHX38.pdf</t>
  </si>
  <si>
    <t>Melting_Curves/meltCurve_Q92621_NUP205.pdf</t>
  </si>
  <si>
    <t>Melting_Curves/meltCurve_Q92623_TTC9.pdf</t>
  </si>
  <si>
    <t>Melting_Curves/meltCurve_Q92625_ANKS1A.pdf</t>
  </si>
  <si>
    <t>Melting_Curves/meltCurve_Q92636_NSMAF.pdf</t>
  </si>
  <si>
    <t>Melting_Curves/meltCurve_Q92664_2_GTF3A.pdf</t>
  </si>
  <si>
    <t>Melting_Curves/meltCurve_Q92665_MRPS31.pdf</t>
  </si>
  <si>
    <t>Melting_Curves/meltCurve_Q92667_AKAP1.pdf</t>
  </si>
  <si>
    <t>Melting_Curves/meltCurve_Q92673_SORL1.pdf</t>
  </si>
  <si>
    <t>Melting_Curves/meltCurve_Q92688_2_ANP32B.pdf</t>
  </si>
  <si>
    <t>Melting_Curves/meltCurve_Q92692_PVRL2.pdf</t>
  </si>
  <si>
    <t>Melting_Curves/meltCurve_Q92692_2_PVRL2.pdf</t>
  </si>
  <si>
    <t>Melting_Curves/meltCurve_Q92696_RABGGTA.pdf</t>
  </si>
  <si>
    <t>Melting_Curves/meltCurve_Q92734_2_TFG.pdf</t>
  </si>
  <si>
    <t>Melting_Curves/meltCurve_Q92738_USP6NL.pdf</t>
  </si>
  <si>
    <t>Melting_Curves/meltCurve_Q92747_ARPC1A.pdf</t>
  </si>
  <si>
    <t>Melting_Curves/meltCurve_Q92766_RREB1.pdf</t>
  </si>
  <si>
    <t>Melting_Curves/meltCurve_Q92783_2_STAM.pdf</t>
  </si>
  <si>
    <t>Melting_Curves/meltCurve_Q92791_LEPREL4.pdf</t>
  </si>
  <si>
    <t>Melting_Curves/meltCurve_Q92793_CREBBP.pdf</t>
  </si>
  <si>
    <t>Melting_Curves/meltCurve_Q92797_SYMPK.pdf</t>
  </si>
  <si>
    <t>Melting_Curves/meltCurve_Q92804_2_TAF15.pdf</t>
  </si>
  <si>
    <t>Melting_Curves/meltCurve_Q92805_GOLGA1.pdf</t>
  </si>
  <si>
    <t>Melting_Curves/meltCurve_Q92820_GGH.pdf</t>
  </si>
  <si>
    <t>Melting_Curves/meltCurve_Q92843_2_BCL2L2.pdf</t>
  </si>
  <si>
    <t>Melting_Curves/meltCurve_Q92844_TANK.pdf</t>
  </si>
  <si>
    <t>Melting_Curves/meltCurve_Q92845_2_KIFAP3.pdf</t>
  </si>
  <si>
    <t>Melting_Curves/meltCurve_Q92854_SEMA4D.pdf</t>
  </si>
  <si>
    <t>Melting_Curves/meltCurve_Q92871_PMM1.pdf</t>
  </si>
  <si>
    <t>Melting_Curves/meltCurve_Q92876_KLK6.pdf</t>
  </si>
  <si>
    <t>Melting_Curves/meltCurve_Q92878_RAD50.pdf</t>
  </si>
  <si>
    <t>Melting_Curves/meltCurve_Q92882_OSTF1.pdf</t>
  </si>
  <si>
    <t>Melting_Curves/meltCurve_Q92889_ERCC4.pdf</t>
  </si>
  <si>
    <t>Melting_Curves/meltCurve_Q92890_UFD1L.pdf</t>
  </si>
  <si>
    <t>Melting_Curves/meltCurve_Q92896_GLG1.pdf</t>
  </si>
  <si>
    <t>Melting_Curves/meltCurve_Q92900_UPF1.pdf</t>
  </si>
  <si>
    <t>Melting_Curves/meltCurve_Q92905_COPS5.pdf</t>
  </si>
  <si>
    <t>Melting_Curves/meltCurve_Q92917_GPKOW.pdf</t>
  </si>
  <si>
    <t>Melting_Curves/meltCurve_Q92922_SMARCC1.pdf</t>
  </si>
  <si>
    <t>Melting_Curves/meltCurve_Q92934_BAD.pdf</t>
  </si>
  <si>
    <t>Melting_Curves/meltCurve_Q92945_KHSRP.pdf</t>
  </si>
  <si>
    <t>Melting_Curves/meltCurve_Q92947_GCDH.pdf</t>
  </si>
  <si>
    <t>Melting_Curves/meltCurve_Q92968_PEX13.pdf</t>
  </si>
  <si>
    <t>Melting_Curves/meltCurve_Q92973_2_TNPO1.pdf</t>
  </si>
  <si>
    <t>Melting_Curves/meltCurve_Q92979_EMG1.pdf</t>
  </si>
  <si>
    <t>Melting_Curves/meltCurve_Q92990_GLMN.pdf</t>
  </si>
  <si>
    <t>Melting_Curves/meltCurve_Q92995_USP13.pdf</t>
  </si>
  <si>
    <t>Melting_Curves/meltCurve_Q93008_1_USP9X.pdf</t>
  </si>
  <si>
    <t>Melting_Curves/meltCurve_Q93015_2_NAT6.pdf</t>
  </si>
  <si>
    <t>Melting_Curves/meltCurve_Q93034_CUL5.pdf</t>
  </si>
  <si>
    <t>Melting_Curves/meltCurve_Q93052_LPP.pdf</t>
  </si>
  <si>
    <t>Melting_Curves/meltCurve_Q93075_TATDN2.pdf</t>
  </si>
  <si>
    <t>Melting_Curves/meltCurve_Q93077_HIST1H2AC.pdf</t>
  </si>
  <si>
    <t>Melting_Curves/meltCurve_Q969E2_2_SCAMP4.pdf</t>
  </si>
  <si>
    <t>Melting_Curves/meltCurve_Q969E4_TCEAL3.pdf</t>
  </si>
  <si>
    <t>Melting_Curves/meltCurve_Q969E8_TSR2.pdf</t>
  </si>
  <si>
    <t>Melting_Curves/meltCurve_Q969G6_RFK.pdf</t>
  </si>
  <si>
    <t>Melting_Curves/meltCurve_Q969H6_2_POP5.pdf</t>
  </si>
  <si>
    <t>Melting_Curves/meltCurve_Q969H8_C19orf10.pdf</t>
  </si>
  <si>
    <t>Melting_Curves/meltCurve_Q969L2_MAL2.pdf</t>
  </si>
  <si>
    <t>Melting_Curves/meltCurve_Q969M3_YIPF5.pdf</t>
  </si>
  <si>
    <t>Melting_Curves/meltCurve_Q969N2_4_PIGT.pdf</t>
  </si>
  <si>
    <t>Melting_Curves/meltCurve_Q969P0_3_IGSF8.pdf</t>
  </si>
  <si>
    <t>Melting_Curves/meltCurve_Q969Q0_RPL36AL.pdf</t>
  </si>
  <si>
    <t>Melting_Curves/meltCurve_Q969S3_ZNF622.pdf</t>
  </si>
  <si>
    <t>Melting_Curves/meltCurve_Q969S9_3_GFM2.pdf</t>
  </si>
  <si>
    <t>Melting_Curves/meltCurve_Q969T7_2_NT5C3B.pdf</t>
  </si>
  <si>
    <t>Melting_Curves/meltCurve_Q969V3_2_NCLN.pdf</t>
  </si>
  <si>
    <t>Melting_Curves/meltCurve_Q969V5_MUL1.pdf</t>
  </si>
  <si>
    <t>Melting_Curves/meltCurve_Q969X5_2_ERGIC1.pdf</t>
  </si>
  <si>
    <t>Melting_Curves/meltCurve_Q969X6_CIRH1A.pdf</t>
  </si>
  <si>
    <t>Melting_Curves/meltCurve_Q969Y2_3_GTPBP3.pdf</t>
  </si>
  <si>
    <t>Melting_Curves/meltCurve_Q969Z0_TBRG4.pdf</t>
  </si>
  <si>
    <t>Melting_Curves/meltCurve_Q96A22_C11orf52.pdf</t>
  </si>
  <si>
    <t>Melting_Curves/meltCurve_Q96A29_2_SLC35C1.pdf</t>
  </si>
  <si>
    <t>Melting_Curves/meltCurve_Q96A33_CCDC47.pdf</t>
  </si>
  <si>
    <t>Melting_Curves/meltCurve_Q96A46_SLC25A28.pdf</t>
  </si>
  <si>
    <t>Melting_Curves/meltCurve_Q96A49_SYAP1.pdf</t>
  </si>
  <si>
    <t>Melting_Curves/meltCurve_Q96A59_2_MARVELD3.pdf</t>
  </si>
  <si>
    <t>Melting_Curves/meltCurve_Q96A65_EXOC4.pdf</t>
  </si>
  <si>
    <t>Melting_Curves/meltCurve_Q96A73_KIAA1191.pdf</t>
  </si>
  <si>
    <t>Melting_Curves/meltCurve_Q96AB3_ISOC2.pdf</t>
  </si>
  <si>
    <t>Melting_Curves/meltCurve_Q96AB6_NTAN1.pdf</t>
  </si>
  <si>
    <t>Melting_Curves/meltCurve_Q96AE4_FUBP1.pdf</t>
  </si>
  <si>
    <t>Melting_Curves/meltCurve_Q96AE4_2_FUBP1.pdf</t>
  </si>
  <si>
    <t>Melting_Curves/meltCurve_Q96AG4_LRRC59.pdf</t>
  </si>
  <si>
    <t>Melting_Curves/meltCurve_Q96AJ9_1_VTI1A.pdf</t>
  </si>
  <si>
    <t>Melting_Curves/meltCurve_Q96AQ8_MCUR1.pdf</t>
  </si>
  <si>
    <t>Melting_Curves/meltCurve_Q96AT1_KIAA1143.pdf</t>
  </si>
  <si>
    <t>Melting_Curves/meltCurve_Q96AT9_RPE.pdf</t>
  </si>
  <si>
    <t>Melting_Curves/meltCurve_Q96AY3_FKBP10.pdf</t>
  </si>
  <si>
    <t>Melting_Curves/meltCurve_Q96AZ6_ISG20.pdf</t>
  </si>
  <si>
    <t>Melting_Curves/meltCurve_Q96B01_2_RAD51AP1.pdf</t>
  </si>
  <si>
    <t>Melting_Curves/meltCurve_Q96B23_2_C18orf25.pdf</t>
  </si>
  <si>
    <t>Melting_Curves/meltCurve_Q96B26_EXOSC8.pdf</t>
  </si>
  <si>
    <t>Melting_Curves/meltCurve_Q96B36_AKT1S1.pdf</t>
  </si>
  <si>
    <t>Melting_Curves/meltCurve_Q96B45_C10orf32.pdf</t>
  </si>
  <si>
    <t>Melting_Curves/meltCurve_Q96B49_TOMM6.pdf</t>
  </si>
  <si>
    <t>Melting_Curves/meltCurve_Q96B70_LENG9.pdf</t>
  </si>
  <si>
    <t>Melting_Curves/meltCurve_Q96B97_SH3KBP1.pdf</t>
  </si>
  <si>
    <t>Melting_Curves/meltCurve_Q96BJ3_AIDA.pdf</t>
  </si>
  <si>
    <t>Melting_Curves/meltCurve_Q96BK5_PINX1.pdf</t>
  </si>
  <si>
    <t>Melting_Curves/meltCurve_Q96BM9_ARL8A.pdf</t>
  </si>
  <si>
    <t>Melting_Curves/meltCurve_Q96BN8_FAM105B.pdf</t>
  </si>
  <si>
    <t>Melting_Curves/meltCurve_Q96BP2_CHCHD1.pdf</t>
  </si>
  <si>
    <t>Melting_Curves/meltCurve_Q96BP3_PPWD1.pdf</t>
  </si>
  <si>
    <t>Melting_Curves/meltCurve_Q96BR5_SELRC1.pdf</t>
  </si>
  <si>
    <t>Melting_Curves/meltCurve_Q96BW1_UPRT.pdf</t>
  </si>
  <si>
    <t>Melting_Curves/meltCurve_Q96BW5_2_PTER.pdf</t>
  </si>
  <si>
    <t>Melting_Curves/meltCurve_Q96BY7_ATG2B.pdf</t>
  </si>
  <si>
    <t>Melting_Curves/meltCurve_Q96BZ8_LENG1.pdf</t>
  </si>
  <si>
    <t>Melting_Curves/meltCurve_Q96BZ9_TBC1D20.pdf</t>
  </si>
  <si>
    <t>Melting_Curves/meltCurve_Q96C01_FAM136A.pdf</t>
  </si>
  <si>
    <t>Melting_Curves/meltCurve_Q96C03_SMCR7.pdf</t>
  </si>
  <si>
    <t>Melting_Curves/meltCurve_Q96C19_EFHD2.pdf</t>
  </si>
  <si>
    <t>Melting_Curves/meltCurve_Q96C23_GALM.pdf</t>
  </si>
  <si>
    <t>Melting_Curves/meltCurve_Q96C34_2_RUNDC1.pdf</t>
  </si>
  <si>
    <t>Melting_Curves/meltCurve_Q96C36_PYCR2.pdf</t>
  </si>
  <si>
    <t>Melting_Curves/meltCurve_Q96C57_C12orf43.pdf</t>
  </si>
  <si>
    <t>Melting_Curves/meltCurve_Q96C86_DCPS.pdf</t>
  </si>
  <si>
    <t>Melting_Curves/meltCurve_Q96C90_PPP1R14B.pdf</t>
  </si>
  <si>
    <t>Melting_Curves/meltCurve_Q96CB8_INTS12.pdf</t>
  </si>
  <si>
    <t>Melting_Curves/meltCurve_Q96CB9_NSUN4.pdf</t>
  </si>
  <si>
    <t>Melting_Curves/meltCurve_Q96CD0_FBXL8.pdf</t>
  </si>
  <si>
    <t>Melting_Curves/meltCurve_Q96CD2_PPCDC.pdf</t>
  </si>
  <si>
    <t>Melting_Curves/meltCurve_Q96CF2_CHMP4C.pdf</t>
  </si>
  <si>
    <t>Melting_Curves/meltCurve_Q96CG3_TIFA.pdf</t>
  </si>
  <si>
    <t>Melting_Curves/meltCurve_Q96CG8_CTHRC1.pdf</t>
  </si>
  <si>
    <t>Melting_Curves/meltCurve_Q96CN7_ISOC1.pdf</t>
  </si>
  <si>
    <t>Melting_Curves/meltCurve_Q96CP2_FLYWCH2.pdf</t>
  </si>
  <si>
    <t>Melting_Curves/meltCurve_Q96CS3_FAF2.pdf</t>
  </si>
  <si>
    <t>Melting_Curves/meltCurve_Q96CT7_CCDC124.pdf</t>
  </si>
  <si>
    <t>Melting_Curves/meltCurve_Q96CU9_FOXRED1.pdf</t>
  </si>
  <si>
    <t>Melting_Curves/meltCurve_Q96CV9_3_OPTN.pdf</t>
  </si>
  <si>
    <t>Melting_Curves/meltCurve_Q96CW1_2_AP2M1.pdf</t>
  </si>
  <si>
    <t>Melting_Curves/meltCurve_Q96CW5_TUBGCP3.pdf</t>
  </si>
  <si>
    <t>Melting_Curves/meltCurve_Q96CW6_SLC7A6OS.pdf</t>
  </si>
  <si>
    <t>Melting_Curves/meltCurve_Q96CX2_KCTD12.pdf</t>
  </si>
  <si>
    <t>Melting_Curves/meltCurve_Q96D31_2_ORAI1.pdf</t>
  </si>
  <si>
    <t>Melting_Curves/meltCurve_Q96D71_3_REPS1.pdf</t>
  </si>
  <si>
    <t>Melting_Curves/meltCurve_Q96DA2_RAB39B.pdf</t>
  </si>
  <si>
    <t>Melting_Curves/meltCurve_Q96DA6_DNAJC19.pdf</t>
  </si>
  <si>
    <t>Melting_Curves/meltCurve_Q96DB5_RMDN1.pdf</t>
  </si>
  <si>
    <t>Melting_Curves/meltCurve_Q96DD7_SHISA4.pdf</t>
  </si>
  <si>
    <t>Melting_Curves/meltCurve_Q96DE0_NUDT16.pdf</t>
  </si>
  <si>
    <t>Melting_Curves/meltCurve_Q96DE5_ANAPC16.pdf</t>
  </si>
  <si>
    <t>Melting_Curves/meltCurve_Q96DF8_DGCR14.pdf</t>
  </si>
  <si>
    <t>Melting_Curves/meltCurve_Q96DI7_SNRNP40.pdf</t>
  </si>
  <si>
    <t>Melting_Curves/meltCurve_Q96DR4_STARD4.pdf</t>
  </si>
  <si>
    <t>Melting_Curves/meltCurve_Q96DT0_3_LGALS12.pdf</t>
  </si>
  <si>
    <t>Melting_Curves/meltCurve_Q96DV4_MRPL38.pdf</t>
  </si>
  <si>
    <t>Melting_Curves/meltCurve_Q96DX5_2_ASB9.pdf</t>
  </si>
  <si>
    <t>Melting_Curves/meltCurve_Q96DZ1_ERLEC1.pdf</t>
  </si>
  <si>
    <t>Melting_Curves/meltCurve_Q96E09_FAM122A.pdf</t>
  </si>
  <si>
    <t>Melting_Curves/meltCurve_Q96E11_3_MRRF.pdf</t>
  </si>
  <si>
    <t>Melting_Curves/meltCurve_Q96E14_RMI2.pdf</t>
  </si>
  <si>
    <t>Melting_Curves/meltCurve_Q96E16_SMIM19.pdf</t>
  </si>
  <si>
    <t>Melting_Curves/meltCurve_Q96E22_NUS1.pdf</t>
  </si>
  <si>
    <t>Melting_Curves/meltCurve_Q96E52_OMA1.pdf</t>
  </si>
  <si>
    <t>Melting_Curves/meltCurve_Q96EA4_SPDL1.pdf</t>
  </si>
  <si>
    <t>Melting_Curves/meltCurve_Q96EB1_ELP4.pdf</t>
  </si>
  <si>
    <t>Melting_Curves/meltCurve_Q96EB6_SIRT1.pdf</t>
  </si>
  <si>
    <t>Melting_Curves/meltCurve_Q96EC8_YIPF6.pdf</t>
  </si>
  <si>
    <t>Melting_Curves/meltCurve_Q96ED9_2_HOOK2.pdf</t>
  </si>
  <si>
    <t>Melting_Curves/meltCurve_Q96EE3_1_SEH1L.pdf</t>
  </si>
  <si>
    <t>Melting_Curves/meltCurve_Q96EH3_MALSU1.pdf</t>
  </si>
  <si>
    <t>Melting_Curves/meltCurve_Q96EI5_TCEAL4.pdf</t>
  </si>
  <si>
    <t>Melting_Curves/meltCurve_Q96EK4_THAP11.pdf</t>
  </si>
  <si>
    <t>Melting_Curves/meltCurve_Q96EK5_KIAA1279.pdf</t>
  </si>
  <si>
    <t>Melting_Curves/meltCurve_Q96EK6_GNPNAT1.pdf</t>
  </si>
  <si>
    <t>Melting_Curves/meltCurve_Q96EK9_KTI12.pdf</t>
  </si>
  <si>
    <t>Melting_Curves/meltCurve_Q96EL2_MRPS24.pdf</t>
  </si>
  <si>
    <t>Melting_Curves/meltCurve_Q96EL3_MRPL53.pdf</t>
  </si>
  <si>
    <t>Melting_Curves/meltCurve_Q96EP0_RNF31.pdf</t>
  </si>
  <si>
    <t>Melting_Curves/meltCurve_Q96EP5_2_DAZAP1.pdf</t>
  </si>
  <si>
    <t>Melting_Curves/meltCurve_Q96EQ0_SGTB.pdf</t>
  </si>
  <si>
    <t>Melting_Curves/meltCurve_Q96ER3_SAAL1.pdf</t>
  </si>
  <si>
    <t>Melting_Curves/meltCurve_Q96ER9_CCDC51.pdf</t>
  </si>
  <si>
    <t>Melting_Curves/meltCurve_Q96EU6_2_RRP36.pdf</t>
  </si>
  <si>
    <t>Melting_Curves/meltCurve_Q96EV2_RBM33.pdf</t>
  </si>
  <si>
    <t>Melting_Curves/meltCurve_Q96EV8_DTNBP1.pdf</t>
  </si>
  <si>
    <t>Melting_Curves/meltCurve_Q96EW2_HSPBAP1.pdf</t>
  </si>
  <si>
    <t>Melting_Curves/meltCurve_Q96EX1_SMIM12.pdf</t>
  </si>
  <si>
    <t>Melting_Curves/meltCurve_Q96EX3_WDR34.pdf</t>
  </si>
  <si>
    <t>Melting_Curves/meltCurve_Q96EY1_DNAJA3.pdf</t>
  </si>
  <si>
    <t>Melting_Curves/meltCurve_Q96EY5_MVB12A.pdf</t>
  </si>
  <si>
    <t>Melting_Curves/meltCurve_Q96EY7_PTCD3.pdf</t>
  </si>
  <si>
    <t>Melting_Curves/meltCurve_Q96EY8_MMAB.pdf</t>
  </si>
  <si>
    <t>Melting_Curves/meltCurve_Q96EY9_ADAT3.pdf</t>
  </si>
  <si>
    <t>Melting_Curves/meltCurve_Q96F44_3_TRIM11.pdf</t>
  </si>
  <si>
    <t>Melting_Curves/meltCurve_Q96F45_ZNF503.pdf</t>
  </si>
  <si>
    <t>Melting_Curves/meltCurve_Q96F63_CCDC97.pdf</t>
  </si>
  <si>
    <t>Melting_Curves/meltCurve_Q96F86_EDC3.pdf</t>
  </si>
  <si>
    <t>Melting_Curves/meltCurve_Q96FA3_PELI1.pdf</t>
  </si>
  <si>
    <t>Melting_Curves/meltCurve_Q96FC9_4_DDX11.pdf</t>
  </si>
  <si>
    <t>Melting_Curves/meltCurve_Q96FE5_2_LINGO1.pdf</t>
  </si>
  <si>
    <t>Melting_Curves/meltCurve_Q96FE7_4_PIK3IP1.pdf</t>
  </si>
  <si>
    <t>Melting_Curves/meltCurve_Q96FF7_.pdf</t>
  </si>
  <si>
    <t>Melting_Curves/meltCurve_Q96FH0_MEF2BNB.pdf</t>
  </si>
  <si>
    <t>Melting_Curves/meltCurve_Q96FK6_WDR89.pdf</t>
  </si>
  <si>
    <t>Melting_Curves/meltCurve_Q96FQ6_S100A16.pdf</t>
  </si>
  <si>
    <t>Melting_Curves/meltCurve_Q96FV9_THOC1.pdf</t>
  </si>
  <si>
    <t>Melting_Curves/meltCurve_Q96FX2_DPH3.pdf</t>
  </si>
  <si>
    <t>Melting_Curves/meltCurve_Q96FX7_TRMT61A.pdf</t>
  </si>
  <si>
    <t>Melting_Curves/meltCurve_Q96FZ2_C3orf37.pdf</t>
  </si>
  <si>
    <t>Melting_Curves/meltCurve_Q96FZ7_CHMP6.pdf</t>
  </si>
  <si>
    <t>Melting_Curves/meltCurve_Q96G03_PGM2.pdf</t>
  </si>
  <si>
    <t>Melting_Curves/meltCurve_Q96G04_FAM86A.pdf</t>
  </si>
  <si>
    <t>Melting_Curves/meltCurve_Q96G25_MED8.pdf</t>
  </si>
  <si>
    <t>Melting_Curves/meltCurve_Q96G28_CCDC104.pdf</t>
  </si>
  <si>
    <t>Melting_Curves/meltCurve_Q96G46_DUS3L.pdf</t>
  </si>
  <si>
    <t>Melting_Curves/meltCurve_Q96G74_3_OTUD5.pdf</t>
  </si>
  <si>
    <t>Melting_Curves/meltCurve_Q96GA3_LTV1.pdf</t>
  </si>
  <si>
    <t>Melting_Curves/meltCurve_Q96GA7_SDSL.pdf</t>
  </si>
  <si>
    <t>Melting_Curves/meltCurve_Q96GD0_PDXP.pdf</t>
  </si>
  <si>
    <t>Melting_Curves/meltCurve_Q96GF1_RNF185.pdf</t>
  </si>
  <si>
    <t>Melting_Curves/meltCurve_Q96GG9_DCUN1D1.pdf</t>
  </si>
  <si>
    <t>Melting_Curves/meltCurve_Q96GK7_FAHD2A.pdf</t>
  </si>
  <si>
    <t>Melting_Curves/meltCurve_Q96GM8_TOE1.pdf</t>
  </si>
  <si>
    <t>Melting_Curves/meltCurve_Q96GQ7_DDX27.pdf</t>
  </si>
  <si>
    <t>Melting_Curves/meltCurve_Q96GS4_C17orf59.pdf</t>
  </si>
  <si>
    <t>Melting_Curves/meltCurve_Q96GS6_ABHD17A.pdf</t>
  </si>
  <si>
    <t>Melting_Curves/meltCurve_Q96GV9_C5orf30.pdf</t>
  </si>
  <si>
    <t>Melting_Curves/meltCurve_Q96GW9_MARS2.pdf</t>
  </si>
  <si>
    <t>Melting_Curves/meltCurve_Q96GX2_ATXN7L3B.pdf</t>
  </si>
  <si>
    <t>Melting_Curves/meltCurve_Q96GX5_2_MASTL.pdf</t>
  </si>
  <si>
    <t>Melting_Curves/meltCurve_Q96GX9_3_APIP.pdf</t>
  </si>
  <si>
    <t>Melting_Curves/meltCurve_Q96GY0_ZC2HC1A.pdf</t>
  </si>
  <si>
    <t>Melting_Curves/meltCurve_Q96GZ6_6_SLC41A3.pdf</t>
  </si>
  <si>
    <t>Melting_Curves/meltCurve_Q96H20_SNF8.pdf</t>
  </si>
  <si>
    <t>Melting_Curves/meltCurve_Q96H79_ZC3HAV1L.pdf</t>
  </si>
  <si>
    <t>Melting_Curves/meltCurve_Q96HC4_PDLIM5.pdf</t>
  </si>
  <si>
    <t>Melting_Curves/meltCurve_Q96HD1_CRELD1.pdf</t>
  </si>
  <si>
    <t>Melting_Curves/meltCurve_Q96HE7_ERO1L.pdf</t>
  </si>
  <si>
    <t>Melting_Curves/meltCurve_Q96HJ9_C7orf55.pdf</t>
  </si>
  <si>
    <t>Melting_Curves/meltCurve_Q96HJ9_2_C7orf55.pdf</t>
  </si>
  <si>
    <t>Melting_Curves/meltCurve_Q96HL8_2_SH3YL1.pdf</t>
  </si>
  <si>
    <t>Melting_Curves/meltCurve_Q96HN2_2_AHCYL2.pdf</t>
  </si>
  <si>
    <t>Melting_Curves/meltCurve_Q96HP0_DOCK6.pdf</t>
  </si>
  <si>
    <t>Melting_Curves/meltCurve_Q96HQ2_2_CDKN2AIPNL.pdf</t>
  </si>
  <si>
    <t>Melting_Curves/meltCurve_Q96HR8_2_NAF1.pdf</t>
  </si>
  <si>
    <t>Melting_Curves/meltCurve_Q96HS1_PGAM5.pdf</t>
  </si>
  <si>
    <t>Melting_Curves/meltCurve_Q96HW7_INTS4.pdf</t>
  </si>
  <si>
    <t>Melting_Curves/meltCurve_Q96HY6_DDRGK1.pdf</t>
  </si>
  <si>
    <t>Melting_Curves/meltCurve_Q96HY7_DHTKD1.pdf</t>
  </si>
  <si>
    <t>Melting_Curves/meltCurve_Q96I15_SCLY.pdf</t>
  </si>
  <si>
    <t>Melting_Curves/meltCurve_Q96I24_FUBP3.pdf</t>
  </si>
  <si>
    <t>Melting_Curves/meltCurve_Q96I25_RBM17.pdf</t>
  </si>
  <si>
    <t>Melting_Curves/meltCurve_Q96I36_COX14.pdf</t>
  </si>
  <si>
    <t>Melting_Curves/meltCurve_Q96I51_WBSCR16.pdf</t>
  </si>
  <si>
    <t>Melting_Curves/meltCurve_Q96I59_NARS2.pdf</t>
  </si>
  <si>
    <t>Melting_Curves/meltCurve_Q96I99_SUCLG2.pdf</t>
  </si>
  <si>
    <t>Melting_Curves/meltCurve_Q96IJ6_GMPPA.pdf</t>
  </si>
  <si>
    <t>Melting_Curves/meltCurve_Q96IK1_BOD1.pdf</t>
  </si>
  <si>
    <t>Melting_Curves/meltCurve_Q96IQ9_ZNF414.pdf</t>
  </si>
  <si>
    <t>Melting_Curves/meltCurve_Q96IR2_ZNF845.pdf</t>
  </si>
  <si>
    <t>Melting_Curves/meltCurve_Q96IR7_HPDL.pdf</t>
  </si>
  <si>
    <t>Melting_Curves/meltCurve_Q96IU4_ABHD14B.pdf</t>
  </si>
  <si>
    <t>Melting_Curves/meltCurve_Q96IV0_2_NGLY1.pdf</t>
  </si>
  <si>
    <t>Melting_Curves/meltCurve_Q96IX5_USMG5.pdf</t>
  </si>
  <si>
    <t>Melting_Curves/meltCurve_Q96IY1_NSL1.pdf</t>
  </si>
  <si>
    <t>Melting_Curves/meltCurve_Q96IZ0_PAWR.pdf</t>
  </si>
  <si>
    <t>Melting_Curves/meltCurve_Q96IZ7_2_RSRC1.pdf</t>
  </si>
  <si>
    <t>Melting_Curves/meltCurve_Q96J01_THOC3.pdf</t>
  </si>
  <si>
    <t>Melting_Curves/meltCurve_Q96J02_2_ITCH.pdf</t>
  </si>
  <si>
    <t>Melting_Curves/meltCurve_Q96J92_3_WNK4.pdf</t>
  </si>
  <si>
    <t>Melting_Curves/meltCurve_Q96JA1_LRIG1.pdf</t>
  </si>
  <si>
    <t>Melting_Curves/meltCurve_Q96JB2_COG3.pdf</t>
  </si>
  <si>
    <t>Melting_Curves/meltCurve_Q96JB5_CDK5RAP3.pdf</t>
  </si>
  <si>
    <t>Melting_Curves/meltCurve_Q96JC1_2_VPS39.pdf</t>
  </si>
  <si>
    <t>Melting_Curves/meltCurve_Q96JC9_EAF1.pdf</t>
  </si>
  <si>
    <t>Melting_Curves/meltCurve_Q96JH7_VCPIP1.pdf</t>
  </si>
  <si>
    <t>Melting_Curves/meltCurve_Q96JJ7_TMX3.pdf</t>
  </si>
  <si>
    <t>Melting_Curves/meltCurve_Q96JK9_MAML3.pdf</t>
  </si>
  <si>
    <t>Melting_Curves/meltCurve_Q96JM3_CHAMP1.pdf</t>
  </si>
  <si>
    <t>Melting_Curves/meltCurve_Q96JP5_ZFP91.pdf</t>
  </si>
  <si>
    <t>Melting_Curves/meltCurve_Q96K19_2_RNF170.pdf</t>
  </si>
  <si>
    <t>Melting_Curves/meltCurve_Q96K80_ZC3H10.pdf</t>
  </si>
  <si>
    <t>Melting_Curves/meltCurve_Q96KA5_2_CLPTM1L.pdf</t>
  </si>
  <si>
    <t>Melting_Curves/meltCurve_Q96KB5_PBK.pdf</t>
  </si>
  <si>
    <t>Melting_Curves/meltCurve_Q96KC2_ARL5B.pdf</t>
  </si>
  <si>
    <t>Melting_Curves/meltCurve_Q96KC8_DNAJC1.pdf</t>
  </si>
  <si>
    <t>Melting_Curves/meltCurve_Q96KN1_FAM84B.pdf</t>
  </si>
  <si>
    <t>Melting_Curves/meltCurve_Q96KP1_EXOC2.pdf</t>
  </si>
  <si>
    <t>Melting_Curves/meltCurve_Q96KP4_CNDP2.pdf</t>
  </si>
  <si>
    <t>Melting_Curves/meltCurve_Q96KR1_ZFR.pdf</t>
  </si>
  <si>
    <t>Melting_Curves/meltCurve_Q96L50_LRR1.pdf</t>
  </si>
  <si>
    <t>Melting_Curves/meltCurve_Q96L58_B3GALT6.pdf</t>
  </si>
  <si>
    <t>Melting_Curves/meltCurve_Q96L91_4_EP400.pdf</t>
  </si>
  <si>
    <t>Melting_Curves/meltCurve_Q96L92_SNX27.pdf</t>
  </si>
  <si>
    <t>Melting_Curves/meltCurve_Q96L93_6_KIF16B.pdf</t>
  </si>
  <si>
    <t>Melting_Curves/meltCurve_Q96L96_ALPK3.pdf</t>
  </si>
  <si>
    <t>Melting_Curves/meltCurve_Q96LA8_PRMT6.pdf</t>
  </si>
  <si>
    <t>Melting_Curves/meltCurve_Q96LB3_IFT74.pdf</t>
  </si>
  <si>
    <t>Melting_Curves/meltCurve_Q96LD4_TRIM47.pdf</t>
  </si>
  <si>
    <t>Melting_Curves/meltCurve_Q96LD8_SENP8.pdf</t>
  </si>
  <si>
    <t>Melting_Curves/meltCurve_Q96LJ7_DHRS1.pdf</t>
  </si>
  <si>
    <t>Melting_Curves/meltCurve_Q96LR5_UBE2E2.pdf</t>
  </si>
  <si>
    <t>Melting_Curves/meltCurve_Q96LT7_C9orf72.pdf</t>
  </si>
  <si>
    <t>Melting_Curves/meltCurve_Q96M20_2_CNBD2.pdf</t>
  </si>
  <si>
    <t>Melting_Curves/meltCurve_Q96M27_PRRC1.pdf</t>
  </si>
  <si>
    <t>Melting_Curves/meltCurve_Q96M32_AK7.pdf</t>
  </si>
  <si>
    <t>Melting_Curves/meltCurve_Q96ME1_4_FBXL18.pdf</t>
  </si>
  <si>
    <t>Melting_Curves/meltCurve_Q96MG2_JSRP1.pdf</t>
  </si>
  <si>
    <t>Melting_Curves/meltCurve_Q96MG7_NDNL2.pdf</t>
  </si>
  <si>
    <t>Melting_Curves/meltCurve_Q96MH2_HEXIM2.pdf</t>
  </si>
  <si>
    <t>Melting_Curves/meltCurve_Q96MH6_TMEM68.pdf</t>
  </si>
  <si>
    <t>Melting_Curves/meltCurve_Q96MX6_WDR92.pdf</t>
  </si>
  <si>
    <t>Melting_Curves/meltCurve_Q96N21_2_ENTHD2.pdf</t>
  </si>
  <si>
    <t>Melting_Curves/meltCurve_Q96N46_TTC14.pdf</t>
  </si>
  <si>
    <t>Melting_Curves/meltCurve_Q96N66_2_MBOAT7.pdf</t>
  </si>
  <si>
    <t>Melting_Curves/meltCurve_Q96NB2_SFXN2.pdf</t>
  </si>
  <si>
    <t>Melting_Curves/meltCurve_Q96NB3_ZNF830.pdf</t>
  </si>
  <si>
    <t>Melting_Curves/meltCurve_Q96NC0_ZMAT2.pdf</t>
  </si>
  <si>
    <t>Melting_Curves/meltCurve_Q96NT1_NAP1L5.pdf</t>
  </si>
  <si>
    <t>Melting_Curves/meltCurve_Q96NU7_AMDHD1.pdf</t>
  </si>
  <si>
    <t>Melting_Curves/meltCurve_Q96NY7_2_CLIC6.pdf</t>
  </si>
  <si>
    <t>Melting_Curves/meltCurve_Q96P11_2_NSUN5.pdf</t>
  </si>
  <si>
    <t>Melting_Curves/meltCurve_Q96P16_RPRD1A.pdf</t>
  </si>
  <si>
    <t>Melting_Curves/meltCurve_Q96P47_AGAP3.pdf</t>
  </si>
  <si>
    <t>Melting_Curves/meltCurve_Q96P48_3_ARAP1.pdf</t>
  </si>
  <si>
    <t>Melting_Curves/meltCurve_Q96P70_IPO9.pdf</t>
  </si>
  <si>
    <t>Melting_Curves/meltCurve_Q96PD2_DCBLD2.pdf</t>
  </si>
  <si>
    <t>Melting_Curves/meltCurve_Q96PE2_ARHGEF17.pdf</t>
  </si>
  <si>
    <t>Melting_Curves/meltCurve_Q96PE7_MCEE.pdf</t>
  </si>
  <si>
    <t>Melting_Curves/meltCurve_Q96PK6_RBM14.pdf</t>
  </si>
  <si>
    <t>Melting_Curves/meltCurve_Q96PM5_RCHY1.pdf</t>
  </si>
  <si>
    <t>Melting_Curves/meltCurve_Q96PU5_9_NEDD4L.pdf</t>
  </si>
  <si>
    <t>Melting_Curves/meltCurve_Q96PY5_FMNL2.pdf</t>
  </si>
  <si>
    <t>Melting_Curves/meltCurve_Q96PZ0_PUS7.pdf</t>
  </si>
  <si>
    <t>Melting_Curves/meltCurve_Q96Q11_2_TRNT1.pdf</t>
  </si>
  <si>
    <t>Melting_Curves/meltCurve_Q96Q45_2_TMEM237.pdf</t>
  </si>
  <si>
    <t>Melting_Curves/meltCurve_Q96Q83_ALKBH3.pdf</t>
  </si>
  <si>
    <t>Melting_Curves/meltCurve_Q96QC0_PPP1R10.pdf</t>
  </si>
  <si>
    <t>Melting_Curves/meltCurve_Q96QC4_MICA.pdf</t>
  </si>
  <si>
    <t>Melting_Curves/meltCurve_Q96QD8_SLC38A2.pdf</t>
  </si>
  <si>
    <t>Melting_Curves/meltCurve_Q96QE2_SLC2A13.pdf</t>
  </si>
  <si>
    <t>Melting_Curves/meltCurve_Q96QE5_TEFM.pdf</t>
  </si>
  <si>
    <t>Melting_Curves/meltCurve_Q96QF0_2_RAB3IP.pdf</t>
  </si>
  <si>
    <t>Melting_Curves/meltCurve_Q96QK1_VPS35.pdf</t>
  </si>
  <si>
    <t>Melting_Curves/meltCurve_Q96QR8_PURB.pdf</t>
  </si>
  <si>
    <t>Melting_Curves/meltCurve_Q96QU8_XPO6.pdf</t>
  </si>
  <si>
    <t>Melting_Curves/meltCurve_Q96QZ7_6_MAGI1.pdf</t>
  </si>
  <si>
    <t>Melting_Curves/meltCurve_Q96RD7_2_PANX1.pdf</t>
  </si>
  <si>
    <t>Melting_Curves/meltCurve_Q96RE7_NACC1.pdf</t>
  </si>
  <si>
    <t>Melting_Curves/meltCurve_Q96RG2_PASK.pdf</t>
  </si>
  <si>
    <t>Melting_Curves/meltCurve_Q96RL7_4_VPS13A.pdf</t>
  </si>
  <si>
    <t>Melting_Curves/meltCurve_Q96RN5_3_MED15.pdf</t>
  </si>
  <si>
    <t>Melting_Curves/meltCurve_Q96RP9_GFM1.pdf</t>
  </si>
  <si>
    <t>Melting_Curves/meltCurve_Q96RQ1_ERGIC2.pdf</t>
  </si>
  <si>
    <t>Melting_Curves/meltCurve_Q96RR4_2_CAMKK2.pdf</t>
  </si>
  <si>
    <t>Melting_Curves/meltCurve_Q96RS6_NUDCD1.pdf</t>
  </si>
  <si>
    <t>Melting_Curves/meltCurve_Q96RT1_4_ERBB2IP.pdf</t>
  </si>
  <si>
    <t>Melting_Curves/meltCurve_Q96S16_JMJD8.pdf</t>
  </si>
  <si>
    <t>Melting_Curves/meltCurve_Q96S19_C16orf13.pdf</t>
  </si>
  <si>
    <t>Melting_Curves/meltCurve_Q96S44_TP53RK.pdf</t>
  </si>
  <si>
    <t>Melting_Curves/meltCurve_Q96S52_PIGS.pdf</t>
  </si>
  <si>
    <t>Melting_Curves/meltCurve_Q96S55_2_WRNIP1.pdf</t>
  </si>
  <si>
    <t>Melting_Curves/meltCurve_Q96S59_RANBP9.pdf</t>
  </si>
  <si>
    <t>Melting_Curves/meltCurve_Q96S66_CLCC1.pdf</t>
  </si>
  <si>
    <t>Melting_Curves/meltCurve_Q96S82_UBL7.pdf</t>
  </si>
  <si>
    <t>Melting_Curves/meltCurve_Q96S90_LYSMD1.pdf</t>
  </si>
  <si>
    <t>Melting_Curves/meltCurve_Q96S94_CCNL2.pdf</t>
  </si>
  <si>
    <t>Melting_Curves/meltCurve_Q96S99_PLEKHF1.pdf</t>
  </si>
  <si>
    <t>Melting_Curves/meltCurve_Q96SB4_SRPK1.pdf</t>
  </si>
  <si>
    <t>Melting_Curves/meltCurve_Q96SB8_SMC6.pdf</t>
  </si>
  <si>
    <t>Melting_Curves/meltCurve_Q96SH1_TFAP2A.pdf</t>
  </si>
  <si>
    <t>Melting_Curves/meltCurve_Q96SI1_KCTD15.pdf</t>
  </si>
  <si>
    <t>Melting_Curves/meltCurve_Q96SI9_2_STRBP.pdf</t>
  </si>
  <si>
    <t>Melting_Curves/meltCurve_Q96SK2_2_TMEM209.pdf</t>
  </si>
  <si>
    <t>Melting_Curves/meltCurve_Q96SL1_2_DIRC2.pdf</t>
  </si>
  <si>
    <t>Melting_Curves/meltCurve_Q96SL4_GPX7.pdf</t>
  </si>
  <si>
    <t>Melting_Curves/meltCurve_Q96ST2_IWS1.pdf</t>
  </si>
  <si>
    <t>Melting_Curves/meltCurve_Q96ST3_SIN3A.pdf</t>
  </si>
  <si>
    <t>Melting_Curves/meltCurve_Q96SZ5_ADO.pdf</t>
  </si>
  <si>
    <t>Melting_Curves/meltCurve_Q96SZ6_3_CDK5RAP1.pdf</t>
  </si>
  <si>
    <t>Melting_Curves/meltCurve_Q96T17_MAP7D2.pdf</t>
  </si>
  <si>
    <t>Melting_Curves/meltCurve_Q96T23_2_RSF1.pdf</t>
  </si>
  <si>
    <t>Melting_Curves/meltCurve_Q96T25_ZIC5.pdf</t>
  </si>
  <si>
    <t>Melting_Curves/meltCurve_Q96T37_2_RBM15.pdf</t>
  </si>
  <si>
    <t>Melting_Curves/meltCurve_Q96T51_RUFY1.pdf</t>
  </si>
  <si>
    <t>Melting_Curves/meltCurve_Q96T58_SPEN.pdf</t>
  </si>
  <si>
    <t>Melting_Curves/meltCurve_Q96T60_PNKP.pdf</t>
  </si>
  <si>
    <t>Melting_Curves/meltCurve_Q96T66_NMNAT3.pdf</t>
  </si>
  <si>
    <t>Melting_Curves/meltCurve_Q96T76_MMS19.pdf</t>
  </si>
  <si>
    <t>Melting_Curves/meltCurve_Q96T88_UHRF1.pdf</t>
  </si>
  <si>
    <t>Melting_Curves/meltCurve_Q96TA1_2_FAM129B.pdf</t>
  </si>
  <si>
    <t>Melting_Curves/meltCurve_Q96TA2_3_YME1L1.pdf</t>
  </si>
  <si>
    <t>Melting_Curves/meltCurve_Q99081_TCF12.pdf</t>
  </si>
  <si>
    <t>Melting_Curves/meltCurve_Q99417_MYCBP.pdf</t>
  </si>
  <si>
    <t>Melting_Curves/meltCurve_Q99426_TBCB.pdf</t>
  </si>
  <si>
    <t>Melting_Curves/meltCurve_Q99436_PSMB7.pdf</t>
  </si>
  <si>
    <t>Melting_Curves/meltCurve_Q99447_PCYT2.pdf</t>
  </si>
  <si>
    <t>Melting_Curves/meltCurve_Q99459_CDC5L.pdf</t>
  </si>
  <si>
    <t>Melting_Curves/meltCurve_Q99460_PSMD1.pdf</t>
  </si>
  <si>
    <t>Melting_Curves/meltCurve_Q99470_SDF2.pdf</t>
  </si>
  <si>
    <t>Melting_Curves/meltCurve_Q99471_PFDN5.pdf</t>
  </si>
  <si>
    <t>Melting_Curves/meltCurve_Q99487_PAFAH2.pdf</t>
  </si>
  <si>
    <t>Melting_Curves/meltCurve_Q99496_RNF2.pdf</t>
  </si>
  <si>
    <t>Melting_Curves/meltCurve_Q99497_PARK7.pdf</t>
  </si>
  <si>
    <t>Melting_Curves/meltCurve_Q99504_2_EYA3.pdf</t>
  </si>
  <si>
    <t>Melting_Curves/meltCurve_Q99519_NEU1.pdf</t>
  </si>
  <si>
    <t>Melting_Curves/meltCurve_Q99523_SORT1.pdf</t>
  </si>
  <si>
    <t>Melting_Curves/meltCurve_Q99536_VAT1.pdf</t>
  </si>
  <si>
    <t>Melting_Curves/meltCurve_Q99538_LGMN.pdf</t>
  </si>
  <si>
    <t>Melting_Curves/meltCurve_Q99541_PLIN2.pdf</t>
  </si>
  <si>
    <t>Melting_Curves/meltCurve_Q99543_DNAJC2.pdf</t>
  </si>
  <si>
    <t>Melting_Curves/meltCurve_Q99549_MPHOSPH8.pdf</t>
  </si>
  <si>
    <t>Melting_Curves/meltCurve_Q99567_NUP88.pdf</t>
  </si>
  <si>
    <t>Melting_Curves/meltCurve_Q99569_2_PKP4.pdf</t>
  </si>
  <si>
    <t>Melting_Curves/meltCurve_Q99570_PIK3R4.pdf</t>
  </si>
  <si>
    <t>Melting_Curves/meltCurve_Q99574_SERPINI1.pdf</t>
  </si>
  <si>
    <t>Melting_Curves/meltCurve_Q99575_POP1.pdf</t>
  </si>
  <si>
    <t>Melting_Curves/meltCurve_Q99583_MNT.pdf</t>
  </si>
  <si>
    <t>Melting_Curves/meltCurve_Q99584_S100A13.pdf</t>
  </si>
  <si>
    <t>Melting_Curves/meltCurve_Q99592_ZBTB18.pdf</t>
  </si>
  <si>
    <t>Melting_Curves/meltCurve_Q99595_TIMM17A.pdf</t>
  </si>
  <si>
    <t>Melting_Curves/meltCurve_Q99598_TSNAX.pdf</t>
  </si>
  <si>
    <t>Melting_Curves/meltCurve_Q99611_SEPHS2.pdf</t>
  </si>
  <si>
    <t>Melting_Curves/meltCurve_Q99614_TTC1.pdf</t>
  </si>
  <si>
    <t>Melting_Curves/meltCurve_Q99615_DNAJC7.pdf</t>
  </si>
  <si>
    <t>Melting_Curves/meltCurve_Q99618_CDCA3.pdf</t>
  </si>
  <si>
    <t>Melting_Curves/meltCurve_Q99622_C12orf57.pdf</t>
  </si>
  <si>
    <t>Melting_Curves/meltCurve_Q99623_PHB2.pdf</t>
  </si>
  <si>
    <t>Melting_Curves/meltCurve_Q99627_COPS8.pdf</t>
  </si>
  <si>
    <t>Melting_Curves/meltCurve_Q99633_PRPF18.pdf</t>
  </si>
  <si>
    <t>Melting_Curves/meltCurve_Q99638_RAD9A.pdf</t>
  </si>
  <si>
    <t>Melting_Curves/meltCurve_Q99653_CHP1.pdf</t>
  </si>
  <si>
    <t>Melting_Curves/meltCurve_Q99661_KIF2C.pdf</t>
  </si>
  <si>
    <t>Melting_Curves/meltCurve_Q99674_CGREF1.pdf</t>
  </si>
  <si>
    <t>Melting_Curves/meltCurve_Q99700_4_ATXN2.pdf</t>
  </si>
  <si>
    <t>Melting_Curves/meltCurve_Q99704_DOK1.pdf</t>
  </si>
  <si>
    <t>Melting_Curves/meltCurve_Q99707_MTR.pdf</t>
  </si>
  <si>
    <t>Melting_Curves/meltCurve_Q99714_HSD17B10.pdf</t>
  </si>
  <si>
    <t>Melting_Curves/meltCurve_Q99720_SIGMAR1.pdf</t>
  </si>
  <si>
    <t>Melting_Curves/meltCurve_Q99729_3_HNRNPAB.pdf</t>
  </si>
  <si>
    <t>Melting_Curves/meltCurve_Q99733_NAP1L4.pdf</t>
  </si>
  <si>
    <t>Melting_Curves/meltCurve_Q99735_2_MGST2.pdf</t>
  </si>
  <si>
    <t>Melting_Curves/meltCurve_Q99747_NAPG.pdf</t>
  </si>
  <si>
    <t>Melting_Curves/meltCurve_Q99757_TXN2.pdf</t>
  </si>
  <si>
    <t>Melting_Curves/meltCurve_Q99766_ATP5S.pdf</t>
  </si>
  <si>
    <t>Melting_Curves/meltCurve_Q99797_MIPEP.pdf</t>
  </si>
  <si>
    <t>Melting_Curves/meltCurve_Q99805_TM9SF2.pdf</t>
  </si>
  <si>
    <t>Melting_Curves/meltCurve_Q99808_SLC29A1.pdf</t>
  </si>
  <si>
    <t>Melting_Curves/meltCurve_Q99816_TSG101.pdf</t>
  </si>
  <si>
    <t>Melting_Curves/meltCurve_Q99828_CIB1.pdf</t>
  </si>
  <si>
    <t>Melting_Curves/meltCurve_Q99829_CPNE1.pdf</t>
  </si>
  <si>
    <t>Melting_Curves/meltCurve_Q99832_CCT7.pdf</t>
  </si>
  <si>
    <t>Melting_Curves/meltCurve_Q99856_ARID3A.pdf</t>
  </si>
  <si>
    <t>Melting_Curves/meltCurve_Q99878_HIST1H2AJ.pdf</t>
  </si>
  <si>
    <t>Melting_Curves/meltCurve_Q99959_2_PKP2.pdf</t>
  </si>
  <si>
    <t>Melting_Curves/meltCurve_Q99961_SH3GL1.pdf</t>
  </si>
  <si>
    <t>Melting_Curves/meltCurve_Q99986_VRK1.pdf</t>
  </si>
  <si>
    <t>Melting_Curves/meltCurve_Q99988_GDF15.pdf</t>
  </si>
  <si>
    <t>Melting_Curves/meltCurve_Q99996_5_AKAP9.pdf</t>
  </si>
  <si>
    <t>Melting_Curves/meltCurve_Q9BPW8_NIPSNAP1.pdf</t>
  </si>
  <si>
    <t>Melting_Curves/meltCurve_Q9BPX3_NCAPG.pdf</t>
  </si>
  <si>
    <t>Melting_Curves/meltCurve_Q9BPX5_ARPC5L.pdf</t>
  </si>
  <si>
    <t>Melting_Curves/meltCurve_Q9BQ13_KCTD14.pdf</t>
  </si>
  <si>
    <t>Melting_Curves/meltCurve_Q9BQ24_ZFYVE21.pdf</t>
  </si>
  <si>
    <t>Melting_Curves/meltCurve_Q9BQ39_DDX50.pdf</t>
  </si>
  <si>
    <t>Melting_Curves/meltCurve_Q9BQ52_ELAC2.pdf</t>
  </si>
  <si>
    <t>Melting_Curves/meltCurve_Q9BQ61_C19orf43.pdf</t>
  </si>
  <si>
    <t>Melting_Curves/meltCurve_Q9BQ67_GRWD1.pdf</t>
  </si>
  <si>
    <t>Melting_Curves/meltCurve_Q9BQ69_MACROD1.pdf</t>
  </si>
  <si>
    <t>Melting_Curves/meltCurve_Q9BQ70_TCF25.pdf</t>
  </si>
  <si>
    <t>Melting_Curves/meltCurve_Q9BQ90_KLHDC3.pdf</t>
  </si>
  <si>
    <t>Melting_Curves/meltCurve_Q9BQ95_ECSIT.pdf</t>
  </si>
  <si>
    <t>Melting_Curves/meltCurve_Q9BQA1_WDR77.pdf</t>
  </si>
  <si>
    <t>Melting_Curves/meltCurve_Q9BQC3_DPH2.pdf</t>
  </si>
  <si>
    <t>Melting_Curves/meltCurve_Q9BQG0_MYBBP1A.pdf</t>
  </si>
  <si>
    <t>Melting_Curves/meltCurve_Q9BQL6_FERMT1.pdf</t>
  </si>
  <si>
    <t>Melting_Curves/meltCurve_Q9BQP7_MGME1.pdf</t>
  </si>
  <si>
    <t>Melting_Curves/meltCurve_Q9BQQ3_GORASP1.pdf</t>
  </si>
  <si>
    <t>Melting_Curves/meltCurve_Q9BQS8_FYCO1.pdf</t>
  </si>
  <si>
    <t>Melting_Curves/meltCurve_Q9BQT8_2_SLC25A21.pdf</t>
  </si>
  <si>
    <t>Melting_Curves/meltCurve_Q9BQT9_CLSTN3.pdf</t>
  </si>
  <si>
    <t>Melting_Curves/meltCurve_Q9BR61_ACBD6.pdf</t>
  </si>
  <si>
    <t>Melting_Curves/meltCurve_Q9BR76_CORO1B.pdf</t>
  </si>
  <si>
    <t>Melting_Curves/meltCurve_Q9BRA0_2_LSMD1.pdf</t>
  </si>
  <si>
    <t>Melting_Curves/meltCurve_Q9BRA2_TXNDC17.pdf</t>
  </si>
  <si>
    <t>Melting_Curves/meltCurve_Q9BRD0_BUD13.pdf</t>
  </si>
  <si>
    <t>Melting_Curves/meltCurve_Q9BRF8_CPPED1.pdf</t>
  </si>
  <si>
    <t>Melting_Curves/meltCurve_Q9BRG1_VPS25.pdf</t>
  </si>
  <si>
    <t>Melting_Curves/meltCurve_Q9BRJ2_MRPL45.pdf</t>
  </si>
  <si>
    <t>Melting_Curves/meltCurve_Q9BRK5_SDF4.pdf</t>
  </si>
  <si>
    <t>Melting_Curves/meltCurve_Q9BRP1_PDCD2L.pdf</t>
  </si>
  <si>
    <t>Melting_Curves/meltCurve_Q9BRP4_PAAF1.pdf</t>
  </si>
  <si>
    <t>Melting_Curves/meltCurve_Q9BRP8_2_WIBG.pdf</t>
  </si>
  <si>
    <t>Melting_Curves/meltCurve_Q9BRQ8_AIFM2.pdf</t>
  </si>
  <si>
    <t>Melting_Curves/meltCurve_Q9BRR0_2_ZKSCAN3.pdf</t>
  </si>
  <si>
    <t>Melting_Curves/meltCurve_Q9BRR6_2_ADPGK.pdf</t>
  </si>
  <si>
    <t>Melting_Curves/meltCurve_Q9BRR8_GPATCH1.pdf</t>
  </si>
  <si>
    <t>Melting_Curves/meltCurve_Q9BRS2_RIOK1.pdf</t>
  </si>
  <si>
    <t>Melting_Curves/meltCurve_Q9BRT2_MNF1.pdf</t>
  </si>
  <si>
    <t>Melting_Curves/meltCurve_Q9BRT3_MIEN1.pdf</t>
  </si>
  <si>
    <t>Melting_Curves/meltCurve_Q9BRT8_3_CBWD1.pdf</t>
  </si>
  <si>
    <t>Melting_Curves/meltCurve_Q9BRT9_GINS4.pdf</t>
  </si>
  <si>
    <t>Melting_Curves/meltCurve_Q9BRV8_SIKE1.pdf</t>
  </si>
  <si>
    <t>Melting_Curves/meltCurve_Q9BRX2_PELO.pdf</t>
  </si>
  <si>
    <t>Melting_Curves/meltCurve_Q9BRX5_GINS3.pdf</t>
  </si>
  <si>
    <t>Melting_Curves/meltCurve_Q9BRX8_2_FAM213A.pdf</t>
  </si>
  <si>
    <t>Melting_Curves/meltCurve_Q9BS18_ANAPC13.pdf</t>
  </si>
  <si>
    <t>Melting_Curves/meltCurve_Q9BS26_ERP44.pdf</t>
  </si>
  <si>
    <t>Melting_Curves/meltCurve_Q9BSB4_ATG101.pdf</t>
  </si>
  <si>
    <t>Melting_Curves/meltCurve_Q9BSD7_NTPCR.pdf</t>
  </si>
  <si>
    <t>Melting_Curves/meltCurve_Q9BSE5_AGMAT.pdf</t>
  </si>
  <si>
    <t>Melting_Curves/meltCurve_Q9BSF4_C19orf52.pdf</t>
  </si>
  <si>
    <t>Melting_Curves/meltCurve_Q9BSH4_TACO1.pdf</t>
  </si>
  <si>
    <t>Melting_Curves/meltCurve_Q9BSH5_HDHD3.pdf</t>
  </si>
  <si>
    <t>Melting_Curves/meltCurve_Q9BSJ2_TUBGCP2.pdf</t>
  </si>
  <si>
    <t>Melting_Curves/meltCurve_Q9BSJ5_3_C17orf80.pdf</t>
  </si>
  <si>
    <t>Melting_Curves/meltCurve_Q9BSJ6_FAM64A.pdf</t>
  </si>
  <si>
    <t>Melting_Curves/meltCurve_Q9BSJ8_ESYT1.pdf</t>
  </si>
  <si>
    <t>Melting_Curves/meltCurve_Q9BSK2_SLC25A33.pdf</t>
  </si>
  <si>
    <t>Melting_Curves/meltCurve_Q9BSL1_UBAC1.pdf</t>
  </si>
  <si>
    <t>Melting_Curves/meltCurve_Q9BSR8_YIPF4.pdf</t>
  </si>
  <si>
    <t>Melting_Curves/meltCurve_Q9BST9_RTKN.pdf</t>
  </si>
  <si>
    <t>Melting_Curves/meltCurve_Q9BSV6_TSEN34.pdf</t>
  </si>
  <si>
    <t>Melting_Curves/meltCurve_Q9BSW2_2_EFCAB4B.pdf</t>
  </si>
  <si>
    <t>Melting_Curves/meltCurve_Q9BSY4_CHCHD5.pdf</t>
  </si>
  <si>
    <t>Melting_Curves/meltCurve_Q9BT09_CNPY3.pdf</t>
  </si>
  <si>
    <t>Melting_Curves/meltCurve_Q9BT17_MTG1.pdf</t>
  </si>
  <si>
    <t>Melting_Curves/meltCurve_Q9BT22_ALG1.pdf</t>
  </si>
  <si>
    <t>Melting_Curves/meltCurve_Q9BT23_LIMD2.pdf</t>
  </si>
  <si>
    <t>Melting_Curves/meltCurve_Q9BT30_ALKBH7.pdf</t>
  </si>
  <si>
    <t>Melting_Curves/meltCurve_Q9BT73_PSMG3.pdf</t>
  </si>
  <si>
    <t>Melting_Curves/meltCurve_Q9BT78_COPS4.pdf</t>
  </si>
  <si>
    <t>Melting_Curves/meltCurve_Q9BTA9_WAC.pdf</t>
  </si>
  <si>
    <t>Melting_Curves/meltCurve_Q9BTC0_DIDO1.pdf</t>
  </si>
  <si>
    <t>Melting_Curves/meltCurve_Q9BTE3_2_MCMBP.pdf</t>
  </si>
  <si>
    <t>Melting_Curves/meltCurve_Q9BTE6_AARSD1.pdf</t>
  </si>
  <si>
    <t>Melting_Curves/meltCurve_Q9BTE7_DCUN1D5.pdf</t>
  </si>
  <si>
    <t>Melting_Curves/meltCurve_Q9BTF0_2_THUMPD2.pdf</t>
  </si>
  <si>
    <t>Melting_Curves/meltCurve_Q9BTL3_FAM103A1.pdf</t>
  </si>
  <si>
    <t>Melting_Curves/meltCurve_Q9BTT0_ANP32E.pdf</t>
  </si>
  <si>
    <t>Melting_Curves/meltCurve_Q9BTT4_MED10.pdf</t>
  </si>
  <si>
    <t>Melting_Curves/meltCurve_Q9BTT6_LRRC1.pdf</t>
  </si>
  <si>
    <t>Melting_Curves/meltCurve_Q9BTU6_PI4K2A.pdf</t>
  </si>
  <si>
    <t>Melting_Curves/meltCurve_Q9BTV4_TMEM43.pdf</t>
  </si>
  <si>
    <t>Melting_Curves/meltCurve_Q9BTV6_WDR85.pdf</t>
  </si>
  <si>
    <t>Melting_Curves/meltCurve_Q9BTX7_TTPAL.pdf</t>
  </si>
  <si>
    <t>Melting_Curves/meltCurve_Q9BTY2_FUCA2.pdf</t>
  </si>
  <si>
    <t>Melting_Curves/meltCurve_Q9BTY7_FAM203A.pdf</t>
  </si>
  <si>
    <t>Melting_Curves/meltCurve_Q9BTZ2_DHRS4.pdf</t>
  </si>
  <si>
    <t>Melting_Curves/meltCurve_Q9BU02_THTPA.pdf</t>
  </si>
  <si>
    <t>Melting_Curves/meltCurve_Q9BU23_3_LMF2.pdf</t>
  </si>
  <si>
    <t>Melting_Curves/meltCurve_Q9BU61_NDUFAF3.pdf</t>
  </si>
  <si>
    <t>Melting_Curves/meltCurve_Q9BU76_4_MMTAG2.pdf</t>
  </si>
  <si>
    <t>Melting_Curves/meltCurve_Q9BU89_DOHH.pdf</t>
  </si>
  <si>
    <t>Melting_Curves/meltCurve_Q9BUA3_C11orf84.pdf</t>
  </si>
  <si>
    <t>Melting_Curves/meltCurve_Q9BUB5_2_MKNK1.pdf</t>
  </si>
  <si>
    <t>Melting_Curves/meltCurve_Q9BUB7_2_TMEM70.pdf</t>
  </si>
  <si>
    <t>Melting_Curves/meltCurve_Q9BUE0_MED18.pdf</t>
  </si>
  <si>
    <t>Melting_Curves/meltCurve_Q9BUE6_ISCA1.pdf</t>
  </si>
  <si>
    <t>Melting_Curves/meltCurve_Q9BUF5_TUBB6.pdf</t>
  </si>
  <si>
    <t>Melting_Curves/meltCurve_Q9BUH6_C9orf142.pdf</t>
  </si>
  <si>
    <t>Melting_Curves/meltCurve_Q9BUI4_POLR3C.pdf</t>
  </si>
  <si>
    <t>Melting_Curves/meltCurve_Q9BUJ2_2_HNRNPUL1.pdf</t>
  </si>
  <si>
    <t>Melting_Curves/meltCurve_Q9BUK6_2_MSTO1.pdf</t>
  </si>
  <si>
    <t>Melting_Curves/meltCurve_Q9BUL9_RPP25.pdf</t>
  </si>
  <si>
    <t>Melting_Curves/meltCurve_Q9BUN5_CCDC28B.pdf</t>
  </si>
  <si>
    <t>Melting_Curves/meltCurve_Q9BUP3_3_HTATIP2.pdf</t>
  </si>
  <si>
    <t>Melting_Curves/meltCurve_Q9BUQ8_DDX23.pdf</t>
  </si>
  <si>
    <t>Melting_Curves/meltCurve_Q9BUR4_WRAP53.pdf</t>
  </si>
  <si>
    <t>Melting_Curves/meltCurve_Q9BUT9_FAM195A.pdf</t>
  </si>
  <si>
    <t>Melting_Curves/meltCurve_Q9BUW7_C9orf16.pdf</t>
  </si>
  <si>
    <t>Melting_Curves/meltCurve_Q9BUZ4_2_TRAF4.pdf</t>
  </si>
  <si>
    <t>Melting_Curves/meltCurve_Q9BV10_ALG12.pdf</t>
  </si>
  <si>
    <t>Melting_Curves/meltCurve_Q9BV19_C1orf50.pdf</t>
  </si>
  <si>
    <t>Melting_Curves/meltCurve_Q9BV20_MRI1.pdf</t>
  </si>
  <si>
    <t>Melting_Curves/meltCurve_Q9BV23_ABHD6.pdf</t>
  </si>
  <si>
    <t>Melting_Curves/meltCurve_Q9BV38_WDR18.pdf</t>
  </si>
  <si>
    <t>Melting_Curves/meltCurve_Q9BV40_VAMP8.pdf</t>
  </si>
  <si>
    <t>Melting_Curves/meltCurve_Q9BV44_THUMPD3.pdf</t>
  </si>
  <si>
    <t>Melting_Curves/meltCurve_Q9BV57_ADI1.pdf</t>
  </si>
  <si>
    <t>Melting_Curves/meltCurve_Q9BV68_2_RNF126.pdf</t>
  </si>
  <si>
    <t>Melting_Curves/meltCurve_Q9BV79_MECR.pdf</t>
  </si>
  <si>
    <t>Melting_Curves/meltCurve_Q9BV81_EMC6.pdf</t>
  </si>
  <si>
    <t>Melting_Curves/meltCurve_Q9BV86_NTMT1.pdf</t>
  </si>
  <si>
    <t>Melting_Curves/meltCurve_Q9BVA0_KATNB1.pdf</t>
  </si>
  <si>
    <t>Melting_Curves/meltCurve_Q9BVA1_TUBB2B.pdf</t>
  </si>
  <si>
    <t>Melting_Curves/meltCurve_Q9BVC4_MLST8.pdf</t>
  </si>
  <si>
    <t>Melting_Curves/meltCurve_Q9BVC6_TMEM109.pdf</t>
  </si>
  <si>
    <t>Melting_Curves/meltCurve_Q9BVG4_PBDC1.pdf</t>
  </si>
  <si>
    <t>Melting_Curves/meltCurve_Q9BVG9_PTDSS2.pdf</t>
  </si>
  <si>
    <t>Melting_Curves/meltCurve_Q9BVI4_NOC4L.pdf</t>
  </si>
  <si>
    <t>Melting_Curves/meltCurve_Q9BVJ6_3_UTP14A.pdf</t>
  </si>
  <si>
    <t>Melting_Curves/meltCurve_Q9BVJ7_DUSP23.pdf</t>
  </si>
  <si>
    <t>Melting_Curves/meltCurve_Q9BVK6_TMED9.pdf</t>
  </si>
  <si>
    <t>Melting_Curves/meltCurve_Q9BVL4_SELO.pdf</t>
  </si>
  <si>
    <t>Melting_Curves/meltCurve_Q9BVM4_GGACT.pdf</t>
  </si>
  <si>
    <t>Melting_Curves/meltCurve_Q9BVP2_2_GNL3.pdf</t>
  </si>
  <si>
    <t>Melting_Curves/meltCurve_Q9BVQ7_SPATA5L1.pdf</t>
  </si>
  <si>
    <t>Melting_Curves/meltCurve_Q9BVS5_TRMT61B.pdf</t>
  </si>
  <si>
    <t>Melting_Curves/meltCurve_Q9BVV7_TIMM21.pdf</t>
  </si>
  <si>
    <t>Melting_Curves/meltCurve_Q9BVW5_TIPIN.pdf</t>
  </si>
  <si>
    <t>Melting_Curves/meltCurve_Q9BW04_SARG.pdf</t>
  </si>
  <si>
    <t>Melting_Curves/meltCurve_Q9BW19_KIFC1.pdf</t>
  </si>
  <si>
    <t>Melting_Curves/meltCurve_Q9BW27_NUP85.pdf</t>
  </si>
  <si>
    <t>Melting_Curves/meltCurve_Q9BW30_TPPP3.pdf</t>
  </si>
  <si>
    <t>Melting_Curves/meltCurve_Q9BW60_ELOVL1.pdf</t>
  </si>
  <si>
    <t>Melting_Curves/meltCurve_Q9BW61_DDA1.pdf</t>
  </si>
  <si>
    <t>Melting_Curves/meltCurve_Q9BW71_HIRIP3.pdf</t>
  </si>
  <si>
    <t>Melting_Curves/meltCurve_Q9BW83_IFT27.pdf</t>
  </si>
  <si>
    <t>Melting_Curves/meltCurve_Q9BW85_CCDC94.pdf</t>
  </si>
  <si>
    <t>Melting_Curves/meltCurve_Q9BW91_2_NUDT9.pdf</t>
  </si>
  <si>
    <t>Melting_Curves/meltCurve_Q9BW92_TARS2.pdf</t>
  </si>
  <si>
    <t>Melting_Curves/meltCurve_Q9BWD1_ACAT2.pdf</t>
  </si>
  <si>
    <t>Melting_Curves/meltCurve_Q9BWE0_REPIN1.pdf</t>
  </si>
  <si>
    <t>Melting_Curves/meltCurve_Q9BWF3_RBM4.pdf</t>
  </si>
  <si>
    <t>Melting_Curves/meltCurve_Q9BWH2_FUNDC2.pdf</t>
  </si>
  <si>
    <t>Melting_Curves/meltCurve_Q9BWH6_RPAP1.pdf</t>
  </si>
  <si>
    <t>Melting_Curves/meltCurve_Q9BWJ5_SF3B5.pdf</t>
  </si>
  <si>
    <t>Melting_Curves/meltCurve_Q9BWM7_SFXN3.pdf</t>
  </si>
  <si>
    <t>Melting_Curves/meltCurve_Q9BWT3_PAPOLG.pdf</t>
  </si>
  <si>
    <t>Melting_Curves/meltCurve_Q9BWU0_SLC4A1AP.pdf</t>
  </si>
  <si>
    <t>Melting_Curves/meltCurve_Q9BX40_LSM14B.pdf</t>
  </si>
  <si>
    <t>Melting_Curves/meltCurve_Q9BX66_9_SORBS1.pdf</t>
  </si>
  <si>
    <t>Melting_Curves/meltCurve_Q9BX68_HINT2.pdf</t>
  </si>
  <si>
    <t>Melting_Curves/meltCurve_Q9BX95_SGPP1.pdf</t>
  </si>
  <si>
    <t>Melting_Curves/meltCurve_Q9BXH1_2_BBC3.pdf</t>
  </si>
  <si>
    <t>Melting_Curves/meltCurve_Q9BXJ9_NAA15.pdf</t>
  </si>
  <si>
    <t>Melting_Curves/meltCurve_Q9BXK1_KLF16.pdf</t>
  </si>
  <si>
    <t>Melting_Curves/meltCurve_Q9BXK5_BCL2L13.pdf</t>
  </si>
  <si>
    <t>Melting_Curves/meltCurve_Q9BXP2_SLC12A9.pdf</t>
  </si>
  <si>
    <t>Melting_Curves/meltCurve_Q9BXP5_4_SRRT.pdf</t>
  </si>
  <si>
    <t>Melting_Curves/meltCurve_Q9BXR0_QTRT1.pdf</t>
  </si>
  <si>
    <t>Melting_Curves/meltCurve_Q9BXS4_TMEM59.pdf</t>
  </si>
  <si>
    <t>Melting_Curves/meltCurve_Q9BXS6_2_NUSAP1.pdf</t>
  </si>
  <si>
    <t>Melting_Curves/meltCurve_Q9BXV9_C14orf142.pdf</t>
  </si>
  <si>
    <t>Melting_Curves/meltCurve_Q9BXW6_OSBPL1A.pdf</t>
  </si>
  <si>
    <t>Melting_Curves/meltCurve_Q9BXW7_2_CECR5.pdf</t>
  </si>
  <si>
    <t>Melting_Curves/meltCurve_Q9BXW9_3_FANCD2.pdf</t>
  </si>
  <si>
    <t>Melting_Curves/meltCurve_Q9BY32_ITPA.pdf</t>
  </si>
  <si>
    <t>Melting_Curves/meltCurve_Q9BY41_HDAC8.pdf</t>
  </si>
  <si>
    <t>Melting_Curves/meltCurve_Q9BY43_CHMP4A.pdf</t>
  </si>
  <si>
    <t>Melting_Curves/meltCurve_Q9BY44_EIF2A.pdf</t>
  </si>
  <si>
    <t>Melting_Curves/meltCurve_Q9BY77_POLDIP3.pdf</t>
  </si>
  <si>
    <t>Melting_Curves/meltCurve_Q9BY89_KIAA1671.pdf</t>
  </si>
  <si>
    <t>Melting_Curves/meltCurve_Q9BYB4_GNB1L.pdf</t>
  </si>
  <si>
    <t>Melting_Curves/meltCurve_Q9BYC8_MRPL32.pdf</t>
  </si>
  <si>
    <t>Melting_Curves/meltCurve_Q9BYD6_MRPL1.pdf</t>
  </si>
  <si>
    <t>Melting_Curves/meltCurve_Q9BYM8_3_RBCK1.pdf</t>
  </si>
  <si>
    <t>Melting_Curves/meltCurve_Q9BYN0_SRXN1.pdf</t>
  </si>
  <si>
    <t>Melting_Curves/meltCurve_Q9BYN8_MRPS26.pdf</t>
  </si>
  <si>
    <t>Melting_Curves/meltCurve_Q9BYT8_NLN.pdf</t>
  </si>
  <si>
    <t>Melting_Curves/meltCurve_Q9BYW2_SETD2.pdf</t>
  </si>
  <si>
    <t>Melting_Curves/meltCurve_Q9BZ23_3_PANK2.pdf</t>
  </si>
  <si>
    <t>Melting_Curves/meltCurve_Q9BZ29_3_DOCK9.pdf</t>
  </si>
  <si>
    <t>Melting_Curves/meltCurve_Q9BZ67_2_FRMD8.pdf</t>
  </si>
  <si>
    <t>Melting_Curves/meltCurve_Q9BZ95_4_WHSC1L1.pdf</t>
  </si>
  <si>
    <t>Melting_Curves/meltCurve_Q9BZE1_MRPL37.pdf</t>
  </si>
  <si>
    <t>Melting_Curves/meltCurve_Q9BZE2_PUS3.pdf</t>
  </si>
  <si>
    <t>Melting_Curves/meltCurve_Q9BZE9_ASPSCR1.pdf</t>
  </si>
  <si>
    <t>Melting_Curves/meltCurve_Q9BZF1_3_OSBPL8.pdf</t>
  </si>
  <si>
    <t>Melting_Curves/meltCurve_Q9BZH6_WDR11.pdf</t>
  </si>
  <si>
    <t>Melting_Curves/meltCurve_Q9BZI7_2_UPF3B.pdf</t>
  </si>
  <si>
    <t>Melting_Curves/meltCurve_Q9BZK7_TBL1XR1.pdf</t>
  </si>
  <si>
    <t>Melting_Curves/meltCurve_Q9BZL1_UBL5.pdf</t>
  </si>
  <si>
    <t>Melting_Curves/meltCurve_Q9BZM1_PLA2G12A.pdf</t>
  </si>
  <si>
    <t>Melting_Curves/meltCurve_Q9BZM4_ULBP3.pdf</t>
  </si>
  <si>
    <t>Melting_Curves/meltCurve_Q9BZM5_ULBP2.pdf</t>
  </si>
  <si>
    <t>Melting_Curves/meltCurve_Q9BZX2_UCK2.pdf</t>
  </si>
  <si>
    <t>Melting_Curves/meltCurve_Q9BZZ5_API5.pdf</t>
  </si>
  <si>
    <t>Melting_Curves/meltCurve_Q9BZZ5_2_API5.pdf</t>
  </si>
  <si>
    <t>Melting_Curves/meltCurve_Q9C004_SPRY4.pdf</t>
  </si>
  <si>
    <t>Melting_Curves/meltCurve_Q9C005_DPY30.pdf</t>
  </si>
  <si>
    <t>Melting_Curves/meltCurve_Q9C037_2_TRIM4.pdf</t>
  </si>
  <si>
    <t>Melting_Curves/meltCurve_Q9C040_TRIM2.pdf</t>
  </si>
  <si>
    <t>Melting_Curves/meltCurve_Q9C0B0_UNK.pdf</t>
  </si>
  <si>
    <t>Melting_Curves/meltCurve_Q9C0B1_FTO.pdf</t>
  </si>
  <si>
    <t>Melting_Curves/meltCurve_Q9C0B5_2_ZDHHC5.pdf</t>
  </si>
  <si>
    <t>Melting_Curves/meltCurve_Q9C0B7_TANGO6.pdf</t>
  </si>
  <si>
    <t>Melting_Curves/meltCurve_Q9C0C2_TNKS1BP1.pdf</t>
  </si>
  <si>
    <t>Melting_Curves/meltCurve_Q9C0C7_6_AMBRA1.pdf</t>
  </si>
  <si>
    <t>Melting_Curves/meltCurve_Q9C0C9_UBE2O.pdf</t>
  </si>
  <si>
    <t>Melting_Curves/meltCurve_Q9C0D3_ZYG11B.pdf</t>
  </si>
  <si>
    <t>Melting_Curves/meltCurve_Q9C0D5_2_TANC1.pdf</t>
  </si>
  <si>
    <t>Melting_Curves/meltCurve_Q9C0F1_CEP44.pdf</t>
  </si>
  <si>
    <t>Melting_Curves/meltCurve_Q9C0H2_2_TTYH3.pdf</t>
  </si>
  <si>
    <t>Melting_Curves/meltCurve_Q9C0I1_MTMR12.pdf</t>
  </si>
  <si>
    <t>Melting_Curves/meltCurve_Q9C0J8_WDR33.pdf</t>
  </si>
  <si>
    <t>Melting_Curves/meltCurve_Q9C0K1_2_SLC39A8.pdf</t>
  </si>
  <si>
    <t>Melting_Curves/meltCurve_Q9GZL7_WDR12.pdf</t>
  </si>
  <si>
    <t>Melting_Curves/meltCurve_Q9GZN8_C20orf27.pdf</t>
  </si>
  <si>
    <t>Melting_Curves/meltCurve_Q9GZP1_NRSN2.pdf</t>
  </si>
  <si>
    <t>Melting_Curves/meltCurve_Q9GZP4_PITHD1.pdf</t>
  </si>
  <si>
    <t>Melting_Curves/meltCurve_Q9GZP9_DERL2.pdf</t>
  </si>
  <si>
    <t>Melting_Curves/meltCurve_Q9GZQ3_COMMD5.pdf</t>
  </si>
  <si>
    <t>Melting_Curves/meltCurve_Q9GZR2_REXO4.pdf</t>
  </si>
  <si>
    <t>Melting_Curves/meltCurve_Q9GZS1_2_POLR1E.pdf</t>
  </si>
  <si>
    <t>Melting_Curves/meltCurve_Q9GZS3_WDR61.pdf</t>
  </si>
  <si>
    <t>Melting_Curves/meltCurve_Q9GZT3_SLIRP.pdf</t>
  </si>
  <si>
    <t>Melting_Curves/meltCurve_Q9GZT5_WNT10A.pdf</t>
  </si>
  <si>
    <t>Melting_Curves/meltCurve_Q9GZT6_2_CCDC90B.pdf</t>
  </si>
  <si>
    <t>Melting_Curves/meltCurve_Q9GZT8_2_NIF3L1.pdf</t>
  </si>
  <si>
    <t>Melting_Curves/meltCurve_Q9GZT9_EGLN1.pdf</t>
  </si>
  <si>
    <t>Melting_Curves/meltCurve_Q9GZU8_FAM192A.pdf</t>
  </si>
  <si>
    <t>Melting_Curves/meltCurve_Q9GZX9_TWSG1.pdf</t>
  </si>
  <si>
    <t>Melting_Curves/meltCurve_Q9GZY8_2_MFF.pdf</t>
  </si>
  <si>
    <t>Melting_Curves/meltCurve_Q9GZZ9_UBA5.pdf</t>
  </si>
  <si>
    <t>Melting_Curves/meltCurve_Q9H008_LHPP.pdf</t>
  </si>
  <si>
    <t>Melting_Curves/meltCurve_Q9H019_3_MTFR1L.pdf</t>
  </si>
  <si>
    <t>Melting_Curves/meltCurve_Q9H061_TMEM126A.pdf</t>
  </si>
  <si>
    <t>Melting_Curves/meltCurve_Q9H074_PAIP1.pdf</t>
  </si>
  <si>
    <t>Melting_Curves/meltCurve_Q9H078_2_CLPB.pdf</t>
  </si>
  <si>
    <t>Melting_Curves/meltCurve_Q9H082_RAB33B.pdf</t>
  </si>
  <si>
    <t>Melting_Curves/meltCurve_Q9H089_LSG1.pdf</t>
  </si>
  <si>
    <t>Melting_Curves/meltCurve_Q9H0B6_KLC2.pdf</t>
  </si>
  <si>
    <t>Melting_Curves/meltCurve_Q9H0C8_ILKAP.pdf</t>
  </si>
  <si>
    <t>Melting_Curves/meltCurve_Q9H0D6_XRN2.pdf</t>
  </si>
  <si>
    <t>Melting_Curves/meltCurve_Q9H0E2_TOLLIP.pdf</t>
  </si>
  <si>
    <t>Melting_Curves/meltCurve_Q9H0E9_2_BRD8.pdf</t>
  </si>
  <si>
    <t>Melting_Curves/meltCurve_Q9H0F7_ARL6.pdf</t>
  </si>
  <si>
    <t>Melting_Curves/meltCurve_Q9H0G5_NSRP1.pdf</t>
  </si>
  <si>
    <t>Melting_Curves/meltCurve_Q9H0H5_RACGAP1.pdf</t>
  </si>
  <si>
    <t>Melting_Curves/meltCurve_Q9H0J9_PARP12.pdf</t>
  </si>
  <si>
    <t>Melting_Curves/meltCurve_Q9H0K1_SIK2.pdf</t>
  </si>
  <si>
    <t>Melting_Curves/meltCurve_Q9H0K6_PUS7L.pdf</t>
  </si>
  <si>
    <t>Melting_Curves/meltCurve_Q9H0L4_CSTF2T.pdf</t>
  </si>
  <si>
    <t>Melting_Curves/meltCurve_Q9H0P0_1_NT5C3A.pdf</t>
  </si>
  <si>
    <t>Melting_Curves/meltCurve_Q9H0R4_HDHD2.pdf</t>
  </si>
  <si>
    <t>Melting_Curves/meltCurve_Q9H0R6_QRSL1.pdf</t>
  </si>
  <si>
    <t>Melting_Curves/meltCurve_Q9H0S4_2_DDX47.pdf</t>
  </si>
  <si>
    <t>Melting_Curves/meltCurve_Q9H0U3_MAGT1.pdf</t>
  </si>
  <si>
    <t>Melting_Curves/meltCurve_Q9H0U4_RAB1B.pdf</t>
  </si>
  <si>
    <t>Melting_Curves/meltCurve_Q9H0U6_MRPL18.pdf</t>
  </si>
  <si>
    <t>Melting_Curves/meltCurve_Q9H0U9_TSPYL1.pdf</t>
  </si>
  <si>
    <t>Melting_Curves/meltCurve_Q9H0V9_LMAN2L.pdf</t>
  </si>
  <si>
    <t>Melting_Curves/meltCurve_Q9H0W8_2_SMG9.pdf</t>
  </si>
  <si>
    <t>Melting_Curves/meltCurve_Q9H0W9_C11orf54.pdf</t>
  </si>
  <si>
    <t>Melting_Curves/meltCurve_Q9H0X4_ITFG3.pdf</t>
  </si>
  <si>
    <t>Melting_Curves/meltCurve_Q9H115_NAPB.pdf</t>
  </si>
  <si>
    <t>Melting_Curves/meltCurve_Q9H173_SIL1.pdf</t>
  </si>
  <si>
    <t>Melting_Curves/meltCurve_Q9H1B7_IRF2BPL.pdf</t>
  </si>
  <si>
    <t>Melting_Curves/meltCurve_Q9H1C4_UNC93B1.pdf</t>
  </si>
  <si>
    <t>Melting_Curves/meltCurve_Q9H1D9_POLR3F.pdf</t>
  </si>
  <si>
    <t>Melting_Curves/meltCurve_Q9H1E3_NUCKS1.pdf</t>
  </si>
  <si>
    <t>Melting_Curves/meltCurve_Q9H1I8_3_ASCC2.pdf</t>
  </si>
  <si>
    <t>Melting_Curves/meltCurve_Q9H1J1_UPF3A.pdf</t>
  </si>
  <si>
    <t>Melting_Curves/meltCurve_Q9H1K0_ZFYVE20.pdf</t>
  </si>
  <si>
    <t>Melting_Curves/meltCurve_Q9H1K1_ISCU.pdf</t>
  </si>
  <si>
    <t>Melting_Curves/meltCurve_Q9H1K6_MESDC1.pdf</t>
  </si>
  <si>
    <t>Melting_Curves/meltCurve_Q9H1P3_2_OSBPL2.pdf</t>
  </si>
  <si>
    <t>Melting_Curves/meltCurve_Q9H1X3_3_DNAJC25.pdf</t>
  </si>
  <si>
    <t>Melting_Curves/meltCurve_Q9H1Y0_ATG5.pdf</t>
  </si>
  <si>
    <t>Melting_Curves/meltCurve_Q9H1Z4_WDR13.pdf</t>
  </si>
  <si>
    <t>Melting_Curves/meltCurve_Q9H204_MED28.pdf</t>
  </si>
  <si>
    <t>Melting_Curves/meltCurve_Q9H223_EHD4.pdf</t>
  </si>
  <si>
    <t>Melting_Curves/meltCurve_Q9H267_VPS33B.pdf</t>
  </si>
  <si>
    <t>Melting_Curves/meltCurve_Q9H269_VPS16.pdf</t>
  </si>
  <si>
    <t>Melting_Curves/meltCurve_Q9H270_VPS11.pdf</t>
  </si>
  <si>
    <t>Melting_Curves/meltCurve_Q9H2C0_GAN.pdf</t>
  </si>
  <si>
    <t>Melting_Curves/meltCurve_Q9H2D1_SLC25A32.pdf</t>
  </si>
  <si>
    <t>Melting_Curves/meltCurve_Q9H2D6_5_TRIOBP.pdf</t>
  </si>
  <si>
    <t>Melting_Curves/meltCurve_Q9H2G2_SLK.pdf</t>
  </si>
  <si>
    <t>Melting_Curves/meltCurve_Q9H2H8_PPIL3.pdf</t>
  </si>
  <si>
    <t>Melting_Curves/meltCurve_Q9H2J4_PDCL3.pdf</t>
  </si>
  <si>
    <t>Melting_Curves/meltCurve_Q9H2K0_MTIF3.pdf</t>
  </si>
  <si>
    <t>Melting_Curves/meltCurve_Q9H2K8_TAOK3.pdf</t>
  </si>
  <si>
    <t>Melting_Curves/meltCurve_Q9H2M9_RAB3GAP2.pdf</t>
  </si>
  <si>
    <t>Melting_Curves/meltCurve_Q9H2P0_ADNP.pdf</t>
  </si>
  <si>
    <t>Melting_Curves/meltCurve_Q9H2P9_DPH5.pdf</t>
  </si>
  <si>
    <t>Melting_Curves/meltCurve_Q9H2U2_PPA2.pdf</t>
  </si>
  <si>
    <t>Melting_Curves/meltCurve_Q9H2W6_MRPL46.pdf</t>
  </si>
  <si>
    <t>Melting_Curves/meltCurve_Q9H2Y7_ZNF106.pdf</t>
  </si>
  <si>
    <t>Melting_Curves/meltCurve_Q9H300_PARL.pdf</t>
  </si>
  <si>
    <t>Melting_Curves/meltCurve_Q9H307_PNN.pdf</t>
  </si>
  <si>
    <t>Melting_Curves/meltCurve_Q9H330_2_TMEM245.pdf</t>
  </si>
  <si>
    <t>Melting_Curves/meltCurve_Q9H3C7_GGNBP2.pdf</t>
  </si>
  <si>
    <t>Melting_Curves/meltCurve_Q9H3F6_KCTD10.pdf</t>
  </si>
  <si>
    <t>Melting_Curves/meltCurve_Q9H3H1_4_TRIT1.pdf</t>
  </si>
  <si>
    <t>Melting_Curves/meltCurve_Q9H3H3_C11orf68.pdf</t>
  </si>
  <si>
    <t>Melting_Curves/meltCurve_Q9H3H5_2_DPAGT1.pdf</t>
  </si>
  <si>
    <t>Melting_Curves/meltCurve_Q9H3J6_C12orf65.pdf</t>
  </si>
  <si>
    <t>Melting_Curves/meltCurve_Q9H3K6_BOLA2.pdf</t>
  </si>
  <si>
    <t>Melting_Curves/meltCurve_Q9H3N1_TMX1.pdf</t>
  </si>
  <si>
    <t>Melting_Curves/meltCurve_Q9H3P2_NELFA.pdf</t>
  </si>
  <si>
    <t>Melting_Curves/meltCurve_Q9H3P7_ACBD3.pdf</t>
  </si>
  <si>
    <t>Melting_Curves/meltCurve_Q9H3Q1_CDC42EP4.pdf</t>
  </si>
  <si>
    <t>Melting_Curves/meltCurve_Q9H3R0_4_KDM4C.pdf</t>
  </si>
  <si>
    <t>Melting_Curves/meltCurve_Q9H3R2_MUC13.pdf</t>
  </si>
  <si>
    <t>Melting_Curves/meltCurve_Q9H3S7_PTPN23.pdf</t>
  </si>
  <si>
    <t>Melting_Curves/meltCurve_Q9H3U1_UNC45A.pdf</t>
  </si>
  <si>
    <t>Melting_Curves/meltCurve_Q9H3U5_4_MFSD1.pdf</t>
  </si>
  <si>
    <t>Melting_Curves/meltCurve_Q9H3Y8_PPDPF.pdf</t>
  </si>
  <si>
    <t>Melting_Curves/meltCurve_Q9H3Z4_2_DNAJC5.pdf</t>
  </si>
  <si>
    <t>Melting_Curves/meltCurve_Q9H410_DSN1.pdf</t>
  </si>
  <si>
    <t>Melting_Curves/meltCurve_Q9H425_C1orf198.pdf</t>
  </si>
  <si>
    <t>Melting_Curves/meltCurve_Q9H444_CHMP4B.pdf</t>
  </si>
  <si>
    <t>Melting_Curves/meltCurve_Q9H467_CUEDC2.pdf</t>
  </si>
  <si>
    <t>Melting_Curves/meltCurve_Q9H479_FN3K.pdf</t>
  </si>
  <si>
    <t>Melting_Curves/meltCurve_Q9H488_POFUT1.pdf</t>
  </si>
  <si>
    <t>Melting_Curves/meltCurve_Q9H490_2_PIGU.pdf</t>
  </si>
  <si>
    <t>Melting_Curves/meltCurve_Q9H496_IFRG15.pdf</t>
  </si>
  <si>
    <t>Melting_Curves/meltCurve_Q9H497_2_TOR3A.pdf</t>
  </si>
  <si>
    <t>Melting_Curves/meltCurve_Q9H4A4_RNPEP.pdf</t>
  </si>
  <si>
    <t>Melting_Curves/meltCurve_Q9H4A5_GOLPH3L.pdf</t>
  </si>
  <si>
    <t>Melting_Curves/meltCurve_Q9H4A6_GOLPH3.pdf</t>
  </si>
  <si>
    <t>Melting_Curves/meltCurve_Q9H4B0_OSGEPL1.pdf</t>
  </si>
  <si>
    <t>Melting_Curves/meltCurve_Q9H4I2_ZHX3.pdf</t>
  </si>
  <si>
    <t>Melting_Curves/meltCurve_Q9H4K7_GTPBP5.pdf</t>
  </si>
  <si>
    <t>Melting_Curves/meltCurve_Q9H4L5_2_OSBPL3.pdf</t>
  </si>
  <si>
    <t>Melting_Curves/meltCurve_Q9H4L7_2_SMARCAD1.pdf</t>
  </si>
  <si>
    <t>Melting_Curves/meltCurve_Q9H4M9_EHD1.pdf</t>
  </si>
  <si>
    <t>Melting_Curves/meltCurve_Q9H4P4_2_RNF41.pdf</t>
  </si>
  <si>
    <t>Melting_Curves/meltCurve_Q9H4Z3_PCIF1.pdf</t>
  </si>
  <si>
    <t>Melting_Curves/meltCurve_Q9H501_ESF1.pdf</t>
  </si>
  <si>
    <t>Melting_Curves/meltCurve_Q9H553_ALG2.pdf</t>
  </si>
  <si>
    <t>Melting_Curves/meltCurve_Q9H583_HEATR1.pdf</t>
  </si>
  <si>
    <t>Melting_Curves/meltCurve_Q9H5K3_SGK196.pdf</t>
  </si>
  <si>
    <t>Melting_Curves/meltCurve_Q9H5N1_RABEP2.pdf</t>
  </si>
  <si>
    <t>Melting_Curves/meltCurve_Q9H5Q4_TFB2M.pdf</t>
  </si>
  <si>
    <t>Melting_Curves/meltCurve_Q9H5V8_CDCP1.pdf</t>
  </si>
  <si>
    <t>Melting_Curves/meltCurve_Q9H5V9_CXorf56.pdf</t>
  </si>
  <si>
    <t>Melting_Curves/meltCurve_Q9H5X1_FAM96A.pdf</t>
  </si>
  <si>
    <t>Melting_Curves/meltCurve_Q9H649_NSUN3.pdf</t>
  </si>
  <si>
    <t>Melting_Curves/meltCurve_Q9H6A9_2_PCNXL3.pdf</t>
  </si>
  <si>
    <t>Melting_Curves/meltCurve_Q9H6E4_CCDC134.pdf</t>
  </si>
  <si>
    <t>Melting_Curves/meltCurve_Q9H6F5_CCDC86.pdf</t>
  </si>
  <si>
    <t>Melting_Curves/meltCurve_Q9H6H4_REEP4.pdf</t>
  </si>
  <si>
    <t>Melting_Curves/meltCurve_Q9H6K4_OPA3.pdf</t>
  </si>
  <si>
    <t>Melting_Curves/meltCurve_Q9H6L4_ARMC7.pdf</t>
  </si>
  <si>
    <t>Melting_Curves/meltCurve_Q9H6L5_FAM134B.pdf</t>
  </si>
  <si>
    <t>Melting_Curves/meltCurve_Q9H6P5_TASP1.pdf</t>
  </si>
  <si>
    <t>Melting_Curves/meltCurve_Q9H6Q4_NARFL.pdf</t>
  </si>
  <si>
    <t>Melting_Curves/meltCurve_Q9H6R0_DHX33.pdf</t>
  </si>
  <si>
    <t>Melting_Curves/meltCurve_Q9H6R4_4_NOL6.pdf</t>
  </si>
  <si>
    <t>Melting_Curves/meltCurve_Q9H6R7_2_C2orf44.pdf</t>
  </si>
  <si>
    <t>Melting_Curves/meltCurve_Q9H6S3_EPS8L2.pdf</t>
  </si>
  <si>
    <t>Melting_Curves/meltCurve_Q9H6T0_2_ESRP2.pdf</t>
  </si>
  <si>
    <t>Melting_Curves/meltCurve_Q9H6T3_RPAP3.pdf</t>
  </si>
  <si>
    <t>Melting_Curves/meltCurve_Q9H6U6_2_BCAS3.pdf</t>
  </si>
  <si>
    <t>Melting_Curves/meltCurve_Q9H6U8_ALG9.pdf</t>
  </si>
  <si>
    <t>Melting_Curves/meltCurve_Q9H6W3_NO66.pdf</t>
  </si>
  <si>
    <t>Melting_Curves/meltCurve_Q9H6Y2_WDR55.pdf</t>
  </si>
  <si>
    <t>Melting_Curves/meltCurve_Q9H773_DCTPP1.pdf</t>
  </si>
  <si>
    <t>Melting_Curves/meltCurve_Q9H788_2_SH2D4A.pdf</t>
  </si>
  <si>
    <t>Melting_Curves/meltCurve_Q9H7B4_SMYD3.pdf</t>
  </si>
  <si>
    <t>Melting_Curves/meltCurve_Q9H7C9_AAMDC.pdf</t>
  </si>
  <si>
    <t>Melting_Curves/meltCurve_Q9H7D7_2_WDR26.pdf</t>
  </si>
  <si>
    <t>Melting_Curves/meltCurve_Q9H7E2_3_TDRD3.pdf</t>
  </si>
  <si>
    <t>Melting_Curves/meltCurve_Q9H7F0_ATP13A3.pdf</t>
  </si>
  <si>
    <t>Melting_Curves/meltCurve_Q9H7J1_PPP1R3E.pdf</t>
  </si>
  <si>
    <t>Melting_Curves/meltCurve_Q9H7L9_SUDS3.pdf</t>
  </si>
  <si>
    <t>Melting_Curves/meltCurve_Q9H7S9_ZNF703.pdf</t>
  </si>
  <si>
    <t>Melting_Curves/meltCurve_Q9H7Z3_NRDE2.pdf</t>
  </si>
  <si>
    <t>Melting_Curves/meltCurve_Q9H7Z6_KAT8.pdf</t>
  </si>
  <si>
    <t>Melting_Curves/meltCurve_Q9H7Z7_PTGES2.pdf</t>
  </si>
  <si>
    <t>Melting_Curves/meltCurve_Q9H814_PHAX.pdf</t>
  </si>
  <si>
    <t>Melting_Curves/meltCurve_Q9H832_UBE2Z.pdf</t>
  </si>
  <si>
    <t>Melting_Curves/meltCurve_Q9H840_GEMIN7.pdf</t>
  </si>
  <si>
    <t>Melting_Curves/meltCurve_Q9H845_ACAD9.pdf</t>
  </si>
  <si>
    <t>Melting_Curves/meltCurve_Q9H875_PRKRIP1.pdf</t>
  </si>
  <si>
    <t>Melting_Curves/meltCurve_Q9H8G2_CAAP1.pdf</t>
  </si>
  <si>
    <t>Melting_Curves/meltCurve_Q9H8H0_NOL11.pdf</t>
  </si>
  <si>
    <t>Melting_Curves/meltCurve_Q9H8J5_MANSC1.pdf</t>
  </si>
  <si>
    <t>Melting_Curves/meltCurve_Q9H8M7_FAM188A.pdf</t>
  </si>
  <si>
    <t>Melting_Curves/meltCurve_Q9H8S9_MOB1A.pdf</t>
  </si>
  <si>
    <t>Melting_Curves/meltCurve_Q9H8U3_ZFAND3.pdf</t>
  </si>
  <si>
    <t>Melting_Curves/meltCurve_Q9H8V3_ECT2.pdf</t>
  </si>
  <si>
    <t>Melting_Curves/meltCurve_Q9H8W3_FAM204A.pdf</t>
  </si>
  <si>
    <t>Melting_Curves/meltCurve_Q9H8W4_PLEKHF2.pdf</t>
  </si>
  <si>
    <t>Melting_Curves/meltCurve_Q9H8Y5_ANKZF1.pdf</t>
  </si>
  <si>
    <t>Melting_Curves/meltCurve_Q9H8Y8_GORASP2.pdf</t>
  </si>
  <si>
    <t>Melting_Curves/meltCurve_Q9H900_ZWILCH.pdf</t>
  </si>
  <si>
    <t>Melting_Curves/meltCurve_Q9H903_1_MTHFD2L.pdf</t>
  </si>
  <si>
    <t>Melting_Curves/meltCurve_Q9H910_HN1L.pdf</t>
  </si>
  <si>
    <t>Melting_Curves/meltCurve_Q9H910_2_HN1L.pdf</t>
  </si>
  <si>
    <t>Melting_Curves/meltCurve_Q9H936_SLC25A22.pdf</t>
  </si>
  <si>
    <t>Melting_Curves/meltCurve_Q9H939_PSTPIP2.pdf</t>
  </si>
  <si>
    <t>Melting_Curves/meltCurve_Q9H974_QTRTD1.pdf</t>
  </si>
  <si>
    <t>Melting_Curves/meltCurve_Q9H977_WDR54.pdf</t>
  </si>
  <si>
    <t>Melting_Curves/meltCurve_Q9H981_ACTR8.pdf</t>
  </si>
  <si>
    <t>Melting_Curves/meltCurve_Q9H993_C6orf211.pdf</t>
  </si>
  <si>
    <t>Melting_Curves/meltCurve_Q9H999_PANK3.pdf</t>
  </si>
  <si>
    <t>Melting_Curves/meltCurve_Q9H9A5_2_CNOT10.pdf</t>
  </si>
  <si>
    <t>Melting_Curves/meltCurve_Q9H9A6_LRRC40.pdf</t>
  </si>
  <si>
    <t>Melting_Curves/meltCurve_Q9H9A7_RMI1.pdf</t>
  </si>
  <si>
    <t>Melting_Curves/meltCurve_Q9H9B1_EHMT1.pdf</t>
  </si>
  <si>
    <t>Melting_Curves/meltCurve_Q9H9B4_SFXN1.pdf</t>
  </si>
  <si>
    <t>Melting_Curves/meltCurve_Q9H9F9_ACTR5.pdf</t>
  </si>
  <si>
    <t>Melting_Curves/meltCurve_Q9H9H4_VPS37B.pdf</t>
  </si>
  <si>
    <t>Melting_Curves/meltCurve_Q9H9J2_MRPL44.pdf</t>
  </si>
  <si>
    <t>Melting_Curves/meltCurve_Q9H9K5_ERVMER34_1.pdf</t>
  </si>
  <si>
    <t>Melting_Curves/meltCurve_Q9H9P8_L2HGDH.pdf</t>
  </si>
  <si>
    <t>Melting_Curves/meltCurve_Q9H9S4_CAB39L.pdf</t>
  </si>
  <si>
    <t>Melting_Curves/meltCurve_Q9H9V9_2_JMJD4.pdf</t>
  </si>
  <si>
    <t>Melting_Curves/meltCurve_Q9H9Y4_GPN2.pdf</t>
  </si>
  <si>
    <t>Melting_Curves/meltCurve_Q9HA47_3_UCK1.pdf</t>
  </si>
  <si>
    <t>Melting_Curves/meltCurve_Q9HA64_FN3KRP.pdf</t>
  </si>
  <si>
    <t>Melting_Curves/meltCurve_Q9HA65_TBC1D17.pdf</t>
  </si>
  <si>
    <t>Melting_Curves/meltCurve_Q9HA77_CARS2.pdf</t>
  </si>
  <si>
    <t>Melting_Curves/meltCurve_Q9HAB8_PPCS.pdf</t>
  </si>
  <si>
    <t>Melting_Curves/meltCurve_Q9HAF1_2_MEAF6.pdf</t>
  </si>
  <si>
    <t>Melting_Curves/meltCurve_Q9HAN9_NMNAT1.pdf</t>
  </si>
  <si>
    <t>Melting_Curves/meltCurve_Q9HAU0_PLEKHA5.pdf</t>
  </si>
  <si>
    <t>Melting_Curves/meltCurve_Q9HAU5_UPF2.pdf</t>
  </si>
  <si>
    <t>Melting_Curves/meltCurve_Q9HAV4_XPO5.pdf</t>
  </si>
  <si>
    <t>Melting_Curves/meltCurve_Q9HAV7_GRPEL1.pdf</t>
  </si>
  <si>
    <t>Melting_Curves/meltCurve_Q9HAW4_3_CLSPN.pdf</t>
  </si>
  <si>
    <t>Melting_Curves/meltCurve_Q9HB07_C12orf10.pdf</t>
  </si>
  <si>
    <t>Melting_Curves/meltCurve_Q9HB21_PLEKHA1.pdf</t>
  </si>
  <si>
    <t>Melting_Curves/meltCurve_Q9HB40_SCPEP1.pdf</t>
  </si>
  <si>
    <t>Melting_Curves/meltCurve_Q9HB65_ELL3.pdf</t>
  </si>
  <si>
    <t>Melting_Curves/meltCurve_Q9HB71_CACYBP.pdf</t>
  </si>
  <si>
    <t>Melting_Curves/meltCurve_Q9HB90_RRAGC.pdf</t>
  </si>
  <si>
    <t>Melting_Curves/meltCurve_Q9HBD4_SMARCA4.pdf</t>
  </si>
  <si>
    <t>Melting_Curves/meltCurve_Q9HBH1_PDF.pdf</t>
  </si>
  <si>
    <t>Melting_Curves/meltCurve_Q9HBH5_RDH14.pdf</t>
  </si>
  <si>
    <t>Melting_Curves/meltCurve_Q9HBI1_PARVB.pdf</t>
  </si>
  <si>
    <t>Melting_Curves/meltCurve_Q9HBL7_PLGRKT.pdf</t>
  </si>
  <si>
    <t>Melting_Curves/meltCurve_Q9HBL8_NMRAL1.pdf</t>
  </si>
  <si>
    <t>Melting_Curves/meltCurve_Q9HBM1_SPC25.pdf</t>
  </si>
  <si>
    <t>Melting_Curves/meltCurve_Q9HBM6_TAF9B.pdf</t>
  </si>
  <si>
    <t>Melting_Curves/meltCurve_Q9HBM8_AGPAT1.pdf</t>
  </si>
  <si>
    <t>Melting_Curves/meltCurve_Q9HBR0_SLC38A10.pdf</t>
  </si>
  <si>
    <t>Melting_Curves/meltCurve_Q9HBU6_ETNK1.pdf</t>
  </si>
  <si>
    <t>Melting_Curves/meltCurve_Q9HC07_TMEM165.pdf</t>
  </si>
  <si>
    <t>Melting_Curves/meltCurve_Q9HC35_EML4.pdf</t>
  </si>
  <si>
    <t>Melting_Curves/meltCurve_Q9HC36_RNMTL1.pdf</t>
  </si>
  <si>
    <t>Melting_Curves/meltCurve_Q9HC38_2_GLOD4.pdf</t>
  </si>
  <si>
    <t>Melting_Curves/meltCurve_Q9HC52_CBX8.pdf</t>
  </si>
  <si>
    <t>Melting_Curves/meltCurve_Q9HCC0_MCCC2.pdf</t>
  </si>
  <si>
    <t>Melting_Curves/meltCurve_Q9HCD5_NCOA5.pdf</t>
  </si>
  <si>
    <t>Melting_Curves/meltCurve_Q9HCE0_2_EPG5.pdf</t>
  </si>
  <si>
    <t>Melting_Curves/meltCurve_Q9HCE1_MOV10.pdf</t>
  </si>
  <si>
    <t>Melting_Curves/meltCurve_Q9HCE5_METTL14.pdf</t>
  </si>
  <si>
    <t>Melting_Curves/meltCurve_Q9HCG7_GBA2.pdf</t>
  </si>
  <si>
    <t>Melting_Curves/meltCurve_Q9HCJ3_2_RAVER2.pdf</t>
  </si>
  <si>
    <t>Melting_Curves/meltCurve_Q9HCN3_TMEM8A.pdf</t>
  </si>
  <si>
    <t>Melting_Curves/meltCurve_Q9HCN4_GPN1.pdf</t>
  </si>
  <si>
    <t>Melting_Curves/meltCurve_Q9HCN8_SDF2L1.pdf</t>
  </si>
  <si>
    <t>Melting_Curves/meltCurve_Q9HCP0_2_CSNK1G1.pdf</t>
  </si>
  <si>
    <t>Melting_Curves/meltCurve_Q9HCR9_PDE11A.pdf</t>
  </si>
  <si>
    <t>Melting_Curves/meltCurve_Q9HCU5_PREB.pdf</t>
  </si>
  <si>
    <t>Melting_Curves/meltCurve_Q9HCU8_POLD4.pdf</t>
  </si>
  <si>
    <t>Melting_Curves/meltCurve_Q9HCY8_S100A14.pdf</t>
  </si>
  <si>
    <t>Melting_Curves/meltCurve_Q9HD15_SRA1.pdf</t>
  </si>
  <si>
    <t>Melting_Curves/meltCurve_Q9HD20_2_ATP13A1.pdf</t>
  </si>
  <si>
    <t>Melting_Curves/meltCurve_Q9HD33_2_MRPL47.pdf</t>
  </si>
  <si>
    <t>Melting_Curves/meltCurve_Q9HD34_LYRM4.pdf</t>
  </si>
  <si>
    <t>Melting_Curves/meltCurve_Q9HD40_3_SEPSECS.pdf</t>
  </si>
  <si>
    <t>Melting_Curves/meltCurve_Q9HD42_CHMP1A.pdf</t>
  </si>
  <si>
    <t>Melting_Curves/meltCurve_Q9HD45_TM9SF3.pdf</t>
  </si>
  <si>
    <t>Melting_Curves/meltCurve_Q9HD47_2_RANGRF.pdf</t>
  </si>
  <si>
    <t>Melting_Curves/meltCurve_Q9HD67_MYO10.pdf</t>
  </si>
  <si>
    <t>Melting_Curves/meltCurve_Q9HDC5_JPH1.pdf</t>
  </si>
  <si>
    <t>Melting_Curves/meltCurve_Q9HDC9_APMAP.pdf</t>
  </si>
  <si>
    <t>Melting_Curves/meltCurve_Q9NNW5_WDR6.pdf</t>
  </si>
  <si>
    <t>Melting_Curves/meltCurve_Q9NP58_4_ABCB6.pdf</t>
  </si>
  <si>
    <t>Melting_Curves/meltCurve_Q9NP66_HMG20A.pdf</t>
  </si>
  <si>
    <t>Melting_Curves/meltCurve_Q9NP72_RAB18.pdf</t>
  </si>
  <si>
    <t>Melting_Curves/meltCurve_Q9NP73_2_ALG13.pdf</t>
  </si>
  <si>
    <t>Melting_Curves/meltCurve_Q9NP77_SSU72.pdf</t>
  </si>
  <si>
    <t>Melting_Curves/meltCurve_Q9NP79_VTA1.pdf</t>
  </si>
  <si>
    <t>Melting_Curves/meltCurve_Q9NP80_3_PNPLA8.pdf</t>
  </si>
  <si>
    <t>Melting_Curves/meltCurve_Q9NP84_TNFRSF12A.pdf</t>
  </si>
  <si>
    <t>Melting_Curves/meltCurve_Q9NP92_MRPS30.pdf</t>
  </si>
  <si>
    <t>Melting_Curves/meltCurve_Q9NPA0_EMC7.pdf</t>
  </si>
  <si>
    <t>Melting_Curves/meltCurve_Q9NPA3_MID1IP1.pdf</t>
  </si>
  <si>
    <t>Melting_Curves/meltCurve_Q9NPA8_2_ENY2.pdf</t>
  </si>
  <si>
    <t>Melting_Curves/meltCurve_Q9NPB8_GPCPD1.pdf</t>
  </si>
  <si>
    <t>Melting_Curves/meltCurve_Q9NPD3_EXOSC4.pdf</t>
  </si>
  <si>
    <t>Melting_Curves/meltCurve_Q9NPD8_UBE2T.pdf</t>
  </si>
  <si>
    <t>Melting_Curves/meltCurve_Q9NPE2_NGRN.pdf</t>
  </si>
  <si>
    <t>Melting_Curves/meltCurve_Q9NPE3_NOP10.pdf</t>
  </si>
  <si>
    <t>Melting_Curves/meltCurve_Q9NPF0_CD320.pdf</t>
  </si>
  <si>
    <t>Melting_Curves/meltCurve_Q9NPF4_OSGEP.pdf</t>
  </si>
  <si>
    <t>Melting_Curves/meltCurve_Q9NPG3_2_UBN1.pdf</t>
  </si>
  <si>
    <t>Melting_Curves/meltCurve_Q9NPH0_ACP6.pdf</t>
  </si>
  <si>
    <t>Melting_Curves/meltCurve_Q9NPI6_DCP1A.pdf</t>
  </si>
  <si>
    <t>Melting_Curves/meltCurve_Q9NPJ3_ACOT13.pdf</t>
  </si>
  <si>
    <t>Melting_Curves/meltCurve_Q9NPJ6_MED4.pdf</t>
  </si>
  <si>
    <t>Melting_Curves/meltCurve_Q9NPL8_TIMMDC1.pdf</t>
  </si>
  <si>
    <t>Melting_Curves/meltCurve_Q9NPQ8_4_RIC8A.pdf</t>
  </si>
  <si>
    <t>Melting_Curves/meltCurve_Q9NPR9_GPR108.pdf</t>
  </si>
  <si>
    <t>Melting_Curves/meltCurve_Q9NQ29_LUC7L.pdf</t>
  </si>
  <si>
    <t>Melting_Curves/meltCurve_Q9NQ88_TIGAR.pdf</t>
  </si>
  <si>
    <t>Melting_Curves/meltCurve_Q9NQC3_RTN4.pdf</t>
  </si>
  <si>
    <t>Melting_Curves/meltCurve_Q9NQC3_2_RTN4.pdf</t>
  </si>
  <si>
    <t>Melting_Curves/meltCurve_Q9NQE9_HINT3.pdf</t>
  </si>
  <si>
    <t>Melting_Curves/meltCurve_Q9NQG5_RPRD1B.pdf</t>
  </si>
  <si>
    <t>Melting_Curves/meltCurve_Q9NQG7_3_HPS4.pdf</t>
  </si>
  <si>
    <t>Melting_Curves/meltCurve_Q9NQH7_2_XPNPEP3.pdf</t>
  </si>
  <si>
    <t>Melting_Curves/meltCurve_Q9NQR4_NIT2.pdf</t>
  </si>
  <si>
    <t>Melting_Curves/meltCurve_Q9NQS1_AVEN.pdf</t>
  </si>
  <si>
    <t>Melting_Curves/meltCurve_Q9NQT4_EXOSC5.pdf</t>
  </si>
  <si>
    <t>Melting_Curves/meltCurve_Q9NQT5_EXOSC3.pdf</t>
  </si>
  <si>
    <t>Melting_Curves/meltCurve_Q9NQT8_KIF13B.pdf</t>
  </si>
  <si>
    <t>Melting_Curves/meltCurve_Q9NQW6_2_ANLN.pdf</t>
  </si>
  <si>
    <t>Melting_Curves/meltCurve_Q9NQW7_XPNPEP1.pdf</t>
  </si>
  <si>
    <t>Melting_Curves/meltCurve_Q9NQW7_3_XPNPEP1.pdf</t>
  </si>
  <si>
    <t>Melting_Curves/meltCurve_Q9NQY0_BIN3.pdf</t>
  </si>
  <si>
    <t>Melting_Curves/meltCurve_Q9NQZ2_UTP3.pdf</t>
  </si>
  <si>
    <t>Melting_Curves/meltCurve_Q9NQZ5_STARD7.pdf</t>
  </si>
  <si>
    <t>Melting_Curves/meltCurve_Q9NQZ6_3_ZC4H2.pdf</t>
  </si>
  <si>
    <t>Melting_Curves/meltCurve_Q9NR09_BIRC6.pdf</t>
  </si>
  <si>
    <t>Melting_Curves/meltCurve_Q9NR12_PDLIM7.pdf</t>
  </si>
  <si>
    <t>Melting_Curves/meltCurve_Q9NR19_ACSS2.pdf</t>
  </si>
  <si>
    <t>Melting_Curves/meltCurve_Q9NR28_2_DIABLO.pdf</t>
  </si>
  <si>
    <t>Melting_Curves/meltCurve_Q9NR30_DDX21.pdf</t>
  </si>
  <si>
    <t>Melting_Curves/meltCurve_Q9NR31_SAR1A.pdf</t>
  </si>
  <si>
    <t>Melting_Curves/meltCurve_Q9NR33_POLE4.pdf</t>
  </si>
  <si>
    <t>Melting_Curves/meltCurve_Q9NR45_NANS.pdf</t>
  </si>
  <si>
    <t>Melting_Curves/meltCurve_Q9NR48_2_ASH1L.pdf</t>
  </si>
  <si>
    <t>Melting_Curves/meltCurve_Q9NR50_EIF2B3.pdf</t>
  </si>
  <si>
    <t>Melting_Curves/meltCurve_Q9NRA2_SLC17A5.pdf</t>
  </si>
  <si>
    <t>Melting_Curves/meltCurve_Q9NRD5_PICK1.pdf</t>
  </si>
  <si>
    <t>Melting_Curves/meltCurve_Q9NRF8_CTPS2.pdf</t>
  </si>
  <si>
    <t>Melting_Curves/meltCurve_Q9NRF9_POLE3.pdf</t>
  </si>
  <si>
    <t>Melting_Curves/meltCurve_Q9NRG0_CHRAC1.pdf</t>
  </si>
  <si>
    <t>Melting_Curves/meltCurve_Q9NRG1_PRTFDC1.pdf</t>
  </si>
  <si>
    <t>Melting_Curves/meltCurve_Q9NRG4_SMYD2.pdf</t>
  </si>
  <si>
    <t>Melting_Curves/meltCurve_Q9NRG7_2_SDR39U1.pdf</t>
  </si>
  <si>
    <t>Melting_Curves/meltCurve_Q9NRG9_AAAS.pdf</t>
  </si>
  <si>
    <t>Melting_Curves/meltCurve_Q9NRH1_YAE1D1.pdf</t>
  </si>
  <si>
    <t>Melting_Curves/meltCurve_Q9NRK6_ABCB10.pdf</t>
  </si>
  <si>
    <t>Melting_Curves/meltCurve_Q9NRL2_2_BAZ1A.pdf</t>
  </si>
  <si>
    <t>Melting_Curves/meltCurve_Q9NRL3_STRN4.pdf</t>
  </si>
  <si>
    <t>Melting_Curves/meltCurve_Q9NRN7_AASDHPPT.pdf</t>
  </si>
  <si>
    <t>Melting_Curves/meltCurve_Q9NRN9_METTL5.pdf</t>
  </si>
  <si>
    <t>Melting_Curves/meltCurve_Q9NRP0_OSTC.pdf</t>
  </si>
  <si>
    <t>Melting_Curves/meltCurve_Q9NRP2_CMC2.pdf</t>
  </si>
  <si>
    <t>Melting_Curves/meltCurve_Q9NRP4_ACN9.pdf</t>
  </si>
  <si>
    <t>Melting_Curves/meltCurve_Q9NRR5_UBQLN4.pdf</t>
  </si>
  <si>
    <t>Melting_Curves/meltCurve_Q9NRR8_CDC42SE1.pdf</t>
  </si>
  <si>
    <t>Melting_Curves/meltCurve_Q9NRV9_HEBP1.pdf</t>
  </si>
  <si>
    <t>Melting_Curves/meltCurve_Q9NRW1_RAB6B.pdf</t>
  </si>
  <si>
    <t>Melting_Curves/meltCurve_Q9NRW4_DUSP22.pdf</t>
  </si>
  <si>
    <t>Melting_Curves/meltCurve_Q9NRW7_VPS45.pdf</t>
  </si>
  <si>
    <t>Melting_Curves/meltCurve_Q9NRX1_PNO1.pdf</t>
  </si>
  <si>
    <t>Melting_Curves/meltCurve_Q9NRX3_NDUFA4L2.pdf</t>
  </si>
  <si>
    <t>Melting_Curves/meltCurve_Q9NRX4_PHPT1.pdf</t>
  </si>
  <si>
    <t>Melting_Curves/meltCurve_Q9NRX5_SERINC1.pdf</t>
  </si>
  <si>
    <t>Melting_Curves/meltCurve_Q9NRY2_INIP.pdf</t>
  </si>
  <si>
    <t>Melting_Curves/meltCurve_Q9NRY4_ARHGAP35.pdf</t>
  </si>
  <si>
    <t>Melting_Curves/meltCurve_Q9NRY5_FAM114A2.pdf</t>
  </si>
  <si>
    <t>Melting_Curves/meltCurve_Q9NRZ5_AGPAT4.pdf</t>
  </si>
  <si>
    <t>Melting_Curves/meltCurve_Q9NRZ7_2_AGPAT3.pdf</t>
  </si>
  <si>
    <t>Melting_Curves/meltCurve_Q9NRZ9_2_HELLS.pdf</t>
  </si>
  <si>
    <t>Melting_Curves/meltCurve_Q9NS18_GLRX2.pdf</t>
  </si>
  <si>
    <t>Melting_Curves/meltCurve_Q9NS69_TOMM22.pdf</t>
  </si>
  <si>
    <t>Melting_Curves/meltCurve_Q9NS73_5_MBIP.pdf</t>
  </si>
  <si>
    <t>Melting_Curves/meltCurve_Q9NS86_LANCL2.pdf</t>
  </si>
  <si>
    <t>Melting_Curves/meltCurve_Q9NS87_2_KIF15.pdf</t>
  </si>
  <si>
    <t>Melting_Curves/meltCurve_Q9NS91_RAD18.pdf</t>
  </si>
  <si>
    <t>Melting_Curves/meltCurve_Q9NS93_TM7SF3.pdf</t>
  </si>
  <si>
    <t>Melting_Curves/meltCurve_Q9NSA3_CTNNBIP1.pdf</t>
  </si>
  <si>
    <t>Melting_Curves/meltCurve_Q9NSD9_FARSB.pdf</t>
  </si>
  <si>
    <t>Melting_Curves/meltCurve_Q9NSE4_IARS2.pdf</t>
  </si>
  <si>
    <t>Melting_Curves/meltCurve_Q9NSI2_2_FAM207A.pdf</t>
  </si>
  <si>
    <t>Melting_Curves/meltCurve_Q9NSK0_KLC4.pdf</t>
  </si>
  <si>
    <t>Melting_Curves/meltCurve_Q9NT62_ATG3.pdf</t>
  </si>
  <si>
    <t>Melting_Curves/meltCurve_Q9NTG7_SIRT3.pdf</t>
  </si>
  <si>
    <t>Melting_Curves/meltCurve_Q9NTI5_2_PDS5B.pdf</t>
  </si>
  <si>
    <t>Melting_Curves/meltCurve_Q9NTJ3_SMC4.pdf</t>
  </si>
  <si>
    <t>Melting_Curves/meltCurve_Q9NTJ4_3_MAN2C1.pdf</t>
  </si>
  <si>
    <t>Melting_Curves/meltCurve_Q9NTJ5_SACM1L.pdf</t>
  </si>
  <si>
    <t>Melting_Curves/meltCurve_Q9NTM9_CUTC.pdf</t>
  </si>
  <si>
    <t>Melting_Curves/meltCurve_Q9NTX5_2_ECHDC1.pdf</t>
  </si>
  <si>
    <t>Melting_Curves/meltCurve_Q9NTZ6_RBM12.pdf</t>
  </si>
  <si>
    <t>Melting_Curves/meltCurve_Q9NU22_MDN1.pdf</t>
  </si>
  <si>
    <t>Melting_Curves/meltCurve_Q9NU23_LYRM2.pdf</t>
  </si>
  <si>
    <t>Melting_Curves/meltCurve_Q9NUB1_2_ACSS1.pdf</t>
  </si>
  <si>
    <t>Melting_Curves/meltCurve_Q9NUD5_ZCCHC3.pdf</t>
  </si>
  <si>
    <t>Melting_Curves/meltCurve_Q9NUG6_PDRG1.pdf</t>
  </si>
  <si>
    <t>Melting_Curves/meltCurve_Q9NUJ1_ABHD10.pdf</t>
  </si>
  <si>
    <t>Melting_Curves/meltCurve_Q9NUL5_3_C19orf66.pdf</t>
  </si>
  <si>
    <t>Melting_Curves/meltCurve_Q9NUM4_TMEM106B.pdf</t>
  </si>
  <si>
    <t>Melting_Curves/meltCurve_Q9NUN5_3_LMBRD1.pdf</t>
  </si>
  <si>
    <t>Melting_Curves/meltCurve_Q9NUP1_BLOC1S4.pdf</t>
  </si>
  <si>
    <t>Melting_Curves/meltCurve_Q9NUP7_TRMT13.pdf</t>
  </si>
  <si>
    <t>Melting_Curves/meltCurve_Q9NUP9_LIN7C.pdf</t>
  </si>
  <si>
    <t>Melting_Curves/meltCurve_Q9NUQ2_AGPAT5.pdf</t>
  </si>
  <si>
    <t>Melting_Curves/meltCurve_Q9NUQ3_TXLNG.pdf</t>
  </si>
  <si>
    <t>Melting_Curves/meltCurve_Q9NUQ7_UFSP2.pdf</t>
  </si>
  <si>
    <t>Melting_Curves/meltCurve_Q9NUQ8_2_ABCF3.pdf</t>
  </si>
  <si>
    <t>Melting_Curves/meltCurve_Q9NUQ9_FAM49B.pdf</t>
  </si>
  <si>
    <t>Melting_Curves/meltCurve_Q9NUU7_DDX19A.pdf</t>
  </si>
  <si>
    <t>Melting_Curves/meltCurve_Q9NUW8_TDP1.pdf</t>
  </si>
  <si>
    <t>Melting_Curves/meltCurve_Q9NUY8_TBC1D23.pdf</t>
  </si>
  <si>
    <t>Melting_Curves/meltCurve_Q9NV06_DCAF13.pdf</t>
  </si>
  <si>
    <t>Melting_Curves/meltCurve_Q9NV35_NUDT15.pdf</t>
  </si>
  <si>
    <t>Melting_Curves/meltCurve_Q9NV56_MRGBP.pdf</t>
  </si>
  <si>
    <t>Melting_Curves/meltCurve_Q9NV66_TYW1.pdf</t>
  </si>
  <si>
    <t>Melting_Curves/meltCurve_Q9NV70_EXOC1.pdf</t>
  </si>
  <si>
    <t>Melting_Curves/meltCurve_Q9NV96_2_TMEM30A.pdf</t>
  </si>
  <si>
    <t>Melting_Curves/meltCurve_Q9NVA1_UQCC.pdf</t>
  </si>
  <si>
    <t>Melting_Curves/meltCurve_Q9NVA4_TMEM184C.pdf</t>
  </si>
  <si>
    <t>Melting_Curves/meltCurve_Q9NVC6_MED17.pdf</t>
  </si>
  <si>
    <t>Melting_Curves/meltCurve_Q9NVE7_PANK4.pdf</t>
  </si>
  <si>
    <t>Melting_Curves/meltCurve_Q9NVF7_FBXO28.pdf</t>
  </si>
  <si>
    <t>Melting_Curves/meltCurve_Q9NVG8_TBC1D13.pdf</t>
  </si>
  <si>
    <t>Melting_Curves/meltCurve_Q9NVH0_EXD2.pdf</t>
  </si>
  <si>
    <t>Melting_Curves/meltCurve_Q9NVH1_3_DNAJC11.pdf</t>
  </si>
  <si>
    <t>Melting_Curves/meltCurve_Q9NVH2_3_INTS7.pdf</t>
  </si>
  <si>
    <t>Melting_Curves/meltCurve_Q9NVH6_TMLHE.pdf</t>
  </si>
  <si>
    <t>Melting_Curves/meltCurve_Q9NVI1_FANCI.pdf</t>
  </si>
  <si>
    <t>Melting_Curves/meltCurve_Q9NVI7_2_ATAD3A.pdf</t>
  </si>
  <si>
    <t>Melting_Curves/meltCurve_Q9NVJ2_ARL8B.pdf</t>
  </si>
  <si>
    <t>Melting_Curves/meltCurve_Q9NVK5_2_FGFR1OP2.pdf</t>
  </si>
  <si>
    <t>Melting_Curves/meltCurve_Q9NVM4_3_PRMT7.pdf</t>
  </si>
  <si>
    <t>Melting_Curves/meltCurve_Q9NVM6_DNAJC17.pdf</t>
  </si>
  <si>
    <t>Melting_Curves/meltCurve_Q9NVM9_ASUN.pdf</t>
  </si>
  <si>
    <t>Melting_Curves/meltCurve_Q9NVN8_GNL3L.pdf</t>
  </si>
  <si>
    <t>Melting_Curves/meltCurve_Q9NVP1_DDX18.pdf</t>
  </si>
  <si>
    <t>Melting_Curves/meltCurve_Q9NVP2_ASF1B.pdf</t>
  </si>
  <si>
    <t>Melting_Curves/meltCurve_Q9NVQ4_FAIM.pdf</t>
  </si>
  <si>
    <t>Melting_Curves/meltCurve_Q9NVR0_KLHL11.pdf</t>
  </si>
  <si>
    <t>Melting_Curves/meltCurve_Q9NVR2_INTS10.pdf</t>
  </si>
  <si>
    <t>Melting_Curves/meltCurve_Q9NVR5_DNAAF2.pdf</t>
  </si>
  <si>
    <t>Melting_Curves/meltCurve_Q9NVS9_PNPO.pdf</t>
  </si>
  <si>
    <t>Melting_Curves/meltCurve_Q9NVT9_ARMC1.pdf</t>
  </si>
  <si>
    <t>Melting_Curves/meltCurve_Q9NVV4_MTPAP.pdf</t>
  </si>
  <si>
    <t>Melting_Curves/meltCurve_Q9NVX2_NLE1.pdf</t>
  </si>
  <si>
    <t>Melting_Curves/meltCurve_Q9NVX7_KBTBD4.pdf</t>
  </si>
  <si>
    <t>Melting_Curves/meltCurve_Q9NVZ3_NECAP2.pdf</t>
  </si>
  <si>
    <t>Melting_Curves/meltCurve_Q9NW07_ZNF358.pdf</t>
  </si>
  <si>
    <t>Melting_Curves/meltCurve_Q9NW15_ANO10.pdf</t>
  </si>
  <si>
    <t>Melting_Curves/meltCurve_Q9NW64_RBM22.pdf</t>
  </si>
  <si>
    <t>Melting_Curves/meltCurve_Q9NW82_WDR70.pdf</t>
  </si>
  <si>
    <t>Melting_Curves/meltCurve_Q9NWA0_MED9.pdf</t>
  </si>
  <si>
    <t>Melting_Curves/meltCurve_Q9NWB6_ARGLU1.pdf</t>
  </si>
  <si>
    <t>Melting_Curves/meltCurve_Q9NWD8_TMEM248.pdf</t>
  </si>
  <si>
    <t>Melting_Curves/meltCurve_Q9NWH2_TMEM242.pdf</t>
  </si>
  <si>
    <t>Melting_Curves/meltCurve_Q9NWH9_SLTM.pdf</t>
  </si>
  <si>
    <t>Melting_Curves/meltCurve_Q9NWM3_CUEDC1.pdf</t>
  </si>
  <si>
    <t>Melting_Curves/meltCurve_Q9NWM8_FKBP14.pdf</t>
  </si>
  <si>
    <t>Melting_Curves/meltCurve_Q9NWS0_PIH1D1.pdf</t>
  </si>
  <si>
    <t>Melting_Curves/meltCurve_Q9NWS6_FAM118A.pdf</t>
  </si>
  <si>
    <t>Melting_Curves/meltCurve_Q9NWS8_RMND1.pdf</t>
  </si>
  <si>
    <t>Melting_Curves/meltCurve_Q9NWT6_HIF1AN.pdf</t>
  </si>
  <si>
    <t>Melting_Curves/meltCurve_Q9NWU1_OXSM.pdf</t>
  </si>
  <si>
    <t>Melting_Curves/meltCurve_Q9NWU2_GID8.pdf</t>
  </si>
  <si>
    <t>Melting_Curves/meltCurve_Q9NWV4_C1orf123.pdf</t>
  </si>
  <si>
    <t>Melting_Curves/meltCurve_Q9NWX5_ASB6.pdf</t>
  </si>
  <si>
    <t>Melting_Curves/meltCurve_Q9NWX6_THG1L.pdf</t>
  </si>
  <si>
    <t>Melting_Curves/meltCurve_Q9NWY4_C4orf27.pdf</t>
  </si>
  <si>
    <t>Melting_Curves/meltCurve_Q9NWZ3_IRAK4.pdf</t>
  </si>
  <si>
    <t>Melting_Curves/meltCurve_Q9NWZ5_UCKL1.pdf</t>
  </si>
  <si>
    <t>Melting_Curves/meltCurve_Q9NX01_TXNL4B.pdf</t>
  </si>
  <si>
    <t>Melting_Curves/meltCurve_Q9NX07_TRNAU1AP.pdf</t>
  </si>
  <si>
    <t>Melting_Curves/meltCurve_Q9NX08_COMMD8.pdf</t>
  </si>
  <si>
    <t>Melting_Curves/meltCurve_Q9NX14_2_NDUFB11.pdf</t>
  </si>
  <si>
    <t>Melting_Curves/meltCurve_Q9NX24_NHP2.pdf</t>
  </si>
  <si>
    <t>Melting_Curves/meltCurve_Q9NX38_FAM206A.pdf</t>
  </si>
  <si>
    <t>Melting_Curves/meltCurve_Q9NX40_OCIAD1.pdf</t>
  </si>
  <si>
    <t>Melting_Curves/meltCurve_Q9NX46_ADPRHL2.pdf</t>
  </si>
  <si>
    <t>Melting_Curves/meltCurve_Q9NX47_MARCH5.pdf</t>
  </si>
  <si>
    <t>Melting_Curves/meltCurve_Q9NX55_HYPK.pdf</t>
  </si>
  <si>
    <t>Melting_Curves/meltCurve_Q9NX57_RAB20.pdf</t>
  </si>
  <si>
    <t>Melting_Curves/meltCurve_Q9NX58_LYAR.pdf</t>
  </si>
  <si>
    <t>Melting_Curves/meltCurve_Q9NX62_IMPAD1.pdf</t>
  </si>
  <si>
    <t>Melting_Curves/meltCurve_Q9NX70_MED29.pdf</t>
  </si>
  <si>
    <t>Melting_Curves/meltCurve_Q9NX74_DUS2L.pdf</t>
  </si>
  <si>
    <t>Melting_Curves/meltCurve_Q9NX78_TMEM260.pdf</t>
  </si>
  <si>
    <t>Melting_Curves/meltCurve_Q9NXA8_SIRT5.pdf</t>
  </si>
  <si>
    <t>Melting_Curves/meltCurve_Q9NXC5_MIOS.pdf</t>
  </si>
  <si>
    <t>Melting_Curves/meltCurve_Q9NXE8_CWC25.pdf</t>
  </si>
  <si>
    <t>Melting_Curves/meltCurve_Q9NXF1_2_TEX10.pdf</t>
  </si>
  <si>
    <t>Melting_Curves/meltCurve_Q9NXF7_DCAF16.pdf</t>
  </si>
  <si>
    <t>Melting_Curves/meltCurve_Q9NXF8_ZDHHC7.pdf</t>
  </si>
  <si>
    <t>Melting_Curves/meltCurve_Q9NXG6_P4HTM.pdf</t>
  </si>
  <si>
    <t>Melting_Curves/meltCurve_Q9NXH9_TRMT1.pdf</t>
  </si>
  <si>
    <t>Melting_Curves/meltCurve_Q9NXK8_2_FBXL12.pdf</t>
  </si>
  <si>
    <t>Melting_Curves/meltCurve_Q9NXN4_2_GDAP2.pdf</t>
  </si>
  <si>
    <t>Melting_Curves/meltCurve_Q9NXR1_2_NDE1.pdf</t>
  </si>
  <si>
    <t>Melting_Curves/meltCurve_Q9NXR5_ANKRD10.pdf</t>
  </si>
  <si>
    <t>Melting_Curves/meltCurve_Q9NXR7_BRE.pdf</t>
  </si>
  <si>
    <t>Melting_Curves/meltCurve_Q9NXS2_QPCTL.pdf</t>
  </si>
  <si>
    <t>Melting_Curves/meltCurve_Q9NXU5_ARL15.pdf</t>
  </si>
  <si>
    <t>Melting_Curves/meltCurve_Q9NXV2_KCTD5.pdf</t>
  </si>
  <si>
    <t>Melting_Curves/meltCurve_Q9NXV6_CDKN2AIP.pdf</t>
  </si>
  <si>
    <t>Melting_Curves/meltCurve_Q9NXW9_ALKBH4.pdf</t>
  </si>
  <si>
    <t>Melting_Curves/meltCurve_Q9NY27_PPP4R2.pdf</t>
  </si>
  <si>
    <t>Melting_Curves/meltCurve_Q9NY61_AATF.pdf</t>
  </si>
  <si>
    <t>Melting_Curves/meltCurve_Q9NYB0_TERF2IP.pdf</t>
  </si>
  <si>
    <t>Melting_Curves/meltCurve_Q9NYF8_2_BCLAF1.pdf</t>
  </si>
  <si>
    <t>Melting_Curves/meltCurve_Q9NYG2_ZDHHC3.pdf</t>
  </si>
  <si>
    <t>Melting_Curves/meltCurve_Q9NYG5_ANAPC11.pdf</t>
  </si>
  <si>
    <t>Melting_Curves/meltCurve_Q9NYH9_UTP6.pdf</t>
  </si>
  <si>
    <t>Melting_Curves/meltCurve_Q9NYJ1_COA4.pdf</t>
  </si>
  <si>
    <t>Melting_Curves/meltCurve_Q9NYK5_MRPL39.pdf</t>
  </si>
  <si>
    <t>Melting_Curves/meltCurve_Q9NYL2_2_MLTK.pdf</t>
  </si>
  <si>
    <t>Melting_Curves/meltCurve_Q9NYL9_TMOD3.pdf</t>
  </si>
  <si>
    <t>Melting_Curves/meltCurve_Q9NYM9_BET1L.pdf</t>
  </si>
  <si>
    <t>Melting_Curves/meltCurve_Q9NYP9_MIS18A.pdf</t>
  </si>
  <si>
    <t>Melting_Curves/meltCurve_Q9NYQ6_CELSR1.pdf</t>
  </si>
  <si>
    <t>Melting_Curves/meltCurve_Q9NYQ7_CELSR3.pdf</t>
  </si>
  <si>
    <t>Melting_Curves/meltCurve_Q9NYU2_2_UGGT1.pdf</t>
  </si>
  <si>
    <t>Melting_Curves/meltCurve_Q9NYV4_2_CDK12.pdf</t>
  </si>
  <si>
    <t>Melting_Curves/meltCurve_Q9NYY8_FASTKD2.pdf</t>
  </si>
  <si>
    <t>Melting_Curves/meltCurve_Q9NZ01_TECR.pdf</t>
  </si>
  <si>
    <t>Melting_Curves/meltCurve_Q9NZ08_ERAP1.pdf</t>
  </si>
  <si>
    <t>Melting_Curves/meltCurve_Q9NZ09_2_UBAP1.pdf</t>
  </si>
  <si>
    <t>Melting_Curves/meltCurve_Q9NZ32_ACTR10.pdf</t>
  </si>
  <si>
    <t>Melting_Curves/meltCurve_Q9NZ43_USE1.pdf</t>
  </si>
  <si>
    <t>Melting_Curves/meltCurve_Q9NZ45_CISD1.pdf</t>
  </si>
  <si>
    <t>Melting_Curves/meltCurve_Q9NZ53_PODXL2.pdf</t>
  </si>
  <si>
    <t>Melting_Curves/meltCurve_Q9NZ63_C9orf78.pdf</t>
  </si>
  <si>
    <t>Melting_Curves/meltCurve_Q9NZA1_2_CLIC5.pdf</t>
  </si>
  <si>
    <t>Melting_Curves/meltCurve_Q9NZB2_4_FAM120A.pdf</t>
  </si>
  <si>
    <t>Melting_Curves/meltCurve_Q9NZC3_GDE1.pdf</t>
  </si>
  <si>
    <t>Melting_Curves/meltCurve_Q9NZC7_WWOX.pdf</t>
  </si>
  <si>
    <t>Melting_Curves/meltCurve_Q9NZD2_GLTP.pdf</t>
  </si>
  <si>
    <t>Melting_Curves/meltCurve_Q9NZD8_2_SPG21.pdf</t>
  </si>
  <si>
    <t>Melting_Curves/meltCurve_Q9NZI7_4_UBP1.pdf</t>
  </si>
  <si>
    <t>Melting_Curves/meltCurve_Q9NZI8_IGF2BP1.pdf</t>
  </si>
  <si>
    <t>Melting_Curves/meltCurve_Q9NZJ4_2_SACS.pdf</t>
  </si>
  <si>
    <t>Melting_Curves/meltCurve_Q9NZJ6_COQ3.pdf</t>
  </si>
  <si>
    <t>Melting_Curves/meltCurve_Q9NZJ9_2_NUDT4.pdf</t>
  </si>
  <si>
    <t>Melting_Curves/meltCurve_Q9NZL4_HSPBP1.pdf</t>
  </si>
  <si>
    <t>Melting_Curves/meltCurve_Q9NZL9_MAT2B.pdf</t>
  </si>
  <si>
    <t>Melting_Curves/meltCurve_Q9NZL9_2_MAT2B.pdf</t>
  </si>
  <si>
    <t>Melting_Curves/meltCurve_Q9NZM3_2_ITSN2.pdf</t>
  </si>
  <si>
    <t>Melting_Curves/meltCurve_Q9NZM4_2_GLTSCR1.pdf</t>
  </si>
  <si>
    <t>Melting_Curves/meltCurve_Q9NZQ3_3_NCKIPSD.pdf</t>
  </si>
  <si>
    <t>Melting_Curves/meltCurve_Q9NZT1_CALML5.pdf</t>
  </si>
  <si>
    <t>Melting_Curves/meltCurve_Q9NZT2_2_OGFR.pdf</t>
  </si>
  <si>
    <t>Melting_Curves/meltCurve_Q9NZU5_LMCD1.pdf</t>
  </si>
  <si>
    <t>Melting_Curves/meltCurve_Q9NZW5_MPP6.pdf</t>
  </si>
  <si>
    <t>Melting_Curves/meltCurve_Q9NZZ3_CHMP5.pdf</t>
  </si>
  <si>
    <t>Melting_Curves/meltCurve_Q9P013_CWC15.pdf</t>
  </si>
  <si>
    <t>Melting_Curves/meltCurve_Q9P016_THYN1.pdf</t>
  </si>
  <si>
    <t>Melting_Curves/meltCurve_Q9P021_CRIPT.pdf</t>
  </si>
  <si>
    <t>Melting_Curves/meltCurve_Q9P031_CCDC59.pdf</t>
  </si>
  <si>
    <t>Melting_Curves/meltCurve_Q9P032_NDUFAF4.pdf</t>
  </si>
  <si>
    <t>Melting_Curves/meltCurve_Q9P035_PTPLAD1.pdf</t>
  </si>
  <si>
    <t>Melting_Curves/meltCurve_Q9P0B6_CCDC167.pdf</t>
  </si>
  <si>
    <t>Melting_Curves/meltCurve_Q9P0I2_EMC3.pdf</t>
  </si>
  <si>
    <t>Melting_Curves/meltCurve_Q9P0J1_PDP1.pdf</t>
  </si>
  <si>
    <t>Melting_Curves/meltCurve_Q9P0J7_KCMF1.pdf</t>
  </si>
  <si>
    <t>Melting_Curves/meltCurve_Q9P0L0_VAPA.pdf</t>
  </si>
  <si>
    <t>Melting_Curves/meltCurve_Q9P0P0_RNF181.pdf</t>
  </si>
  <si>
    <t>Melting_Curves/meltCurve_Q9P0R6_GSKIP.pdf</t>
  </si>
  <si>
    <t>Melting_Curves/meltCurve_Q9P0S2_COX16.pdf</t>
  </si>
  <si>
    <t>Melting_Curves/meltCurve_Q9P0U4_CXXC1.pdf</t>
  </si>
  <si>
    <t>Melting_Curves/meltCurve_Q9P0V3_SH3BP4.pdf</t>
  </si>
  <si>
    <t>Melting_Curves/meltCurve_Q9P0W2_2_HMG20B.pdf</t>
  </si>
  <si>
    <t>Melting_Curves/meltCurve_Q9P0Z9_PIPOX.pdf</t>
  </si>
  <si>
    <t>Melting_Curves/meltCurve_Q9P1F3_ABRACL.pdf</t>
  </si>
  <si>
    <t>Melting_Curves/meltCurve_Q9P1U1_ACTR3B.pdf</t>
  </si>
  <si>
    <t>Melting_Curves/meltCurve_Q9P1Y5_CAMSAP3.pdf</t>
  </si>
  <si>
    <t>Melting_Curves/meltCurve_Q9P1Z2_2_CALCOCO1.pdf</t>
  </si>
  <si>
    <t>Melting_Curves/meltCurve_Q9P206_2_KIAA1522.pdf</t>
  </si>
  <si>
    <t>Melting_Curves/meltCurve_Q9P209_CEP72.pdf</t>
  </si>
  <si>
    <t>Melting_Curves/meltCurve_Q9P219_CCDC88C.pdf</t>
  </si>
  <si>
    <t>Melting_Curves/meltCurve_Q9P258_RCC2.pdf</t>
  </si>
  <si>
    <t>Melting_Curves/meltCurve_Q9P260_KIAA1468.pdf</t>
  </si>
  <si>
    <t>Melting_Curves/meltCurve_Q9P265_DIP2B.pdf</t>
  </si>
  <si>
    <t>Melting_Curves/meltCurve_Q9P266_KIAA1462.pdf</t>
  </si>
  <si>
    <t>Melting_Curves/meltCurve_Q9P270_SLAIN2.pdf</t>
  </si>
  <si>
    <t>Melting_Curves/meltCurve_Q9P273_TENM3.pdf</t>
  </si>
  <si>
    <t>Melting_Curves/meltCurve_Q9P275_USP36.pdf</t>
  </si>
  <si>
    <t>Melting_Curves/meltCurve_Q9P287_BCCIP.pdf</t>
  </si>
  <si>
    <t>Melting_Curves/meltCurve_Q9P287_2_BCCIP.pdf</t>
  </si>
  <si>
    <t>Melting_Curves/meltCurve_Q9P2B2_PTGFRN.pdf</t>
  </si>
  <si>
    <t>Melting_Curves/meltCurve_Q9P2B4_CTTNBP2NL.pdf</t>
  </si>
  <si>
    <t>Melting_Curves/meltCurve_Q9P2C4_TMEM181.pdf</t>
  </si>
  <si>
    <t>Melting_Curves/meltCurve_Q9P2D1_CHD7.pdf</t>
  </si>
  <si>
    <t>Melting_Curves/meltCurve_Q9P2D3_3_HEATR5B.pdf</t>
  </si>
  <si>
    <t>Melting_Curves/meltCurve_Q9P2E9_RRBP1.pdf</t>
  </si>
  <si>
    <t>Melting_Curves/meltCurve_Q9P2I0_CPSF2.pdf</t>
  </si>
  <si>
    <t>Melting_Curves/meltCurve_Q9P2J9_PDP2.pdf</t>
  </si>
  <si>
    <t>Melting_Curves/meltCurve_Q9P2K3_RCOR3.pdf</t>
  </si>
  <si>
    <t>Melting_Curves/meltCurve_Q9P2K5_2_MYEF2.pdf</t>
  </si>
  <si>
    <t>Melting_Curves/meltCurve_Q9P2K6_KLHL42.pdf</t>
  </si>
  <si>
    <t>Melting_Curves/meltCurve_Q9P2M7_CGN.pdf</t>
  </si>
  <si>
    <t>Melting_Curves/meltCurve_Q9P2N5_RBM27.pdf</t>
  </si>
  <si>
    <t>Melting_Curves/meltCurve_Q9P2R3_ANKFY1.pdf</t>
  </si>
  <si>
    <t>Melting_Curves/meltCurve_Q9P2R6_RERE.pdf</t>
  </si>
  <si>
    <t>Melting_Curves/meltCurve_Q9P2W1_2_PSMC3IP.pdf</t>
  </si>
  <si>
    <t>Melting_Curves/meltCurve_Q9P2X0_DPM3.pdf</t>
  </si>
  <si>
    <t>Melting_Curves/meltCurve_Q9P2X3_IMPACT.pdf</t>
  </si>
  <si>
    <t>Melting_Curves/meltCurve_Q9P2Y5_UVRAG.pdf</t>
  </si>
  <si>
    <t>Melting_Curves/meltCurve_Q9UBB4_ATXN10.pdf</t>
  </si>
  <si>
    <t>Melting_Curves/meltCurve_Q9UBB5_MBD2.pdf</t>
  </si>
  <si>
    <t>Melting_Curves/meltCurve_Q9UBB6_NCDN.pdf</t>
  </si>
  <si>
    <t>Melting_Curves/meltCurve_Q9UBB9_TFIP11.pdf</t>
  </si>
  <si>
    <t>Melting_Curves/meltCurve_Q9UBC2_2_EPS15L1.pdf</t>
  </si>
  <si>
    <t>Melting_Curves/meltCurve_Q9UBC2_4_EPS15L1.pdf</t>
  </si>
  <si>
    <t>Melting_Curves/meltCurve_Q9UBD5_ORC3.pdf</t>
  </si>
  <si>
    <t>Melting_Curves/meltCurve_Q9UBE0_SAE1.pdf</t>
  </si>
  <si>
    <t>Melting_Curves/meltCurve_Q9UBF2_COPG2.pdf</t>
  </si>
  <si>
    <t>Melting_Curves/meltCurve_Q9UBF6_RNF7.pdf</t>
  </si>
  <si>
    <t>Melting_Curves/meltCurve_Q9UBF8_2_PI4KB.pdf</t>
  </si>
  <si>
    <t>Melting_Curves/meltCurve_Q9UBK8_2_MTRR.pdf</t>
  </si>
  <si>
    <t>Melting_Curves/meltCurve_Q9UBL3_3_ASH2L.pdf</t>
  </si>
  <si>
    <t>Melting_Curves/meltCurve_Q9UBM7_DHCR7.pdf</t>
  </si>
  <si>
    <t>Melting_Curves/meltCurve_Q9UBN6_TNFRSF10D.pdf</t>
  </si>
  <si>
    <t>Melting_Curves/meltCurve_Q9UBP0_3_SPAST.pdf</t>
  </si>
  <si>
    <t>Melting_Curves/meltCurve_Q9UBP6_METTL1.pdf</t>
  </si>
  <si>
    <t>Melting_Curves/meltCurve_Q9UBQ0_VPS29.pdf</t>
  </si>
  <si>
    <t>Melting_Curves/meltCurve_Q9UBQ7_GRHPR.pdf</t>
  </si>
  <si>
    <t>Melting_Curves/meltCurve_Q9UBR2_CTSZ.pdf</t>
  </si>
  <si>
    <t>Melting_Curves/meltCurve_Q9UBS0_RPS6KB2.pdf</t>
  </si>
  <si>
    <t>Melting_Curves/meltCurve_Q9UBS4_DNAJB11.pdf</t>
  </si>
  <si>
    <t>Melting_Curves/meltCurve_Q9UBS8_RNF14.pdf</t>
  </si>
  <si>
    <t>Melting_Curves/meltCurve_Q9UBS9_SUCO.pdf</t>
  </si>
  <si>
    <t>Melting_Curves/meltCurve_Q9UBT2_UBA2.pdf</t>
  </si>
  <si>
    <t>Melting_Curves/meltCurve_Q9UBU6_FAM8A1.pdf</t>
  </si>
  <si>
    <t>Melting_Curves/meltCurve_Q9UBU9_NXF1.pdf</t>
  </si>
  <si>
    <t>Melting_Curves/meltCurve_Q9UBV2_SEL1L.pdf</t>
  </si>
  <si>
    <t>Melting_Curves/meltCurve_Q9UBV8_PEF1.pdf</t>
  </si>
  <si>
    <t>Melting_Curves/meltCurve_Q9UBW7_ZMYM2.pdf</t>
  </si>
  <si>
    <t>Melting_Curves/meltCurve_Q9UBW8_COPS7A.pdf</t>
  </si>
  <si>
    <t>Melting_Curves/meltCurve_Q9UBX3_SLC25A10.pdf</t>
  </si>
  <si>
    <t>Melting_Curves/meltCurve_Q9UD71_PPP1R1B.pdf</t>
  </si>
  <si>
    <t>Melting_Curves/meltCurve_Q9UDW1_UQCR10.pdf</t>
  </si>
  <si>
    <t>Melting_Curves/meltCurve_Q9UDX5_MTFP1.pdf</t>
  </si>
  <si>
    <t>Melting_Curves/meltCurve_Q9UDY2_3_TJP2.pdf</t>
  </si>
  <si>
    <t>Melting_Curves/meltCurve_Q9UDY4_DNAJB4.pdf</t>
  </si>
  <si>
    <t>Melting_Curves/meltCurve_Q9UDY8_MALT1.pdf</t>
  </si>
  <si>
    <t>Melting_Curves/meltCurve_Q9UEE9_CFDP1.pdf</t>
  </si>
  <si>
    <t>Melting_Curves/meltCurve_Q9UEG4_ZNF629.pdf</t>
  </si>
  <si>
    <t>Melting_Curves/meltCurve_Q9UEL6_MPZL1.pdf</t>
  </si>
  <si>
    <t>Melting_Curves/meltCurve_Q9UER7_3_DAXX.pdf</t>
  </si>
  <si>
    <t>Melting_Curves/meltCurve_Q9UET6_2_FTSJ1.pdf</t>
  </si>
  <si>
    <t>Melting_Curves/meltCurve_Q9UEU0_VTI1B.pdf</t>
  </si>
  <si>
    <t>Melting_Curves/meltCurve_Q9UEW8_STK39.pdf</t>
  </si>
  <si>
    <t>Melting_Curves/meltCurve_Q9UEY8_2_ADD3.pdf</t>
  </si>
  <si>
    <t>Melting_Curves/meltCurve_Q9UFC0_LRWD1.pdf</t>
  </si>
  <si>
    <t>Melting_Curves/meltCurve_Q9UFG5_C19orf25.pdf</t>
  </si>
  <si>
    <t>Melting_Curves/meltCurve_Q9UFN0_NIPSNAP3A.pdf</t>
  </si>
  <si>
    <t>Melting_Curves/meltCurve_Q9UFW8_CGGBP1.pdf</t>
  </si>
  <si>
    <t>Melting_Curves/meltCurve_Q9UG56_2_PISD.pdf</t>
  </si>
  <si>
    <t>Melting_Curves/meltCurve_Q9UG63_ABCF2.pdf</t>
  </si>
  <si>
    <t>Melting_Curves/meltCurve_Q9UGC7_MTRF1L.pdf</t>
  </si>
  <si>
    <t>Melting_Curves/meltCurve_Q9UGI8_TES.pdf</t>
  </si>
  <si>
    <t>Melting_Curves/meltCurve_Q9UGJ1_2_TUBGCP4.pdf</t>
  </si>
  <si>
    <t>Melting_Curves/meltCurve_Q9UGK3_STAP2.pdf</t>
  </si>
  <si>
    <t>Melting_Curves/meltCurve_Q9UGK8_SERGEF.pdf</t>
  </si>
  <si>
    <t>Melting_Curves/meltCurve_Q9UGM6_WARS2.pdf</t>
  </si>
  <si>
    <t>Melting_Curves/meltCurve_Q9UGP4_LIMD1.pdf</t>
  </si>
  <si>
    <t>Melting_Curves/meltCurve_Q9UGP8_SEC63.pdf</t>
  </si>
  <si>
    <t>Melting_Curves/meltCurve_Q9UGQ2_2_CACFD1.pdf</t>
  </si>
  <si>
    <t>Melting_Curves/meltCurve_Q9UGQ3_2_SLC2A6.pdf</t>
  </si>
  <si>
    <t>Melting_Curves/meltCurve_Q9UGR2_2_ZC3H7B.pdf</t>
  </si>
  <si>
    <t>Melting_Curves/meltCurve_Q9UGU0_2_TCF20.pdf</t>
  </si>
  <si>
    <t>Melting_Curves/meltCurve_Q9UGU5_HMGXB4.pdf</t>
  </si>
  <si>
    <t>Melting_Curves/meltCurve_Q9UGV2_NDRG3.pdf</t>
  </si>
  <si>
    <t>Melting_Curves/meltCurve_Q9UH62_ARMCX3.pdf</t>
  </si>
  <si>
    <t>Melting_Curves/meltCurve_Q9UH65_SWAP70.pdf</t>
  </si>
  <si>
    <t>Melting_Curves/meltCurve_Q9UHA4_LAMTOR3.pdf</t>
  </si>
  <si>
    <t>Melting_Curves/meltCurve_Q9UHB6_LIMA1.pdf</t>
  </si>
  <si>
    <t>Melting_Curves/meltCurve_Q9UHB7_AFF4.pdf</t>
  </si>
  <si>
    <t>Melting_Curves/meltCurve_Q9UHB9_SRP68.pdf</t>
  </si>
  <si>
    <t>Melting_Curves/meltCurve_Q9UHD1_CHORDC1.pdf</t>
  </si>
  <si>
    <t>Melting_Curves/meltCurve_Q9UHD2_TBK1.pdf</t>
  </si>
  <si>
    <t>Melting_Curves/meltCurve_Q9UHD8_SEPT9.pdf</t>
  </si>
  <si>
    <t>Melting_Curves/meltCurve_Q9UHD9_UBQLN2.pdf</t>
  </si>
  <si>
    <t>Melting_Curves/meltCurve_Q9UHE8_STEAP1.pdf</t>
  </si>
  <si>
    <t>Melting_Curves/meltCurve_Q9UHF7_TRPS1.pdf</t>
  </si>
  <si>
    <t>Melting_Curves/meltCurve_Q9UHG3_PCYOX1.pdf</t>
  </si>
  <si>
    <t>Melting_Curves/meltCurve_Q9UHI6_DDX20.pdf</t>
  </si>
  <si>
    <t>Melting_Curves/meltCurve_Q9UHJ6_SHPK.pdf</t>
  </si>
  <si>
    <t>Melting_Curves/meltCurve_Q9UHK6_AMACR.pdf</t>
  </si>
  <si>
    <t>Melting_Curves/meltCurve_Q9UHL4_DPP7.pdf</t>
  </si>
  <si>
    <t>Melting_Curves/meltCurve_Q9UHN1_POLG2.pdf</t>
  </si>
  <si>
    <t>Melting_Curves/meltCurve_Q9UHN6_TMEM2.pdf</t>
  </si>
  <si>
    <t>Melting_Curves/meltCurve_Q9UHP3_USP25.pdf</t>
  </si>
  <si>
    <t>Melting_Curves/meltCurve_Q9UHQ4_BCAP29.pdf</t>
  </si>
  <si>
    <t>Melting_Curves/meltCurve_Q9UHQ9_CYB5R1.pdf</t>
  </si>
  <si>
    <t>Melting_Curves/meltCurve_Q9UHR4_BAIAP2L1.pdf</t>
  </si>
  <si>
    <t>Melting_Curves/meltCurve_Q9UHV7_MED13.pdf</t>
  </si>
  <si>
    <t>Melting_Curves/meltCurve_Q9UHV9_PFDN2.pdf</t>
  </si>
  <si>
    <t>Melting_Curves/meltCurve_Q9UHW5_GPN3.pdf</t>
  </si>
  <si>
    <t>Melting_Curves/meltCurve_Q9UHX1_4_PUF60.pdf</t>
  </si>
  <si>
    <t>Melting_Curves/meltCurve_Q9UHX3_4_EMR2.pdf</t>
  </si>
  <si>
    <t>Melting_Curves/meltCurve_Q9UHY1_NRBP1.pdf</t>
  </si>
  <si>
    <t>Melting_Curves/meltCurve_Q9UHY7_ENOPH1.pdf</t>
  </si>
  <si>
    <t>Melting_Curves/meltCurve_Q9UI09_NDUFA12.pdf</t>
  </si>
  <si>
    <t>Melting_Curves/meltCurve_Q9UI10_EIF2B4.pdf</t>
  </si>
  <si>
    <t>Melting_Curves/meltCurve_Q9UI12_2_ATP6V1H.pdf</t>
  </si>
  <si>
    <t>Melting_Curves/meltCurve_Q9UI15_TAGLN3.pdf</t>
  </si>
  <si>
    <t>Melting_Curves/meltCurve_Q9UI26_IPO11.pdf</t>
  </si>
  <si>
    <t>Melting_Curves/meltCurve_Q9UI30_TRMT112.pdf</t>
  </si>
  <si>
    <t>Melting_Curves/meltCurve_Q9UI32_GLS2.pdf</t>
  </si>
  <si>
    <t>Melting_Curves/meltCurve_Q9UI36_2_DACH1.pdf</t>
  </si>
  <si>
    <t>Melting_Curves/meltCurve_Q9UI43_FTSJ2.pdf</t>
  </si>
  <si>
    <t>Melting_Curves/meltCurve_Q9UIC8_LCMT1.pdf</t>
  </si>
  <si>
    <t>Melting_Curves/meltCurve_Q9UID3_VPS51.pdf</t>
  </si>
  <si>
    <t>Melting_Curves/meltCurve_Q9UII2_ATPIF1.pdf</t>
  </si>
  <si>
    <t>Melting_Curves/meltCurve_Q9UIJ7_AK3.pdf</t>
  </si>
  <si>
    <t>Melting_Curves/meltCurve_Q9UIK4_DAPK2.pdf</t>
  </si>
  <si>
    <t>Melting_Curves/meltCurve_Q9UIL1_3_SCOC.pdf</t>
  </si>
  <si>
    <t>Melting_Curves/meltCurve_Q9UIM3_FKBPL.pdf</t>
  </si>
  <si>
    <t>Melting_Curves/meltCurve_Q9UIQ6_3_LNPEP.pdf</t>
  </si>
  <si>
    <t>Melting_Curves/meltCurve_Q9UIU6_SIX4.pdf</t>
  </si>
  <si>
    <t>Melting_Curves/meltCurve_Q9UJ14_GGT7.pdf</t>
  </si>
  <si>
    <t>Melting_Curves/meltCurve_Q9UJ68_2_MSRA.pdf</t>
  </si>
  <si>
    <t>Melting_Curves/meltCurve_Q9UJA2_2_CRLS1.pdf</t>
  </si>
  <si>
    <t>Melting_Curves/meltCurve_Q9UJA5_TRMT6.pdf</t>
  </si>
  <si>
    <t>Melting_Curves/meltCurve_Q9UJC5_SH3BGRL2.pdf</t>
  </si>
  <si>
    <t>Melting_Curves/meltCurve_Q9UJJ2_ZNF280C.pdf</t>
  </si>
  <si>
    <t>Melting_Curves/meltCurve_Q9UJK0_TSR3.pdf</t>
  </si>
  <si>
    <t>Melting_Curves/meltCurve_Q9UJS0_SLC25A13.pdf</t>
  </si>
  <si>
    <t>Melting_Curves/meltCurve_Q9UJU6_DBNL.pdf</t>
  </si>
  <si>
    <t>Melting_Curves/meltCurve_Q9UJU6_2_DBNL.pdf</t>
  </si>
  <si>
    <t>Melting_Curves/meltCurve_Q9UJU6_3_DBNL.pdf</t>
  </si>
  <si>
    <t>Melting_Curves/meltCurve_Q9UJW0_DCTN4.pdf</t>
  </si>
  <si>
    <t>Melting_Curves/meltCurve_Q9UJX3_2_ANAPC7.pdf</t>
  </si>
  <si>
    <t>Melting_Curves/meltCurve_Q9UJX5_2_ANAPC4.pdf</t>
  </si>
  <si>
    <t>Melting_Curves/meltCurve_Q9UJX6_2_ANAPC2.pdf</t>
  </si>
  <si>
    <t>Melting_Curves/meltCurve_Q9UJY4_GGA2.pdf</t>
  </si>
  <si>
    <t>Melting_Curves/meltCurve_Q9UJY5_4_GGA1.pdf</t>
  </si>
  <si>
    <t>Melting_Curves/meltCurve_Q9UJZ1_STOML2.pdf</t>
  </si>
  <si>
    <t>Melting_Curves/meltCurve_Q9UK22_FBXO2.pdf</t>
  </si>
  <si>
    <t>Melting_Curves/meltCurve_Q9UK23_NAGPA.pdf</t>
  </si>
  <si>
    <t>Melting_Curves/meltCurve_Q9UK32_RPS6KA6.pdf</t>
  </si>
  <si>
    <t>Melting_Curves/meltCurve_Q9UK41_VPS28.pdf</t>
  </si>
  <si>
    <t>Melting_Curves/meltCurve_Q9UK45_LSM7.pdf</t>
  </si>
  <si>
    <t>Melting_Curves/meltCurve_Q9UK53_2_ING1.pdf</t>
  </si>
  <si>
    <t>Melting_Curves/meltCurve_Q9UK59_DBR1.pdf</t>
  </si>
  <si>
    <t>Melting_Curves/meltCurve_Q9UK76_HN1.pdf</t>
  </si>
  <si>
    <t>Melting_Curves/meltCurve_Q9UK97_3_FBXO9.pdf</t>
  </si>
  <si>
    <t>Melting_Curves/meltCurve_Q9UKA2_FBXL4.pdf</t>
  </si>
  <si>
    <t>Melting_Curves/meltCurve_Q9UKA4_AKAP11.pdf</t>
  </si>
  <si>
    <t>Melting_Curves/meltCurve_Q9UKB3_DNAJC12.pdf</t>
  </si>
  <si>
    <t>Melting_Curves/meltCurve_Q9UKB5_AJAP1.pdf</t>
  </si>
  <si>
    <t>Melting_Curves/meltCurve_Q9UKD2_MRTO4.pdf</t>
  </si>
  <si>
    <t>Melting_Curves/meltCurve_Q9UKF6_CPSF3.pdf</t>
  </si>
  <si>
    <t>Melting_Curves/meltCurve_Q9UKG1_APPL1.pdf</t>
  </si>
  <si>
    <t>Melting_Curves/meltCurve_Q9UKI8_5_TLK1.pdf</t>
  </si>
  <si>
    <t>Melting_Curves/meltCurve_Q9UKJ3_GPATCH8.pdf</t>
  </si>
  <si>
    <t>Melting_Curves/meltCurve_Q9UKK9_NUDT5.pdf</t>
  </si>
  <si>
    <t>Melting_Curves/meltCurve_Q9UKL3_CASP8AP2.pdf</t>
  </si>
  <si>
    <t>Melting_Curves/meltCurve_Q9UKL6_PCTP.pdf</t>
  </si>
  <si>
    <t>Melting_Curves/meltCurve_Q9UKM7_MAN1B1.pdf</t>
  </si>
  <si>
    <t>Melting_Curves/meltCurve_Q9UKN8_GTF3C4.pdf</t>
  </si>
  <si>
    <t>Melting_Curves/meltCurve_Q9UKQ2_2_ADAM28.pdf</t>
  </si>
  <si>
    <t>Melting_Curves/meltCurve_Q9UKR5_C14orf1.pdf</t>
  </si>
  <si>
    <t>Melting_Curves/meltCurve_Q9UKS6_PACSIN3.pdf</t>
  </si>
  <si>
    <t>Melting_Curves/meltCurve_Q9UKT5_FBXO4.pdf</t>
  </si>
  <si>
    <t>Melting_Curves/meltCurve_Q9UKU7_ACAD8.pdf</t>
  </si>
  <si>
    <t>Melting_Curves/meltCurve_Q9UKV8_AGO2.pdf</t>
  </si>
  <si>
    <t>Melting_Curves/meltCurve_Q9UKX7_2_NUP50.pdf</t>
  </si>
  <si>
    <t>Melting_Curves/meltCurve_Q9UKY7_CDV3.pdf</t>
  </si>
  <si>
    <t>Melting_Curves/meltCurve_Q9UKZ1_CNOT11.pdf</t>
  </si>
  <si>
    <t>Melting_Curves/meltCurve_Q9UL15_BAG5.pdf</t>
  </si>
  <si>
    <t>Melting_Curves/meltCurve_Q9UL18_AGO1.pdf</t>
  </si>
  <si>
    <t>Melting_Curves/meltCurve_Q9UL25_RAB21.pdf</t>
  </si>
  <si>
    <t>Melting_Curves/meltCurve_Q9UL26_RAB22A.pdf</t>
  </si>
  <si>
    <t>Melting_Curves/meltCurve_Q9UL42_PNMA2.pdf</t>
  </si>
  <si>
    <t>Melting_Curves/meltCurve_Q9UL46_PSME2.pdf</t>
  </si>
  <si>
    <t>Melting_Curves/meltCurve_Q9UL52_TMPRSS11E.pdf</t>
  </si>
  <si>
    <t>Melting_Curves/meltCurve_Q9UL54_2_TAOK2.pdf</t>
  </si>
  <si>
    <t>Melting_Curves/meltCurve_Q9ULC3_RAB23.pdf</t>
  </si>
  <si>
    <t>Melting_Curves/meltCurve_Q9ULC4_MCTS1.pdf</t>
  </si>
  <si>
    <t>Melting_Curves/meltCurve_Q9ULC5_ACSL5.pdf</t>
  </si>
  <si>
    <t>Melting_Curves/meltCurve_Q9ULD9_ZNF608.pdf</t>
  </si>
  <si>
    <t>Melting_Curves/meltCurve_Q9ULE6_PALD1.pdf</t>
  </si>
  <si>
    <t>Melting_Curves/meltCurve_Q9ULF5_SLC39A10.pdf</t>
  </si>
  <si>
    <t>Melting_Curves/meltCurve_Q9ULH0_2_KIDINS220.pdf</t>
  </si>
  <si>
    <t>Melting_Curves/meltCurve_Q9ULH7_4_MKL2.pdf</t>
  </si>
  <si>
    <t>Melting_Curves/meltCurve_Q9ULJ6_ZMIZ1.pdf</t>
  </si>
  <si>
    <t>Melting_Curves/meltCurve_Q9ULJ8_PPP1R9A.pdf</t>
  </si>
  <si>
    <t>Melting_Curves/meltCurve_Q9ULL5_3_PRR12.pdf</t>
  </si>
  <si>
    <t>Melting_Curves/meltCurve_Q9ULP9_2_TBC1D24.pdf</t>
  </si>
  <si>
    <t>Melting_Curves/meltCurve_Q9ULR0_ISY1.pdf</t>
  </si>
  <si>
    <t>Melting_Curves/meltCurve_Q9ULR3_PPM1H.pdf</t>
  </si>
  <si>
    <t>Melting_Curves/meltCurve_Q9ULV4_CORO1C.pdf</t>
  </si>
  <si>
    <t>Melting_Curves/meltCurve_Q9ULW0_TPX2.pdf</t>
  </si>
  <si>
    <t>Melting_Curves/meltCurve_Q9ULX3_NOB1.pdf</t>
  </si>
  <si>
    <t>Melting_Curves/meltCurve_Q9ULX6_AKAP8L.pdf</t>
  </si>
  <si>
    <t>Melting_Curves/meltCurve_Q9ULX7_CA14.pdf</t>
  </si>
  <si>
    <t>Melting_Curves/meltCurve_Q9ULX9_MAFF.pdf</t>
  </si>
  <si>
    <t>Melting_Curves/meltCurve_Q9ULZ3_2_PYCARD.pdf</t>
  </si>
  <si>
    <t>Melting_Curves/meltCurve_Q9UM54_5_MYO6.pdf</t>
  </si>
  <si>
    <t>Melting_Curves/meltCurve_Q9UMR2_DDX19B.pdf</t>
  </si>
  <si>
    <t>Melting_Curves/meltCurve_Q9UMS0_3_NFU1.pdf</t>
  </si>
  <si>
    <t>Melting_Curves/meltCurve_Q9UMS4_PRPF19.pdf</t>
  </si>
  <si>
    <t>Melting_Curves/meltCurve_Q9UMX0_UBQLN1.pdf</t>
  </si>
  <si>
    <t>Melting_Curves/meltCurve_Q9UMX0_2_UBQLN1.pdf</t>
  </si>
  <si>
    <t>Melting_Curves/meltCurve_Q9UMX5_NENF.pdf</t>
  </si>
  <si>
    <t>Melting_Curves/meltCurve_Q9UMY1_NOL7.pdf</t>
  </si>
  <si>
    <t>Melting_Curves/meltCurve_Q9UMY4_2_SNX12.pdf</t>
  </si>
  <si>
    <t>Melting_Curves/meltCurve_Q9UMZ2_6_SYNRG.pdf</t>
  </si>
  <si>
    <t>Melting_Curves/meltCurve_Q9UN37_VPS4A.pdf</t>
  </si>
  <si>
    <t>Melting_Curves/meltCurve_Q9UN79_SOX13.pdf</t>
  </si>
  <si>
    <t>Melting_Curves/meltCurve_Q9UN86_2_G3BP2.pdf</t>
  </si>
  <si>
    <t>Melting_Curves/meltCurve_Q9UNE7_STUB1.pdf</t>
  </si>
  <si>
    <t>Melting_Curves/meltCurve_Q9UNF0_2_PACSIN2.pdf</t>
  </si>
  <si>
    <t>Melting_Curves/meltCurve_Q9UNF1_MAGED2.pdf</t>
  </si>
  <si>
    <t>Melting_Curves/meltCurve_Q9UNH7_SNX6.pdf</t>
  </si>
  <si>
    <t>Melting_Curves/meltCurve_Q9UNI6_DUSP12.pdf</t>
  </si>
  <si>
    <t>Melting_Curves/meltCurve_Q9UNK0_STX8.pdf</t>
  </si>
  <si>
    <t>Melting_Curves/meltCurve_Q9UNK9_ANGEL1.pdf</t>
  </si>
  <si>
    <t>Melting_Curves/meltCurve_Q9UNM6_PSMD13.pdf</t>
  </si>
  <si>
    <t>Melting_Curves/meltCurve_Q9UNN5_FAF1.pdf</t>
  </si>
  <si>
    <t>Melting_Curves/meltCurve_Q9UNP9_PPIE.pdf</t>
  </si>
  <si>
    <t>Melting_Curves/meltCurve_Q9UNS1_2_TIMELESS.pdf</t>
  </si>
  <si>
    <t>Melting_Curves/meltCurve_Q9UNS2_COPS3.pdf</t>
  </si>
  <si>
    <t>Melting_Curves/meltCurve_Q9UNW1_MINPP1.pdf</t>
  </si>
  <si>
    <t>Melting_Curves/meltCurve_Q9UNX4_WDR3.pdf</t>
  </si>
  <si>
    <t>Melting_Curves/meltCurve_Q9UNY4_TTF2.pdf</t>
  </si>
  <si>
    <t>Melting_Curves/meltCurve_Q9UNZ5_C19orf53.pdf</t>
  </si>
  <si>
    <t>Melting_Curves/meltCurve_Q9UP83_3_COG5.pdf</t>
  </si>
  <si>
    <t>Melting_Curves/meltCurve_Q9UP95_5_SLC12A4.pdf</t>
  </si>
  <si>
    <t>Melting_Curves/meltCurve_Q9UPN6_SCAF8.pdf</t>
  </si>
  <si>
    <t>Melting_Curves/meltCurve_Q9UPN7_PPP6R1.pdf</t>
  </si>
  <si>
    <t>Melting_Curves/meltCurve_Q9UPN9_2_TRIM33.pdf</t>
  </si>
  <si>
    <t>Melting_Curves/meltCurve_Q9UPP1_4_PHF8.pdf</t>
  </si>
  <si>
    <t>Melting_Curves/meltCurve_Q9UPQ9_1_TNRC6B.pdf</t>
  </si>
  <si>
    <t>Melting_Curves/meltCurve_Q9UPR3_SMG5.pdf</t>
  </si>
  <si>
    <t>Melting_Curves/meltCurve_Q9UPT5_1_EXOC7.pdf</t>
  </si>
  <si>
    <t>Melting_Curves/meltCurve_Q9UPT8_ZC3H4.pdf</t>
  </si>
  <si>
    <t>Melting_Curves/meltCurve_Q9UPT9_2_USP22.pdf</t>
  </si>
  <si>
    <t>Melting_Curves/meltCurve_Q9UPU5_USP24.pdf</t>
  </si>
  <si>
    <t>Melting_Curves/meltCurve_Q9UPW5_AGTPBP1.pdf</t>
  </si>
  <si>
    <t>Melting_Curves/meltCurve_Q9UPY3_DICER1.pdf</t>
  </si>
  <si>
    <t>Melting_Curves/meltCurve_Q9UPY5_SLC7A11.pdf</t>
  </si>
  <si>
    <t>Melting_Curves/meltCurve_Q9UPY8_2_MAPRE3.pdf</t>
  </si>
  <si>
    <t>Melting_Curves/meltCurve_Q9UQ13_2_SHOC2.pdf</t>
  </si>
  <si>
    <t>Melting_Curves/meltCurve_Q9UQ35_SRRM2.pdf</t>
  </si>
  <si>
    <t>Melting_Curves/meltCurve_Q9UQ53_2_MGAT4B.pdf</t>
  </si>
  <si>
    <t>Melting_Curves/meltCurve_Q9UQ80_PA2G4.pdf</t>
  </si>
  <si>
    <t>Melting_Curves/meltCurve_Q9UQ90_SPG7.pdf</t>
  </si>
  <si>
    <t>Melting_Curves/meltCurve_Q9UQB8_5_BAIAP2.pdf</t>
  </si>
  <si>
    <t>Melting_Curves/meltCurve_Q9UQB8_6_BAIAP2.pdf</t>
  </si>
  <si>
    <t>Melting_Curves/meltCurve_Q9UQC2_2_GAB2.pdf</t>
  </si>
  <si>
    <t>Melting_Curves/meltCurve_Q9UQE7_SMC3.pdf</t>
  </si>
  <si>
    <t>Melting_Curves/meltCurve_Q9UQL6_HDAC5.pdf</t>
  </si>
  <si>
    <t>Melting_Curves/meltCurve_Q9UQN3_CHMP2B.pdf</t>
  </si>
  <si>
    <t>Melting_Curves/meltCurve_Q9Y217_MTMR6.pdf</t>
  </si>
  <si>
    <t>Melting_Curves/meltCurve_Q9Y219_JAG2.pdf</t>
  </si>
  <si>
    <t>Melting_Curves/meltCurve_Q9Y221_2_NIP7.pdf</t>
  </si>
  <si>
    <t>Melting_Curves/meltCurve_Q9Y223_GNE.pdf</t>
  </si>
  <si>
    <t>Melting_Curves/meltCurve_Q9Y224_C14orf166.pdf</t>
  </si>
  <si>
    <t>Melting_Curves/meltCurve_Q9Y230_RUVBL2.pdf</t>
  </si>
  <si>
    <t>Melting_Curves/meltCurve_Q9Y232_2_CDYL.pdf</t>
  </si>
  <si>
    <t>Melting_Curves/meltCurve_Q9Y234_LIPT1.pdf</t>
  </si>
  <si>
    <t>Melting_Curves/meltCurve_Q9Y235_APOBEC2.pdf</t>
  </si>
  <si>
    <t>Melting_Curves/meltCurve_Q9Y237_PIN4.pdf</t>
  </si>
  <si>
    <t>Melting_Curves/meltCurve_Q9Y241_HIGD1A.pdf</t>
  </si>
  <si>
    <t>Melting_Curves/meltCurve_Q9Y242_TCF19.pdf</t>
  </si>
  <si>
    <t>Melting_Curves/meltCurve_Q9Y243_2_AKT3.pdf</t>
  </si>
  <si>
    <t>Melting_Curves/meltCurve_Q9Y244_POMP.pdf</t>
  </si>
  <si>
    <t>Melting_Curves/meltCurve_Q9Y247_FAM50B.pdf</t>
  </si>
  <si>
    <t>Melting_Curves/meltCurve_Q9Y248_GINS2.pdf</t>
  </si>
  <si>
    <t>Melting_Curves/meltCurve_Q9Y259_CHKB.pdf</t>
  </si>
  <si>
    <t>Melting_Curves/meltCurve_Q9Y263_PLAA.pdf</t>
  </si>
  <si>
    <t>Melting_Curves/meltCurve_Q9Y265_RUVBL1.pdf</t>
  </si>
  <si>
    <t>Melting_Curves/meltCurve_Q9Y266_NUDC.pdf</t>
  </si>
  <si>
    <t>Melting_Curves/meltCurve_Q9Y276_BCS1L.pdf</t>
  </si>
  <si>
    <t>Melting_Curves/meltCurve_Q9Y277_VDAC3.pdf</t>
  </si>
  <si>
    <t>Melting_Curves/meltCurve_Q9Y281_CFL2.pdf</t>
  </si>
  <si>
    <t>Melting_Curves/meltCurve_Q9Y294_ASF1A.pdf</t>
  </si>
  <si>
    <t>Melting_Curves/meltCurve_Q9Y295_DRG1.pdf</t>
  </si>
  <si>
    <t>Melting_Curves/meltCurve_Q9Y296_TRAPPC4.pdf</t>
  </si>
  <si>
    <t>Melting_Curves/meltCurve_Q9Y2A7_NCKAP1.pdf</t>
  </si>
  <si>
    <t>Melting_Curves/meltCurve_Q9Y2A9_B3GNT3.pdf</t>
  </si>
  <si>
    <t>Melting_Curves/meltCurve_Q9Y2B0_CNPY2.pdf</t>
  </si>
  <si>
    <t>Melting_Curves/meltCurve_Q9Y2C4_EXOG.pdf</t>
  </si>
  <si>
    <t>Melting_Curves/meltCurve_Q9Y2D4_EXOC6B.pdf</t>
  </si>
  <si>
    <t>Melting_Curves/meltCurve_Q9Y2D5_AKAP2.pdf</t>
  </si>
  <si>
    <t>Melting_Curves/meltCurve_Q9Y2G5_POFUT2.pdf</t>
  </si>
  <si>
    <t>Melting_Curves/meltCurve_Q9Y2H0_3_DLGAP4.pdf</t>
  </si>
  <si>
    <t>Melting_Curves/meltCurve_Q9Y2H1_STK38L.pdf</t>
  </si>
  <si>
    <t>Melting_Curves/meltCurve_Q9Y2H6_2_FNDC3A.pdf</t>
  </si>
  <si>
    <t>Melting_Curves/meltCurve_Q9Y2I1_NISCH.pdf</t>
  </si>
  <si>
    <t>Melting_Curves/meltCurve_Q9Y2I8_WDR37.pdf</t>
  </si>
  <si>
    <t>Melting_Curves/meltCurve_Q9Y2I9_TBC1D30.pdf</t>
  </si>
  <si>
    <t>Melting_Curves/meltCurve_Q9Y2K6_USP20.pdf</t>
  </si>
  <si>
    <t>Melting_Curves/meltCurve_Q9Y2K7_KDM2A.pdf</t>
  </si>
  <si>
    <t>Melting_Curves/meltCurve_Q9Y2L1_DIS3.pdf</t>
  </si>
  <si>
    <t>Melting_Curves/meltCurve_Q9Y2Q0_3_ATP8A1.pdf</t>
  </si>
  <si>
    <t>Melting_Curves/meltCurve_Q9Y2Q3_GSTK1.pdf</t>
  </si>
  <si>
    <t>Melting_Curves/meltCurve_Q9Y2Q5_LAMTOR2.pdf</t>
  </si>
  <si>
    <t>Melting_Curves/meltCurve_Q9Y2Q9_MRPS28.pdf</t>
  </si>
  <si>
    <t>Melting_Curves/meltCurve_Q9Y2R0_COA3.pdf</t>
  </si>
  <si>
    <t>Melting_Curves/meltCurve_Q9Y2R4_DDX52.pdf</t>
  </si>
  <si>
    <t>Melting_Curves/meltCurve_Q9Y2S0_POLR1D.pdf</t>
  </si>
  <si>
    <t>Melting_Curves/meltCurve_Q9Y2S0_2_POLR1D.pdf</t>
  </si>
  <si>
    <t>Melting_Curves/meltCurve_Q9Y2S2_2_CRYL1.pdf</t>
  </si>
  <si>
    <t>Melting_Curves/meltCurve_Q9Y2S6_TMA7.pdf</t>
  </si>
  <si>
    <t>Melting_Curves/meltCurve_Q9Y2S7_POLDIP2.pdf</t>
  </si>
  <si>
    <t>Melting_Curves/meltCurve_Q9Y2T2_AP3M1.pdf</t>
  </si>
  <si>
    <t>Melting_Curves/meltCurve_Q9Y2U8_LEMD3.pdf</t>
  </si>
  <si>
    <t>Melting_Curves/meltCurve_Q9Y2V2_CARHSP1.pdf</t>
  </si>
  <si>
    <t>Melting_Curves/meltCurve_Q9Y2V7_2_COG6.pdf</t>
  </si>
  <si>
    <t>Melting_Curves/meltCurve_Q9Y2W1_THRAP3.pdf</t>
  </si>
  <si>
    <t>Melting_Curves/meltCurve_Q9Y2X3_NOP58.pdf</t>
  </si>
  <si>
    <t>Melting_Curves/meltCurve_Q9Y2X7_3_GIT1.pdf</t>
  </si>
  <si>
    <t>Melting_Curves/meltCurve_Q9Y2Y1_POLR3K.pdf</t>
  </si>
  <si>
    <t>Melting_Curves/meltCurve_Q9Y2Z0_2_SUGT1.pdf</t>
  </si>
  <si>
    <t>Melting_Curves/meltCurve_Q9Y2Z2_4_MTO1.pdf</t>
  </si>
  <si>
    <t>Melting_Curves/meltCurve_Q9Y2Z4_YARS2.pdf</t>
  </si>
  <si>
    <t>Melting_Curves/meltCurve_Q9Y2Z9_3_COQ6.pdf</t>
  </si>
  <si>
    <t>Melting_Curves/meltCurve_Q9Y303_AMDHD2.pdf</t>
  </si>
  <si>
    <t>Melting_Curves/meltCurve_Q9Y305_ACOT9.pdf</t>
  </si>
  <si>
    <t>Melting_Curves/meltCurve_Q9Y314_NOSIP.pdf</t>
  </si>
  <si>
    <t>Melting_Curves/meltCurve_Q9Y315_DERA.pdf</t>
  </si>
  <si>
    <t>Melting_Curves/meltCurve_Q9Y316_MEMO1.pdf</t>
  </si>
  <si>
    <t>Melting_Curves/meltCurve_Q9Y320_2_TMX2.pdf</t>
  </si>
  <si>
    <t>Melting_Curves/meltCurve_Q9Y333_LSM2.pdf</t>
  </si>
  <si>
    <t>Melting_Curves/meltCurve_Q9Y371_SH3GLB1.pdf</t>
  </si>
  <si>
    <t>Melting_Curves/meltCurve_Q9Y375_NDUFAF1.pdf</t>
  </si>
  <si>
    <t>Melting_Curves/meltCurve_Q9Y376_CAB39.pdf</t>
  </si>
  <si>
    <t>Melting_Curves/meltCurve_Q9Y383_LUC7L2.pdf</t>
  </si>
  <si>
    <t>Melting_Curves/meltCurve_Q9Y385_UBE2J1.pdf</t>
  </si>
  <si>
    <t>Melting_Curves/meltCurve_Q9Y388_RBMX2.pdf</t>
  </si>
  <si>
    <t>Melting_Curves/meltCurve_Q9Y394_2_DHRS7.pdf</t>
  </si>
  <si>
    <t>Melting_Curves/meltCurve_Q9Y399_MRPS2.pdf</t>
  </si>
  <si>
    <t>Melting_Curves/meltCurve_Q9Y3A0_2_COQ4.pdf</t>
  </si>
  <si>
    <t>Melting_Curves/meltCurve_Q9Y3A3_3_MOB4.pdf</t>
  </si>
  <si>
    <t>Melting_Curves/meltCurve_Q9Y3A5_SBDS.pdf</t>
  </si>
  <si>
    <t>Melting_Curves/meltCurve_Q9Y3A6_TMED5.pdf</t>
  </si>
  <si>
    <t>Melting_Curves/meltCurve_Q9Y3B1_SLMO2.pdf</t>
  </si>
  <si>
    <t>Melting_Curves/meltCurve_Q9Y3B2_EXOSC1.pdf</t>
  </si>
  <si>
    <t>Melting_Curves/meltCurve_Q9Y3B3_TMED7.pdf</t>
  </si>
  <si>
    <t>Melting_Curves/meltCurve_Q9Y3B4_SF3B14.pdf</t>
  </si>
  <si>
    <t>Melting_Curves/meltCurve_Q9Y3B9_RRP15.pdf</t>
  </si>
  <si>
    <t>Melting_Curves/meltCurve_Q9Y3C1_NOP16.pdf</t>
  </si>
  <si>
    <t>Melting_Curves/meltCurve_Q9Y3C4_TPRKB.pdf</t>
  </si>
  <si>
    <t>Melting_Curves/meltCurve_Q9Y3C6_PPIL1.pdf</t>
  </si>
  <si>
    <t>Melting_Curves/meltCurve_Q9Y3C8_UFC1.pdf</t>
  </si>
  <si>
    <t>Melting_Curves/meltCurve_Q9Y3D0_FAM96B.pdf</t>
  </si>
  <si>
    <t>Melting_Curves/meltCurve_Q9Y3D2_MSRB2.pdf</t>
  </si>
  <si>
    <t>Melting_Curves/meltCurve_Q9Y3D5_MRPS18C.pdf</t>
  </si>
  <si>
    <t>Melting_Curves/meltCurve_Q9Y3D6_FIS1.pdf</t>
  </si>
  <si>
    <t>Melting_Curves/meltCurve_Q9Y3D8_TAF9.pdf</t>
  </si>
  <si>
    <t>Melting_Curves/meltCurve_Q9Y3D9_MRPS23.pdf</t>
  </si>
  <si>
    <t>Melting_Curves/meltCurve_Q9Y3E2_BOLA1.pdf</t>
  </si>
  <si>
    <t>Melting_Curves/meltCurve_Q9Y3E7_4_CHMP3.pdf</t>
  </si>
  <si>
    <t>Melting_Curves/meltCurve_Q9Y3F4_STRAP.pdf</t>
  </si>
  <si>
    <t>Melting_Curves/meltCurve_Q9Y3I0_C22orf28.pdf</t>
  </si>
  <si>
    <t>Melting_Curves/meltCurve_Q9Y3I1_FBXO7.pdf</t>
  </si>
  <si>
    <t>Melting_Curves/meltCurve_Q9Y3L3_SH3BP1.pdf</t>
  </si>
  <si>
    <t>Melting_Curves/meltCurve_Q9Y3L5_RAP2C.pdf</t>
  </si>
  <si>
    <t>Melting_Curves/meltCurve_Q9Y3P8_SIT1.pdf</t>
  </si>
  <si>
    <t>Melting_Curves/meltCurve_Q9Y3P9_RABGAP1.pdf</t>
  </si>
  <si>
    <t>Melting_Curves/meltCurve_Q9Y3Q8_TSC22D4.pdf</t>
  </si>
  <si>
    <t>Melting_Curves/meltCurve_Q9Y3R5_2_DOPEY2.pdf</t>
  </si>
  <si>
    <t>Melting_Curves/meltCurve_Q9Y3S2_ZNF330.pdf</t>
  </si>
  <si>
    <t>Melting_Curves/meltCurve_Q9Y3T6_R3HCC1.pdf</t>
  </si>
  <si>
    <t>Melting_Curves/meltCurve_Q9Y3T9_NOC2L.pdf</t>
  </si>
  <si>
    <t>Melting_Curves/meltCurve_Q9Y3U8_RPL36.pdf</t>
  </si>
  <si>
    <t>Melting_Curves/meltCurve_Q9Y3X0_CCDC9.pdf</t>
  </si>
  <si>
    <t>Melting_Curves/meltCurve_Q9Y3Y2_4_CHTOP.pdf</t>
  </si>
  <si>
    <t>Melting_Curves/meltCurve_Q9Y3Z3_SAMHD1.pdf</t>
  </si>
  <si>
    <t>Melting_Curves/meltCurve_Q9Y421_FAM32A.pdf</t>
  </si>
  <si>
    <t>Melting_Curves/meltCurve_Q9Y446_PKP3.pdf</t>
  </si>
  <si>
    <t>Melting_Curves/meltCurve_Q9Y448_2_KNSTRN.pdf</t>
  </si>
  <si>
    <t>Melting_Curves/meltCurve_Q9Y450_HBS1L.pdf</t>
  </si>
  <si>
    <t>Melting_Curves/meltCurve_Q9Y478_PRKAB1.pdf</t>
  </si>
  <si>
    <t>Melting_Curves/meltCurve_Q9Y487_ATP6V0A2.pdf</t>
  </si>
  <si>
    <t>Melting_Curves/meltCurve_Q9Y490_TLN1.pdf</t>
  </si>
  <si>
    <t>Melting_Curves/meltCurve_Q9Y4B6_VPRBP.pdf</t>
  </si>
  <si>
    <t>Melting_Curves/meltCurve_Q9Y4C1_KDM3A.pdf</t>
  </si>
  <si>
    <t>Melting_Curves/meltCurve_Q9Y4D1_2_DAAM1.pdf</t>
  </si>
  <si>
    <t>Melting_Curves/meltCurve_Q9Y4D7_2_PLXND1.pdf</t>
  </si>
  <si>
    <t>Melting_Curves/meltCurve_Q9Y4E1_2_FAM21C.pdf</t>
  </si>
  <si>
    <t>Melting_Curves/meltCurve_Q9Y4E8_USP15.pdf</t>
  </si>
  <si>
    <t>Melting_Curves/meltCurve_Q9Y4H2_IRS2.pdf</t>
  </si>
  <si>
    <t>Melting_Curves/meltCurve_Q9Y4I5_3_MTL5.pdf</t>
  </si>
  <si>
    <t>Melting_Curves/meltCurve_Q9Y4K1_AIM1.pdf</t>
  </si>
  <si>
    <t>Melting_Curves/meltCurve_Q9Y4K4_MAP4K5.pdf</t>
  </si>
  <si>
    <t>Melting_Curves/meltCurve_Q9Y4L1_HYOU1.pdf</t>
  </si>
  <si>
    <t>Melting_Curves/meltCurve_Q9Y4P1_6_ATG4B.pdf</t>
  </si>
  <si>
    <t>Melting_Curves/meltCurve_Q9Y4P8_3_WIPI2.pdf</t>
  </si>
  <si>
    <t>Melting_Curves/meltCurve_Q9Y4R8_TELO2.pdf</t>
  </si>
  <si>
    <t>Melting_Curves/meltCurve_Q9Y4U1_MMACHC.pdf</t>
  </si>
  <si>
    <t>Melting_Curves/meltCurve_Q9Y4W6_AFG3L2.pdf</t>
  </si>
  <si>
    <t>Melting_Curves/meltCurve_Q9Y4X5_ARIH1.pdf</t>
  </si>
  <si>
    <t>Melting_Curves/meltCurve_Q9Y4Z0_LSM4.pdf</t>
  </si>
  <si>
    <t>Melting_Curves/meltCurve_Q9Y508_RNF114.pdf</t>
  </si>
  <si>
    <t>Melting_Curves/meltCurve_Q9Y512_SAMM50.pdf</t>
  </si>
  <si>
    <t>Melting_Curves/meltCurve_Q9Y520_7_PRRC2C.pdf</t>
  </si>
  <si>
    <t>Melting_Curves/meltCurve_Q9Y546_LRRC42.pdf</t>
  </si>
  <si>
    <t>Melting_Curves/meltCurve_Q9Y570_PPME1.pdf</t>
  </si>
  <si>
    <t>Melting_Curves/meltCurve_Q9Y584_TIMM22.pdf</t>
  </si>
  <si>
    <t>Melting_Curves/meltCurve_Q9Y597_2_KCTD3.pdf</t>
  </si>
  <si>
    <t>Melting_Curves/meltCurve_Q9Y5A9_2_YTHDF2.pdf</t>
  </si>
  <si>
    <t>Melting_Curves/meltCurve_Q9Y5B0_CTDP1.pdf</t>
  </si>
  <si>
    <t>Melting_Curves/meltCurve_Q9Y5B6_PAXBP1.pdf</t>
  </si>
  <si>
    <t>Melting_Curves/meltCurve_Q9Y5B8_NME7.pdf</t>
  </si>
  <si>
    <t>Melting_Curves/meltCurve_Q9Y5B9_SUPT16H.pdf</t>
  </si>
  <si>
    <t>Melting_Curves/meltCurve_Q9Y5J1_UTP18.pdf</t>
  </si>
  <si>
    <t>Melting_Curves/meltCurve_Q9Y5J6_TIMM10B.pdf</t>
  </si>
  <si>
    <t>Melting_Curves/meltCurve_Q9Y5J7_TIMM9.pdf</t>
  </si>
  <si>
    <t>Melting_Curves/meltCurve_Q9Y5K3_2_PCYT1B.pdf</t>
  </si>
  <si>
    <t>Melting_Curves/meltCurve_Q9Y5K5_2_UCHL5.pdf</t>
  </si>
  <si>
    <t>Melting_Curves/meltCurve_Q9Y5K6_CD2AP.pdf</t>
  </si>
  <si>
    <t>Melting_Curves/meltCurve_Q9Y5K8_ATP6V1D.pdf</t>
  </si>
  <si>
    <t>Melting_Curves/meltCurve_Q9Y5L0_TNPO3.pdf</t>
  </si>
  <si>
    <t>Melting_Curves/meltCurve_Q9Y5L3_ENTPD2.pdf</t>
  </si>
  <si>
    <t>Melting_Curves/meltCurve_Q9Y5L4_TIMM13.pdf</t>
  </si>
  <si>
    <t>Melting_Curves/meltCurve_Q9Y5M8_SRPRB.pdf</t>
  </si>
  <si>
    <t>Melting_Curves/meltCurve_Q9Y5P4_2_COL4A3BP.pdf</t>
  </si>
  <si>
    <t>Melting_Curves/meltCurve_Q9Y5P6_GMPPB.pdf</t>
  </si>
  <si>
    <t>Melting_Curves/meltCurve_Q9Y5Q8_GTF3C5.pdf</t>
  </si>
  <si>
    <t>Melting_Curves/meltCurve_Q9Y5Q9_GTF3C3.pdf</t>
  </si>
  <si>
    <t>Melting_Curves/meltCurve_Q9Y5R8_TRAPPC1.pdf</t>
  </si>
  <si>
    <t>Melting_Curves/meltCurve_Q9Y5S2_CDC42BPB.pdf</t>
  </si>
  <si>
    <t>Melting_Curves/meltCurve_Q9Y5S9_RBM8A.pdf</t>
  </si>
  <si>
    <t>Melting_Curves/meltCurve_Q9Y5T4_DNAJC15.pdf</t>
  </si>
  <si>
    <t>Melting_Curves/meltCurve_Q9Y5U2_2_TSSC4.pdf</t>
  </si>
  <si>
    <t>Melting_Curves/meltCurve_Q9Y5V0_ZNF706.pdf</t>
  </si>
  <si>
    <t>Melting_Curves/meltCurve_Q9Y5X1_SNX9.pdf</t>
  </si>
  <si>
    <t>Melting_Curves/meltCurve_Q9Y5X2_SNX8.pdf</t>
  </si>
  <si>
    <t>Melting_Curves/meltCurve_Q9Y5X3_SNX5.pdf</t>
  </si>
  <si>
    <t>Melting_Curves/meltCurve_Q9Y5Y0_FLVCR1.pdf</t>
  </si>
  <si>
    <t>Melting_Curves/meltCurve_Q9Y5Y2_NUBP2.pdf</t>
  </si>
  <si>
    <t>Melting_Curves/meltCurve_Q9Y5Y6_ST14.pdf</t>
  </si>
  <si>
    <t>Melting_Curves/meltCurve_Q9Y5Z0_3_BACE2.pdf</t>
  </si>
  <si>
    <t>Melting_Curves/meltCurve_Q9Y5Z4_HEBP2.pdf</t>
  </si>
  <si>
    <t>Melting_Curves/meltCurve_Q9Y5Z9_2_UBIAD1.pdf</t>
  </si>
  <si>
    <t>Melting_Curves/meltCurve_Q9Y605_MRFAP1.pdf</t>
  </si>
  <si>
    <t>Melting_Curves/meltCurve_Q9Y608_LRRFIP2.pdf</t>
  </si>
  <si>
    <t>Melting_Curves/meltCurve_Q9Y608_2_LRRFIP2.pdf</t>
  </si>
  <si>
    <t>Melting_Curves/meltCurve_Q9Y613_FHOD1.pdf</t>
  </si>
  <si>
    <t>Melting_Curves/meltCurve_Q9Y617_PSAT1.pdf</t>
  </si>
  <si>
    <t>Melting_Curves/meltCurve_Q9Y619_SLC25A15.pdf</t>
  </si>
  <si>
    <t>Melting_Curves/meltCurve_Q9Y620_RAD54B.pdf</t>
  </si>
  <si>
    <t>Melting_Curves/meltCurve_Q9Y639_NPTN.pdf</t>
  </si>
  <si>
    <t>Melting_Curves/meltCurve_Q9Y646_CPQ.pdf</t>
  </si>
  <si>
    <t>Melting_Curves/meltCurve_Q9Y657_SPIN1.pdf</t>
  </si>
  <si>
    <t>Melting_Curves/meltCurve_Q9Y666_SLC12A7.pdf</t>
  </si>
  <si>
    <t>Melting_Curves/meltCurve_Q9Y673_ALG5.pdf</t>
  </si>
  <si>
    <t>Melting_Curves/meltCurve_Q9Y676_MRPS18B.pdf</t>
  </si>
  <si>
    <t>Melting_Curves/meltCurve_Q9Y678_COPG1.pdf</t>
  </si>
  <si>
    <t>Melting_Curves/meltCurve_Q9Y679_2_AUP1.pdf</t>
  </si>
  <si>
    <t>Melting_Curves/meltCurve_Q9Y680_3_FKBP7.pdf</t>
  </si>
  <si>
    <t>Melting_Curves/meltCurve_Q9Y693_LHFP.pdf</t>
  </si>
  <si>
    <t>Melting_Curves/meltCurve_Q9Y696_CLIC4.pdf</t>
  </si>
  <si>
    <t>Melting_Curves/meltCurve_Q9Y697_2_NFS1.pdf</t>
  </si>
  <si>
    <t>Melting_Curves/meltCurve_Q9Y6A4_C16orf80.pdf</t>
  </si>
  <si>
    <t>Melting_Curves/meltCurve_Q9Y6A5_TACC3.pdf</t>
  </si>
  <si>
    <t>Melting_Curves/meltCurve_Q9Y6B6_SAR1B.pdf</t>
  </si>
  <si>
    <t>Melting_Curves/meltCurve_Q9Y6C9_MTCH2.pdf</t>
  </si>
  <si>
    <t>Melting_Curves/meltCurve_Q9Y6D5_ARFGEF2.pdf</t>
  </si>
  <si>
    <t>Melting_Curves/meltCurve_Q9Y6D6_ARFGEF1.pdf</t>
  </si>
  <si>
    <t>Melting_Curves/meltCurve_Q9Y6D9_MAD1L1.pdf</t>
  </si>
  <si>
    <t>Melting_Curves/meltCurve_Q9Y6E0_2_STK24.pdf</t>
  </si>
  <si>
    <t>Melting_Curves/meltCurve_Q9Y6G5_COMMD10.pdf</t>
  </si>
  <si>
    <t>Melting_Curves/meltCurve_Q9Y6G9_DYNC1LI1.pdf</t>
  </si>
  <si>
    <t>Melting_Curves/meltCurve_Q9Y6H1_CHCHD2.pdf</t>
  </si>
  <si>
    <t>Melting_Curves/meltCurve_Q9Y6I3_EPN1.pdf</t>
  </si>
  <si>
    <t>Melting_Curves/meltCurve_Q9Y6I9_TEX264.pdf</t>
  </si>
  <si>
    <t>Melting_Curves/meltCurve_Q9Y6K5_OAS3.pdf</t>
  </si>
  <si>
    <t>Melting_Curves/meltCurve_Q9Y6K9_IKBKG.pdf</t>
  </si>
  <si>
    <t>Melting_Curves/meltCurve_Q9Y6M4_4_CSNK1G3.pdf</t>
  </si>
  <si>
    <t>Melting_Curves/meltCurve_Q9Y6M5_SLC30A1.pdf</t>
  </si>
  <si>
    <t>Melting_Curves/meltCurve_Q9Y6M9_NDUFB9.pdf</t>
  </si>
  <si>
    <t>Melting_Curves/meltCurve_Q9Y6N1_COX11.pdf</t>
  </si>
  <si>
    <t>Melting_Curves/meltCurve_Q9Y6N5_SQRDL.pdf</t>
  </si>
  <si>
    <t>Melting_Curves/meltCurve_Q9Y6N7_4_ROBO1.pdf</t>
  </si>
  <si>
    <t>Melting_Curves/meltCurve_Q9Y6Q5_AP1M2.pdf</t>
  </si>
  <si>
    <t>Melting_Curves/meltCurve_Q9Y6Q9_2_NCOA3.pdf</t>
  </si>
  <si>
    <t>Melting_Curves/meltCurve_Q9Y6U3_SCIN.pdf</t>
  </si>
  <si>
    <t>Melting_Curves/meltCurve_Q9Y6V7_DDX49.pdf</t>
  </si>
  <si>
    <t>Melting_Curves/meltCurve_Q9Y6W3_CAPN7.pdf</t>
  </si>
  <si>
    <t>Melting_Curves/meltCurve_Q9Y6W5_WASF2.pdf</t>
  </si>
  <si>
    <t>Melting_Curves/meltCurve_Q9Y6X5_ENPP4.pdf</t>
  </si>
  <si>
    <t>Melting_Curves/meltCurve_Q9Y6X8_ZHX2.pdf</t>
  </si>
  <si>
    <t>Melting_Curves/meltCurve_Q9Y6X9_MORC2.pdf</t>
  </si>
  <si>
    <t>Melting_Curves/meltCurve_R4GMN1_MOSPD2.pdf</t>
  </si>
  <si>
    <t>Melting_Curves/meltCurve_R4GMR5_PSMD8.pdf</t>
  </si>
  <si>
    <t>Melting_Curves/meltCurve_R4GMU1_H6PD.pdf</t>
  </si>
  <si>
    <t>Melting_Curves/meltCurve_R4GMX3_BMI1.pdf</t>
  </si>
  <si>
    <t>Melting_Curves/meltCurve_R4GMX8_RANBP10.pdf</t>
  </si>
  <si>
    <t>Melting_Curves/meltCurve_R4GMZ0_PRSS56.pdf</t>
  </si>
  <si>
    <t>Melting_Curves/meltCurve_R4GN50_PTP4A2.pdf</t>
  </si>
  <si>
    <t>Melting_Curves/meltCurve_R4GN55_YTHDF3.pdf</t>
  </si>
  <si>
    <t>Melting_Curves/meltCurve_R4GN98_S100A6.pdf</t>
  </si>
  <si>
    <t>Melting_Curves/meltCurve_R4GNB2_DENND4C.pdf</t>
  </si>
  <si>
    <t>Melting_Curves/meltCurve_R4GND3_PHLDA1.pdf</t>
  </si>
  <si>
    <t>Melting_Curves/meltCurve_R4GND4_ACD.pdf</t>
  </si>
  <si>
    <t>Melting_Curves/meltCurve_R4GNH3_PSMC3.pdf</t>
  </si>
  <si>
    <t>Yes</t>
  </si>
  <si>
    <t>No</t>
  </si>
  <si>
    <t>Ubiquitin-like modifier-activating enzyme 6</t>
  </si>
  <si>
    <t>Shootin-1</t>
  </si>
  <si>
    <t>Transmembrane protein 223</t>
  </si>
  <si>
    <t>KIAA0999 protein</t>
  </si>
  <si>
    <t>MARVEL domain-containing protein 2</t>
  </si>
  <si>
    <t>Acetolactate synthase-like protein</t>
  </si>
  <si>
    <t>Uncharacterized protein C17orf89</t>
  </si>
  <si>
    <t>SH3 and PX domain-containing protein 2B</t>
  </si>
  <si>
    <t>Aconitate hydratase, mitochondrial</t>
  </si>
  <si>
    <t>Ral GTPase-activating protein subunit beta (Fragment)</t>
  </si>
  <si>
    <t>Protein AAR2 homolog</t>
  </si>
  <si>
    <t>Major prion protein (Fragment)</t>
  </si>
  <si>
    <t>Vascular endothelial growth factor A</t>
  </si>
  <si>
    <t>Isoform 5 of FERM domain-containing protein 3</t>
  </si>
  <si>
    <t>HLA class I histocompatibility antigen, Cw-14 alpha chain</t>
  </si>
  <si>
    <t>HLA class II histocompatibility antigen, DQ beta 1 chain</t>
  </si>
  <si>
    <t>Neuroblastoma-amplified sequence</t>
  </si>
  <si>
    <t>Uncharacterized protein KIAA1467</t>
  </si>
  <si>
    <t>tRNA wybutosine-synthesizing protein 5</t>
  </si>
  <si>
    <t>Isoform 2 of Protein strawberry notch homolog 1</t>
  </si>
  <si>
    <t>Isoprenoid synthase domain-containing protein</t>
  </si>
  <si>
    <t>Isoform 2 of Protein FAM221A</t>
  </si>
  <si>
    <t>GTP-binding protein 10</t>
  </si>
  <si>
    <t>Killer cell lectin-like receptor subfamily G member 2</t>
  </si>
  <si>
    <t>Protein LCHN</t>
  </si>
  <si>
    <t>DKFZP586J0619 protein</t>
  </si>
  <si>
    <t>Metallo-beta-lactamase domain-containing protein 1</t>
  </si>
  <si>
    <t>Transmembrane protein 189</t>
  </si>
  <si>
    <t>CCR4-NOT transcription complex subunit 1</t>
  </si>
  <si>
    <t>Rho guanine nucleotide exchange factor 35</t>
  </si>
  <si>
    <t>Isoform 4 of Coiled-coil domain-containing protein 88B</t>
  </si>
  <si>
    <t>Serologically defined colon cancer antigen 8</t>
  </si>
  <si>
    <t>Phosphoglycolate phosphatase</t>
  </si>
  <si>
    <t>Putative Rab-43-like protein ENSP00000330714</t>
  </si>
  <si>
    <t>UPF0600 protein C5orf51</t>
  </si>
  <si>
    <t>RCC1 domain-containing protein 1</t>
  </si>
  <si>
    <t>HCF N-terminal chain 5</t>
  </si>
  <si>
    <t>GPI-anchor transamidase</t>
  </si>
  <si>
    <t>Tetraspanin-14 (Fragment)</t>
  </si>
  <si>
    <t>Zinc finger protein 316</t>
  </si>
  <si>
    <t>Charged multivesicular body protein 1a</t>
  </si>
  <si>
    <t>Proline-rich protein PRCC</t>
  </si>
  <si>
    <t>Dynein light chain Tctex-type 3</t>
  </si>
  <si>
    <t>Zinc finger MYM-type protein 3</t>
  </si>
  <si>
    <t>Small nuclear ribonucleoprotein E</t>
  </si>
  <si>
    <t>Isoform 2 of Tubulin alpha chain-like 3</t>
  </si>
  <si>
    <t>Structural maintenance of chromosomes flexible hinge domain-containing protein 1</t>
  </si>
  <si>
    <t>Protein unc-119 homolog B</t>
  </si>
  <si>
    <t>Nuclear distribution protein nudE-like 1</t>
  </si>
  <si>
    <t>Probable methyltransferase-like protein 15</t>
  </si>
  <si>
    <t>Chromosome 13 open reading frame 23, isoform CRA_a</t>
  </si>
  <si>
    <t>Putative lipoyltransferase 2, mitochondrial</t>
  </si>
  <si>
    <t>Cyclin-dependent kinase inhibitor 1C</t>
  </si>
  <si>
    <t>Coiled-coil domain-containing protein 85C</t>
  </si>
  <si>
    <t>Putative Golgi pH regulator C</t>
  </si>
  <si>
    <t>Septin-8</t>
  </si>
  <si>
    <t>Diaphanous homolog 2 (Drosophila), isoform CRA_c</t>
  </si>
  <si>
    <t>DNA polymerase</t>
  </si>
  <si>
    <t>CD9 antigen</t>
  </si>
  <si>
    <t>Allograft inflammatory factor 1-like</t>
  </si>
  <si>
    <t>Phosphatidylinositol 4-phosphate 5-kinase type-1 alpha</t>
  </si>
  <si>
    <t>Rho GTPase-activating protein 32</t>
  </si>
  <si>
    <t>Sine oculis-binding protein homolog</t>
  </si>
  <si>
    <t>Protein archease</t>
  </si>
  <si>
    <t>Selenoprotein K</t>
  </si>
  <si>
    <t>Heat shock cognate 71 kDa protein</t>
  </si>
  <si>
    <t>UPF0249 protein ydjC homolog</t>
  </si>
  <si>
    <t>Afadin</t>
  </si>
  <si>
    <t>Protein RTF2 homolog</t>
  </si>
  <si>
    <t>Reticulon-1</t>
  </si>
  <si>
    <t>Protein FAM3B</t>
  </si>
  <si>
    <t>Armadillo repeat-containing protein 8</t>
  </si>
  <si>
    <t>HCG1988162</t>
  </si>
  <si>
    <t>Down syndrome critical region protein 3</t>
  </si>
  <si>
    <t>Transmembrane protein 147</t>
  </si>
  <si>
    <t>Protein Hook homolog 1</t>
  </si>
  <si>
    <t>SMT3 suppressor of mif two 3 homolog 3 (Yeast), isoform CRA_d</t>
  </si>
  <si>
    <t>Tubulin alpha-4A chain</t>
  </si>
  <si>
    <t>BICD1 protein</t>
  </si>
  <si>
    <t>Pleiotropic regulator 1</t>
  </si>
  <si>
    <t>Metallothionein</t>
  </si>
  <si>
    <t>UPF0577 protein KIAA1324-like</t>
  </si>
  <si>
    <t>TFIIH basal transcription factor complex helicase XPD subunit (Fragment)</t>
  </si>
  <si>
    <t>Receptor expression-enhancing protein 6 (Fragment)</t>
  </si>
  <si>
    <t>Matrin-3</t>
  </si>
  <si>
    <t>Pituitary tumor-transforming gene 1 protein-interacting protein</t>
  </si>
  <si>
    <t>Nucleoside diphosphate-linked moiety X motif 19, mitochondrial</t>
  </si>
  <si>
    <t>Phosphatidylinositol 3-kinase catalytic subunit type 3</t>
  </si>
  <si>
    <t>Syntaxin-1A</t>
  </si>
  <si>
    <t>Runt-related transcription factor 1 (Fragment)</t>
  </si>
  <si>
    <t>MIF4G domain-containing protein</t>
  </si>
  <si>
    <t>Serine/arginine repetitive matrix protein 1</t>
  </si>
  <si>
    <t>Eukaryotic translation initiation factor 3 subunit L</t>
  </si>
  <si>
    <t>Mitochondrial dynamic protein MID51</t>
  </si>
  <si>
    <t>TBC1 domain family member 22A</t>
  </si>
  <si>
    <t>RNA-binding protein EWS</t>
  </si>
  <si>
    <t>Transcription factor EB</t>
  </si>
  <si>
    <t>Peroxisomal membrane protein PMP34</t>
  </si>
  <si>
    <t>HLA-B associated transcript 3, isoform CRA_a</t>
  </si>
  <si>
    <t>Abhydrolase domain-containing protein 16A</t>
  </si>
  <si>
    <t>Histone-lysine N-methyltransferase EHMT2</t>
  </si>
  <si>
    <t>Valine--tRNA ligase</t>
  </si>
  <si>
    <t>Proteasome subunit beta type</t>
  </si>
  <si>
    <t>Apolipoprotein C-III</t>
  </si>
  <si>
    <t>Vimentin</t>
  </si>
  <si>
    <t>Putative peripheral benzodiazepine receptor-related protein (Fragment)</t>
  </si>
  <si>
    <t>NHP2-like protein 1</t>
  </si>
  <si>
    <t>3-hydroxymethyl-3-methylglutaryl-Coenzyme A lyase (Hydroxymethylglutaricaciduria), isoform CRA_b</t>
  </si>
  <si>
    <t>Mitotic spindle assembly checkpoint protein MAD2B</t>
  </si>
  <si>
    <t>Espin</t>
  </si>
  <si>
    <t>Nardilysin</t>
  </si>
  <si>
    <t>Oxysterol-binding protein</t>
  </si>
  <si>
    <t>Eukaryotic translation initiation factor 4E transporter</t>
  </si>
  <si>
    <t>Nuclear factor 1 A-type</t>
  </si>
  <si>
    <t>Sodium/potassium-transporting ATPase subunit alpha-2</t>
  </si>
  <si>
    <t>Hsp90 co-chaperone Cdc37-like 1</t>
  </si>
  <si>
    <t>Protein SMG7 (Fragment)</t>
  </si>
  <si>
    <t>Phytanoyl-CoA dioxygenase, peroxisomal</t>
  </si>
  <si>
    <t>Rho guanine nucleotide exchange factor 7</t>
  </si>
  <si>
    <t>Transmembrane protein 9</t>
  </si>
  <si>
    <t>Ubiquitin-conjugating enzyme E2 J2 (Fragment)</t>
  </si>
  <si>
    <t>Septin 6, isoform CRA_b</t>
  </si>
  <si>
    <t>CD58 antigen, (Lymphocyte function-associated antigen 3), isoform CRA_c</t>
  </si>
  <si>
    <t>Eukaryotic translation initiation factor 4 gamma 3</t>
  </si>
  <si>
    <t>Trypsin-3 (Fragment)</t>
  </si>
  <si>
    <t>Guanylate kinase (Fragment)</t>
  </si>
  <si>
    <t>Upstream stimulatory factor 1</t>
  </si>
  <si>
    <t>Glucocorticoid modulatory element-binding protein 1 (Fragment)</t>
  </si>
  <si>
    <t>Mucin-1 subunit alpha</t>
  </si>
  <si>
    <t>Saposin-D</t>
  </si>
  <si>
    <t>Antigen peptide transporter 1</t>
  </si>
  <si>
    <t>Actinin, alpha 2, isoform CRA_b</t>
  </si>
  <si>
    <t>Polyhomeotic-like protein 2</t>
  </si>
  <si>
    <t>Eukaryotic translation initiation factor 3 subunit H</t>
  </si>
  <si>
    <t>Eukaryotic translation initiation factor 3 subunit F</t>
  </si>
  <si>
    <t>Leucine zipper transcription factor-like 1, isoform CRA_b</t>
  </si>
  <si>
    <t>Protein artemis</t>
  </si>
  <si>
    <t>Phospholipid transfer protein</t>
  </si>
  <si>
    <t>Superoxide dismutase</t>
  </si>
  <si>
    <t>UDP-glucuronate decarboxylase 1, isoform CRA_a</t>
  </si>
  <si>
    <t>PHD finger protein 23</t>
  </si>
  <si>
    <t>Centromere protein H</t>
  </si>
  <si>
    <t>Probable ATP-dependent RNA helicase DDX58</t>
  </si>
  <si>
    <t>AP-1 complex subunit gamma-1</t>
  </si>
  <si>
    <t>Solute carrier family 12 member 6</t>
  </si>
  <si>
    <t>CDP-diacylglycerol--inositol 3-phosphatidyltransferase</t>
  </si>
  <si>
    <t>ADP-ribosylation factor-like protein 6-interacting protein 4</t>
  </si>
  <si>
    <t>Calponin-2</t>
  </si>
  <si>
    <t>Cleft lip and palate associated transmembrane protein 1, isoform CRA_a</t>
  </si>
  <si>
    <t>NAD-dependent protein deacetylase sirtuin-6</t>
  </si>
  <si>
    <t>Histidyl-tRNA synthetase-like, isoform CRA_a</t>
  </si>
  <si>
    <t>UDP-galactose translocator</t>
  </si>
  <si>
    <t>Receptor expression-enhancing protein 2</t>
  </si>
  <si>
    <t>ERI1 exoribonuclease 3</t>
  </si>
  <si>
    <t>Checkpoint protein HUS1</t>
  </si>
  <si>
    <t>COMM domain-containing protein 1</t>
  </si>
  <si>
    <t>Dynein light chain roadblock-type 1</t>
  </si>
  <si>
    <t>Catenin beta-1</t>
  </si>
  <si>
    <t>Phosphatidylinositol 5-phosphate 4-kinase type-2 alpha</t>
  </si>
  <si>
    <t>MAP1S light chain</t>
  </si>
  <si>
    <t>RNA-binding protein Musashi homolog 2</t>
  </si>
  <si>
    <t>Leucine-rich repeat-containing protein 28</t>
  </si>
  <si>
    <t>Phosphatidylinositol 4-phosphate 5-kinase type-1 beta</t>
  </si>
  <si>
    <t>Eukaryotic translation initiation factor 2-alpha kinase 1</t>
  </si>
  <si>
    <t>Ras-related protein Rab-5A</t>
  </si>
  <si>
    <t>Dehydrogenase/reductase SDR family member 13</t>
  </si>
  <si>
    <t>Small nuclear ribonucleoprotein Sm D3</t>
  </si>
  <si>
    <t>Citrate synthase</t>
  </si>
  <si>
    <t>Periodic tryptophan protein 1 homolog</t>
  </si>
  <si>
    <t>DNA topoisomerase</t>
  </si>
  <si>
    <t>Zinc finger protein 286A</t>
  </si>
  <si>
    <t>Lipolysis-stimulated lipoprotein receptor</t>
  </si>
  <si>
    <t>Protein CHURC1-FNTB</t>
  </si>
  <si>
    <t>Chromosome 2 open reading frame 18, isoform CRA_c</t>
  </si>
  <si>
    <t>Mitochondrial dicarboxylate carrier</t>
  </si>
  <si>
    <t>NAD(P)H dehydrogenase [quinone] 1</t>
  </si>
  <si>
    <t>Ribosomal protein S6 kinase beta-1</t>
  </si>
  <si>
    <t>CDP-diacylglycerol--glycerol-3-phosphate 3-phosphatidyltransferase, mitochondrial</t>
  </si>
  <si>
    <t>E3 ubiquitin-protein ligase RNF220</t>
  </si>
  <si>
    <t>Protein FAM45A</t>
  </si>
  <si>
    <t>Prostaglandin E synthase 3</t>
  </si>
  <si>
    <t>Graves disease carrier protein</t>
  </si>
  <si>
    <t>TOX high mobility group box family member 4</t>
  </si>
  <si>
    <t>Transformer-2 protein homolog alpha</t>
  </si>
  <si>
    <t>6-phosphogluconate dehydrogenase, decarboxylating</t>
  </si>
  <si>
    <t>Myotubularin-related protein 9</t>
  </si>
  <si>
    <t>Histone H2B</t>
  </si>
  <si>
    <t>Protein transport protein Sec61 subunit alpha isoform 1</t>
  </si>
  <si>
    <t>Rab proteins geranylgeranyltransferase component A 1</t>
  </si>
  <si>
    <t>Probable palmitoyltransferase ZDHHC20</t>
  </si>
  <si>
    <t>SH2 domain-containing protein 3A</t>
  </si>
  <si>
    <t>UPF0586 protein C9orf41</t>
  </si>
  <si>
    <t>Polypyrimidine tract-binding protein 2</t>
  </si>
  <si>
    <t>Annexin</t>
  </si>
  <si>
    <t>Solute carrier family 25 member 46</t>
  </si>
  <si>
    <t>Heterogeneous nuclear ribonucleoprotein D0</t>
  </si>
  <si>
    <t>Sodium/hydrogen exchanger</t>
  </si>
  <si>
    <t>Solute carrier family 35 member F2</t>
  </si>
  <si>
    <t>Myosin light chain kinase, smooth muscle</t>
  </si>
  <si>
    <t>Serine incorporator 3</t>
  </si>
  <si>
    <t>Eukaryotic translation initiation factor 3 subunit D</t>
  </si>
  <si>
    <t>NADH dehydrogenase (ubiquinone) complex I, assembly factor 6</t>
  </si>
  <si>
    <t>2-hydroxyacyl-CoA lyase 1</t>
  </si>
  <si>
    <t>Connector enhancer of kinase suppressor of ras 1</t>
  </si>
  <si>
    <t>Fragile X mental retardation syndrome-related protein 1</t>
  </si>
  <si>
    <t>Nucleoporin NUP53</t>
  </si>
  <si>
    <t>Delta-like protein</t>
  </si>
  <si>
    <t>Synaptophysin-like protein 2</t>
  </si>
  <si>
    <t>Histone deacetylase 6</t>
  </si>
  <si>
    <t>Transmembrane protein 134</t>
  </si>
  <si>
    <t>Peroxisomal targeting signal 1 receptor</t>
  </si>
  <si>
    <t>Pre-B-cell leukemia transcription factor-interacting protein 1</t>
  </si>
  <si>
    <t>Armadillo repeat-containing protein 6</t>
  </si>
  <si>
    <t>Serine/threonine-protein kinase RIO3</t>
  </si>
  <si>
    <t>Syndecan</t>
  </si>
  <si>
    <t>Neuroepithelial cell-transforming gene 1 protein</t>
  </si>
  <si>
    <t>Serine/arginine-rich-splicing factor 3</t>
  </si>
  <si>
    <t>Lysosome-associated membrane glycoprotein 2</t>
  </si>
  <si>
    <t>3-ketoacyl-CoA thiolase</t>
  </si>
  <si>
    <t>Methyltransferase-like protein 13</t>
  </si>
  <si>
    <t>Ubiquitin carboxyl-terminal hydrolase</t>
  </si>
  <si>
    <t>Coiled-coil-helix-coiled-coil-helix domain-containing protein 10, mitochondrial</t>
  </si>
  <si>
    <t>Sororin</t>
  </si>
  <si>
    <t>Transcobalamin-2</t>
  </si>
  <si>
    <t>Metalloreductase STEAP2</t>
  </si>
  <si>
    <t>LIM domain kinase 2</t>
  </si>
  <si>
    <t>MpV17 transgene, murine homolog, glomerulosclerosis, isoform CRA_f</t>
  </si>
  <si>
    <t>Epithelial cell adhesion molecule</t>
  </si>
  <si>
    <t>Pescadillo homolog</t>
  </si>
  <si>
    <t>Protein phosphatase 1F</t>
  </si>
  <si>
    <t>Protein RFT1 homolog</t>
  </si>
  <si>
    <t>UPF0554 protein C2orf43</t>
  </si>
  <si>
    <t>Methyltransferase-like protein 8 (Fragment)</t>
  </si>
  <si>
    <t>Protein phosphatase 1 regulatory subunit 12C</t>
  </si>
  <si>
    <t>Pre-mRNA-splicing factor CWC22 homolog</t>
  </si>
  <si>
    <t>Echinoderm microtubule associated protein like 3, isoform CRA_e</t>
  </si>
  <si>
    <t>Synembryn-B</t>
  </si>
  <si>
    <t>Dystrobrevin beta</t>
  </si>
  <si>
    <t>Protein disulfide-isomerase A6</t>
  </si>
  <si>
    <t>Ribosomal protein S6 kinase</t>
  </si>
  <si>
    <t>Tetraspanin-5</t>
  </si>
  <si>
    <t>Myotubularin related protein 1, isoform CRA_a</t>
  </si>
  <si>
    <t>Delta-aminolevulinic acid dehydratase</t>
  </si>
  <si>
    <t>Puromycin-sensitive aminopeptidase</t>
  </si>
  <si>
    <t>FYVE, RhoGEF and PH domain-containing protein 4</t>
  </si>
  <si>
    <t>Deoxyribonuclease-2-alpha</t>
  </si>
  <si>
    <t>P2X purinoceptor</t>
  </si>
  <si>
    <t>Cysteine conjugate-beta lyase cytoplasmic (Glutamine transaminase K, kyneurenine aminotransferase), isoform CRA_b</t>
  </si>
  <si>
    <t>Junctional adhesion molecule A</t>
  </si>
  <si>
    <t>Long-chain fatty acid transport protein 1</t>
  </si>
  <si>
    <t>Active breakpoint cluster region-related protein</t>
  </si>
  <si>
    <t>Zinc finger protein 346</t>
  </si>
  <si>
    <t>2,4-dienoyl-CoA reductase, mitochondrial</t>
  </si>
  <si>
    <t>BTB/POZ domain-containing adapter for CUL3-mediated RhoA degradation protein 2</t>
  </si>
  <si>
    <t>Protein AF-9</t>
  </si>
  <si>
    <t>Ran-binding protein 3</t>
  </si>
  <si>
    <t>Zinc finger protein with KRAB and SCAN domains 4</t>
  </si>
  <si>
    <t>Protein AMN1 homolog</t>
  </si>
  <si>
    <t>Delta(24)-sterol reductase</t>
  </si>
  <si>
    <t>Renin receptor</t>
  </si>
  <si>
    <t>Calbindin</t>
  </si>
  <si>
    <t>Sodium/potassium-transporting ATPase subunit beta-1</t>
  </si>
  <si>
    <t>PMS1 protein homolog 1</t>
  </si>
  <si>
    <t>N-acetylgalactosamine kinase</t>
  </si>
  <si>
    <t>Forkhead box protein P4</t>
  </si>
  <si>
    <t>Endophilin-B2</t>
  </si>
  <si>
    <t>PPP2R5E protein</t>
  </si>
  <si>
    <t>UBX domain-containing protein 2A</t>
  </si>
  <si>
    <t>SCARB1 protein</t>
  </si>
  <si>
    <t>Sphingomyelin phosphodiesterase 3</t>
  </si>
  <si>
    <t>COX18 protein</t>
  </si>
  <si>
    <t>CLASP1 protein</t>
  </si>
  <si>
    <t>ER degradation-enhancing alpha-mannosidase-like protein 3</t>
  </si>
  <si>
    <t>CARMIL2b</t>
  </si>
  <si>
    <t>Coiled-coil domain-containing protein 115</t>
  </si>
  <si>
    <t>Phosphatidylinositol N-acetylglucosaminyltransferase subunit Q (Fragment)</t>
  </si>
  <si>
    <t>U6 snRNA-associated Sm-like protein LSm5</t>
  </si>
  <si>
    <t>Serine/threonine-protein kinase 16</t>
  </si>
  <si>
    <t>Small ubiquitin-related modifier 1</t>
  </si>
  <si>
    <t>Thymosin alpha-1</t>
  </si>
  <si>
    <t>NGFI-A binding protein 1 (EGR1 binding protein 1), isoform CRA_b</t>
  </si>
  <si>
    <t>Cyclic AMP-dependent transcription factor ATF-2</t>
  </si>
  <si>
    <t>Coenzyme Q-binding protein COQ10 homolog B, mitochondrial</t>
  </si>
  <si>
    <t>Arf-GAP domain and FG repeat-containing protein 1</t>
  </si>
  <si>
    <t>U4/U6.U5 tri-snRNP-associated protein 2</t>
  </si>
  <si>
    <t>Rhomboid-related protein 4</t>
  </si>
  <si>
    <t>Cytochrome c oxidase assembly factor 5</t>
  </si>
  <si>
    <t>Mitochondrial inner membrane protein</t>
  </si>
  <si>
    <t>RNA-binding protein 12B</t>
  </si>
  <si>
    <t>BAK1 protein</t>
  </si>
  <si>
    <t>ATG12 autophagy related 12 homolog (S. cerevisiae), isoform CRA_b</t>
  </si>
  <si>
    <t>Kremen protein 1</t>
  </si>
  <si>
    <t>Putative WAS protein family homolog 3</t>
  </si>
  <si>
    <t>Myc-associated zinc finger protein</t>
  </si>
  <si>
    <t>Mediator of RNA polymerase II transcription subunit 30</t>
  </si>
  <si>
    <t>39S ribosomal protein L37, mitochondrial</t>
  </si>
  <si>
    <t>Metalloprotease TIKI1</t>
  </si>
  <si>
    <t>Protein CutA</t>
  </si>
  <si>
    <t>NADH dehydrogenase [ubiquinone] 1 beta subcomplex subunit 2, mitochondrial</t>
  </si>
  <si>
    <t>Nuclear-interacting partner of ALK</t>
  </si>
  <si>
    <t>Coiled-coil domain-containing protein 126 (Fragment)</t>
  </si>
  <si>
    <t>Profilin-2</t>
  </si>
  <si>
    <t>Sorcin</t>
  </si>
  <si>
    <t>Mismatch repair endonuclease PMS2</t>
  </si>
  <si>
    <t>DnaJ homolog subfamily B member 2 (Fragment)</t>
  </si>
  <si>
    <t>Multiple epidermal growth factor-like domains protein 9</t>
  </si>
  <si>
    <t>NEDD8-conjugating enzyme UBE2F</t>
  </si>
  <si>
    <t>Sodium-driven chloride bicarbonate exchanger</t>
  </si>
  <si>
    <t>Ubiquitin-conjugating enzyme E2 E1 (Fragment)</t>
  </si>
  <si>
    <t>Chromosome 3 open reading frame 31, isoform CRA_f</t>
  </si>
  <si>
    <t>NF-kappa-B essential modulator (Fragment)</t>
  </si>
  <si>
    <t>DNA-directed RNA polymerase</t>
  </si>
  <si>
    <t>Peroxisomal carnitine O-octanoyltransferase</t>
  </si>
  <si>
    <t>Ashwin</t>
  </si>
  <si>
    <t>IL-8(9-77)</t>
  </si>
  <si>
    <t>60S ribosomal protein L37a</t>
  </si>
  <si>
    <t>Programmed cell death protein 10 (Fragment)</t>
  </si>
  <si>
    <t>Insulin-like growth factor 1 receptor</t>
  </si>
  <si>
    <t>Rho GTPase-activating protein 31 (Fragment)</t>
  </si>
  <si>
    <t>Histone deacetylase 10</t>
  </si>
  <si>
    <t>Succinate-semialdehyde dehydrogenase, mitochondrial</t>
  </si>
  <si>
    <t>Synaptoporin</t>
  </si>
  <si>
    <t>40S ribosomal protein SA (Fragment)</t>
  </si>
  <si>
    <t>Cytochrome c oxidase assembly protein 1 homolog (Fragment)</t>
  </si>
  <si>
    <t>60S ribosomal export protein NMD3</t>
  </si>
  <si>
    <t>Translocon-associated protein subunit gamma</t>
  </si>
  <si>
    <t>HMG box transcription factor BBX</t>
  </si>
  <si>
    <t>Serine/arginine-rich-splicing factor 7</t>
  </si>
  <si>
    <t>Cytoplasmic protein NCK1 (Fragment)</t>
  </si>
  <si>
    <t>Frataxin, mitochondrial</t>
  </si>
  <si>
    <t>BSD domain-containing protein 1</t>
  </si>
  <si>
    <t>Serotransferrin (Fragment)</t>
  </si>
  <si>
    <t>Lysozyme g-like protein 2 (Fragment)</t>
  </si>
  <si>
    <t>Signal peptidase complex subunit 1</t>
  </si>
  <si>
    <t>UPF0452 protein C7orf41 (Fragment)</t>
  </si>
  <si>
    <t>28S ribosomal protein S33, mitochondrial</t>
  </si>
  <si>
    <t>Dr1-associated corepressor</t>
  </si>
  <si>
    <t>Myoferlin</t>
  </si>
  <si>
    <t>Transmembrane and ubiquitin-like domain-containing protein 1 (Fragment)</t>
  </si>
  <si>
    <t>Nuclear receptor corepressor 2</t>
  </si>
  <si>
    <t>Cdc42 effector protein 3 (Fragment)</t>
  </si>
  <si>
    <t>Nuclear envelope pore membrane protein POM 121C (Fragment)</t>
  </si>
  <si>
    <t>Uncharacterized protein C19orf55 (Fragment)</t>
  </si>
  <si>
    <t>Integral membrane protein 2C (Fragment)</t>
  </si>
  <si>
    <t>Angio-associated migratory cell protein</t>
  </si>
  <si>
    <t>Thymidine phosphorylase (Fragment)</t>
  </si>
  <si>
    <t>Transmembrane protein 238</t>
  </si>
  <si>
    <t>Acylamino-acid-releasing enzyme</t>
  </si>
  <si>
    <t>WD repeat-containing protein 53</t>
  </si>
  <si>
    <t>Integrin alpha-6 heavy chain (Fragment)</t>
  </si>
  <si>
    <t>DNA-directed RNA polymerases I, II, and III subunit RPABC3 (Fragment)</t>
  </si>
  <si>
    <t>Apoptotic protease-activating factor 1</t>
  </si>
  <si>
    <t>Septin-5</t>
  </si>
  <si>
    <t>FERM, RhoGEF and pleckstrin domain-containing protein 1</t>
  </si>
  <si>
    <t>O-acetyl-ADP-ribose deacetylase 1 (Fragment)</t>
  </si>
  <si>
    <t>SH3 domain-containing RING finger protein 3 (Fragment)</t>
  </si>
  <si>
    <t>Glutathione S-transferase kappa 1 (Fragment)</t>
  </si>
  <si>
    <t>Muscleblind-like protein 1</t>
  </si>
  <si>
    <t>Cartilage-associated protein</t>
  </si>
  <si>
    <t>DNA replication licensing factor MCM2</t>
  </si>
  <si>
    <t>NF-kappa-B inhibitor-interacting Ras-like protein 2</t>
  </si>
  <si>
    <t>Coiled-coil domain-containing protein 58</t>
  </si>
  <si>
    <t>Nucleoside diphosphate kinase</t>
  </si>
  <si>
    <t>Peptidyl-prolyl cis-trans isomerase (Fragment)</t>
  </si>
  <si>
    <t>Serine/threonine-protein kinase 11-interacting protein</t>
  </si>
  <si>
    <t>DNA-binding protein SATB2</t>
  </si>
  <si>
    <t>Vesicle-trafficking protein SEC22a (Fragment)</t>
  </si>
  <si>
    <t>Coiled-coil-helix-coiled-coil-helix domain-containing protein 3, mitochondrial</t>
  </si>
  <si>
    <t>E3 ubiquitin-protein ligase RNF123</t>
  </si>
  <si>
    <t>Proton-coupled folate transporter</t>
  </si>
  <si>
    <t>Stress-associated endoplasmic reticulum protein 1</t>
  </si>
  <si>
    <t>Forkhead box J3, isoform CRA_b (Fragment)</t>
  </si>
  <si>
    <t>Mesoderm-specific transcript homolog protein (Fragment)</t>
  </si>
  <si>
    <t>Filamin A-interacting protein 1-like (Fragment)</t>
  </si>
  <si>
    <t>Ribonuclease P protein subunit p20 (Fragment)</t>
  </si>
  <si>
    <t>Synaptophysin-like protein 1</t>
  </si>
  <si>
    <t>Neuronal cell adhesion molecule</t>
  </si>
  <si>
    <t>Inositol polyphosphate 5-phosphatase K (Fragment)</t>
  </si>
  <si>
    <t>Replication factor C subunit 4</t>
  </si>
  <si>
    <t>Dehydrogenase/reductase SDR family member 2 (Fragment)</t>
  </si>
  <si>
    <t>ADP-ribosylation factor GTPase-activating protein 3</t>
  </si>
  <si>
    <t>Poly(rC)-binding protein 4 (Fragment)</t>
  </si>
  <si>
    <t>Ubiquitin-conjugating enzyme E2 H (Fragment)</t>
  </si>
  <si>
    <t>Ras association (RalGDS/AF-6) and pleckstrin homology domains 1, isoform CRA_b</t>
  </si>
  <si>
    <t>Prostate leucine zipper isoform 3</t>
  </si>
  <si>
    <t>Eukaryotic translation initiation factor 4 gamma 2 (Fragment)</t>
  </si>
  <si>
    <t>DnaJ homolog subfamily C member 24</t>
  </si>
  <si>
    <t>Sodium bicarbonate cotransporter 3</t>
  </si>
  <si>
    <t>60S ribosomal protein L32 (Fragment)</t>
  </si>
  <si>
    <t>NADPH-dependent diflavin oxidoreductase 1</t>
  </si>
  <si>
    <t>Tapasin</t>
  </si>
  <si>
    <t>Calcium/calmodulin-dependent protein kinase (CaM kinase) II delta, isoform CRA_e</t>
  </si>
  <si>
    <t>Centromere protein U (Fragment)</t>
  </si>
  <si>
    <t>DNA-directed RNA polymerase III subunit RPC7 (Fragment)</t>
  </si>
  <si>
    <t>Single-stranded DNA-binding protein 2 (Fragment)</t>
  </si>
  <si>
    <t>Transmembrane protein 161B</t>
  </si>
  <si>
    <t>Soluble lamin-associated protein of 75 kDa</t>
  </si>
  <si>
    <t>Interferon regulatory factor 2</t>
  </si>
  <si>
    <t>CXXC-type zinc finger protein 5 (Fragment)</t>
  </si>
  <si>
    <t>Protein FAM173B</t>
  </si>
  <si>
    <t>Eukaryotic translation initiation factor 4E</t>
  </si>
  <si>
    <t>Estradiol 17-beta-dehydrogenase 11</t>
  </si>
  <si>
    <t>Transmembrane protein 175</t>
  </si>
  <si>
    <t>Protein CDV3 homolog</t>
  </si>
  <si>
    <t>Glutamyl-tRNA(Gln) amidotransferase subunit B, mitochondrial</t>
  </si>
  <si>
    <t>CDC42 small effector protein 2</t>
  </si>
  <si>
    <t>BRCA1-A complex subunit Abraxas</t>
  </si>
  <si>
    <t>Casein kinase I isoform alpha</t>
  </si>
  <si>
    <t>Putative sodium-coupled neutral amino acid transporter 9 (Fragment)</t>
  </si>
  <si>
    <t>Protein transport protein Sec31A</t>
  </si>
  <si>
    <t>Syntaxin-18</t>
  </si>
  <si>
    <t>Deoxycytidine kinase</t>
  </si>
  <si>
    <t>Protein FAM117A (Fragment)</t>
  </si>
  <si>
    <t>Septin 11, isoform CRA_b</t>
  </si>
  <si>
    <t>CCR4-NOT transcription complex subunit 6-like (Fragment)</t>
  </si>
  <si>
    <t>Centromere protein K</t>
  </si>
  <si>
    <t>Ribonuclease T2 (Fragment)</t>
  </si>
  <si>
    <t>Cytochrome c oxidase subunit 7A2, mitochondrial</t>
  </si>
  <si>
    <t>Claudin domain-containing protein 1 (Fragment)</t>
  </si>
  <si>
    <t>Major facilitator superfamily domain-containing protein 10</t>
  </si>
  <si>
    <t>Rieske domain-containing protein</t>
  </si>
  <si>
    <t>Solute carrier organic anion transporter family member 4A1</t>
  </si>
  <si>
    <t>von Willebrand factor A domain-containing protein 8</t>
  </si>
  <si>
    <t>Protein C15orf38-AP3S2</t>
  </si>
  <si>
    <t>Geminin (Fragment)</t>
  </si>
  <si>
    <t>39S ribosomal protein L13, mitochondrial</t>
  </si>
  <si>
    <t>E3 SUMO-protein ligase NSE2</t>
  </si>
  <si>
    <t>Putative deoxyribonuclease TATDN1 (Fragment)</t>
  </si>
  <si>
    <t>Triple QxxK/R motif-containing protein</t>
  </si>
  <si>
    <t>RWD domain-containing protein 1 (Fragment)</t>
  </si>
  <si>
    <t>Stathmin</t>
  </si>
  <si>
    <t>Derlin-1</t>
  </si>
  <si>
    <t>Transcription elongation factor B polypeptide 1 (Fragment)</t>
  </si>
  <si>
    <t>Dynamin-3</t>
  </si>
  <si>
    <t>Store-operated calcium entry-associated regulatory factor (Fragment)</t>
  </si>
  <si>
    <t>Erlin-2 (Fragment)</t>
  </si>
  <si>
    <t>60S ribosomal protein L30 (Fragment)</t>
  </si>
  <si>
    <t>TELO2-interacting protein 2</t>
  </si>
  <si>
    <t>Inositol monophosphatase 1 (Fragment)</t>
  </si>
  <si>
    <t>Small EDRK-rich factor 1</t>
  </si>
  <si>
    <t>Indoleamine 2,3-dioxygenase 1 (Fragment)</t>
  </si>
  <si>
    <t>Presenilin-2 CTF subunit</t>
  </si>
  <si>
    <t>AN1-type zinc finger protein 1</t>
  </si>
  <si>
    <t>2,4-dienoyl-CoA reductase, mitochondrial (Fragment)</t>
  </si>
  <si>
    <t>8-oxo-dGDP phosphatase NUDT18</t>
  </si>
  <si>
    <t>Cytoplasmic polyadenylation element-binding protein 4</t>
  </si>
  <si>
    <t>Securin (Fragment)</t>
  </si>
  <si>
    <t>S-phase kinase-associated protein 1</t>
  </si>
  <si>
    <t>Uncharacterized protein</t>
  </si>
  <si>
    <t>GPI ethanolamine phosphate transferase 2</t>
  </si>
  <si>
    <t>COP9 signalosome complex subunit 6</t>
  </si>
  <si>
    <t>E3 ubiquitin-protein ligase RNF5</t>
  </si>
  <si>
    <t>Tyrosine-protein phosphatase non-receptor type 18 (Fragment)</t>
  </si>
  <si>
    <t>A-kinase anchor protein 10, mitochondrial (Fragment)</t>
  </si>
  <si>
    <t>Acid ceramidase</t>
  </si>
  <si>
    <t>Protein phosphatase inhibitor 2 (Fragment)</t>
  </si>
  <si>
    <t>Armadillo repeat-containing protein 5</t>
  </si>
  <si>
    <t>Ankycorbin</t>
  </si>
  <si>
    <t>Transforming acidic coiled-coil-containing protein 2</t>
  </si>
  <si>
    <t>Dyslexia-associated protein KIAA0319-like protein (Fragment)</t>
  </si>
  <si>
    <t>Zinc finger protein 143</t>
  </si>
  <si>
    <t>Nicastrin</t>
  </si>
  <si>
    <t>Calcium-binding and coiled-coil domain-containing protein 2</t>
  </si>
  <si>
    <t>Double-stranded RNA-specific adenosine deaminase</t>
  </si>
  <si>
    <t>Breast cancer type 1 susceptibility protein</t>
  </si>
  <si>
    <t>Nuclear prelamin A recognition factor</t>
  </si>
  <si>
    <t>60S ribosomal protein L14</t>
  </si>
  <si>
    <t>CD44 antigen</t>
  </si>
  <si>
    <t>Target of Myb protein 1</t>
  </si>
  <si>
    <t>Inhibitor of Bruton tyrosine kinase</t>
  </si>
  <si>
    <t>Pyridoxal-dependent decarboxylase domain-containing protein 1</t>
  </si>
  <si>
    <t>Protein PRRC2C</t>
  </si>
  <si>
    <t>NADH dehydrogenase [ubiquinone] flavoprotein 2, mitochondrial</t>
  </si>
  <si>
    <t>TNFAIP3-interacting protein 1</t>
  </si>
  <si>
    <t>N-alpha-acetyltransferase 50</t>
  </si>
  <si>
    <t>Kaliocin-1 (Fragment)</t>
  </si>
  <si>
    <t>Atrial natriuretic peptide-converting enzyme, 180 kDa soluble fragment</t>
  </si>
  <si>
    <t>Proline dehydrogenase 1, mitochondrial</t>
  </si>
  <si>
    <t>Rho GTPase-activating protein 4</t>
  </si>
  <si>
    <t>Sentrin-specific protease 6</t>
  </si>
  <si>
    <t>Protein YIPF3</t>
  </si>
  <si>
    <t>Apoptotic chromatin condensation inducer in the nucleus</t>
  </si>
  <si>
    <t>Ribosomal protein L15 (Fragment)</t>
  </si>
  <si>
    <t>Endoplasmic reticulum metallopeptidase 1</t>
  </si>
  <si>
    <t>Protein FAM193B</t>
  </si>
  <si>
    <t>GEM-interacting protein</t>
  </si>
  <si>
    <t>Tensin-3</t>
  </si>
  <si>
    <t>Zinc finger CCCH domain-containing protein 18</t>
  </si>
  <si>
    <t>High mobility group protein B3 (Fragment)</t>
  </si>
  <si>
    <t>Tetratricopeptide repeat protein 38</t>
  </si>
  <si>
    <t>Heat shock 70 kDa protein 4L</t>
  </si>
  <si>
    <t>Presenilin-1</t>
  </si>
  <si>
    <t>U4/U6 small nuclear ribonucleoprotein Prp31</t>
  </si>
  <si>
    <t>Integrin alpha-2</t>
  </si>
  <si>
    <t>N-acetyltransferase 10</t>
  </si>
  <si>
    <t>Chordin</t>
  </si>
  <si>
    <t>NADH dehydrogenase [ubiquinone] 1 alpha subcomplex subunit 10, mitochondrial</t>
  </si>
  <si>
    <t>U2 snRNP-associated SURP motif-containing protein</t>
  </si>
  <si>
    <t>Aspartyl aminopeptidase</t>
  </si>
  <si>
    <t>40S ribosomal protein S24</t>
  </si>
  <si>
    <t>Basic leucine zipper and W2 domain-containing protein 2 (Fragment)</t>
  </si>
  <si>
    <t>Rab GDP dissociation inhibitor beta</t>
  </si>
  <si>
    <t>Casein kinase II subunit alpha</t>
  </si>
  <si>
    <t>ATP-binding cassette sub-family D member 3</t>
  </si>
  <si>
    <t>Sperm-specific antigen 2</t>
  </si>
  <si>
    <t>Nucleoporin p54</t>
  </si>
  <si>
    <t>PiggyBac transposable element-derived protein 3</t>
  </si>
  <si>
    <t>Methyl-CpG-binding domain protein 1</t>
  </si>
  <si>
    <t>Microtubule-associated protein</t>
  </si>
  <si>
    <t>Autophagy-related protein 16-1</t>
  </si>
  <si>
    <t>Cytoplasmic FMR1-interacting protein 2</t>
  </si>
  <si>
    <t>Retinoic acid-induced protein 1</t>
  </si>
  <si>
    <t>Protein SDA1 homolog</t>
  </si>
  <si>
    <t>DNA polymerase beta (Fragment)</t>
  </si>
  <si>
    <t>Unconventional myosin-VI</t>
  </si>
  <si>
    <t>Vacuolar fusion protein MON1 homolog B</t>
  </si>
  <si>
    <t>Septin-10</t>
  </si>
  <si>
    <t>Abl interactor 2</t>
  </si>
  <si>
    <t>Exocyst complex component 6</t>
  </si>
  <si>
    <t>Putative Polycomb group protein ASXL2</t>
  </si>
  <si>
    <t>Zinc finger MIZ domain-containing protein 2</t>
  </si>
  <si>
    <t>SET domain-containing protein 5</t>
  </si>
  <si>
    <t>NADH dehydrogenase [ubiquinone] 1 beta subcomplex subunit 5, mitochondrial</t>
  </si>
  <si>
    <t>Microtubule-associated serine/threonine-protein kinase 4</t>
  </si>
  <si>
    <t>NAD-dependent protein deacetylase sirtuin-2 (Fragment)</t>
  </si>
  <si>
    <t>MAGUK p55 subfamily member 2</t>
  </si>
  <si>
    <t>Eukaryotic translation initiation factor 4B</t>
  </si>
  <si>
    <t>Propionyl-CoA carboxylase beta chain, mitochondrial</t>
  </si>
  <si>
    <t>Eukaryotic translation initiation factor 4 gamma 1</t>
  </si>
  <si>
    <t>Dynactin subunit 1</t>
  </si>
  <si>
    <t>5-nucleotidase domain-containing protein 2</t>
  </si>
  <si>
    <t>Ribonucleoprotein PTB-binding 1</t>
  </si>
  <si>
    <t>G patch domain-containing protein 4</t>
  </si>
  <si>
    <t>THO complex subunit 4</t>
  </si>
  <si>
    <t>Protein AF-10</t>
  </si>
  <si>
    <t>Transmembrane protein 201</t>
  </si>
  <si>
    <t>CUGBP Elav-like family member 2</t>
  </si>
  <si>
    <t>Serine/threonine-protein kinase MARK2</t>
  </si>
  <si>
    <t>Translation initiation factor eIF-2B subunit epsilon</t>
  </si>
  <si>
    <t>Epididymis-specific alpha-mannosidase</t>
  </si>
  <si>
    <t>Folliculin-interacting protein 1</t>
  </si>
  <si>
    <t>Beta-glucuronidase</t>
  </si>
  <si>
    <t>Golgi SNAP receptor complex member 1</t>
  </si>
  <si>
    <t>Tolloid-like protein 1</t>
  </si>
  <si>
    <t>Cytoskeleton-associated protein 2</t>
  </si>
  <si>
    <t>Armadillo repeat protein deleted in velo-cardio-facial syndrome</t>
  </si>
  <si>
    <t>Unconventional myosin-Ib</t>
  </si>
  <si>
    <t>RPA-interacting protein</t>
  </si>
  <si>
    <t>Integrin beta</t>
  </si>
  <si>
    <t>Probable phospholipid-transporting ATPase IH</t>
  </si>
  <si>
    <t>Exportin-7</t>
  </si>
  <si>
    <t>Disco-interacting protein 2 homolog A</t>
  </si>
  <si>
    <t>3-phosphoinositide-dependent protein kinase 1</t>
  </si>
  <si>
    <t>Protein diaphanous homolog 1</t>
  </si>
  <si>
    <t>Nuclear pore complex protein Nup155</t>
  </si>
  <si>
    <t>Acyl-CoA synthetase family member 2, mitochondrial</t>
  </si>
  <si>
    <t>Hydroxyacyl-coenzyme A dehydrogenase, mitochondrial</t>
  </si>
  <si>
    <t>Transducin beta-like protein 2</t>
  </si>
  <si>
    <t>Vacuolar protein sorting-associated protein 41 homolog</t>
  </si>
  <si>
    <t>Mitochondrial thiamine pyrophosphate carrier</t>
  </si>
  <si>
    <t>C-Jun-amino-terminal kinase-interacting protein 3</t>
  </si>
  <si>
    <t>Rab5 GDP/GTP exchange factor</t>
  </si>
  <si>
    <t>Serine/threonine-protein phosphatase 2A 56 kDa regulatory subunit delta isoform</t>
  </si>
  <si>
    <t>Centrosomal protein of 97 kDa</t>
  </si>
  <si>
    <t>Ras GTPase-activating protein 1</t>
  </si>
  <si>
    <t>Translin</t>
  </si>
  <si>
    <t>Mediator of RNA polymerase II transcription subunit 22 (Fragment)</t>
  </si>
  <si>
    <t>DnaJ homolog subfamily B member 6</t>
  </si>
  <si>
    <t>Thioredoxin-dependent peroxide reductase, mitochondrial</t>
  </si>
  <si>
    <t>Methylcrotonoyl-CoA carboxylase subunit alpha, mitochondrial</t>
  </si>
  <si>
    <t>Cytochrome P450 20A1</t>
  </si>
  <si>
    <t>E3 SUMO-protein ligase PIAS3</t>
  </si>
  <si>
    <t>Band 4.1-like protein 2</t>
  </si>
  <si>
    <t>Maestro heat-like repeat-containing protein family member 1</t>
  </si>
  <si>
    <t>Mitochondrial carrier homolog 2 (Fragment)</t>
  </si>
  <si>
    <t>PHD and RING finger domain-containing protein 1</t>
  </si>
  <si>
    <t>T-complex protein 11-like protein 1</t>
  </si>
  <si>
    <t>UBX domain-containing protein 1 (Fragment)</t>
  </si>
  <si>
    <t>Cysteine and histidine-rich protein 1</t>
  </si>
  <si>
    <t>CD81 antigen</t>
  </si>
  <si>
    <t>F-box only protein 3</t>
  </si>
  <si>
    <t>Elongation factor 1-delta (Fragment)</t>
  </si>
  <si>
    <t>Sorting nexin-15 (Fragment)</t>
  </si>
  <si>
    <t>Bcl-2-associated transcription factor 1</t>
  </si>
  <si>
    <t>Pleckstrin homology domain-containing family A member 7</t>
  </si>
  <si>
    <t>Sterol O-acyltransferase 1 (Fragment)</t>
  </si>
  <si>
    <t>Protein arginine N-methyltransferase 1</t>
  </si>
  <si>
    <t>Nucleolar transcription factor 1</t>
  </si>
  <si>
    <t>Porimin</t>
  </si>
  <si>
    <t>39S ribosomal protein L17, mitochondrial (Fragment)</t>
  </si>
  <si>
    <t>Tetratricopeptide repeat protein 9C (Fragment)</t>
  </si>
  <si>
    <t>Transcription factor BTF3 homolog 4</t>
  </si>
  <si>
    <t>Collectin-12</t>
  </si>
  <si>
    <t>Etoposide-induced protein 2.4 homolog (Fragment)</t>
  </si>
  <si>
    <t>Protein NEDD8-MDP1 (Fragment)</t>
  </si>
  <si>
    <t>60S ribosomal protein L27a</t>
  </si>
  <si>
    <t>Small acidic protein (Fragment)</t>
  </si>
  <si>
    <t>Baculoviral IAP repeat-containing protein 2</t>
  </si>
  <si>
    <t>Methylosome subunit pICln</t>
  </si>
  <si>
    <t>Protein FAM118B (Fragment)</t>
  </si>
  <si>
    <t>Autophagy-related protein 13 (Fragment)</t>
  </si>
  <si>
    <t>CD151 antigen</t>
  </si>
  <si>
    <t>Rho guanine nucleotide exchange factor 12</t>
  </si>
  <si>
    <t>BTB/POZ domain-containing protein KCTD21 (Fragment)</t>
  </si>
  <si>
    <t>LIM domain only protein 7</t>
  </si>
  <si>
    <t>ADP-ribosylation factor GTPase-activating protein 2 (Fragment)</t>
  </si>
  <si>
    <t>Receptor-binding cancer antigen-expressed on SiSo cells</t>
  </si>
  <si>
    <t>Diacylglycerol kinase zeta</t>
  </si>
  <si>
    <t>Thioredoxin reductase 1, cytoplasmic</t>
  </si>
  <si>
    <t>Rho GTPase-activating protein 27</t>
  </si>
  <si>
    <t>CD59 glycoprotein</t>
  </si>
  <si>
    <t>Latent-transforming growth factor beta-binding protein 3 (Fragment)</t>
  </si>
  <si>
    <t>Ribosomal RNA-processing protein 8</t>
  </si>
  <si>
    <t>Uncharacterized protein C11orf57 (Fragment)</t>
  </si>
  <si>
    <t>Prefoldin subunit 4</t>
  </si>
  <si>
    <t>40S ribosomal protein S30</t>
  </si>
  <si>
    <t>Repressor of RNA polymerase III transcription MAF1 homolog (Fragment)</t>
  </si>
  <si>
    <t>Solute carrier family 22 member 18</t>
  </si>
  <si>
    <t>Probable RNA-binding protein EIF1AD</t>
  </si>
  <si>
    <t>Elongation factor 1-delta</t>
  </si>
  <si>
    <t>N-terminal kinase-like protein</t>
  </si>
  <si>
    <t>Protein SMCO4 (Fragment)</t>
  </si>
  <si>
    <t>Transmembrane 9 superfamily member 1</t>
  </si>
  <si>
    <t>6-phosphofructo-2-kinase</t>
  </si>
  <si>
    <t>Myosin-14</t>
  </si>
  <si>
    <t>FGGY carbohydrate kinase domain-containing protein</t>
  </si>
  <si>
    <t>tRNA (uracil-5-)-methyltransferase homolog A</t>
  </si>
  <si>
    <t>Exportin-4</t>
  </si>
  <si>
    <t>tRNA (uracil(54)-C(5))-methyltransferase homolog</t>
  </si>
  <si>
    <t>General transcription factor IIH subunit 3 (Fragment)</t>
  </si>
  <si>
    <t>Transmembrane protein 258</t>
  </si>
  <si>
    <t>WASH complex subunit CCDC53</t>
  </si>
  <si>
    <t>Junction plakoglobin</t>
  </si>
  <si>
    <t>Protein TLDC1</t>
  </si>
  <si>
    <t>Serine/threonine-protein kinase WNK1</t>
  </si>
  <si>
    <t>Chromodomain-helicase-DNA-binding protein 4</t>
  </si>
  <si>
    <t>Podocalyxin</t>
  </si>
  <si>
    <t>Protein FAM76B</t>
  </si>
  <si>
    <t>Lysine-specific demethylase 4B</t>
  </si>
  <si>
    <t>Protein furry homolog-like</t>
  </si>
  <si>
    <t>Succinyl-CoA ligase [ADP-forming] subunit beta, mitochondrial</t>
  </si>
  <si>
    <t>Arginyl-tRNA--protein transferase 1</t>
  </si>
  <si>
    <t>Nuclear receptor subfamily 4 group A member 1</t>
  </si>
  <si>
    <t>DnaJ homolog subfamily B member 11</t>
  </si>
  <si>
    <t>Dolichyl-diphosphooligosaccharide--protein glycosyltransferase subunit DAD1</t>
  </si>
  <si>
    <t>Spindle assembly abnormal protein 6 homolog</t>
  </si>
  <si>
    <t>Pre-mRNA-processing factor 19 (Fragment)</t>
  </si>
  <si>
    <t>Vasculin</t>
  </si>
  <si>
    <t>Hematological and neurological-expressed 1 protein</t>
  </si>
  <si>
    <t>Polypeptide N-acetylgalactosaminyltransferase 1 soluble form</t>
  </si>
  <si>
    <t>Ubiquitin thioesterase OTUB1</t>
  </si>
  <si>
    <t>V-type proton ATPase subunit d 1</t>
  </si>
  <si>
    <t>Delta(14)-sterol reductase</t>
  </si>
  <si>
    <t>Paxillin</t>
  </si>
  <si>
    <t>Pleckstrin homology domain-containing family B member 1 (Fragment)</t>
  </si>
  <si>
    <t>Probable ATP-dependent RNA helicase DHX36</t>
  </si>
  <si>
    <t>4F2 cell-surface antigen heavy chain</t>
  </si>
  <si>
    <t>Constitutive coactivator of peroxisome proliferator-activated receptor gamma</t>
  </si>
  <si>
    <t>Alpha-ketoglutarate-dependent dioxygenase alkB homolog 2 (Fragment)</t>
  </si>
  <si>
    <t>E3 ubiquitin-protein ligase TRIM21</t>
  </si>
  <si>
    <t>Tumor protein D52</t>
  </si>
  <si>
    <t>Anaphase-promoting complex subunit 5</t>
  </si>
  <si>
    <t>Transcription factor SOX-5</t>
  </si>
  <si>
    <t>SEC23-interacting protein</t>
  </si>
  <si>
    <t>CLK4-associating serine/arginine-rich protein</t>
  </si>
  <si>
    <t>G-protein-coupled receptor 56</t>
  </si>
  <si>
    <t>RNA polymerase I-specific transcription initiation factor RRN3</t>
  </si>
  <si>
    <t>DnaJ homolog subfamily A member 4</t>
  </si>
  <si>
    <t>Abl interactor 1</t>
  </si>
  <si>
    <t>DNA helicase B</t>
  </si>
  <si>
    <t>Thioredoxin reductase 2, mitochondrial</t>
  </si>
  <si>
    <t>Uncharacterized protein KIAA1211</t>
  </si>
  <si>
    <t>Protein FLJ22184</t>
  </si>
  <si>
    <t>Lipopolysaccharide-responsive and beige-like anchor protein</t>
  </si>
  <si>
    <t>Golgi-associated PDZ and coiled-coil motif-containing protein</t>
  </si>
  <si>
    <t>PCTP-like protein (Fragment)</t>
  </si>
  <si>
    <t>Ataxin-3</t>
  </si>
  <si>
    <t>Cyclin-dependent kinase inhibitor 3</t>
  </si>
  <si>
    <t>Ankyrin repeat and LEM domain-containing protein 2</t>
  </si>
  <si>
    <t>Vacuole membrane protein 1</t>
  </si>
  <si>
    <t>Protein lunapark</t>
  </si>
  <si>
    <t>Dynactin subunit 2</t>
  </si>
  <si>
    <t>Serine/threonine-protein kinase PRP4 homolog</t>
  </si>
  <si>
    <t>Pre-mRNA-splicing factor SYF1</t>
  </si>
  <si>
    <t>Protein transport protein Sec23A</t>
  </si>
  <si>
    <t>Collagen alpha-6(IV) chain</t>
  </si>
  <si>
    <t>Importin subunit alpha</t>
  </si>
  <si>
    <t>ATP synthase subunit f, mitochondrial</t>
  </si>
  <si>
    <t>Programmed cell death protein 2</t>
  </si>
  <si>
    <t>WND/140 kDa</t>
  </si>
  <si>
    <t>V-type proton ATPase 116 kDa subunit a isoform 1</t>
  </si>
  <si>
    <t>Protein BRICK1</t>
  </si>
  <si>
    <t>Tubulin alpha-1C chain</t>
  </si>
  <si>
    <t>G-rich sequence factor 1</t>
  </si>
  <si>
    <t>Interferon gamma receptor 1</t>
  </si>
  <si>
    <t>Serine/threonine-protein kinase MRCK alpha</t>
  </si>
  <si>
    <t>NADH dehydrogenase [ubiquinone] iron-sulfur protein 7, mitochondrial</t>
  </si>
  <si>
    <t>2-oxoisovalerate dehydrogenase subunit alpha, mitochondrial</t>
  </si>
  <si>
    <t>Probable sodium-coupled neutral amino acid transporter 6</t>
  </si>
  <si>
    <t>CLIP-associating protein 2</t>
  </si>
  <si>
    <t>Tuftelin</t>
  </si>
  <si>
    <t>Oxidoreductase NAD-binding domain-containing protein 1</t>
  </si>
  <si>
    <t>Leucine--tRNA ligase, cytoplasmic</t>
  </si>
  <si>
    <t>Nucleolar protein 10</t>
  </si>
  <si>
    <t>Protein FAM60A (Fragment)</t>
  </si>
  <si>
    <t>39S ribosomal protein L48, mitochondrial</t>
  </si>
  <si>
    <t>WW domain-binding protein 11</t>
  </si>
  <si>
    <t>Methionine-R-sulfoxide reductase B3 (Fragment)</t>
  </si>
  <si>
    <t>Microsomal glutathione S-transferase 1 (Fragment)</t>
  </si>
  <si>
    <t>GA-binding protein subunit beta-1</t>
  </si>
  <si>
    <t>Maltase-glucoamylase, intestinal</t>
  </si>
  <si>
    <t>Lactadherin short form</t>
  </si>
  <si>
    <t>Ribosomal protein S6 kinase delta-1</t>
  </si>
  <si>
    <t>Receptor expression-enhancing protein 1</t>
  </si>
  <si>
    <t>2-oxoglutarate dehydrogenase, mitochondrial</t>
  </si>
  <si>
    <t>Type I inositol 3,4-bisphosphate 4-phosphatase</t>
  </si>
  <si>
    <t>Mediator of RNA polymerase II transcription subunit 21</t>
  </si>
  <si>
    <t>Kunitz-type protease inhibitor 1</t>
  </si>
  <si>
    <t>Heat shock protein 75 kDa, mitochondrial</t>
  </si>
  <si>
    <t>DNA repair protein XRCC1</t>
  </si>
  <si>
    <t>Mevalonate kinase</t>
  </si>
  <si>
    <t>Rab GTPase-activating protein 1-like</t>
  </si>
  <si>
    <t>SID1 transmembrane family member 2</t>
  </si>
  <si>
    <t>Epsin-2 (Fragment)</t>
  </si>
  <si>
    <t>Thioredoxin-interacting protein (Fragment)</t>
  </si>
  <si>
    <t>Signal-induced proliferation-associated protein 1</t>
  </si>
  <si>
    <t>Probable global transcription activator SNF2L1 (Fragment)</t>
  </si>
  <si>
    <t>Large proline-rich protein BAG6 (Fragment)</t>
  </si>
  <si>
    <t>Calcineurin subunit B type 1</t>
  </si>
  <si>
    <t>Putative hydroxypyruvate isomerase (Fragment)</t>
  </si>
  <si>
    <t>Tumor protein D53</t>
  </si>
  <si>
    <t>Eukaryotic translation initiation factor 4B (Fragment)</t>
  </si>
  <si>
    <t>DNA fragmentation factor subunit beta</t>
  </si>
  <si>
    <t>Spliceosome RNA helicase DDX39B</t>
  </si>
  <si>
    <t>Zinc finger protein 36, C3H1 type-like 1 (Fragment)</t>
  </si>
  <si>
    <t>Overexpressed in colon carcinoma 1 protein (Fragment)</t>
  </si>
  <si>
    <t>BRCA1-A complex subunit RAP80</t>
  </si>
  <si>
    <t>Methionine aminopeptidase</t>
  </si>
  <si>
    <t>Transmembrane protein 19 (Fragment)</t>
  </si>
  <si>
    <t>Tetraspanin-31</t>
  </si>
  <si>
    <t>Nuclear transcription factor Y subunit beta (Fragment)</t>
  </si>
  <si>
    <t>Plexin-A1</t>
  </si>
  <si>
    <t>Peptidyl-prolyl cis-trans isomerase</t>
  </si>
  <si>
    <t>DAZ-associated protein 2</t>
  </si>
  <si>
    <t>CCR4-NOT transcription complex subunit 2 (Fragment)</t>
  </si>
  <si>
    <t>CD63 antigen</t>
  </si>
  <si>
    <t>Coatomer subunit zeta-1</t>
  </si>
  <si>
    <t>Phosphofurin acidic cluster sorting protein 2</t>
  </si>
  <si>
    <t>Cysteine and glycine-rich protein 2</t>
  </si>
  <si>
    <t>Protein MON2 homolog</t>
  </si>
  <si>
    <t>Putative Dol-P-Glc:Glc(2)Man(9)GlcNAc(2)-PP-Dol alpha-1,2-glucosyltransferase</t>
  </si>
  <si>
    <t>Sodium-coupled neutral amino acid transporter 1</t>
  </si>
  <si>
    <t>Protein SCAF11</t>
  </si>
  <si>
    <t>Nucleosome assembly protein 1-like 1 (Fragment)</t>
  </si>
  <si>
    <t>ADP-ribosylation factor-like protein 1</t>
  </si>
  <si>
    <t>LETM1 domain-containing protein 1 (Fragment)</t>
  </si>
  <si>
    <t>Nascent polypeptide-associated complex subunit alpha</t>
  </si>
  <si>
    <t>Uncharacterized protein (Fragment)</t>
  </si>
  <si>
    <t>Chromatin complexes subunit BAP18</t>
  </si>
  <si>
    <t>Periphilin-1</t>
  </si>
  <si>
    <t>Natural resistance-associated macrophage protein 2</t>
  </si>
  <si>
    <t>Biotinidase</t>
  </si>
  <si>
    <t>DNA-binding protein RFX5 (Fragment)</t>
  </si>
  <si>
    <t>Heterogeneous nuclear ribonucleoprotein A1</t>
  </si>
  <si>
    <t>Ubiquitin-associated protein 2-like</t>
  </si>
  <si>
    <t>Golgi integral membrane protein 4</t>
  </si>
  <si>
    <t>Phenazine biosynthesis-like domain-containing protein</t>
  </si>
  <si>
    <t>Molybdopterin molybdenumtransferase</t>
  </si>
  <si>
    <t>Protein FAM162A</t>
  </si>
  <si>
    <t>Vezatin (Fragment)</t>
  </si>
  <si>
    <t>Histone RNA hairpin-binding protein</t>
  </si>
  <si>
    <t>Plastin-3</t>
  </si>
  <si>
    <t>Protein FAM179A</t>
  </si>
  <si>
    <t>Ras-related protein Rab-24</t>
  </si>
  <si>
    <t>Nucleolysin TIA-1 isoform p40</t>
  </si>
  <si>
    <t>Protein unc-13 homolog B</t>
  </si>
  <si>
    <t>Calcium-dependent secretion activator 2</t>
  </si>
  <si>
    <t>Syntaxin-5</t>
  </si>
  <si>
    <t>Insulin-like growth factor 2 mRNA-binding protein 2</t>
  </si>
  <si>
    <t>FSD1-like protein</t>
  </si>
  <si>
    <t>Peripheral plasma membrane protein CASK</t>
  </si>
  <si>
    <t>Serine/threonine-protein kinase WNK2</t>
  </si>
  <si>
    <t>Dual-specificity tyrosine-phosphorylation-regulated kinase 1A</t>
  </si>
  <si>
    <t>Leukocyte receptor cluster member 8</t>
  </si>
  <si>
    <t>Mediator of RNA polymerase II transcription subunit 24</t>
  </si>
  <si>
    <t>Coiled-coil domain-containing protein 93</t>
  </si>
  <si>
    <t>S-adenosylmethionine mitochondrial carrier protein</t>
  </si>
  <si>
    <t>Disintegrin and metalloproteinase domain-containing protein 22 (Fragment)</t>
  </si>
  <si>
    <t>Cohesin subunit SA-2</t>
  </si>
  <si>
    <t>Selenoprotein W</t>
  </si>
  <si>
    <t>39S ribosomal protein L40, mitochondrial</t>
  </si>
  <si>
    <t>Phospholipase D1</t>
  </si>
  <si>
    <t>GTP-binding protein 8</t>
  </si>
  <si>
    <t>SAC3 domain-containing protein 1</t>
  </si>
  <si>
    <t>Kinesin-like protein KIF21A</t>
  </si>
  <si>
    <t>FERM and PDZ domain-containing protein 2</t>
  </si>
  <si>
    <t>Atlastin-1</t>
  </si>
  <si>
    <t>Nucleolar protein 8 (Fragment)</t>
  </si>
  <si>
    <t>DNA (cytosine-5)-methyltransferase 3A</t>
  </si>
  <si>
    <t>Kinase suppressor of Ras 1</t>
  </si>
  <si>
    <t>AN1-type zinc finger protein 2B</t>
  </si>
  <si>
    <t>Translocation protein SEC62</t>
  </si>
  <si>
    <t>Dol-P-Man:Man(5)GlcNAc(2)-PP-Dol alpha-1,3-mannosyltransferase</t>
  </si>
  <si>
    <t>NADH dehydrogenase (Ubiquinone) flavoprotein 1, 51kDa, isoform CRA_c</t>
  </si>
  <si>
    <t>OTU domain containing 4, isoform CRA_f</t>
  </si>
  <si>
    <t>Epidermal retinol dehydrogenase 2</t>
  </si>
  <si>
    <t>Gasdermin domain containing 1, isoform CRA_d</t>
  </si>
  <si>
    <t>Dipeptidyl peptidase 3</t>
  </si>
  <si>
    <t>Paraoxonase 2, isoform CRA_a</t>
  </si>
  <si>
    <t>Loss of heterozygosity 12 chromosomal region 1 protein</t>
  </si>
  <si>
    <t>Inositol-3-phosphate synthase 1</t>
  </si>
  <si>
    <t>Activating transcription factor 7 interacting protein, isoform CRA_f</t>
  </si>
  <si>
    <t>Golgi transport 1 homolog B (S. cerevisiae), isoform CRA_c</t>
  </si>
  <si>
    <t>Zinc finger CCHC-type and RNA binding motif 1, isoform CRA_b</t>
  </si>
  <si>
    <t>60S ribosomal protein L18</t>
  </si>
  <si>
    <t>Transmembrane and coiled-coil domain family 3, isoform CRA_c</t>
  </si>
  <si>
    <t>Methyltransferase-like protein 10</t>
  </si>
  <si>
    <t>HCG2044781</t>
  </si>
  <si>
    <t>Acylphosphatase</t>
  </si>
  <si>
    <t>Pentatricopeptide repeat-containing protein 1, mitochondrial</t>
  </si>
  <si>
    <t>Fermitin family homolog 2</t>
  </si>
  <si>
    <t>Unconventional myosin-Va</t>
  </si>
  <si>
    <t>Spermatogenesis-associated protein 7</t>
  </si>
  <si>
    <t>DDB1- and CUL4-associated factor 8</t>
  </si>
  <si>
    <t>NF-kappa-B inhibitor alpha</t>
  </si>
  <si>
    <t>Diacylglycerol kinase alpha (Fragment)</t>
  </si>
  <si>
    <t>Spermatogenesis-defective protein 39 homolog</t>
  </si>
  <si>
    <t>Heterogeneous nuclear ribonucleoproteins C1/C2 (Fragment)</t>
  </si>
  <si>
    <t>ATP-dependent RNA helicase DDX24</t>
  </si>
  <si>
    <t>Protein FAM177A1 (Fragment)</t>
  </si>
  <si>
    <t>cTAGE family member 5</t>
  </si>
  <si>
    <t>Cyclin-K</t>
  </si>
  <si>
    <t>Zinc finger FYVE domain-containing protein 1</t>
  </si>
  <si>
    <t>Maleylacetoacetate isomerase</t>
  </si>
  <si>
    <t>Cyclin-dependent kinase 2</t>
  </si>
  <si>
    <t>T1-TrpRS (Fragment)</t>
  </si>
  <si>
    <t>Proteasome subunit alpha type</t>
  </si>
  <si>
    <t>Nucleoporin NDC1</t>
  </si>
  <si>
    <t>AT rich interactive domain 1B (SWI1-like), isoform CRA_a</t>
  </si>
  <si>
    <t>Mitogen-activated protein kinase kinase kinase kinase 4</t>
  </si>
  <si>
    <t>Tetratricopeptide repeat domain 17, isoform CRA_c</t>
  </si>
  <si>
    <t>Solute carrier family 26 member 6</t>
  </si>
  <si>
    <t>Protein tyrosine phosphatase, receptor type, D, isoform CRA_c</t>
  </si>
  <si>
    <t>Poly(A) polymerase alpha</t>
  </si>
  <si>
    <t>Laminin subunit beta-1</t>
  </si>
  <si>
    <t>Nuclear receptor coactivator 3</t>
  </si>
  <si>
    <t>Mitochondrial import inner membrane translocase subunit Tim8 B</t>
  </si>
  <si>
    <t>Myotubularin-related protein 5</t>
  </si>
  <si>
    <t>SWI/SNF related, matrix associated, actin dependent regulator of chromatin, subfamily b, member 1, isoform CRA_c</t>
  </si>
  <si>
    <t>G protein-coupled receptor 107, isoform CRA_c</t>
  </si>
  <si>
    <t>Tight junction protein 1 (Zona occludens 1), isoform CRA_e</t>
  </si>
  <si>
    <t>NF-kappa-B inhibitor-interacting Ras-like protein 1</t>
  </si>
  <si>
    <t>Hermansky-Pudlak syndrome 3 protein</t>
  </si>
  <si>
    <t>HCG1647660, isoform CRA_a</t>
  </si>
  <si>
    <t>CUG triplet repeat, RNA binding protein 1, isoform CRA_c</t>
  </si>
  <si>
    <t>MAU2 chromatid cohesion factor homolog</t>
  </si>
  <si>
    <t>G/T mismatch-specific thymine DNA glycosylase</t>
  </si>
  <si>
    <t>tRNA pseudouridine synthase (Fragment)</t>
  </si>
  <si>
    <t>Heterogeneous nuclear ribonucleoprotein H</t>
  </si>
  <si>
    <t>Sphingomyelin phosphodiesterase 4</t>
  </si>
  <si>
    <t>WD repeat domain phosphoinositide-interacting protein 4</t>
  </si>
  <si>
    <t>Prolyl 3-hydroxylase 3</t>
  </si>
  <si>
    <t>Transforming acidic coiled-coil-containing protein 1</t>
  </si>
  <si>
    <t>Lysosomal thioesterase PPT2 (Fragment)</t>
  </si>
  <si>
    <t>Multivesicular body subunit 12B</t>
  </si>
  <si>
    <t>Transcription initiation factor TFIID subunit 6</t>
  </si>
  <si>
    <t>Biogenesis of lysosome-related organelles complex 1 subunit 1</t>
  </si>
  <si>
    <t>Negative elongation factor C/D</t>
  </si>
  <si>
    <t>Myosin phosphatase Rho-interacting protein (Fragment)</t>
  </si>
  <si>
    <t>Monofunctional C1-tetrahydrofolate synthase, mitochondrial (Fragment)</t>
  </si>
  <si>
    <t>AMP deaminase 2 (Fragment)</t>
  </si>
  <si>
    <t>Zinc transporter 7 (Fragment)</t>
  </si>
  <si>
    <t>ATP-binding cassette sub-family A member 3</t>
  </si>
  <si>
    <t>Protein PRRC2B (Fragment)</t>
  </si>
  <si>
    <t>Myeloid differentiation primary response protein MyD88 (Fragment)</t>
  </si>
  <si>
    <t>Transformation/transcription domain-associated protein (Fragment)</t>
  </si>
  <si>
    <t>N-acyl-phosphatidylethanolamine-hydrolyzing phospholipase D (Fragment)</t>
  </si>
  <si>
    <t>Glycodelin (Fragment)</t>
  </si>
  <si>
    <t>Cip1-interacting zinc finger protein (Fragment)</t>
  </si>
  <si>
    <t>Ubiquitin-fold modifier 1 (Fragment)</t>
  </si>
  <si>
    <t>Synaptosomal-associated protein 47 (Fragment)</t>
  </si>
  <si>
    <t>ADP-ribosylation factor GTPase-activating protein 3 (Fragment)</t>
  </si>
  <si>
    <t>Lysine-specific demethylase 6A (Fragment)</t>
  </si>
  <si>
    <t>Nucleoside diphosphate kinase, mitochondrial (Fragment)</t>
  </si>
  <si>
    <t>Bromodomain-containing protein 2 (Fragment)</t>
  </si>
  <si>
    <t>Transcription factor Sp3</t>
  </si>
  <si>
    <t>SUN domain-containing protein 1 (Fragment)</t>
  </si>
  <si>
    <t>Calmodulin (Fragment)</t>
  </si>
  <si>
    <t>Plasma membrane calcium-transporting ATPase 4 (Fragment)</t>
  </si>
  <si>
    <t>Plexin-B2 (Fragment)</t>
  </si>
  <si>
    <t>Forkhead box protein P1 (Fragment)</t>
  </si>
  <si>
    <t>Mitochondrial carrier homolog 1 (Fragment)</t>
  </si>
  <si>
    <t>Transmembrane protein 222 (Fragment)</t>
  </si>
  <si>
    <t>Xylosylprotein 4-beta-galactosyltransferase (Fragment)</t>
  </si>
  <si>
    <t>Protein PRR5-ARHGAP8 (Fragment)</t>
  </si>
  <si>
    <t>Translation machinery-associated protein 16 (Fragment)</t>
  </si>
  <si>
    <t>Pterin-4-alpha-carbinolamine dehydratase 2 (Fragment)</t>
  </si>
  <si>
    <t>Ubiquitin-conjugating enzyme E2 B (Fragment)</t>
  </si>
  <si>
    <t>Ribonucleoside-diphosphate reductase subunit M2 B (Fragment)</t>
  </si>
  <si>
    <t>Ubiquitin-conjugating enzyme E2 W (Fragment)</t>
  </si>
  <si>
    <t>BCL2/adenovirus E1B 19 kDa protein-interacting protein 3-like (Fragment)</t>
  </si>
  <si>
    <t>Thioredoxin reductase 3 (Fragment)</t>
  </si>
  <si>
    <t>Vacuolar protein sorting-associated protein 37A (Fragment)</t>
  </si>
  <si>
    <t>Focal adhesion kinase 1 (Fragment)</t>
  </si>
  <si>
    <t>Trafficking protein particle complex subunit 9 (Fragment)</t>
  </si>
  <si>
    <t>Epithelial-splicing regulatory protein 1 (Fragment)</t>
  </si>
  <si>
    <t>HLA class II histocompatibility antigen gamma chain (Fragment)</t>
  </si>
  <si>
    <t>Beta-galactosidase-1-like protein 2 (Fragment)</t>
  </si>
  <si>
    <t>RUN and FYVE domain-containing protein 2 (Fragment)</t>
  </si>
  <si>
    <t>Serine/threonine-protein phosphatase 6 regulatory subunit 3 (Fragment)</t>
  </si>
  <si>
    <t>CREB-regulated transcription coactivator 2 (Fragment)</t>
  </si>
  <si>
    <t>Serine/threonine-protein phosphatase (Fragment)</t>
  </si>
  <si>
    <t>Sjoegren syndrome/scleroderma autoantigen 1 (Fragment)</t>
  </si>
  <si>
    <t>Ribonuclease H2 subunit C (Fragment)</t>
  </si>
  <si>
    <t>E3 ubiquitin-protein ligase pellino homolog 3 (Fragment)</t>
  </si>
  <si>
    <t>Histone acetyltransferase KAT5 (Fragment)</t>
  </si>
  <si>
    <t>Sphingomyelin phosphodiesterase (Fragment)</t>
  </si>
  <si>
    <t>Cell adhesion molecule 1 (Fragment)</t>
  </si>
  <si>
    <t>1-phosphatidylinositol 4,5-bisphosphate phosphodiesterase delta-3 (Fragment)</t>
  </si>
  <si>
    <t>Oligoribonuclease, mitochondrial (Fragment)</t>
  </si>
  <si>
    <t>Low-density lipoprotein receptor-related protein 6 (Fragment)</t>
  </si>
  <si>
    <t>Methyltransferase-like protein 7A (Fragment)</t>
  </si>
  <si>
    <t>2-5-oligoadenylate synthase 1 (Fragment)</t>
  </si>
  <si>
    <t>F-box only protein 21 (Fragment)</t>
  </si>
  <si>
    <t>Neuroguidin (Fragment)</t>
  </si>
  <si>
    <t>ER membrane protein complex subunit 4</t>
  </si>
  <si>
    <t>60S ribosomal protein L28</t>
  </si>
  <si>
    <t>EP300-interacting inhibitor of differentiation 1</t>
  </si>
  <si>
    <t>Transducin-like enhancer protein 3</t>
  </si>
  <si>
    <t>POU domain, class 2, transcription factor 1</t>
  </si>
  <si>
    <t>DNA-binding protein RFX7</t>
  </si>
  <si>
    <t>GMP reductase 2</t>
  </si>
  <si>
    <t>Retinal dehydrogenase 2</t>
  </si>
  <si>
    <t>Proteasome subunit alpha type (Fragment)</t>
  </si>
  <si>
    <t>Mortality factor 4-like protein 1 (Fragment)</t>
  </si>
  <si>
    <t>Uncharacterized protein C15orf57 (Fragment)</t>
  </si>
  <si>
    <t>Pre-B-cell leukemia transcription factor 3 (Fragment)</t>
  </si>
  <si>
    <t>Ras-related protein Rab-8B (Fragment)</t>
  </si>
  <si>
    <t>Signal peptidase complex catalytic subunit SEC11A</t>
  </si>
  <si>
    <t>ER membrane protein complex subunit 9</t>
  </si>
  <si>
    <t>Uveal autoantigen with coiled-coil domains and ankyrin repeats</t>
  </si>
  <si>
    <t>Bloom syndrome protein</t>
  </si>
  <si>
    <t>Complement decay-accelerating factor (Fragment)</t>
  </si>
  <si>
    <t>Dysbindin domain-containing protein 1</t>
  </si>
  <si>
    <t>Probable ATP-dependent RNA helicase DDX17</t>
  </si>
  <si>
    <t>NEDD8 ultimate buster 1</t>
  </si>
  <si>
    <t>Golgi apparatus protein 1</t>
  </si>
  <si>
    <t>Nucleolar protein 3 (Fragment)</t>
  </si>
  <si>
    <t>COMM domain-containing protein 4 (Fragment)</t>
  </si>
  <si>
    <t>Protein spinster homolog 1</t>
  </si>
  <si>
    <t>UPF0471 protein C1orf63 (Fragment)</t>
  </si>
  <si>
    <t>Tuberin</t>
  </si>
  <si>
    <t>M-phase phosphoprotein 6</t>
  </si>
  <si>
    <t>Trafficking protein particle complex subunit 2-like protein</t>
  </si>
  <si>
    <t>Beta-hexosaminidase</t>
  </si>
  <si>
    <t>Ubiquinone biosynthesis protein COQ7 homolog</t>
  </si>
  <si>
    <t>Thymidine kinase 2, mitochondrial</t>
  </si>
  <si>
    <t>Microtubule-actin cross-linking factor 1, isoforms 1/2/3/5</t>
  </si>
  <si>
    <t>Transcription factor 4</t>
  </si>
  <si>
    <t>Battenin (Fragment)</t>
  </si>
  <si>
    <t>Fructose-bisphosphate aldolase A (Fragment)</t>
  </si>
  <si>
    <t>snRNA-activating protein complex subunit 5</t>
  </si>
  <si>
    <t>Obscurin (Fragment)</t>
  </si>
  <si>
    <t>SUMO-conjugating enzyme UBC9 (Fragment)</t>
  </si>
  <si>
    <t>Transmembrane protein 170A</t>
  </si>
  <si>
    <t>Conserved oligomeric Golgi complex subunit 8</t>
  </si>
  <si>
    <t>Kunitz-type protease inhibitor 1 (Fragment)</t>
  </si>
  <si>
    <t>Dynactin subunit 5</t>
  </si>
  <si>
    <t>Zinc finger FYVE domain-containing protein 19</t>
  </si>
  <si>
    <t>Ubiquitin domain-containing protein UBFD1</t>
  </si>
  <si>
    <t>4-aminobutyrate aminotransferase, mitochondrial</t>
  </si>
  <si>
    <t>Nuclear factor of-activated T-cells, cytoplasmic 3 (Fragment)</t>
  </si>
  <si>
    <t>Protein FAM219B (Fragment)</t>
  </si>
  <si>
    <t>Eukaryotic translation initiation factor 3 subunit C</t>
  </si>
  <si>
    <t>von Willebrand factor A domain-containing protein 9</t>
  </si>
  <si>
    <t>Ubiquitin carboxyl-terminal hydrolase CYLD</t>
  </si>
  <si>
    <t>Zinc finger protein 768</t>
  </si>
  <si>
    <t>Methionine-R-sulfoxide reductase B1</t>
  </si>
  <si>
    <t>Gamma-aminobutyric acid receptor-associated protein-like 2</t>
  </si>
  <si>
    <t>UPF0420 protein C16orf58</t>
  </si>
  <si>
    <t>Biogenesis of lysosome-related organelles complex 1 subunit 6</t>
  </si>
  <si>
    <t>Cytoplasmic tRNA 2-thiolation protein 2</t>
  </si>
  <si>
    <t>Microtubule-associated protein 1 light chain 3 beta, isoform CRA_f</t>
  </si>
  <si>
    <t>Pyruvate kinase (Fragment)</t>
  </si>
  <si>
    <t>Origin recognition complex subunit 6</t>
  </si>
  <si>
    <t>Cerebellar degeneration-related protein 2 (Fragment)</t>
  </si>
  <si>
    <t>ADP-ribosylation factor-like protein 2-binding protein</t>
  </si>
  <si>
    <t>T-cell immunomodulatory protein (Fragment)</t>
  </si>
  <si>
    <t>2-oxoglutarate and iron-dependent oxygenase domain-containing protein 1</t>
  </si>
  <si>
    <t>RNA-binding protein with serine-rich domain 1</t>
  </si>
  <si>
    <t>Lipase maturation factor 1</t>
  </si>
  <si>
    <t>GABARAP-a</t>
  </si>
  <si>
    <t>Grancalcin</t>
  </si>
  <si>
    <t>Histone deacetylase complex subunit SAP130</t>
  </si>
  <si>
    <t>Serine/threonine-protein phosphatase 6 regulatory subunit 3</t>
  </si>
  <si>
    <t>Protein-lysine methyltransferase METTL21A</t>
  </si>
  <si>
    <t>Extended synaptotagmin-2 (Fragment)</t>
  </si>
  <si>
    <t>Endoplasmic reticulum-Golgi intermediate compartment protein 3</t>
  </si>
  <si>
    <t>Transmembrane protein 41A</t>
  </si>
  <si>
    <t>Mitochondrial pyruvate carrier 1</t>
  </si>
  <si>
    <t>Putative ATP-dependent RNA helicase DHX30</t>
  </si>
  <si>
    <t>Protein-L-isoaspartate O-methyltransferase</t>
  </si>
  <si>
    <t>Tail-anchored protein insertion receptor WRB (Fragment)</t>
  </si>
  <si>
    <t>E3 ubiquitin-protein ligase RNF34</t>
  </si>
  <si>
    <t>Integrator complex subunit 9</t>
  </si>
  <si>
    <t>Tropomyosin 1 (Alpha), isoform CRA_m</t>
  </si>
  <si>
    <t>Keratinocyte-associated protein 3 (Fragment)</t>
  </si>
  <si>
    <t>Protein disulfide-isomerase</t>
  </si>
  <si>
    <t>Thioredoxin (Fragment)</t>
  </si>
  <si>
    <t>Glypican-1 (Fragment)</t>
  </si>
  <si>
    <t>Ribokinase (Fragment)</t>
  </si>
  <si>
    <t>Non-homologous end-joining factor 1 (Fragment)</t>
  </si>
  <si>
    <t>Probable ATP-dependent RNA helicase DDX11 (Fragment)</t>
  </si>
  <si>
    <t>Steroidogenic factor 1 (Fragment)</t>
  </si>
  <si>
    <t>IQ motif and SEC7 domain-containing protein 1 (Fragment)</t>
  </si>
  <si>
    <t>RAF proto-oncogene serine/threonine-protein kinase (Fragment)</t>
  </si>
  <si>
    <t>Mitotic-spindle organizing protein 2B (Fragment)</t>
  </si>
  <si>
    <t>Ral GTPase-activating protein subunit alpha-2 (Fragment)</t>
  </si>
  <si>
    <t>Solute carrier family 35 member E1 (Fragment)</t>
  </si>
  <si>
    <t>BET1 homolog (Fragment)</t>
  </si>
  <si>
    <t>Coiled-coil and C2 domain-containing protein 1B (Fragment)</t>
  </si>
  <si>
    <t>Apolipoprotein O (Fragment)</t>
  </si>
  <si>
    <t>Carboxy-terminal domain RNA polymerase II polypeptide A small phosphatase 1 (Fragment)</t>
  </si>
  <si>
    <t>Tetraspanin-15 (Fragment)</t>
  </si>
  <si>
    <t>Protein NipSnap homolog 1 (Fragment)</t>
  </si>
  <si>
    <t>60S ribosomal protein L31 (Fragment)</t>
  </si>
  <si>
    <t>Oxysterol-binding protein (Fragment)</t>
  </si>
  <si>
    <t>N-acetyl-D-glucosamine kinase (Fragment)</t>
  </si>
  <si>
    <t>Glucosamine (N-acetyl)-6-sulfatase (Sanfilippo disease IIID), isoform CRA_b</t>
  </si>
  <si>
    <t>MIT domain-containing protein 1 (Fragment)</t>
  </si>
  <si>
    <t>Autophagy-related protein 2 homolog A (Fragment)</t>
  </si>
  <si>
    <t>E3 ubiquitin-protein ligase TTC3 (Fragment)</t>
  </si>
  <si>
    <t>Suppressor of SWI4 1 homolog (Fragment)</t>
  </si>
  <si>
    <t>Protein ARV1 (Fragment)</t>
  </si>
  <si>
    <t>Serine/threonine-protein kinase 19 (Fragment)</t>
  </si>
  <si>
    <t>Integrin beta (Fragment)</t>
  </si>
  <si>
    <t>Protein kinase C-binding protein 1 (Fragment)</t>
  </si>
  <si>
    <t>NEDD4 family-interacting protein 2 (Fragment)</t>
  </si>
  <si>
    <t>Isoamyl acetate-hydrolyzing esterase 1 homolog (Fragment)</t>
  </si>
  <si>
    <t>Putative glycerol kinase 5 (Fragment)</t>
  </si>
  <si>
    <t>Poly [ADP-ribose] polymerase 14 (Fragment)</t>
  </si>
  <si>
    <t>Neutrophil gelatinase-associated lipocalin</t>
  </si>
  <si>
    <t>Trinucleotide repeat-containing gene 18 protein</t>
  </si>
  <si>
    <t>Calcium uptake protein 1, mitochondrial</t>
  </si>
  <si>
    <t>Solute carrier family 25 member 52</t>
  </si>
  <si>
    <t>Serine/threonine-protein kinase SMG1</t>
  </si>
  <si>
    <t>Golgi SNAP receptor complex member 2 (Fragment)</t>
  </si>
  <si>
    <t>Vesicle-fusing ATPase</t>
  </si>
  <si>
    <t>Diacylglycerol kinase epsilon (Fragment)</t>
  </si>
  <si>
    <t>Diphthamide biosynthesis protein 1 (Fragment)</t>
  </si>
  <si>
    <t>Mitochondrial 2-oxoglutarate/malate carrier protein (Fragment)</t>
  </si>
  <si>
    <t>Elongator complex protein 5 (Fragment)</t>
  </si>
  <si>
    <t>Gem-associated protein 4</t>
  </si>
  <si>
    <t>Zinc finger protein 174</t>
  </si>
  <si>
    <t>Protein capicua homolog</t>
  </si>
  <si>
    <t>5-azacytidine-induced protein 1</t>
  </si>
  <si>
    <t>Protein FAM195B</t>
  </si>
  <si>
    <t>Solute carrier family 2 (Facilitated glucose transporter), member 4, isoform CRA_b</t>
  </si>
  <si>
    <t>Eukaryotic translation initiation factor 5A-1 (Fragment)</t>
  </si>
  <si>
    <t>Proline-, glutamic acid- and leucine-rich protein 1</t>
  </si>
  <si>
    <t>40S ribosomal protein S15a</t>
  </si>
  <si>
    <t>ATP synthase mitochondrial F1 complex assembly factor 1</t>
  </si>
  <si>
    <t>Myosin light chain 4 (Fragment)</t>
  </si>
  <si>
    <t>Multidrug resistance-associated protein 1 (Fragment)</t>
  </si>
  <si>
    <t>NF-kappa-B inhibitor beta (Fragment)</t>
  </si>
  <si>
    <t>Acyl carrier protein (Fragment)</t>
  </si>
  <si>
    <t>Protein disulfide-isomerase (Fragment)</t>
  </si>
  <si>
    <t>Fatty acid-binding protein, epidermal</t>
  </si>
  <si>
    <t>Cactin</t>
  </si>
  <si>
    <t>SWI/SNF-related matrix-associated actin-dependent regulator of chromatin subfamily D member 2</t>
  </si>
  <si>
    <t>Epididymal secretory protein E1</t>
  </si>
  <si>
    <t>Zinc finger protein ubi-d4</t>
  </si>
  <si>
    <t>Low-density lipoprotein receptor (Fragment)</t>
  </si>
  <si>
    <t>NADH dehydrogenase (Ubiquinone) 1 alpha subcomplex, 13</t>
  </si>
  <si>
    <t>Proteasome-associated protein ECM29 homolog</t>
  </si>
  <si>
    <t>Fibrosin-1-like protein</t>
  </si>
  <si>
    <t>26S proteasome non-ATPase regulatory subunit 9</t>
  </si>
  <si>
    <t>REST corepressor 1</t>
  </si>
  <si>
    <t>NACHT, LRR and PYD domains-containing protein 2</t>
  </si>
  <si>
    <t>BCL2/adenovirus E1B 19 kDa protein-interacting protein 2</t>
  </si>
  <si>
    <t>Torsin-1A-interacting protein 1</t>
  </si>
  <si>
    <t>Tropomyosin alpha-3 chain</t>
  </si>
  <si>
    <t>Arylacetamide deacetylase-like 1</t>
  </si>
  <si>
    <t>TBC1 domain family member 8B</t>
  </si>
  <si>
    <t>Methylthioribulose-1-phosphate dehydratase</t>
  </si>
  <si>
    <t>Mitochondrial inner membrane protein OXA1L</t>
  </si>
  <si>
    <t>Mitogen-activated protein kinase kinase kinase 4</t>
  </si>
  <si>
    <t>Protein SAAL1</t>
  </si>
  <si>
    <t>Myosin light polypeptide 6</t>
  </si>
  <si>
    <t>Phenylalanine-4-hydroxylase</t>
  </si>
  <si>
    <t>Copper chaperone for superoxide dismutase</t>
  </si>
  <si>
    <t>Cytochrome b5 type B</t>
  </si>
  <si>
    <t>Conserved oligomeric Golgi complex subunit 4</t>
  </si>
  <si>
    <t>Chitinase domain-containing protein 1</t>
  </si>
  <si>
    <t>Protein transport protein Sec16A</t>
  </si>
  <si>
    <t>YY1-associated factor 2</t>
  </si>
  <si>
    <t>Probable ATP-dependent RNA helicase DDX41 (Fragment)</t>
  </si>
  <si>
    <t>Semaphorin-4B</t>
  </si>
  <si>
    <t>MAP/microtubule affinity-regulating kinase 3</t>
  </si>
  <si>
    <t>Fibroblast growth factor receptor</t>
  </si>
  <si>
    <t>Zinc finger protein 292</t>
  </si>
  <si>
    <t>Coiled-coil domain-containing protein 41</t>
  </si>
  <si>
    <t>Unconventional myosin-XVIIIa</t>
  </si>
  <si>
    <t>Signal-induced proliferation-associated 1-like protein 1</t>
  </si>
  <si>
    <t>Receptor-type tyrosine-protein phosphatase alpha</t>
  </si>
  <si>
    <t>Phosphatase and actin regulator 2</t>
  </si>
  <si>
    <t>RNA binding motif protein 7, isoform CRA_c</t>
  </si>
  <si>
    <t>Kinesin-like protein KIF3A</t>
  </si>
  <si>
    <t>Histone deacetylase 9</t>
  </si>
  <si>
    <t>Calcium/calmodulin-dependent protein kinase kinase 1</t>
  </si>
  <si>
    <t>Lysine-specific histone demethylase 1B</t>
  </si>
  <si>
    <t>DnaJ (Hsp40) homolog, subfamily B, member 12, isoform CRA_c</t>
  </si>
  <si>
    <t>Dipeptidyl peptidase 8</t>
  </si>
  <si>
    <t>TraB domain-containing protein</t>
  </si>
  <si>
    <t>Coiled-coil-helix-coiled-coil-helix domain-containing protein 7</t>
  </si>
  <si>
    <t>Sulfurtransferase</t>
  </si>
  <si>
    <t>Histone deacetylase 2</t>
  </si>
  <si>
    <t>Anthrax toxin receptor 2</t>
  </si>
  <si>
    <t>Nuclear nucleic acid-binding protein C1D</t>
  </si>
  <si>
    <t>DNA-binding protein RFXANK</t>
  </si>
  <si>
    <t>Obg-like ATPase 1</t>
  </si>
  <si>
    <t>COP9 signalosome complex subunit 7b</t>
  </si>
  <si>
    <t>TBC1 domain family member 8</t>
  </si>
  <si>
    <t>Peptidyl-tRNA hydrolase 2, mitochondrial</t>
  </si>
  <si>
    <t>Uncharacterized protein C6orf203</t>
  </si>
  <si>
    <t>Protein phosphatase 1 regulatory subunit 37</t>
  </si>
  <si>
    <t>Synaptotagmin I, isoform CRA_b</t>
  </si>
  <si>
    <t>Cytohesin-2</t>
  </si>
  <si>
    <t>THUMP domain-containing protein 1</t>
  </si>
  <si>
    <t>SUN domain-containing protein 2</t>
  </si>
  <si>
    <t>GTP-binding nuclear protein Ran (Fragment)</t>
  </si>
  <si>
    <t>Glucosylceramidase</t>
  </si>
  <si>
    <t>Sulfatase-modifying factor 2</t>
  </si>
  <si>
    <t>Apolipoprotein L2</t>
  </si>
  <si>
    <t>BRISC and BRCA1-A complex member 1</t>
  </si>
  <si>
    <t>Cyclin-dependent kinase inhibitor 1</t>
  </si>
  <si>
    <t>Mediator of RNA polymerase II transcription subunit 19</t>
  </si>
  <si>
    <t>Coiled-coil domain containing 12, isoform CRA_a</t>
  </si>
  <si>
    <t>GRAM domain-containing protein 1A</t>
  </si>
  <si>
    <t>Tubulin-specific chaperone D</t>
  </si>
  <si>
    <t>Uncharacterized protein C16orf55 (Fragment)</t>
  </si>
  <si>
    <t>Gasdermin-A (Fragment)</t>
  </si>
  <si>
    <t>Protein SSXT</t>
  </si>
  <si>
    <t>Chromobox protein homolog 1 (Fragment)</t>
  </si>
  <si>
    <t>Peptidyl-tRNA hydrolase ICT1, mitochondrial (Fragment)</t>
  </si>
  <si>
    <t>Myelin basic protein (Fragment)</t>
  </si>
  <si>
    <t>Chromosome transmission fidelity protein 8 homolog (Fragment)</t>
  </si>
  <si>
    <t>ADP-ribosylation factor-binding protein GGA3</t>
  </si>
  <si>
    <t>F-box and leucine-rich repeat protein 20, isoform CRA_a</t>
  </si>
  <si>
    <t>Probable ATP-dependent RNA helicase DDX5</t>
  </si>
  <si>
    <t>Rotatin</t>
  </si>
  <si>
    <t>Cadherin-3</t>
  </si>
  <si>
    <t>Serine/arginine-rich-splicing factor 1</t>
  </si>
  <si>
    <t>Calcium homeostasis endoplasmic reticulum protein</t>
  </si>
  <si>
    <t>NSFL1 cofactor p47</t>
  </si>
  <si>
    <t>SWI/SNF-related matrix-associated actin-dependent regulator of chromatin subfamily E member 1 (Fragment)</t>
  </si>
  <si>
    <t>Protein SCO1 homolog, mitochondrial</t>
  </si>
  <si>
    <t>Secernin-2</t>
  </si>
  <si>
    <t>Zinc transporter ZIP11 (Fragment)</t>
  </si>
  <si>
    <t>T-cell antigen CD7</t>
  </si>
  <si>
    <t>28S ribosomal protein S7, mitochondrial</t>
  </si>
  <si>
    <t>Sorting nexin-11 (Fragment)</t>
  </si>
  <si>
    <t>SAP30-binding protein (Fragment)</t>
  </si>
  <si>
    <t>Trafficking protein particle complex subunit 8</t>
  </si>
  <si>
    <t>60S ribosomal protein L17 (Fragment)</t>
  </si>
  <si>
    <t>Polycomb protein SUZ12</t>
  </si>
  <si>
    <t>YTH domain-containing protein 1</t>
  </si>
  <si>
    <t>Ribosomal protein L19</t>
  </si>
  <si>
    <t>ORM1-like protein 3 (Fragment)</t>
  </si>
  <si>
    <t>Myosin regulatory light chain 12A</t>
  </si>
  <si>
    <t>Zinc finger protein 207</t>
  </si>
  <si>
    <t>Tyrosine-protein kinase Yes</t>
  </si>
  <si>
    <t>Vesicle-associated membrane protein 2</t>
  </si>
  <si>
    <t>Lethal(2) giant larvae protein homolog 2</t>
  </si>
  <si>
    <t>Coordinator of PRMT5 and differentiation stimulator (Fragment)</t>
  </si>
  <si>
    <t>Probable helicase with zinc finger domain</t>
  </si>
  <si>
    <t>Cytochrome b561</t>
  </si>
  <si>
    <t>39S ribosomal protein L36, mitochondrial</t>
  </si>
  <si>
    <t>Vascular endothelial zinc finger 1</t>
  </si>
  <si>
    <t>ATP-binding cassette sub-family A member 2</t>
  </si>
  <si>
    <t>Ribosomal L1 domain-containing protein 1 (Fragment)</t>
  </si>
  <si>
    <t>Zinc finger protein 62 homolog</t>
  </si>
  <si>
    <t>Protein cereblon (Fragment)</t>
  </si>
  <si>
    <t>BAG family molecular chaperone regulator 1</t>
  </si>
  <si>
    <t>Coiled-coil-helix-coiled-coil-helix domain-containing protein 6, mitochondrial</t>
  </si>
  <si>
    <t>Protein Njmu-R1</t>
  </si>
  <si>
    <t>Lamin B2, isoform CRA_a</t>
  </si>
  <si>
    <t>Cytoplasmic phosphatidylinositol transfer protein 1</t>
  </si>
  <si>
    <t>Transmembrane and coiled-coil domain-containing protein 1</t>
  </si>
  <si>
    <t>RWD domain containing 4A</t>
  </si>
  <si>
    <t>Cullin 4B, isoform CRA_e</t>
  </si>
  <si>
    <t>Max-like protein X (Fragment)</t>
  </si>
  <si>
    <t>Clustered mitochondria protein homolog</t>
  </si>
  <si>
    <t>Protein LOC440335</t>
  </si>
  <si>
    <t>WW domain-binding protein 2 (Fragment)</t>
  </si>
  <si>
    <t>Protein syndesmos (Fragment)</t>
  </si>
  <si>
    <t>Protein YIPF2 (Fragment)</t>
  </si>
  <si>
    <t>Mothers against decapentaplegic homolog 4</t>
  </si>
  <si>
    <t>Syntaxin-10 (Fragment)</t>
  </si>
  <si>
    <t>SEC14-like protein 1 (Fragment)</t>
  </si>
  <si>
    <t>40S ribosomal protein S15 (Fragment)</t>
  </si>
  <si>
    <t>Calreticulin (Fragment)</t>
  </si>
  <si>
    <t>AP-1 complex subunit mu-1</t>
  </si>
  <si>
    <t>Signal peptidase complex catalytic subunit SEC11C</t>
  </si>
  <si>
    <t>Protein FAM210A (Fragment)</t>
  </si>
  <si>
    <t>Histone H3 (Fragment)</t>
  </si>
  <si>
    <t>Protein fosB (Fragment)</t>
  </si>
  <si>
    <t>Lon protease homolog, mitochondrial</t>
  </si>
  <si>
    <t>Envoplakin</t>
  </si>
  <si>
    <t>39S ribosomal protein L4, mitochondrial</t>
  </si>
  <si>
    <t>Periplakin</t>
  </si>
  <si>
    <t>Transmembrane and ubiquitin-like domain-containing protein 2 (Fragment)</t>
  </si>
  <si>
    <t>Calcium-dependent secretion activator 1</t>
  </si>
  <si>
    <t>Hsp90 co-chaperone Cdc37 (Fragment)</t>
  </si>
  <si>
    <t>Glucosidase 2 subunit beta</t>
  </si>
  <si>
    <t>Katanin p60 ATPase-containing subunit A-like 2 (Fragment)</t>
  </si>
  <si>
    <t>Transmembrane protein 205 (Fragment)</t>
  </si>
  <si>
    <t>UBA-like domain-containing protein 1</t>
  </si>
  <si>
    <t>Putative oxidoreductase GLYR1 (Fragment)</t>
  </si>
  <si>
    <t>Reticulon 2, isoform CRA_b</t>
  </si>
  <si>
    <t>Zinc finger protein 444 (Fragment)</t>
  </si>
  <si>
    <t>Transcription elongation factor 1 homolog</t>
  </si>
  <si>
    <t>HCG2039718, isoform CRA_g</t>
  </si>
  <si>
    <t>Alpha-(1,3)-fucosyltransferase</t>
  </si>
  <si>
    <t>Asparagine--tRNA ligase, cytoplasmic</t>
  </si>
  <si>
    <t>Uncharacterized protein C18orf8</t>
  </si>
  <si>
    <t>Proteasome assembly chaperone 2</t>
  </si>
  <si>
    <t>Zinc finger protein 286A (Fragment)</t>
  </si>
  <si>
    <t>ATP synthase subunit s-like protein</t>
  </si>
  <si>
    <t>UBX domain-containing protein 6 (Fragment)</t>
  </si>
  <si>
    <t>RNA-binding protein 42</t>
  </si>
  <si>
    <t>E3 ubiquitin-protein ligase MGRN1 (Fragment)</t>
  </si>
  <si>
    <t>Choline transporter-like protein 2 (Fragment)</t>
  </si>
  <si>
    <t>MOB kinase activator 3A (Fragment)</t>
  </si>
  <si>
    <t>Transmembrane protein 161A (Fragment)</t>
  </si>
  <si>
    <t>Amino-terminal enhancer of split</t>
  </si>
  <si>
    <t>Tropomyosin alpha-4 chain (Fragment)</t>
  </si>
  <si>
    <t>Phenylalanine--tRNA ligase alpha subunit</t>
  </si>
  <si>
    <t>Apolipoprotein C-II</t>
  </si>
  <si>
    <t>Eukaryotic translation initiation factor 3 subunit K</t>
  </si>
  <si>
    <t>Ubiquitin-conjugating enzyme E2 O (Fragment)</t>
  </si>
  <si>
    <t>UV excision repair protein RAD23 homolog A</t>
  </si>
  <si>
    <t>Glucose-6-phosphatase 3 (Fragment)</t>
  </si>
  <si>
    <t>Dynamin-2</t>
  </si>
  <si>
    <t>Serine--tRNA ligase, mitochondrial</t>
  </si>
  <si>
    <t>Paf1, RNA polymerase II associated factor, homolog (S. cerevisiae), isoform CRA_c</t>
  </si>
  <si>
    <t>Protein Wiz</t>
  </si>
  <si>
    <t>Upstream stimulatory factor 2</t>
  </si>
  <si>
    <t>Zinc finger protein 428 (Fragment)</t>
  </si>
  <si>
    <t>Epidermal growth factor receptor substrate 15-like 1 (Fragment)</t>
  </si>
  <si>
    <t>Hormone-sensitive lipase (Fragment)</t>
  </si>
  <si>
    <t>Zinc finger protein 36, C3H type, homolog (Mouse), isoform CRA_a</t>
  </si>
  <si>
    <t>Mpv17-like protein 2</t>
  </si>
  <si>
    <t>Glia maturation factor gamma</t>
  </si>
  <si>
    <t>Tubulin beta-4A chain (Fragment)</t>
  </si>
  <si>
    <t>60S ribosomal protein L13a (Fragment)</t>
  </si>
  <si>
    <t>Protein Smaug homolog 2</t>
  </si>
  <si>
    <t>Josephin-2 (Fragment)</t>
  </si>
  <si>
    <t>Heterogeneous nuclear ribonucleoprotein M (Fragment)</t>
  </si>
  <si>
    <t>Rho guanine nucleotide exchange factor 1</t>
  </si>
  <si>
    <t>Serine/threonine-protein kinase D</t>
  </si>
  <si>
    <t>KxDL motif-containing protein 1 (Fragment)</t>
  </si>
  <si>
    <t>Sphingosine kinase 2</t>
  </si>
  <si>
    <t>40S ribosomal protein S5 (Fragment)</t>
  </si>
  <si>
    <t>AP-2 complex subunit sigma</t>
  </si>
  <si>
    <t>Ribosomal protein L34</t>
  </si>
  <si>
    <t>ER membrane protein complex subunit 10</t>
  </si>
  <si>
    <t>Lipolysis-stimulated lipoprotein receptor (Fragment)</t>
  </si>
  <si>
    <t>Choriogonadotropin subunit beta variant 1 (Fragment)</t>
  </si>
  <si>
    <t>SURP and G-patch domain-containing protein 2</t>
  </si>
  <si>
    <t>Peroxisomal membrane protein 11C (Fragment)</t>
  </si>
  <si>
    <t>Fibronectin type III and SPRY domain-containing protein 1</t>
  </si>
  <si>
    <t>Prenylated Rab acceptor protein 1</t>
  </si>
  <si>
    <t>Alkyldihydroxyacetonephosphate synthase, peroxisomal</t>
  </si>
  <si>
    <t>Isoform 2 of Kinesin-like protein KIF2A</t>
  </si>
  <si>
    <t>ATP-dependent RNA helicase DDX39A</t>
  </si>
  <si>
    <t>PDZ and LIM domain protein 1</t>
  </si>
  <si>
    <t>Cytosolic acyl coenzyme A thioester hydrolase</t>
  </si>
  <si>
    <t>Unconventional myosin-Ic</t>
  </si>
  <si>
    <t>Synaptosomal-associated protein 23</t>
  </si>
  <si>
    <t>Isoform 5 of HCLS1-associated protein X-1</t>
  </si>
  <si>
    <t>AH receptor-interacting protein</t>
  </si>
  <si>
    <t>GTP-binding protein 1</t>
  </si>
  <si>
    <t>Syntaxin-binding protein 3</t>
  </si>
  <si>
    <t>AP-3 complex subunit beta-1</t>
  </si>
  <si>
    <t>NADH dehydrogenase [ubiquinone] iron-sulfur protein 8, mitochondrial</t>
  </si>
  <si>
    <t>Tumor necrosis factor receptor superfamily member 10A</t>
  </si>
  <si>
    <t>NF-kappa-B inhibitor epsilon</t>
  </si>
  <si>
    <t>26S proteasome non-ATPase regulatory subunit 11</t>
  </si>
  <si>
    <t>26S proteasome non-ATPase regulatory subunit 12</t>
  </si>
  <si>
    <t>Copper transport protein ATOX1</t>
  </si>
  <si>
    <t>E3 SUMO-protein ligase CBX4</t>
  </si>
  <si>
    <t>Membrane-associated progesterone receptor component 1</t>
  </si>
  <si>
    <t>Isoform 2 of Transcription elongation factor SPT5</t>
  </si>
  <si>
    <t>DNA fragmentation factor subunit alpha</t>
  </si>
  <si>
    <t>Isoform DFF35 of DNA fragmentation factor subunit alpha</t>
  </si>
  <si>
    <t>Regulatory factor X-associated protein</t>
  </si>
  <si>
    <t>Huntingtin-interacting protein 1</t>
  </si>
  <si>
    <t>Chloride intracellular channel protein 1</t>
  </si>
  <si>
    <t>Tumor necrosis factor receptor superfamily member 11B</t>
  </si>
  <si>
    <t>NEDD4-like E3 ubiquitin-protein ligase WWP2</t>
  </si>
  <si>
    <t>Pyruvate dehydrogenase protein X component, mitochondrial</t>
  </si>
  <si>
    <t>Sulfhydryl oxidase 1</t>
  </si>
  <si>
    <t>Dynactin subunit 6</t>
  </si>
  <si>
    <t>Acetyl-coenzyme A transporter 1</t>
  </si>
  <si>
    <t>Neural Wiskott-Aldrich syndrome protein</t>
  </si>
  <si>
    <t>Importin-5</t>
  </si>
  <si>
    <t>Histone deacetylase complex subunit SAP18</t>
  </si>
  <si>
    <t>Isoform 2 of Dynamin-1-like protein</t>
  </si>
  <si>
    <t>Isoform 3 of Dynamin-1-like protein</t>
  </si>
  <si>
    <t>RNA 3-terminal phosphate cyclase</t>
  </si>
  <si>
    <t>Phosphatidylinositol 4-phosphate 3-kinase C2 domain-containing subunit alpha</t>
  </si>
  <si>
    <t>Phosphatidylinositol 3-kinase regulatory subunit beta</t>
  </si>
  <si>
    <t>Beta-mannosidase</t>
  </si>
  <si>
    <t>TNF receptor-associated factor 5</t>
  </si>
  <si>
    <t>Isoform 6 of Agrin</t>
  </si>
  <si>
    <t>Procollagen-lysine,2-oxoglutarate 5-dioxygenase 2</t>
  </si>
  <si>
    <t>Isoform 2 of Procollagen-lysine,2-oxoglutarate 5-dioxygenase 2</t>
  </si>
  <si>
    <t>Exocyst complex component 5</t>
  </si>
  <si>
    <t>High mobility group nucleosome-binding domain-containing protein 4</t>
  </si>
  <si>
    <t>NADH dehydrogenase [ubiquinone] 1 alpha subcomplex subunit 4</t>
  </si>
  <si>
    <t>26S proteasome non-ATPase regulatory subunit 14</t>
  </si>
  <si>
    <t>Zinc finger protein 593</t>
  </si>
  <si>
    <t>Importin subunit alpha-3</t>
  </si>
  <si>
    <t>Serine/threonine-protein kinase 25</t>
  </si>
  <si>
    <t>B-cell CLL/lymphoma 9 protein</t>
  </si>
  <si>
    <t>Ladinin-1</t>
  </si>
  <si>
    <t>Isoform 2 of Neural cell adhesion molecule L1-like protein</t>
  </si>
  <si>
    <t>von Willebrand factor A domain-containing protein 5A</t>
  </si>
  <si>
    <t>Syntenin-1</t>
  </si>
  <si>
    <t>Isoform 2 of Membrane-associated phosphatidylinositol transfer protein 1</t>
  </si>
  <si>
    <t>U3 small nucleolar ribonucleoprotein protein MPP10</t>
  </si>
  <si>
    <t>Nucleolar protein 56</t>
  </si>
  <si>
    <t>ATP-dependent RNA helicase DDX3X</t>
  </si>
  <si>
    <t>Pirin</t>
  </si>
  <si>
    <t>Importin subunit alpha-4</t>
  </si>
  <si>
    <t>Serine/threonine-protein phosphatase 6 catalytic subunit</t>
  </si>
  <si>
    <t>Cocaine esterase</t>
  </si>
  <si>
    <t>Isoform 2 of Lysosomal alpha-mannosidase</t>
  </si>
  <si>
    <t>Fructose-1,6-bisphosphatase isozyme 2</t>
  </si>
  <si>
    <t>Isoform 2 of Ubiquitin-conjugating enzyme E2 C</t>
  </si>
  <si>
    <t>Pyridoxal kinase</t>
  </si>
  <si>
    <t>Acyl-CoA desaturase</t>
  </si>
  <si>
    <t>AT-rich interactive domain-containing protein 1A</t>
  </si>
  <si>
    <t>Class E basic helix-loop-helix protein 40</t>
  </si>
  <si>
    <t>Isoform 2 of Cyclin-dependent kinase 2-associated protein 1</t>
  </si>
  <si>
    <t>C2 domain-containing protein 2-like</t>
  </si>
  <si>
    <t>Isoform 2 of Transmembrane protein 194A</t>
  </si>
  <si>
    <t>TRAF-type zinc finger domain-containing protein 1</t>
  </si>
  <si>
    <t>Cytochrome c oxidase subunit 7A-related protein, mitochondrial</t>
  </si>
  <si>
    <t>Glyceraldehyde-3-phosphate dehydrogenase, testis-specific</t>
  </si>
  <si>
    <t>Acyl carrier protein, mitochondrial</t>
  </si>
  <si>
    <t>Isoform 4 of Citron Rho-interacting kinase</t>
  </si>
  <si>
    <t>Coatomer subunit epsilon</t>
  </si>
  <si>
    <t>AP-3 complex subunit delta-1</t>
  </si>
  <si>
    <t>Torsin-1A</t>
  </si>
  <si>
    <t>Torsin-1B</t>
  </si>
  <si>
    <t>Isoform A of Syntaxin-16</t>
  </si>
  <si>
    <t>Disintegrin and metalloproteinase domain-containing protein 10</t>
  </si>
  <si>
    <t>Histone-lysine N-methyltransferase MLL2</t>
  </si>
  <si>
    <t>Inositol monophosphatase 2</t>
  </si>
  <si>
    <t>Dual specificity mitogen-activated protein kinase kinase 7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</si>
  <si>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</si>
  <si>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</si>
  <si>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</si>
  <si>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</si>
  <si>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Serine/threonine-protein kinase Chk1</t>
  </si>
  <si>
    <t>Isoform Short of Tumor necrosis factor receptor superfamily member 10B</t>
  </si>
  <si>
    <t>Fucose-1-phosphate guanylyltransferase</t>
  </si>
  <si>
    <t>Tripeptidyl-peptidase 1</t>
  </si>
  <si>
    <t>Isoform 2 of Transcription elongation regulator 1</t>
  </si>
  <si>
    <t>Kinetochore protein NDC80 homolog</t>
  </si>
  <si>
    <t>Isoform 2 of Transportin-2</t>
  </si>
  <si>
    <t>DNA-directed RNA polymerase III subunit RPC1</t>
  </si>
  <si>
    <t>Proteasome subunit alpha type-7</t>
  </si>
  <si>
    <t>Secretory carrier-associated membrane protein 3</t>
  </si>
  <si>
    <t>5-oxoprolinase</t>
  </si>
  <si>
    <t>Transcription regulator protein BACH1</t>
  </si>
  <si>
    <t>[3-methyl-2-oxobutanoate dehydrogenase [lipoamide]] kinase, mitochondrial</t>
  </si>
  <si>
    <t>Interferon regulatory factor 6</t>
  </si>
  <si>
    <t>Tax1-binding protein 3</t>
  </si>
  <si>
    <t>PDZ domain-containing protein GIPC1</t>
  </si>
  <si>
    <t>Inhibitor of nuclear factor kappa-B kinase subunit beta</t>
  </si>
  <si>
    <t>Mitochondrial import inner membrane translocase subunit Tim23</t>
  </si>
  <si>
    <t>Histone acetyltransferase type B catalytic subunit</t>
  </si>
  <si>
    <t>Ubiquitin/ISG15-conjugating enzyme E2 L6</t>
  </si>
  <si>
    <t>Cytochrome b-c1 complex subunit 8</t>
  </si>
  <si>
    <t>Hepatocyte growth factor-regulated tyrosine kinase substrate</t>
  </si>
  <si>
    <t>Aurora kinase A</t>
  </si>
  <si>
    <t>Protein phosphatase 1 regulatory subunit 12A</t>
  </si>
  <si>
    <t>Isoform 2 of Very long-chain acyl-CoA synthetase</t>
  </si>
  <si>
    <t>Cyclin-G-associated kinase</t>
  </si>
  <si>
    <t>Isoform 3 of Heterogeneous nuclear ribonucleoprotein D-like</t>
  </si>
  <si>
    <t>Exportin-1</t>
  </si>
  <si>
    <t>TATA-binding protein-associated factor 172</t>
  </si>
  <si>
    <t>Zinc finger protein 609</t>
  </si>
  <si>
    <t>Zinc finger protein 646</t>
  </si>
  <si>
    <t>Spectrin beta chain, non-erythrocytic 2</t>
  </si>
  <si>
    <t>Plexin-B2</t>
  </si>
  <si>
    <t>RIMS-binding protein 2</t>
  </si>
  <si>
    <t>Tectonin beta-propeller repeat-containing protein 2</t>
  </si>
  <si>
    <t>Kinesin-like protein KIF3B</t>
  </si>
  <si>
    <t>Phosphoribosylformylglycinamidine synthase</t>
  </si>
  <si>
    <t>Isoform 4 of Serine/threonine-protein kinase DCLK1</t>
  </si>
  <si>
    <t>Serine/threonine-protein phosphatase 6 regulatory ankyrin repeat subunit A</t>
  </si>
  <si>
    <t>Isoform 2 of Mitochondrial ribonuclease P protein 3</t>
  </si>
  <si>
    <t>U6 snRNA-associated Sm-like protein LSm1</t>
  </si>
  <si>
    <t>Niemann-Pick C1 protein</t>
  </si>
  <si>
    <t>Sphingolipid delta(4)-desaturase DES1</t>
  </si>
  <si>
    <t>Secretory carrier-associated membrane protein 1</t>
  </si>
  <si>
    <t>Secretory carrier-associated membrane protein 2</t>
  </si>
  <si>
    <t>Actin-related protein 2/3 complex subunit 1B</t>
  </si>
  <si>
    <t>Actin-related protein 2/3 complex subunit 2</t>
  </si>
  <si>
    <t>Actin-related protein 2/3 complex subunit 3</t>
  </si>
  <si>
    <t>Zinc finger and BTB domain-containing protein 7B</t>
  </si>
  <si>
    <t>DNA-directed RNA polymerases I and III subunit RPAC1</t>
  </si>
  <si>
    <t>Isoform 2 of Axin-1</t>
  </si>
  <si>
    <t>Membrane-associated progesterone receptor component 2</t>
  </si>
  <si>
    <t>Ral guanine nucleotide dissociation stimulator-like 2</t>
  </si>
  <si>
    <t>Prefoldin subunit 6</t>
  </si>
  <si>
    <t>WD repeat-containing protein 46</t>
  </si>
  <si>
    <t>Dihydroxyacetone phosphate acyltransferase</t>
  </si>
  <si>
    <t>Laminin subunit alpha-5</t>
  </si>
  <si>
    <t>Protein CASC3</t>
  </si>
  <si>
    <t>28S ribosomal protein S12, mitochondrial</t>
  </si>
  <si>
    <t>NADH dehydrogenase [ubiquinone] 1 alpha subcomplex subunit 1</t>
  </si>
  <si>
    <t>Neurosecretory protein VGF</t>
  </si>
  <si>
    <t>Protein RER1</t>
  </si>
  <si>
    <t>Mitogen-activated protein kinase 13</t>
  </si>
  <si>
    <t>Serine palmitoyltransferase 1</t>
  </si>
  <si>
    <t>Serine palmitoyltransferase 2</t>
  </si>
  <si>
    <t>UDP-N-acetylglucosamine--peptide N-acetylglucosaminyltransferase 110 kDa subunit</t>
  </si>
  <si>
    <t>Phosphomannomutase 2</t>
  </si>
  <si>
    <t>Type II inositol 3,4-bisphosphate 4-phosphatase</t>
  </si>
  <si>
    <t>Midline-1</t>
  </si>
  <si>
    <t>Protein phosphatase 1G</t>
  </si>
  <si>
    <t>Phosphatidylinositol 3,4,5-trisphosphate 5-phosphatase 2</t>
  </si>
  <si>
    <t>Histone deacetylase 3</t>
  </si>
  <si>
    <t>Branched-chain-amino-acid aminotransferase, mitochondrial</t>
  </si>
  <si>
    <t>Importin-8</t>
  </si>
  <si>
    <t>Isoform 2 of Syntaxin-7</t>
  </si>
  <si>
    <t>Monocarboxylate transporter 4</t>
  </si>
  <si>
    <t>High affinity copper uptake protein 1</t>
  </si>
  <si>
    <t>Isoform 2 of Multidrug resistance-associated protein 4</t>
  </si>
  <si>
    <t>DNA-directed RNA polymerase I subunit RPA34</t>
  </si>
  <si>
    <t>Isoform IIa of Prolyl 4-hydroxylase subunit alpha-2</t>
  </si>
  <si>
    <t>Synaptobrevin homolog YKT6</t>
  </si>
  <si>
    <t>Actin-related protein 2/3 complex subunit 5</t>
  </si>
  <si>
    <t>DNA-directed RNA polymerase II subunit RPB4</t>
  </si>
  <si>
    <t>RING finger protein 113A</t>
  </si>
  <si>
    <t>Claudin-3</t>
  </si>
  <si>
    <t>Putative pre-mRNA-splicing factor ATP-dependent RNA helicase DHX15</t>
  </si>
  <si>
    <t>mRNA cap guanine-N7 methyltransferase</t>
  </si>
  <si>
    <t>Zinc finger ZZ-type and EF-hand domain-containing protein 1</t>
  </si>
  <si>
    <t>Isoform 2 of Arf-GAP with SH3 domain, ANK repeat and PH domain-containing protein 2</t>
  </si>
  <si>
    <t>TELO2-interacting protein 1 homolog</t>
  </si>
  <si>
    <t>Isoform 2 of Plexin-B1</t>
  </si>
  <si>
    <t>Isoform 2 of E3 ubiquitin-protein ligase Praja-2</t>
  </si>
  <si>
    <t>Isoform 2 of U4/U6 small nuclear ribonucleoprotein Prp4</t>
  </si>
  <si>
    <t>D-3-phosphoglycerate dehydrogenase</t>
  </si>
  <si>
    <t>NADH dehydrogenase [ubiquinone] iron-sulfur protein 4, mitochondrial</t>
  </si>
  <si>
    <t>Cytoplasmic dynein 1 light intermediate chain 2</t>
  </si>
  <si>
    <t>26S proteasome non-ATPase regulatory subunit 3</t>
  </si>
  <si>
    <t>Isoform 6 of RNA binding protein fox-1 homolog 2</t>
  </si>
  <si>
    <t>Bifunctional 3-phosphoadenosine 5-phosphosulfate synthase 1</t>
  </si>
  <si>
    <t>Centromere/kinetochore protein zw10 homolog</t>
  </si>
  <si>
    <t>Isoform 2 of Kunitz-type protease inhibitor 1</t>
  </si>
  <si>
    <t>Beta-1,4-galactosyltransferase 5</t>
  </si>
  <si>
    <t>U4/U6.U5 tri-snRNP-associated protein 1</t>
  </si>
  <si>
    <t>Kunitz-type protease inhibitor 2</t>
  </si>
  <si>
    <t>Glycosylphosphatidylinositol anchor attachment 1 protein</t>
  </si>
  <si>
    <t>Death-associated protein kinase 3</t>
  </si>
  <si>
    <t>Zinc finger and BTB domain-containing protein 43</t>
  </si>
  <si>
    <t>AP-5 complex subunit zeta-1</t>
  </si>
  <si>
    <t>CBP80/20-dependent translation initiation factor</t>
  </si>
  <si>
    <t>Isoform 2 of Inositol hexakisphosphate and diphosphoinositol-pentakisphosphate kinase 2</t>
  </si>
  <si>
    <t>Isoform 1A of Mitogen-activated protein kinase kinase kinase 7</t>
  </si>
  <si>
    <t>LYR motif-containing protein 1</t>
  </si>
  <si>
    <t>Receptor-interacting serine/threonine-protein kinase 2</t>
  </si>
  <si>
    <t>WD repeat-containing protein 62</t>
  </si>
  <si>
    <t>Heterogeneous nuclear ribonucleoprotein R</t>
  </si>
  <si>
    <t>U4/U6 small nuclear ribonucleoprotein Prp3</t>
  </si>
  <si>
    <t>Thioredoxin-like protein 1</t>
  </si>
  <si>
    <t>Isoform 4 of Tumor protein D54</t>
  </si>
  <si>
    <t>Isoform 5 of Tumor protein D54</t>
  </si>
  <si>
    <t>ER membrane protein complex subunit 8</t>
  </si>
  <si>
    <t>52 kDa repressor of the inhibitor of the protein kinase</t>
  </si>
  <si>
    <t>Isoform Short of Acidic fibroblast growth factor intracellular-binding protein</t>
  </si>
  <si>
    <t>Isoform 2 of Protein CBFA2T2</t>
  </si>
  <si>
    <t>Isoform 3 of Serine protease HTRA2, mitochondrial</t>
  </si>
  <si>
    <t>Isoform 2 of Krueppel-like factor 4</t>
  </si>
  <si>
    <t>Protein Mis18-beta</t>
  </si>
  <si>
    <t>Aflatoxin B1 aldehyde reductase member 2</t>
  </si>
  <si>
    <t>Isoform 4 of Prominin-1</t>
  </si>
  <si>
    <t>Isoform 4 of Trans-Golgi network integral membrane protein 2</t>
  </si>
  <si>
    <t>DNA repair protein RAD51 homolog 3</t>
  </si>
  <si>
    <t>Ragulator complex protein LAMTOR5</t>
  </si>
  <si>
    <t>N-acetyllactosaminide beta-1,3-N-acetylglucosaminyltransferase</t>
  </si>
  <si>
    <t>Mediator of RNA polymerase II transcription subunit 7</t>
  </si>
  <si>
    <t>Probable phospholipid-transporting ATPase IC</t>
  </si>
  <si>
    <t>Forkhead box protein O3</t>
  </si>
  <si>
    <t>DNA repair protein XRCC3</t>
  </si>
  <si>
    <t>E3 ubiquitin-protein ligase RNF13</t>
  </si>
  <si>
    <t>Density-regulated protein</t>
  </si>
  <si>
    <t>Exportin-T</t>
  </si>
  <si>
    <t>Protein sprouty homolog 2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</si>
  <si>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</si>
  <si>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</si>
  <si>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</si>
  <si>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</si>
  <si>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Cytoplasmic protein NCK2</t>
  </si>
  <si>
    <t>Tetraspanin-6</t>
  </si>
  <si>
    <t>Isoform 2 of Protein regulator of cytokinesis 1</t>
  </si>
  <si>
    <t>NADH dehydrogenase [ubiquinone] 1 beta subcomplex subunit 3</t>
  </si>
  <si>
    <t>NADH dehydrogenase [ubiquinone] 1 subunit C1, mitochondrial</t>
  </si>
  <si>
    <t>NADH dehydrogenase [ubiquinone] 1 alpha subcomplex subunit 2</t>
  </si>
  <si>
    <t>ATPase ASNA1</t>
  </si>
  <si>
    <t>Mitotic checkpoint protein BUB3</t>
  </si>
  <si>
    <t>Alpha-actinin-4</t>
  </si>
  <si>
    <t>Uncharacterized methyltransferase WBSCR22</t>
  </si>
  <si>
    <t>TP53-regulated inhibitor of apoptosis 1</t>
  </si>
  <si>
    <t>HIV Tat-specific factor 1</t>
  </si>
  <si>
    <t>Syntaxin-6</t>
  </si>
  <si>
    <t>Synaptogyrin-2</t>
  </si>
  <si>
    <t>Small glutamine-rich tetratricopeptide repeat-containing protein alpha</t>
  </si>
  <si>
    <t>Lipoyl synthase, mitochondrial</t>
  </si>
  <si>
    <t>Isoform 2 of Alpha-endosulfine</t>
  </si>
  <si>
    <t>Mitochondrial carnitine/acylcarnitine carrier protein</t>
  </si>
  <si>
    <t>Sjoegren syndrome nuclear autoantigen 1</t>
  </si>
  <si>
    <t>Cleavage and polyadenylation specificity factor subunit 5</t>
  </si>
  <si>
    <t>LanC-like protein 1</t>
  </si>
  <si>
    <t>Striatin</t>
  </si>
  <si>
    <t>U3 small nucleolar RNA-interacting protein 2</t>
  </si>
  <si>
    <t>Protein SCO2 homolog, mitochondrial</t>
  </si>
  <si>
    <t>Isoform 4 of Hyaluronidase-3</t>
  </si>
  <si>
    <t>A-kinase anchor protein 8</t>
  </si>
  <si>
    <t>Putative GTP-binding protein 6</t>
  </si>
  <si>
    <t>Glucose-6-phosphate translocase</t>
  </si>
  <si>
    <t>Zinc finger and BTB domain-containing protein 14</t>
  </si>
  <si>
    <t>Isocitrate dehydrogenase [NAD] subunit beta, mitochondrial</t>
  </si>
  <si>
    <t>Calumenin</t>
  </si>
  <si>
    <t>Putative adenosylhomocysteinase 2</t>
  </si>
  <si>
    <t>Exostosin-like 3</t>
  </si>
  <si>
    <t>Origin recognition complex subunit 5</t>
  </si>
  <si>
    <t>NADH dehydrogenase [ubiquinone] iron-sulfur protein 5</t>
  </si>
  <si>
    <t>Retinal rod rhodopsin-sensitive cGMP 3,5-cyclic phosphodiesterase subunit delta</t>
  </si>
  <si>
    <t>Peroxisome biogenesis factor 1</t>
  </si>
  <si>
    <t>Double-strand-break repair protein rad21 homolog</t>
  </si>
  <si>
    <t>Aldo-keto reductase family 1 member B10</t>
  </si>
  <si>
    <t>Mitochondrial import inner membrane translocase subunit Tim8 A</t>
  </si>
  <si>
    <t>Putative pre-mRNA-splicing factor ATP-dependent RNA helicase DHX16</t>
  </si>
  <si>
    <t>Phosphoribosyl pyrophosphate synthase-associated protein 2</t>
  </si>
  <si>
    <t>SWI/SNF-related matrix-associated actin-dependent regulator of chromatin subfamily A member 5</t>
  </si>
  <si>
    <t>Isoform 4 of C-Jun-amino-terminal kinase-interacting protein 4</t>
  </si>
  <si>
    <t>Signal-induced proliferation-associated 1-like protein 3</t>
  </si>
  <si>
    <t>Leucine carboxyl methyltransferase 2</t>
  </si>
  <si>
    <t>Intron-binding protein aquarius</t>
  </si>
  <si>
    <t>Isoform 2 of Dynamin-like 120 kDa protein, mitochondrial</t>
  </si>
  <si>
    <t>Isoform 2 of Kinesin-like protein KIF1B</t>
  </si>
  <si>
    <t>Lysine-specific histone demethylase 1A</t>
  </si>
  <si>
    <t>Isoform 2 of TBC1 domain family member 4</t>
  </si>
  <si>
    <t>Isoform D of Endothelin-converting enzyme 2</t>
  </si>
  <si>
    <t>PH domain leucine-rich repeat-containing protein phosphatase 1</t>
  </si>
  <si>
    <t>TBC1 domain family member 12</t>
  </si>
  <si>
    <t>Isoform 2 of Frizzled-6</t>
  </si>
  <si>
    <t>Fatty acid desaturase 1</t>
  </si>
  <si>
    <t>Isoform 2 of Lymphocyte antigen 75</t>
  </si>
  <si>
    <t>Mannosyl-oligosaccharide 1,2-alpha-mannosidase IB</t>
  </si>
  <si>
    <t>Plexin-C1</t>
  </si>
  <si>
    <t>Myelin protein zero-like protein 2</t>
  </si>
  <si>
    <t>Isoform Short of Long-chain-fatty-acid--CoA ligase 4</t>
  </si>
  <si>
    <t>Sorting nexin-3</t>
  </si>
  <si>
    <t>Bifunctional protein NCOAT</t>
  </si>
  <si>
    <t>Isoform Beta of Vinexin</t>
  </si>
  <si>
    <t>Isoform 3 of Heterogeneous nuclear ribonucleoprotein Q</t>
  </si>
  <si>
    <t>Protein-tyrosine sulfotransferase 1</t>
  </si>
  <si>
    <t>Pre-mRNA-processing factor 17</t>
  </si>
  <si>
    <t>Ran-binding protein 6</t>
  </si>
  <si>
    <t>Isoform 4 of Nuclear export mediator factor NEMF</t>
  </si>
  <si>
    <t>GDP-mannose 4,6 dehydratase</t>
  </si>
  <si>
    <t>Glycylpeptide N-tetradecanoyltransferase 2</t>
  </si>
  <si>
    <t>Cyclin-T1</t>
  </si>
  <si>
    <t>Isoform 3 of Mitotic checkpoint serine/threonine-protein kinase BUB1 beta</t>
  </si>
  <si>
    <t>Procollagen-lysine,2-oxoglutarate 5-dioxygenase 3</t>
  </si>
  <si>
    <t>Eukaryotic translation initiation factor 4E type 2</t>
  </si>
  <si>
    <t>15 kDa selenoprotein</t>
  </si>
  <si>
    <t>Isoform 3 of Exocyst complex component 3</t>
  </si>
  <si>
    <t>Kelch-like protein 41</t>
  </si>
  <si>
    <t>Perilipin-3</t>
  </si>
  <si>
    <t>Cell cycle checkpoint protein RAD1</t>
  </si>
  <si>
    <t>Protein arginine N-methyltransferase 3</t>
  </si>
  <si>
    <t>UDP-glucose 6-dehydrogenase</t>
  </si>
  <si>
    <t>Protein-tyrosine sulfotransferase 2</t>
  </si>
  <si>
    <t>Isoform 1A of Catenin delta-1</t>
  </si>
  <si>
    <t>Protein-S-isoprenylcysteine O-methyltransferase</t>
  </si>
  <si>
    <t>Isoform SH-iPLA2 of 85/88 kDa calcium-independent phospholipase A2</t>
  </si>
  <si>
    <t>Eukaryotic translation initiation factor 1b</t>
  </si>
  <si>
    <t>Sorting nexin-2</t>
  </si>
  <si>
    <t>General vesicular transport factor p115</t>
  </si>
  <si>
    <t>Isoform 2 of 6-phosphofructo-2-kinase/fructose-2,6-bisphosphatase 2</t>
  </si>
  <si>
    <t>Polyglutamine-binding protein 1</t>
  </si>
  <si>
    <t>Mitochondrial import inner membrane translocase subunit Tim17-B</t>
  </si>
  <si>
    <t>PRA1 family protein 2</t>
  </si>
  <si>
    <t>H/ACA ribonucleoprotein complex subunit 4</t>
  </si>
  <si>
    <t>Eukaryotic translation initiation factor 5B</t>
  </si>
  <si>
    <t>Endothelial differentiation-related factor 1</t>
  </si>
  <si>
    <t>DNA/RNA-binding protein KIN17</t>
  </si>
  <si>
    <t>DnaJ homolog subfamily A member 2</t>
  </si>
  <si>
    <t>Bromodomain-containing protein 4</t>
  </si>
  <si>
    <t>Isoform C of Protein CutA</t>
  </si>
  <si>
    <t>Sphingomyelin phosphodiesterase 2</t>
  </si>
  <si>
    <t>Cathepsin L2</t>
  </si>
  <si>
    <t>Prefoldin subunit 1</t>
  </si>
  <si>
    <t>Protein phosphatase 1 regulatory subunit 11</t>
  </si>
  <si>
    <t>Nibrin</t>
  </si>
  <si>
    <t>mRNA-capping enzyme</t>
  </si>
  <si>
    <t>ATP-binding cassette sub-family B member 7, mitochondrial</t>
  </si>
  <si>
    <t>SLIT-ROBO Rho GTPase-activating protein 2</t>
  </si>
  <si>
    <t>Plexin-A2</t>
  </si>
  <si>
    <t>Immunoglobulin superfamily member 3</t>
  </si>
  <si>
    <t>Glycosaminoglycan xylosylkinase</t>
  </si>
  <si>
    <t>EF-hand calcium-binding domain-containing protein 14</t>
  </si>
  <si>
    <t>WD repeat-containing protein 1</t>
  </si>
  <si>
    <t>Multiple epidermal growth factor-like domains protein 6</t>
  </si>
  <si>
    <t>Isoform 2 of Multiple epidermal growth factor-like domains protein 6</t>
  </si>
  <si>
    <t>Probable phospholipid-transporting ATPase IIA</t>
  </si>
  <si>
    <t>NEDD4-binding protein 1</t>
  </si>
  <si>
    <t>Rho-associated protein kinase 2</t>
  </si>
  <si>
    <t>Isoform 3 of Protein cordon-bleu</t>
  </si>
  <si>
    <t>Copine-3</t>
  </si>
  <si>
    <t>Huntingtin-interacting protein 1-related protein</t>
  </si>
  <si>
    <t>E3 ubiquitin-protein ligase BRE1B</t>
  </si>
  <si>
    <t>Zinc finger CCCH domain-containing protein 11A</t>
  </si>
  <si>
    <t>Isoform 2 of TSC22 domain family protein 2</t>
  </si>
  <si>
    <t>Nephrocystin-4</t>
  </si>
  <si>
    <t>Lysine-specific demethylase 4A</t>
  </si>
  <si>
    <t>DnaJ homolog subfamily C member 13</t>
  </si>
  <si>
    <t>Isoform 4 of Serine/threonine-protein phosphatase 6 regulatory subunit 2</t>
  </si>
  <si>
    <t>CCR4-NOT transcription complex subunit 3</t>
  </si>
  <si>
    <t>Isoform 2 of Calcium-responsive transactivator</t>
  </si>
  <si>
    <t>Isoform 2 of Ankyrin repeat domain-containing protein 17</t>
  </si>
  <si>
    <t>Calcium-transporting ATPase type 2C member 2</t>
  </si>
  <si>
    <t>Xylulose kinase</t>
  </si>
  <si>
    <t>Transmembrane protein 127</t>
  </si>
  <si>
    <t>Ubiquinone biosynthesis protein COQ9, mitochondrial</t>
  </si>
  <si>
    <t>Gamma-glutamylcyclotransferase</t>
  </si>
  <si>
    <t>NADH dehydrogenase [ubiquinone] iron-sulfur protein 2, mitochondrial</t>
  </si>
  <si>
    <t>Zinc finger protein ZPR1</t>
  </si>
  <si>
    <t>Protein NipSnap homolog 2</t>
  </si>
  <si>
    <t>Isoform 2 of Hyaluronan mediated motility receptor</t>
  </si>
  <si>
    <t>Programmed cell death protein 6</t>
  </si>
  <si>
    <t>Tubulin-specific chaperone A</t>
  </si>
  <si>
    <t>V-type proton ATPase subunit G 1</t>
  </si>
  <si>
    <t>Vacuolar protein sorting-associated protein 4B</t>
  </si>
  <si>
    <t>Ectonucleoside triphosphate diphosphohydrolase 3</t>
  </si>
  <si>
    <t>Ectonucleoside triphosphate diphosphohydrolase 5</t>
  </si>
  <si>
    <t>Zinc finger protein 217</t>
  </si>
  <si>
    <t>Isoform 1 of Core histone macro-H2A.1</t>
  </si>
  <si>
    <t>SH3 domain-binding glutamic acid-rich-like protein</t>
  </si>
  <si>
    <t>Isoform 2 of Filamin-B</t>
  </si>
  <si>
    <t>Nuclear receptor corepressor 1</t>
  </si>
  <si>
    <t>Isoform 2 of Vesicle-associated membrane protein 4</t>
  </si>
  <si>
    <t>NADH dehydrogenase [ubiquinone] iron-sulfur protein 6, mitochondrial</t>
  </si>
  <si>
    <t>Isoform 2 of Peroxisomal membrane protein PEX14</t>
  </si>
  <si>
    <t>Isoform Beta of Tripartite motif-containing protein 3</t>
  </si>
  <si>
    <t>Large neutral amino acids transporter small subunit 3</t>
  </si>
  <si>
    <t>Sperm-associated antigen 7</t>
  </si>
  <si>
    <t>Vesicle-trafficking protein SEC22b</t>
  </si>
  <si>
    <t>Isoform 3 of Pre-mRNA-processing factor 40 homolog A</t>
  </si>
  <si>
    <t>Isoform 2 of Cell division control protein 45 homolog</t>
  </si>
  <si>
    <t>Leucine-rich repeat and calponin homology domain-containing protein 4</t>
  </si>
  <si>
    <t>Vacuolar protein sorting-associated protein 26A</t>
  </si>
  <si>
    <t>NADH dehydrogenase [ubiquinone] 1 beta subcomplex subunit 1</t>
  </si>
  <si>
    <t>Mitochondrial-processing peptidase subunit beta</t>
  </si>
  <si>
    <t>Histone deacetylase complex subunit SAP30</t>
  </si>
  <si>
    <t>Katanin p60 ATPase-containing subunit A1</t>
  </si>
  <si>
    <t>PC4 and SFRS1-interacting protein</t>
  </si>
  <si>
    <t>Isoform 3 of PC4 and SFRS1-interacting protein</t>
  </si>
  <si>
    <t>Erlin-1</t>
  </si>
  <si>
    <t>Glypican-4</t>
  </si>
  <si>
    <t>NADH dehydrogenase [ubiquinone] iron-sulfur protein 3, mitochondrial</t>
  </si>
  <si>
    <t>Ceroid-lipofuscinosis neuronal protein 5</t>
  </si>
  <si>
    <t>Heat shock factor-binding protein 1</t>
  </si>
  <si>
    <t>Isoform 2 of Enoyl-CoA delta isomerase 2, mitochondrial</t>
  </si>
  <si>
    <t>Transcriptional adapter 3</t>
  </si>
  <si>
    <t>Isoform 3 of Polycomb protein EED</t>
  </si>
  <si>
    <t>Barrier-to-autointegration factor</t>
  </si>
  <si>
    <t>Splicing factor 3B subunit 1</t>
  </si>
  <si>
    <t>Cold shock domain-containing protein E1</t>
  </si>
  <si>
    <t>WW domain-binding protein 4</t>
  </si>
  <si>
    <t>Peptide chain release factor 1, mitochondrial</t>
  </si>
  <si>
    <t>DNA-directed RNA polymerase III subunit RPC9</t>
  </si>
  <si>
    <t>2-amino-3-ketobutyrate coenzyme A ligase, mitochondrial</t>
  </si>
  <si>
    <t>Nucleoplasmin-3</t>
  </si>
  <si>
    <t>Isoform 2 of Acyl-protein thioesterase 1</t>
  </si>
  <si>
    <t>GTPase Era, mitochondrial</t>
  </si>
  <si>
    <t>Protein CREG1</t>
  </si>
  <si>
    <t>U5 small nuclear ribonucleoprotein 200 kDa helicase</t>
  </si>
  <si>
    <t>Mitochondrial tRNA-specific 2-thiouridylase 1</t>
  </si>
  <si>
    <t>TIP41-like protein</t>
  </si>
  <si>
    <t>Surfeit locus protein 6</t>
  </si>
  <si>
    <t>Protein phosphatase 1B</t>
  </si>
  <si>
    <t>Isoform Beta-2 of Protein phosphatase 1B</t>
  </si>
  <si>
    <t>Small subunit processome component 20 homolog</t>
  </si>
  <si>
    <t>Protein XRP2</t>
  </si>
  <si>
    <t>WD repeat and HMG-box DNA-binding protein 1</t>
  </si>
  <si>
    <t>Calcium-binding mitochondrial carrier protein Aralar1</t>
  </si>
  <si>
    <t>GRB2-related adapter protein 2</t>
  </si>
  <si>
    <t>Ribonuclease H2 subunit A</t>
  </si>
  <si>
    <t>Cell division cycle protein 123 homolog</t>
  </si>
  <si>
    <t>Calpain-15</t>
  </si>
  <si>
    <t>Isoform 2 of Ribonuclease P protein subunit p40</t>
  </si>
  <si>
    <t>Eukaryotic translation initiation factor 3 subunit G</t>
  </si>
  <si>
    <t>Eukaryotic translation initiation factor 3 subunit J</t>
  </si>
  <si>
    <t>Carbonyl reductase [NADPH] 3</t>
  </si>
  <si>
    <t>26S proteasome non-ATPase regulatory subunit 10</t>
  </si>
  <si>
    <t>CAAX prenyl protease 1 homolog</t>
  </si>
  <si>
    <t>Lathosterol oxidase</t>
  </si>
  <si>
    <t>Isocitrate dehydrogenase [NADP] cytoplasmic</t>
  </si>
  <si>
    <t>Attractin</t>
  </si>
  <si>
    <t>Putative hydrolase RBBP9</t>
  </si>
  <si>
    <t>Signal transducing adapter molecule 2</t>
  </si>
  <si>
    <t>Cytosolic 10-formyltetrahydrofolate dehydrogenase</t>
  </si>
  <si>
    <t>Tumor suppressor candidate 2</t>
  </si>
  <si>
    <t>PRA1 family protein 3</t>
  </si>
  <si>
    <t>E3 SUMO-protein ligase PIAS1</t>
  </si>
  <si>
    <t>Pre-mRNA-splicing factor SPF27</t>
  </si>
  <si>
    <t>Dynactin subunit 3</t>
  </si>
  <si>
    <t>DnaJ homolog subfamily C member 8</t>
  </si>
  <si>
    <t>Survival of motor neuron-related-splicing factor 30</t>
  </si>
  <si>
    <t>Isoform 2 of Cell cycle checkpoint protein RAD17</t>
  </si>
  <si>
    <t>ATP synthase subunit d, mitochondrial</t>
  </si>
  <si>
    <t>Flotillin-1</t>
  </si>
  <si>
    <t>Triple functional domain protein</t>
  </si>
  <si>
    <t>ATP synthase subunit g, mitochondrial</t>
  </si>
  <si>
    <t>Carboxypeptidase D</t>
  </si>
  <si>
    <t>Glutaredoxin-3</t>
  </si>
  <si>
    <t>Wolframin</t>
  </si>
  <si>
    <t>ATP-dependent Clp protease ATP-binding subunit clpX-like, mitochondrial</t>
  </si>
  <si>
    <t>Isoform 2 of Nebulette</t>
  </si>
  <si>
    <t>Isoform 2 of SEC14-like protein 2</t>
  </si>
  <si>
    <t>Stanniocalcin-2</t>
  </si>
  <si>
    <t>Probable cytosolic iron-sulfur protein assembly protein CIAO1</t>
  </si>
  <si>
    <t>Isoform PDE5A2 of cGMP-specific 3,5-cyclic phosphodiesterase</t>
  </si>
  <si>
    <t>AN1-type zinc finger protein 5</t>
  </si>
  <si>
    <t>Signal recognition particle subunit SRP72</t>
  </si>
  <si>
    <t>Isoform 2 of Protein JTB</t>
  </si>
  <si>
    <t>Decapping and exoribonuclease protein</t>
  </si>
  <si>
    <t>N(G),N(G)-dimethylarginine dimethylaminohydrolase 1</t>
  </si>
  <si>
    <t>Unconventional prefoldin RPB5 interactor 1</t>
  </si>
  <si>
    <t>Galactosylgalactosylxylosylprotein 3-beta-glucuronosyltransferase 3</t>
  </si>
  <si>
    <t>Metastasis-associated protein MTA2</t>
  </si>
  <si>
    <t>Ubiquitin carboxyl-terminal hydrolase 1</t>
  </si>
  <si>
    <t>Serine/threonine-protein kinase 10</t>
  </si>
  <si>
    <t>E3 ubiquitin-protein ligase listerin</t>
  </si>
  <si>
    <t>Mitochondrial import receptor subunit TOM70</t>
  </si>
  <si>
    <t>Isoform 5 of Pleckstrin homology domain-containing family G member 5</t>
  </si>
  <si>
    <t>Importin-13</t>
  </si>
  <si>
    <t>Phospholipase DDHD2</t>
  </si>
  <si>
    <t>Unconventional myosin-Id</t>
  </si>
  <si>
    <t>Isoform 6 of Protein-methionine sulfoxide oxidase MICAL2</t>
  </si>
  <si>
    <t>Protein transport protein Sec24D</t>
  </si>
  <si>
    <t>Isoform 2 of STAGA complex 65 subunit gamma</t>
  </si>
  <si>
    <t>E3 UFM1-protein ligase 1</t>
  </si>
  <si>
    <t>Isoform 12 of Sorbin and SH3 domain-containing protein 2</t>
  </si>
  <si>
    <t>Transmembrane and coiled-coil domains protein 1</t>
  </si>
  <si>
    <t>PHD finger protein 14</t>
  </si>
  <si>
    <t>Isoform 2 of PHD finger protein 14</t>
  </si>
  <si>
    <t>Transmembrane protein 63A</t>
  </si>
  <si>
    <t>UBX domain-containing protein 7</t>
  </si>
  <si>
    <t>Proline synthase co-transcribed bacterial homolog protein</t>
  </si>
  <si>
    <t>Isoform 2 of Pre-mRNA-processing factor 6</t>
  </si>
  <si>
    <t>Dickkopf-related protein 1</t>
  </si>
  <si>
    <t>Pre-mRNA cleavage complex 2 protein Pcf11</t>
  </si>
  <si>
    <t>Isoform A of Nuclear factor of activated T-cells 5</t>
  </si>
  <si>
    <t>Endonuclease domain-containing 1 protein</t>
  </si>
  <si>
    <t>Glutaminase kidney isoform, mitochondrial</t>
  </si>
  <si>
    <t>Isoform 3 of Glutaminase kidney isoform, mitochondrial</t>
  </si>
  <si>
    <t>Isoform 7 of Ubiquitin carboxyl-terminal hydrolase 19</t>
  </si>
  <si>
    <t>AP-2 complex subunit alpha-2</t>
  </si>
  <si>
    <t>Isoform 2 of AP-2 complex subunit alpha-2</t>
  </si>
  <si>
    <t>Protein HEXIM1</t>
  </si>
  <si>
    <t>Ribonuclease P protein subunit p14</t>
  </si>
  <si>
    <t>G2/mitotic-specific cyclin-B2</t>
  </si>
  <si>
    <t>Arf-GAP domain and FG repeat-containing protein 2</t>
  </si>
  <si>
    <t>Isoform 3 of Splicing factor, arginine/serine-rich 15</t>
  </si>
  <si>
    <t>NADH dehydrogenase [ubiquinone] 1 beta subcomplex subunit 6</t>
  </si>
  <si>
    <t>Mitofusin-2</t>
  </si>
  <si>
    <t>Isoform 2 of Ubiquitin conjugation factor E4 B</t>
  </si>
  <si>
    <t>Zinc finger protein-like 1</t>
  </si>
  <si>
    <t>Elongator complex protein 1</t>
  </si>
  <si>
    <t>NADH dehydrogenase [ubiquinone] 1 alpha subcomplex subunit 3</t>
  </si>
  <si>
    <t>NADH dehydrogenase [ubiquinone] 1 beta subcomplex subunit 4</t>
  </si>
  <si>
    <t>Isoform 3 of Sciellin</t>
  </si>
  <si>
    <t>NADH dehydrogenase [ubiquinone] 1 alpha subcomplex subunit 7</t>
  </si>
  <si>
    <t>Isoform 3 of Chondroitin sulfate proteoglycan 5</t>
  </si>
  <si>
    <t>Isoform 2 of Reticulon-3</t>
  </si>
  <si>
    <t>LETM1 and EF-hand domain-containing protein 1, mitochondrial</t>
  </si>
  <si>
    <t>Muscleblind-like 2 (Drosophila), isoform CRA_b</t>
  </si>
  <si>
    <t>Isoform 2 of Zinc finger Ran-binding domain-containing protein 2</t>
  </si>
  <si>
    <t>Sorting nexin-4</t>
  </si>
  <si>
    <t>ZW10 interactor</t>
  </si>
  <si>
    <t>Homeobox protein VENTX</t>
  </si>
  <si>
    <t>Luc7-like protein 3</t>
  </si>
  <si>
    <t>Kinesin-like protein KIF20A</t>
  </si>
  <si>
    <t>Chromosome-associated kinesin KIF4A</t>
  </si>
  <si>
    <t>Isoform 2 of Histone acetyltransferase KAT7</t>
  </si>
  <si>
    <t>Ly6/PLAUR domain-containing protein 3</t>
  </si>
  <si>
    <t>Vesicle-associated membrane protein-associated protein B/C</t>
  </si>
  <si>
    <t>SNARE-associated protein Snapin</t>
  </si>
  <si>
    <t>Isoform 2 of Myelin protein zero-like protein 1</t>
  </si>
  <si>
    <t>Isoform 4 of NADH dehydrogenase [ubiquinone] 1 subunit C2</t>
  </si>
  <si>
    <t>Peptidyl-prolyl cis-trans isomerase FKBP9</t>
  </si>
  <si>
    <t>6-phosphogluconolactonase</t>
  </si>
  <si>
    <t>Structural maintenance of chromosomes protein 2</t>
  </si>
  <si>
    <t>Ubiquitin-like modifier-activating enzyme ATG7</t>
  </si>
  <si>
    <t>Phenylalanine--tRNA ligase, mitochondrial</t>
  </si>
  <si>
    <t>Zinc finger and BTB domain-containing protein 7A</t>
  </si>
  <si>
    <t>Acyl-protein thioesterase 2</t>
  </si>
  <si>
    <t>Importin-7</t>
  </si>
  <si>
    <t>E3 ubiquitin-protein ligase ARIH2</t>
  </si>
  <si>
    <t>Pre-mRNA-splicing factor SLU7</t>
  </si>
  <si>
    <t>Phosphoacetylglucosamine mutase</t>
  </si>
  <si>
    <t>Adenylyltransferase and sulfurtransferase MOCS3</t>
  </si>
  <si>
    <t>CD2 antigen cytoplasmic tail-binding protein 2</t>
  </si>
  <si>
    <t>Mediator of RNA polymerase II transcription subunit 26</t>
  </si>
  <si>
    <t>Isoform 3 of Zinc finger FYVE domain-containing protein 9</t>
  </si>
  <si>
    <t>Zinc finger protein ZIC 2</t>
  </si>
  <si>
    <t>Isoform 2 of Supervillin</t>
  </si>
  <si>
    <t>Isoform 2 of BAG family molecular chaperone regulator 4</t>
  </si>
  <si>
    <t>Activator of 90 kDa heat shock protein ATPase homolog 1</t>
  </si>
  <si>
    <t>Isoform 2 of Poly(A)-specific ribonuclease PARN</t>
  </si>
  <si>
    <t>dTDP-D-glucose 4,6-dehydratase</t>
  </si>
  <si>
    <t>Isoform 2 of Proteasome assembly chaperone 1</t>
  </si>
  <si>
    <t>Sphingosine-1-phosphate lyase 1</t>
  </si>
  <si>
    <t>Claudin-7</t>
  </si>
  <si>
    <t>Protein transport protein Sec24A</t>
  </si>
  <si>
    <t>Isoform 2 of Protein transport protein Sec24B</t>
  </si>
  <si>
    <t>NAD kinase</t>
  </si>
  <si>
    <t>Tyrosyl-DNA phosphodiesterase 2</t>
  </si>
  <si>
    <t>Protein ETHE1, mitochondrial</t>
  </si>
  <si>
    <t>Long-chain-fatty-acid--CoA ligase 3</t>
  </si>
  <si>
    <t>DNA-directed RNA polymerase I subunit RPA1</t>
  </si>
  <si>
    <t>YEATS domain-containing protein 4</t>
  </si>
  <si>
    <t>tRNA-dihydrouridine(20a/20b) synthase [NAD(P)+]-like</t>
  </si>
  <si>
    <t>Adenylate cyclase type 5</t>
  </si>
  <si>
    <t>Isoform 5 of CCR4-NOT transcription complex subunit 4</t>
  </si>
  <si>
    <t>STAM-binding protein</t>
  </si>
  <si>
    <t>V-type proton ATPase subunit G 2</t>
  </si>
  <si>
    <t>Isoform 2 of N-acetylserotonin O-methyltransferase-like protein</t>
  </si>
  <si>
    <t>Phosphatidate cytidylyltransferase 2</t>
  </si>
  <si>
    <t>FGFR1 oncogene partner</t>
  </si>
  <si>
    <t>Protein phosphatase 1 regulatory subunit 3D</t>
  </si>
  <si>
    <t>Ras-related protein Rab-3D</t>
  </si>
  <si>
    <t>Synaptosomal-associated protein 29</t>
  </si>
  <si>
    <t>Serine/threonine-protein kinase OSR1</t>
  </si>
  <si>
    <t>Geranylgeranyl pyrophosphate synthase</t>
  </si>
  <si>
    <t>Fibroblast growth factor 19</t>
  </si>
  <si>
    <t>Isoform 1 of Polypyrimidine tract-binding protein 3</t>
  </si>
  <si>
    <t>N-alpha-acetyltransferase 38, NatC auxiliary subunit</t>
  </si>
  <si>
    <t>Isoform B of AP-2 complex subunit alpha-1</t>
  </si>
  <si>
    <t>Tetratricopeptide repeat protein 4</t>
  </si>
  <si>
    <t>Serum deprivation-response protein</t>
  </si>
  <si>
    <t>BAG family molecular chaperone regulator 2</t>
  </si>
  <si>
    <t>BAG family molecular chaperone regulator 3</t>
  </si>
  <si>
    <t>Malonyl-CoA decarboxylase, mitochondrial</t>
  </si>
  <si>
    <t>Quinone oxidoreductase-like protein 1</t>
  </si>
  <si>
    <t>Isoform 3 of Apoptosis-inducing factor 1, mitochondrial</t>
  </si>
  <si>
    <t>Isoform 2 of Echinoderm microtubule-associated protein-like 2</t>
  </si>
  <si>
    <t>Serine/threonine-protein kinase LATS1</t>
  </si>
  <si>
    <t>Uridine diphosphate glucose pyrophosphatase</t>
  </si>
  <si>
    <t>Tetraspanin-13</t>
  </si>
  <si>
    <t>3(2),5-bisphosphate nucleotidase 1</t>
  </si>
  <si>
    <t>N(G),N(G)-dimethylarginine dimethylaminohydrolase 2</t>
  </si>
  <si>
    <t>Uncharacterized protein C6orf47</t>
  </si>
  <si>
    <t>Thioredoxin domain-containing protein 12</t>
  </si>
  <si>
    <t>Protein SGT1</t>
  </si>
  <si>
    <t>Pre-mRNA-splicing factor SYF2</t>
  </si>
  <si>
    <t>Isoform 2 of Methyl-CpG-binding domain protein 3</t>
  </si>
  <si>
    <t>DNA topoisomerase 3-beta-1</t>
  </si>
  <si>
    <t>Diphosphoinositol polyphosphate phosphohydrolase 1</t>
  </si>
  <si>
    <t>B-cell lymphoma/leukemia 10</t>
  </si>
  <si>
    <t>NADH dehydrogenase [ubiquinone] 1 beta subcomplex subunit 10</t>
  </si>
  <si>
    <t>Molybdopterin synthase catalytic subunit</t>
  </si>
  <si>
    <t>Mitochondrial import receptor subunit TOM40 homolog</t>
  </si>
  <si>
    <t>Isoform 2 of Peroxisomal membrane protein 11B</t>
  </si>
  <si>
    <t>Serine/threonine-protein kinase PAK 4</t>
  </si>
  <si>
    <t>Serine/threonine-protein kinase Chk2</t>
  </si>
  <si>
    <t>Actin-like protein 6A</t>
  </si>
  <si>
    <t>Molybdopterin synthase sulfur carrier subunit</t>
  </si>
  <si>
    <t>Isoform 2 of Cytochrome b5</t>
  </si>
  <si>
    <t>L-lactate dehydrogenase A chain</t>
  </si>
  <si>
    <t>Retinal dehydrogenase 1</t>
  </si>
  <si>
    <t>Glutamate dehydrogenase 1, mitochondrial</t>
  </si>
  <si>
    <t>Dihydrofolate reductase</t>
  </si>
  <si>
    <t>Isoform 2 of NADH-cytochrome b5 reductase 3</t>
  </si>
  <si>
    <t>Isoform Cytoplasmic of Glutathione reductase, mitochondrial</t>
  </si>
  <si>
    <t>Cytochrome c oxidase subunit 2</t>
  </si>
  <si>
    <t>Superoxide dismutase [Cu-Zn]</t>
  </si>
  <si>
    <t>Purine nucleoside phosphorylase</t>
  </si>
  <si>
    <t>Hypoxanthine-guanine phosphoribosyltransferase</t>
  </si>
  <si>
    <t>Aspartate aminotransferase, mitochondrial</t>
  </si>
  <si>
    <t>Tyrosine-protein kinase ABL1</t>
  </si>
  <si>
    <t>Phosphoglycerate kinase 1</t>
  </si>
  <si>
    <t>Adenosine deaminase</t>
  </si>
  <si>
    <t>ATP synthase subunit a</t>
  </si>
  <si>
    <t>Carbonic anhydrase 2</t>
  </si>
  <si>
    <t>Argininosuccinate synthase</t>
  </si>
  <si>
    <t>Cystatin-C</t>
  </si>
  <si>
    <t>Cystatin-SN</t>
  </si>
  <si>
    <t>Proto-oncogene c-Fos</t>
  </si>
  <si>
    <t>GTPase NRas</t>
  </si>
  <si>
    <t>GTPase HRas</t>
  </si>
  <si>
    <t>Isoform 2B of GTPase KRas</t>
  </si>
  <si>
    <t>Transforming growth factor beta-1</t>
  </si>
  <si>
    <t>Hemoglobin subunit zeta</t>
  </si>
  <si>
    <t>Myoglobin</t>
  </si>
  <si>
    <t>Prelamin-A/C</t>
  </si>
  <si>
    <t>Apolipoprotein E</t>
  </si>
  <si>
    <t>Transferrin receptor protein 1</t>
  </si>
  <si>
    <t>Serotransferrin</t>
  </si>
  <si>
    <t>Ferritin light chain</t>
  </si>
  <si>
    <t>Ferritin heavy chain</t>
  </si>
  <si>
    <t>Metallothionein-2</t>
  </si>
  <si>
    <t>ATP synthase protein 8</t>
  </si>
  <si>
    <t>Catalase</t>
  </si>
  <si>
    <t>Tissue alpha-L-fucosidase</t>
  </si>
  <si>
    <t>Fructose-bisphosphate aldolase A</t>
  </si>
  <si>
    <t>Cystatin-B</t>
  </si>
  <si>
    <t>Annexin A1</t>
  </si>
  <si>
    <t>Apolipoprotein B-100</t>
  </si>
  <si>
    <t>Ornithine aminotransferase, mitochondrial</t>
  </si>
  <si>
    <t>Thymidine kinase, cytosolic</t>
  </si>
  <si>
    <t>Tubulin beta-4A chain</t>
  </si>
  <si>
    <t>Glyceraldehyde-3-phosphate dehydrogenase</t>
  </si>
  <si>
    <t>Argininosuccinate lyase</t>
  </si>
  <si>
    <t>Calpain small subunit 1</t>
  </si>
  <si>
    <t>Heat shock protein beta-1</t>
  </si>
  <si>
    <t>Thymidylate synthase</t>
  </si>
  <si>
    <t>Dolichyl-diphosphooligosaccharide--protein glycosyltransferase subunit 1</t>
  </si>
  <si>
    <t>Dolichyl-diphosphooligosaccharide--protein glycosyltransferase subunit 2</t>
  </si>
  <si>
    <t>Guanine nucleotide-binding protein G(i) subunit alpha-2</t>
  </si>
  <si>
    <t>Isoform B1 of Anion exchange protein 2</t>
  </si>
  <si>
    <t>Isoform 4 of Sodium/potassium-transporting ATPase subunit alpha-1</t>
  </si>
  <si>
    <t>Secretogranin-1</t>
  </si>
  <si>
    <t>Isoform L-APP733 of Amyloid beta A4 protein</t>
  </si>
  <si>
    <t>Aldehyde dehydrogenase, mitochondrial</t>
  </si>
  <si>
    <t>Non-histone chromosomal protein HMG-14</t>
  </si>
  <si>
    <t>ADP/ATP translocase 2</t>
  </si>
  <si>
    <t>Ubiquitin-like protein ISG15</t>
  </si>
  <si>
    <t>Isoform 2 of Propionyl-CoA carboxylase alpha chain, mitochondrial</t>
  </si>
  <si>
    <t>Eukaryotic translation initiation factor 2 subunit 1</t>
  </si>
  <si>
    <t>Non-histone chromosomal protein HMG-17</t>
  </si>
  <si>
    <t>Intercellular adhesion molecule 1</t>
  </si>
  <si>
    <t>60S acidic ribosomal protein P1</t>
  </si>
  <si>
    <t>60S acidic ribosomal protein P2</t>
  </si>
  <si>
    <t>60S acidic ribosomal protein P0</t>
  </si>
  <si>
    <t>Transcription factor AP-1</t>
  </si>
  <si>
    <t>Lupus La protein</t>
  </si>
  <si>
    <t>Integrin beta-1</t>
  </si>
  <si>
    <t>Keratin, type I cytoskeletal 18</t>
  </si>
  <si>
    <t>Isoform MLC3 of Myosin light chain 1/3, skeletal muscle isoform</t>
  </si>
  <si>
    <t>Uroporphyrinogen decarboxylase</t>
  </si>
  <si>
    <t>Cholinesterase</t>
  </si>
  <si>
    <t>Alpha-galactosidase A</t>
  </si>
  <si>
    <t>Isoform 2 of Gelsolin</t>
  </si>
  <si>
    <t>Retinoblastoma-associated protein</t>
  </si>
  <si>
    <t>Cyclin-dependent kinase 1</t>
  </si>
  <si>
    <t>ATP synthase subunit beta, mitochondrial</t>
  </si>
  <si>
    <t>Alpha-enolase</t>
  </si>
  <si>
    <t>Isoform MBP-1 of Alpha-enolase</t>
  </si>
  <si>
    <t>Glycogen phosphorylase, liver form</t>
  </si>
  <si>
    <t>Glucose-6-phosphate isomerase</t>
  </si>
  <si>
    <t>Nucleophosmin</t>
  </si>
  <si>
    <t>Isoform 3 of Nucleophosmin</t>
  </si>
  <si>
    <t>Isoform 3 of Tropomyosin alpha-3 chain</t>
  </si>
  <si>
    <t>Isoform 3 of Integrin alpha-V</t>
  </si>
  <si>
    <t>Acyl-CoA-binding protein</t>
  </si>
  <si>
    <t>L-lactate dehydrogenase B chain</t>
  </si>
  <si>
    <t>Major centromere autoantigen B</t>
  </si>
  <si>
    <t>Glutathione peroxidase 1</t>
  </si>
  <si>
    <t>Phosphoglycerate kinase 2</t>
  </si>
  <si>
    <t>Isoform 2 of Histone H1.0</t>
  </si>
  <si>
    <t>Cathepsin D</t>
  </si>
  <si>
    <t>Annexin A2</t>
  </si>
  <si>
    <t>Calpain-1 catalytic subunit</t>
  </si>
  <si>
    <t>Beta-hexosaminidase subunit beta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</si>
  <si>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</si>
  <si>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</si>
  <si>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</si>
  <si>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</si>
  <si>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</si>
  <si>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</si>
  <si>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</si>
  <si>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Cytochrome b-c1 complex subunit 6, mitochondrial</t>
  </si>
  <si>
    <t>Isoform 2 of Tyrosine-protein kinase Lyn</t>
  </si>
  <si>
    <t>Tropomyosin beta chain</t>
  </si>
  <si>
    <t>Isoform Cytoplasmic of Fumarate hydratase, mitochondrial</t>
  </si>
  <si>
    <t>Gap junction beta-1 protein</t>
  </si>
  <si>
    <t>Transcription factor Sp1</t>
  </si>
  <si>
    <t>Heat shock 70 kDa protein 1A/1B</t>
  </si>
  <si>
    <t>6-phosphofructokinase, muscle type</t>
  </si>
  <si>
    <t>Heat shock protein HSP 90-beta</t>
  </si>
  <si>
    <t>Signal recognition particle receptor subunit alpha</t>
  </si>
  <si>
    <t>Isoform 2 of Asparagine synthetase [glutamine-hydrolyzing]</t>
  </si>
  <si>
    <t>Extracellular superoxide dismutase [Cu-Zn]</t>
  </si>
  <si>
    <t>Isoform 2 of Porphobilinogen deaminase</t>
  </si>
  <si>
    <t>Neprilysin</t>
  </si>
  <si>
    <t>Pyruvate dehydrogenase E1 component subunit alpha, somatic form, mitochondrial</t>
  </si>
  <si>
    <t>Cytochrome c1, heme protein, mitochondrial</t>
  </si>
  <si>
    <t>U2 small nuclear ribonucleoprotein B</t>
  </si>
  <si>
    <t>U1 small nuclear ribonucleoprotein 70 kDa</t>
  </si>
  <si>
    <t>Guanine nucleotide-binding protein G(k) subunit alpha</t>
  </si>
  <si>
    <t>Annexin A5</t>
  </si>
  <si>
    <t>U1 small nuclear ribonucleoprotein A</t>
  </si>
  <si>
    <t>Isoform 3 of Fibroblast growth factor 2</t>
  </si>
  <si>
    <t>Gamma-enolase</t>
  </si>
  <si>
    <t>3-ketoacyl-CoA thiolase, peroxisomal</t>
  </si>
  <si>
    <t>Signal recognition particle 19 kDa protein</t>
  </si>
  <si>
    <t>Dopamine beta-hydroxylase</t>
  </si>
  <si>
    <t>Glutathione S-transferase P</t>
  </si>
  <si>
    <t>U1 small nuclear ribonucleoprotein C</t>
  </si>
  <si>
    <t>Galectin-1</t>
  </si>
  <si>
    <t>Dihydropteridine reductase</t>
  </si>
  <si>
    <t>High mobility group protein B1</t>
  </si>
  <si>
    <t>Fructose-1,6-bisphosphatase 1</t>
  </si>
  <si>
    <t>Isoform 10 of Tropomyosin alpha-1 chain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</si>
  <si>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</si>
  <si>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</si>
  <si>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</si>
  <si>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</si>
  <si>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</si>
  <si>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Heme oxygenase 1</t>
  </si>
  <si>
    <t>Platelet-derived growth factor receptor beta</t>
  </si>
  <si>
    <t>Dihydrolipoyl dehydrogenase, mitochondrial</t>
  </si>
  <si>
    <t>U2 small nuclear ribonucleoprotein A</t>
  </si>
  <si>
    <t>Pro-cathepsin H</t>
  </si>
  <si>
    <t>Cytochrome c oxidase subunit 6C</t>
  </si>
  <si>
    <t>Poly [ADP-ribose] polymerase 1</t>
  </si>
  <si>
    <t>Leukotriene A-4 hydrolase</t>
  </si>
  <si>
    <t>Fructose-bisphosphate aldolase C</t>
  </si>
  <si>
    <t>Peroxisomal coenzyme A diphosphatase NUDT7</t>
  </si>
  <si>
    <t>CDGSH iron-sulfur domain-containing protein 3, mitochondrial</t>
  </si>
  <si>
    <t>Ataxin-1-like</t>
  </si>
  <si>
    <t>JmjC domain-containing protein 7</t>
  </si>
  <si>
    <t>DNA-directed RNA polymerase II subunit GRINL1A</t>
  </si>
  <si>
    <t>Chromosome transmission fidelity protein 8 homolog isoform 2</t>
  </si>
  <si>
    <t>40S ribosomal protein S17-like</t>
  </si>
  <si>
    <t>Small integral membrane protein 13</t>
  </si>
  <si>
    <t>Adrenodoxin, mitochondrial</t>
  </si>
  <si>
    <t>Ras-related protein Rap-2a</t>
  </si>
  <si>
    <t>60 kDa SS-A/Ro ribonucleoprotein</t>
  </si>
  <si>
    <t>Cytochrome c oxidase subunit 8A, mitochondrial</t>
  </si>
  <si>
    <t>Lysosomal alpha-glucosidase</t>
  </si>
  <si>
    <t>Ras-related protein R-Ras</t>
  </si>
  <si>
    <t>Serine/threonine-protein kinase A-Raf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</si>
  <si>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</si>
  <si>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</si>
  <si>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</si>
  <si>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Nuclear receptor subfamily 2 group F member 6</t>
  </si>
  <si>
    <t>Thioredoxin</t>
  </si>
  <si>
    <t>Cytochrome c oxidase subunit 5B, mitochondrial</t>
  </si>
  <si>
    <t>Lysosomal protective protein</t>
  </si>
  <si>
    <t>Isoform Tau-C of Microtubule-associated protein tau</t>
  </si>
  <si>
    <t>Complement component C7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</si>
  <si>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</si>
  <si>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</si>
  <si>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</si>
  <si>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</si>
  <si>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Isoform 4 of Clusterin</t>
  </si>
  <si>
    <t>78 kDa glucose-regulated protein</t>
  </si>
  <si>
    <t>Laminin subunit gamma-1</t>
  </si>
  <si>
    <t>Phenylethanolamine N-methyltransferase</t>
  </si>
  <si>
    <t>Lysosomal acid phosphatase</t>
  </si>
  <si>
    <t>Solute carrier family 2, facilitated glucose transporter member 1</t>
  </si>
  <si>
    <t>Protein 4.1</t>
  </si>
  <si>
    <t>Isoform 2 of Protein 4.1</t>
  </si>
  <si>
    <t>Uridine 5-monophosphate synthase</t>
  </si>
  <si>
    <t>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</si>
  <si>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</si>
  <si>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</si>
  <si>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Ras-related protein Ral-A</t>
  </si>
  <si>
    <t>Ras-related protein Ral-B</t>
  </si>
  <si>
    <t>Breakpoint cluster region protein</t>
  </si>
  <si>
    <t>Lysosome-associated membrane glycoprotein 1</t>
  </si>
  <si>
    <t>DNA topoisomerase 1</t>
  </si>
  <si>
    <t>DNA topoisomerase 2-alpha</t>
  </si>
  <si>
    <t>Glucose-6-phosphate 1-dehydrogenase</t>
  </si>
  <si>
    <t>Ubiquitin-like protein 4A</t>
  </si>
  <si>
    <t>Pyruvate carboxylase, mitochondrial</t>
  </si>
  <si>
    <t>C-1-tetrahydrofolate synthase, cytoplasmic</t>
  </si>
  <si>
    <t>Cation-independent mannose-6-phosphate receptor</t>
  </si>
  <si>
    <t>Alcohol dehydrogenase class-3</t>
  </si>
  <si>
    <t>Serine/threonine-protein kinase H1</t>
  </si>
  <si>
    <t>Cyclin-dependent kinase 4</t>
  </si>
  <si>
    <t>Ribose-phosphate pyrophosphokinase 2</t>
  </si>
  <si>
    <t>Isoform 2 of Polyadenylate-binding protein 1</t>
  </si>
  <si>
    <t>Proliferating cell nuclear antigen</t>
  </si>
  <si>
    <t>Histidine--tRNA ligase, cytoplasmic</t>
  </si>
  <si>
    <t>Collagen alpha-1(VI) chain</t>
  </si>
  <si>
    <t>ADP/ATP translocase 1</t>
  </si>
  <si>
    <t>ADP/ATP translocase 3</t>
  </si>
  <si>
    <t>Inosine-5-monophosphate dehydrogenase 2</t>
  </si>
  <si>
    <t>Nucleoprotein TPR</t>
  </si>
  <si>
    <t>Creatine kinase B-type</t>
  </si>
  <si>
    <t>Annexin A3</t>
  </si>
  <si>
    <t>Creatine kinase U-type, mitochondrial</t>
  </si>
  <si>
    <t>Ski oncogene</t>
  </si>
  <si>
    <t>Isoform 2 of Alpha-actinin-1</t>
  </si>
  <si>
    <t>Cadherin-1</t>
  </si>
  <si>
    <t>Xaa-Pro dipeptidase</t>
  </si>
  <si>
    <t>X-ray repair cross-complementing protein 6</t>
  </si>
  <si>
    <t>X-ray repair cross-complementing protein 5</t>
  </si>
  <si>
    <t>Uracil-DNA glycosylase</t>
  </si>
  <si>
    <t>Nuclear receptor subfamily 2 group C member 1</t>
  </si>
  <si>
    <t>Cytochrome c oxidase subunit 4 isoform 1, mitochondrial</t>
  </si>
  <si>
    <t>5-aminolevulinate synthase, nonspecific, mitochondrial</t>
  </si>
  <si>
    <t>Gamma-interferon-inducible lysosomal thiol reductase</t>
  </si>
  <si>
    <t>Ribonuclease inhibitor</t>
  </si>
  <si>
    <t>Cytochrome b-245 light chain</t>
  </si>
  <si>
    <t>Secretogranin-2</t>
  </si>
  <si>
    <t>Elongation factor 2</t>
  </si>
  <si>
    <t>Isoform 2 of Metallothionein-1G</t>
  </si>
  <si>
    <t>Protein disulfide-isomerase A4</t>
  </si>
  <si>
    <t>Prolyl 4-hydroxylase subunit alpha-1</t>
  </si>
  <si>
    <t>Isoform 2 of Prolyl 4-hydroxylase subunit alpha-1</t>
  </si>
  <si>
    <t>Translationally-controlled tumor protein</t>
  </si>
  <si>
    <t>Electron transfer flavoprotein subunit alpha, mitochondrial</t>
  </si>
  <si>
    <t>cAMP-dependent protein kinase type II-alpha regulatory subunit</t>
  </si>
  <si>
    <t>Isoform 2 of Sodium/glucose cotransporter 1</t>
  </si>
  <si>
    <t>Beta-enolase</t>
  </si>
  <si>
    <t>General transcription factor IIF subunit 2</t>
  </si>
  <si>
    <t>Coiled-coil domain-containing protein 130</t>
  </si>
  <si>
    <t>Bifunctional methylenetetrahydrofolate dehydrogenase/cyclohydrolase, mitochondrial</t>
  </si>
  <si>
    <t>Macrophage migration inhibitory factor</t>
  </si>
  <si>
    <t>Perforin-1</t>
  </si>
  <si>
    <t>Isoform 2 of Farnesyl pyrophosphate synthase</t>
  </si>
  <si>
    <t>Alcohol dehydrogenase [NADP(+)]</t>
  </si>
  <si>
    <t>Phospholipase A2, membrane associated</t>
  </si>
  <si>
    <t>Pyruvate kinase isozymes M1/M2</t>
  </si>
  <si>
    <t>Isoform M1 of Pyruvate kinase isozymes M1/M2</t>
  </si>
  <si>
    <t>Acylphosphatase-2</t>
  </si>
  <si>
    <t>Endoplasmin</t>
  </si>
  <si>
    <t>G2/mitotic-specific cyclin-B1</t>
  </si>
  <si>
    <t>Myosin light chain 6B</t>
  </si>
  <si>
    <t>Isoform SM-B of Small nuclear ribonucleoprotein-associated proteins B and B</t>
  </si>
  <si>
    <t>Insulin-degrading enzyme</t>
  </si>
  <si>
    <t>Cytochrome c oxidase subunit 6B1</t>
  </si>
  <si>
    <t>Heterogeneous nuclear ribonucleoprotein L</t>
  </si>
  <si>
    <t>Aspartate--tRNA ligase, cytoplasmic</t>
  </si>
  <si>
    <t>Cytochrome b-c1 complex subunit 7</t>
  </si>
  <si>
    <t>Glutamine synthetase</t>
  </si>
  <si>
    <t>Aminopeptidase N</t>
  </si>
  <si>
    <t>Isoform Gamma of Poliovirus receptor</t>
  </si>
  <si>
    <t>Isoform 2 of Eukaryotic peptide chain release factor GTP-binding subunit ERF3A</t>
  </si>
  <si>
    <t>Arylsulfatase A</t>
  </si>
  <si>
    <t>Isoform Short of Beta-1,4-galactosyltransferase 1</t>
  </si>
  <si>
    <t>Ezrin</t>
  </si>
  <si>
    <t>Ubiquitin carboxyl-terminal hydrolase isozyme L3</t>
  </si>
  <si>
    <t>Fos-related antigen 1</t>
  </si>
  <si>
    <t>Isoform L of Membrane cofactor protein</t>
  </si>
  <si>
    <t>Nucleoside diphosphate kinase A</t>
  </si>
  <si>
    <t>Zinc finger protein 40</t>
  </si>
  <si>
    <t>Arylsulfatase B</t>
  </si>
  <si>
    <t>40S ribosomal protein S2</t>
  </si>
  <si>
    <t>Isoform 3 of N-chimaerin</t>
  </si>
  <si>
    <t>Desmoplakin</t>
  </si>
  <si>
    <t>Replication protein A 32 kDa subunit</t>
  </si>
  <si>
    <t>Cytochrome c oxidase subunit 7C, mitochondrial</t>
  </si>
  <si>
    <t>Isoform Beta-4A of Integrin beta-4</t>
  </si>
  <si>
    <t>Carbonyl reductase [NADPH] 1</t>
  </si>
  <si>
    <t>HLA class I histocompatibility antigen, A-30 alpha chain</t>
  </si>
  <si>
    <t>Short-chain specific acyl-CoA dehydrogenase, mitochondrial</t>
  </si>
  <si>
    <t>Isoform CREB-B of Cyclic AMP-responsive element-binding protein 1</t>
  </si>
  <si>
    <t>Isoform 3 of Beta-galactosidase</t>
  </si>
  <si>
    <t>Serine/threonine-protein phosphatase 2B catalytic subunit beta isoform</t>
  </si>
  <si>
    <t>GC-rich sequence DNA-binding factor 2</t>
  </si>
  <si>
    <t>Histone H1.5</t>
  </si>
  <si>
    <t>NADPH--cytochrome P450 reductase</t>
  </si>
  <si>
    <t>Methylated-DNA--protein-cysteine methyltransferase</t>
  </si>
  <si>
    <t>Sarcoplasmic/endoplasmic reticulum calcium ATPase 2</t>
  </si>
  <si>
    <t>Isoform 2 of Carboxypeptidase E</t>
  </si>
  <si>
    <t>Fumarylacetoacetase</t>
  </si>
  <si>
    <t>Y-box-binding protein 3</t>
  </si>
  <si>
    <t>Isoform 2 of Y-box-binding protein 3</t>
  </si>
  <si>
    <t>Zinc finger protein 24</t>
  </si>
  <si>
    <t>Alpha-N-acetylgalactosaminidase</t>
  </si>
  <si>
    <t>Heat shock 70 kDa protein 6</t>
  </si>
  <si>
    <t>High mobility group protein HMG-I/HMG-Y</t>
  </si>
  <si>
    <t>Isoform HMG-Y of High mobility group protein HMG-I/HMG-Y</t>
  </si>
  <si>
    <t>Transmembrane protein 11, mitochondrial</t>
  </si>
  <si>
    <t>Aspartate aminotransferase, cytoplasmic</t>
  </si>
  <si>
    <t>Protein kinase C alpha type</t>
  </si>
  <si>
    <t>Transcription factor jun-B</t>
  </si>
  <si>
    <t>Transcription factor jun-D</t>
  </si>
  <si>
    <t>NADH dehydrogenase [ubiquinone] 1 beta subcomplex subunit 7</t>
  </si>
  <si>
    <t>cAMP-dependent protein kinase catalytic subunit alpha</t>
  </si>
  <si>
    <t>Calpain-2 catalytic subunit</t>
  </si>
  <si>
    <t>Isoform PTPA of Tyrosine-protein phosphatase non-receptor type 2</t>
  </si>
  <si>
    <t>CTP synthase 1</t>
  </si>
  <si>
    <t>6-phosphofructokinase, liver type</t>
  </si>
  <si>
    <t>Ganglioside GM2 activator</t>
  </si>
  <si>
    <t>Galectin-3</t>
  </si>
  <si>
    <t>T-complex protein 1 subunit alpha</t>
  </si>
  <si>
    <t>Tyrosine-protein phosphatase non-receptor type 1</t>
  </si>
  <si>
    <t>Insulin-like growth factor-binding protein 2</t>
  </si>
  <si>
    <t>ADP-ribosylation factor 4</t>
  </si>
  <si>
    <t>60S ribosomal protein L7</t>
  </si>
  <si>
    <t>Early growth response protein 1</t>
  </si>
  <si>
    <t>Isoform 1 of Vinculin</t>
  </si>
  <si>
    <t>Glutathione peroxidase 2</t>
  </si>
  <si>
    <t>Negative elongation factor E</t>
  </si>
  <si>
    <t>Phosphoglycerate mutase 1</t>
  </si>
  <si>
    <t>Regulator of chromosome condensation</t>
  </si>
  <si>
    <t>Syndecan-1</t>
  </si>
  <si>
    <t>Cyclic AMP-dependent transcription factor ATF-1</t>
  </si>
  <si>
    <t>DNA ligase 1</t>
  </si>
  <si>
    <t>ATP synthase-coupling factor 6, mitochondrial</t>
  </si>
  <si>
    <t>Isoform 6 of Peptidyl-glycine alpha-amidating monooxygenase</t>
  </si>
  <si>
    <t>1-phosphatidylinositol 4,5-bisphosphate phosphodiesterase gamma-1</t>
  </si>
  <si>
    <t>Nucleolin</t>
  </si>
  <si>
    <t>Hexokinase-1</t>
  </si>
  <si>
    <t>DNA-directed RNA polymerase II subunit RPB3</t>
  </si>
  <si>
    <t>DNA-directed RNA polymerases I, II, and III subunit RPABC1</t>
  </si>
  <si>
    <t>TFIIH basal transcription factor complex helicase XPB subunit</t>
  </si>
  <si>
    <t>Interferon-induced, double-stranded RNA-activated protein kinase</t>
  </si>
  <si>
    <t>Spermidine synthase</t>
  </si>
  <si>
    <t>Nuclear factor NF-kappa-B p105 subunit</t>
  </si>
  <si>
    <t>Isoform K of Plasma membrane calcium-transporting ATPase 1</t>
  </si>
  <si>
    <t>Eukaryotic translation initiation factor 2 subunit 2</t>
  </si>
  <si>
    <t>Cyclin-A2</t>
  </si>
  <si>
    <t>Transcription factor BTF3</t>
  </si>
  <si>
    <t>Isoform 2 of Transcription factor BTF3</t>
  </si>
  <si>
    <t>Muscarinic acetylcholine receptor M3</t>
  </si>
  <si>
    <t>Ras-related protein Rab-3A</t>
  </si>
  <si>
    <t>Ras-related protein Rab-3B</t>
  </si>
  <si>
    <t>Ras-related protein Rab-4A</t>
  </si>
  <si>
    <t>Ras-related protein Rab-6A</t>
  </si>
  <si>
    <t>Isoform 2 of Ras-related protein Rab-6A</t>
  </si>
  <si>
    <t>DNA mismatch repair protein Msh3</t>
  </si>
  <si>
    <t>Proteasome subunit beta type-1</t>
  </si>
  <si>
    <t>Cation-dependent mannose-6-phosphate receptor</t>
  </si>
  <si>
    <t>Cytochrome c oxidase subunit 5A, mitochondrial</t>
  </si>
  <si>
    <t>Lamin-B1</t>
  </si>
  <si>
    <t>Isoform 5 of Calpastatin</t>
  </si>
  <si>
    <t>N(4)-(beta-N-acetylglucosaminyl)-L-asparaginase</t>
  </si>
  <si>
    <t>Parathymosin</t>
  </si>
  <si>
    <t>Isoform 8 of Cyclin-dependent kinase 11B</t>
  </si>
  <si>
    <t>Glutathione S-transferase Mu 3</t>
  </si>
  <si>
    <t>V-type proton ATPase subunit B, brain isoform</t>
  </si>
  <si>
    <t>V-type proton ATPase subunit C 1</t>
  </si>
  <si>
    <t>Cysteine and glycine-rich protein 1</t>
  </si>
  <si>
    <t>Isoform 2 of Filamin-A</t>
  </si>
  <si>
    <t>Isoform 1 of Neurofibromin</t>
  </si>
  <si>
    <t>Amine oxidase [flavin-containing] A</t>
  </si>
  <si>
    <t>Cytoplasmic aconitate hydratase</t>
  </si>
  <si>
    <t>Tumor necrosis factor alpha-induced protein 3</t>
  </si>
  <si>
    <t>Isoform 2 of Glycerol-3-phosphate dehydrogenase [NAD(+)], cytoplasmic</t>
  </si>
  <si>
    <t>Voltage-dependent anion-selective channel protein 1</t>
  </si>
  <si>
    <t>Isoform 4 of Receptor tyrosine-protein kinase erbB-3</t>
  </si>
  <si>
    <t>Succinate dehydrogenase [ubiquinone] iron-sulfur subunit, mitochondrial</t>
  </si>
  <si>
    <t>2-oxoisovalerate dehydrogenase subunit beta, mitochondrial</t>
  </si>
  <si>
    <t>Isoform Soluble of Catechol O-methyltransferase</t>
  </si>
  <si>
    <t>Methylmalonyl-CoA mutase, mitochondrial</t>
  </si>
  <si>
    <t>Oxysterol-binding protein 1</t>
  </si>
  <si>
    <t>rRNA 2-O-methyltransferase fibrillarin</t>
  </si>
  <si>
    <t>Trifunctional purine biosynthetic protein adenosine-3</t>
  </si>
  <si>
    <t>Multifunctional protein ADE2</t>
  </si>
  <si>
    <t>Iduronate 2-sulfatase</t>
  </si>
  <si>
    <t>Isoform 6 of Non-specific lipid-transfer protein</t>
  </si>
  <si>
    <t>Ubiquitin-like modifier-activating enzyme 1</t>
  </si>
  <si>
    <t>Small proline-rich protein 2D</t>
  </si>
  <si>
    <t>NADPH:adrenodoxin oxidoreductase, mitochondrial</t>
  </si>
  <si>
    <t>Heterogeneous nuclear ribonucleoproteins A2/B1</t>
  </si>
  <si>
    <t>E3 ubiquitin-protein ligase CBL</t>
  </si>
  <si>
    <t>Insulin-like growth factor-binding protein 4</t>
  </si>
  <si>
    <t>cAMP-dependent protein kinase catalytic subunit beta</t>
  </si>
  <si>
    <t>Cytochrome b-c1 complex subunit 2, mitochondrial</t>
  </si>
  <si>
    <t>Ferrochelatase, mitochondrial</t>
  </si>
  <si>
    <t>DNA repair protein complementing XP-A cells</t>
  </si>
  <si>
    <t>Isoform 3 of Liver carboxylesterase 1</t>
  </si>
  <si>
    <t>Transcription elongation factor A protein 1</t>
  </si>
  <si>
    <t>Splicing factor, proline- and glutamine-rich</t>
  </si>
  <si>
    <t>Tubulin gamma-1 chain</t>
  </si>
  <si>
    <t>Carbonic anhydrase 6</t>
  </si>
  <si>
    <t>Peptidyl-prolyl cis-trans isomerase B</t>
  </si>
  <si>
    <t>NAD-dependent malic enzyme, mitochondrial</t>
  </si>
  <si>
    <t>Tryptophan--tRNA ligase, cytoplasmic</t>
  </si>
  <si>
    <t>40S ribosomal protein S3</t>
  </si>
  <si>
    <t>Myogenic factor 6</t>
  </si>
  <si>
    <t>Glycine cleavage system H protein, mitochondrial</t>
  </si>
  <si>
    <t>Isoform 2 of Receptor-type tyrosine-protein phosphatase epsilon</t>
  </si>
  <si>
    <t>Nuclear autoantigen Sp-100</t>
  </si>
  <si>
    <t>Isoform Short of Nuclear transcription factor Y subunit alpha</t>
  </si>
  <si>
    <t>Adenosylhomocysteinase</t>
  </si>
  <si>
    <t>Cofilin-1</t>
  </si>
  <si>
    <t>Factor VIII intron 22 protein</t>
  </si>
  <si>
    <t>Carnitine O-palmitoyltransferase 2, mitochondrial</t>
  </si>
  <si>
    <t>Thymidylate kinase</t>
  </si>
  <si>
    <t>Ribonucleoside-diphosphate reductase large subunit</t>
  </si>
  <si>
    <t>G1/S-specific cyclin-D1</t>
  </si>
  <si>
    <t>COUP transcription factor 2</t>
  </si>
  <si>
    <t>Elongation factor 1-beta</t>
  </si>
  <si>
    <t>Insulin-like growth factor-binding protein 5</t>
  </si>
  <si>
    <t>Low molecular weight phosphotyrosine protein phosphatase</t>
  </si>
  <si>
    <t>Isoform 2 of Low molecular weight phosphotyrosine protein phosphatase</t>
  </si>
  <si>
    <t>Acetyl-CoA acetyltransferase, mitochondrial</t>
  </si>
  <si>
    <t>DNA-directed RNA polymerase II subunit RPB1</t>
  </si>
  <si>
    <t>Isoform Short of Adenomatous polyposis coli protein</t>
  </si>
  <si>
    <t>Beta-adrenergic receptor kinase 1</t>
  </si>
  <si>
    <t>DNA replication licensing factor MCM3</t>
  </si>
  <si>
    <t>Zinc-alpha-2-glycoprotein</t>
  </si>
  <si>
    <t>40S ribosomal protein S12</t>
  </si>
  <si>
    <t>Transcriptional repressor protein YY1</t>
  </si>
  <si>
    <t>DnaJ homolog subfamily B member 1</t>
  </si>
  <si>
    <t>ATP synthase subunit alpha, mitochondrial</t>
  </si>
  <si>
    <t>Proteasome subunit alpha type-1</t>
  </si>
  <si>
    <t>Proteasome subunit alpha type-2</t>
  </si>
  <si>
    <t>Isoform 2 of Proteasome subunit alpha type-3</t>
  </si>
  <si>
    <t>Proteasome subunit alpha type-4</t>
  </si>
  <si>
    <t>Protein S100-P</t>
  </si>
  <si>
    <t>Moesin</t>
  </si>
  <si>
    <t>Probable ATP-dependent RNA helicase DDX6</t>
  </si>
  <si>
    <t>DNA (cytosine-5)-methyltransferase 1</t>
  </si>
  <si>
    <t>Isoform 2 of Splicing factor U2AF 65 kDa subunit</t>
  </si>
  <si>
    <t>60S ribosomal protein L13</t>
  </si>
  <si>
    <t>Rab proteins geranylgeranyltransferase component A 2</t>
  </si>
  <si>
    <t>Isovaleryl-CoA dehydrogenase, mitochondrial</t>
  </si>
  <si>
    <t>Protein S100-A4</t>
  </si>
  <si>
    <t>Alpha-1,3-mannosyl-glycoprotein 2-beta-N-acetylglucosaminyltransferase</t>
  </si>
  <si>
    <t>High mobility group protein B2</t>
  </si>
  <si>
    <t>Polypyrimidine tract-binding protein 1</t>
  </si>
  <si>
    <t>Threonine--tRNA ligase, cytoplasmic</t>
  </si>
  <si>
    <t>Elongation factor 1-gamma</t>
  </si>
  <si>
    <t>Peptidyl-prolyl cis-trans isomerase FKBP2</t>
  </si>
  <si>
    <t>GTP:AMP phosphotransferase AK4, mitochondrial</t>
  </si>
  <si>
    <t>Amine oxidase [flavin-containing] B</t>
  </si>
  <si>
    <t>14-3-3 protein theta</t>
  </si>
  <si>
    <t>Mitogen-activated protein kinase 3</t>
  </si>
  <si>
    <t>V-type proton ATPase 16 kDa proteolipid subunit</t>
  </si>
  <si>
    <t>Calmodulin-like protein 3</t>
  </si>
  <si>
    <t>Isoform 2 of Aryl hydrocarbon receptor nuclear translocator</t>
  </si>
  <si>
    <t>60S ribosomal protein L10</t>
  </si>
  <si>
    <t>Replication protein A 70 kDa DNA-binding subunit</t>
  </si>
  <si>
    <t>DNA-(apurinic or apyrimidinic site) lyase</t>
  </si>
  <si>
    <t>Calreticulin</t>
  </si>
  <si>
    <t>Isoform 5 of Microtubule-associated protein 4</t>
  </si>
  <si>
    <t>Calnexin</t>
  </si>
  <si>
    <t>Phosphatidylinositol 3-kinase regulatory subunit alpha</t>
  </si>
  <si>
    <t>Inositol-trisphosphate 3-kinase B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</si>
  <si>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</si>
  <si>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</si>
  <si>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</si>
  <si>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</si>
  <si>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</si>
  <si>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Isoform 4 of NADH-ubiquinone oxidoreductase 75 kDa subunit, mitochondrial</t>
  </si>
  <si>
    <t>Mitogen-activated protein kinase 1</t>
  </si>
  <si>
    <t>Retinoic acid receptor RXR-beta</t>
  </si>
  <si>
    <t>DNA repair protein complementing XP-G cells</t>
  </si>
  <si>
    <t>Granulins</t>
  </si>
  <si>
    <t>Isoform 2 of Cytosol aminopeptidase</t>
  </si>
  <si>
    <t>Protein S100-A2</t>
  </si>
  <si>
    <t>General transcription factor IIE subunit 1</t>
  </si>
  <si>
    <t>Transcription initiation factor IIE subunit beta</t>
  </si>
  <si>
    <t>Tripeptidyl-peptidase 2</t>
  </si>
  <si>
    <t>Inositol monophosphatase 1</t>
  </si>
  <si>
    <t>Ephrin type-A receptor 2</t>
  </si>
  <si>
    <t>Isoform 2 of Ephrin type-B receptor 2</t>
  </si>
  <si>
    <t>Tyrosine-protein phosphatase non-receptor type 6</t>
  </si>
  <si>
    <t>Isoform p52Shc of SHC-transforming protein 1</t>
  </si>
  <si>
    <t>Isoform 4 of DNA-3-methyladenine glycosylase</t>
  </si>
  <si>
    <t>Cellular retinoic acid-binding protein 2</t>
  </si>
  <si>
    <t>Collagen alpha-5(IV) chain</t>
  </si>
  <si>
    <t>Transketolase</t>
  </si>
  <si>
    <t>Isoform PML-11 of Protein PML</t>
  </si>
  <si>
    <t>Myristoylated alanine-rich C-kinase substrate</t>
  </si>
  <si>
    <t>Guanine nucleotide-binding protein subunit alpha-11</t>
  </si>
  <si>
    <t>Delta-1-pyrroline-5-carboxylate dehydrogenase, mitochondrial</t>
  </si>
  <si>
    <t>Endoplasmic reticulum resident protein 29</t>
  </si>
  <si>
    <t>Peroxiredoxin-6</t>
  </si>
  <si>
    <t>ES1 protein homolog, mitochondrial</t>
  </si>
  <si>
    <t>Flavin reductase (NADPH)</t>
  </si>
  <si>
    <t>Peroxiredoxin-5, mitochondrial</t>
  </si>
  <si>
    <t>D-dopachrome decarboxylase</t>
  </si>
  <si>
    <t>GTP cyclohydrolase 1 feedback regulatory protein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</si>
  <si>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</si>
  <si>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</si>
  <si>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</si>
  <si>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</si>
  <si>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</si>
  <si>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Protein disulfide-isomerase A3</t>
  </si>
  <si>
    <t>Serine/threonine-protein phosphatase 2A 65 kDa regulatory subunit A alpha isoform</t>
  </si>
  <si>
    <t>Serine/threonine-protein phosphatase 2A 65 kDa regulatory subunit A beta isoform</t>
  </si>
  <si>
    <t>Cell division cycle protein 27 homolog</t>
  </si>
  <si>
    <t>Isoform 3 of G1/S-specific cyclin-D3</t>
  </si>
  <si>
    <t>Wee1-like protein kinase</t>
  </si>
  <si>
    <t>Peptidyl-prolyl cis-trans isomerase F, mitochondrial</t>
  </si>
  <si>
    <t>NK-tumor recognition protein</t>
  </si>
  <si>
    <t>Glycylpeptide N-tetradecanoyltransferase 1</t>
  </si>
  <si>
    <t>HLA class I histocompatibility antigen, A-1 alpha chain</t>
  </si>
  <si>
    <t>HLA class I histocompatibility antigen, B-54 alpha chain</t>
  </si>
  <si>
    <t>HLA class I histocompatibility antigen, Cw-4 alpha chain</t>
  </si>
  <si>
    <t>HLA class I histocompatibility antigen, Cw-12 alpha chain</t>
  </si>
  <si>
    <t>Heme oxygenase 2</t>
  </si>
  <si>
    <t>Adenylosuccinate synthetase isozyme 2</t>
  </si>
  <si>
    <t>Alpha-2-macroglobulin receptor-associated protein</t>
  </si>
  <si>
    <t>Adenylosuccinate lyase</t>
  </si>
  <si>
    <t>Isoform L-type of Pyruvate kinase isozymes R/L</t>
  </si>
  <si>
    <t>Isoform 3 of CAP-Gly domain-containing linker protein 1</t>
  </si>
  <si>
    <t>Glutathione S-transferase theta-1</t>
  </si>
  <si>
    <t>Leukocyte elastase inhibitor</t>
  </si>
  <si>
    <t>GTP cyclohydrolase 1</t>
  </si>
  <si>
    <t>High affinity cationic amino acid transporter 1</t>
  </si>
  <si>
    <t>Aldehyde dehydrogenase X, mitochondrial</t>
  </si>
  <si>
    <t>Aldehyde dehydrogenase, dimeric NADP-preferring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</si>
  <si>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</si>
  <si>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</si>
  <si>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</si>
  <si>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</si>
  <si>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II-beta regulatory subunit</t>
  </si>
  <si>
    <t>Ribonucleoside-diphosphate reductase subunit M2</t>
  </si>
  <si>
    <t>Sodium- and chloride-dependent taurine transporter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</si>
  <si>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</si>
  <si>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</si>
  <si>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</si>
  <si>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</si>
  <si>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</si>
  <si>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</si>
  <si>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</si>
  <si>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14-3-3 protein beta/alpha</t>
  </si>
  <si>
    <t>14-3-3 protein sigma</t>
  </si>
  <si>
    <t>Stress-induced-phosphoprotein 1</t>
  </si>
  <si>
    <t>Protein S100-A11</t>
  </si>
  <si>
    <t>Isoform 3 of Type II inositol 1,4,5-trisphosphate 5-phosphatase</t>
  </si>
  <si>
    <t>Peroxiredoxin-2</t>
  </si>
  <si>
    <t>Isoform 5 of Beta-arrestin-2</t>
  </si>
  <si>
    <t>Isoform 1 of Glycerol kinase</t>
  </si>
  <si>
    <t>Cytidine deaminase</t>
  </si>
  <si>
    <t>Isoform 2 of Deoxycytidylate deaminase</t>
  </si>
  <si>
    <t>Pyrroline-5-carboxylate reductase 1, mitochondrial</t>
  </si>
  <si>
    <t>Isoform 2 of ETS-related transcription factor Elf-1</t>
  </si>
  <si>
    <t>Cystathionine gamma-lyase</t>
  </si>
  <si>
    <t>60S ribosomal protein L9</t>
  </si>
  <si>
    <t>Long-chain-fatty-acid--CoA ligase 1</t>
  </si>
  <si>
    <t>Kinesin-1 heavy chain</t>
  </si>
  <si>
    <t>Isoform 2 of Cleavage stimulation factor subunit 2</t>
  </si>
  <si>
    <t>Deoxyuridine 5-triphosphate nucleotidohydrolase, mitochondrial</t>
  </si>
  <si>
    <t>Isoform 2 of Deoxyuridine 5-triphosphate nucleotidohydrolase, mitochondrial</t>
  </si>
  <si>
    <t>Cyclin-dependent kinases regulatory subunit 2</t>
  </si>
  <si>
    <t>Protein S100-A3</t>
  </si>
  <si>
    <t>Mannosyl-oligosaccharide 1,2-alpha-mannosidase IA</t>
  </si>
  <si>
    <t>Isoform 2 of Dual specificity protein kinase TTK</t>
  </si>
  <si>
    <t>DNA replication licensing factor MCM4</t>
  </si>
  <si>
    <t>DNA replication licensing factor MCM5</t>
  </si>
  <si>
    <t>DNA replication licensing factor MCM7</t>
  </si>
  <si>
    <t>N-acetylgalactosamine-6-sulfatase</t>
  </si>
  <si>
    <t>Isoform 2 of Serine hydroxymethyltransferase, cytosolic</t>
  </si>
  <si>
    <t>Isoform 3 of Serine hydroxymethyltransferase, mitochondrial</t>
  </si>
  <si>
    <t>Heat shock 70 kDa protein 4</t>
  </si>
  <si>
    <t>Mannose-6-phosphate isomerase</t>
  </si>
  <si>
    <t>Carbonic anhydrase-related protein</t>
  </si>
  <si>
    <t>Catenin alpha-1</t>
  </si>
  <si>
    <t>Polycomb group RING finger protein 2</t>
  </si>
  <si>
    <t>Prohibitin</t>
  </si>
  <si>
    <t>Serpin B6</t>
  </si>
  <si>
    <t>Isoform 4 of Merlin</t>
  </si>
  <si>
    <t>Radixin</t>
  </si>
  <si>
    <t>Replication protein A 14 kDa subunit</t>
  </si>
  <si>
    <t>Replication factor C subunit 2</t>
  </si>
  <si>
    <t>Isoform 2 of Replication factor C subunit 1</t>
  </si>
  <si>
    <t>60S ribosomal protein L22</t>
  </si>
  <si>
    <t>General transcription factor IIF subunit 1</t>
  </si>
  <si>
    <t>Sepiapterin reductase</t>
  </si>
  <si>
    <t>ADM</t>
  </si>
  <si>
    <t>Alpha-L-iduronidase</t>
  </si>
  <si>
    <t>Glycogen debranching enzyme</t>
  </si>
  <si>
    <t>Myosin-9</t>
  </si>
  <si>
    <t>Myosin-10</t>
  </si>
  <si>
    <t>Coatomer subunit beta</t>
  </si>
  <si>
    <t>Sterol O-acyltransferase 1</t>
  </si>
  <si>
    <t>Alpha-adducin</t>
  </si>
  <si>
    <t>Isoform 2 of Basigin</t>
  </si>
  <si>
    <t>Beta-adrenergic receptor kinase 2</t>
  </si>
  <si>
    <t>Isoform Short of RNA-binding protein FUS</t>
  </si>
  <si>
    <t>Isoform 2 of Nuclear pore complex protein Nup214</t>
  </si>
  <si>
    <t>Protein DEK</t>
  </si>
  <si>
    <t>Glutaredoxin-1</t>
  </si>
  <si>
    <t>Choline kinase alpha</t>
  </si>
  <si>
    <t>Protein phosphatase 1A</t>
  </si>
  <si>
    <t>26S protease regulatory subunit 7</t>
  </si>
  <si>
    <t>ADP-ribosylation factor-like protein 2</t>
  </si>
  <si>
    <t>ADP-ribosylation factor-like protein 3</t>
  </si>
  <si>
    <t>Dual specificity mitogen-activated protein kinase kinase 2</t>
  </si>
  <si>
    <t>ATP synthase subunit gamma, mitochondrial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</si>
  <si>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</si>
  <si>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</si>
  <si>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</si>
  <si>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</si>
  <si>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Phosphoglucomutase-1</t>
  </si>
  <si>
    <t>Isoform Gamma-2 of Serine/threonine-protein phosphatase PP1-gamma catalytic subunit</t>
  </si>
  <si>
    <t>Guanine nucleotide-binding protein-like 1</t>
  </si>
  <si>
    <t>Serpin B5</t>
  </si>
  <si>
    <t>DNA-directed RNA polymerase II subunit RPB9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</si>
  <si>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</si>
  <si>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</si>
  <si>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</si>
  <si>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</si>
  <si>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Signal recognition particle 14 kDa protein</t>
  </si>
  <si>
    <t>Nuclear pore glycoprotein p62</t>
  </si>
  <si>
    <t>Hippocalcin-like protein 1</t>
  </si>
  <si>
    <t>Squalene synthase</t>
  </si>
  <si>
    <t>Isoform 3 of Phosphatidylinositol N-acetylglucosaminyltransferase subunit A</t>
  </si>
  <si>
    <t>Transgelin-2</t>
  </si>
  <si>
    <t>Transaldolase</t>
  </si>
  <si>
    <t>Electron transfer flavoprotein subunit beta</t>
  </si>
  <si>
    <t>Isoform 2 of Electron transfer flavoprotein subunit beta</t>
  </si>
  <si>
    <t>RNA-binding motif protein, X chromosome</t>
  </si>
  <si>
    <t>Coilin</t>
  </si>
  <si>
    <t>Vitamin K-dependent gamma-carboxylase</t>
  </si>
  <si>
    <t>Integrin alpha-E</t>
  </si>
  <si>
    <t>V-type proton ATPase catalytic subunit A</t>
  </si>
  <si>
    <t>Stress-70 protein, mitochondrial</t>
  </si>
  <si>
    <t>Eukaryotic initiation factor 4A-III</t>
  </si>
  <si>
    <t>DNA-binding protein SMUBP-2</t>
  </si>
  <si>
    <t>40S ribosomal protein S19</t>
  </si>
  <si>
    <t>60S ribosomal protein L3</t>
  </si>
  <si>
    <t>Dolichyl-diphosphooligosaccharide--protein glycosyltransferase 48 kDa subunit</t>
  </si>
  <si>
    <t>Acidic leucine-rich nuclear phosphoprotein 32 family member A</t>
  </si>
  <si>
    <t>Flap endonuclease 1</t>
  </si>
  <si>
    <t>Isoform 3 of Homeobox protein cut-like 1</t>
  </si>
  <si>
    <t>Isoform 2 of Macrophage-capping protein</t>
  </si>
  <si>
    <t>Isoform 3 of Interleukin-6 receptor subunit beta</t>
  </si>
  <si>
    <t>Alpha-taxilin</t>
  </si>
  <si>
    <t>T-complex protein 1 subunit zeta</t>
  </si>
  <si>
    <t>Proteasome subunit beta type-10</t>
  </si>
  <si>
    <t>Isoform 3 of Von Hippel-Lindau disease tumor suppressor</t>
  </si>
  <si>
    <t>DNA mismatch repair protein Mlh1</t>
  </si>
  <si>
    <t>Signal transducer and activator of transcription 3</t>
  </si>
  <si>
    <t>Isoform Del-701 of Signal transducer and activator of transcription 3</t>
  </si>
  <si>
    <t>Ubiquitin carboxyl-terminal hydrolase 8</t>
  </si>
  <si>
    <t>Malate dehydrogenase, cytoplasmic</t>
  </si>
  <si>
    <t>Malate dehydrogenase, mitochondrial</t>
  </si>
  <si>
    <t>Replication factor C subunit 5</t>
  </si>
  <si>
    <t>Isoform 2 of Replication factor C subunit 3</t>
  </si>
  <si>
    <t>Trifunctional enzyme subunit alpha, mitochondrial</t>
  </si>
  <si>
    <t>Eukaryotic translation initiation factor 2 subunit 3</t>
  </si>
  <si>
    <t>DNA-binding protein inhibitor ID-1</t>
  </si>
  <si>
    <t>Isoform 2 of B-cell lymphoma 6 protein</t>
  </si>
  <si>
    <t>Centrin-2</t>
  </si>
  <si>
    <t>Transcription factor ETV6</t>
  </si>
  <si>
    <t>Eukaryotic translation initiation factor 2D</t>
  </si>
  <si>
    <t>Protein BUD31 homolog</t>
  </si>
  <si>
    <t>N-alpha-acetyltransferase 10</t>
  </si>
  <si>
    <t>Isoform 3 of Lysine-specific demethylase 5C</t>
  </si>
  <si>
    <t>Tyrosine-protein kinase CSK</t>
  </si>
  <si>
    <t>Patatin-like phospholipase domain-containing protein 4</t>
  </si>
  <si>
    <t>Glycine--tRNA ligase</t>
  </si>
  <si>
    <t>Isoleucine--tRNA ligase, cytoplasmic</t>
  </si>
  <si>
    <t>Isoform 2 of Folate transporter 1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</si>
  <si>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</si>
  <si>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</si>
  <si>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</si>
  <si>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</si>
  <si>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</si>
  <si>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Lamina-associated polypeptide 2, isoforms beta/gamma</t>
  </si>
  <si>
    <t>Isoform Gamma of Lamina-associated polypeptide 2, isoforms beta/gamma</t>
  </si>
  <si>
    <t>Signal transducer and activator of transcription 1-alpha/beta</t>
  </si>
  <si>
    <t>Signal transducer and activator of transcription 6</t>
  </si>
  <si>
    <t>Superkiller viralicidic activity 2-like 2</t>
  </si>
  <si>
    <t>Aldo-keto reductase family 1 member C3</t>
  </si>
  <si>
    <t>Serine/threonine-protein kinase mTOR</t>
  </si>
  <si>
    <t>Epidermal growth factor receptor substrate 15</t>
  </si>
  <si>
    <t>Caspase-3</t>
  </si>
  <si>
    <t>Caspase-2</t>
  </si>
  <si>
    <t>40S ribosomal protein S27</t>
  </si>
  <si>
    <t>Isoform 8 of Abelson tyrosine-protein kinase 2</t>
  </si>
  <si>
    <t>Tyrosine-protein kinase FRK</t>
  </si>
  <si>
    <t>Condensin-2 complex subunit D3</t>
  </si>
  <si>
    <t>Leucine-rich PPR motif-containing protein, mitochondrial</t>
  </si>
  <si>
    <t>3-ketoacyl-CoA thiolase, mitochondrial</t>
  </si>
  <si>
    <t>60S ribosomal protein L35</t>
  </si>
  <si>
    <t>Cyclin-dependent kinase 4 inhibitor B</t>
  </si>
  <si>
    <t>Lysosomal Pro-X carboxypeptidase</t>
  </si>
  <si>
    <t>Huntingtin</t>
  </si>
  <si>
    <t>Isoform C of Endothelin-converting enzyme 1</t>
  </si>
  <si>
    <t>Methylenetetrahydrofolate reductase</t>
  </si>
  <si>
    <t>Isoform 2 of Excitatory amino acid transporter 1</t>
  </si>
  <si>
    <t>Neutral amino acid transporter A</t>
  </si>
  <si>
    <t>Platelet-activating factor acetylhydrolase IB subunit alpha</t>
  </si>
  <si>
    <t>Cell surface glycoprotein MUC18</t>
  </si>
  <si>
    <t>Isoform 2 of Carnitine O-acetyltransferase</t>
  </si>
  <si>
    <t>DNA mismatch repair protein Msh2</t>
  </si>
  <si>
    <t>Glycerol-3-phosphate dehydrogenase, mitochondrial</t>
  </si>
  <si>
    <t>Translocon-associated protein subunit alpha</t>
  </si>
  <si>
    <t>Tyrosine-protein phosphatase non-receptor type 9</t>
  </si>
  <si>
    <t>Tyrosine-protein kinase SYK</t>
  </si>
  <si>
    <t>Ran-specific GTPase-activating protein</t>
  </si>
  <si>
    <t>Nicotinamide phosphoribosyltransferase</t>
  </si>
  <si>
    <t>26S protease regulatory subunit 6B</t>
  </si>
  <si>
    <t>Elongation factor Ts, mitochondrial</t>
  </si>
  <si>
    <t>Voltage-dependent anion-selective channel protein 2</t>
  </si>
  <si>
    <t>Short/branched chain specific acyl-CoA dehydrogenase, mitochondrial</t>
  </si>
  <si>
    <t>Chromobox protein homolog 5</t>
  </si>
  <si>
    <t>Isoform Short of Ubiquitin carboxyl-terminal hydrolase 5</t>
  </si>
  <si>
    <t>Isoform 3 of Mitogen-activated protein kinase 8</t>
  </si>
  <si>
    <t>Isoform Beta-1 of Mitogen-activated protein kinase 9</t>
  </si>
  <si>
    <t>Dual specificity mitogen-activated protein kinase kinase 4</t>
  </si>
  <si>
    <t>Antigen KI-67</t>
  </si>
  <si>
    <t>Ran GTPase-activating protein 1</t>
  </si>
  <si>
    <t>ATP-dependent DNA helicase Q1</t>
  </si>
  <si>
    <t>Putative ribosomal RNA methyltransferase NOP2</t>
  </si>
  <si>
    <t>Isoform 1 of Transcriptional regulator ATRX</t>
  </si>
  <si>
    <t>Adapter molecule crk</t>
  </si>
  <si>
    <t>Isoform Crk-I of Adapter molecule crk</t>
  </si>
  <si>
    <t>Crk-like protein</t>
  </si>
  <si>
    <t>Translation initiation factor IF-2, mitochondrial</t>
  </si>
  <si>
    <t>Cyclin-dependent kinase inhibitor 1B</t>
  </si>
  <si>
    <t>Neurogenic locus notch homolog protein 1</t>
  </si>
  <si>
    <t>Dual specificity mitogen-activated protein kinase kinase 3</t>
  </si>
  <si>
    <t>Isoform 1 of Lys-63-specific deubiquitinase BRCC36</t>
  </si>
  <si>
    <t>60S ribosomal protein L5</t>
  </si>
  <si>
    <t>60S ribosomal protein L21</t>
  </si>
  <si>
    <t>40S ribosomal protein S9</t>
  </si>
  <si>
    <t>40S ribosomal protein S10</t>
  </si>
  <si>
    <t>Glucosamine-6-phosphate isomerase 1</t>
  </si>
  <si>
    <t>Yorkie homolog</t>
  </si>
  <si>
    <t>Utrophin</t>
  </si>
  <si>
    <t>Ras GTPase-activating-like protein IQGAP1</t>
  </si>
  <si>
    <t>Isoform GN-1 of Glycogenin-1</t>
  </si>
  <si>
    <t>Dolichyl-diphosphooligosaccharide--protein glycosyltransferase subunit STT3A</t>
  </si>
  <si>
    <t>Guanine nucleotide exchange factor MSS4</t>
  </si>
  <si>
    <t>Cytosolic phospholipase A2</t>
  </si>
  <si>
    <t>F-actin-capping protein subunit alpha-2</t>
  </si>
  <si>
    <t>Isoform 2 of F-actin-capping protein subunit beta</t>
  </si>
  <si>
    <t>Eukaryotic translation initiation factor 1A, X-chromosomal</t>
  </si>
  <si>
    <t>Glutamine--tRNA ligase</t>
  </si>
  <si>
    <t>60S ribosomal protein L29</t>
  </si>
  <si>
    <t>Galectin-7</t>
  </si>
  <si>
    <t>Cytochrome b-c1 complex subunit Rieske, mitochondrial</t>
  </si>
  <si>
    <t>Sodium- and chloride-dependent creatine transporter 1</t>
  </si>
  <si>
    <t>ATP synthase subunit O, mitochondrial</t>
  </si>
  <si>
    <t>LIM and senescent cell antigen-like-containing domain protein 1</t>
  </si>
  <si>
    <t>Glioma pathogenesis-related protein 1</t>
  </si>
  <si>
    <t>Isoform GlyT-1A of Sodium- and chloride-dependent glycine transporter 1</t>
  </si>
  <si>
    <t>Prolyl endopeptidase</t>
  </si>
  <si>
    <t>NADP-dependent malic enzyme</t>
  </si>
  <si>
    <t>Iron-responsive element-binding protein 2</t>
  </si>
  <si>
    <t>Transcription factor SOX-2</t>
  </si>
  <si>
    <t>Transcription factor SOX-9</t>
  </si>
  <si>
    <t>Coatomer subunit delta</t>
  </si>
  <si>
    <t>Lanosterol synthase</t>
  </si>
  <si>
    <t>Isoform 2 of Serine/threonine-protein phosphatase 2B catalytic subunit gamma isoform</t>
  </si>
  <si>
    <t>Glutamate--cysteine ligase catalytic subunit</t>
  </si>
  <si>
    <t>Glutamate--cysteine ligase regulatory subunit</t>
  </si>
  <si>
    <t>Protein PRRC2A</t>
  </si>
  <si>
    <t>Glutathione synthetase</t>
  </si>
  <si>
    <t>T-complex protein 1 subunit epsilon</t>
  </si>
  <si>
    <t>Phosphatidylserine synthase 1</t>
  </si>
  <si>
    <t>Heat shock 70 kDa protein 13</t>
  </si>
  <si>
    <t>Aminomethyltransferase, mitochondrial</t>
  </si>
  <si>
    <t>Isoform 2 of Casein kinase I isoform delta</t>
  </si>
  <si>
    <t>Isocitrate dehydrogenase [NADP], mitochondrial</t>
  </si>
  <si>
    <t>Phosphatidylinositol transfer protein beta isoform</t>
  </si>
  <si>
    <t>Isoform 2 of CD97 antigen</t>
  </si>
  <si>
    <t>DNA polymerase delta subunit 2</t>
  </si>
  <si>
    <t>MARCKS-related protein</t>
  </si>
  <si>
    <t>Calcium signal-modulating cyclophilin ligand</t>
  </si>
  <si>
    <t>Nuclear receptor subfamily 2 group C member 2</t>
  </si>
  <si>
    <t>MAP kinase-activated protein kinase 2</t>
  </si>
  <si>
    <t>4-trimethylaminobutyraldehyde dehydrogenase</t>
  </si>
  <si>
    <t>60S ribosomal protein L34</t>
  </si>
  <si>
    <t>Ribose-5-phosphate isomerase</t>
  </si>
  <si>
    <t>Protein ERGIC-53</t>
  </si>
  <si>
    <t>Isoform 3 of Nuclear autoantigenic sperm protein</t>
  </si>
  <si>
    <t>Fatty acid synthase</t>
  </si>
  <si>
    <t>Isoform 2 of Cyclin-dependent kinase 8</t>
  </si>
  <si>
    <t>Protein farnesyltransferase/geranylgeranyltransferase type-1 subunit alpha</t>
  </si>
  <si>
    <t>Deoxyhypusine synthase</t>
  </si>
  <si>
    <t>T-complex protein 1 subunit gamma</t>
  </si>
  <si>
    <t>39S ribosomal protein L19, mitochondrial</t>
  </si>
  <si>
    <t>Isoform 1B of Beta-arrestin-1</t>
  </si>
  <si>
    <t>Elongation factor Tu, mitochondrial</t>
  </si>
  <si>
    <t>Isoform 2 of Alpha-aminoadipic semialdehyde dehydrogenase</t>
  </si>
  <si>
    <t>Ubiquitin-conjugating enzyme E2 R1</t>
  </si>
  <si>
    <t>Inositol polyphosphate 1-phosphatase</t>
  </si>
  <si>
    <t>Centromere protein F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</si>
  <si>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</si>
  <si>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</si>
  <si>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</si>
  <si>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</si>
  <si>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</si>
  <si>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Serine--tRNA ligase, cytoplasmic</t>
  </si>
  <si>
    <t>DNA primase small subunit</t>
  </si>
  <si>
    <t>DNA primase large subunit</t>
  </si>
  <si>
    <t>Caspase-4</t>
  </si>
  <si>
    <t>Casein kinase I isoform epsilon</t>
  </si>
  <si>
    <t>Isoform 2 of Transcriptional repressor CTCF</t>
  </si>
  <si>
    <t>Proteasome subunit beta type-3</t>
  </si>
  <si>
    <t>Proteasome subunit beta type-2</t>
  </si>
  <si>
    <t>Isoform 2 of Very long-chain specific acyl-CoA dehydrogenase, mitochondrial</t>
  </si>
  <si>
    <t>Isoform 4 of YLP motif-containing protein 1</t>
  </si>
  <si>
    <t>Acyl-coenzyme A thioesterase 2, mitochondrial</t>
  </si>
  <si>
    <t>Transmembrane emp24 domain-containing protein 10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</si>
  <si>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</si>
  <si>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</si>
  <si>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</si>
  <si>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</si>
  <si>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Bis(5-adenosyl)-triphosphatase</t>
  </si>
  <si>
    <t>Nuclear pore complex protein Nup153</t>
  </si>
  <si>
    <t>E3 SUMO-protein ligase RanBP2</t>
  </si>
  <si>
    <t>Isoform 3 of Regulator of G-protein signaling 4</t>
  </si>
  <si>
    <t>Glycogen synthase kinase-3 alpha</t>
  </si>
  <si>
    <t>Glycogen synthase kinase-3 beta</t>
  </si>
  <si>
    <t>Cytosolic purine 5-nucleotidase</t>
  </si>
  <si>
    <t>Selenide, water dikinase 1</t>
  </si>
  <si>
    <t>5-formyltetrahydrofolate cyclo-ligase</t>
  </si>
  <si>
    <t>GMP synthase [glutamine-hydrolyzing]</t>
  </si>
  <si>
    <t>DNA ligase 3</t>
  </si>
  <si>
    <t>Double-strand break repair protein MRE11A</t>
  </si>
  <si>
    <t>Ectonucleoside triphosphate diphosphohydrolase 1</t>
  </si>
  <si>
    <t>Ketohexokinase</t>
  </si>
  <si>
    <t>Guanine nucleotide-binding protein G(q) subunit alpha</t>
  </si>
  <si>
    <t>Guanine nucleotide-binding protein G(I)/G(S)/G(O) subunit gamma-10</t>
  </si>
  <si>
    <t>Isocitrate dehydrogenase [NAD] subunit alpha, mitochondrial</t>
  </si>
  <si>
    <t>Cysteine-rich protein 1</t>
  </si>
  <si>
    <t>Protoporphyrinogen oxidase</t>
  </si>
  <si>
    <t>Emerin</t>
  </si>
  <si>
    <t>Isoform 2 of Carnitine O-palmitoyltransferase 1, liver isoform</t>
  </si>
  <si>
    <t>Serpin B8</t>
  </si>
  <si>
    <t>Serpin B9</t>
  </si>
  <si>
    <t>Serpin H1</t>
  </si>
  <si>
    <t>Hsc70-interacting protein</t>
  </si>
  <si>
    <t>Vasodilator-stimulated phosphoprotein</t>
  </si>
  <si>
    <t>Isoform 4 of Dynamin-2</t>
  </si>
  <si>
    <t>Methionine aminopeptidase 2</t>
  </si>
  <si>
    <t>Bis(5-nucleosyl)-tetraphosphatase [asymmetrical]</t>
  </si>
  <si>
    <t>Cyclin-dependent kinase 7</t>
  </si>
  <si>
    <t>Biotin--protein ligase</t>
  </si>
  <si>
    <t>Kinetochore-associated protein 1</t>
  </si>
  <si>
    <t>Cyclin-dependent kinase 9</t>
  </si>
  <si>
    <t>Basal cell adhesion molecule</t>
  </si>
  <si>
    <t>Palmitoyl-protein thioesterase 1</t>
  </si>
  <si>
    <t>T-complex protein 1 subunit theta</t>
  </si>
  <si>
    <t>T-complex protein 1 subunit delta</t>
  </si>
  <si>
    <t>Fragile X mental retardation syndrome-related protein 2</t>
  </si>
  <si>
    <t>Ras-related protein Rab-5C</t>
  </si>
  <si>
    <t>Ras-related protein Rab-7a</t>
  </si>
  <si>
    <t>Ras-related protein Rab-9A</t>
  </si>
  <si>
    <t>Ras-related protein Rab-13</t>
  </si>
  <si>
    <t>Ras-related protein Rab-28</t>
  </si>
  <si>
    <t>Gastrotropin</t>
  </si>
  <si>
    <t>Death-associated protein 1</t>
  </si>
  <si>
    <t>Isoform 2 of 28S ribosomal protein S29, mitochondrial</t>
  </si>
  <si>
    <t>Dual specificity protein phosphatase 3</t>
  </si>
  <si>
    <t>Isoform Short of Probable global transcription activator SNF2L2</t>
  </si>
  <si>
    <t>Isocitrate dehydrogenase [NAD] subunit gamma, mitochondrial</t>
  </si>
  <si>
    <t>Galactokinase</t>
  </si>
  <si>
    <t>Translocon-associated protein subunit delta</t>
  </si>
  <si>
    <t>B-cell receptor-associated protein 31</t>
  </si>
  <si>
    <t>Thiopurine S-methyltransferase</t>
  </si>
  <si>
    <t>Methyl-CpG-binding protein 2</t>
  </si>
  <si>
    <t>Isoform 2 of Host cell factor 1</t>
  </si>
  <si>
    <t>Fatty aldehyde dehydrogenase</t>
  </si>
  <si>
    <t>Peroxisomal multifunctional enzyme type 2</t>
  </si>
  <si>
    <t>26S proteasome non-ATPase regulatory subunit 7</t>
  </si>
  <si>
    <t>Sulfite oxidase, mitochondrial</t>
  </si>
  <si>
    <t>N-sulphoglucosamine sulphohydrolase</t>
  </si>
  <si>
    <t>Isoform 2 of Potassium voltage-gated channel subfamily KQT member 1</t>
  </si>
  <si>
    <t>Isoform 3 of H(+)/Cl(-) exchange transporter 3</t>
  </si>
  <si>
    <t>Chloride transport protein 6</t>
  </si>
  <si>
    <t>Isoform 2 of H(+)/Cl(-) exchange transporter 7</t>
  </si>
  <si>
    <t>Plexin-A3</t>
  </si>
  <si>
    <t>Vesicle-associated membrane protein 7</t>
  </si>
  <si>
    <t>Ribosomal protein S6 kinase alpha-3</t>
  </si>
  <si>
    <t>cAMP-dependent protein kinase catalytic subunit PRKX</t>
  </si>
  <si>
    <t>Isoform 2 of 3-oxo-5-beta-steroid 4-dehydrogenase</t>
  </si>
  <si>
    <t>Hepatoma-derived growth factor</t>
  </si>
  <si>
    <t>Cyclin-H</t>
  </si>
  <si>
    <t>Isoform 2 of CDK-activating kinase assembly factor MAT1</t>
  </si>
  <si>
    <t>NADH dehydrogenase [ubiquinone] 1 alpha subcomplex subunit 8</t>
  </si>
  <si>
    <t>Heterogeneous nuclear ribonucleoprotein A3</t>
  </si>
  <si>
    <t>Isoform 2 of Heterogeneous nuclear ribonucleoprotein M</t>
  </si>
  <si>
    <t>Importin subunit alpha-2</t>
  </si>
  <si>
    <t>Importin subunit alpha-1</t>
  </si>
  <si>
    <t>Nuclear cap-binding protein subunit 2</t>
  </si>
  <si>
    <t>Rap1 GTPase-GDP dissociation stimulator 1</t>
  </si>
  <si>
    <t>Isoform 4 of Rap1 GTPase-GDP dissociation stimulator 1</t>
  </si>
  <si>
    <t>Dual specificity mitogen-activated protein kinase kinase 6</t>
  </si>
  <si>
    <t>Rho GDP-dissociation inhibitor 1</t>
  </si>
  <si>
    <t>Heterogeneous nuclear ribonucleoprotein F</t>
  </si>
  <si>
    <t>Isoform 2 of Signal transducer and activator of transcription 2</t>
  </si>
  <si>
    <t>Transcription initiation factor IIA subunit 1</t>
  </si>
  <si>
    <t>Transcription initiation factor IIA subunit 2</t>
  </si>
  <si>
    <t>DNA mismatch repair protein Msh6</t>
  </si>
  <si>
    <t>Kinesin-like protein KIF11</t>
  </si>
  <si>
    <t>Isoform 3 of Guanine nucleotide exchange factor VAV2</t>
  </si>
  <si>
    <t>RNA-binding protein 5</t>
  </si>
  <si>
    <t>Ribonuclease UK114</t>
  </si>
  <si>
    <t>Spermine synthase</t>
  </si>
  <si>
    <t>Hexokinase-2</t>
  </si>
  <si>
    <t>Isoform 2 of Ephrin-A4</t>
  </si>
  <si>
    <t>Ephrin-B2</t>
  </si>
  <si>
    <t>Thimet oligopeptidase</t>
  </si>
  <si>
    <t>Aldo-keto reductase family 1 member C2</t>
  </si>
  <si>
    <t>F-actin-capping protein subunit alpha-1</t>
  </si>
  <si>
    <t>Cysteine-rich protein 2</t>
  </si>
  <si>
    <t>Isoform 6 of Nuclear pore complex protein Nup98-Nup96</t>
  </si>
  <si>
    <t>Biliverdin reductase A</t>
  </si>
  <si>
    <t>Tricarboxylate transport protein, mitochondrial</t>
  </si>
  <si>
    <t>Arfaptin-2</t>
  </si>
  <si>
    <t>Isoform A of Arfaptin-1</t>
  </si>
  <si>
    <t>Nucleoside diphosphate-linked moiety X motif 6</t>
  </si>
  <si>
    <t>Isoform 2 of Cytosolic Fe-S cluster assembly factor NUBP1</t>
  </si>
  <si>
    <t>ATP-citrate synthase</t>
  </si>
  <si>
    <t>CCAAT/enhancer-binding protein gamma</t>
  </si>
  <si>
    <t>Methionine aminopeptidase 1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</si>
  <si>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</si>
  <si>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</si>
  <si>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</si>
  <si>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</si>
  <si>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alpha</t>
  </si>
  <si>
    <t>Dipeptidyl peptidase 1</t>
  </si>
  <si>
    <t>AP-3 complex subunit mu-2</t>
  </si>
  <si>
    <t>Cytochrome c-type heme lyase</t>
  </si>
  <si>
    <t>Mitogen-activated protein kinase 12</t>
  </si>
  <si>
    <t>Sodium/myo-inositol cotransporter</t>
  </si>
  <si>
    <t>DNA-directed RNA polymerases I, II, and III subunit RPABC4</t>
  </si>
  <si>
    <t>Isoform B2 of Smoothelin</t>
  </si>
  <si>
    <t>HRAS-like suppressor 3</t>
  </si>
  <si>
    <t>Monocarboxylate transporter 1</t>
  </si>
  <si>
    <t>Isoform 2 of IST1 homolog</t>
  </si>
  <si>
    <t>Protein transport protein Sec24C</t>
  </si>
  <si>
    <t>Activated RNA polymerase II transcriptional coactivator p15</t>
  </si>
  <si>
    <t>DNA polymerase subunit gamma-1</t>
  </si>
  <si>
    <t>Arginine--tRNA ligase, cytoplasmic</t>
  </si>
  <si>
    <t>Isoform Monomeric of Arginine--tRNA ligase, cytoplasmic</t>
  </si>
  <si>
    <t>Ataxin-1</t>
  </si>
  <si>
    <t>Atrophin-1</t>
  </si>
  <si>
    <t>Tyrosine--tRNA ligase, cytoplasmic</t>
  </si>
  <si>
    <t>Ubiquitin carboxyl-terminal hydrolase 14</t>
  </si>
  <si>
    <t>Isoform 2 of 5-AMP-activated protein kinase subunit gamma-1</t>
  </si>
  <si>
    <t>Sodium/potassium-transporting ATPase subunit beta-3</t>
  </si>
  <si>
    <t>UV excision repair protein RAD23 homolog B</t>
  </si>
  <si>
    <t>Ephrin type-B receptor 3</t>
  </si>
  <si>
    <t>Ephrin type-A receptor 4</t>
  </si>
  <si>
    <t>Alpha-N-acetylglucosaminidase</t>
  </si>
  <si>
    <t>Adenylate kinase 2, mitochondrial</t>
  </si>
  <si>
    <t>Isoform Short of Delta-1-pyrroline-5-carboxylate synthase</t>
  </si>
  <si>
    <t>Alpha-soluble NSF attachment protein</t>
  </si>
  <si>
    <t>Eukaryotic translation initiation factor 5</t>
  </si>
  <si>
    <t>Isoform 2 of Solute carrier family 12 member 2</t>
  </si>
  <si>
    <t>26S proteasome non-ATPase regulatory subunit 4</t>
  </si>
  <si>
    <t>Developmentally-regulated GTP-binding protein 2</t>
  </si>
  <si>
    <t>Isoform 3 of Exportin-2</t>
  </si>
  <si>
    <t>Transitional endoplasmic reticulum ATPase</t>
  </si>
  <si>
    <t>Microfibrillar-associated protein 1</t>
  </si>
  <si>
    <t>Isoform 2 of Microfibril-associated glycoprotein 3</t>
  </si>
  <si>
    <t>Mesencephalic astrocyte-derived neurotrophic factor</t>
  </si>
  <si>
    <t>Protein AF-17</t>
  </si>
  <si>
    <t>RNA polymerase II elongation factor ELL</t>
  </si>
  <si>
    <t>Caspase-7</t>
  </si>
  <si>
    <t>Caspase-9</t>
  </si>
  <si>
    <t>Caspase-6</t>
  </si>
  <si>
    <t>Adenosine kinase</t>
  </si>
  <si>
    <t>Laminin subunit beta-2</t>
  </si>
  <si>
    <t>Cyclin-dependent kinase 4 inhibitor D</t>
  </si>
  <si>
    <t>Isoform 2 of Tumor protein D52</t>
  </si>
  <si>
    <t>Protein SEC13 homolog</t>
  </si>
  <si>
    <t>FAD-linked sulfhydryl oxidase ALR</t>
  </si>
  <si>
    <t>Heterogeneous nuclear ribonucleoprotein H2</t>
  </si>
  <si>
    <t>Succinyl-CoA:3-ketoacid coenzyme A transferase 1, mitochondrial</t>
  </si>
  <si>
    <t>Eukaryotic translation initiation factor 3 subunit B</t>
  </si>
  <si>
    <t>BH3-interacting domain death agonist</t>
  </si>
  <si>
    <t>NADH dehydrogenase [ubiquinone] flavoprotein 3, mitochondrial</t>
  </si>
  <si>
    <t>Isoform 2 of NADH dehydrogenase [ubiquinone] flavoprotein 3, mitochondrial</t>
  </si>
  <si>
    <t>Ribosomal RNA processing protein 1 homolog A</t>
  </si>
  <si>
    <t>Methionine--tRNA ligase, cytoplasmic</t>
  </si>
  <si>
    <t>Integrin alpha-1</t>
  </si>
  <si>
    <t>cAMP-regulated phosphoprotein 19</t>
  </si>
  <si>
    <t>Isoform 2 of Myc-associated zinc finger protein</t>
  </si>
  <si>
    <t>Cx9C motif-containing protein 4</t>
  </si>
  <si>
    <t>6.8 kDa mitochondrial proteolipid</t>
  </si>
  <si>
    <t>ATP synthase subunit epsilon, mitochondrial</t>
  </si>
  <si>
    <t>ATP synthase subunit e, mitochondrial</t>
  </si>
  <si>
    <t>Histone deacetylase 4</t>
  </si>
  <si>
    <t>Eukaryotic translation initiation factor 6</t>
  </si>
  <si>
    <t>Isoform 2 of C-terminal-binding protein 2</t>
  </si>
  <si>
    <t>NADH dehydrogenase [ubiquinone] 1 alpha subcomplex subunit 6</t>
  </si>
  <si>
    <t>ADP-ribosylation factor-like protein 4C</t>
  </si>
  <si>
    <t>Peroxisomal biogenesis factor 3</t>
  </si>
  <si>
    <t>Isoform 3 of 3-keto-steroid reductase</t>
  </si>
  <si>
    <t>Isoform 5 of Breast cancer anti-estrogen resistance protein 1</t>
  </si>
  <si>
    <t>Syntaxin-17</t>
  </si>
  <si>
    <t>Isoform C of Phosphatidylinositol N-acetylglucosaminyltransferase subunit P</t>
  </si>
  <si>
    <t>RWD domain-containing protein 2B</t>
  </si>
  <si>
    <t>Uncharacterized protein C21orf59</t>
  </si>
  <si>
    <t>Isoform 2 of tRNA (guanine-N(7)-)-methyltransferase subunit WDR4</t>
  </si>
  <si>
    <t>Transmembrane protein 33</t>
  </si>
  <si>
    <t>Synaptojanin-2-binding protein</t>
  </si>
  <si>
    <t>Krueppel-like factor 3</t>
  </si>
  <si>
    <t>Ras-related protein Rab-25</t>
  </si>
  <si>
    <t>Isoform 3 of Coronin-7</t>
  </si>
  <si>
    <t>Nuclear pore complex protein Nup107</t>
  </si>
  <si>
    <t>Selenocysteine-specific elongation factor</t>
  </si>
  <si>
    <t>Myotrophin</t>
  </si>
  <si>
    <t>Actin-related protein 2/3 complex subunit 4</t>
  </si>
  <si>
    <t>Protein transport protein Sec61 subunit gamma</t>
  </si>
  <si>
    <t>Triosephosphate isomerase</t>
  </si>
  <si>
    <t>Eukaryotic translation initiation factor 3 subunit E</t>
  </si>
  <si>
    <t>Protein transport protein Sec61 subunit beta</t>
  </si>
  <si>
    <t>Phosphatidylinositol 3,4,5-trisphosphate 3-phosphatase and dual-specificity protein phosphatase PTEN</t>
  </si>
  <si>
    <t>Serine/threonine-protein phosphatase 4 catalytic subunit</t>
  </si>
  <si>
    <t>Reactive oxygen species modulator 1</t>
  </si>
  <si>
    <t>Isoform 2 of Ubiquitin-conjugating enzyme E2 G2</t>
  </si>
  <si>
    <t>Actin, cytoplasmic 1</t>
  </si>
  <si>
    <t>Ras-related C3 botulinum toxin substrate 3</t>
  </si>
  <si>
    <t>Eukaryotic initiation factor 4A-I</t>
  </si>
  <si>
    <t>40S ribosomal protein S20</t>
  </si>
  <si>
    <t>Ribose-phosphate pyrophosphokinase 1</t>
  </si>
  <si>
    <t>26S proteasome complex subunit DSS1</t>
  </si>
  <si>
    <t>Protein S100-A10</t>
  </si>
  <si>
    <t>Cell division control protein 42 homolog</t>
  </si>
  <si>
    <t>Destrin</t>
  </si>
  <si>
    <t>Glia maturation factor beta</t>
  </si>
  <si>
    <t>Ras-related protein Rab-8A</t>
  </si>
  <si>
    <t>Signal peptidase complex subunit 3</t>
  </si>
  <si>
    <t>Signal recognition particle 54 kDa protein</t>
  </si>
  <si>
    <t>Ras-related protein Rab-4B</t>
  </si>
  <si>
    <t>Ras-related protein Rab-2A</t>
  </si>
  <si>
    <t>Ras-related protein Rab-5B</t>
  </si>
  <si>
    <t>Cyclin-dependent kinases regulatory subunit 1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</si>
  <si>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</si>
  <si>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</si>
  <si>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</si>
  <si>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</si>
  <si>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</si>
  <si>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</si>
  <si>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Zinc finger CCCH domain-containing protein 6</t>
  </si>
  <si>
    <t>Actin-related protein 3</t>
  </si>
  <si>
    <t>Actin-related protein 2</t>
  </si>
  <si>
    <t>Alpha-centractin</t>
  </si>
  <si>
    <t>COP9 signalosome complex subunit 2</t>
  </si>
  <si>
    <t>ADP-ribosylation factor 3</t>
  </si>
  <si>
    <t>DNA-directed RNA polymerases I, II, and III subunit RPABC2</t>
  </si>
  <si>
    <t>ATP-binding cassette sub-family E member 1</t>
  </si>
  <si>
    <t>Ras-related protein Rap-1b</t>
  </si>
  <si>
    <t>Ras-related protein Rap-2b</t>
  </si>
  <si>
    <t>Isoform 2 of Protein max</t>
  </si>
  <si>
    <t>40S ribosomal protein S3a</t>
  </si>
  <si>
    <t>60S ribosomal protein L26</t>
  </si>
  <si>
    <t>Proteasome activator complex subunit 3</t>
  </si>
  <si>
    <t>Protein mago nashi homolog</t>
  </si>
  <si>
    <t>60S ribosomal protein L27</t>
  </si>
  <si>
    <t>Pterin-4-alpha-carbinolamine dehydratase</t>
  </si>
  <si>
    <t>Transforming protein RhoA</t>
  </si>
  <si>
    <t>N-alpha-acetyltransferase 20</t>
  </si>
  <si>
    <t>Neurocalcin-delta</t>
  </si>
  <si>
    <t>10 kDa heat shock protein, mitochondrial</t>
  </si>
  <si>
    <t>Prefoldin subunit 3</t>
  </si>
  <si>
    <t>Syntaxin-binding protein 1</t>
  </si>
  <si>
    <t>Beta-2-microglobulin</t>
  </si>
  <si>
    <t>Transforming growth factor beta-2</t>
  </si>
  <si>
    <t>60S ribosomal protein L37</t>
  </si>
  <si>
    <t>DDB1- and CUL4-associated factor 7</t>
  </si>
  <si>
    <t>WD repeat-containing protein 5</t>
  </si>
  <si>
    <t>AP-1 complex subunit sigma-1A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</si>
  <si>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</si>
  <si>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</si>
  <si>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</si>
  <si>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</si>
  <si>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</si>
  <si>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40S ribosomal protein S7</t>
  </si>
  <si>
    <t>Serine/threonine-protein phosphatase PP1-alpha catalytic subunit</t>
  </si>
  <si>
    <t>Serine/threonine-protein phosphatase PP1-beta catalytic subunit</t>
  </si>
  <si>
    <t>26S protease regulatory subunit 4</t>
  </si>
  <si>
    <t>Isoform 2 of 26S protease regulatory subunit 8</t>
  </si>
  <si>
    <t>40S ribosomal protein S8</t>
  </si>
  <si>
    <t>40S ribosomal protein S16</t>
  </si>
  <si>
    <t>14-3-3 protein epsilon</t>
  </si>
  <si>
    <t>40S ribosomal protein S14</t>
  </si>
  <si>
    <t>40S ribosomal protein S23</t>
  </si>
  <si>
    <t>40S ribosomal protein S18</t>
  </si>
  <si>
    <t>40S ribosomal protein S29</t>
  </si>
  <si>
    <t>40S ribosomal protein S13</t>
  </si>
  <si>
    <t>40S ribosomal protein S11</t>
  </si>
  <si>
    <t>Small nuclear ribonucleoprotein F</t>
  </si>
  <si>
    <t>Small nuclear ribonucleoprotein G</t>
  </si>
  <si>
    <t>U6 snRNA-associated Sm-like protein LSm3</t>
  </si>
  <si>
    <t>U6 snRNA-associated Sm-like protein LSm6</t>
  </si>
  <si>
    <t>Small nuclear ribonucleoprotein Sm D1</t>
  </si>
  <si>
    <t>Small nuclear ribonucleoprotein Sm D2</t>
  </si>
  <si>
    <t>Protein BTG1</t>
  </si>
  <si>
    <t>Thymosin beta-4</t>
  </si>
  <si>
    <t>ADP-ribosylation factor 6</t>
  </si>
  <si>
    <t>26S protease regulatory subunit 10B</t>
  </si>
  <si>
    <t>Selenoprotein T</t>
  </si>
  <si>
    <t>TATA box-binding protein-like protein 1</t>
  </si>
  <si>
    <t>60S ribosomal protein L7a</t>
  </si>
  <si>
    <t>DNA-directed RNA polymerase II subunit RPB7</t>
  </si>
  <si>
    <t>Eukaryotic peptide chain release factor subunit 1</t>
  </si>
  <si>
    <t>Isoform 2 of Cellular nucleic acid-binding protein</t>
  </si>
  <si>
    <t>Isoform 4 of Cellular nucleic acid-binding protein</t>
  </si>
  <si>
    <t>Isoform 5 of Cellular nucleic acid-binding protein</t>
  </si>
  <si>
    <t>40S ribosomal protein S4, X isoform</t>
  </si>
  <si>
    <t>Serine/threonine-protein phosphatase 2A catalytic subunit beta isoform</t>
  </si>
  <si>
    <t>Rho-related GTP-binding protein RhoB</t>
  </si>
  <si>
    <t>60S ribosomal protein L23a</t>
  </si>
  <si>
    <t>40S ribosomal protein S6</t>
  </si>
  <si>
    <t>Visinin-like protein 1</t>
  </si>
  <si>
    <t>Histone H4</t>
  </si>
  <si>
    <t>Ras-related protein Rab-1A</t>
  </si>
  <si>
    <t>60S ribosomal protein L23</t>
  </si>
  <si>
    <t>Ras-related protein Rap-1A</t>
  </si>
  <si>
    <t>Ubiquitin-conjugating enzyme E2 D2</t>
  </si>
  <si>
    <t>40S ribosomal protein S25</t>
  </si>
  <si>
    <t>40S ribosomal protein S26</t>
  </si>
  <si>
    <t>40S ribosomal protein S28</t>
  </si>
  <si>
    <t>Guanine nucleotide-binding protein G(I)/G(S)/G(T) subunit beta-1</t>
  </si>
  <si>
    <t>E3 ubiquitin-protein ligase RBX1</t>
  </si>
  <si>
    <t>Guanine nucleotide-binding protein G(I)/G(S)/G(T) subunit beta-2</t>
  </si>
  <si>
    <t>60S ribosomal protein L10a</t>
  </si>
  <si>
    <t>Isoform 2 of 60S ribosomal protein L11</t>
  </si>
  <si>
    <t>60S ribosomal protein L8</t>
  </si>
  <si>
    <t>Peptidyl-prolyl cis-trans isomerase A</t>
  </si>
  <si>
    <t>Peptidyl-prolyl cis-trans isomerase FKBP1A</t>
  </si>
  <si>
    <t>Ubiquitin-40S ribosomal protein S27a</t>
  </si>
  <si>
    <t>Ubiquitin-60S ribosomal protein L40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</si>
  <si>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</si>
  <si>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</si>
  <si>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</si>
  <si>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</si>
  <si>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Isoform 3 of Guanine nucleotide-binding protein G(s) subunit alpha isoforms short</t>
  </si>
  <si>
    <t>Guanine nucleotide-binding protein G(i) subunit alpha-1</t>
  </si>
  <si>
    <t>14-3-3 protein zeta/delta</t>
  </si>
  <si>
    <t>Serine/threonine-protein phosphatase 2A 55 kDa regulatory subunit B alpha isoform</t>
  </si>
  <si>
    <t>Dynein light chain 1, cytoplasmic</t>
  </si>
  <si>
    <t>60S ribosomal protein L38</t>
  </si>
  <si>
    <t>Guanine nucleotide-binding protein G(I)/G(S)/G(O) subunit gamma-5</t>
  </si>
  <si>
    <t>Guanine nucleotide-binding protein subunit beta-2-like 1</t>
  </si>
  <si>
    <t>Transcription elongation factor SPT4</t>
  </si>
  <si>
    <t>Serine/threonine-protein phosphatase 2A catalytic subunit alpha isoform</t>
  </si>
  <si>
    <t>Nuclease-sensitive element-binding protein 1</t>
  </si>
  <si>
    <t>Tropomyosin alpha-4 chain</t>
  </si>
  <si>
    <t>Ubiquitin-conjugating enzyme E2 L3</t>
  </si>
  <si>
    <t>Elongation factor 1-alpha 1</t>
  </si>
  <si>
    <t>Actin, alpha skeletal muscle</t>
  </si>
  <si>
    <t>Tubulin alpha-1B chain</t>
  </si>
  <si>
    <t>Tubulin beta-4B chain</t>
  </si>
  <si>
    <t>Platelet-activating factor acetylhydrolase IB subunit beta</t>
  </si>
  <si>
    <t>Hemoglobin subunit alpha</t>
  </si>
  <si>
    <t>Coxsackievirus and adenovirus receptor</t>
  </si>
  <si>
    <t>Immunoglobulin-binding protein 1</t>
  </si>
  <si>
    <t>Phosphoserine phosphatase</t>
  </si>
  <si>
    <t>RNA-binding protein 6</t>
  </si>
  <si>
    <t>Ribonuclease P protein subunit p38</t>
  </si>
  <si>
    <t>Ribonuclease P protein subunit p30</t>
  </si>
  <si>
    <t>Isoform 2 of General transcription factor II-I</t>
  </si>
  <si>
    <t>Phosphatidylinositol 5-phosphate 4-kinase type-2 beta</t>
  </si>
  <si>
    <t>Casein kinase I isoform gamma-2</t>
  </si>
  <si>
    <t>T-complex protein 1 subunit beta</t>
  </si>
  <si>
    <t>mRNA export factor</t>
  </si>
  <si>
    <t>Glutathione S-transferase omega-1</t>
  </si>
  <si>
    <t>Suppression of tumorigenicity 5 protein</t>
  </si>
  <si>
    <t>DNA-dependent protein kinase catalytic subunit</t>
  </si>
  <si>
    <t>Disintegrin and metalloproteinase domain-containing protein 17</t>
  </si>
  <si>
    <t>Arginase-2, mitochondrial</t>
  </si>
  <si>
    <t>Endonuclease III-like protein 1</t>
  </si>
  <si>
    <t>Interferon-induced 35 kDa protein</t>
  </si>
  <si>
    <t>Metallothionein-1H</t>
  </si>
  <si>
    <t>Metallothionein-1X</t>
  </si>
  <si>
    <t>Nucleobindin-2</t>
  </si>
  <si>
    <t>Brain acid soluble protein 1</t>
  </si>
  <si>
    <t>Dermcidin</t>
  </si>
  <si>
    <t>TATA element modulatory factor</t>
  </si>
  <si>
    <t>28S ribosomal protein S10, mitochondrial</t>
  </si>
  <si>
    <t>28S ribosomal protein S35, mitochondrial</t>
  </si>
  <si>
    <t>28S ribosomal protein S5, mitochondrial</t>
  </si>
  <si>
    <t>28S ribosomal protein S36, mitochondrial</t>
  </si>
  <si>
    <t>Isoform 2 of 28S ribosomal protein S11, mitochondrial</t>
  </si>
  <si>
    <t>28S ribosomal protein S34, mitochondrial</t>
  </si>
  <si>
    <t>28S ribosomal protein S6, mitochondrial</t>
  </si>
  <si>
    <t>28S ribosomal protein S9, mitochondrial</t>
  </si>
  <si>
    <t>SAP domain-containing ribonucleoprotein</t>
  </si>
  <si>
    <t>Serine beta-lactamase-like protein LACTB, mitochondrial</t>
  </si>
  <si>
    <t>Conserved oligomeric Golgi complex subunit 7</t>
  </si>
  <si>
    <t>60S ribosomal protein L24</t>
  </si>
  <si>
    <t>ADP-ribosylation factor 5</t>
  </si>
  <si>
    <t>Enhancer of rudimentary homolog</t>
  </si>
  <si>
    <t>Rho-related GTP-binding protein RhoG</t>
  </si>
  <si>
    <t>Isoform 4 of Small EDRK-rich factor 2</t>
  </si>
  <si>
    <t>Matrix-remodeling-associated protein 7</t>
  </si>
  <si>
    <t>Isoform 2 of Matrix-remodeling-associated protein 7</t>
  </si>
  <si>
    <t>Forkhead box protein K1</t>
  </si>
  <si>
    <t>Hydroxyacyl-thioester dehydratase type 2, mitochondrial</t>
  </si>
  <si>
    <t>Vacuolar fusion protein CCZ1 homolog</t>
  </si>
  <si>
    <t>Isoform Short of Very low-density lipoprotein receptor</t>
  </si>
  <si>
    <t>Ephrin-B1</t>
  </si>
  <si>
    <t>Isoform 3 of Protein FAM3A</t>
  </si>
  <si>
    <t>Isoform 2 of RNA-binding protein 10</t>
  </si>
  <si>
    <t>Putative RNA-binding protein 3</t>
  </si>
  <si>
    <t>Isoform 2 of Calcium-transporting ATPase type 2C member 1</t>
  </si>
  <si>
    <t>Cytochrome c</t>
  </si>
  <si>
    <t>Transcription factor A, mitochondrial</t>
  </si>
  <si>
    <t>Phosphatidylinositol transfer protein alpha isoform</t>
  </si>
  <si>
    <t>S-adenosylmethionine synthase isoform type-1</t>
  </si>
  <si>
    <t>Isoform B of Phosphate carrier protein, mitochondrial</t>
  </si>
  <si>
    <t>Vigilin</t>
  </si>
  <si>
    <t>Transcription initiation factor IIB</t>
  </si>
  <si>
    <t>Cyclin-dependent kinase 6</t>
  </si>
  <si>
    <t>Cyclin-dependent kinase 5</t>
  </si>
  <si>
    <t>Transcriptional activator protein Pur-alpha</t>
  </si>
  <si>
    <t>Isoform 2 of Cdc42 effector protein 1</t>
  </si>
  <si>
    <t>Isoform 2 of Clathrin heavy chain 1</t>
  </si>
  <si>
    <t>Isoform Short of Heat shock factor protein 1</t>
  </si>
  <si>
    <t>Isoform 4 of Nuclear factor NF-kappa-B p100 subunit</t>
  </si>
  <si>
    <t>Peptidyl-prolyl cis-trans isomerase FKBP3</t>
  </si>
  <si>
    <t>Receptor expression-enhancing protein 5</t>
  </si>
  <si>
    <t>Sorbitol dehydrogenase</t>
  </si>
  <si>
    <t>Isoform Short of Heterogeneous nuclear ribonucleoprotein U</t>
  </si>
  <si>
    <t>Splicing factor U2AF 35 kDa subunit</t>
  </si>
  <si>
    <t>Spectrin beta chain, non-erythrocytic 1</t>
  </si>
  <si>
    <t>Isoform 2 of Spectrin beta chain, non-erythrocytic 1</t>
  </si>
  <si>
    <t>Isoform 2 of Nucleolysin TIAR</t>
  </si>
  <si>
    <t>Protein SET</t>
  </si>
  <si>
    <t>Isoform 2 of Protein SET</t>
  </si>
  <si>
    <t>Serine/arginine-rich splicing factor 2</t>
  </si>
  <si>
    <t>CD83 antigen</t>
  </si>
  <si>
    <t>Forkhead box protein K2</t>
  </si>
  <si>
    <t>Isoform 2 of Adenylyl cyclase-associated protein 1</t>
  </si>
  <si>
    <t>Defensin-5</t>
  </si>
  <si>
    <t>Hydroxymethylglutaryl-CoA synthase, cytoplasmic</t>
  </si>
  <si>
    <t>Large neutral amino acids transporter small subunit 1</t>
  </si>
  <si>
    <t>Protein Dr1</t>
  </si>
  <si>
    <t>Isoform 2 of Exosome component 10</t>
  </si>
  <si>
    <t>6-phosphofructokinase type C</t>
  </si>
  <si>
    <t>Isoform B of Inositol polyphosphate 5-phosphatase OCRL-1</t>
  </si>
  <si>
    <t>1-phosphatidylinositol 4,5-bisphosphate phosphodiesterase beta-3</t>
  </si>
  <si>
    <t>Transgelin</t>
  </si>
  <si>
    <t>A-kinase anchor protein 17A</t>
  </si>
  <si>
    <t>Isoform 2 of N-acylethanolamine-hydrolyzing acid amidase</t>
  </si>
  <si>
    <t>Dihydroorotate dehydrogenase (quinone), mitochondrial</t>
  </si>
  <si>
    <t>Protein kinase C epsilon type</t>
  </si>
  <si>
    <t>Kinesin-like protein KIF23</t>
  </si>
  <si>
    <t>Methylmalonate-semialdehyde dehydrogenase [acylating], mitochondrial</t>
  </si>
  <si>
    <t>Sterol 26-hydroxylase, mitochondrial</t>
  </si>
  <si>
    <t>D-beta-hydroxybutyrate dehydrogenase, mitochondrial</t>
  </si>
  <si>
    <t>Semenogelin-2</t>
  </si>
  <si>
    <t>Transcription factor Sp4</t>
  </si>
  <si>
    <t>Isoform 2B of Desmocollin-2</t>
  </si>
  <si>
    <t>60S ribosomal protein L18a</t>
  </si>
  <si>
    <t>Beta-1,3-galactosyl-O-glycosyl-glycoprotein beta-1,6-N-acetylglucosaminyltransferase</t>
  </si>
  <si>
    <t>Dual specificity mitogen-activated protein kinase kinase 1</t>
  </si>
  <si>
    <t>Peptidyl-prolyl cis-trans isomerase FKBP4</t>
  </si>
  <si>
    <t>Procollagen-lysine,2-oxoglutarate 5-dioxygenase 1</t>
  </si>
  <si>
    <t>Nucleobindin-1</t>
  </si>
  <si>
    <t>60S ribosomal protein L6</t>
  </si>
  <si>
    <t>Isoform Beta-1 of DNA topoisomerase 2-beta</t>
  </si>
  <si>
    <t>Isoform 3 of A-kinase anchor protein 12</t>
  </si>
  <si>
    <t>Dystonin</t>
  </si>
  <si>
    <t>Protein ENL</t>
  </si>
  <si>
    <t>Guanine nucleotide-binding protein subunit alpha-12</t>
  </si>
  <si>
    <t>Aminoacylase-1</t>
  </si>
  <si>
    <t>Tumor necrosis factor alpha-induced protein 2</t>
  </si>
  <si>
    <t>6-pyruvoyl tetrahydrobiopterin synthase</t>
  </si>
  <si>
    <t>Antigen peptide transporter 2</t>
  </si>
  <si>
    <t>CCAAT/enhancer-binding protein zeta</t>
  </si>
  <si>
    <t>1,4-alpha-glucan-branching enzyme</t>
  </si>
  <si>
    <t>Isoform D of Eukaryotic translation initiation factor 4 gamma 1</t>
  </si>
  <si>
    <t>Isoform 5 of Copper-transporting ATPase 1</t>
  </si>
  <si>
    <t>Neurogenic locus notch homolog protein 2</t>
  </si>
  <si>
    <t>Transducin-like enhancer protein 1</t>
  </si>
  <si>
    <t>Isoform 5 of Transducin-like enhancer protein 3</t>
  </si>
  <si>
    <t>Protein kinase C theta type</t>
  </si>
  <si>
    <t>Lactoylglutathione lyase</t>
  </si>
  <si>
    <t>Aldo-keto reductase family 1 member C1</t>
  </si>
  <si>
    <t>Single-stranded DNA-binding protein, mitochondrial</t>
  </si>
  <si>
    <t>14-3-3 protein eta</t>
  </si>
  <si>
    <t>Proteolipid protein 2</t>
  </si>
  <si>
    <t>Cleavage stimulation factor subunit 1</t>
  </si>
  <si>
    <t>Islet cell autoantigen 1</t>
  </si>
  <si>
    <t>Isoform III of Ubiquitin-protein ligase E3A</t>
  </si>
  <si>
    <t>Isoform 5 of Dynamin-1</t>
  </si>
  <si>
    <t>Tyrosine-protein phosphatase non-receptor type 12</t>
  </si>
  <si>
    <t>Protein kinase C zeta type</t>
  </si>
  <si>
    <t>Isoform 2 of Serine/arginine-rich splicing factor 11</t>
  </si>
  <si>
    <t>Elongation factor 1-alpha 2</t>
  </si>
  <si>
    <t>Protein kinase C delta type</t>
  </si>
  <si>
    <t>Isoform 5 of Caldesmon</t>
  </si>
  <si>
    <t>Isoform 3 of Folylpolyglutamate synthase, mitochondrial</t>
  </si>
  <si>
    <t>Isoform 2 of CTD small phosphatase-like protein 2</t>
  </si>
  <si>
    <t>Isoform 2 of Tyrosine-protein phosphatase non-receptor type 11</t>
  </si>
  <si>
    <t>3-ketodihydrosphingosine reductase</t>
  </si>
  <si>
    <t>Amidophosphoribosyltransferase</t>
  </si>
  <si>
    <t>Isoform 2 of Glutamine--fructose-6-phosphate aminotransferase [isomerizing] 1</t>
  </si>
  <si>
    <t>Exosome complex component RRP45</t>
  </si>
  <si>
    <t>Proteasome activator complex subunit 1</t>
  </si>
  <si>
    <t>Isoform 5 of Recombining binding protein suppressor of hairless</t>
  </si>
  <si>
    <t>Amyloid-like protein 2</t>
  </si>
  <si>
    <t>GA-binding protein alpha chain</t>
  </si>
  <si>
    <t>E3 ubiquitin-protein ligase RING1</t>
  </si>
  <si>
    <t>Isoform 3 of DNA repair protein RAD51 homolog 1</t>
  </si>
  <si>
    <t>Isoform 8 of Fragile X mental retardation protein 1</t>
  </si>
  <si>
    <t>Peroxiredoxin-1</t>
  </si>
  <si>
    <t>Complement component 1 Q subcomponent-binding protein, mitochondrial</t>
  </si>
  <si>
    <t>Cytoskeleton-associated protein 4</t>
  </si>
  <si>
    <t>Trefoil factor 3</t>
  </si>
  <si>
    <t>KH domain-containing, RNA-binding, signal transduction-associated protein 1</t>
  </si>
  <si>
    <t>Isoform Epsilon of Apoptosis regulator BAX</t>
  </si>
  <si>
    <t>Induced myeloid leukemia cell differentiation protein Mcl-1</t>
  </si>
  <si>
    <t>Isoform N of Kinesin light chain 1</t>
  </si>
  <si>
    <t>Prolow-density lipoprotein receptor-related protein 1</t>
  </si>
  <si>
    <t>Rho GTPase-activating protein 1</t>
  </si>
  <si>
    <t>Serine/arginine-rich splicing factor 4</t>
  </si>
  <si>
    <t>Isoform 2 of Serine/threonine-protein phosphatase 2B catalytic subunit alpha isoform</t>
  </si>
  <si>
    <t>ATP-dependent RNA helicase A</t>
  </si>
  <si>
    <t>Quinone oxidoreductase</t>
  </si>
  <si>
    <t>Sodium-dependent phosphate transporter 2</t>
  </si>
  <si>
    <t>Golgin subfamily A member 3</t>
  </si>
  <si>
    <t>Golgin subfamily A member 2</t>
  </si>
  <si>
    <t>Galectin-3-binding protein</t>
  </si>
  <si>
    <t>Peroxisomal bifunctional enzyme</t>
  </si>
  <si>
    <t>Leukocyte surface antigen CD47</t>
  </si>
  <si>
    <t>Peptidyl-prolyl cis-trans isomerase D</t>
  </si>
  <si>
    <t>FACT complex subunit SSRP1</t>
  </si>
  <si>
    <t>Schlafen family member 5</t>
  </si>
  <si>
    <t>Mitotic-spindle organizing protein 1</t>
  </si>
  <si>
    <t>Protein VAC14 homolog</t>
  </si>
  <si>
    <t>KIAA0100 protein</t>
  </si>
  <si>
    <t>tRNA (cytosine(34)-C(5))-methyltransferase</t>
  </si>
  <si>
    <t>Isoform 3 of Histone-binding protein RBBP4</t>
  </si>
  <si>
    <t>Nuclear cap-binding protein subunit 1</t>
  </si>
  <si>
    <t>Alpha-1,6-mannosylglycoprotein 6-beta-N-acetylglucosaminyltransferase A</t>
  </si>
  <si>
    <t>Histone acetyltransferase p300</t>
  </si>
  <si>
    <t>Neuroblast differentiation-associated protein AHNAK</t>
  </si>
  <si>
    <t>FCH domain only protein 2</t>
  </si>
  <si>
    <t>Elongator complex protein 6</t>
  </si>
  <si>
    <t>Heat shock 70 kDa protein 14</t>
  </si>
  <si>
    <t>Isoform 2 of Secernin-3</t>
  </si>
  <si>
    <t>Fanconi anemia-associated protein of 100 kDa</t>
  </si>
  <si>
    <t>Ragulator complex protein LAMTOR4</t>
  </si>
  <si>
    <t>Alpha-1,6-mannosyl-glycoprotein 2-beta-N-acetylglucosaminyltransferase</t>
  </si>
  <si>
    <t>Polypeptide N-acetylgalactosaminyltransferase 2</t>
  </si>
  <si>
    <t>Isoform C of AP-1 complex subunit beta-1</t>
  </si>
  <si>
    <t>Cleavage and polyadenylation specificity factor subunit 1</t>
  </si>
  <si>
    <t>Mitochondrial-processing peptidase subunit alpha</t>
  </si>
  <si>
    <t>Isoform 3 of CMP-N-acetylneuraminate-beta-galactosamide-alpha-2,3-sialyltransferase 4</t>
  </si>
  <si>
    <t>Secernin-1</t>
  </si>
  <si>
    <t>WASH complex subunit strumpellin</t>
  </si>
  <si>
    <t>Sterol regulatory element-binding protein cleavage-activating protein</t>
  </si>
  <si>
    <t>Rho guanine nucleotide exchange factor 5</t>
  </si>
  <si>
    <t>Transducin beta-like protein 3</t>
  </si>
  <si>
    <t>Isoform 2 of General transcription factor 3C polypeptide 1</t>
  </si>
  <si>
    <t>Twinfilin-1</t>
  </si>
  <si>
    <t>Proline-rich nuclear receptor coactivator 1</t>
  </si>
  <si>
    <t>Aspartyl/asparaginyl beta-hydroxylase</t>
  </si>
  <si>
    <t>Isoform 4 of Alpha-globin transcription factor CP2</t>
  </si>
  <si>
    <t>Isoform 3 of A-kinase anchor protein 13</t>
  </si>
  <si>
    <t>Isoform 4 of Nucleosome-remodeling factor subunit BPTF</t>
  </si>
  <si>
    <t>Cell division cycle protein 20 homolog</t>
  </si>
  <si>
    <t>Syntaxin-4</t>
  </si>
  <si>
    <t>Splicing factor, suppressor of white-apricot homolog</t>
  </si>
  <si>
    <t>Splicing factor 3A subunit 3</t>
  </si>
  <si>
    <t>Tumor suppressor p53-binding protein 1</t>
  </si>
  <si>
    <t>Interferon-related developmental regulator 2</t>
  </si>
  <si>
    <t>Aminoacyl tRNA synthase complex-interacting multifunctional protein 1</t>
  </si>
  <si>
    <t>Interleukin enhancer-binding factor 2</t>
  </si>
  <si>
    <t>Interleukin enhancer-binding factor 3</t>
  </si>
  <si>
    <t>Vesicular integral-membrane protein VIP36</t>
  </si>
  <si>
    <t>Epidermal growth factor receptor kinase substrate 8</t>
  </si>
  <si>
    <t>Isoform 3 of TNF receptor-associated factor 2</t>
  </si>
  <si>
    <t>Ankyrin-3</t>
  </si>
  <si>
    <t>Isoform 5 of Disks large homolog 1</t>
  </si>
  <si>
    <t>Transcription initiation factor TFIID subunit 10</t>
  </si>
  <si>
    <t>Unconventional myosin-Ie</t>
  </si>
  <si>
    <t>Nuclear inhibitor of protein phosphatase 1</t>
  </si>
  <si>
    <t>Vesicle transport protein SEC20</t>
  </si>
  <si>
    <t>Transcriptional repressor NF-X1</t>
  </si>
  <si>
    <t>Cleavage stimulation factor subunit 3</t>
  </si>
  <si>
    <t>Delta(3,5)-Delta(2,4)-dienoyl-CoA isomerase, mitochondrial</t>
  </si>
  <si>
    <t>Protein AF1q</t>
  </si>
  <si>
    <t>Isoform 2 of Rho GTPase-activating protein 5</t>
  </si>
  <si>
    <t>Isoform Alpha of Striatin-3</t>
  </si>
  <si>
    <t>Serine/threonine-protein kinase 4</t>
  </si>
  <si>
    <t>Protein flightless-1 homolog</t>
  </si>
  <si>
    <t>Isoform 2 of Protein flightless-1 homolog</t>
  </si>
  <si>
    <t>Bifunctional coenzyme A synthase</t>
  </si>
  <si>
    <t>Isoform 3 of Acetyl-CoA carboxylase 1</t>
  </si>
  <si>
    <t>COP9 signalosome complex subunit 1</t>
  </si>
  <si>
    <t>Isoform 2 of Ubiquitin carboxyl-terminal hydrolase 4</t>
  </si>
  <si>
    <t>Chromatin assembly factor 1 subunit A</t>
  </si>
  <si>
    <t>Chromatin assembly factor 1 subunit B</t>
  </si>
  <si>
    <t>Protein Red</t>
  </si>
  <si>
    <t>S-methyl-5-thioadenosine phosphorylase</t>
  </si>
  <si>
    <t>5-AMP-activated protein kinase catalytic subunit alpha-1</t>
  </si>
  <si>
    <t>Liprin-alpha-1</t>
  </si>
  <si>
    <t>BMP and activin membrane-bound inhibitor homolog</t>
  </si>
  <si>
    <t>TAR DNA-binding protein 43</t>
  </si>
  <si>
    <t>Heterogeneous nuclear ribonucleoprotein A0</t>
  </si>
  <si>
    <t>Serine/threonine-protein kinase PAK 1</t>
  </si>
  <si>
    <t>Aminoacyl tRNA synthase complex-interacting multifunctional protein 2</t>
  </si>
  <si>
    <t>Protein FADD</t>
  </si>
  <si>
    <t>Peroxiredoxin-4</t>
  </si>
  <si>
    <t>Isoform 3 of Mitogen-activated protein kinase 7</t>
  </si>
  <si>
    <t>Serine/threonine-protein kinase PAK 2</t>
  </si>
  <si>
    <t>Chromobox protein homolog 3</t>
  </si>
  <si>
    <t>Serine/threonine-protein kinase 3</t>
  </si>
  <si>
    <t>26S proteasome non-ATPase regulatory subunit 2</t>
  </si>
  <si>
    <t>Probable ATP-dependent RNA helicase DDX10</t>
  </si>
  <si>
    <t>DNA excision repair protein ERCC-8</t>
  </si>
  <si>
    <t>DnaJ homolog subfamily C member 3</t>
  </si>
  <si>
    <t>Selenium-binding protein 1</t>
  </si>
  <si>
    <t>Nucleoside diphosphate kinase 3</t>
  </si>
  <si>
    <t>Serine/arginine-rich splicing factor 9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</si>
  <si>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</si>
  <si>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</si>
  <si>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</si>
  <si>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</si>
  <si>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Isoform B of Syntaxin-3</t>
  </si>
  <si>
    <t>Ras GTPase-activating protein-binding protein 1</t>
  </si>
  <si>
    <t>N-myc-interactor</t>
  </si>
  <si>
    <t>Isoform 2 of Voltage-gated potassium channel subunit beta-2</t>
  </si>
  <si>
    <t>Inactive tyrosine-protein kinase 7</t>
  </si>
  <si>
    <t>Isoform 2 of Polyadenylate-binding protein 4</t>
  </si>
  <si>
    <t>Serine-protein kinase ATM</t>
  </si>
  <si>
    <t>Isoform 2 of Growth factor receptor-bound protein 10</t>
  </si>
  <si>
    <t>Isoform 3 of Metastasis-associated protein MTA1</t>
  </si>
  <si>
    <t>Eukaryotic translation initiation factor 3 subunit I</t>
  </si>
  <si>
    <t>Peptidyl-prolyl cis-trans isomerase-like 2</t>
  </si>
  <si>
    <t>Isoform Gamma-2 of Serine/threonine-protein phosphatase 2A 56 kDa regulatory subunit gamma isoform</t>
  </si>
  <si>
    <t>C-terminal-binding protein 1</t>
  </si>
  <si>
    <t>Phosducin-like protein</t>
  </si>
  <si>
    <t>Probable methyltransferase TARBP1</t>
  </si>
  <si>
    <t>39S ribosomal protein L49, mitochondrial</t>
  </si>
  <si>
    <t>Isoform 2C of Cytoplasmic dynein 1 intermediate chain 2</t>
  </si>
  <si>
    <t>Origin recognition complex subunit 2</t>
  </si>
  <si>
    <t>Integrin-linked protein kinase</t>
  </si>
  <si>
    <t>NAD(P) transhydrogenase, mitochondrial</t>
  </si>
  <si>
    <t>Beta-2-syntrophin</t>
  </si>
  <si>
    <t>DNA repair protein XRCC4</t>
  </si>
  <si>
    <t>Peptidyl-prolyl cis-trans isomerase G</t>
  </si>
  <si>
    <t>Isoform 3 of Treacle protein</t>
  </si>
  <si>
    <t>Isoform B of Protein unc-119 homolog A</t>
  </si>
  <si>
    <t>Zinc transporter ZIP6</t>
  </si>
  <si>
    <t>Splicing factor 3B subunit 2</t>
  </si>
  <si>
    <t>Isoform 4 of Protein OS-9</t>
  </si>
  <si>
    <t>Isoform 3 of Golgin subfamily A member 4</t>
  </si>
  <si>
    <t>28 kDa heat- and acid-stable phosphoprotein</t>
  </si>
  <si>
    <t>Disintegrin and metalloproteinase domain-containing protein 9</t>
  </si>
  <si>
    <t>Transmembrane emp24 domain-containing protein 1</t>
  </si>
  <si>
    <t>Peptidyl-prolyl cis-trans isomerase FKBP5</t>
  </si>
  <si>
    <t>Rho-associated protein kinase 1</t>
  </si>
  <si>
    <t>V-type proton ATPase 116 kDa subunit a isoform 3</t>
  </si>
  <si>
    <t>Isoform 2 of Phosphatidylinositol-binding clathrin assembly protein</t>
  </si>
  <si>
    <t>Myotubularin</t>
  </si>
  <si>
    <t>Sequestosome-1</t>
  </si>
  <si>
    <t>Isoform 3 of Metaxin-1</t>
  </si>
  <si>
    <t>Tubulin beta-3 chain</t>
  </si>
  <si>
    <t>Peptidyl-prolyl cis-trans isomerase NIMA-interacting 1</t>
  </si>
  <si>
    <t>Isoform 3 of Serine/threonine-protein kinase ATR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</si>
  <si>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</si>
  <si>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</si>
  <si>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</si>
  <si>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</si>
  <si>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NEDD8-activating enzyme E1 regulatory subunit</t>
  </si>
  <si>
    <t>Inositol-tetrakisphosphate 1-kinase</t>
  </si>
  <si>
    <t>SNW domain-containing protein 1</t>
  </si>
  <si>
    <t>Stromal interaction molecule 1</t>
  </si>
  <si>
    <t>Sorting nexin-1</t>
  </si>
  <si>
    <t>Isoform 2 of KRR1 small subunit processome component homolog</t>
  </si>
  <si>
    <t>Peroxisome assembly factor 2</t>
  </si>
  <si>
    <t>Myotubularin-related protein 2</t>
  </si>
  <si>
    <t>Isoform C of Myotubularin-related protein 3</t>
  </si>
  <si>
    <t>Cullin-1</t>
  </si>
  <si>
    <t>Cullin-2</t>
  </si>
  <si>
    <t>Cullin-3</t>
  </si>
  <si>
    <t>Cullin-4A</t>
  </si>
  <si>
    <t>GDP-L-fucose synthase</t>
  </si>
  <si>
    <t>Trophoblast glycoprotein</t>
  </si>
  <si>
    <t>Isoform 1 of Four and a half LIM domains protein 1</t>
  </si>
  <si>
    <t>Four and a half LIM domains protein 3</t>
  </si>
  <si>
    <t>Alkylated DNA repair protein alkB homolog 1</t>
  </si>
  <si>
    <t>Mannosyl-oligosaccharide glucosidase</t>
  </si>
  <si>
    <t>Sodium/potassium-transporting ATPase subunit alpha-4</t>
  </si>
  <si>
    <t>Isoform 2 of CD166 antigen</t>
  </si>
  <si>
    <t>Laminin subunit beta-3</t>
  </si>
  <si>
    <t>Laminin subunit gamma-2</t>
  </si>
  <si>
    <t>THO complex subunit 5 homolog</t>
  </si>
  <si>
    <t>ADP-ribosylation factor-related protein 1</t>
  </si>
  <si>
    <t>Spectrin alpha chain, non-erythrocytic 1</t>
  </si>
  <si>
    <t>Isoform 2 of Spectrin alpha chain, non-erythrocytic 1</t>
  </si>
  <si>
    <t>Methylglutaconyl-CoA hydratase, mitochondrial</t>
  </si>
  <si>
    <t>Bleomycin hydrolase</t>
  </si>
  <si>
    <t>Exosome complex component RRP4</t>
  </si>
  <si>
    <t>Beta-1-syntrophin</t>
  </si>
  <si>
    <t>Tubulin beta-2A chain</t>
  </si>
  <si>
    <t>Bystin</t>
  </si>
  <si>
    <t>Isopentenyl-diphosphate Delta-isomerase 1</t>
  </si>
  <si>
    <t>Protein CASP</t>
  </si>
  <si>
    <t>Isoform 2 of Core-binding factor subunit beta</t>
  </si>
  <si>
    <t>Isoform 2 of Nuclear transcription factor Y subunit gamma</t>
  </si>
  <si>
    <t>Isoform 2 of Cytoskeleton-associated protein 5</t>
  </si>
  <si>
    <t>Cold-inducible RNA-binding protein</t>
  </si>
  <si>
    <t>Coactosin-like protein</t>
  </si>
  <si>
    <t>Cytochrome c oxidase copper chaperone</t>
  </si>
  <si>
    <t>Isoform 3 of Heterogeneous nuclear ribonucleoprotein D0</t>
  </si>
  <si>
    <t>Lysosome membrane protein 2</t>
  </si>
  <si>
    <t>Isoform 4 of Low-density lipoprotein receptor-related protein 8</t>
  </si>
  <si>
    <t>Dystroglycan</t>
  </si>
  <si>
    <t>Desmoglein-2</t>
  </si>
  <si>
    <t>Transcription cofactor vestigial-like protein 4</t>
  </si>
  <si>
    <t>Ribosome biogenesis protein BOP1</t>
  </si>
  <si>
    <t>Ubiquitin conjugation factor E4 A</t>
  </si>
  <si>
    <t>Unhealthy ribosome biogenesis protein 2 homolog</t>
  </si>
  <si>
    <t>MORC family CW-type zinc finger protein 3</t>
  </si>
  <si>
    <t>Scaffold attachment factor B2</t>
  </si>
  <si>
    <t>Eukaryotic translation initiation factor 3 subunit A</t>
  </si>
  <si>
    <t>Isoform 2 of Ubiquitin-associated protein 2-like</t>
  </si>
  <si>
    <t>Isoform 5 of Ubiquitin-associated protein 2-like</t>
  </si>
  <si>
    <t>Protein scribble homolog</t>
  </si>
  <si>
    <t>Isoform 7 of ARF GTPase-activating protein GIT2</t>
  </si>
  <si>
    <t>Malectin</t>
  </si>
  <si>
    <t>Tubulin--tyrosine ligase-like protein 12</t>
  </si>
  <si>
    <t>DNA polymerase alpha subunit B</t>
  </si>
  <si>
    <t>Transcription factor Dp-1</t>
  </si>
  <si>
    <t>Werner syndrome ATP-dependent helicase</t>
  </si>
  <si>
    <t>Dihydropyrimidinase-related protein 3</t>
  </si>
  <si>
    <t>Cytoplasmic dynein 1 heavy chain 1</t>
  </si>
  <si>
    <t>Protein NPAT</t>
  </si>
  <si>
    <t>Translation initiation factor eIF-2B subunit alpha</t>
  </si>
  <si>
    <t>Eukaryotic initiation factor 4A-II</t>
  </si>
  <si>
    <t>Transcription elongation factor B polypeptide 3</t>
  </si>
  <si>
    <t>Ensconsin</t>
  </si>
  <si>
    <t>Src substrate cortactin</t>
  </si>
  <si>
    <t>Isoform 3 of Src substrate cortactin</t>
  </si>
  <si>
    <t>Endonuclease G, mitochondrial</t>
  </si>
  <si>
    <t>Flotillin-2</t>
  </si>
  <si>
    <t>Reticulocalbin-2</t>
  </si>
  <si>
    <t>E3 ubiquitin/ISG15 ligase TRIM25</t>
  </si>
  <si>
    <t>Isoform 2 of Peptidyl-prolyl cis-trans isomerase FKBP8</t>
  </si>
  <si>
    <t>Protein FAM50A</t>
  </si>
  <si>
    <t>Protein FRG1</t>
  </si>
  <si>
    <t>Guanine nucleotide-binding protein subunit alpha-13</t>
  </si>
  <si>
    <t>UDP-glucose 4-epimerase</t>
  </si>
  <si>
    <t>Polypeptide N-acetylgalactosaminyltransferase 3</t>
  </si>
  <si>
    <t>Isoform 2 of Caprin-1</t>
  </si>
  <si>
    <t>Growth factor receptor-bound protein 7</t>
  </si>
  <si>
    <t>Beclin-1</t>
  </si>
  <si>
    <t>Transcription factor HES-1</t>
  </si>
  <si>
    <t>Isoform 2 of RNA-binding protein 39</t>
  </si>
  <si>
    <t>WAP four-disulfide core domain protein 2</t>
  </si>
  <si>
    <t>Isoform 3 of Enhancer of filamentation 1</t>
  </si>
  <si>
    <t>Isoform 2 of Hyaluronan-binding protein 2</t>
  </si>
  <si>
    <t>Hypermethylated in cancer 1 protein</t>
  </si>
  <si>
    <t>Squalene monooxygenase</t>
  </si>
  <si>
    <t>Protein disulfide-isomerase A5</t>
  </si>
  <si>
    <t>Isoform 2 of Phosphoribosyl pyrophosphate synthase-associated protein 1</t>
  </si>
  <si>
    <t>ATP-dependent RNA helicase DHX8</t>
  </si>
  <si>
    <t>DNA replication licensing factor MCM6</t>
  </si>
  <si>
    <t>Inositol 1,4,5-trisphosphate receptor type 3</t>
  </si>
  <si>
    <t>Plastin-1</t>
  </si>
  <si>
    <t>Interferon regulatory factor 3</t>
  </si>
  <si>
    <t>L antigen family member 3</t>
  </si>
  <si>
    <t>Isoform 2 of E3 ubiquitin-protein ligase TRIP12</t>
  </si>
  <si>
    <t>Mediator of DNA damage checkpoint protein 1</t>
  </si>
  <si>
    <t>Clathrin interactor 1</t>
  </si>
  <si>
    <t>KN motif and ankyrin repeat domain-containing protein 1</t>
  </si>
  <si>
    <t>Isoform 3 of Maternal embryonic leucine zipper kinase</t>
  </si>
  <si>
    <t>BTB/POZ domain-containing protein KCTD2</t>
  </si>
  <si>
    <t>Structural maintenance of chromosomes protein 1A</t>
  </si>
  <si>
    <t>Isoform 2 of Ribosomal RNA processing protein 1 homolog B</t>
  </si>
  <si>
    <t>Nuclear receptor coactivator 6</t>
  </si>
  <si>
    <t>Isoform 2 of Genetic suppressor element 1</t>
  </si>
  <si>
    <t>DNA replication complex GINS protein PSF1</t>
  </si>
  <si>
    <t>Ubiquitin carboxyl-terminal hydrolase 10</t>
  </si>
  <si>
    <t>LDLR chaperone MESD</t>
  </si>
  <si>
    <t>Neutral alpha-glucosidase AB</t>
  </si>
  <si>
    <t>Isoform 2 of Neutral alpha-glucosidase AB</t>
  </si>
  <si>
    <t>Raftlin</t>
  </si>
  <si>
    <t>Lamin-B receptor</t>
  </si>
  <si>
    <t>Isoform 2 of Conserved oligomeric Golgi complex subunit 2</t>
  </si>
  <si>
    <t>Golgin subfamily B member 1</t>
  </si>
  <si>
    <t>Caspase-8</t>
  </si>
  <si>
    <t>N-alpha-acetyltransferase 30</t>
  </si>
  <si>
    <t>Isoform 2 of FXYD domain-containing ion transport regulator 3</t>
  </si>
  <si>
    <t>Kinesin-like protein KIF22</t>
  </si>
  <si>
    <t>LIM and SH3 domain protein 1</t>
  </si>
  <si>
    <t>Isoform 2 of Prostaglandin reductase 1</t>
  </si>
  <si>
    <t>Ras-related protein Rab-39A</t>
  </si>
  <si>
    <t>Zinc finger protein 638</t>
  </si>
  <si>
    <t>Importin subunit beta-1</t>
  </si>
  <si>
    <t>Isoform Beta of Nucleolar and coiled-body phosphoprotein 1</t>
  </si>
  <si>
    <t>Nuclear mitotic apparatus protein 1</t>
  </si>
  <si>
    <t>Proteasome activator complex subunit 4</t>
  </si>
  <si>
    <t>Isoform 2 of Sarcolemmal membrane-associated protein</t>
  </si>
  <si>
    <t>Isoform 6 of GTPase-activating protein and VPS9 domain-containing protein 1</t>
  </si>
  <si>
    <t>FERM and PDZ domain-containing protein 4</t>
  </si>
  <si>
    <t>N-alpha-acetyltransferase 25, NatB auxiliary subunit</t>
  </si>
  <si>
    <t>FAST kinase domain-containing protein 3</t>
  </si>
  <si>
    <t>Condensin complex subunit 2</t>
  </si>
  <si>
    <t>PCNA-associated factor</t>
  </si>
  <si>
    <t>Signal peptidase complex subunit 2</t>
  </si>
  <si>
    <t>ER membrane protein complex subunit 2</t>
  </si>
  <si>
    <t>Pre-mRNA-splicing regulator WTAP</t>
  </si>
  <si>
    <t>26S proteasome non-ATPase regulatory subunit 6</t>
  </si>
  <si>
    <t>Isoform 3 of Homocysteine-responsive endoplasmic reticulum-resident ubiquitin-like domain member 1 protein</t>
  </si>
  <si>
    <t>Lysosomal-associated transmembrane protein 4A</t>
  </si>
  <si>
    <t>MAD2L1-binding protein</t>
  </si>
  <si>
    <t>BRISC complex subunit Abro1</t>
  </si>
  <si>
    <t>Septin-2</t>
  </si>
  <si>
    <t>Squamous cell carcinoma antigen recognized by T-cells 3</t>
  </si>
  <si>
    <t>Condensin complex subunit 1</t>
  </si>
  <si>
    <t>Exosome complex component RRP42</t>
  </si>
  <si>
    <t>Isoform 2 of 116 kDa U5 small nuclear ribonucleoprotein component</t>
  </si>
  <si>
    <t>Probable leucine--tRNA ligase, mitochondrial</t>
  </si>
  <si>
    <t>Isoform 2 of R3H domain-containing protein 1</t>
  </si>
  <si>
    <t>Isoform 2 of Sorting nexin-17</t>
  </si>
  <si>
    <t>Rab3 GTPase-activating protein catalytic subunit</t>
  </si>
  <si>
    <t>Isoform 2 of Zinc transporter ZIP14</t>
  </si>
  <si>
    <t>Lysine--tRNA ligase</t>
  </si>
  <si>
    <t>Isoform 3 of Histone-lysine N-methyltransferase SETDB1</t>
  </si>
  <si>
    <t>Leucine-rich repeat-containing protein 14</t>
  </si>
  <si>
    <t>Ribosome biogenesis regulatory protein homolog</t>
  </si>
  <si>
    <t>Isoform 2 of IQ calmodulin-binding motif-containing protein 1</t>
  </si>
  <si>
    <t>Eukaryotic translation initiation factor 4H</t>
  </si>
  <si>
    <t>Isoform Short of Eukaryotic translation initiation factor 4H</t>
  </si>
  <si>
    <t>Arf-GAP with coiled-coil, ANK repeat and PH domain-containing protein 2</t>
  </si>
  <si>
    <t>Bromodomain-containing protein 3</t>
  </si>
  <si>
    <t>WD repeat-containing protein 43</t>
  </si>
  <si>
    <t>Isoform 2 of Peroxisomal acyl-coenzyme A oxidase 1</t>
  </si>
  <si>
    <t>Early endosome antigen 1</t>
  </si>
  <si>
    <t>Platelet-activating factor acetylhydrolase IB subunit gamma</t>
  </si>
  <si>
    <t>[Pyruvate dehydrogenase [lipoamide]] kinase isozyme 1, mitochondrial</t>
  </si>
  <si>
    <t>[Pyruvate dehydrogenase [lipoamide]] kinase isozyme 3, mitochondrial</t>
  </si>
  <si>
    <t>Astrocytic phosphoprotein PEA-15</t>
  </si>
  <si>
    <t>3-beta-hydroxysteroid-Delta(8),Delta(7)-isomerase</t>
  </si>
  <si>
    <t>Phosphomevalonate kinase</t>
  </si>
  <si>
    <t>Serine/threonine-protein kinase D1</t>
  </si>
  <si>
    <t>Isoform 4 of Plectin</t>
  </si>
  <si>
    <t>Nodal modulator 1</t>
  </si>
  <si>
    <t>Isoform 2 of Transcription elongation factor A protein-like 1</t>
  </si>
  <si>
    <t>Serine/threonine-protein phosphatase 2A 56 kDa regulatory subunit alpha isoform</t>
  </si>
  <si>
    <t>Inorganic pyrophosphatase</t>
  </si>
  <si>
    <t>Serine/threonine-protein kinase 38</t>
  </si>
  <si>
    <t>Poliovirus receptor-related protein 1</t>
  </si>
  <si>
    <t>Non-POU domain-containing octamer-binding protein</t>
  </si>
  <si>
    <t>Serine/threonine-protein phosphatase 2A activator</t>
  </si>
  <si>
    <t>Periodic tryptophan protein 2 homolog</t>
  </si>
  <si>
    <t>Nicotinate-nucleotide pyrophosphorylase [carboxylating]</t>
  </si>
  <si>
    <t>Rab GTPase-binding effector protein 1</t>
  </si>
  <si>
    <t>Isoform 2 of Ras GTPase-activating protein 2</t>
  </si>
  <si>
    <t>Ras-related protein Rab-35</t>
  </si>
  <si>
    <t>Retinoblastoma-binding protein 5</t>
  </si>
  <si>
    <t>Reticulocalbin-1</t>
  </si>
  <si>
    <t>RalA-binding protein 1</t>
  </si>
  <si>
    <t>Lethal(2) giant larvae protein homolog 1</t>
  </si>
  <si>
    <t>Isoform 3 of Leucine-rich repeat-containing protein 41</t>
  </si>
  <si>
    <t>Transmembrane emp24 domain-containing protein 2</t>
  </si>
  <si>
    <t>Poly(rC)-binding protein 1</t>
  </si>
  <si>
    <t>Poly(rC)-binding protein 2</t>
  </si>
  <si>
    <t>Isoform 2 of Poly(rC)-binding protein 2</t>
  </si>
  <si>
    <t>Isoform 3 of Poly(rC)-binding protein 2</t>
  </si>
  <si>
    <t>Transcription elongation factor B polypeptide 2</t>
  </si>
  <si>
    <t>GTP-binding protein Rheb</t>
  </si>
  <si>
    <t>Ubiquitin-protein ligase E3C</t>
  </si>
  <si>
    <t>Splicing factor 3B subunit 3</t>
  </si>
  <si>
    <t>Isoform 3 of Disks large-associated protein 5</t>
  </si>
  <si>
    <t>Ras suppressor protein 1</t>
  </si>
  <si>
    <t>Calponin-3</t>
  </si>
  <si>
    <t>Scaffold attachment factor B1</t>
  </si>
  <si>
    <t>Splicing factor 3A subunit 2</t>
  </si>
  <si>
    <t>Protein phosphatase 1 regulatory subunit 7</t>
  </si>
  <si>
    <t>Protein transport protein Sec23B</t>
  </si>
  <si>
    <t>Splicing factor 3A subunit 1</t>
  </si>
  <si>
    <t>SH2 domain-containing adapter protein B</t>
  </si>
  <si>
    <t>Helicase SKI2W</t>
  </si>
  <si>
    <t>Isoform 2 of Surfeit locus protein 1</t>
  </si>
  <si>
    <t>Surfeit locus protein 2</t>
  </si>
  <si>
    <t>Transcription initiation factor TFIID subunit 7</t>
  </si>
  <si>
    <t>Telomeric repeat-binding factor 2</t>
  </si>
  <si>
    <t>Isoform 4 of Microtubule-associated protein RP/EB family member 2</t>
  </si>
  <si>
    <t>Isoform 2 of Transcription elongation factor A protein 2</t>
  </si>
  <si>
    <t>Na(+)/H(+) exchange regulatory cofactor NHE-RF2</t>
  </si>
  <si>
    <t>Tumor necrosis factor receptor type 1-associated DEATH domain protein</t>
  </si>
  <si>
    <t>Isoform 2 of RISC-loading complex subunit TARBP2</t>
  </si>
  <si>
    <t>Isoform 5 of Splicing factor 1</t>
  </si>
  <si>
    <t>Isoform 6 of Splicing factor 1</t>
  </si>
  <si>
    <t>Cdc42-interacting protein 4</t>
  </si>
  <si>
    <t>Thyroid receptor-interacting protein 11</t>
  </si>
  <si>
    <t>Pachytene checkpoint protein 2 homolog</t>
  </si>
  <si>
    <t>Mediator of RNA polymerase II transcription subunit 1</t>
  </si>
  <si>
    <t>Zinc finger HIT domain-containing protein 3</t>
  </si>
  <si>
    <t>High mobility group nucleosome-binding domain-containing protein 3</t>
  </si>
  <si>
    <t>Isoform 3 of Probable JmjC domain-containing histone demethylation protein 2C</t>
  </si>
  <si>
    <t>Thyroid receptor-interacting protein 6</t>
  </si>
  <si>
    <t>Microtubule-associated protein RP/EB family member 1</t>
  </si>
  <si>
    <t>TSC22 domain family protein 1</t>
  </si>
  <si>
    <t>ELAV-like protein 1</t>
  </si>
  <si>
    <t>Sterol-4-alpha-carboxylate 3-dehydrogenase, decarboxylating</t>
  </si>
  <si>
    <t>Isoform 2 of TGF-beta-activated kinase 1 and MAP3K7-binding protein 1</t>
  </si>
  <si>
    <t>Neutral amino acid transporter B(0)</t>
  </si>
  <si>
    <t>Ras-related protein Rab-30</t>
  </si>
  <si>
    <t>Mitochondrial import receptor subunit TOM34</t>
  </si>
  <si>
    <t>Isoform 2 of Nuclear receptor coactivator 1</t>
  </si>
  <si>
    <t>Isoform Short of Mothers against decapentaplegic homolog 2</t>
  </si>
  <si>
    <t>Mothers against decapentaplegic homolog 1</t>
  </si>
  <si>
    <t>Methylsterol monooxygenase 1</t>
  </si>
  <si>
    <t>Tubulin-specific chaperone E</t>
  </si>
  <si>
    <t>Tubulin-specific chaperone C</t>
  </si>
  <si>
    <t>Ubiquitin-conjugating enzyme E2 variant 2</t>
  </si>
  <si>
    <t>Syntaxin-binding protein 2</t>
  </si>
  <si>
    <t>Vesicle-associated membrane protein 3</t>
  </si>
  <si>
    <t>NEDD8</t>
  </si>
  <si>
    <t>Adipogenesis regulatory factor</t>
  </si>
  <si>
    <t>V-type proton ATPase subunit S1</t>
  </si>
  <si>
    <t>Vacuolar protein sorting-associated protein 72 homolog</t>
  </si>
  <si>
    <t>Ras-related protein Rab-11B</t>
  </si>
  <si>
    <t>Zyxin</t>
  </si>
  <si>
    <t>Electron transfer flavoprotein-ubiquinone oxidoreductase, mitochondrial</t>
  </si>
  <si>
    <t>Septin-7</t>
  </si>
  <si>
    <t>Proteasomal ubiquitin receptor ADRM1</t>
  </si>
  <si>
    <t>Coiled-coil domain-containing protein 6</t>
  </si>
  <si>
    <t>Isoform AGX1 of UDP-N-acetylhexosamine pyrophosphorylase</t>
  </si>
  <si>
    <t>Transcription factor E2F4</t>
  </si>
  <si>
    <t>Isoform 2 of 26S proteasome non-ATPase regulatory subunit 5</t>
  </si>
  <si>
    <t>Serine/threonine-protein kinase N1</t>
  </si>
  <si>
    <t>Serine/threonine-protein kinase N2</t>
  </si>
  <si>
    <t>Isoform TAFII15 of Transcription initiation factor TFIID subunit 12</t>
  </si>
  <si>
    <t>DNA damage-binding protein 1</t>
  </si>
  <si>
    <t>Isoform CSBP1 of Mitogen-activated protein kinase 14</t>
  </si>
  <si>
    <t>Hsp90 co-chaperone Cdc37</t>
  </si>
  <si>
    <t>Dihydropyrimidinase-related protein 2</t>
  </si>
  <si>
    <t>Histone-binding protein RBBP7</t>
  </si>
  <si>
    <t>Transcription initiation factor TFIID subunit 9</t>
  </si>
  <si>
    <t>Zinc finger protein 239</t>
  </si>
  <si>
    <t>Extracellular matrix protein 1</t>
  </si>
  <si>
    <t>Isoform 4 of Occludin</t>
  </si>
  <si>
    <t>Male-enhanced antigen 1</t>
  </si>
  <si>
    <t>Isoform 2 of Cleavage and polyadenylation specificity factor subunit 6</t>
  </si>
  <si>
    <t>Drebrin</t>
  </si>
  <si>
    <t>MAP kinase-activated protein kinase 3</t>
  </si>
  <si>
    <t>Isoform Short of Nuclear respiratory factor 1</t>
  </si>
  <si>
    <t>Fascin</t>
  </si>
  <si>
    <t>Isoform 2 of Zinc finger and SCAN domain-containing protein 26</t>
  </si>
  <si>
    <t>Alpha-mannosidase 2</t>
  </si>
  <si>
    <t>NADH dehydrogenase [ubiquinone] 1 alpha subcomplex subunit 5</t>
  </si>
  <si>
    <t>Putative ATP-dependent Clp protease proteolytic subunit, mitochondrial</t>
  </si>
  <si>
    <t>Thiosulfate sulfurtransferase</t>
  </si>
  <si>
    <t>Ubiquitin-conjugating enzyme E2 S</t>
  </si>
  <si>
    <t>Glutaminyl-peptide cyclotransferase</t>
  </si>
  <si>
    <t>Isoform 2 of Hydroxyacylglutathione hydrolase, mitochondrial</t>
  </si>
  <si>
    <t>Histone H2B type 2-E</t>
  </si>
  <si>
    <t>Carbonic anhydrase 9</t>
  </si>
  <si>
    <t>NADH dehydrogenase [ubiquinone] 1 alpha subcomplex subunit 9, mitochondrial</t>
  </si>
  <si>
    <t>Phosphoenolpyruvate carboxykinase [GTP], mitochondrial</t>
  </si>
  <si>
    <t>Lanosterol 14-alpha demethylase</t>
  </si>
  <si>
    <t>UTP--glucose-1-phosphate uridylyltransferase</t>
  </si>
  <si>
    <t>Deoxyguanosine kinase, mitochondrial</t>
  </si>
  <si>
    <t>V-type proton ATPase subunit F</t>
  </si>
  <si>
    <t>2-hydroxyacylsphingosine 1-beta-galactosyltransferase</t>
  </si>
  <si>
    <t>Isoform 2 of Putative deoxyribonuclease TATDN3</t>
  </si>
  <si>
    <t>Protein FAM98C</t>
  </si>
  <si>
    <t>Proto-oncogene c-Rel</t>
  </si>
  <si>
    <t>Isoform 2 of Protein Dok-7</t>
  </si>
  <si>
    <t>Lysine-rich nucleolar protein 1</t>
  </si>
  <si>
    <t>Heterogeneous nuclear ribonucleoprotein U-like protein 2</t>
  </si>
  <si>
    <t>Isoform 1 of Centrosome and spindle pole-associated protein 1</t>
  </si>
  <si>
    <t>Transmembrane protein 132A</t>
  </si>
  <si>
    <t>Isoform 2 of Inverted formin-2</t>
  </si>
  <si>
    <t>Sister chromatid cohesion protein PDS5 homolog A</t>
  </si>
  <si>
    <t>Isoform 2 of Glutamine and serine-rich protein 1</t>
  </si>
  <si>
    <t>Protein CLEC16A</t>
  </si>
  <si>
    <t>Isoform 2 of Methenyltetrahydrofolate synthase domain-containing protein</t>
  </si>
  <si>
    <t>Isoform 2 of AP2-associated protein kinase 1</t>
  </si>
  <si>
    <t>Isoform 5 of Centrosomal protein kizuna</t>
  </si>
  <si>
    <t>WASH complex subunit 7</t>
  </si>
  <si>
    <t>Cardiac voltage-gated potassium channel accessory subunit isoform 3a (Fragment)</t>
  </si>
  <si>
    <t>DNA excision repair protein ERCC-6-like</t>
  </si>
  <si>
    <t>Pre-rRNA-processing protein TSR1 homolog</t>
  </si>
  <si>
    <t>Peroxisomal leader peptide-processing protease</t>
  </si>
  <si>
    <t>GDP-Man:Man(3)GlcNAc(2)-PP-Dol alpha-1,2-mannosyltransferase</t>
  </si>
  <si>
    <t>Glutamine-rich protein 1</t>
  </si>
  <si>
    <t>RELA protein</t>
  </si>
  <si>
    <t>Tumor suppressor candidate gene 1 protein</t>
  </si>
  <si>
    <t>Golgin subfamily A member 7B</t>
  </si>
  <si>
    <t>WD40 repeat-containing protein SMU1</t>
  </si>
  <si>
    <t>CWF19-like protein 2</t>
  </si>
  <si>
    <t>Isoform 2 of Leucine-rich repeat flightless-interacting protein 1</t>
  </si>
  <si>
    <t>Isoform 3 of Leucine-rich repeat flightless-interacting protein 1</t>
  </si>
  <si>
    <t>Isoform 4 of Leucine-rich repeat flightless-interacting protein 1</t>
  </si>
  <si>
    <t>DNA polymerase delta subunit 3</t>
  </si>
  <si>
    <t>Prolyl 3-hydroxylase 1</t>
  </si>
  <si>
    <t>tRNA (guanine(37)-N1)-methyltransferase</t>
  </si>
  <si>
    <t>DNA-directed RNA polymerase I subunit RPA43</t>
  </si>
  <si>
    <t>Glucose-fructose oxidoreductase domain-containing protein 2</t>
  </si>
  <si>
    <t>Isoform 2 of MAP7 domain-containing protein 1</t>
  </si>
  <si>
    <t>UDP-N-acetylhexosamine pyrophosphorylase-like protein 1</t>
  </si>
  <si>
    <t>UPF0538 protein C2orf76</t>
  </si>
  <si>
    <t>Alpha-ketoglutarate-dependent dioxygenase alkB homolog 6</t>
  </si>
  <si>
    <t>Bifunctional ATP-dependent dihydroxyacetone kinase/FAD-AMP lyase (cyclizing)</t>
  </si>
  <si>
    <t>Protein LSM12 homolog</t>
  </si>
  <si>
    <t>TBC1 domain family member 25</t>
  </si>
  <si>
    <t>Ral guanine nucleotide dissociation stimulator-like 3</t>
  </si>
  <si>
    <t>Putative tRNA pseudouridine synthase Pus10</t>
  </si>
  <si>
    <t>Uncharacterized aarF domain-containing protein kinase 5</t>
  </si>
  <si>
    <t>Inactive hydroxysteroid dehydrogenase-like protein 1</t>
  </si>
  <si>
    <t>Mitochondrial 10-formyltetrahydrofolate dehydrogenase</t>
  </si>
  <si>
    <t>Rab-like protein 6</t>
  </si>
  <si>
    <t>Vacuolar ATPase assembly integral membrane protein VMA21</t>
  </si>
  <si>
    <t>Tubulin beta-8 chain</t>
  </si>
  <si>
    <t>Membrane protein FAM174B</t>
  </si>
  <si>
    <t>Mitochondrial import inner membrane translocase subunit TIM50</t>
  </si>
  <si>
    <t>Galectin-related protein</t>
  </si>
  <si>
    <t>Isoform 2 of Alpha-(1,3)-fucosyltransferase 11</t>
  </si>
  <si>
    <t>Isoform 2 of Cerebral dopamine neurotrophic factor</t>
  </si>
  <si>
    <t>UPF0489 protein C5orf22</t>
  </si>
  <si>
    <t>Cytochrome c oxidase assembly protein COX19</t>
  </si>
  <si>
    <t>Vacuolar protein sorting-associated protein 26B</t>
  </si>
  <si>
    <t>Protein CCSMST1</t>
  </si>
  <si>
    <t>La-related protein 7</t>
  </si>
  <si>
    <t>NAD kinase domain-containing protein 1, mitochondrial</t>
  </si>
  <si>
    <t>Isoform 3 of Coiled-coil domain-containing protein 40</t>
  </si>
  <si>
    <t>Isoform 2 of Glucoside xylosyltransferase 1</t>
  </si>
  <si>
    <t>Acyl-CoA synthetase family member 3, mitochondrial</t>
  </si>
  <si>
    <t>Isoform 4 of Prolyl endopeptidase-like</t>
  </si>
  <si>
    <t>AGR2</t>
  </si>
  <si>
    <t>TBC1 domain family member 10B</t>
  </si>
  <si>
    <t>Isoform 3 of Anoctamin-6</t>
  </si>
  <si>
    <t>Isoform 3 of 1-phosphatidylinositol 4,5-bisphosphate phosphodiesterase eta-1</t>
  </si>
  <si>
    <t>Isoform 3 of Dynein light chain 1, axonemal</t>
  </si>
  <si>
    <t>Isoform 3 of AT-rich interactive domain-containing protein 4B</t>
  </si>
  <si>
    <t>GRIP1-associated protein 1</t>
  </si>
  <si>
    <t>B-cell CLL/lymphoma 7 protein family member A</t>
  </si>
  <si>
    <t>Angiomotin</t>
  </si>
  <si>
    <t>Peroxisomal 2,4-dienoyl-CoA reductase</t>
  </si>
  <si>
    <t>Isoform 2 of Membralin</t>
  </si>
  <si>
    <t>Uncharacterized protein C4orf46</t>
  </si>
  <si>
    <t>Protein lin-52 homolog</t>
  </si>
  <si>
    <t>Isoform 2 of Protein FAM98B</t>
  </si>
  <si>
    <t>Isoform 2 of Programmed cell death protein 4</t>
  </si>
  <si>
    <t>Glycerol-3-phosphate acyltransferase 3</t>
  </si>
  <si>
    <t>Uncharacterized protein C17orf85</t>
  </si>
  <si>
    <t>Quinone oxidoreductase PIG3</t>
  </si>
  <si>
    <t>Protein Hikeshi</t>
  </si>
  <si>
    <t>Isoform 2 of PDZ and LIM domain protein 3</t>
  </si>
  <si>
    <t>Estradiol 17-beta-dehydrogenase 12</t>
  </si>
  <si>
    <t>Acylglycerol kinase, mitochondrial</t>
  </si>
  <si>
    <t>Histone-lysine N-methyltransferase SETMAR</t>
  </si>
  <si>
    <t>Beta-lactamase-like protein 2</t>
  </si>
  <si>
    <t>Pyrroline-5-carboxylate reductase 3</t>
  </si>
  <si>
    <t>Protein TSSC1</t>
  </si>
  <si>
    <t>Single-strand selective monofunctional uracil DNA glycosylase</t>
  </si>
  <si>
    <t>Ankyrin repeat domain-containing protein SOWAHC</t>
  </si>
  <si>
    <t>FAST kinase domain-containing protein 1</t>
  </si>
  <si>
    <t>Retroviral-like aspartic protease 1</t>
  </si>
  <si>
    <t>BolA-like protein 3</t>
  </si>
  <si>
    <t>Isoform 4 of Cordon-bleu protein-like 1</t>
  </si>
  <si>
    <t>HCLS1-binding protein 3</t>
  </si>
  <si>
    <t>Isoform 2 of Shugoshin-like 2</t>
  </si>
  <si>
    <t>OCIA domain-containing protein 2</t>
  </si>
  <si>
    <t>Vesicle transport protein SFT2C</t>
  </si>
  <si>
    <t>KHDC3-like protein</t>
  </si>
  <si>
    <t>Putative heat shock protein HSP 90-beta 2</t>
  </si>
  <si>
    <t>Putative heat shock protein HSP 90-alpha A4</t>
  </si>
  <si>
    <t>DDB1- and CUL4-associated factor 6</t>
  </si>
  <si>
    <t>Putative 60S ribosomal protein L39-like 5</t>
  </si>
  <si>
    <t>Transmembrane protein 97</t>
  </si>
  <si>
    <t>Oxidoreductase-like domain-containing protein 1</t>
  </si>
  <si>
    <t>UPF0692 protein C19orf54</t>
  </si>
  <si>
    <t>DBIRD complex subunit ZNF326</t>
  </si>
  <si>
    <t>PDZ domain-containing protein 11</t>
  </si>
  <si>
    <t>DnaJ homolog subfamily C member 21</t>
  </si>
  <si>
    <t>von Willebrand factor A domain-containing protein 2</t>
  </si>
  <si>
    <t>Isoform 3 of Probable E3 ubiquitin-protein ligase HERC4</t>
  </si>
  <si>
    <t>Urotensin-2</t>
  </si>
  <si>
    <t>Protein CXorf40B</t>
  </si>
  <si>
    <t>Metaxin-3</t>
  </si>
  <si>
    <t>Rab-like protein 3</t>
  </si>
  <si>
    <t>2-methoxy-6-polyprenyl-1,4-benzoquinol methylase, mitochondrial</t>
  </si>
  <si>
    <t>Isoform 2 of SH3 domain-containing protein 19</t>
  </si>
  <si>
    <t>Tubulin beta chain</t>
  </si>
  <si>
    <t>Isoform 2 of Nodal modulator 2</t>
  </si>
  <si>
    <t>Probable glutamate--tRNA ligase, mitochondrial</t>
  </si>
  <si>
    <t>Protein DPCD (Fragment)</t>
  </si>
  <si>
    <t>Rho-related GTP-binding protein RhoC (Fragment)</t>
  </si>
  <si>
    <t>Isoform 2 of Protein phosphatase 1J</t>
  </si>
  <si>
    <t>Melanoma inhibitory activity protein 3</t>
  </si>
  <si>
    <t>Nucleoporin p58/p45 (Fragment)</t>
  </si>
  <si>
    <t>Serine/arginine-rich-splicing factor 10</t>
  </si>
  <si>
    <t>Presequence protease, mitochondrial</t>
  </si>
  <si>
    <t>NHL repeat-containing protein 3</t>
  </si>
  <si>
    <t>Proteasome assembly chaperone 4</t>
  </si>
  <si>
    <t>Isoform 2 of WD repeat-containing protein 44</t>
  </si>
  <si>
    <t>High mobility group nucleosome-binding domain-containing protein 5 (Fragment)</t>
  </si>
  <si>
    <t>Protein PRRC2B</t>
  </si>
  <si>
    <t>Isoform 2 of Tight junction-associated protein 1</t>
  </si>
  <si>
    <t>Isoform 2 of RRP12-like protein</t>
  </si>
  <si>
    <t>Isoform 3 of Cytochrome c oxidase assembly factor 6 homolog</t>
  </si>
  <si>
    <t>Glucocorticoid modulatory element binding protein 2, isoform CRA_a</t>
  </si>
  <si>
    <t>Alanine--tRNA ligase, mitochondrial</t>
  </si>
  <si>
    <t>Torsin-2A</t>
  </si>
  <si>
    <t>Rap guanine nucleotide exchange factor 1 (Fragment)</t>
  </si>
  <si>
    <t>Testis-expressed sequence 30 protein</t>
  </si>
  <si>
    <t>Discs, large homolog 3 (Neuroendocrine-dlg, Drosophila), isoform CRA_b</t>
  </si>
  <si>
    <t>FERM and PDZ domain-containing protein 3</t>
  </si>
  <si>
    <t>Isoform 3 of PCI domain-containing protein 2</t>
  </si>
  <si>
    <t>Intracellular hyaluronan-binding protein 4</t>
  </si>
  <si>
    <t>Engulfment and cell motility protein 2</t>
  </si>
  <si>
    <t>Double-stranded RNA-binding protein Staufen homolog 1</t>
  </si>
  <si>
    <t>Transmembrane protein 230 (Fragment)</t>
  </si>
  <si>
    <t>Mediator of RNA polymerase II transcription subunit 23</t>
  </si>
  <si>
    <t>Mortality factor 4-like protein 2 (Fragment)</t>
  </si>
  <si>
    <t>Crooked neck-like protein 1</t>
  </si>
  <si>
    <t>Long-chain fatty acid transport protein 3</t>
  </si>
  <si>
    <t>Cytospin-B</t>
  </si>
  <si>
    <t>Solute carrier family 35 member D3</t>
  </si>
  <si>
    <t>Isoform 3 of Serine/threonine-protein phosphatase 4 regulatory subunit 3B</t>
  </si>
  <si>
    <t>WD repeat domain phosphoinositide-interacting protein 3</t>
  </si>
  <si>
    <t>Isoform 2 of WD repeat domain phosphoinositide-interacting protein 1</t>
  </si>
  <si>
    <t>EGF domain-specific O-linked N-acetylglucosamine transferase</t>
  </si>
  <si>
    <t>Deoxynucleotidyltransferase terminal-interacting protein 2</t>
  </si>
  <si>
    <t>Peroxisomal biogenesis factor 19 (Fragment)</t>
  </si>
  <si>
    <t>ATP synthase subunit b, mitochondrial</t>
  </si>
  <si>
    <t>Bcl-2-like protein 1 (Fragment)</t>
  </si>
  <si>
    <t>Dolichol-phosphate mannosyltransferase</t>
  </si>
  <si>
    <t>RNA-binding protein Raly (Fragment)</t>
  </si>
  <si>
    <t>Proteasome inhibitor PI31 subunit</t>
  </si>
  <si>
    <t>Isoform 4 of Rab GTPase-activating protein 1-like</t>
  </si>
  <si>
    <t>Tyrosine-protein kinase Fyn</t>
  </si>
  <si>
    <t>Mitochondrial pyruvate carrier 2 (Fragment)</t>
  </si>
  <si>
    <t>Cytochrome c oxidase protein 20 homolog</t>
  </si>
  <si>
    <t>Exosome complex component MTR3</t>
  </si>
  <si>
    <t>Neural proliferation differentiation and control protein 1</t>
  </si>
  <si>
    <t>Isoform 5 of Alpha-tubulin N-acetyltransferase</t>
  </si>
  <si>
    <t>Calsyntenin-1 (Fragment)</t>
  </si>
  <si>
    <t>Hippocampus abundant transcript-like protein 1</t>
  </si>
  <si>
    <t>Nucleoporin NUP188 homolog</t>
  </si>
  <si>
    <t>Glycoprotein endo-alpha-1,2-mannosidase</t>
  </si>
  <si>
    <t>Casein kinase 2, beta polypeptide, isoform CRA_d</t>
  </si>
  <si>
    <t>Heterochromatin protein 1-binding protein 3</t>
  </si>
  <si>
    <t>Valine--tRNA ligase, mitochondrial</t>
  </si>
  <si>
    <t>Kidney mitochondrial carrier protein 1</t>
  </si>
  <si>
    <t>Centrosomal protein of 170 kDa</t>
  </si>
  <si>
    <t>Calcium/calmodulin-dependent protein kinase (CaM kinase) II gamma, isoform CRA_n</t>
  </si>
  <si>
    <t>Isoform 4 of Protein odr-4 homolog</t>
  </si>
  <si>
    <t>Rab GDP dissociation inhibitor beta (Fragment)</t>
  </si>
  <si>
    <t>snRNA-activating protein complex subunit 4</t>
  </si>
  <si>
    <t>DNL-type zinc finger protein</t>
  </si>
  <si>
    <t>Isoform 2 of NHS-like protein 1</t>
  </si>
  <si>
    <t>Splicing factor 3B subunit 4 (Fragment)</t>
  </si>
  <si>
    <t>Ceramide synthase 2 (Fragment)</t>
  </si>
  <si>
    <t>Tudor and KH domain containing, isoform CRA_a</t>
  </si>
  <si>
    <t>Alpha-amylase 1 (Fragment)</t>
  </si>
  <si>
    <t>Tumor protein p63-regulated gene 1-like protein</t>
  </si>
  <si>
    <t>Isoform 3 of Formin-binding protein 1-like</t>
  </si>
  <si>
    <t>Dihydropyrimidinase-related protein 4</t>
  </si>
  <si>
    <t>Uncharacterized protein C6orf132</t>
  </si>
  <si>
    <t>SH3 domain-binding glutamic acid-rich-like protein 3</t>
  </si>
  <si>
    <t>Probable arginine--tRNA ligase, mitochondrial</t>
  </si>
  <si>
    <t>Pygopus homolog 2</t>
  </si>
  <si>
    <t>FK506-binding protein 15</t>
  </si>
  <si>
    <t>Probable ATP-dependent RNA helicase DDX59</t>
  </si>
  <si>
    <t>Pumilio homolog 1</t>
  </si>
  <si>
    <t>Zinc finger CCCH domain-containing protein 13</t>
  </si>
  <si>
    <t>Probable palmitoyltransferase ZDHHC12 (Fragment)</t>
  </si>
  <si>
    <t>Uncharacterized protein C9orf114</t>
  </si>
  <si>
    <t>UPF0668 protein C10orf76</t>
  </si>
  <si>
    <t>Isoform 3 of Decaprenyl-diphosphate synthase subunit 1</t>
  </si>
  <si>
    <t>Uncharacterized protein C1orf159</t>
  </si>
  <si>
    <t>Proline/serine-rich coiled-coil protein 1 (Fragment)</t>
  </si>
  <si>
    <t>Transmembrane protein 63B</t>
  </si>
  <si>
    <t>Isoform 2 of Multidrug resistance-associated protein 7</t>
  </si>
  <si>
    <t>Putative transferase CAF17, mitochondrial</t>
  </si>
  <si>
    <t>Isoform 7 of Protrudin</t>
  </si>
  <si>
    <t>Isoform 3 of E3 ubiquitin-protein ligase UBR4</t>
  </si>
  <si>
    <t>Acyl-Coenzyme A dehydrogenase, C-4 to C-12 straight chain, isoform CRA_a</t>
  </si>
  <si>
    <t>Isoform 3 of Syntaxin-binding protein 5</t>
  </si>
  <si>
    <t>Sickle tail protein homolog</t>
  </si>
  <si>
    <t>Rho GTPase-activating protein 21</t>
  </si>
  <si>
    <t>Isoform 2 of Calmodulin-regulated spectrin-associated protein 1</t>
  </si>
  <si>
    <t>Ubiquitin-associated protein 2</t>
  </si>
  <si>
    <t>Actin-binding LIM protein 1</t>
  </si>
  <si>
    <t>UPF0553 protein C9orf64</t>
  </si>
  <si>
    <t>Skin-specific protein 32</t>
  </si>
  <si>
    <t>Protein FAM69A</t>
  </si>
  <si>
    <t>RAB6-interacting golgin</t>
  </si>
  <si>
    <t>Isoform 4 of Acyl-CoA-binding domain-containing protein 5</t>
  </si>
  <si>
    <t>Protein COX6A1P2</t>
  </si>
  <si>
    <t>RNA-binding protein 26</t>
  </si>
  <si>
    <t>Surfeit 4</t>
  </si>
  <si>
    <t>Adenylate kinase isoenzyme 1</t>
  </si>
  <si>
    <t>Isoform 2 of Protein FAM102A</t>
  </si>
  <si>
    <t>Isoform 3 of Integrator complex subunit 11</t>
  </si>
  <si>
    <t>Glycolipid transfer protein domain-containing protein 1</t>
  </si>
  <si>
    <t>Terminal uridylyltransferase 4</t>
  </si>
  <si>
    <t>Protein furry homolog</t>
  </si>
  <si>
    <t>Ribonuclease H2 subunit B</t>
  </si>
  <si>
    <t>Transcription initiation factor TFIID subunit 4 (Fragment)</t>
  </si>
  <si>
    <t>RNA-binding protein 34 (Fragment)</t>
  </si>
  <si>
    <t>Ribosyldihydronicotinamide dehydrogenase [quinone]</t>
  </si>
  <si>
    <t>Bombesin receptor-activated protein C6orf89</t>
  </si>
  <si>
    <t>DnaJ (Hsp40) homolog, subfamily C, member 16, isoform CRA_a</t>
  </si>
  <si>
    <t>Protein DDI1 homolog 2</t>
  </si>
  <si>
    <t>Isoform 2 of NADH dehydrogenase [ubiquinone] 1 alpha subcomplex assembly factor 5</t>
  </si>
  <si>
    <t>5-nucleotidase domain-containing protein 1</t>
  </si>
  <si>
    <t>Uncharacterized protein C6orf106</t>
  </si>
  <si>
    <t>Brefeldin A-inhibited guanine nucleotide-exchange protein 3</t>
  </si>
  <si>
    <t>PR domain zinc finger protein 2</t>
  </si>
  <si>
    <t>Isoform 3 of Protein PRR14L</t>
  </si>
  <si>
    <t>Thiamine transporter 1</t>
  </si>
  <si>
    <t>Rootletin</t>
  </si>
  <si>
    <t>Complex III assembly factor LYRM7</t>
  </si>
  <si>
    <t>Isoform 2 of Telomere-associated protein RIF1</t>
  </si>
  <si>
    <t>Isoform 4 of Vacuolar protein sorting-associated protein 53 homolog</t>
  </si>
  <si>
    <t>Striatin-interacting protein 1</t>
  </si>
  <si>
    <t>Alpha/beta hydrolase domain-containing protein 17B</t>
  </si>
  <si>
    <t>Centrosome-associated protein 350</t>
  </si>
  <si>
    <t>Isoform 3 of Regulation of nuclear pre-mRNA domain-containing protein 2</t>
  </si>
  <si>
    <t>MOSC domain-containing protein 1, mitochondrial</t>
  </si>
  <si>
    <t>Growth hormone-inducible transmembrane protein</t>
  </si>
  <si>
    <t>Pre-mRNA-splicing factor 38B</t>
  </si>
  <si>
    <t>Isoform 2 of Tetratricopeptide repeat protein 39B</t>
  </si>
  <si>
    <t>E3 ubiquitin-protein ligase BRE1A</t>
  </si>
  <si>
    <t>Dynein light chain Tctex-type 1</t>
  </si>
  <si>
    <t>Cyclic AMP-dependent transcription factor ATF-3 (Fragment)</t>
  </si>
  <si>
    <t>Tropomyosin 3, isoform CRA_b</t>
  </si>
  <si>
    <t>Zinc finger protein 318</t>
  </si>
  <si>
    <t>Uncharacterized protein C1orf53</t>
  </si>
  <si>
    <t>UPF0369 protein C6orf57</t>
  </si>
  <si>
    <t>Rho guanine nucleotide exchange factor 16</t>
  </si>
  <si>
    <t>Threonylcarbamoyladenosine tRNA methylthiotransferase</t>
  </si>
  <si>
    <t>Zinc finger protein 691</t>
  </si>
  <si>
    <t>Microsomal glutathione S-transferase 3</t>
  </si>
  <si>
    <t>Isoform 2 of Histone H2A deubiquitinase MYSM1</t>
  </si>
  <si>
    <t>Isoform 2 of Ubiquitin thioesterase OTU1</t>
  </si>
  <si>
    <t>Nuclear factor 1</t>
  </si>
  <si>
    <t>BRO1 domain-containing protein BROX</t>
  </si>
  <si>
    <t>Focadhesin</t>
  </si>
  <si>
    <t>Glycerol-3-phosphate acyltransferase 1, mitochondrial</t>
  </si>
  <si>
    <t>Sorting nexin-30</t>
  </si>
  <si>
    <t>Protein FAM46C</t>
  </si>
  <si>
    <t>Round spermatid basic protein 1</t>
  </si>
  <si>
    <t>Isoform 2 of Disabled homolog 2-interacting protein</t>
  </si>
  <si>
    <t>Partitioning defective 3 homolog</t>
  </si>
  <si>
    <t>Lysophospholipase-like protein 1</t>
  </si>
  <si>
    <t>Rho guanine nucleotide exchange factor 2</t>
  </si>
  <si>
    <t>Isoform 6 of Terminal uridylyltransferase 7</t>
  </si>
  <si>
    <t>Isoform 2 of Renalase</t>
  </si>
  <si>
    <t>N-alpha-acetyltransferase 35, NatC auxiliary subunit</t>
  </si>
  <si>
    <t>Leucine-rich repeat-containing protein 16A</t>
  </si>
  <si>
    <t>BRI2, membrane form</t>
  </si>
  <si>
    <t>B box and SPRY domain-containing protein</t>
  </si>
  <si>
    <t>Protein FAM160B1</t>
  </si>
  <si>
    <t>Isoform 3 of Probable palmitoyltransferase ZDHHC20</t>
  </si>
  <si>
    <t>SPRY domain-containing protein 7</t>
  </si>
  <si>
    <t>Nicotinamide riboside kinase 1</t>
  </si>
  <si>
    <t>NADH dehydrogenase (Ubiquinone) 1 beta subcomplex, 8, 19kDa, isoform CRA_a</t>
  </si>
  <si>
    <t>CMP-sialic acid transporter</t>
  </si>
  <si>
    <t>Protein QIL1</t>
  </si>
  <si>
    <t>Isoform 3 of F-box/WD repeat-containing protein 9</t>
  </si>
  <si>
    <t>CD276 antigen</t>
  </si>
  <si>
    <t>E3 ubiquitin-protein ligase RNF213</t>
  </si>
  <si>
    <t>AP-1 complex-associated regulatory protein</t>
  </si>
  <si>
    <t>WASH complex subunit FAM21A</t>
  </si>
  <si>
    <t>Lysophospholipid acyltransferase LPCAT4</t>
  </si>
  <si>
    <t>Protein FAM91A1</t>
  </si>
  <si>
    <t>La-related protein 1B</t>
  </si>
  <si>
    <t>Isoform 2 of TBC1 domain family member 9B</t>
  </si>
  <si>
    <t>6-phosphofructo-2-kinase/fructose-2, 6-biphosphatase 4 isoform 1</t>
  </si>
  <si>
    <t>Isoform 2 of AT-rich interactive domain-containing protein 2</t>
  </si>
  <si>
    <t>Digestive organ expansion factor homolog</t>
  </si>
  <si>
    <t>Protein SPT2 homolog</t>
  </si>
  <si>
    <t>Metallo-beta-lactamase domain-containing protein 2</t>
  </si>
  <si>
    <t>LMBR1 domain-containing protein 2</t>
  </si>
  <si>
    <t>Isoform 2 of Integrator complex subunit 3</t>
  </si>
  <si>
    <t>Isoform 2 of Rho GTPase-activating protein 17</t>
  </si>
  <si>
    <t>Uncharacterized protein DKFZp762I1415</t>
  </si>
  <si>
    <t>CWF19-like protein 1</t>
  </si>
  <si>
    <t>Protein virilizer homolog</t>
  </si>
  <si>
    <t>Isoform 2 of Cytospin-A</t>
  </si>
  <si>
    <t>Uncharacterized protein C12orf73</t>
  </si>
  <si>
    <t>UHRF1-binding protein 1</t>
  </si>
  <si>
    <t>Zinc finger protein 787</t>
  </si>
  <si>
    <t>Atlastin-3</t>
  </si>
  <si>
    <t>Isoform 3 of Adenosine deaminase-like protein</t>
  </si>
  <si>
    <t>Tetratricopeptide repeat protein 19, mitochondrial</t>
  </si>
  <si>
    <t>Serine/threonine-protein kinase MRCK gamma</t>
  </si>
  <si>
    <t>Isoform 5 of DNA-directed RNA polymerase II subunit GRINL1A, isoforms 4/5</t>
  </si>
  <si>
    <t>Vasorin</t>
  </si>
  <si>
    <t>Isoform 3 of Anamorsin</t>
  </si>
  <si>
    <t>Isoform 2 of AN1-type zinc finger protein 6</t>
  </si>
  <si>
    <t>SET and MYND domain-containing protein 5</t>
  </si>
  <si>
    <t>Putative peptidyl-tRNA hydrolase PTRHD1</t>
  </si>
  <si>
    <t>OTU domain-containing protein 7B</t>
  </si>
  <si>
    <t>Selenoprotein S</t>
  </si>
  <si>
    <t>Isoform 4 of Ral GTPase-activating protein subunit alpha-1</t>
  </si>
  <si>
    <t>Isoform 5 of Isthmin-2</t>
  </si>
  <si>
    <t>THO complex subunit 7 homolog</t>
  </si>
  <si>
    <t>Single Ig IL-1-related receptor</t>
  </si>
  <si>
    <t>Glutamine-dependent NAD(+) synthetase</t>
  </si>
  <si>
    <t>Isoform 5 of Elongator complex protein 2</t>
  </si>
  <si>
    <t>Ragulator complex protein LAMTOR1</t>
  </si>
  <si>
    <t>Dehydrogenase/reductase SDR family member 7B</t>
  </si>
  <si>
    <t>Twinfilin-2</t>
  </si>
  <si>
    <t>Isoform 2 of Condensin-2 complex subunit H2</t>
  </si>
  <si>
    <t>Desumoylating isopeptidase 1</t>
  </si>
  <si>
    <t>Uncharacterized protein KIAA0930</t>
  </si>
  <si>
    <t>Em:AP000351.3 protein</t>
  </si>
  <si>
    <t>rRNA methyltransferase 1, mitochondrial</t>
  </si>
  <si>
    <t>Serine/threonine-protein phosphatase 4 regulatory subunit 3A</t>
  </si>
  <si>
    <t>tRNA wybutosine-synthesizing protein 3 homolog</t>
  </si>
  <si>
    <t>Ras-related protein Rab-12</t>
  </si>
  <si>
    <t>Isoform 3 of Protein SDE2 homolog</t>
  </si>
  <si>
    <t>Grainyhead-like protein 2 homolog</t>
  </si>
  <si>
    <t>Acyl-CoA dehydrogenase family member 10</t>
  </si>
  <si>
    <t>Isoform 2 of Nipped-B-like protein</t>
  </si>
  <si>
    <t>Isoform 2 of Calcium-binding mitochondrial carrier protein SCaMC-2</t>
  </si>
  <si>
    <t>Isoform 2 of 2,5-phosphodiesterase 12</t>
  </si>
  <si>
    <t>Isoform 4 of Protein lin-54 homolog</t>
  </si>
  <si>
    <t>Isoform 2 of Zinc finger protein 280D</t>
  </si>
  <si>
    <t>2-oxoglutarate and iron-dependent oxygenase domain-containing protein 2</t>
  </si>
  <si>
    <t>N-alpha-acetyltransferase 16, NatA auxiliary subunit</t>
  </si>
  <si>
    <t>Uncharacterized family 31 glucosidase KIAA1161</t>
  </si>
  <si>
    <t>MFS-type transporter SLC18B1</t>
  </si>
  <si>
    <t>UPF0544 protein C5orf45</t>
  </si>
  <si>
    <t>Calcium-binding mitochondrial carrier protein SCaMC-1</t>
  </si>
  <si>
    <t>Receptor expression-enhancing protein 3</t>
  </si>
  <si>
    <t>All-trans-retinol 13,14-reductase</t>
  </si>
  <si>
    <t>RAD50-interacting protein 1</t>
  </si>
  <si>
    <t>Isoform 2 of Transmembrane protein 214</t>
  </si>
  <si>
    <t>Tectonic-3</t>
  </si>
  <si>
    <t>Uncharacterized protein KIAA1211-like</t>
  </si>
  <si>
    <t>ATPase SWSAP1</t>
  </si>
  <si>
    <t>3-hydroxyisobutyryl-CoA hydrolase, mitochondrial</t>
  </si>
  <si>
    <t>Putative protein phosphatase inhibitor 2-like protein 3</t>
  </si>
  <si>
    <t>Ankyrin repeat domain-containing protein 54</t>
  </si>
  <si>
    <t>Transmembrane anterior posterior transformation protein 1 homolog</t>
  </si>
  <si>
    <t>Bifunctional arginine demethylase and lysyl-hydroxylase JMJD6</t>
  </si>
  <si>
    <t>Phostensin</t>
  </si>
  <si>
    <t>Polymerase I and transcript release factor</t>
  </si>
  <si>
    <t>Zinc finger CCHC domain-containing protein 8</t>
  </si>
  <si>
    <t>Isoform 2 of RNA pseudouridylate synthase domain-containing protein 3</t>
  </si>
  <si>
    <t>39S ribosomal protein L54, mitochondrial</t>
  </si>
  <si>
    <t>Isoform 3 of Endoplasmic reticulum aminopeptidase 2</t>
  </si>
  <si>
    <t>Parafibromin</t>
  </si>
  <si>
    <t>Isoform 4 of Polyamine-modulated factor 1</t>
  </si>
  <si>
    <t>Protein FAM117B</t>
  </si>
  <si>
    <t>39S ribosomal protein L14, mitochondrial</t>
  </si>
  <si>
    <t>Long-chain fatty acid transport protein 4</t>
  </si>
  <si>
    <t>Coiled-coil and C2 domain-containing protein 1A</t>
  </si>
  <si>
    <t>Methyltransferase-like protein 2B</t>
  </si>
  <si>
    <t>tRNA-dihydrouridine(16/17) synthase [NAD(P)(+)]-like</t>
  </si>
  <si>
    <t>Transcription initiation factor TFIID subunit 2</t>
  </si>
  <si>
    <t>UPF0598 protein C8orf82</t>
  </si>
  <si>
    <t>Cohesin subunit SA-1</t>
  </si>
  <si>
    <t>Enhancer of mRNA-decapping protein 4</t>
  </si>
  <si>
    <t>Isoform 2 of Centrosomal protein of 85 kDa</t>
  </si>
  <si>
    <t>Fumarylacetoacetate hydrolase domain-containing protein 2B</t>
  </si>
  <si>
    <t>Putative protein arginine N-methyltransferase 10</t>
  </si>
  <si>
    <t>Pre-mRNA-processing-splicing factor 8</t>
  </si>
  <si>
    <t>F-box only protein 42</t>
  </si>
  <si>
    <t>SCY1-like protein 2</t>
  </si>
  <si>
    <t>Tetratricopeptide repeat protein 27</t>
  </si>
  <si>
    <t>Sideroflexin-4</t>
  </si>
  <si>
    <t>Phospholipase B-like 1</t>
  </si>
  <si>
    <t>Protein CASC4</t>
  </si>
  <si>
    <t>Adrenodoxin-like protein, mitochondrial</t>
  </si>
  <si>
    <t>WD repeat-containing protein 73</t>
  </si>
  <si>
    <t>Isoform 3 of Nuclear factor related to kappa-B-binding protein</t>
  </si>
  <si>
    <t>Mitotic-spindle organizing protein 2A</t>
  </si>
  <si>
    <t>Acylpyruvase FAHD1, mitochondrial</t>
  </si>
  <si>
    <t>Isoform 2 of Ankyrin repeat domain-containing protein 16</t>
  </si>
  <si>
    <t>RNA demethylase ALKBH5</t>
  </si>
  <si>
    <t>Protein notum homolog</t>
  </si>
  <si>
    <t>Round spermatid basic protein 1-like protein</t>
  </si>
  <si>
    <t>Isoform 2 of Alpha/beta hydrolase domain-containing protein 17C</t>
  </si>
  <si>
    <t>Glucose 1,6-bisphosphate synthase</t>
  </si>
  <si>
    <t>RNA polymerase-associated protein CTR9 homolog</t>
  </si>
  <si>
    <t>Alpha- and gamma-adaptin-binding protein p34</t>
  </si>
  <si>
    <t>Tetratricopeptide repeat protein 37</t>
  </si>
  <si>
    <t>UPF0547 protein C16orf87</t>
  </si>
  <si>
    <t>Isoform 3 of BTB/POZ domain-containing protein KCTD18</t>
  </si>
  <si>
    <t>Aspartate--tRNA ligase, mitochondrial</t>
  </si>
  <si>
    <t>Tetratricopeptide repeat protein 33</t>
  </si>
  <si>
    <t>Coiled-coil domain-containing protein 174</t>
  </si>
  <si>
    <t>Isoform 2 of Hydroxyacylglutathione hydrolase-like protein</t>
  </si>
  <si>
    <t>F-box only protein 38</t>
  </si>
  <si>
    <t>CENPC1 protein</t>
  </si>
  <si>
    <t>Isoform 2 of Fidgetin-like protein 1</t>
  </si>
  <si>
    <t>Tripartite motif-containing protein 65</t>
  </si>
  <si>
    <t>Isoform 2 of Inactive rhomboid protein 2</t>
  </si>
  <si>
    <t>BRCA1-associated ATM activator 1</t>
  </si>
  <si>
    <t>WD repeat-containing protein 59</t>
  </si>
  <si>
    <t>Isoform 9 of Zinc finger CCCH domain-containing protein 14</t>
  </si>
  <si>
    <t>RAB17 protein</t>
  </si>
  <si>
    <t>Isoform 2 of Thioredoxin domain-containing protein 11</t>
  </si>
  <si>
    <t>La-related protein 1</t>
  </si>
  <si>
    <t>Protein TMED8</t>
  </si>
  <si>
    <t>Zinc transporter 9</t>
  </si>
  <si>
    <t>Isoform 5 of Peroxisomal N(1)-acetyl-spermine/spermidine oxidase</t>
  </si>
  <si>
    <t>Biogenesis of lysosome-related organelles complex 1 subunit 3</t>
  </si>
  <si>
    <t>Biogenesis of lysosome-related organelles complex 1 subunit 2</t>
  </si>
  <si>
    <t>Isoform 2 of WD repeat-containing protein 74</t>
  </si>
  <si>
    <t>Type-1 angiotensin II receptor-associated protein</t>
  </si>
  <si>
    <t>POTE ankyrin domain family member E</t>
  </si>
  <si>
    <t>Isoform 2 of Sterile alpha and TIR motif-containing protein 1</t>
  </si>
  <si>
    <t>Methionine aminopeptidase 1D, mitochondrial</t>
  </si>
  <si>
    <t>Monofunctional C1-tetrahydrofolate synthase, mitochondrial</t>
  </si>
  <si>
    <t>Isoform 2 of Ankyrin repeat domain-containing protein 12</t>
  </si>
  <si>
    <t>Isoform 5 of Aftiphilin</t>
  </si>
  <si>
    <t>Pre-mRNA 3-end-processing factor FIP1</t>
  </si>
  <si>
    <t>Isoform 3 of CREB-regulated transcription coactivator 1</t>
  </si>
  <si>
    <t>All-trans retinoic acid-induced differentiation factor</t>
  </si>
  <si>
    <t>KDEL motif-containing protein 1</t>
  </si>
  <si>
    <t>UPF0723 protein C11orf83</t>
  </si>
  <si>
    <t>E3 ubiquitin-protein ligase LRSAM1</t>
  </si>
  <si>
    <t>Dehydrogenase/reductase SDR family member 11</t>
  </si>
  <si>
    <t>Isoform 3 of Lysocardiolipin acyltransferase 1</t>
  </si>
  <si>
    <t>Lipocalin-15</t>
  </si>
  <si>
    <t>Peptidyl-prolyl cis-trans isomerase CWC27 homolog</t>
  </si>
  <si>
    <t>Isoform 6 of Seizure 6-like protein 2</t>
  </si>
  <si>
    <t>Isoform 2 of UPF0577 protein KIAA1324</t>
  </si>
  <si>
    <t>Isoform 5 of Cysteine-rich with EGF-like domain protein 2</t>
  </si>
  <si>
    <t>WD repeat-containing protein 82</t>
  </si>
  <si>
    <t>Apolipoprotein O-like</t>
  </si>
  <si>
    <t>Mucin-6</t>
  </si>
  <si>
    <t>Isoform 2 of Myosin phosphatase Rho-interacting protein</t>
  </si>
  <si>
    <t>Rab11 family-interacting protein 1</t>
  </si>
  <si>
    <t>Nicotinate phosphoribosyltransferase</t>
  </si>
  <si>
    <t>Very-long-chain (3R)-3-hydroxyacyl-[acyl-carrier protein] dehydratase 2</t>
  </si>
  <si>
    <t>PERQ amino acid-rich with GYF domain-containing protein 2</t>
  </si>
  <si>
    <t>CD109 antigen</t>
  </si>
  <si>
    <t>Isoform 3 of Thyroid adenoma-associated protein</t>
  </si>
  <si>
    <t>Hydroxysteroid dehydrogenase-like protein 2</t>
  </si>
  <si>
    <t>Isoform 3 of Kynurenine--oxoglutarate transaminase 3</t>
  </si>
  <si>
    <t>Transmembrane protein 184A</t>
  </si>
  <si>
    <t>Ceramide synthase 6</t>
  </si>
  <si>
    <t>Protein phosphatase 1 regulatory subunit 21</t>
  </si>
  <si>
    <t>Thrombospondin type-1 domain-containing protein 4</t>
  </si>
  <si>
    <t>L-lactate dehydrogenase A-like 6A</t>
  </si>
  <si>
    <t>RNA-binding protein MEX3B</t>
  </si>
  <si>
    <t>Isoform 2 of Protein lin-28 homolog B</t>
  </si>
  <si>
    <t>NF-X1-type zinc finger protein NFXL1</t>
  </si>
  <si>
    <t>Isoform 2 of Neurobeachin-like protein 2</t>
  </si>
  <si>
    <t>GDP-D-glucose phosphorylase 1</t>
  </si>
  <si>
    <t>Probable C-mannosyltransferase DPY19L3</t>
  </si>
  <si>
    <t>Sulfhydryl oxidase 2</t>
  </si>
  <si>
    <t>Isoform 2 of Helicase SRCAP</t>
  </si>
  <si>
    <t>Isoform 2 of Protein FAM65A</t>
  </si>
  <si>
    <t>Neurobeachin-like protein 1</t>
  </si>
  <si>
    <t>Uncharacterized protein C1orf122</t>
  </si>
  <si>
    <t>Major facilitator superfamily domain-containing protein 6</t>
  </si>
  <si>
    <t>Isoform 2 of Transmembrane protein with metallophosphoesterase domain</t>
  </si>
  <si>
    <t>SH3 domain-binding protein 1</t>
  </si>
  <si>
    <t>Isoform 4 of Ras association domain-containing protein 6</t>
  </si>
  <si>
    <t>Lipoma HMGIC fusion partner-like 2 protein</t>
  </si>
  <si>
    <t>G protein-regulated inducer of neurite outgrowth 3</t>
  </si>
  <si>
    <t>Isoform 2 of TOM1-like protein 2</t>
  </si>
  <si>
    <t>Uncharacterized protein C16orf86</t>
  </si>
  <si>
    <t>Isoform 5 of PAX-interacting protein 1</t>
  </si>
  <si>
    <t>Isoform 2 of Transmembrane and TPR repeat-containing protein 3</t>
  </si>
  <si>
    <t>General transcription factor IIH subunit 5</t>
  </si>
  <si>
    <t>Isoform 3 of Vacuolar protein sorting-associated protein 13C</t>
  </si>
  <si>
    <t>Acyl-CoA dehydrogenase family member 11</t>
  </si>
  <si>
    <t>Ubiquitin carboxyl-terminal hydrolase 34</t>
  </si>
  <si>
    <t>MOB kinase activator 2</t>
  </si>
  <si>
    <t>Inhibitor of nuclear factor kappa-B kinase-interacting protein</t>
  </si>
  <si>
    <t>Isoform 4 of Inhibitor of nuclear factor kappa-B kinase-interacting protein</t>
  </si>
  <si>
    <t>Isoform 2 of Protein FRA10AC1</t>
  </si>
  <si>
    <t>Ubiquitin-conjugating enzyme E2 R2</t>
  </si>
  <si>
    <t>Mediator of RNA polymerase II transcription subunit 13-like</t>
  </si>
  <si>
    <t>Isoform 5 of La-related protein 4</t>
  </si>
  <si>
    <t>Isoform 5 of Mediator of RNA polymerase II transcription subunit 25</t>
  </si>
  <si>
    <t>Histone H2A.V</t>
  </si>
  <si>
    <t>Isoform 2 of Integrator complex subunit 8</t>
  </si>
  <si>
    <t>MTSS1-like protein</t>
  </si>
  <si>
    <t>Isoform 5 of Butyrophilin subfamily 2 member A1</t>
  </si>
  <si>
    <t>Transcription elongation factor SPT6</t>
  </si>
  <si>
    <t>Isoform 2 of Transcription elongation factor SPT6</t>
  </si>
  <si>
    <t>Staphylococcal nuclease domain-containing protein 1</t>
  </si>
  <si>
    <t>Isoform 2 of Cytochrome c oxidase assembly protein COX15 homolog</t>
  </si>
  <si>
    <t>Probable ATP-dependent RNA helicase DDX46</t>
  </si>
  <si>
    <t>Isoform 4 of Protein RUFY3</t>
  </si>
  <si>
    <t>Mitochondrial ribonuclease P protein 1</t>
  </si>
  <si>
    <t>Isoform 2 of Basic leucine zipper and W2 domain-containing protein 1</t>
  </si>
  <si>
    <t>Cytochrome b5 reductase 4</t>
  </si>
  <si>
    <t>Alpha/beta hydrolase domain-containing protein 13</t>
  </si>
  <si>
    <t>Isoaspartyl peptidase/L-asparaginase</t>
  </si>
  <si>
    <t>BTB/POZ domain-containing protein KCTD9</t>
  </si>
  <si>
    <t>Eukaryotic translation initiation factor 3 subunit M</t>
  </si>
  <si>
    <t>7SK snRNA methylphosphate capping enzyme</t>
  </si>
  <si>
    <t>Probable proline--tRNA ligase, mitochondrial</t>
  </si>
  <si>
    <t>Isoform 3 of Protein FAM73B</t>
  </si>
  <si>
    <t>Arginine/serine-rich coiled-coil protein 2</t>
  </si>
  <si>
    <t>Ras-related GTP-binding protein A</t>
  </si>
  <si>
    <t>Cytoplasmic FMR1-interacting protein 1</t>
  </si>
  <si>
    <t>NADH dehydrogenase [ubiquinone] complex I, assembly factor 7</t>
  </si>
  <si>
    <t>Golgi to ER traffic protein 4 homolog</t>
  </si>
  <si>
    <t>Lysophosphatidylcholine acyltransferase 2</t>
  </si>
  <si>
    <t>Mitochondrial enolase superfamily member 1</t>
  </si>
  <si>
    <t>EPM2A-interacting protein 1</t>
  </si>
  <si>
    <t>Putative pre-mRNA-splicing factor ATP-dependent RNA helicase DHX32</t>
  </si>
  <si>
    <t>Serine/threonine-protein kinase TAO1</t>
  </si>
  <si>
    <t>FAST kinase domain-containing protein 5</t>
  </si>
  <si>
    <t>Diphthine--ammonia ligase</t>
  </si>
  <si>
    <t>Endonuclease/exonuclease/phosphatase family domain-containing protein 1</t>
  </si>
  <si>
    <t>Lysine-specific demethylase 3B</t>
  </si>
  <si>
    <t>Charged multivesicular body protein 1b</t>
  </si>
  <si>
    <t>Heparan sulfate 2-O-sulfotransferase 1</t>
  </si>
  <si>
    <t>Magnesium transporter NIPA1</t>
  </si>
  <si>
    <t>Protein-methionine sulfoxide oxidase MICAL3</t>
  </si>
  <si>
    <t>PHD finger-like domain-containing protein 5A</t>
  </si>
  <si>
    <t>Taste receptor type 1 member 3</t>
  </si>
  <si>
    <t>Isoform 8 of Aprataxin</t>
  </si>
  <si>
    <t>G protein-regulated inducer of neurite outgrowth 1</t>
  </si>
  <si>
    <t>Zinc finger CCCH-type antiviral protein 1</t>
  </si>
  <si>
    <t>Interferon-induced very large GTPase 1</t>
  </si>
  <si>
    <t>Elongation factor Tu GTP-binding domain-containing protein 1</t>
  </si>
  <si>
    <t>Protein FAM122B</t>
  </si>
  <si>
    <t>Isoform 4 of Protein FAM122B</t>
  </si>
  <si>
    <t>Kelch-like protein 9</t>
  </si>
  <si>
    <t>Trafficking protein particle complex subunit 11</t>
  </si>
  <si>
    <t>Isoform 2 of Autophagy-related protein 9A</t>
  </si>
  <si>
    <t>LysM and putative peptidoglycan-binding domain-containing protein 3</t>
  </si>
  <si>
    <t>Isoform 2 of UPF0317 protein C14orf159, mitochondrial</t>
  </si>
  <si>
    <t>Uncharacterized protein C10orf118</t>
  </si>
  <si>
    <t>Isoform 5 of Pogo transposable element with ZNF domain</t>
  </si>
  <si>
    <t>Zinc finger FYVE domain-containing protein 16</t>
  </si>
  <si>
    <t>Isoform 2 of Transmembrane channel-like protein 4</t>
  </si>
  <si>
    <t>Nuclear fragile X mental retardation-interacting protein 2</t>
  </si>
  <si>
    <t>Isoform 2 of SUZ domain-containing protein 1</t>
  </si>
  <si>
    <t>Mitochondrial antiviral-signaling protein</t>
  </si>
  <si>
    <t>ATP-dependent RNA helicase DHX29</t>
  </si>
  <si>
    <t>COMM domain-containing protein 6</t>
  </si>
  <si>
    <t>Isoform 2 of tRNA (guanine(10)-N2)-methyltransferase homolog</t>
  </si>
  <si>
    <t>HD domain-containing protein 2</t>
  </si>
  <si>
    <t>Isoform 3 of HAUS augmin-like complex subunit 6</t>
  </si>
  <si>
    <t>KDEL motif-containing protein 2</t>
  </si>
  <si>
    <t>Isoform 4 of LIM and senescent cell antigen-like-containing domain protein 2</t>
  </si>
  <si>
    <t>HEAT repeat-containing protein 3</t>
  </si>
  <si>
    <t>Hepatoma-derived growth factor-related protein 2</t>
  </si>
  <si>
    <t>L-xylulose reductase</t>
  </si>
  <si>
    <t>BRCA1-associated protein</t>
  </si>
  <si>
    <t>Isoform 2 of Protein EMSY</t>
  </si>
  <si>
    <t>Isoform 2 of Golgin subfamily A member 7</t>
  </si>
  <si>
    <t>Wings apart-like protein homolog</t>
  </si>
  <si>
    <t>Isoform 2 of Interferon regulatory factor 2-binding protein 2</t>
  </si>
  <si>
    <t>Pre-miRNA 5-monophosphate methyltransferase</t>
  </si>
  <si>
    <t>Isoform 2 of Coiled-coil domain-containing protein 91</t>
  </si>
  <si>
    <t>Isoform 2 of SLIT-ROBO Rho GTPase-activating protein 1</t>
  </si>
  <si>
    <t>E3 ubiquitin-protein ligase RBBP6</t>
  </si>
  <si>
    <t>UPF0461 protein C5orf24</t>
  </si>
  <si>
    <t>E3 ubiquitin-protein ligase E3D</t>
  </si>
  <si>
    <t>tRNA-splicing endonuclease subunit Sen54</t>
  </si>
  <si>
    <t>Protein prenyltransferase alpha subunit repeat-containing protein 1</t>
  </si>
  <si>
    <t>Tectonin beta-propeller repeat-containing protein 1</t>
  </si>
  <si>
    <t>Rab9 effector protein with kelch motifs</t>
  </si>
  <si>
    <t>F-box only protein 33</t>
  </si>
  <si>
    <t>mTERF domain-containing protein 2</t>
  </si>
  <si>
    <t>tRNA-specific adenosine deaminase 2</t>
  </si>
  <si>
    <t>Isoform 2 of E3 ubiquitin-protein ligase HUWE1</t>
  </si>
  <si>
    <t>Cytoplasmic tRNA 2-thiolation protein 1</t>
  </si>
  <si>
    <t>PX domain-containing protein kinase-like protein</t>
  </si>
  <si>
    <t>Transcription initiation factor TFIID subunit 8</t>
  </si>
  <si>
    <t>Ubiquitin-conjugating enzyme E2 Q1</t>
  </si>
  <si>
    <t>Isoform 2 of UPF0469 protein KIAA0907</t>
  </si>
  <si>
    <t>39S ribosomal protein L55, mitochondrial</t>
  </si>
  <si>
    <t>Isoform 3 of Transmembrane emp24 domain-containing protein 4</t>
  </si>
  <si>
    <t>39S ribosomal protein L10, mitochondrial</t>
  </si>
  <si>
    <t>COX assembly mitochondrial protein homolog</t>
  </si>
  <si>
    <t>Isoform 3 of Centromere protein V</t>
  </si>
  <si>
    <t>Protein zer-1 homolog</t>
  </si>
  <si>
    <t>Transmembrane protein 179B</t>
  </si>
  <si>
    <t>Isoform 3 of Dehydrodolichyl diphosphate synthase</t>
  </si>
  <si>
    <t>Isoform 2 of Polypeptide N-acetylgalactosaminyltransferase 10</t>
  </si>
  <si>
    <t>Glutaredoxin-related protein 5, mitochondrial</t>
  </si>
  <si>
    <t>Trafficking protein particle complex subunit 6B</t>
  </si>
  <si>
    <t>Transmembrane protein 55B</t>
  </si>
  <si>
    <t>Isoform 4 of Protein PAT1 homolog 1</t>
  </si>
  <si>
    <t>Retrotransposon-derived protein PEG10</t>
  </si>
  <si>
    <t>TBC1 domain family member 1</t>
  </si>
  <si>
    <t>Dipeptidyl peptidase 9</t>
  </si>
  <si>
    <t>Isoform 2 of E3 ubiquitin-protein ligase synoviolin</t>
  </si>
  <si>
    <t>tRNA 2-phosphotransferase 1</t>
  </si>
  <si>
    <t>Protein prune homolog</t>
  </si>
  <si>
    <t>Histone-lysine N-methyltransferase setd3</t>
  </si>
  <si>
    <t>Isoform 3 of Uncharacterized aarF domain-containing protein kinase 1</t>
  </si>
  <si>
    <t>Acyl-coenzyme A thioesterase 1</t>
  </si>
  <si>
    <t>Iron-sulfur cluster assembly 2 homolog, mitochondrial</t>
  </si>
  <si>
    <t>Nucleolar protein 9</t>
  </si>
  <si>
    <t>N6-adenosine-methyltransferase 70 kDa subunit</t>
  </si>
  <si>
    <t>Isoform 2 of LIM domain-binding protein 1</t>
  </si>
  <si>
    <t>Isoform 5 of Protein polybromo-1</t>
  </si>
  <si>
    <t>YrdC domain-containing protein, mitochondrial</t>
  </si>
  <si>
    <t>Pre-mRNA-processing factor 39</t>
  </si>
  <si>
    <t>Suppressor APC domain-containing protein 2</t>
  </si>
  <si>
    <t>Protein LYRIC</t>
  </si>
  <si>
    <t>Isoform 2 of Serine/threonine-protein kinase tousled-like 2</t>
  </si>
  <si>
    <t>Isoform 3 of Zinc finger protein 598</t>
  </si>
  <si>
    <t>Glycerol-3-phosphate acyltransferase 4</t>
  </si>
  <si>
    <t>Kinectin</t>
  </si>
  <si>
    <t>Telomerase-binding protein EST1A</t>
  </si>
  <si>
    <t>Isoform 2 of NLR family member X1</t>
  </si>
  <si>
    <t>Isoform 4 of B-cell CLL/lymphoma 9-like protein</t>
  </si>
  <si>
    <t>Ubiquitin carboxyl-terminal hydrolase 48</t>
  </si>
  <si>
    <t>ATP-binding cassette C5 splicing variant A</t>
  </si>
  <si>
    <t>Serine/threonine-protein kinase 32C</t>
  </si>
  <si>
    <t>TXNDC5 protein</t>
  </si>
  <si>
    <t>5-nucleotidase domain-containing protein 3</t>
  </si>
  <si>
    <t>Zinc finger protein castor homolog 1</t>
  </si>
  <si>
    <t>Acetoacetyl-CoA synthetase</t>
  </si>
  <si>
    <t>Isoform 2 of Leucine zipper protein 1</t>
  </si>
  <si>
    <t>Integral membrane protein GPR180</t>
  </si>
  <si>
    <t>Magnesium-dependent phosphatase 1</t>
  </si>
  <si>
    <t>Kelch repeat and BTB domain-containing protein 6</t>
  </si>
  <si>
    <t>Isoform 4 of Nebulin-related-anchoring protein</t>
  </si>
  <si>
    <t>Ras GTPase-activating-like protein IQGAP3</t>
  </si>
  <si>
    <t>Isoform 2 of Vacuolar protein-sorting-associated protein 36</t>
  </si>
  <si>
    <t>Cullin-associated NEDD8-dissociated protein 1</t>
  </si>
  <si>
    <t>Glucocorticoid-induced transcript 1 protein</t>
  </si>
  <si>
    <t>Protein FAM134C</t>
  </si>
  <si>
    <t>Protein Hook homolog 3</t>
  </si>
  <si>
    <t>Catechol O-methyltransferase domain-containing protein 1</t>
  </si>
  <si>
    <t>SEC14 domain and spectrin repeat-containing protein 1</t>
  </si>
  <si>
    <t>Vacuolar fusion protein MON1 homolog A</t>
  </si>
  <si>
    <t>THO complex subunit 6 homolog</t>
  </si>
  <si>
    <t>Methyltransferase-like protein 16</t>
  </si>
  <si>
    <t>Poly(ADP-ribose) glycohydrolase</t>
  </si>
  <si>
    <t>Isoform 4 of Liprin-beta-1</t>
  </si>
  <si>
    <t>Isoform 2 of Valacyclovir hydrolase</t>
  </si>
  <si>
    <t>Lon protease homolog 2, peroxisomal</t>
  </si>
  <si>
    <t>Osteopetrosis-associated transmembrane protein 1</t>
  </si>
  <si>
    <t>Isoform 2 of Chromodomain-helicase-DNA-binding protein 1-like</t>
  </si>
  <si>
    <t>Nuclear receptor 2C2-associated protein</t>
  </si>
  <si>
    <t>Coiled-coil domain-containing protein 25</t>
  </si>
  <si>
    <t>Proline and serine-rich protein 2</t>
  </si>
  <si>
    <t>Isoform 2 of Probable D-lactate dehydrogenase, mitochondrial</t>
  </si>
  <si>
    <t>CCDC43 protein</t>
  </si>
  <si>
    <t>Isoform 1 of Histone-arginine methyltransferase CARM1</t>
  </si>
  <si>
    <t>Nucleoside diphosphate-linked moiety X motif 13</t>
  </si>
  <si>
    <t>Isoform 1 of Nitrilase homolog 1</t>
  </si>
  <si>
    <t>COMM domain-containing protein 2</t>
  </si>
  <si>
    <t>Isoform 2 of Corepressor interacting with RBPJ 1</t>
  </si>
  <si>
    <t>Cytosolic phospholipase A2 delta</t>
  </si>
  <si>
    <t>Diacylglycerol kinase eta</t>
  </si>
  <si>
    <t>ATP-dependent RNA helicase DDX42</t>
  </si>
  <si>
    <t>Extracellular matrix protein FRAS1</t>
  </si>
  <si>
    <t>Spermatogenesis-associated serine-rich protein 2</t>
  </si>
  <si>
    <t>Serine/threonine-protein kinase VRK2</t>
  </si>
  <si>
    <t>Isoform 4 of Serine/threonine-protein kinase VRK2</t>
  </si>
  <si>
    <t>NADH dehydrogenase [ubiquinone] 1 alpha subcomplex subunit 11</t>
  </si>
  <si>
    <t>HEAT repeat-containing protein 2</t>
  </si>
  <si>
    <t>Probable peptidyl-tRNA hydrolase</t>
  </si>
  <si>
    <t>Syntaxin-12</t>
  </si>
  <si>
    <t>ERO1-like protein beta</t>
  </si>
  <si>
    <t>Decaprenyl-diphosphate synthase subunit 2</t>
  </si>
  <si>
    <t>Homer protein homolog 1</t>
  </si>
  <si>
    <t>Isoform 2 of Dolichyldiphosphatase 1</t>
  </si>
  <si>
    <t>Transcriptional repressor p66-alpha</t>
  </si>
  <si>
    <t>C2 domain-containing protein 5</t>
  </si>
  <si>
    <t>E3 ubiquitin-protein ligase MIB1</t>
  </si>
  <si>
    <t>Tyrosine-protein kinase SgK223</t>
  </si>
  <si>
    <t>Hermansky-Pudlak syndrome 6 protein</t>
  </si>
  <si>
    <t>Interferon regulatory factor 2-binding protein 1</t>
  </si>
  <si>
    <t>Rhophilin-2</t>
  </si>
  <si>
    <t>Isoform 2 of ELKS/Rab6-interacting/CAST family member 1</t>
  </si>
  <si>
    <t>Bifunctional lysine-specific demethylase and histidyl-hydroxylase MINA</t>
  </si>
  <si>
    <t>Isoform 4 of Bifunctional lysine-specific demethylase and histidyl-hydroxylase MINA</t>
  </si>
  <si>
    <t>Palmitoyltransferase ZDHHC13</t>
  </si>
  <si>
    <t>Cytokine receptor-like factor 3</t>
  </si>
  <si>
    <t>Trafficking protein particle complex subunit 5</t>
  </si>
  <si>
    <t>RELT-like protein 1</t>
  </si>
  <si>
    <t>Isoform 4 of Transmembrane protein 126B</t>
  </si>
  <si>
    <t>5-phosphohydroxy-L-lysine phospho-lyase</t>
  </si>
  <si>
    <t>Phospholipase D3</t>
  </si>
  <si>
    <t>Laccase domain-containing protein 1</t>
  </si>
  <si>
    <t>Isoform 2 of Protein HID1</t>
  </si>
  <si>
    <t>Ankyrin repeat and MYND domain-containing protein 2</t>
  </si>
  <si>
    <t>UNC5C-like protein</t>
  </si>
  <si>
    <t>LysM and putative peptidoglycan-binding domain-containing protein 2</t>
  </si>
  <si>
    <t>Proline-rich protein 15</t>
  </si>
  <si>
    <t>Isoform 3 of Inactive serine/threonine-protein kinase VRK3</t>
  </si>
  <si>
    <t>LIX1-like protein</t>
  </si>
  <si>
    <t>NudC domain-containing protein 3</t>
  </si>
  <si>
    <t>Isoform 3 of Protein AHNAK2</t>
  </si>
  <si>
    <t>Methylmalonic aciduria type A protein, mitochondrial</t>
  </si>
  <si>
    <t>Isoform 3 of Mitogen-activated protein kinase kinase kinase kinase 3</t>
  </si>
  <si>
    <t>Isoform 4 of Neuron navigator 2</t>
  </si>
  <si>
    <t>Coiled-coil domain-containing protein 50</t>
  </si>
  <si>
    <t>Isoform 2 of Coiled-coil domain-containing protein 50</t>
  </si>
  <si>
    <t>Palmitoyltransferase ZDHHC21</t>
  </si>
  <si>
    <t>PPM1D protein</t>
  </si>
  <si>
    <t>Malonyl-CoA-acyl carrier protein transacylase, mitochondrial</t>
  </si>
  <si>
    <t>Uncharacterized protein C19orf21</t>
  </si>
  <si>
    <t>Isoform 3 of AT-rich interactive domain-containing protein 3B</t>
  </si>
  <si>
    <t>ATP-dependent (S)-NAD(P)H-hydrate dehydratase</t>
  </si>
  <si>
    <t>Mitofusin-1</t>
  </si>
  <si>
    <t>Inositol 1,4,5-trisphosphate receptor-interacting protein</t>
  </si>
  <si>
    <t>WD repeat and FYVE domain-containing protein 1</t>
  </si>
  <si>
    <t>Testis-expressed sequence 2 protein</t>
  </si>
  <si>
    <t>Isoform 2 of MAP7 domain-containing protein 3</t>
  </si>
  <si>
    <t>Coiled-coil domain-containing protein 117</t>
  </si>
  <si>
    <t>Protein NOXP20</t>
  </si>
  <si>
    <t>DCN1-like protein 3</t>
  </si>
  <si>
    <t>Protein DENND6A</t>
  </si>
  <si>
    <t>GRIP and coiled-coil domain-containing protein 2</t>
  </si>
  <si>
    <t>Iron-sulfur cluster co-chaperone protein HscB, mitochondrial</t>
  </si>
  <si>
    <t>Zinc finger CCCH domain-containing protein 7A</t>
  </si>
  <si>
    <t>PHD finger protein 6</t>
  </si>
  <si>
    <t>Leucine-rich repeat-containing protein 8A</t>
  </si>
  <si>
    <t>Serine/threonine-protein kinase LMTK2</t>
  </si>
  <si>
    <t>E3 ubiquitin-protein ligase UBR1</t>
  </si>
  <si>
    <t>Isoform 4 of E3 ubiquitin-protein ligase UBR2</t>
  </si>
  <si>
    <t>Isoform 2 of Rho GTPase-activating protein 12</t>
  </si>
  <si>
    <t>Sphingosine-1-phosphate phosphatase 2</t>
  </si>
  <si>
    <t>Isoform 6 of Ankyrin repeat and KH domain-containing protein 1</t>
  </si>
  <si>
    <t>SURP and G-patch domain-containing protein 1</t>
  </si>
  <si>
    <t>Isoform 6 of Ubiquitin-conjugating enzyme E2 variant 3</t>
  </si>
  <si>
    <t>Isoform 2 of Cell division cycle and apoptosis regulator protein 1</t>
  </si>
  <si>
    <t>Isoform 3 of Probable ATP-dependent RNA helicase DHX40</t>
  </si>
  <si>
    <t>Spindle and kinetochore-associated protein 3</t>
  </si>
  <si>
    <t>DnaJ homolog subfamily C member 10</t>
  </si>
  <si>
    <t>Mitochondrial Rho GTPase 2</t>
  </si>
  <si>
    <t>Isoform 4 of Mitochondrial Rho GTPase 1</t>
  </si>
  <si>
    <t>Isoform 2 of Chromatin complexes subunit BAP18</t>
  </si>
  <si>
    <t>Uncharacterized protein KIAA1704</t>
  </si>
  <si>
    <t>Isoform 2 of Putative RNA polymerase II subunit B1 CTD phosphatase RPAP2</t>
  </si>
  <si>
    <t>Isoform 5 of Neuropathy target esterase</t>
  </si>
  <si>
    <t>Structural maintenance of chromosomes protein 5</t>
  </si>
  <si>
    <t>C-Maf-inducing protein</t>
  </si>
  <si>
    <t>MICAL-like protein 2</t>
  </si>
  <si>
    <t>Probable ATP-dependent RNA helicase DHX37</t>
  </si>
  <si>
    <t>Kelch repeat and BTB domain-containing protein 2</t>
  </si>
  <si>
    <t>Isoform 2 of Solute carrier family 35 member F3</t>
  </si>
  <si>
    <t>pre-rRNA processing protein FTSJ3</t>
  </si>
  <si>
    <t>Isoform 2 of Structure-specific endonuclease subunit SLX4</t>
  </si>
  <si>
    <t>Isoform 2 of Transmembrane protein 192</t>
  </si>
  <si>
    <t>Protein MB21D2</t>
  </si>
  <si>
    <t>Isoform 3 of Stromal membrane-associated protein 1</t>
  </si>
  <si>
    <t>DIS3-like exonuclease 2</t>
  </si>
  <si>
    <t>ATP-dependent RNA helicase SUPV3L1, mitochondrial</t>
  </si>
  <si>
    <t>Isoform 2 of Coiled-coil domain-containing protein 146</t>
  </si>
  <si>
    <t>Isoform 4 of ZZ-type zinc finger-containing protein 3</t>
  </si>
  <si>
    <t>Exocyst complex component 8</t>
  </si>
  <si>
    <t>UPF0688 protein C1orf174</t>
  </si>
  <si>
    <t>Threonine synthase-like 1</t>
  </si>
  <si>
    <t>Peptidase M20 domain-containing protein 2</t>
  </si>
  <si>
    <t>Uncharacterized protein KIAA2013</t>
  </si>
  <si>
    <t>Calcium uptake protein 2, mitochondrial</t>
  </si>
  <si>
    <t>E3 ubiquitin-protein ligase RNF168</t>
  </si>
  <si>
    <t>Ankyrin repeat domain-containing protein 13A</t>
  </si>
  <si>
    <t>Isoform 3 of Phosphatase and actin regulator 4</t>
  </si>
  <si>
    <t>REST corepressor 2</t>
  </si>
  <si>
    <t>Ras and EF-hand domain-containing protein</t>
  </si>
  <si>
    <t>Chondroitin sulfate synthase 2</t>
  </si>
  <si>
    <t>Metaxin 2</t>
  </si>
  <si>
    <t>RNA pseudouridylate synthase domain-containing protein 2</t>
  </si>
  <si>
    <t>ELMO domain-containing protein 2</t>
  </si>
  <si>
    <t>Aldehyde dehydrogenase family 16 member A1</t>
  </si>
  <si>
    <t>Sodium leak channel non-selective protein</t>
  </si>
  <si>
    <t>Isoform 2 of 5-3 exoribonuclease 1</t>
  </si>
  <si>
    <t>Mastermind-like protein 2</t>
  </si>
  <si>
    <t>Selenoprotein H</t>
  </si>
  <si>
    <t>Isoform 2 of CKLF-like MARVEL transmembrane domain-containing protein 4</t>
  </si>
  <si>
    <t>Retinol dehydrogenase 10</t>
  </si>
  <si>
    <t>Tensin-4</t>
  </si>
  <si>
    <t>Uncharacterized protein C8orf59</t>
  </si>
  <si>
    <t>Protein FAM185A</t>
  </si>
  <si>
    <t>Vitamin K epoxide reductase complex subunit 1-like protein 1</t>
  </si>
  <si>
    <t>L-fucose kinase</t>
  </si>
  <si>
    <t>Citrate lyase subunit beta-like protein, mitochondrial</t>
  </si>
  <si>
    <t>Tetratricopeptide repeat protein 5</t>
  </si>
  <si>
    <t>tRNA pseudouridine synthase-like 1</t>
  </si>
  <si>
    <t>Isoform 2 of V-set and immunoglobulin domain-containing protein 10</t>
  </si>
  <si>
    <t>Isoform 7 of Mesoderm induction early response protein 1</t>
  </si>
  <si>
    <t>Regulatory-associated protein of mTOR</t>
  </si>
  <si>
    <t>Protein canopy homolog 4</t>
  </si>
  <si>
    <t>DBIRD complex subunit KIAA1967</t>
  </si>
  <si>
    <t>Mimitin, mitochondrial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</si>
  <si>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</si>
  <si>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</si>
  <si>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</si>
  <si>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</si>
  <si>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Protein THEMIS</t>
  </si>
  <si>
    <t>Mitochondrial cardiolipin hydrolase</t>
  </si>
  <si>
    <t>Isoform 3 of Armadillo repeat-containing protein 10</t>
  </si>
  <si>
    <t>Isoform 3 of GH3 domain-containing protein</t>
  </si>
  <si>
    <t>Monoacylglycerol lipase ABHD12</t>
  </si>
  <si>
    <t>Centromere protein S</t>
  </si>
  <si>
    <t>Coiled-coil domain-containing protein 23</t>
  </si>
  <si>
    <t>Glycerol-3-phosphate dehydrogenase 1-like protein</t>
  </si>
  <si>
    <t>Protein Dos</t>
  </si>
  <si>
    <t>Isoform 2 of Rho GTPase-activating protein 18</t>
  </si>
  <si>
    <t>Isoform 2 of von Willebrand factor A domain-containing protein 5B2</t>
  </si>
  <si>
    <t>Activating signal cointegrator 1 complex subunit 3</t>
  </si>
  <si>
    <t>EH domain-binding protein 1-like protein 1</t>
  </si>
  <si>
    <t>MICAL-like protein 1</t>
  </si>
  <si>
    <t>Isoform 2 of MAGUK p55 subfamily member 5</t>
  </si>
  <si>
    <t>Formin-binding protein 4</t>
  </si>
  <si>
    <t>Translation factor GUF1, mitochondrial</t>
  </si>
  <si>
    <t>D-2-hydroxyglutarate dehydrogenase, mitochondrial</t>
  </si>
  <si>
    <t>RING1 and YY1-binding protein</t>
  </si>
  <si>
    <t>Isoform 2 of Probable hydrolase PNKD</t>
  </si>
  <si>
    <t>Isoform 4 of Probable hydrolase PNKD</t>
  </si>
  <si>
    <t>Isoform 1 of Misshapen-like kinase 1</t>
  </si>
  <si>
    <t>Mitochondrial import receptor subunit TOM5 homolog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</si>
  <si>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</si>
  <si>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</si>
  <si>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</si>
  <si>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</si>
  <si>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Membrane magnesium transporter 1</t>
  </si>
  <si>
    <t>Zinc finger CCHC domain-containing protein 9</t>
  </si>
  <si>
    <t>Isoform 2 of Oxidation resistance protein 1</t>
  </si>
  <si>
    <t>Tetratricopeptide repeat protein 39C</t>
  </si>
  <si>
    <t>S1 RNA-binding domain-containing protein 1</t>
  </si>
  <si>
    <t>NF-kappa-B-activating protein</t>
  </si>
  <si>
    <t>Isoform 2 of Small integral membrane protein 20</t>
  </si>
  <si>
    <t>Macoilin</t>
  </si>
  <si>
    <t>Arrestin domain-containing protein 1</t>
  </si>
  <si>
    <t>Uncharacterized protein C12orf45</t>
  </si>
  <si>
    <t>CDGSH iron-sulfur domain-containing protein 2</t>
  </si>
  <si>
    <t>Ribonuclease P protein subunit p25-like protein</t>
  </si>
  <si>
    <t>ATP synthase mitochondrial F1 complex assembly factor 2</t>
  </si>
  <si>
    <t>Protein jagunal homolog 1</t>
  </si>
  <si>
    <t>39S ribosomal protein L50, mitochondrial</t>
  </si>
  <si>
    <t>Isoform 2 of Eukaryotic translation initiation factor 4E type 3</t>
  </si>
  <si>
    <t>Mono [ADP-ribose] polymerase PARP16</t>
  </si>
  <si>
    <t>Isoform 2 of BTB/POZ domain-containing protein KCTD17</t>
  </si>
  <si>
    <t>Isoform 2 of Cleavage and polyadenylation specificity factor subunit 7</t>
  </si>
  <si>
    <t>Solute carrier family 15 member 4</t>
  </si>
  <si>
    <t>ADP-ribosylation factor GTPase-activating protein 2</t>
  </si>
  <si>
    <t>OTU domain-containing protein 6B</t>
  </si>
  <si>
    <t>Isoform 2 of UPF0690 protein C1orf52</t>
  </si>
  <si>
    <t>Acyl-CoA-binding domain-containing protein 7</t>
  </si>
  <si>
    <t>Methyltransferase-like protein 25</t>
  </si>
  <si>
    <t>Isoform 2 of Ankyrin repeat domain-containing protein 13C</t>
  </si>
  <si>
    <t>ADP-ribosylation factor GTPase-activating protein 1</t>
  </si>
  <si>
    <t>Neuropeptide W</t>
  </si>
  <si>
    <t>TOM1-like protein 1</t>
  </si>
  <si>
    <t>Isoform 3 of ER membrane protein complex subunit 1</t>
  </si>
  <si>
    <t>Putative E3 ubiquitin-protein ligase UBR7</t>
  </si>
  <si>
    <t>Uncharacterized protein C4orf32</t>
  </si>
  <si>
    <t>Prostaglandin reductase 2</t>
  </si>
  <si>
    <t>Mitochondrial carnitine/acylcarnitine carrier protein CACL</t>
  </si>
  <si>
    <t>UPF0565 protein C2orf69</t>
  </si>
  <si>
    <t>ARL14 effector protein</t>
  </si>
  <si>
    <t>Protein enabled homolog</t>
  </si>
  <si>
    <t>G patch domain-containing protein 11</t>
  </si>
  <si>
    <t>Uncharacterized protein C12orf29</t>
  </si>
  <si>
    <t>Isoform 2 of Junction-mediating and -regulatory protein</t>
  </si>
  <si>
    <t>Glycerophosphodiester phosphodiesterase domain-containing protein 1</t>
  </si>
  <si>
    <t>Probable E3 ubiquitin-protein ligase DTX3</t>
  </si>
  <si>
    <t>Transmembrane protein 102</t>
  </si>
  <si>
    <t>Leucine-rich repeat-containing protein 57</t>
  </si>
  <si>
    <t>Protein SCAI</t>
  </si>
  <si>
    <t>Protein KRI1 homolog</t>
  </si>
  <si>
    <t>WD repeat, SAM and U-box domain-containing protein 1</t>
  </si>
  <si>
    <t>Zinc finger protein 579</t>
  </si>
  <si>
    <t>Pre-mRNA-splicing factor 38A</t>
  </si>
  <si>
    <t>Uncharacterized protein C1orf172</t>
  </si>
  <si>
    <t>Isoform 2 of Zinc finger protein 511</t>
  </si>
  <si>
    <t>Mixed lineage kinase domain-like protein</t>
  </si>
  <si>
    <t>Parkinson disease 7 domain-containing protein 1</t>
  </si>
  <si>
    <t>Serine/threonine-protein phosphatase 6 regulatory ankyrin repeat subunit C</t>
  </si>
  <si>
    <t>Isoform 2 of Probable phospholipid-transporting ATPase IG</t>
  </si>
  <si>
    <t>Spermatogenesis-associated protein 5</t>
  </si>
  <si>
    <t>NHL repeat-containing protein 2</t>
  </si>
  <si>
    <t>Late secretory pathway protein AVL9 homolog</t>
  </si>
  <si>
    <t>Xyloside xylosyltransferase 1</t>
  </si>
  <si>
    <t>Isoform 2 of Golgi membrane protein 1</t>
  </si>
  <si>
    <t>Procollagen galactosyltransferase 1</t>
  </si>
  <si>
    <t>Isoform 4 of Sulfatase-modifying factor 1</t>
  </si>
  <si>
    <t>Isoform 2 of Ubiquitin-associated domain-containing protein 2</t>
  </si>
  <si>
    <t>Prenylcysteine oxidase-like</t>
  </si>
  <si>
    <t>Transmembrane protein 87A</t>
  </si>
  <si>
    <t>Retinol dehydrogenase 13</t>
  </si>
  <si>
    <t>Proprotein convertase subtilisin/kexin type 9</t>
  </si>
  <si>
    <t>ATPase family AAA domain-containing protein 1</t>
  </si>
  <si>
    <t>Saccharopine dehydrogenase-like oxidoreductase</t>
  </si>
  <si>
    <t>Serine/threonine-protein kinase MST4</t>
  </si>
  <si>
    <t>Plasminogen activator inhibitor 1 RNA-binding protein</t>
  </si>
  <si>
    <t>Keratinocyte-associated transmembrane protein 2</t>
  </si>
  <si>
    <t>LEM domain-containing protein 2</t>
  </si>
  <si>
    <t>Nitric oxide-associated protein 1</t>
  </si>
  <si>
    <t>Adaptin ear-binding coat-associated protein 1</t>
  </si>
  <si>
    <t>Isoform 2 of Protein FAM98A</t>
  </si>
  <si>
    <t>Group XV phospholipase A2</t>
  </si>
  <si>
    <t>Isoform 4 of tRNA-splicing endonuclease subunit Sen2</t>
  </si>
  <si>
    <t>Myotubularin-related protein 14</t>
  </si>
  <si>
    <t>NFATC2-interacting protein</t>
  </si>
  <si>
    <t>Sn1-specific diacylglycerol lipase beta</t>
  </si>
  <si>
    <t>Carbohydrate sulfotransferase 14</t>
  </si>
  <si>
    <t>Polypeptide N-acetylgalactosaminyltransferase 6</t>
  </si>
  <si>
    <t>E3 ubiquitin-protein ligase RNF169</t>
  </si>
  <si>
    <t>Pyruvate dehydrogenase phosphatase regulatory subunit, mitochondrial</t>
  </si>
  <si>
    <t>NAD(P)H-hydrate epimerase</t>
  </si>
  <si>
    <t>Protein SMG8</t>
  </si>
  <si>
    <t>RING finger protein 214</t>
  </si>
  <si>
    <t>Isoform 2 of Protein LSM14 homolog A</t>
  </si>
  <si>
    <t>Cyclin-Y</t>
  </si>
  <si>
    <t>MAPK-interacting and spindle-stabilizing protein-like</t>
  </si>
  <si>
    <t>Isoform 2 of Uncharacterized protein C1orf131</t>
  </si>
  <si>
    <t>Isoform 3 of Uncharacterized protein C1orf131</t>
  </si>
  <si>
    <t>Probable aminopeptidase NPEPL1</t>
  </si>
  <si>
    <t>Putative RNA-binding protein 15B</t>
  </si>
  <si>
    <t>Deleted in autism protein 1</t>
  </si>
  <si>
    <t>Isoform 2 of Metal transporter CNNM3</t>
  </si>
  <si>
    <t>Choline dehydrogenase, mitochondrial</t>
  </si>
  <si>
    <t>ATP-binding cassette sub-family F member 1</t>
  </si>
  <si>
    <t>Isoform 3 of Calcium uniporter protein, mitochondrial</t>
  </si>
  <si>
    <t>Glutathione S-transferase C-terminal domain-containing protein</t>
  </si>
  <si>
    <t>Protein FAM83F</t>
  </si>
  <si>
    <t>Protein DENND6B</t>
  </si>
  <si>
    <t>Isoform 2 of Phospholipase DDHD1</t>
  </si>
  <si>
    <t>PDZ domain-containing protein 8</t>
  </si>
  <si>
    <t>Isoform 2 of DCC-interacting protein 13-beta</t>
  </si>
  <si>
    <t>F-box only protein 22</t>
  </si>
  <si>
    <t>Lysophosphatidylcholine acyltransferase 1</t>
  </si>
  <si>
    <t>Biorientation of chromosomes in cell division protein 1-like 1</t>
  </si>
  <si>
    <t>Isoform 2 of FAD synthase</t>
  </si>
  <si>
    <t>Nucleoporin Nup43</t>
  </si>
  <si>
    <t>Nucleoporin Nup37</t>
  </si>
  <si>
    <t>Cytosolic endo-beta-N-acetylglucosaminidase</t>
  </si>
  <si>
    <t>Isoform 4 of Interleukin-17 receptor D</t>
  </si>
  <si>
    <t>Torsin-1A-interacting protein 2</t>
  </si>
  <si>
    <t>Thiosulfate sulfurtransferase/rhodanese-like domain-containing protein 1</t>
  </si>
  <si>
    <t>Isoform 4 of Thiosulfate sulfurtransferase/rhodanese-like domain-containing protein 1</t>
  </si>
  <si>
    <t>Alpha/beta hydrolase domain-containing protein 11</t>
  </si>
  <si>
    <t>N-acylneuraminate cytidylyltransferase</t>
  </si>
  <si>
    <t>Isoform 2 of Syntaxin-binding protein 6</t>
  </si>
  <si>
    <t>Tubulin--tyrosine ligase</t>
  </si>
  <si>
    <t>Olfactory receptor 8H1</t>
  </si>
  <si>
    <t>Small VCP/p97-interacting protein</t>
  </si>
  <si>
    <t>E3 ubiquitin-protein ligase ZNRF2</t>
  </si>
  <si>
    <t>Atlastin-2</t>
  </si>
  <si>
    <t>Putative trypsin-6</t>
  </si>
  <si>
    <t>Isoform 4 of Lysine-specific demethylase 2B</t>
  </si>
  <si>
    <t>Putative phospholipase B-like 2</t>
  </si>
  <si>
    <t>GTPase IMAP family member 7</t>
  </si>
  <si>
    <t>Protein NEDD1</t>
  </si>
  <si>
    <t>Anaphase-promoting complex subunit CDC26</t>
  </si>
  <si>
    <t>Isoform 2 of Nuclear receptor coactivator 7</t>
  </si>
  <si>
    <t>Isoform 2 of Multiple coagulation factor deficiency protein 2</t>
  </si>
  <si>
    <t>THO complex subunit 2</t>
  </si>
  <si>
    <t>InaD-like protein</t>
  </si>
  <si>
    <t>WD repeat-containing protein 36</t>
  </si>
  <si>
    <t>Protein phosphatase PTC7 homolog</t>
  </si>
  <si>
    <t>Chaperone activity of bc1 complex-like, mitochondrial</t>
  </si>
  <si>
    <t>Retinitis pigmentosa 9 protein</t>
  </si>
  <si>
    <t>GrpE protein homolog 2, mitochondrial</t>
  </si>
  <si>
    <t>Smad nuclear-interacting protein 1</t>
  </si>
  <si>
    <t>Protein phosphatase 1 regulatory subunit 14C</t>
  </si>
  <si>
    <t>Growth arrest and DNA damage-inducible proteins-interacting protein 1</t>
  </si>
  <si>
    <t>WD repeat-containing protein 48</t>
  </si>
  <si>
    <t>Ermin</t>
  </si>
  <si>
    <t>Centrosomal protein of 76 kDa</t>
  </si>
  <si>
    <t>SWI/SNF complex subunit SMARCC2</t>
  </si>
  <si>
    <t>Fibroblast growth factor-binding protein 3</t>
  </si>
  <si>
    <t>Nuclear protein localization protein 4 homolog</t>
  </si>
  <si>
    <t>Isoform 2 of Protein FAM76A</t>
  </si>
  <si>
    <t>Uncharacterized protein CXorf38</t>
  </si>
  <si>
    <t>Ganglioside-induced differentiation-associated protein 1</t>
  </si>
  <si>
    <t>Iron-sulfur protein NUBPL</t>
  </si>
  <si>
    <t>F-box only protein 30</t>
  </si>
  <si>
    <t>Isoform 3 of Adenosine 3-phospho 5-phosphosulfate transporter 1</t>
  </si>
  <si>
    <t>Isoform 3 of Pumilio homolog 2</t>
  </si>
  <si>
    <t>Isoform 2 of Golgin subfamily A member 5</t>
  </si>
  <si>
    <t>E3 ubiquitin-protein ligase LNX</t>
  </si>
  <si>
    <t>Isoform 3 of Kelch domain-containing protein 4</t>
  </si>
  <si>
    <t>NEDD8-activating enzyme E1 catalytic subunit</t>
  </si>
  <si>
    <t>N-acylneuraminate-9-phosphatase</t>
  </si>
  <si>
    <t>Prostamide/prostaglandin F synthase</t>
  </si>
  <si>
    <t>Isoform 2 of N-lysine methyltransferase SETD6</t>
  </si>
  <si>
    <t>Isoform 1 of Protein FAM57A</t>
  </si>
  <si>
    <t>Phosphatidylinositol 5-phosphate 4-kinase type-2 gamma</t>
  </si>
  <si>
    <t>tRNA methyltransferase 10 homolog A</t>
  </si>
  <si>
    <t>Isoform 2 of TBC1 domain family member 15</t>
  </si>
  <si>
    <t>Retinol dehydrogenase 11</t>
  </si>
  <si>
    <t>Leucine-rich repeat-containing protein 20</t>
  </si>
  <si>
    <t>UPF0729 protein C18orf32</t>
  </si>
  <si>
    <t>5(3)-deoxyribonucleotidase, cytosolic type</t>
  </si>
  <si>
    <t>Protein CIP2A</t>
  </si>
  <si>
    <t>Phosphatidylinositol 4-kinase type 2-beta</t>
  </si>
  <si>
    <t>Dolichyl-diphosphooligosaccharide--protein glycosyltransferase subunit STT3B</t>
  </si>
  <si>
    <t>Polyribonucleotide nucleotidyltransferase 1, mitochondrial</t>
  </si>
  <si>
    <t>Isoform 5 of Minor histocompatibility antigen H13</t>
  </si>
  <si>
    <t>Isoform 5 of Cytoplasmic dynein 2 light intermediate chain 1</t>
  </si>
  <si>
    <t>Isoform 2 of Rhophilin-1</t>
  </si>
  <si>
    <t>Isoform 3 of Up-regulator of cell proliferation</t>
  </si>
  <si>
    <t>Isoform 6 of CD99 antigen-like protein 2</t>
  </si>
  <si>
    <t>Protein bicaudal D homolog 2</t>
  </si>
  <si>
    <t>Serine/threonine-protein kinase Nek9</t>
  </si>
  <si>
    <t>Alanine aminotransferase 2</t>
  </si>
  <si>
    <t>E3 ubiquitin-protein ligase DTX3L</t>
  </si>
  <si>
    <t>Isoform 2 of ATP-dependent RNA helicase DDX54</t>
  </si>
  <si>
    <t>Biogenesis of lysosome-related organelles complex 1 subunit 5</t>
  </si>
  <si>
    <t>Glucosamine-6-phosphate isomerase 2</t>
  </si>
  <si>
    <t>Serine/threonine-protein kinase 35</t>
  </si>
  <si>
    <t>Serine/threonine-protein kinase Nek7</t>
  </si>
  <si>
    <t>Isoform 2 of RB1-inducible coiled-coil protein 1</t>
  </si>
  <si>
    <t>Protein-methionine sulfoxide oxidase MICAL1</t>
  </si>
  <si>
    <t>Isoform 2 of Pantothenate kinase 1</t>
  </si>
  <si>
    <t>Protein phosphatase Slingshot homolog 3</t>
  </si>
  <si>
    <t>Putative methyltransferase NSUN6</t>
  </si>
  <si>
    <t>Isoform 3 of TBC domain-containing protein kinase-like protein</t>
  </si>
  <si>
    <t>D-tyrosyl-tRNA(Tyr) deacylase 1</t>
  </si>
  <si>
    <t>Isoform 2 of DDB1- and CUL4-associated factor 11</t>
  </si>
  <si>
    <t>U3 small nucleolar RNA-associated protein 15 homolog</t>
  </si>
  <si>
    <t>Nuclear pore membrane glycoprotein 210</t>
  </si>
  <si>
    <t>Gem-associated protein 5</t>
  </si>
  <si>
    <t>Isoform 2 of GPI ethanolamine phosphate transferase 3</t>
  </si>
  <si>
    <t>Neutral alpha-glucosidase C</t>
  </si>
  <si>
    <t>Isoform 2 of Smith-Magenis syndrome chromosomal region candidate gene 8 protein</t>
  </si>
  <si>
    <t>Importin-4</t>
  </si>
  <si>
    <t>Isoform 3 of Ubiquitin carboxyl-terminal hydrolase 33</t>
  </si>
  <si>
    <t>Arginine/serine-rich protein PNISR</t>
  </si>
  <si>
    <t>Isoform 2 of Serine/threonine-protein phosphatase 4 regulatory subunit 1</t>
  </si>
  <si>
    <t>Monocarboxylate transporter 10</t>
  </si>
  <si>
    <t>WAS/WASL-interacting protein family member 2</t>
  </si>
  <si>
    <t>1-acylglycerol-3-phosphate O-acyltransferase ABHD5</t>
  </si>
  <si>
    <t>Histone-lysine N-methyltransferase SETD7</t>
  </si>
  <si>
    <t>Conserved oligomeric Golgi complex subunit 1</t>
  </si>
  <si>
    <t>Probable palmitoyltransferase ZDHHC1</t>
  </si>
  <si>
    <t>Pyridine nucleotide-disulfide oxidoreductase domain-containing protein 1</t>
  </si>
  <si>
    <t>Isoform 2 of Stromal membrane-associated protein 2</t>
  </si>
  <si>
    <t>Zinc finger CCCH domain-containing protein 15</t>
  </si>
  <si>
    <t>Peptidyl-prolyl cis-trans isomerase-like 4</t>
  </si>
  <si>
    <t>General transcription factor 3C polypeptide 2</t>
  </si>
  <si>
    <t>Isoform 3 of PHD finger protein 10</t>
  </si>
  <si>
    <t>Ras-related protein Rab-2B</t>
  </si>
  <si>
    <t>RelA-associated inhibitor</t>
  </si>
  <si>
    <t>Isoform 3 of Protein FAM172A</t>
  </si>
  <si>
    <t>Protein Churchill</t>
  </si>
  <si>
    <t>Transforming growth factor-beta receptor-associated protein 1</t>
  </si>
  <si>
    <t>UPF0444 transmembrane protein C12orf23</t>
  </si>
  <si>
    <t>Serine/threonine/tyrosine-interacting protein</t>
  </si>
  <si>
    <t>Phosphatidylglycerophosphatase and protein-tyrosine phosphatase 1</t>
  </si>
  <si>
    <t>Nuclear pore complex protein Nup133</t>
  </si>
  <si>
    <t>Programmed cell death 6-interacting protein</t>
  </si>
  <si>
    <t>Ubiquitin domain-containing protein 2</t>
  </si>
  <si>
    <t>Filamin-binding LIM protein 1</t>
  </si>
  <si>
    <t>UPF0235 protein C15orf40</t>
  </si>
  <si>
    <t>Cation transport regulator-like protein 2</t>
  </si>
  <si>
    <t>Charged multivesicular body protein 7</t>
  </si>
  <si>
    <t>Protein THEM6</t>
  </si>
  <si>
    <t>N-acetyltransferase 14</t>
  </si>
  <si>
    <t>Non-structural maintenance of chromosomes element 1 homolog</t>
  </si>
  <si>
    <t>Sorting nexin-33</t>
  </si>
  <si>
    <t>Pentatricopeptide repeat-containing protein 2, mitochondrial</t>
  </si>
  <si>
    <t>Lactation elevated protein 1</t>
  </si>
  <si>
    <t>Chromosome transmission fidelity protein 18 homolog</t>
  </si>
  <si>
    <t>RNA polymerase-associated protein LEO1</t>
  </si>
  <si>
    <t>40S ribosomal protein S21</t>
  </si>
  <si>
    <t>E3 ubiquitin-protein ligase RNF138</t>
  </si>
  <si>
    <t>NudC domain-containing protein 2</t>
  </si>
  <si>
    <t>U4/U6.U5 small nuclear ribonucleoprotein 27 kDa protein</t>
  </si>
  <si>
    <t>Ankyrin repeat domain-containing protein 49</t>
  </si>
  <si>
    <t>Dimethyladenosine transferase 1, mitochondrial</t>
  </si>
  <si>
    <t>Sec1 family domain-containing protein 1</t>
  </si>
  <si>
    <t>Soluble calcium-activated nucleotidase 1</t>
  </si>
  <si>
    <t>Trafficking protein particle complex subunit 12</t>
  </si>
  <si>
    <t>Protein POF1B</t>
  </si>
  <si>
    <t>Isoform 4 of Heterogeneous nuclear ribonucleoprotein L-like</t>
  </si>
  <si>
    <t>Fatty acyl-CoA reductase 1</t>
  </si>
  <si>
    <t>Ubiquitin-like domain-containing CTD phosphatase 1</t>
  </si>
  <si>
    <t>Kelch repeat and BTB domain-containing protein 7</t>
  </si>
  <si>
    <t>tRNA-splicing endonuclease subunit Sen15</t>
  </si>
  <si>
    <t>PEST proteolytic signal-containing nuclear protein</t>
  </si>
  <si>
    <t>SPRY domain-containing protein 4</t>
  </si>
  <si>
    <t>Isoform 2 of Lysosomal protein NCU-G1</t>
  </si>
  <si>
    <t>Uncharacterized protein C2orf47, mitochondrial</t>
  </si>
  <si>
    <t>Probable tRNA pseudouridine synthase 1</t>
  </si>
  <si>
    <t>Choline transporter-like protein 1</t>
  </si>
  <si>
    <t>Ataxin-2-like protein</t>
  </si>
  <si>
    <t>Reticulon-4-interacting protein 1, mitochondrial</t>
  </si>
  <si>
    <t>Selenoprotein M</t>
  </si>
  <si>
    <t>Insulin-like growth factor-binding protein-like 1</t>
  </si>
  <si>
    <t>Negative elongation factor B</t>
  </si>
  <si>
    <t>Isoform 2 of Splicing regulatory glutamine/lysine-rich protein 1</t>
  </si>
  <si>
    <t>Secretogranin-3</t>
  </si>
  <si>
    <t>Gem-associated protein 6</t>
  </si>
  <si>
    <t>Isoform 4 of ATR-interacting protein</t>
  </si>
  <si>
    <t>Paraspeckle component 1</t>
  </si>
  <si>
    <t>Nesprin-2</t>
  </si>
  <si>
    <t>Transcriptional repressor p66-beta</t>
  </si>
  <si>
    <t>Dynein heavy chain 7, axonemal</t>
  </si>
  <si>
    <t>DnaJ homolog subfamily C member 9</t>
  </si>
  <si>
    <t>BRI3-binding protein</t>
  </si>
  <si>
    <t>Beta-catenin-like protein 1</t>
  </si>
  <si>
    <t>Protein ELYS</t>
  </si>
  <si>
    <t>Ovarian cancer-associated gene 2 protein</t>
  </si>
  <si>
    <t>Protein LZIC</t>
  </si>
  <si>
    <t>Immunity-related GTPase family Q protein</t>
  </si>
  <si>
    <t>DNA damage-binding protein 2</t>
  </si>
  <si>
    <t>Acid sphingomyelinase-like phosphodiesterase 3b</t>
  </si>
  <si>
    <t>ATP-dependent RNA helicase DDX1</t>
  </si>
  <si>
    <t>Zinc transporter SLC39A7</t>
  </si>
  <si>
    <t>Estradiol 17-beta-dehydrogenase 8</t>
  </si>
  <si>
    <t>Piezo-type mechanosensitive ion channel component 1</t>
  </si>
  <si>
    <t>Protein FAM3C</t>
  </si>
  <si>
    <t>Histone H1x</t>
  </si>
  <si>
    <t>T-complex protein 1 subunit zeta-2</t>
  </si>
  <si>
    <t>Y+L amino acid transporter 2</t>
  </si>
  <si>
    <t>Uncharacterized protein KIAA0247</t>
  </si>
  <si>
    <t>Golgi-specific brefeldin A-resistance guanine nucleotide exchange factor 1</t>
  </si>
  <si>
    <t>RNA polymerase-associated protein RTF1 homolog</t>
  </si>
  <si>
    <t>Transmembrane 9 superfamily member 4</t>
  </si>
  <si>
    <t>Retrograde Golgi transport protein RGP1 homolog</t>
  </si>
  <si>
    <t>DNA topoisomerase 2-binding protein 1</t>
  </si>
  <si>
    <t>Inositol hexakisphosphate kinase 1</t>
  </si>
  <si>
    <t>28S ribosomal protein S27, mitochondrial</t>
  </si>
  <si>
    <t>Wiskott-Aldrich syndrome protein family member 1</t>
  </si>
  <si>
    <t>AP-3 complex subunit sigma-1</t>
  </si>
  <si>
    <t>UBX domain-containing protein 4</t>
  </si>
  <si>
    <t>Isoform 2 of PHD finger protein 3</t>
  </si>
  <si>
    <t>Mastermind-like protein 1</t>
  </si>
  <si>
    <t>Protein NDRG1</t>
  </si>
  <si>
    <t>Isoform Beta of Heat shock protein 105 kDa</t>
  </si>
  <si>
    <t>Cell differentiation protein RCD1 homolog</t>
  </si>
  <si>
    <t>TBC1 domain family member 5</t>
  </si>
  <si>
    <t>La-related protein 4B</t>
  </si>
  <si>
    <t>Translational activator GCN1</t>
  </si>
  <si>
    <t>Zinc finger protein 516</t>
  </si>
  <si>
    <t>Pre-mRNA-splicing factor ATP-dependent RNA helicase PRP16</t>
  </si>
  <si>
    <t>Nuclear pore complex protein Nup205</t>
  </si>
  <si>
    <t>Tetratricopeptide repeat protein 9A</t>
  </si>
  <si>
    <t>Ankyrin repeat and SAM domain-containing protein 1A</t>
  </si>
  <si>
    <t>Protein FAN</t>
  </si>
  <si>
    <t>Isoform 2 of Transcription factor IIIA</t>
  </si>
  <si>
    <t>28S ribosomal protein S31, mitochondrial</t>
  </si>
  <si>
    <t>A-kinase anchor protein 1, mitochondrial</t>
  </si>
  <si>
    <t>Sortilin-related receptor</t>
  </si>
  <si>
    <t>Isoform 2 of Acidic leucine-rich nuclear phosphoprotein 32 family member B</t>
  </si>
  <si>
    <t>Poliovirus receptor-related protein 2</t>
  </si>
  <si>
    <t>Isoform Alpha of Poliovirus receptor-related protein 2</t>
  </si>
  <si>
    <t>Geranylgeranyl transferase type-2 subunit alpha</t>
  </si>
  <si>
    <t>Isoform 2 of Protein TFG</t>
  </si>
  <si>
    <t>USP6 N-terminal-like protein</t>
  </si>
  <si>
    <t>Actin-related protein 2/3 complex subunit 1A</t>
  </si>
  <si>
    <t>Ras-responsive element-binding protein 1</t>
  </si>
  <si>
    <t>Isoform 2 of Signal transducing adapter molecule 1</t>
  </si>
  <si>
    <t>Synaptonemal complex protein SC65</t>
  </si>
  <si>
    <t>CREB-binding protein</t>
  </si>
  <si>
    <t>Symplekin</t>
  </si>
  <si>
    <t>Isoform Short of TATA-binding protein-associated factor 2N</t>
  </si>
  <si>
    <t>Golgin subfamily A member 1</t>
  </si>
  <si>
    <t>Gamma-glutamyl hydrolase</t>
  </si>
  <si>
    <t>Isoform 3 of Bcl-2-like protein 2</t>
  </si>
  <si>
    <t>TRAF family member-associated NF-kappa-B activator</t>
  </si>
  <si>
    <t>Isoform 2 of Kinesin-associated protein 3</t>
  </si>
  <si>
    <t>Semaphorin-4D</t>
  </si>
  <si>
    <t>Phosphomannomutase 1</t>
  </si>
  <si>
    <t>Kallikrein-6</t>
  </si>
  <si>
    <t>DNA repair protein RAD50</t>
  </si>
  <si>
    <t>Osteoclast-stimulating factor 1</t>
  </si>
  <si>
    <t>DNA repair endonuclease XPF</t>
  </si>
  <si>
    <t>Ubiquitin fusion degradation protein 1 homolog</t>
  </si>
  <si>
    <t>Regulator of nonsense transcripts 1</t>
  </si>
  <si>
    <t>COP9 signalosome complex subunit 5</t>
  </si>
  <si>
    <t>G patch domain and KOW motifs-containing protein</t>
  </si>
  <si>
    <t>SWI/SNF complex subunit SMARCC1</t>
  </si>
  <si>
    <t>Bcl2 antagonist of cell death</t>
  </si>
  <si>
    <t>Far upstream element-binding protein 2</t>
  </si>
  <si>
    <t>Glutaryl-CoA dehydrogenase, mitochondrial</t>
  </si>
  <si>
    <t>Peroxisomal membrane protein PEX13</t>
  </si>
  <si>
    <t>Isoform 2 of Transportin-1</t>
  </si>
  <si>
    <t>Ribosomal RNA small subunit methyltransferase NEP1</t>
  </si>
  <si>
    <t>Glomulin</t>
  </si>
  <si>
    <t>Ubiquitin carboxyl-terminal hydrolase 13</t>
  </si>
  <si>
    <t>Isoform 2 of Probable ubiquitin carboxyl-terminal hydrolase FAF-X</t>
  </si>
  <si>
    <t>Isoform 2 of N-acetyltransferase 6</t>
  </si>
  <si>
    <t>Cullin-5</t>
  </si>
  <si>
    <t>Lipoma-preferred partner</t>
  </si>
  <si>
    <t>Putative deoxyribonuclease TATDN2</t>
  </si>
  <si>
    <t>Histone H2A type 1-C</t>
  </si>
  <si>
    <t>Isoform 2 of Secretory carrier-associated membrane protein 4</t>
  </si>
  <si>
    <t>Transcription elongation factor A protein-like 3</t>
  </si>
  <si>
    <t>Pre-rRNA-processing protein TSR2 homolog</t>
  </si>
  <si>
    <t>Riboflavin kinase</t>
  </si>
  <si>
    <t>Isoform 2 of Ribonuclease P/MRP protein subunit POP5</t>
  </si>
  <si>
    <t>UPF0556 protein C19orf10</t>
  </si>
  <si>
    <t>Protein MAL2</t>
  </si>
  <si>
    <t>Protein YIPF5</t>
  </si>
  <si>
    <t>Isoform 4 of GPI transamidase component PIG-T</t>
  </si>
  <si>
    <t>Isoform 3 of Immunoglobulin superfamily member 8</t>
  </si>
  <si>
    <t>60S ribosomal protein L36a-like</t>
  </si>
  <si>
    <t>Zinc finger protein 622</t>
  </si>
  <si>
    <t>Isoform 3 of Ribosome-releasing factor 2, mitochondrial</t>
  </si>
  <si>
    <t>Isoform 2 of 7-methylguanosine phosphate-specific 5-nucleotidase</t>
  </si>
  <si>
    <t>Isoform 2 of Nicalin</t>
  </si>
  <si>
    <t>Mitochondrial ubiquitin ligase activator of NFKB 1</t>
  </si>
  <si>
    <t>Isoform 2 of Endoplasmic reticulum-Golgi intermediate compartment protein 1</t>
  </si>
  <si>
    <t>Cirhin</t>
  </si>
  <si>
    <t>Isoform 3 of tRNA modification GTPase GTPBP3, mitochondrial</t>
  </si>
  <si>
    <t>Protein TBRG4</t>
  </si>
  <si>
    <t>Uncharacterized protein C11orf52</t>
  </si>
  <si>
    <t>Isoform 2 of GDP-fucose transporter 1</t>
  </si>
  <si>
    <t>Coiled-coil domain-containing protein 47</t>
  </si>
  <si>
    <t>Mitoferrin-2</t>
  </si>
  <si>
    <t>Synapse-associated protein 1</t>
  </si>
  <si>
    <t>Isoform 2 of MARVEL domain-containing protein 3</t>
  </si>
  <si>
    <t>Exocyst complex component 4</t>
  </si>
  <si>
    <t>Putative monooxygenase p33MONOX</t>
  </si>
  <si>
    <t>Isochorismatase domain-containing protein 2, mitochondrial</t>
  </si>
  <si>
    <t>Protein N-terminal asparagine amidohydrolase</t>
  </si>
  <si>
    <t>Far upstream element-binding protein 1</t>
  </si>
  <si>
    <t>Isoform 2 of Far upstream element-binding protein 1</t>
  </si>
  <si>
    <t>Leucine-rich repeat-containing protein 59</t>
  </si>
  <si>
    <t>Isoform 1 of Vesicle transport through interaction with t-SNAREs homolog 1A</t>
  </si>
  <si>
    <t>Mitochondrial calcium uniporter regulator 1</t>
  </si>
  <si>
    <t>Uncharacterized protein KIAA1143</t>
  </si>
  <si>
    <t>Ribulose-phosphate 3-epimerase</t>
  </si>
  <si>
    <t>Peptidyl-prolyl cis-trans isomerase FKBP10</t>
  </si>
  <si>
    <t>Interferon-stimulated gene 20 kDa protein</t>
  </si>
  <si>
    <t>Isoform 2 of RAD51-associated protein 1</t>
  </si>
  <si>
    <t>Isoform 2 of Uncharacterized protein C18orf25</t>
  </si>
  <si>
    <t>Exosome complex component RRP43</t>
  </si>
  <si>
    <t>Proline-rich AKT1 substrate 1</t>
  </si>
  <si>
    <t>UPF0693 protein C10orf32</t>
  </si>
  <si>
    <t>Mitochondrial import receptor subunit TOM6 homolog</t>
  </si>
  <si>
    <t>Leukocyte receptor cluster member 9</t>
  </si>
  <si>
    <t>SH3 domain-containing kinase-binding protein 1</t>
  </si>
  <si>
    <t>Axin interactor, dorsalization-associated protein</t>
  </si>
  <si>
    <t>PIN2/TERF1-interacting telomerase inhibitor 1</t>
  </si>
  <si>
    <t>ADP-ribosylation factor-like protein 8A</t>
  </si>
  <si>
    <t>Protein FAM105B</t>
  </si>
  <si>
    <t>Coiled-coil-helix-coiled-coil-helix domain-containing protein 1</t>
  </si>
  <si>
    <t>Peptidylprolyl isomerase domain and WD repeat-containing protein 1</t>
  </si>
  <si>
    <t>Sel1 repeat-containing protein 1</t>
  </si>
  <si>
    <t>Uracil phosphoribosyltransferase homolog</t>
  </si>
  <si>
    <t>Isoform 2 of Phosphotriesterase-related protein</t>
  </si>
  <si>
    <t>Autophagy-related protein 2 homolog B</t>
  </si>
  <si>
    <t>Leukocyte receptor cluster member 1</t>
  </si>
  <si>
    <t>TBC1 domain family member 20</t>
  </si>
  <si>
    <t>Protein FAM136A</t>
  </si>
  <si>
    <t>Mitochondrial dynamic protein MID49</t>
  </si>
  <si>
    <t>EF-hand domain-containing protein D2</t>
  </si>
  <si>
    <t>Aldose 1-epimerase</t>
  </si>
  <si>
    <t>Isoform 2 of RUN domain-containing protein 1</t>
  </si>
  <si>
    <t>Pyrroline-5-carboxylate reductase 2</t>
  </si>
  <si>
    <t>Uncharacterized protein C12orf43</t>
  </si>
  <si>
    <t>m7GpppX diphosphatase</t>
  </si>
  <si>
    <t>Protein phosphatase 1 regulatory subunit 14B</t>
  </si>
  <si>
    <t>Integrator complex subunit 12</t>
  </si>
  <si>
    <t>5-methylcytosine rRNA methyltransferase NSUN4</t>
  </si>
  <si>
    <t>F-box/LRR-repeat protein 8</t>
  </si>
  <si>
    <t>Phosphopantothenoylcysteine decarboxylase</t>
  </si>
  <si>
    <t>Charged multivesicular body protein 4c</t>
  </si>
  <si>
    <t>TRAF-interacting protein with FHA domain-containing protein A</t>
  </si>
  <si>
    <t>Collagen triple helix repeat-containing protein 1</t>
  </si>
  <si>
    <t>Isochorismatase domain-containing protein 1</t>
  </si>
  <si>
    <t>FLYWCH family member 2</t>
  </si>
  <si>
    <t>FAS-associated factor 2</t>
  </si>
  <si>
    <t>Coiled-coil domain-containing protein 124</t>
  </si>
  <si>
    <t>FAD-dependent oxidoreductase domain-containing protein 1</t>
  </si>
  <si>
    <t>Isoform 3 of Optineurin</t>
  </si>
  <si>
    <t>Isoform 2 of AP-2 complex subunit mu</t>
  </si>
  <si>
    <t>Gamma-tubulin complex component 3</t>
  </si>
  <si>
    <t>Probable RNA polymerase II nuclear localization protein SLC7A6OS</t>
  </si>
  <si>
    <t>BTB/POZ domain-containing protein KCTD12</t>
  </si>
  <si>
    <t>Isoform beta of Calcium release-activated calcium channel protein 1</t>
  </si>
  <si>
    <t>Isoform 3 of RalBP1-associated Eps domain-containing protein 1</t>
  </si>
  <si>
    <t>Ras-related protein Rab-39B</t>
  </si>
  <si>
    <t>Mitochondrial import inner membrane translocase subunit TIM14</t>
  </si>
  <si>
    <t>Regulator of microtubule dynamics protein 1</t>
  </si>
  <si>
    <t>Protein shisa-4</t>
  </si>
  <si>
    <t>U8 snoRNA-decapping enzyme</t>
  </si>
  <si>
    <t>Anaphase-promoting complex subunit 16</t>
  </si>
  <si>
    <t>Protein DGCR14</t>
  </si>
  <si>
    <t>U5 small nuclear ribonucleoprotein 40 kDa protein</t>
  </si>
  <si>
    <t>StAR-related lipid transfer protein 4</t>
  </si>
  <si>
    <t>Isoform C of Galectin-12</t>
  </si>
  <si>
    <t>39S ribosomal protein L38, mitochondrial</t>
  </si>
  <si>
    <t>Isoform 2 of Ankyrin repeat and SOCS box protein 9</t>
  </si>
  <si>
    <t>Endoplasmic reticulum lectin 1</t>
  </si>
  <si>
    <t>Protein FAM122A</t>
  </si>
  <si>
    <t>Isoform 3 of Ribosome-recycling factor, mitochondrial</t>
  </si>
  <si>
    <t>RecQ-mediated genome instability protein 2</t>
  </si>
  <si>
    <t>Small integral membrane protein 19</t>
  </si>
  <si>
    <t>Nogo-B receptor</t>
  </si>
  <si>
    <t>Metalloendopeptidase OMA1, mitochondrial</t>
  </si>
  <si>
    <t>Protein Spindly</t>
  </si>
  <si>
    <t>Elongator complex protein 4</t>
  </si>
  <si>
    <t>NAD-dependent protein deacetylase sirtuin-1</t>
  </si>
  <si>
    <t>Protein YIPF6</t>
  </si>
  <si>
    <t>Isoform 2 of Protein Hook homolog 2</t>
  </si>
  <si>
    <t>Isoform B of Nucleoporin SEH1</t>
  </si>
  <si>
    <t>Mitochondrial assembly of ribosomal large subunit protein 1</t>
  </si>
  <si>
    <t>Transcription elongation factor A protein-like 4</t>
  </si>
  <si>
    <t>THAP domain-containing protein 11</t>
  </si>
  <si>
    <t>KIF1-binding protein</t>
  </si>
  <si>
    <t>Glucosamine 6-phosphate N-acetyltransferase</t>
  </si>
  <si>
    <t>Protein KTI12 homolog</t>
  </si>
  <si>
    <t>28S ribosomal protein S24, mitochondrial</t>
  </si>
  <si>
    <t>39S ribosomal protein L53, mitochondrial</t>
  </si>
  <si>
    <t>E3 ubiquitin-protein ligase RNF31</t>
  </si>
  <si>
    <t>Isoform 2 of DAZ-associated protein 1</t>
  </si>
  <si>
    <t>Small glutamine-rich tetratricopeptide repeat-containing protein beta</t>
  </si>
  <si>
    <t>Coiled-coil domain-containing protein 51</t>
  </si>
  <si>
    <t>Isoform 2 of Ribosomal RNA processing protein 36 homolog</t>
  </si>
  <si>
    <t>RNA-binding protein 33</t>
  </si>
  <si>
    <t>Dysbindin</t>
  </si>
  <si>
    <t>HSPB1-associated protein 1</t>
  </si>
  <si>
    <t>Small integral membrane protein 12</t>
  </si>
  <si>
    <t>WD repeat-containing protein 34</t>
  </si>
  <si>
    <t>DnaJ homolog subfamily A member 3, mitochondrial</t>
  </si>
  <si>
    <t>Multivesicular body subunit 12A</t>
  </si>
  <si>
    <t>Pentatricopeptide repeat domain-containing protein 3, mitochondrial</t>
  </si>
  <si>
    <t>Cob(I)yrinic acid a,c-diamide adenosyltransferase, mitochondrial</t>
  </si>
  <si>
    <t>Probable inactive tRNA-specific adenosine deaminase-like protein 3</t>
  </si>
  <si>
    <t>Isoform 3 of E3 ubiquitin-protein ligase TRIM11</t>
  </si>
  <si>
    <t>Zinc finger protein 503</t>
  </si>
  <si>
    <t>Coiled-coil domain-containing protein 97</t>
  </si>
  <si>
    <t>Enhancer of mRNA-decapping protein 3</t>
  </si>
  <si>
    <t>E3 ubiquitin-protein ligase pellino homolog 1</t>
  </si>
  <si>
    <t>Isoform 4 of Probable ATP-dependent RNA helicase DDX11</t>
  </si>
  <si>
    <t>Isoform 2 of Leucine-rich repeat and immunoglobulin-like domain-containing nogo receptor-interacting protein 1</t>
  </si>
  <si>
    <t>Isoform 4 of Phosphoinositide-3-kinase-interacting protein 1</t>
  </si>
  <si>
    <t>Uncharacterized protein LOC113230</t>
  </si>
  <si>
    <t>Protein MEF2BNB</t>
  </si>
  <si>
    <t>WD repeat-containing protein 89</t>
  </si>
  <si>
    <t>Protein S100-A16</t>
  </si>
  <si>
    <t>THO complex subunit 1</t>
  </si>
  <si>
    <t>DPH3 homolog</t>
  </si>
  <si>
    <t>tRNA (adenine(58)-N(1))-methyltransferase catalytic subunit TRMT61A</t>
  </si>
  <si>
    <t>UPF0361 protein C3orf37</t>
  </si>
  <si>
    <t>Charged multivesicular body protein 6</t>
  </si>
  <si>
    <t>Phosphoglucomutase-2</t>
  </si>
  <si>
    <t>Protein FAM86A</t>
  </si>
  <si>
    <t>Mediator of RNA polymerase II transcription subunit 8</t>
  </si>
  <si>
    <t>Coiled-coil domain-containing protein 104</t>
  </si>
  <si>
    <t>tRNA-dihydrouridine(47) synthase [NAD(P)(+)]-like</t>
  </si>
  <si>
    <t>Isoform 3 of OTU domain-containing protein 5</t>
  </si>
  <si>
    <t>Protein LTV1 homolog</t>
  </si>
  <si>
    <t>Serine dehydratase-like</t>
  </si>
  <si>
    <t>Pyridoxal phosphate phosphatase</t>
  </si>
  <si>
    <t>E3 ubiquitin-protein ligase RNF185</t>
  </si>
  <si>
    <t>DCN1-like protein 1</t>
  </si>
  <si>
    <t>Fumarylacetoacetate hydrolase domain-containing protein 2A</t>
  </si>
  <si>
    <t>Target of EGR1 protein 1</t>
  </si>
  <si>
    <t>Probable ATP-dependent RNA helicase DDX27</t>
  </si>
  <si>
    <t>Uncharacterized protein C17orf59</t>
  </si>
  <si>
    <t>Alpha/beta hydrolase domain-containing protein 17A</t>
  </si>
  <si>
    <t>UNC119-binding protein C5orf30</t>
  </si>
  <si>
    <t>Methionine--tRNA ligase, mitochondrial</t>
  </si>
  <si>
    <t>Putative ataxin-7-like protein 3B</t>
  </si>
  <si>
    <t>Isoform 2 of Serine/threonine-protein kinase greatwall</t>
  </si>
  <si>
    <t>Isoform 2 of Methylthioribulose-1-phosphate dehydratase</t>
  </si>
  <si>
    <t>Zinc finger C2HC domain-containing protein 1A</t>
  </si>
  <si>
    <t>Isoform 6 of Solute carrier family 41 member 3</t>
  </si>
  <si>
    <t>Vacuolar-sorting protein SNF8</t>
  </si>
  <si>
    <t>Zinc finger CCCH-type antiviral protein 1-like</t>
  </si>
  <si>
    <t>PDZ and LIM domain protein 5</t>
  </si>
  <si>
    <t>Cysteine-rich with EGF-like domain protein 1</t>
  </si>
  <si>
    <t>ERO1-like protein alpha</t>
  </si>
  <si>
    <t>UPF0562 protein C7orf55</t>
  </si>
  <si>
    <t>Isoform 2 of UPF0562 protein C7orf55</t>
  </si>
  <si>
    <t>Isoform 2 of SH3 domain-containing YSC84-like protein 1</t>
  </si>
  <si>
    <t>Isoform 2 of Putative adenosylhomocysteinase 3</t>
  </si>
  <si>
    <t>Dedicator of cytokinesis protein 6</t>
  </si>
  <si>
    <t>Isoform 2 of CDKN2AIP N-terminal-like protein</t>
  </si>
  <si>
    <t>Isoform 2 of H/ACA ribonucleoprotein complex non-core subunit NAF1</t>
  </si>
  <si>
    <t>Serine/threonine-protein phosphatase PGAM5, mitochondrial</t>
  </si>
  <si>
    <t>Integrator complex subunit 4</t>
  </si>
  <si>
    <t>DDRGK domain-containing protein 1</t>
  </si>
  <si>
    <t>Probable 2-oxoglutarate dehydrogenase E1 component DHKTD1, mitochondrial</t>
  </si>
  <si>
    <t>Selenocysteine lyase</t>
  </si>
  <si>
    <t>Far upstream element-binding protein 3</t>
  </si>
  <si>
    <t>Splicing factor 45</t>
  </si>
  <si>
    <t>Cytochrome c oxidase assembly protein COX14</t>
  </si>
  <si>
    <t>Williams-Beuren syndrome chromosomal region 16 protein</t>
  </si>
  <si>
    <t>Probable asparagine--tRNA ligase, mitochondrial</t>
  </si>
  <si>
    <t>Succinyl-CoA ligase [GDP-forming] subunit beta, mitochondrial</t>
  </si>
  <si>
    <t>Mannose-1-phosphate guanyltransferase alpha</t>
  </si>
  <si>
    <t>Biorientation of chromosomes in cell division protein 1</t>
  </si>
  <si>
    <t>Zinc finger protein 414</t>
  </si>
  <si>
    <t>Zinc finger protein 845</t>
  </si>
  <si>
    <t>4-hydroxyphenylpyruvate dioxygenase-like protein</t>
  </si>
  <si>
    <t>Alpha/beta hydrolase domain-containing protein 14B</t>
  </si>
  <si>
    <t>Isoform 2 of Peptide-N(4)-(N-acetyl-beta-glucosaminyl)asparagine amidase</t>
  </si>
  <si>
    <t>Up-regulated during skeletal muscle growth protein 5</t>
  </si>
  <si>
    <t>Kinetochore-associated protein NSL1 homolog</t>
  </si>
  <si>
    <t>PRKC apoptosis WT1 regulator protein</t>
  </si>
  <si>
    <t>Isoform 2 of Serine/Arginine-related protein 53</t>
  </si>
  <si>
    <t>THO complex subunit 3</t>
  </si>
  <si>
    <t>Isoform 2 of E3 ubiquitin-protein ligase Itchy homolog</t>
  </si>
  <si>
    <t>Isoform 3 of Serine/threonine-protein kinase WNK4</t>
  </si>
  <si>
    <t>Leucine-rich repeats and immunoglobulin-like domains protein 1</t>
  </si>
  <si>
    <t>Conserved oligomeric Golgi complex subunit 3</t>
  </si>
  <si>
    <t>CDK5 regulatory subunit-associated protein 3</t>
  </si>
  <si>
    <t>Isoform 2 of Vam6/Vps39-like protein</t>
  </si>
  <si>
    <t>ELL-associated factor 1</t>
  </si>
  <si>
    <t>Deubiquitinating protein VCIP135</t>
  </si>
  <si>
    <t>Protein disulfide-isomerase TMX3</t>
  </si>
  <si>
    <t>Mastermind-like protein 3</t>
  </si>
  <si>
    <t>Chromosome alignment-maintaining phosphoprotein 1</t>
  </si>
  <si>
    <t>E3 ubiquitin-protein ligase ZFP91</t>
  </si>
  <si>
    <t>Isoform 2 of E3 ubiquitin-protein ligase RNF170</t>
  </si>
  <si>
    <t>Zinc finger CCCH domain-containing protein 10</t>
  </si>
  <si>
    <t>Isoform 2 of Cleft lip and palate transmembrane protein 1-like protein</t>
  </si>
  <si>
    <t>Lymphokine-activated killer T-cell-originated protein kinase</t>
  </si>
  <si>
    <t>ADP-ribosylation factor-like protein 5B</t>
  </si>
  <si>
    <t>DnaJ homolog subfamily C member 1</t>
  </si>
  <si>
    <t>Protein FAM84B</t>
  </si>
  <si>
    <t>Exocyst complex component 2</t>
  </si>
  <si>
    <t>Cytosolic non-specific dipeptidase</t>
  </si>
  <si>
    <t>Zinc finger RNA-binding protein</t>
  </si>
  <si>
    <t>Leucine-rich repeat protein 1</t>
  </si>
  <si>
    <t>Beta-1,3-galactosyltransferase 6</t>
  </si>
  <si>
    <t>Isoform 4 of E1A-binding protein p400</t>
  </si>
  <si>
    <t>Sorting nexin-27</t>
  </si>
  <si>
    <t>Isoform 5 of Kinesin-like protein KIF16B</t>
  </si>
  <si>
    <t>Alpha-protein kinase 3</t>
  </si>
  <si>
    <t>Protein arginine N-methyltransferase 6</t>
  </si>
  <si>
    <t>Intraflagellar transport protein 74 homolog</t>
  </si>
  <si>
    <t>Tripartite motif-containing protein 47</t>
  </si>
  <si>
    <t>Sentrin-specific protease 8</t>
  </si>
  <si>
    <t>Dehydrogenase/reductase SDR family member 1</t>
  </si>
  <si>
    <t>Ubiquitin-conjugating enzyme E2 E2</t>
  </si>
  <si>
    <t>Protein C9orf72</t>
  </si>
  <si>
    <t>Isoform 2 of Cyclic nucleotide-binding domain-containing protein 2</t>
  </si>
  <si>
    <t>Protein PRRC1</t>
  </si>
  <si>
    <t>Adenylate kinase 7</t>
  </si>
  <si>
    <t>Isoform 4 of F-box/LRR-repeat protein 18</t>
  </si>
  <si>
    <t>Junctional sarcoplasmic reticulum protein 1</t>
  </si>
  <si>
    <t>Melanoma-associated antigen G1</t>
  </si>
  <si>
    <t>Protein HEXIM2</t>
  </si>
  <si>
    <t>Transmembrane protein 68</t>
  </si>
  <si>
    <t>WD repeat-containing protein 92</t>
  </si>
  <si>
    <t>Isoform 2 of AP-4 complex accessory subunit tepsin</t>
  </si>
  <si>
    <t>Tetratricopeptide repeat protein 14</t>
  </si>
  <si>
    <t>Isoform 2 of Lysophospholipid acyltransferase 7</t>
  </si>
  <si>
    <t>Sideroflexin-2</t>
  </si>
  <si>
    <t>Zinc finger protein 830</t>
  </si>
  <si>
    <t>Zinc finger matrin-type protein 2</t>
  </si>
  <si>
    <t>Nucleosome assembly protein 1-like 5</t>
  </si>
  <si>
    <t>Probable imidazolonepropionase</t>
  </si>
  <si>
    <t>Isoform A of Chloride intracellular channel protein 6</t>
  </si>
  <si>
    <t>Isoform 2 of Putative methyltransferase NSUN5</t>
  </si>
  <si>
    <t>Regulation of nuclear pre-mRNA domain-containing protein 1A</t>
  </si>
  <si>
    <t>Arf-GAP with GTPase, ANK repeat and PH domain-containing protein 3</t>
  </si>
  <si>
    <t>Isoform 3 of Arf-GAP with Rho-GAP domain, ANK repeat and PH domain-containing protein 1</t>
  </si>
  <si>
    <t>Importin-9</t>
  </si>
  <si>
    <t>Discoidin, CUB and LCCL domain-containing protein 2</t>
  </si>
  <si>
    <t>Rho guanine nucleotide exchange factor 17</t>
  </si>
  <si>
    <t>Methylmalonyl-CoA epimerase, mitochondrial</t>
  </si>
  <si>
    <t>RNA-binding protein 14</t>
  </si>
  <si>
    <t>RING finger and CHY zinc finger domain-containing protein 1</t>
  </si>
  <si>
    <t>Isoform 8 of E3 ubiquitin-protein ligase NEDD4-like</t>
  </si>
  <si>
    <t>Formin-like protein 2</t>
  </si>
  <si>
    <t>Pseudouridylate synthase 7 homolog</t>
  </si>
  <si>
    <t>Isoform 2 of CCA tRNA nucleotidyltransferase 1, mitochondrial</t>
  </si>
  <si>
    <t>Isoform 2 of Transmembrane protein 237</t>
  </si>
  <si>
    <t>Alpha-ketoglutarate-dependent dioxygenase alkB homolog 3</t>
  </si>
  <si>
    <t>Serine/threonine-protein phosphatase 1 regulatory subunit 10</t>
  </si>
  <si>
    <t>MHC class I polypeptide-related sequence A</t>
  </si>
  <si>
    <t>Sodium-coupled neutral amino acid transporter 2</t>
  </si>
  <si>
    <t>Proton myo-inositol cotransporter</t>
  </si>
  <si>
    <t>Transcription elongation factor, mitochondrial</t>
  </si>
  <si>
    <t>Isoform 1 of Rab-3A-interacting protein</t>
  </si>
  <si>
    <t>Vacuolar protein sorting-associated protein 35</t>
  </si>
  <si>
    <t>Transcriptional activator protein Pur-beta</t>
  </si>
  <si>
    <t>Exportin-6</t>
  </si>
  <si>
    <t>Isoform 6 of Membrane-associated guanylate kinase, WW and PDZ domain-containing protein 1</t>
  </si>
  <si>
    <t>Isoform 2 of Pannexin-1</t>
  </si>
  <si>
    <t>Nucleus accumbens-associated protein 1</t>
  </si>
  <si>
    <t>PAS domain-containing serine/threonine-protein kinase</t>
  </si>
  <si>
    <t>Isoform 4 of Vacuolar protein sorting-associated protein 13A</t>
  </si>
  <si>
    <t>Isoform 3 of Mediator of RNA polymerase II transcription subunit 15</t>
  </si>
  <si>
    <t>Elongation factor G, mitochondrial</t>
  </si>
  <si>
    <t>Endoplasmic reticulum-Golgi intermediate compartment protein 2</t>
  </si>
  <si>
    <t>Isoform 2 of Calcium/calmodulin-dependent protein kinase kinase 2</t>
  </si>
  <si>
    <t>NudC domain-containing protein 1</t>
  </si>
  <si>
    <t>Isoform 4 of Protein LAP2</t>
  </si>
  <si>
    <t>JmjC domain-containing protein 8</t>
  </si>
  <si>
    <t>UPF0585 protein C16orf13</t>
  </si>
  <si>
    <t>TP53-regulating kinase</t>
  </si>
  <si>
    <t>GPI transamidase component PIG-S</t>
  </si>
  <si>
    <t>Isoform 2 of ATPase WRNIP1</t>
  </si>
  <si>
    <t>Ran-binding protein 9</t>
  </si>
  <si>
    <t>Chloride channel CLIC-like protein 1</t>
  </si>
  <si>
    <t>Ubiquitin-like protein 7</t>
  </si>
  <si>
    <t>LysM and putative peptidoglycan-binding domain-containing protein 1</t>
  </si>
  <si>
    <t>Cyclin-L2</t>
  </si>
  <si>
    <t>Pleckstrin homology domain-containing family F member 1</t>
  </si>
  <si>
    <t>SRSF protein kinase 1</t>
  </si>
  <si>
    <t>Structural maintenance of chromosomes protein 6</t>
  </si>
  <si>
    <t>Transcription factor AP-2 alpha (Activating enhancer binding protein 2 alpha), isoform CRA_c</t>
  </si>
  <si>
    <t>BTB/POZ domain-containing protein KCTD15</t>
  </si>
  <si>
    <t>Isoform 2 of Spermatid perinuclear RNA-binding protein</t>
  </si>
  <si>
    <t>Isoform 2 of Transmembrane protein 209</t>
  </si>
  <si>
    <t>Isoform 2 of Disrupted in renal carcinoma protein 2</t>
  </si>
  <si>
    <t>Glutathione peroxidase 7</t>
  </si>
  <si>
    <t>Protein IWS1 homolog</t>
  </si>
  <si>
    <t>Paired amphipathic helix protein Sin3a</t>
  </si>
  <si>
    <t>2-aminoethanethiol dioxygenase</t>
  </si>
  <si>
    <t>Isoform 3 of CDK5 regulatory subunit-associated protein 1</t>
  </si>
  <si>
    <t>MAP7 domain-containing protein 2</t>
  </si>
  <si>
    <t>Isoform 2 of Remodeling and spacing factor 1</t>
  </si>
  <si>
    <t>Zinc finger protein ZIC 5</t>
  </si>
  <si>
    <t>Isoform 2 of Putative RNA-binding protein 15</t>
  </si>
  <si>
    <t>RUN and FYVE domain-containing protein 1</t>
  </si>
  <si>
    <t>Msx2-interacting protein</t>
  </si>
  <si>
    <t>Bifunctional polynucleotide phosphatase/kinase</t>
  </si>
  <si>
    <t>Nicotinamide mononucleotide adenylyltransferase 3</t>
  </si>
  <si>
    <t>MMS19 nucleotide excision repair protein homolog</t>
  </si>
  <si>
    <t>E3 ubiquitin-protein ligase UHRF1</t>
  </si>
  <si>
    <t>Isoform 2 of Niban-like protein 1</t>
  </si>
  <si>
    <t>Isoform 3 of ATP-dependent zinc metalloprotease YME1L1</t>
  </si>
  <si>
    <t>Transcription factor 12</t>
  </si>
  <si>
    <t>C-Myc-binding protein</t>
  </si>
  <si>
    <t>Tubulin-folding cofactor B</t>
  </si>
  <si>
    <t>Proteasome subunit beta type-7</t>
  </si>
  <si>
    <t>Ethanolamine-phosphate cytidylyltransferase</t>
  </si>
  <si>
    <t>Cell division cycle 5-like protein</t>
  </si>
  <si>
    <t>26S proteasome non-ATPase regulatory subunit 1</t>
  </si>
  <si>
    <t>Stromal cell-derived factor 2</t>
  </si>
  <si>
    <t>Prefoldin subunit 5</t>
  </si>
  <si>
    <t>Platelet-activating factor acetylhydrolase 2, cytoplasmic</t>
  </si>
  <si>
    <t>E3 ubiquitin-protein ligase RING2</t>
  </si>
  <si>
    <t>Protein DJ-1</t>
  </si>
  <si>
    <t>Isoform 2 of Eyes absent homolog 3</t>
  </si>
  <si>
    <t>Sialidase-1</t>
  </si>
  <si>
    <t>Sortilin</t>
  </si>
  <si>
    <t>Synaptic vesicle membrane protein VAT-1 homolog</t>
  </si>
  <si>
    <t>Legumain</t>
  </si>
  <si>
    <t>Perilipin-2</t>
  </si>
  <si>
    <t>DnaJ homolog subfamily C member 2</t>
  </si>
  <si>
    <t>M-phase phosphoprotein 8</t>
  </si>
  <si>
    <t>Nuclear pore complex protein Nup88</t>
  </si>
  <si>
    <t>Isoform 2 of Plakophilin-4</t>
  </si>
  <si>
    <t>Phosphoinositide 3-kinase regulatory subunit 4</t>
  </si>
  <si>
    <t>Neuroserpin</t>
  </si>
  <si>
    <t>Ribonucleases P/MRP protein subunit POP1</t>
  </si>
  <si>
    <t>Max-binding protein MNT</t>
  </si>
  <si>
    <t>Protein S100-A13</t>
  </si>
  <si>
    <t>Zinc finger and BTB domain-containing protein 18</t>
  </si>
  <si>
    <t>Mitochondrial import inner membrane translocase subunit Tim17-A</t>
  </si>
  <si>
    <t>Translin-associated protein X</t>
  </si>
  <si>
    <t>Selenide, water dikinase 2</t>
  </si>
  <si>
    <t>Tetratricopeptide repeat protein 1</t>
  </si>
  <si>
    <t>DnaJ homolog subfamily C member 7</t>
  </si>
  <si>
    <t>Cell division cycle-associated protein 3</t>
  </si>
  <si>
    <t>Protein C10</t>
  </si>
  <si>
    <t>Prohibitin-2</t>
  </si>
  <si>
    <t>COP9 signalosome complex subunit 8</t>
  </si>
  <si>
    <t>Pre-mRNA-splicing factor 18</t>
  </si>
  <si>
    <t>Cell cycle checkpoint control protein RAD9A</t>
  </si>
  <si>
    <t>Calcineurin B homologous protein 1</t>
  </si>
  <si>
    <t>Kinesin-like protein KIF2C</t>
  </si>
  <si>
    <t>Cell growth regulator with EF hand domain protein 1</t>
  </si>
  <si>
    <t>Isoform 4 of Ataxin-2</t>
  </si>
  <si>
    <t>Docking protein 1</t>
  </si>
  <si>
    <t>Methionine synthase</t>
  </si>
  <si>
    <t>3-hydroxyacyl-CoA dehydrogenase type-2</t>
  </si>
  <si>
    <t>Sigma non-opioid intracellular receptor 1</t>
  </si>
  <si>
    <t>Isoform 3 of Heterogeneous nuclear ribonucleoprotein A/B</t>
  </si>
  <si>
    <t>Nucleosome assembly protein 1-like 4</t>
  </si>
  <si>
    <t>Isoform 2 of Microsomal glutathione S-transferase 2</t>
  </si>
  <si>
    <t>Gamma-soluble NSF attachment protein</t>
  </si>
  <si>
    <t>Thioredoxin, mitochondrial</t>
  </si>
  <si>
    <t>ATP synthase subunit s, mitochondrial</t>
  </si>
  <si>
    <t>Mitochondrial intermediate peptidase</t>
  </si>
  <si>
    <t>Transmembrane 9 superfamily member 2</t>
  </si>
  <si>
    <t>Equilibrative nucleoside transporter 1</t>
  </si>
  <si>
    <t>Tumor susceptibility gene 101 protein</t>
  </si>
  <si>
    <t>Calcium and integrin-binding protein 1</t>
  </si>
  <si>
    <t>Copine-1</t>
  </si>
  <si>
    <t>T-complex protein 1 subunit eta</t>
  </si>
  <si>
    <t>AT-rich interactive domain-containing protein 3A</t>
  </si>
  <si>
    <t>Histone H2A type 1-J</t>
  </si>
  <si>
    <t>Isoform 1 of Plakophilin-2</t>
  </si>
  <si>
    <t>Endophilin-A2</t>
  </si>
  <si>
    <t>Serine/threonine-protein kinase VRK1</t>
  </si>
  <si>
    <t>Growth/differentiation factor 15</t>
  </si>
  <si>
    <t>Isoform 5 of A-kinase anchor protein 9</t>
  </si>
  <si>
    <t>Protein NipSnap homolog 1</t>
  </si>
  <si>
    <t>Condensin complex subunit 3</t>
  </si>
  <si>
    <t>Actin-related protein 2/3 complex subunit 5-like protein</t>
  </si>
  <si>
    <t>BTB/POZ domain-containing protein KCTD14</t>
  </si>
  <si>
    <t>Zinc finger FYVE domain-containing protein 21</t>
  </si>
  <si>
    <t>ATP-dependent RNA helicase DDX50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</si>
  <si>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</si>
  <si>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</si>
  <si>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</si>
  <si>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</si>
  <si>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Transcription factor 25</t>
  </si>
  <si>
    <t>Kelch domain-containing protein 3</t>
  </si>
  <si>
    <t>Evolutionarily conserved signaling intermediate in Toll pathway, mitochondrial</t>
  </si>
  <si>
    <t>Methylosome protein 50</t>
  </si>
  <si>
    <t>Diphthamide biosynthesis protein 2</t>
  </si>
  <si>
    <t>Myb-binding protein 1A</t>
  </si>
  <si>
    <t>Fermitin family homolog 1</t>
  </si>
  <si>
    <t>Mitochondrial genome maintenance exonuclease 1</t>
  </si>
  <si>
    <t>Golgi reassembly-stacking protein 1</t>
  </si>
  <si>
    <t>FYVE and coiled-coil domain-containing protein 1</t>
  </si>
  <si>
    <t>Isoform 2 of Mitochondrial 2-oxodicarboxylate carrier</t>
  </si>
  <si>
    <t>Calsyntenin-3</t>
  </si>
  <si>
    <t>Acyl-CoA-binding domain-containing protein 6</t>
  </si>
  <si>
    <t>Coronin-1B</t>
  </si>
  <si>
    <t>Isoform 2 of LSM domain-containing protein 1</t>
  </si>
  <si>
    <t>Thioredoxin domain-containing protein 17</t>
  </si>
  <si>
    <t>BUD13 homolog</t>
  </si>
  <si>
    <t>Calcineurin-like phosphoesterase domain-containing protein 1</t>
  </si>
  <si>
    <t>Vacuolar protein-sorting-associated protein 25</t>
  </si>
  <si>
    <t>39S ribosomal protein L45, mitochondrial</t>
  </si>
  <si>
    <t>45 kDa calcium-binding protein</t>
  </si>
  <si>
    <t>Programmed cell death protein 2-like</t>
  </si>
  <si>
    <t>Proteasomal ATPase-associated factor 1</t>
  </si>
  <si>
    <t>Isoform 2 of Partner of Y14 and mago</t>
  </si>
  <si>
    <t>Apoptosis-inducing factor 2</t>
  </si>
  <si>
    <t>Isoform 2 of Zinc finger protein with KRAB and SCAN domains 3</t>
  </si>
  <si>
    <t>Isoform 2 of ADP-dependent glucokinase</t>
  </si>
  <si>
    <t>G patch domain-containing protein 1</t>
  </si>
  <si>
    <t>Serine/threonine-protein kinase RIO1</t>
  </si>
  <si>
    <t>Mitochondrial nucleoid factor 1</t>
  </si>
  <si>
    <t>Migration and invasion enhancer 1</t>
  </si>
  <si>
    <t>Isoform 3 of COBW domain-containing protein 1</t>
  </si>
  <si>
    <t>DNA replication complex GINS protein SLD5</t>
  </si>
  <si>
    <t>Suppressor of IKBKE 1</t>
  </si>
  <si>
    <t>Protein pelota homolog</t>
  </si>
  <si>
    <t>DNA replication complex GINS protein PSF3</t>
  </si>
  <si>
    <t>Isoform 2 of Redox-regulatory protein FAM213A</t>
  </si>
  <si>
    <t>Anaphase-promoting complex subunit 13</t>
  </si>
  <si>
    <t>Endoplasmic reticulum resident protein 44</t>
  </si>
  <si>
    <t>Autophagy-related protein 101</t>
  </si>
  <si>
    <t>Cancer-related nucleoside-triphosphatase</t>
  </si>
  <si>
    <t>Agmatinase, mitochondrial</t>
  </si>
  <si>
    <t>Uncharacterized protein C19orf52</t>
  </si>
  <si>
    <t>Translational activator of cytochrome c oxidase 1</t>
  </si>
  <si>
    <t>Haloacid dehalogenase-like hydrolase domain-containing protein 3</t>
  </si>
  <si>
    <t>Gamma-tubulin complex component 2</t>
  </si>
  <si>
    <t>Isoform 3 of Uncharacterized protein C17orf80</t>
  </si>
  <si>
    <t>Protein FAM64A</t>
  </si>
  <si>
    <t>Extended synaptotagmin-1</t>
  </si>
  <si>
    <t>Solute carrier family 25 member 33</t>
  </si>
  <si>
    <t>Ubiquitin-associated domain-containing protein 1</t>
  </si>
  <si>
    <t>Protein YIPF4</t>
  </si>
  <si>
    <t>Rhotekin</t>
  </si>
  <si>
    <t>tRNA-splicing endonuclease subunit Sen34</t>
  </si>
  <si>
    <t>Isoform 2 of EF-hand calcium-binding domain-containing protein 4B</t>
  </si>
  <si>
    <t>Coiled-coil-helix-coiled-coil-helix domain-containing protein 5</t>
  </si>
  <si>
    <t>Protein canopy homolog 3</t>
  </si>
  <si>
    <t>Mitochondrial GTPase 1</t>
  </si>
  <si>
    <t>Chitobiosyldiphosphodolichol beta-mannosyltransferase</t>
  </si>
  <si>
    <t>LIM domain-containing protein 2</t>
  </si>
  <si>
    <t>Alpha-ketoglutarate-dependent dioxygenase alkB homolog 7</t>
  </si>
  <si>
    <t>Proteasome assembly chaperone 3</t>
  </si>
  <si>
    <t>COP9 signalosome complex subunit 4</t>
  </si>
  <si>
    <t>WW domain-containing adapter protein with coiled-coil</t>
  </si>
  <si>
    <t>Death-inducer obliterator 1</t>
  </si>
  <si>
    <t>Isoform 2 of Mini-chromosome maintenance complex-binding protein</t>
  </si>
  <si>
    <t>Alanyl-tRNA editing protein Aarsd1</t>
  </si>
  <si>
    <t>DCN1-like protein 5</t>
  </si>
  <si>
    <t>Isoform 2 of THUMP domain-containing protein 2</t>
  </si>
  <si>
    <t>RNMT-activating mini protein</t>
  </si>
  <si>
    <t>Acidic leucine-rich nuclear phosphoprotein 32 family member E</t>
  </si>
  <si>
    <t>Mediator of RNA polymerase II transcription subunit 10</t>
  </si>
  <si>
    <t>Leucine-rich repeat-containing protein 1</t>
  </si>
  <si>
    <t>Phosphatidylinositol 4-kinase type 2-alpha</t>
  </si>
  <si>
    <t>Transmembrane protein 43</t>
  </si>
  <si>
    <t>WD repeat-containing protein 85</t>
  </si>
  <si>
    <t>Alpha-tocopherol transfer protein-like</t>
  </si>
  <si>
    <t>Plasma alpha-L-fucosidase</t>
  </si>
  <si>
    <t>Protein FAM203A</t>
  </si>
  <si>
    <t>Dehydrogenase/reductase SDR family member 4</t>
  </si>
  <si>
    <t>Thiamine-triphosphatase</t>
  </si>
  <si>
    <t>Isoform 3 of Lipase maturation factor 2</t>
  </si>
  <si>
    <t>NADH dehydrogenase [ubiquinone] 1 alpha subcomplex assembly factor 3</t>
  </si>
  <si>
    <t>Isoform 4 of Multiple myeloma tumor-associated protein 2</t>
  </si>
  <si>
    <t>Deoxyhypusine hydroxylase</t>
  </si>
  <si>
    <t>Uncharacterized protein C11orf84</t>
  </si>
  <si>
    <t>Isoform 2 of MAP kinase-interacting serine/threonine-protein kinase 1</t>
  </si>
  <si>
    <t>Isoform 2 of Transmembrane protein 70, mitochondrial</t>
  </si>
  <si>
    <t>Mediator of RNA polymerase II transcription subunit 18</t>
  </si>
  <si>
    <t>Iron-sulfur cluster assembly 1 homolog, mitochondrial</t>
  </si>
  <si>
    <t>Tubulin beta-6 chain</t>
  </si>
  <si>
    <t>Uncharacterized protein C9orf142</t>
  </si>
  <si>
    <t>DNA-directed RNA polymerase III subunit RPC3</t>
  </si>
  <si>
    <t>Isoform 2 of Heterogeneous nuclear ribonucleoprotein U-like protein 1</t>
  </si>
  <si>
    <t>Isoform 2 of Protein misato homolog 1</t>
  </si>
  <si>
    <t>Ribonuclease P protein subunit p25</t>
  </si>
  <si>
    <t>Coiled-coil domain-containing protein 28B</t>
  </si>
  <si>
    <t>Isoform 3 of Oxidoreductase HTATIP2</t>
  </si>
  <si>
    <t>Probable ATP-dependent RNA helicase DDX23</t>
  </si>
  <si>
    <t>Telomerase Cajal body protein 1</t>
  </si>
  <si>
    <t>Protein FAM195A</t>
  </si>
  <si>
    <t>UPF0184 protein C9orf16</t>
  </si>
  <si>
    <t>Isoform 2 of TNF receptor-associated factor 4</t>
  </si>
  <si>
    <t>Dol-P-Man:Man(7)GlcNAc(2)-PP-Dol alpha-1,6-mannosyltransferase</t>
  </si>
  <si>
    <t>Uncharacterized protein C1orf50</t>
  </si>
  <si>
    <t>Methylthioribose-1-phosphate isomerase</t>
  </si>
  <si>
    <t>Monoacylglycerol lipase ABHD6</t>
  </si>
  <si>
    <t>WD repeat-containing protein 18</t>
  </si>
  <si>
    <t>Vesicle-associated membrane protein 8</t>
  </si>
  <si>
    <t>THUMP domain-containing protein 3</t>
  </si>
  <si>
    <t>1,2-dihydroxy-3-keto-5-methylthiopentene dioxygenase</t>
  </si>
  <si>
    <t>Isoform 2 of RING finger protein 126</t>
  </si>
  <si>
    <t>Trans-2-enoyl-CoA reductase, mitochondrial</t>
  </si>
  <si>
    <t>ER membrane protein complex subunit 6</t>
  </si>
  <si>
    <t>N-terminal Xaa-Pro-Lys N-methyltransferase 1</t>
  </si>
  <si>
    <t>Katanin p80 WD40 repeat-containing subunit B1</t>
  </si>
  <si>
    <t>Tubulin beta-2B chain</t>
  </si>
  <si>
    <t>Target of rapamycin complex subunit LST8</t>
  </si>
  <si>
    <t>Transmembrane protein 109</t>
  </si>
  <si>
    <t>Protein PBDC1</t>
  </si>
  <si>
    <t>Phosphatidylserine synthase 2</t>
  </si>
  <si>
    <t>Nucleolar complex protein 4 homolog</t>
  </si>
  <si>
    <t>Isoform 3 of U3 small nucleolar RNA-associated protein 14 homolog A</t>
  </si>
  <si>
    <t>Dual specificity protein phosphatase 23</t>
  </si>
  <si>
    <t>Transmembrane emp24 domain-containing protein 9</t>
  </si>
  <si>
    <t>Selenoprotein O</t>
  </si>
  <si>
    <t>Gamma-glutamylaminecyclotransferase</t>
  </si>
  <si>
    <t>Isoform 2 of Guanine nucleotide-binding protein-like 3</t>
  </si>
  <si>
    <t>Spermatogenesis-associated protein 5-like protein 1</t>
  </si>
  <si>
    <t>tRNA (adenine(58)-N(1))-methyltransferase, mitochondrial</t>
  </si>
  <si>
    <t>Mitochondrial import inner membrane translocase subunit Tim21</t>
  </si>
  <si>
    <t>TIMELESS-interacting protein</t>
  </si>
  <si>
    <t>Specifically androgen-regulated gene protein</t>
  </si>
  <si>
    <t>Kinesin-like protein KIFC1</t>
  </si>
  <si>
    <t>Nuclear pore complex protein Nup85</t>
  </si>
  <si>
    <t>Tubulin polymerization-promoting protein family member 3</t>
  </si>
  <si>
    <t>Elongation of very long chain fatty acids protein 1</t>
  </si>
  <si>
    <t>DET1- and DDB1-associated protein 1</t>
  </si>
  <si>
    <t>HIRA-interacting protein 3</t>
  </si>
  <si>
    <t>Intraflagellar transport protein 27 homolog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</si>
  <si>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</si>
  <si>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</si>
  <si>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</si>
  <si>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</si>
  <si>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</si>
  <si>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RNA-binding protein 4</t>
  </si>
  <si>
    <t>FUN14 domain-containing protein 2</t>
  </si>
  <si>
    <t>RNA polymerase II-associated protein 1</t>
  </si>
  <si>
    <t>Splicing factor 3B subunit 5</t>
  </si>
  <si>
    <t>Sideroflexin-3</t>
  </si>
  <si>
    <t>Poly(A) polymerase gamma</t>
  </si>
  <si>
    <t>Kanadaptin</t>
  </si>
  <si>
    <t>Protein LSM14 homolog B</t>
  </si>
  <si>
    <t>Isoform 9 of Sorbin and SH3 domain-containing protein 1</t>
  </si>
  <si>
    <t>Histidine triad nucleotide-binding protein 2, mitochondrial</t>
  </si>
  <si>
    <t>Sphingosine-1-phosphate phosphatase 1</t>
  </si>
  <si>
    <t>Isoform 2 of Bcl-2-binding component 3</t>
  </si>
  <si>
    <t>N-alpha-acetyltransferase 15, NatA auxiliary subunit</t>
  </si>
  <si>
    <t>Krueppel-like factor 16</t>
  </si>
  <si>
    <t>Bcl-2-like protein 13</t>
  </si>
  <si>
    <t>Solute carrier family 12 member 9</t>
  </si>
  <si>
    <t>Isoform 4 of Serrate RNA effector molecule homolog</t>
  </si>
  <si>
    <t>Queuine tRNA-ribosyltransferase</t>
  </si>
  <si>
    <t>Transmembrane protein 59</t>
  </si>
  <si>
    <t>Isoform 2 of Nucleolar and spindle-associated protein 1</t>
  </si>
  <si>
    <t>Uncharacterized protein C14orf142</t>
  </si>
  <si>
    <t>Oxysterol-binding protein-related protein 1</t>
  </si>
  <si>
    <t>Isoform 1 of Cat eye syndrome critical region protein 5</t>
  </si>
  <si>
    <t>Isoform 3 of Fanconi anemia group D2 protein</t>
  </si>
  <si>
    <t>Inosine triphosphate pyrophosphatase</t>
  </si>
  <si>
    <t>Histone deacetylase 8</t>
  </si>
  <si>
    <t>Charged multivesicular body protein 4a</t>
  </si>
  <si>
    <t>Eukaryotic translation initiation factor 2A</t>
  </si>
  <si>
    <t>Polymerase delta-interacting protein 3</t>
  </si>
  <si>
    <t>Uncharacterized protein KIAA1671</t>
  </si>
  <si>
    <t>Guanine nucleotide-binding protein subunit beta-like protein 1</t>
  </si>
  <si>
    <t>39S ribosomal protein L32, mitochondrial</t>
  </si>
  <si>
    <t>39S ribosomal protein L1, mitochondrial</t>
  </si>
  <si>
    <t>Isoform 2 of RanBP-type and C3HC4-type zinc finger-containing protein 1</t>
  </si>
  <si>
    <t>Sulfiredoxin-1</t>
  </si>
  <si>
    <t>28S ribosomal protein S26, mitochondrial</t>
  </si>
  <si>
    <t>Neurolysin, mitochondrial</t>
  </si>
  <si>
    <t>Histone-lysine N-methyltransferase SETD2</t>
  </si>
  <si>
    <t>Isoform 2 of Pantothenate kinase 2, mitochondrial</t>
  </si>
  <si>
    <t>Isoform 3 of Dedicator of cytokinesis protein 9</t>
  </si>
  <si>
    <t>Isoform 2 of FERM domain-containing protein 8</t>
  </si>
  <si>
    <t>Isoform 4 of Histone-lysine N-methyltransferase NSD3</t>
  </si>
  <si>
    <t>tRNA pseudouridine(38/39) synthase</t>
  </si>
  <si>
    <t>Tether containing UBX domain for GLUT4</t>
  </si>
  <si>
    <t>Isoform 3 of Oxysterol-binding protein-related protein 8</t>
  </si>
  <si>
    <t>WD repeat-containing protein 11</t>
  </si>
  <si>
    <t>Isoform 2 of Regulator of nonsense transcripts 3B</t>
  </si>
  <si>
    <t>F-box-like/WD repeat-containing protein TBL1XR1</t>
  </si>
  <si>
    <t>Ubiquitin-like protein 5</t>
  </si>
  <si>
    <t>Group XIIA secretory phospholipase A2</t>
  </si>
  <si>
    <t>NKG2D ligand 3</t>
  </si>
  <si>
    <t>NKG2D ligand 2</t>
  </si>
  <si>
    <t>Uridine-cytidine kinase 2</t>
  </si>
  <si>
    <t>Apoptosis inhibitor 5</t>
  </si>
  <si>
    <t>Isoform 2 of Apoptosis inhibitor 5</t>
  </si>
  <si>
    <t>Protein sprouty homolog 4</t>
  </si>
  <si>
    <t>Protein dpy-30 homolog</t>
  </si>
  <si>
    <t>Isoform Beta of Tripartite motif-containing protein 4</t>
  </si>
  <si>
    <t>Tripartite motif-containing protein 2</t>
  </si>
  <si>
    <t>RING finger protein unkempt homolog</t>
  </si>
  <si>
    <t>Alpha-ketoglutarate-dependent dioxygenase FTO</t>
  </si>
  <si>
    <t>Isoform 2 of Palmitoyltransferase ZDHHC5</t>
  </si>
  <si>
    <t>Transport and Golgi organization 6 homolog</t>
  </si>
  <si>
    <t>182 kDa tankyrase-1-binding protein</t>
  </si>
  <si>
    <t>Isoform 6 of Activating molecule in BECN1-regulated autophagy protein 1</t>
  </si>
  <si>
    <t>Ubiquitin-conjugating enzyme E2 O</t>
  </si>
  <si>
    <t>Protein zyg-11 homolog B</t>
  </si>
  <si>
    <t>Isoform 2 of Protein TANC1</t>
  </si>
  <si>
    <t>Centrosomal protein of 44 kDa</t>
  </si>
  <si>
    <t>Isoform 2 of Protein tweety homolog 3</t>
  </si>
  <si>
    <t>Myotubularin-related protein 12</t>
  </si>
  <si>
    <t>pre-mRNA 3 end processing protein WDR33</t>
  </si>
  <si>
    <t>Isoform 2 of Zinc transporter ZIP8</t>
  </si>
  <si>
    <t>Ribosome biogenesis protein WDR12</t>
  </si>
  <si>
    <t>UPF0687 protein C20orf27</t>
  </si>
  <si>
    <t>Neurensin-2</t>
  </si>
  <si>
    <t>PITH domain-containing protein 1</t>
  </si>
  <si>
    <t>Derlin-2</t>
  </si>
  <si>
    <t>COMM domain-containing protein 5</t>
  </si>
  <si>
    <t>RNA exonuclease 4</t>
  </si>
  <si>
    <t>Isoform 2 of DNA-directed RNA polymerase I subunit RPA49</t>
  </si>
  <si>
    <t>WD repeat-containing protein 61</t>
  </si>
  <si>
    <t>SRA stem-loop-interacting RNA-binding protein, mitochondrial</t>
  </si>
  <si>
    <t>Protein Wnt-10a</t>
  </si>
  <si>
    <t>Isoform 2 of Coiled-coil domain-containing protein 90B, mitochondrial</t>
  </si>
  <si>
    <t>Isoform 2 of NIF3-like protein 1</t>
  </si>
  <si>
    <t>Egl nine homolog 1</t>
  </si>
  <si>
    <t>Protein FAM192A</t>
  </si>
  <si>
    <t>Twisted gastrulation protein homolog 1</t>
  </si>
  <si>
    <t>Isoform 2 of Mitochondrial fission factor</t>
  </si>
  <si>
    <t>Ubiquitin-like modifier-activating enzyme 5</t>
  </si>
  <si>
    <t>Phospholysine phosphohistidine inorganic pyrophosphate phosphatase</t>
  </si>
  <si>
    <t>Isoform 3 of Mitochondrial fission regulator 1-like</t>
  </si>
  <si>
    <t>Transmembrane protein 126A</t>
  </si>
  <si>
    <t>Polyadenylate-binding protein-interacting protein 1</t>
  </si>
  <si>
    <t>Isoform 2 of Caseinolytic peptidase B protein homolog</t>
  </si>
  <si>
    <t>Ras-related protein Rab-33B</t>
  </si>
  <si>
    <t>Large subunit GTPase 1 homolog</t>
  </si>
  <si>
    <t>Kinesin light chain 2</t>
  </si>
  <si>
    <t>Integrin-linked kinase-associated serine/threonine phosphatase 2C</t>
  </si>
  <si>
    <t>5-3 exoribonuclease 2</t>
  </si>
  <si>
    <t>Toll-interacting protein</t>
  </si>
  <si>
    <t>Isoform 2 of Bromodomain-containing protein 8</t>
  </si>
  <si>
    <t>ADP-ribosylation factor-like protein 6</t>
  </si>
  <si>
    <t>Nuclear speckle splicing regulatory protein 1</t>
  </si>
  <si>
    <t>Rac GTPase-activating protein 1</t>
  </si>
  <si>
    <t>Poly [ADP-ribose] polymerase 12</t>
  </si>
  <si>
    <t>Serine/threonine-protein kinase SIK2</t>
  </si>
  <si>
    <t>Pseudouridylate synthase 7 homolog-like protein</t>
  </si>
  <si>
    <t>Cleavage stimulation factor subunit 2 tau variant</t>
  </si>
  <si>
    <t>Isoform 1 of Cytosolic 5-nucleotidase 3A</t>
  </si>
  <si>
    <t>Haloacid dehalogenase-like hydrolase domain-containing protein 2</t>
  </si>
  <si>
    <t>Glutamyl-tRNA(Gln) amidotransferase subunit A, mitochondrial</t>
  </si>
  <si>
    <t>Isoform 2 of Probable ATP-dependent RNA helicase DDX47</t>
  </si>
  <si>
    <t>Magnesium transporter protein 1</t>
  </si>
  <si>
    <t>Ras-related protein Rab-1B</t>
  </si>
  <si>
    <t>39S ribosomal protein L18, mitochondrial</t>
  </si>
  <si>
    <t>Testis-specific Y-encoded-like protein 1</t>
  </si>
  <si>
    <t>VIP36-like protein</t>
  </si>
  <si>
    <t>Isoform 2 of Protein SMG9</t>
  </si>
  <si>
    <t>Ester hydrolase C11orf54</t>
  </si>
  <si>
    <t>Protein ITFG3</t>
  </si>
  <si>
    <t>Beta-soluble NSF attachment protein</t>
  </si>
  <si>
    <t>Nucleotide exchange factor SIL1</t>
  </si>
  <si>
    <t>Interferon regulatory factor 2-binding protein-like</t>
  </si>
  <si>
    <t>Protein unc-93 homolog B1</t>
  </si>
  <si>
    <t>DNA-directed RNA polymerase III subunit RPC6</t>
  </si>
  <si>
    <t>Nuclear ubiquitous casein and cyclin-dependent kinase substrate 1</t>
  </si>
  <si>
    <t>Isoform 3 of Activating signal cointegrator 1 complex subunit 2</t>
  </si>
  <si>
    <t>Regulator of nonsense transcripts 3A</t>
  </si>
  <si>
    <t>Rabenosyn-5</t>
  </si>
  <si>
    <t>Iron-sulfur cluster assembly enzyme ISCU, mitochondrial</t>
  </si>
  <si>
    <t>Mesoderm development candidate 1</t>
  </si>
  <si>
    <t>Isoform 2 of Oxysterol-binding protein-related protein 2</t>
  </si>
  <si>
    <t>Isoform 3 of DnaJ homolog subfamily C member 25</t>
  </si>
  <si>
    <t>Autophagy protein 5</t>
  </si>
  <si>
    <t>WD repeat-containing protein 13</t>
  </si>
  <si>
    <t>Mediator of RNA polymerase II transcription subunit 28</t>
  </si>
  <si>
    <t>EH domain-containing protein 4</t>
  </si>
  <si>
    <t>Vacuolar protein sorting-associated protein 33B</t>
  </si>
  <si>
    <t>Vacuolar protein sorting-associated protein 16 homolog</t>
  </si>
  <si>
    <t>Vacuolar protein sorting-associated protein 11 homolog</t>
  </si>
  <si>
    <t>Gigaxonin</t>
  </si>
  <si>
    <t>Mitochondrial folate transporter/carrier</t>
  </si>
  <si>
    <t>Isoform 1 of TRIO and F-actin-binding protein</t>
  </si>
  <si>
    <t>STE20-like serine/threonine-protein kinase</t>
  </si>
  <si>
    <t>Peptidyl-prolyl cis-trans isomerase-like 3</t>
  </si>
  <si>
    <t>Phosducin-like protein 3</t>
  </si>
  <si>
    <t>Translation initiation factor IF-3, mitochondrial</t>
  </si>
  <si>
    <t>Serine/threonine-protein kinase TAO3</t>
  </si>
  <si>
    <t>Rab3 GTPase-activating protein non-catalytic subunit</t>
  </si>
  <si>
    <t>Activity-dependent neuroprotector homeobox protein</t>
  </si>
  <si>
    <t>Diphthine synthase</t>
  </si>
  <si>
    <t>Inorganic pyrophosphatase 2, mitochondrial</t>
  </si>
  <si>
    <t>39S ribosomal protein L46, mitochondrial</t>
  </si>
  <si>
    <t>Zinc finger protein 106</t>
  </si>
  <si>
    <t>Presenilins-associated rhomboid-like protein, mitochondrial</t>
  </si>
  <si>
    <t>Pinin</t>
  </si>
  <si>
    <t>Isoform 2 of Transmembrane protein 245</t>
  </si>
  <si>
    <t>Gametogenetin-binding protein 2</t>
  </si>
  <si>
    <t>BTB/POZ domain-containing adapter for CUL3-mediated RhoA degradation protein 3</t>
  </si>
  <si>
    <t>Isoform 4 of tRNA dimethylallyltransferase, mitochondrial</t>
  </si>
  <si>
    <t>UPF0696 protein C11orf68</t>
  </si>
  <si>
    <t>Isoform 2 of UDP-N-acetylglucosamine--dolichyl-phosphate N-acetylglucosaminephosphotransferase</t>
  </si>
  <si>
    <t>Probable peptide chain release factor C12orf65, mitochondrial</t>
  </si>
  <si>
    <t>BolA-like protein 2</t>
  </si>
  <si>
    <t>Thioredoxin-related transmembrane protein 1</t>
  </si>
  <si>
    <t>Negative elongation factor A</t>
  </si>
  <si>
    <t>Golgi resident protein GCP60</t>
  </si>
  <si>
    <t>Cdc42 effector protein 4</t>
  </si>
  <si>
    <t>Isoform 4 of Lysine-specific demethylase 4C</t>
  </si>
  <si>
    <t>Mucin-13</t>
  </si>
  <si>
    <t>Tyrosine-protein phosphatase non-receptor type 23</t>
  </si>
  <si>
    <t>Protein unc-45 homolog A</t>
  </si>
  <si>
    <t>Isoform 4 of Major facilitator superfamily domain-containing protein 1</t>
  </si>
  <si>
    <t>Pancreatic progenitor cell differentiation and proliferation factor</t>
  </si>
  <si>
    <t>Isoform 2 of DnaJ homolog subfamily C member 5</t>
  </si>
  <si>
    <t>Kinetochore-associated protein DSN1 homolog</t>
  </si>
  <si>
    <t>Uncharacterized protein C1orf198</t>
  </si>
  <si>
    <t>Charged multivesicular body protein 4b</t>
  </si>
  <si>
    <t>CUE domain-containing protein 2</t>
  </si>
  <si>
    <t>Fructosamine-3-kinase</t>
  </si>
  <si>
    <t>GDP-fucose protein O-fucosyltransferase 1</t>
  </si>
  <si>
    <t>Isoform 2 of Phosphatidylinositol glycan anchor biosynthesis class U protein</t>
  </si>
  <si>
    <t>15 kDa interferon-responsive protein</t>
  </si>
  <si>
    <t>Isoform 2 of Torsin-3A</t>
  </si>
  <si>
    <t>Aminopeptidase B</t>
  </si>
  <si>
    <t>Golgi phosphoprotein 3-like</t>
  </si>
  <si>
    <t>Golgi phosphoprotein 3</t>
  </si>
  <si>
    <t>Probable tRNA threonylcarbamoyladenosine biosynthesis protein OSGEPL1</t>
  </si>
  <si>
    <t>Zinc fingers and homeoboxes protein 3</t>
  </si>
  <si>
    <t>GTP-binding protein 5</t>
  </si>
  <si>
    <t>Isoform 1b of Oxysterol-binding protein-related protein 3</t>
  </si>
  <si>
    <t>Isoform 2 of SWI/SNF-related matrix-associated actin-dependent regulator of chromatin subfamily A containing DEAD/H box 1</t>
  </si>
  <si>
    <t>EH domain-containing protein 1</t>
  </si>
  <si>
    <t>Isoform 2 of E3 ubiquitin-protein ligase NRDP1</t>
  </si>
  <si>
    <t>Phosphorylated CTD-interacting factor 1</t>
  </si>
  <si>
    <t>ESF1 homolog</t>
  </si>
  <si>
    <t>Alpha-1,3/1,6-mannosyltransferase ALG2</t>
  </si>
  <si>
    <t>HEAT repeat-containing protein 1</t>
  </si>
  <si>
    <t>Probable inactive protein kinase-like protein SgK196</t>
  </si>
  <si>
    <t>Rab GTPase-binding effector protein 2</t>
  </si>
  <si>
    <t>Dimethyladenosine transferase 2, mitochondrial</t>
  </si>
  <si>
    <t>CUB domain-containing protein 1</t>
  </si>
  <si>
    <t>UPF0428 protein CXorf56</t>
  </si>
  <si>
    <t>MIP18 family protein FAM96A</t>
  </si>
  <si>
    <t>Putative methyltransferase NSUN3</t>
  </si>
  <si>
    <t>Isoform 2 of Pecanex-like protein 3</t>
  </si>
  <si>
    <t>Coiled-coil domain-containing protein 134</t>
  </si>
  <si>
    <t>Coiled-coil domain-containing protein 86</t>
  </si>
  <si>
    <t>Receptor expression-enhancing protein 4</t>
  </si>
  <si>
    <t>Optic atrophy 3 protein</t>
  </si>
  <si>
    <t>Armadillo repeat-containing protein 7</t>
  </si>
  <si>
    <t>Protein FAM134B</t>
  </si>
  <si>
    <t>Threonine aspartase 1</t>
  </si>
  <si>
    <t>Cytosolic Fe-S cluster assembly factor NARFL</t>
  </si>
  <si>
    <t>Putative ATP-dependent RNA helicase DHX33</t>
  </si>
  <si>
    <t>Isoform 4 of Nucleolar protein 6</t>
  </si>
  <si>
    <t>Isoform 2 of WD repeat-containing protein C2orf44</t>
  </si>
  <si>
    <t>Epidermal growth factor receptor kinase substrate 8-like protein 2</t>
  </si>
  <si>
    <t>Isoform 2 of Epithelial splicing regulatory protein 2</t>
  </si>
  <si>
    <t>RNA polymerase II-associated protein 3</t>
  </si>
  <si>
    <t>Isoform 1 of Breast carcinoma-amplified sequence 3</t>
  </si>
  <si>
    <t>Alpha-1,2-mannosyltransferase ALG9</t>
  </si>
  <si>
    <t>Bifunctional lysine-specific demethylase and histidyl-hydroxylase NO66</t>
  </si>
  <si>
    <t>WD repeat-containing protein 55</t>
  </si>
  <si>
    <t>dCTP pyrophosphatase 1</t>
  </si>
  <si>
    <t>Isoform 2 of SH2 domain-containing protein 4A</t>
  </si>
  <si>
    <t>Histone-lysine N-methyltransferase SMYD3</t>
  </si>
  <si>
    <t>Mth938 domain-containing protein</t>
  </si>
  <si>
    <t>Isoform 2 of WD repeat-containing protein 26</t>
  </si>
  <si>
    <t>Isoform 3 of Tudor domain-containing protein 3</t>
  </si>
  <si>
    <t>Probable cation-transporting ATPase 13A3</t>
  </si>
  <si>
    <t>Protein phosphatase 1 regulatory subunit 3E</t>
  </si>
  <si>
    <t>Sin3 histone deacetylase corepressor complex component SDS3</t>
  </si>
  <si>
    <t>Zinc finger protein 703</t>
  </si>
  <si>
    <t>Protein NRDE2 homolog</t>
  </si>
  <si>
    <t>Histone acetyltransferase KAT8</t>
  </si>
  <si>
    <t>Prostaglandin E synthase 2</t>
  </si>
  <si>
    <t>Phosphorylated adapter RNA export protein</t>
  </si>
  <si>
    <t>Ubiquitin-conjugating enzyme E2 Z</t>
  </si>
  <si>
    <t>Gem-associated protein 7</t>
  </si>
  <si>
    <t>Acyl-CoA dehydrogenase family member 9, mitochondrial</t>
  </si>
  <si>
    <t>PRKR-interacting protein 1</t>
  </si>
  <si>
    <t>Caspase activity and apoptosis inhibitor 1</t>
  </si>
  <si>
    <t>Nucleolar protein 11</t>
  </si>
  <si>
    <t>MANSC domain-containing protein 1</t>
  </si>
  <si>
    <t>Protein FAM188A</t>
  </si>
  <si>
    <t>MOB kinase activator 1A</t>
  </si>
  <si>
    <t>AN1-type zinc finger protein 3</t>
  </si>
  <si>
    <t>Protein ECT2</t>
  </si>
  <si>
    <t>Protein FAM204A</t>
  </si>
  <si>
    <t>Pleckstrin homology domain-containing family F member 2</t>
  </si>
  <si>
    <t>Ankyrin repeat and zinc finger domain-containing protein 1</t>
  </si>
  <si>
    <t>Golgi reassembly-stacking protein 2</t>
  </si>
  <si>
    <t>Protein zwilch homolog</t>
  </si>
  <si>
    <t>Isoform 1 of Probable bifunctional methylenetetrahydrofolate dehydrogenase/cyclohydrolase 2</t>
  </si>
  <si>
    <t>Hematological and neurological expressed 1-like protein</t>
  </si>
  <si>
    <t>Isoform 2 of Hematological and neurological expressed 1-like protein</t>
  </si>
  <si>
    <t>Mitochondrial glutamate carrier 1</t>
  </si>
  <si>
    <t>Proline-serine-threonine phosphatase-interacting protein 2</t>
  </si>
  <si>
    <t>Queuine tRNA-ribosyltransferase subunit QTRTD1</t>
  </si>
  <si>
    <t>WD repeat-containing protein 54</t>
  </si>
  <si>
    <t>Actin-related protein 8</t>
  </si>
  <si>
    <t>UPF0364 protein C6orf211</t>
  </si>
  <si>
    <t>Pantothenate kinase 3</t>
  </si>
  <si>
    <t>Isoform 2 of CCR4-NOT transcription complex subunit 10</t>
  </si>
  <si>
    <t>Leucine-rich repeat-containing protein 40</t>
  </si>
  <si>
    <t>RecQ-mediated genome instability protein 1</t>
  </si>
  <si>
    <t>Histone-lysine N-methyltransferase EHMT1</t>
  </si>
  <si>
    <t>Sideroflexin-1</t>
  </si>
  <si>
    <t>Actin-related protein 5</t>
  </si>
  <si>
    <t>Vacuolar protein sorting-associated protein 37B</t>
  </si>
  <si>
    <t>39S ribosomal protein L44, mitochondrial</t>
  </si>
  <si>
    <t>HERV-MER_4q12 provirus ancestral Env polyprotein</t>
  </si>
  <si>
    <t>L-2-hydroxyglutarate dehydrogenase, mitochondrial</t>
  </si>
  <si>
    <t>Calcium-binding protein 39-like</t>
  </si>
  <si>
    <t>Isoform 2 of JmjC domain-containing protein 4</t>
  </si>
  <si>
    <t>GPN-loop GTPase 2</t>
  </si>
  <si>
    <t>Isoform 3 of Uridine-cytidine kinase 1</t>
  </si>
  <si>
    <t>Ketosamine-3-kinase</t>
  </si>
  <si>
    <t>TBC1 domain family member 17</t>
  </si>
  <si>
    <t>Probable cysteine--tRNA ligase, mitochondrial</t>
  </si>
  <si>
    <t>Phosphopantothenate--cysteine ligase</t>
  </si>
  <si>
    <t>Isoform 2 of Chromatin modification-related protein MEAF6</t>
  </si>
  <si>
    <t>Nicotinamide mononucleotide adenylyltransferase 1</t>
  </si>
  <si>
    <t>Pleckstrin homology domain-containing family A member 5</t>
  </si>
  <si>
    <t>Regulator of nonsense transcripts 2</t>
  </si>
  <si>
    <t>Exportin-5</t>
  </si>
  <si>
    <t>GrpE protein homolog 1, mitochondrial</t>
  </si>
  <si>
    <t>Isoform 3 of Claspin</t>
  </si>
  <si>
    <t>UPF0160 protein MYG1, mitochondrial</t>
  </si>
  <si>
    <t>Pleckstrin homology domain-containing family A member 1</t>
  </si>
  <si>
    <t>Retinoid-inducible serine carboxypeptidase</t>
  </si>
  <si>
    <t>RNA polymerase II elongation factor ELL3</t>
  </si>
  <si>
    <t>Calcyclin-binding protein</t>
  </si>
  <si>
    <t>Ras-related GTP-binding protein C</t>
  </si>
  <si>
    <t>SMARCA4 isoform 2</t>
  </si>
  <si>
    <t>Peptide deformylase, mitochondrial</t>
  </si>
  <si>
    <t>Retinol dehydrogenase 14</t>
  </si>
  <si>
    <t>Beta-parvin</t>
  </si>
  <si>
    <t>Plasminogen receptor (KT)</t>
  </si>
  <si>
    <t>NmrA-like family domain-containing protein 1</t>
  </si>
  <si>
    <t>Kinetochore protein Spc25</t>
  </si>
  <si>
    <t>Transcription initiation factor TFIID subunit 9B</t>
  </si>
  <si>
    <t>1-acyl-sn-glycerol-3-phosphate acyltransferase alpha</t>
  </si>
  <si>
    <t>Putative sodium-coupled neutral amino acid transporter 10</t>
  </si>
  <si>
    <t>Ethanolamine kinase 1</t>
  </si>
  <si>
    <t>Transmembrane protein 165</t>
  </si>
  <si>
    <t>Echinoderm microtubule-associated protein-like 4</t>
  </si>
  <si>
    <t>RNA methyltransferase-like protein 1</t>
  </si>
  <si>
    <t>Isoform 2 of Glyoxalase domain-containing protein 4</t>
  </si>
  <si>
    <t>Chromobox protein homolog 8</t>
  </si>
  <si>
    <t>Methylcrotonoyl-CoA carboxylase beta chain, mitochondrial</t>
  </si>
  <si>
    <t>Nuclear receptor coactivator 5</t>
  </si>
  <si>
    <t>Isoform 2 of Ectopic P granules protein 5 homolog</t>
  </si>
  <si>
    <t>Putative helicase MOV-10</t>
  </si>
  <si>
    <t>Methyltransferase-like protein 14</t>
  </si>
  <si>
    <t>Non-lysosomal glucosylceramidase</t>
  </si>
  <si>
    <t>Isoform 2 of Ribonucleoprotein PTB-binding 2</t>
  </si>
  <si>
    <t>Transmembrane protein 8A</t>
  </si>
  <si>
    <t>GPN-loop GTPase 1</t>
  </si>
  <si>
    <t>Stromal cell-derived factor 2-like protein 1</t>
  </si>
  <si>
    <t>Isoform 1S of Casein kinase I isoform gamma-1</t>
  </si>
  <si>
    <t>Dual 3,5-cyclic-AMP and -GMP phosphodiesterase 11A</t>
  </si>
  <si>
    <t>Prolactin regulatory element-binding protein</t>
  </si>
  <si>
    <t>DNA polymerase delta subunit 4</t>
  </si>
  <si>
    <t>Protein S100-A14</t>
  </si>
  <si>
    <t>Steroid receptor RNA activator 1</t>
  </si>
  <si>
    <t>Isoform B of Probable cation-transporting ATPase 13A1</t>
  </si>
  <si>
    <t>Isoform 2 of 39S ribosomal protein L47, mitochondrial</t>
  </si>
  <si>
    <t>LYR motif-containing protein 4</t>
  </si>
  <si>
    <t>Isoform 3 of O-phosphoseryl-tRNA(Sec) selenium transferase</t>
  </si>
  <si>
    <t>Transmembrane 9 superfamily member 3</t>
  </si>
  <si>
    <t>Isoform 2 of Ran guanine nucleotide release factor</t>
  </si>
  <si>
    <t>Unconventional myosin-X</t>
  </si>
  <si>
    <t>Junctophilin-1</t>
  </si>
  <si>
    <t>Adipocyte plasma membrane-associated protein</t>
  </si>
  <si>
    <t>WD repeat-containing protein 6</t>
  </si>
  <si>
    <t>Isoform 2 of ATP-binding cassette sub-family B member 6, mitochondrial</t>
  </si>
  <si>
    <t>High mobility group protein 20A</t>
  </si>
  <si>
    <t>Ras-related protein Rab-18</t>
  </si>
  <si>
    <t>Isoform 2 of UDP-N-acetylglucosamine transferase subunit ALG13 homolog</t>
  </si>
  <si>
    <t>RNA polymerase II subunit A C-terminal domain phosphatase SSU72</t>
  </si>
  <si>
    <t>Vacuolar protein sorting-associated protein VTA1 homolog</t>
  </si>
  <si>
    <t>Isoform 3 of Calcium-independent phospholipase A2-gamma</t>
  </si>
  <si>
    <t>Tumor necrosis factor receptor superfamily member 12A</t>
  </si>
  <si>
    <t>28S ribosomal protein S30, mitochondrial</t>
  </si>
  <si>
    <t>ER membrane protein complex subunit 7</t>
  </si>
  <si>
    <t>Mid1-interacting protein 1</t>
  </si>
  <si>
    <t>Isoform 2 of Enhancer of yellow 2 transcription factor homolog</t>
  </si>
  <si>
    <t>Glycerophosphocholine phosphodiesterase GPCPD1</t>
  </si>
  <si>
    <t>Exosome complex component RRP41</t>
  </si>
  <si>
    <t>Ubiquitin-conjugating enzyme E2 T</t>
  </si>
  <si>
    <t>Neugrin</t>
  </si>
  <si>
    <t>H/ACA ribonucleoprotein complex subunit 3</t>
  </si>
  <si>
    <t>CD320 antigen</t>
  </si>
  <si>
    <t>Probable tRNA threonylcarbamoyladenosine biosynthesis protein OSGEP</t>
  </si>
  <si>
    <t>Isoform 2 of Ubinuclein-1</t>
  </si>
  <si>
    <t>Lysophosphatidic acid phosphatase type 6</t>
  </si>
  <si>
    <t>mRNA-decapping enzyme 1A</t>
  </si>
  <si>
    <t>Acyl-coenzyme A thioesterase 13</t>
  </si>
  <si>
    <t>Mediator of RNA polymerase II transcription subunit 4</t>
  </si>
  <si>
    <t>Translocase of inner mitochondrial membrane domain-containing protein 1</t>
  </si>
  <si>
    <t>Isoform 4 of Synembryn-A</t>
  </si>
  <si>
    <t>Protein GPR108</t>
  </si>
  <si>
    <t>Putative RNA-binding protein Luc7-like 1</t>
  </si>
  <si>
    <t>Fructose-2,6-bisphosphatase TIGAR</t>
  </si>
  <si>
    <t>Reticulon-4</t>
  </si>
  <si>
    <t>Isoform 2 of Reticulon-4</t>
  </si>
  <si>
    <t>Histidine triad nucleotide-binding protein 3</t>
  </si>
  <si>
    <t>Regulation of nuclear pre-mRNA domain-containing protein 1B</t>
  </si>
  <si>
    <t>Isoform 3 of Hermansky-Pudlak syndrome 4 protein</t>
  </si>
  <si>
    <t>Isoform 2 of Probable Xaa-Pro aminopeptidase 3</t>
  </si>
  <si>
    <t>Omega-amidase NIT2</t>
  </si>
  <si>
    <t>Cell death regulator Aven</t>
  </si>
  <si>
    <t>Exosome complex component RRP46</t>
  </si>
  <si>
    <t>Exosome complex component RRP40</t>
  </si>
  <si>
    <t>Kinesin-like protein KIF13B</t>
  </si>
  <si>
    <t>Isoform 2 of Actin-binding protein anillin</t>
  </si>
  <si>
    <t>Xaa-Pro aminopeptidase 1</t>
  </si>
  <si>
    <t>Isoform 3 of Xaa-Pro aminopeptidase 1</t>
  </si>
  <si>
    <t>Bridging integrator 3</t>
  </si>
  <si>
    <t>Something about silencing protein 10</t>
  </si>
  <si>
    <t>StAR-related lipid transfer protein 7, mitochondrial</t>
  </si>
  <si>
    <t>Isoform 3 of Zinc finger C4H2 domain-containing protein</t>
  </si>
  <si>
    <t>Baculoviral IAP repeat-containing protein 6</t>
  </si>
  <si>
    <t>PDZ and LIM domain protein 7</t>
  </si>
  <si>
    <t>Acetyl-coenzyme A synthetase, cytoplasmic</t>
  </si>
  <si>
    <t>Isoform 2 of Diablo homolog, mitochondrial</t>
  </si>
  <si>
    <t>Nucleolar RNA helicase 2</t>
  </si>
  <si>
    <t>GTP-binding protein SAR1a</t>
  </si>
  <si>
    <t>DNA polymerase epsilon subunit 4</t>
  </si>
  <si>
    <t>Sialic acid synthase</t>
  </si>
  <si>
    <t>Isoform 2 of Histone-lysine N-methyltransferase ASH1L</t>
  </si>
  <si>
    <t>Translation initiation factor eIF-2B subunit gamma</t>
  </si>
  <si>
    <t>Sialin</t>
  </si>
  <si>
    <t>PRKCA-binding protein</t>
  </si>
  <si>
    <t>CTP synthase 2</t>
  </si>
  <si>
    <t>DNA polymerase epsilon subunit 3</t>
  </si>
  <si>
    <t>Chromatin accessibility complex protein 1</t>
  </si>
  <si>
    <t>Phosphoribosyltransferase domain-containing protein 1</t>
  </si>
  <si>
    <t>N-lysine methyltransferase SMYD2</t>
  </si>
  <si>
    <t>Isoform 2 of Epimerase family protein SDR39U1</t>
  </si>
  <si>
    <t>Aladin</t>
  </si>
  <si>
    <t>Yae1 domain-containing protein 1</t>
  </si>
  <si>
    <t>ATP-binding cassette sub-family B member 10, mitochondrial</t>
  </si>
  <si>
    <t>Isoform 2 of Bromodomain adjacent to zinc finger domain protein 1A</t>
  </si>
  <si>
    <t>Striatin-4</t>
  </si>
  <si>
    <t>L-aminoadipate-semialdehyde dehydrogenase-phosphopantetheinyl transferase</t>
  </si>
  <si>
    <t>Methyltransferase-like protein 5</t>
  </si>
  <si>
    <t>Oligosaccharyltransferase complex subunit OSTC</t>
  </si>
  <si>
    <t>COX assembly mitochondrial protein 2 homolog</t>
  </si>
  <si>
    <t>Protein ACN9 homolog, mitochondrial</t>
  </si>
  <si>
    <t>Ubiquilin-4</t>
  </si>
  <si>
    <t>CDC42 small effector protein 1</t>
  </si>
  <si>
    <t>Heme-binding protein 1</t>
  </si>
  <si>
    <t>Ras-related protein Rab-6B</t>
  </si>
  <si>
    <t>Dual specificity protein phosphatase 22</t>
  </si>
  <si>
    <t>Vacuolar protein sorting-associated protein 45</t>
  </si>
  <si>
    <t>RNA-binding protein PNO1</t>
  </si>
  <si>
    <t>NADH dehydrogenase [ubiquinone] 1 alpha subcomplex subunit 4-like 2</t>
  </si>
  <si>
    <t>14 kDa phosphohistidine phosphatase</t>
  </si>
  <si>
    <t>Serine incorporator 1</t>
  </si>
  <si>
    <t>SOSS complex subunit C</t>
  </si>
  <si>
    <t>Rho GTPase-activating protein 35</t>
  </si>
  <si>
    <t>Protein FAM114A2</t>
  </si>
  <si>
    <t>1-acyl-sn-glycerol-3-phosphate acyltransferase delta</t>
  </si>
  <si>
    <t>Isoform 2 of 1-acyl-sn-glycerol-3-phosphate acyltransferase gamma</t>
  </si>
  <si>
    <t>Isoform 2 of Lymphoid-specific helicase</t>
  </si>
  <si>
    <t>Glutaredoxin-2, mitochondrial</t>
  </si>
  <si>
    <t>Mitochondrial import receptor subunit TOM22 homolog</t>
  </si>
  <si>
    <t>Isoform 4 of MAP3K12-binding inhibitory protein 1</t>
  </si>
  <si>
    <t>LanC-like protein 2</t>
  </si>
  <si>
    <t>Isoform 2 of Kinesin-like protein KIF15</t>
  </si>
  <si>
    <t>E3 ubiquitin-protein ligase RAD18</t>
  </si>
  <si>
    <t>Transmembrane 7 superfamily member 3</t>
  </si>
  <si>
    <t>Beta-catenin-interacting protein 1</t>
  </si>
  <si>
    <t>Phenylalanine--tRNA ligase beta subunit</t>
  </si>
  <si>
    <t>Isoleucine--tRNA ligase, mitochondrial</t>
  </si>
  <si>
    <t>Isoform B of Protein FAM207A</t>
  </si>
  <si>
    <t>Kinesin light chain 4</t>
  </si>
  <si>
    <t>Ubiquitin-like-conjugating enzyme ATG3</t>
  </si>
  <si>
    <t>NAD-dependent protein deacetylase sirtuin-3, mitochondrial</t>
  </si>
  <si>
    <t>Isoform 2 of Sister chromatid cohesion protein PDS5 homolog B</t>
  </si>
  <si>
    <t>Structural maintenance of chromosomes protein 4</t>
  </si>
  <si>
    <t>Isoform 3 of Alpha-mannosidase 2C1</t>
  </si>
  <si>
    <t>Phosphatidylinositide phosphatase SAC1</t>
  </si>
  <si>
    <t>Copper homeostasis protein cutC homolog</t>
  </si>
  <si>
    <t>Isoform 2 of Ethylmalonyl-CoA decarboxylase</t>
  </si>
  <si>
    <t>RNA-binding protein 12</t>
  </si>
  <si>
    <t>Midasin</t>
  </si>
  <si>
    <t>LYR motif-containing protein 2</t>
  </si>
  <si>
    <t>Isoform 2 of Acetyl-coenzyme A synthetase 2-like, mitochondrial</t>
  </si>
  <si>
    <t>Zinc finger CCHC domain-containing protein 3</t>
  </si>
  <si>
    <t>p53 and DNA damage-regulated protein 1</t>
  </si>
  <si>
    <t>Mycophenolic acid acyl-glucuronide esterase, mitochondrial</t>
  </si>
  <si>
    <t>Isoform 3 of UPF0515 protein C19orf66</t>
  </si>
  <si>
    <t>Transmembrane protein 106B</t>
  </si>
  <si>
    <t>Isoform 3 of Probable lysosomal cobalamin transporter</t>
  </si>
  <si>
    <t>Biogenesis of lysosome-related organelles complex 1 subunit 4</t>
  </si>
  <si>
    <t>tRNA:m(4)X modification enzyme TRM13 homolog</t>
  </si>
  <si>
    <t>Protein lin-7 homolog C</t>
  </si>
  <si>
    <t>1-acyl-sn-glycerol-3-phosphate acyltransferase epsilon</t>
  </si>
  <si>
    <t>Gamma-taxilin</t>
  </si>
  <si>
    <t>Ufm1-specific protease 2</t>
  </si>
  <si>
    <t>Isoform 2 of ATP-binding cassette sub-family F member 3</t>
  </si>
  <si>
    <t>Protein FAM49B</t>
  </si>
  <si>
    <t>ATP-dependent RNA helicase DDX19A</t>
  </si>
  <si>
    <t>Tyrosyl-DNA phosphodiesterase 1</t>
  </si>
  <si>
    <t>TBC1 domain family member 23</t>
  </si>
  <si>
    <t>DDB1- and CUL4-associated factor 13</t>
  </si>
  <si>
    <t>Probable 8-oxo-dGTP diphosphatase NUDT15</t>
  </si>
  <si>
    <t>MRG/MORF4L-binding protein</t>
  </si>
  <si>
    <t>tRNA wybutosine-synthesizing protein 1 homolog</t>
  </si>
  <si>
    <t>Exocyst complex component 1</t>
  </si>
  <si>
    <t>Isoform 2 of Cell cycle control protein 50A</t>
  </si>
  <si>
    <t>Ubiquinol-cytochrome c reductase complex chaperone CBP3 homolog</t>
  </si>
  <si>
    <t>Transmembrane protein 184C</t>
  </si>
  <si>
    <t>Mediator of RNA polymerase II transcription subunit 17</t>
  </si>
  <si>
    <t>Pantothenate kinase 4</t>
  </si>
  <si>
    <t>F-box only protein 28</t>
  </si>
  <si>
    <t>TBC1 domain family member 13</t>
  </si>
  <si>
    <t>Exonuclease 3-5 domain-containing protein 2</t>
  </si>
  <si>
    <t>Isoform 3 of DnaJ homolog subfamily C member 11</t>
  </si>
  <si>
    <t>Isoform 3 of Integrator complex subunit 7</t>
  </si>
  <si>
    <t>Trimethyllysine dioxygenase, mitochondrial</t>
  </si>
  <si>
    <t>Fanconi anemia group I protein</t>
  </si>
  <si>
    <t>Isoform 2 of ATPase family AAA domain-containing protein 3A</t>
  </si>
  <si>
    <t>ADP-ribosylation factor-like protein 8B</t>
  </si>
  <si>
    <t>Isoform 2 of FGFR1 oncogene partner 2</t>
  </si>
  <si>
    <t>Isoform 3 of Protein arginine N-methyltransferase 7</t>
  </si>
  <si>
    <t>DnaJ homolog subfamily C member 17</t>
  </si>
  <si>
    <t>Protein asunder homolog</t>
  </si>
  <si>
    <t>Guanine nucleotide-binding protein-like 3-like protein</t>
  </si>
  <si>
    <t>ATP-dependent RNA helicase DDX18</t>
  </si>
  <si>
    <t>Histone chaperone ASF1B</t>
  </si>
  <si>
    <t>Fas apoptotic inhibitory molecule 1</t>
  </si>
  <si>
    <t>Kelch-like protein 11</t>
  </si>
  <si>
    <t>Integrator complex subunit 10</t>
  </si>
  <si>
    <t>Protein kintoun</t>
  </si>
  <si>
    <t>Pyridoxine-5-phosphate oxidase</t>
  </si>
  <si>
    <t>Armadillo repeat-containing protein 1</t>
  </si>
  <si>
    <t>Poly(A) RNA polymerase, mitochondrial</t>
  </si>
  <si>
    <t>Notchless protein homolog 1</t>
  </si>
  <si>
    <t>Kelch repeat and BTB domain-containing protein 4</t>
  </si>
  <si>
    <t>Adaptin ear-binding coat-associated protein 2</t>
  </si>
  <si>
    <t>Zinc finger protein 358</t>
  </si>
  <si>
    <t>Anoctamin-10</t>
  </si>
  <si>
    <t>Pre-mRNA-splicing factor RBM22</t>
  </si>
  <si>
    <t>WD repeat-containing protein 70</t>
  </si>
  <si>
    <t>Mediator of RNA polymerase II transcription subunit 9</t>
  </si>
  <si>
    <t>Arginine and glutamate-rich protein 1</t>
  </si>
  <si>
    <t>Transmembrane protein 248</t>
  </si>
  <si>
    <t>Transmembrane protein 242</t>
  </si>
  <si>
    <t>SAFB-like transcription modulator</t>
  </si>
  <si>
    <t>CUE domain-containing protein 1</t>
  </si>
  <si>
    <t>Peptidyl-prolyl cis-trans isomerase FKBP14</t>
  </si>
  <si>
    <t>PIH1 domain-containing protein 1</t>
  </si>
  <si>
    <t>Protein FAM118A</t>
  </si>
  <si>
    <t>Required for meiotic nuclear division protein 1 homolog</t>
  </si>
  <si>
    <t>Hypoxia-inducible factor 1-alpha inhibitor</t>
  </si>
  <si>
    <t>3-oxoacyl-[acyl-carrier-protein] synthase, mitochondrial</t>
  </si>
  <si>
    <t>Glucose-induced degradation protein 8 homolog</t>
  </si>
  <si>
    <t>UPF0587 protein C1orf123</t>
  </si>
  <si>
    <t>Ankyrin repeat and SOCS box protein 6</t>
  </si>
  <si>
    <t>Probable tRNA(His) guanylyltransferase</t>
  </si>
  <si>
    <t>UPF0609 protein C4orf27</t>
  </si>
  <si>
    <t>Interleukin-1 receptor-associated kinase 4</t>
  </si>
  <si>
    <t>Uridine-cytidine kinase-like 1</t>
  </si>
  <si>
    <t>Thioredoxin-like protein 4B</t>
  </si>
  <si>
    <t>tRNA selenocysteine 1-associated protein 1</t>
  </si>
  <si>
    <t>COMM domain-containing protein 8</t>
  </si>
  <si>
    <t>Isoform 2 of NADH dehydrogenase [ubiquinone] 1 beta subcomplex subunit 11, mitochondrial</t>
  </si>
  <si>
    <t>H/ACA ribonucleoprotein complex subunit 2</t>
  </si>
  <si>
    <t>Protein FAM206A</t>
  </si>
  <si>
    <t>OCIA domain-containing protein 1</t>
  </si>
  <si>
    <t>Poly(ADP-ribose) glycohydrolase ARH3</t>
  </si>
  <si>
    <t>E3 ubiquitin-protein ligase MARCH5</t>
  </si>
  <si>
    <t>Huntingtin-interacting protein K</t>
  </si>
  <si>
    <t>Ras-related protein Rab-20</t>
  </si>
  <si>
    <t>Cell growth-regulating nucleolar protein</t>
  </si>
  <si>
    <t>Inositol monophosphatase 3</t>
  </si>
  <si>
    <t>Mediator of RNA polymerase II transcription subunit 29</t>
  </si>
  <si>
    <t>tRNA-dihydrouridine(20) synthase [NAD(P)+]-like</t>
  </si>
  <si>
    <t>Transmembrane protein 260</t>
  </si>
  <si>
    <t>NAD-dependent protein deacylase sirtuin-5, mitochondrial</t>
  </si>
  <si>
    <t>WD repeat-containing protein mio</t>
  </si>
  <si>
    <t>Pre-mRNA-splicing factor CWC25 homolog</t>
  </si>
  <si>
    <t>Isoform 2 of Testis-expressed sequence 10 protein</t>
  </si>
  <si>
    <t>DDB1- and CUL4-associated factor 16</t>
  </si>
  <si>
    <t>Palmitoyltransferase ZDHHC7</t>
  </si>
  <si>
    <t>Transmembrane prolyl 4-hydroxylase</t>
  </si>
  <si>
    <t>tRNA (guanine(26)-N(2))-dimethyltransferase</t>
  </si>
  <si>
    <t>Isoform 2 of F-box/LRR-repeat protein 12</t>
  </si>
  <si>
    <t>Isoform 2 of Ganglioside-induced differentiation-associated protein 2</t>
  </si>
  <si>
    <t>Isoform 2 of Nuclear distribution protein nudE homolog 1</t>
  </si>
  <si>
    <t>Ankyrin repeat domain-containing protein 10</t>
  </si>
  <si>
    <t>BRCA1-A complex subunit BRE</t>
  </si>
  <si>
    <t>Glutaminyl-peptide cyclotransferase-like protein</t>
  </si>
  <si>
    <t>ADP-ribosylation factor-like protein 15</t>
  </si>
  <si>
    <t>BTB/POZ domain-containing protein KCTD5</t>
  </si>
  <si>
    <t>CDKN2A-interacting protein</t>
  </si>
  <si>
    <t>Alpha-ketoglutarate-dependent dioxygenase alkB homolog 4</t>
  </si>
  <si>
    <t>Serine/threonine-protein phosphatase 4 regulatory subunit 2</t>
  </si>
  <si>
    <t>Protein AATF</t>
  </si>
  <si>
    <t>Telomeric repeat-binding factor 2-interacting protein 1</t>
  </si>
  <si>
    <t>Isoform 2 of Bcl-2-associated transcription factor 1</t>
  </si>
  <si>
    <t>Palmitoyltransferase ZDHHC3</t>
  </si>
  <si>
    <t>Anaphase-promoting complex subunit 11</t>
  </si>
  <si>
    <t>U3 small nucleolar RNA-associated protein 6 homolog</t>
  </si>
  <si>
    <t>Cytochrome c oxidase assembly factor 4 homolog, mitochondrial</t>
  </si>
  <si>
    <t>39S ribosomal protein L39, mitochondrial</t>
  </si>
  <si>
    <t>Isoform 2 of Mitogen-activated protein kinase kinase kinase MLT</t>
  </si>
  <si>
    <t>Tropomodulin-3</t>
  </si>
  <si>
    <t>BET1-like protein</t>
  </si>
  <si>
    <t>Protein Mis18-alpha</t>
  </si>
  <si>
    <t>Cadherin EGF LAG seven-pass G-type receptor 1</t>
  </si>
  <si>
    <t>Cadherin EGF LAG seven-pass G-type receptor 3</t>
  </si>
  <si>
    <t>Isoform 2 of UDP-glucose:glycoprotein glucosyltransferase 1</t>
  </si>
  <si>
    <t>Isoform 2 of Cyclin-dependent kinase 12</t>
  </si>
  <si>
    <t>FAST kinase domain-containing protein 2</t>
  </si>
  <si>
    <t>Very-long-chain enoyl-CoA reductase</t>
  </si>
  <si>
    <t>Endoplasmic reticulum aminopeptidase 1</t>
  </si>
  <si>
    <t>Isoform 2 of Ubiquitin-associated protein 1</t>
  </si>
  <si>
    <t>Actin-related protein 10</t>
  </si>
  <si>
    <t>Vesicle transport protein USE1</t>
  </si>
  <si>
    <t>CDGSH iron-sulfur domain-containing protein 1</t>
  </si>
  <si>
    <t>Podocalyxin-like protein 2</t>
  </si>
  <si>
    <t>Uncharacterized protein C9orf78</t>
  </si>
  <si>
    <t>Isoform 1 of Chloride intracellular channel protein 5</t>
  </si>
  <si>
    <t>Isoform D of Constitutive coactivator of PPAR-gamma-like protein 1</t>
  </si>
  <si>
    <t>Glycerophosphodiester phosphodiesterase 1</t>
  </si>
  <si>
    <t>WW domain-containing oxidoreductase</t>
  </si>
  <si>
    <t>Glycolipid transfer protein</t>
  </si>
  <si>
    <t>Isoform 2 of Maspardin</t>
  </si>
  <si>
    <t>Isoform 2 of Upstream-binding protein 1</t>
  </si>
  <si>
    <t>Insulin-like growth factor 2 mRNA-binding protein 1</t>
  </si>
  <si>
    <t>Isoform 2 of Sacsin</t>
  </si>
  <si>
    <t>Hexaprenyldihydroxybenzoate methyltransferase, mitochondrial</t>
  </si>
  <si>
    <t>Isoform 2 of Diphosphoinositol polyphosphate phosphohydrolase 2</t>
  </si>
  <si>
    <t>Hsp70-binding protein 1</t>
  </si>
  <si>
    <t>Methionine adenosyltransferase 2 subunit beta</t>
  </si>
  <si>
    <t>Isoform 2 of Methionine adenosyltransferase 2 subunit beta</t>
  </si>
  <si>
    <t>Isoform 2 of Intersectin-2</t>
  </si>
  <si>
    <t>Isoform 2 of Glioma tumor suppressor candidate region gene 1 protein</t>
  </si>
  <si>
    <t>Isoform 3 of NCK-interacting protein with SH3 domain</t>
  </si>
  <si>
    <t>Calmodulin-like protein 5</t>
  </si>
  <si>
    <t>Isoform 2 of Opioid growth factor receptor</t>
  </si>
  <si>
    <t>LIM and cysteine-rich domains protein 1</t>
  </si>
  <si>
    <t>MAGUK p55 subfamily member 6</t>
  </si>
  <si>
    <t>Charged multivesicular body protein 5</t>
  </si>
  <si>
    <t>Spliceosome-associated protein CWC15 homolog</t>
  </si>
  <si>
    <t>Thymocyte nuclear protein 1</t>
  </si>
  <si>
    <t>Cysteine-rich PDZ-binding protein</t>
  </si>
  <si>
    <t>Thyroid transcription factor 1-associated protein 26</t>
  </si>
  <si>
    <t>NADH dehydrogenase [ubiquinone] 1 alpha subcomplex assembly factor 4</t>
  </si>
  <si>
    <t>Very-long-chain (3R)-3-hydroxyacyl-[acyl-carrier protein] dehydratase 3</t>
  </si>
  <si>
    <t>Coiled-coil domain-containing protein 167</t>
  </si>
  <si>
    <t>ER membrane protein complex subunit 3</t>
  </si>
  <si>
    <t>[Pyruvate dehydrogenase [acetyl-transferring]]-phosphatase 1, mitochondrial</t>
  </si>
  <si>
    <t>E3 ubiquitin-protein ligase KCMF1</t>
  </si>
  <si>
    <t>Vesicle-associated membrane protein-associated protein A</t>
  </si>
  <si>
    <t>E3 ubiquitin-protein ligase RNF181</t>
  </si>
  <si>
    <t>GSK3-beta interaction protein</t>
  </si>
  <si>
    <t>Cytochrome c oxidase assembly protein COX16 homolog, mitochondrial</t>
  </si>
  <si>
    <t>CpG-binding protein</t>
  </si>
  <si>
    <t>SH3 domain-binding protein 4</t>
  </si>
  <si>
    <t>Isoform 2 of SWI/SNF-related matrix-associated actin-dependent regulator of chromatin subfamily E member 1-related</t>
  </si>
  <si>
    <t>Peroxisomal sarcosine oxidase</t>
  </si>
  <si>
    <t>Costars family protein ABRACL</t>
  </si>
  <si>
    <t>Actin-related protein 3B</t>
  </si>
  <si>
    <t>Calmodulin-regulated spectrin-associated protein 3</t>
  </si>
  <si>
    <t>Isoform 2 of Calcium-binding and coiled-coil domain-containing protein 1</t>
  </si>
  <si>
    <t>Isoform 2 of Uncharacterized protein KIAA1522</t>
  </si>
  <si>
    <t>Centrosomal protein of 72 kDa</t>
  </si>
  <si>
    <t>Protein Daple</t>
  </si>
  <si>
    <t>Protein RCC2</t>
  </si>
  <si>
    <t>LisH domain and HEAT repeat-containing protein KIAA1468</t>
  </si>
  <si>
    <t>Disco-interacting protein 2 homolog B</t>
  </si>
  <si>
    <t>Junctional protein associated with coronary artery disease</t>
  </si>
  <si>
    <t>SLAIN motif-containing protein 2</t>
  </si>
  <si>
    <t>Teneurin-3</t>
  </si>
  <si>
    <t>Ubiquitin carboxyl-terminal hydrolase 36</t>
  </si>
  <si>
    <t>BRCA2 and CDKN1A-interacting protein</t>
  </si>
  <si>
    <t>Isoform 2 of BRCA2 and CDKN1A-interacting protein</t>
  </si>
  <si>
    <t>Prostaglandin F2 receptor negative regulator</t>
  </si>
  <si>
    <t>CTTNBP2 N-terminal-like protein</t>
  </si>
  <si>
    <t>Transmembrane protein 181</t>
  </si>
  <si>
    <t>Chromodomain-helicase-DNA-binding protein 7</t>
  </si>
  <si>
    <t>Isoform 3 of HEAT repeat-containing protein 5B</t>
  </si>
  <si>
    <t>Ribosome-binding protein 1</t>
  </si>
  <si>
    <t>Cleavage and polyadenylation specificity factor subunit 2</t>
  </si>
  <si>
    <t>[Pyruvate dehydrogenase [acetyl-transferring]]-phosphatase 2, mitochondrial</t>
  </si>
  <si>
    <t>REST corepressor 3</t>
  </si>
  <si>
    <t>Isoform 2 of Myelin expression factor 2</t>
  </si>
  <si>
    <t>Kelch-like protein 42</t>
  </si>
  <si>
    <t>Cingulin</t>
  </si>
  <si>
    <t>RNA-binding protein 27</t>
  </si>
  <si>
    <t>Ankyrin repeat and FYVE domain-containing protein 1</t>
  </si>
  <si>
    <t>Arginine-glutamic acid dipeptide repeats protein</t>
  </si>
  <si>
    <t>Isoform 2 of Homologous-pairing protein 2 homolog</t>
  </si>
  <si>
    <t>Dolichol-phosphate mannosyltransferase subunit 3</t>
  </si>
  <si>
    <t>Protein IMPACT</t>
  </si>
  <si>
    <t>UV radiation resistance-associated gene protein</t>
  </si>
  <si>
    <t>Ataxin-10</t>
  </si>
  <si>
    <t>Methyl-CpG-binding domain protein 2</t>
  </si>
  <si>
    <t>Neurochondrin</t>
  </si>
  <si>
    <t>Tuftelin-interacting protein 11</t>
  </si>
  <si>
    <t>Isoform 2 of Epidermal growth factor receptor substrate 15-like 1</t>
  </si>
  <si>
    <t>Isoform 4 of Epidermal growth factor receptor substrate 15-like 1</t>
  </si>
  <si>
    <t>Origin recognition complex subunit 3</t>
  </si>
  <si>
    <t>SUMO-activating enzyme subunit 1</t>
  </si>
  <si>
    <t>Coatomer subunit gamma-2</t>
  </si>
  <si>
    <t>RING-box protein 2</t>
  </si>
  <si>
    <t>Isoform 2 of Phosphatidylinositol 4-kinase beta</t>
  </si>
  <si>
    <t>Isoform B of Methionine synthase reductase</t>
  </si>
  <si>
    <t>Isoform 3 of Set1/Ash2 histone methyltransferase complex subunit ASH2</t>
  </si>
  <si>
    <t>7-dehydrocholesterol reductase</t>
  </si>
  <si>
    <t>Tumor necrosis factor receptor superfamily member 10D</t>
  </si>
  <si>
    <t>Isoform 3 of Spastin</t>
  </si>
  <si>
    <t>tRNA (guanine-N(7)-)-methyltransferase</t>
  </si>
  <si>
    <t>Vacuolar protein sorting-associated protein 29</t>
  </si>
  <si>
    <t>Glyoxylate reductase/hydroxypyruvate reductase</t>
  </si>
  <si>
    <t>Cathepsin Z</t>
  </si>
  <si>
    <t>Ribosomal protein S6 kinase beta-2</t>
  </si>
  <si>
    <t>E3 ubiquitin-protein ligase RNF14</t>
  </si>
  <si>
    <t>SUN domain-containing ossification factor</t>
  </si>
  <si>
    <t>SUMO-activating enzyme subunit 2</t>
  </si>
  <si>
    <t>Protein FAM8A1</t>
  </si>
  <si>
    <t>Nuclear RNA export factor 1</t>
  </si>
  <si>
    <t>Protein sel-1 homolog 1</t>
  </si>
  <si>
    <t>Peflin</t>
  </si>
  <si>
    <t>Zinc finger MYM-type protein 2</t>
  </si>
  <si>
    <t>COP9 signalosome complex subunit 7a</t>
  </si>
  <si>
    <t>Protein phosphatase 1 regulatory subunit 1B</t>
  </si>
  <si>
    <t>Cytochrome b-c1 complex subunit 9</t>
  </si>
  <si>
    <t>Mitochondrial fission process protein 1</t>
  </si>
  <si>
    <t>Isoform C1 of Tight junction protein ZO-2</t>
  </si>
  <si>
    <t>DnaJ homolog subfamily B member 4</t>
  </si>
  <si>
    <t>Mucosa-associated lymphoid tissue lymphoma translocation protein 1</t>
  </si>
  <si>
    <t>Craniofacial development protein 1</t>
  </si>
  <si>
    <t>Zinc finger protein 629</t>
  </si>
  <si>
    <t>Myelin protein zero-like protein 1 (Fragment)</t>
  </si>
  <si>
    <t>Isoform 3 of Death domain-associated protein 6</t>
  </si>
  <si>
    <t>Isoform 2 of Putative tRNA (cytidine(32)/guanosine(34)-2-O)-methyltransferase</t>
  </si>
  <si>
    <t>Vesicle transport through interaction with t-SNAREs homolog 1B</t>
  </si>
  <si>
    <t>STE20/SPS1-related proline-alanine-rich protein kinase</t>
  </si>
  <si>
    <t>Isoform 1 of Gamma-adducin</t>
  </si>
  <si>
    <t>Leucine-rich repeat and WD repeat-containing protein 1</t>
  </si>
  <si>
    <t>UPF0449 protein C19orf25</t>
  </si>
  <si>
    <t>Protein NipSnap homolog 3A</t>
  </si>
  <si>
    <t>CGG triplet repeat-binding protein 1</t>
  </si>
  <si>
    <t>Isoform 2 of Phosphatidylserine decarboxylase proenzyme</t>
  </si>
  <si>
    <t>ATP-binding cassette sub-family F member 2</t>
  </si>
  <si>
    <t>Peptide chain release factor 1-like, mitochondrial</t>
  </si>
  <si>
    <t>Testin</t>
  </si>
  <si>
    <t>Isoform 2 of Gamma-tubulin complex component 4</t>
  </si>
  <si>
    <t>Signal-transducing adaptor protein 2</t>
  </si>
  <si>
    <t>Secretion-regulating guanine nucleotide exchange factor</t>
  </si>
  <si>
    <t>Tryptophan--tRNA ligase, mitochondrial</t>
  </si>
  <si>
    <t>LIM domain-containing protein 1</t>
  </si>
  <si>
    <t>Translocation protein SEC63 homolog</t>
  </si>
  <si>
    <t>Isoform 2 of Calcium channel flower homolog</t>
  </si>
  <si>
    <t>Isoform 2 of Solute carrier family 2, facilitated glucose transporter member 6</t>
  </si>
  <si>
    <t>Isoform 2 of Zinc finger CCCH domain-containing protein 7B</t>
  </si>
  <si>
    <t>Isoform 2 of Transcription factor 20</t>
  </si>
  <si>
    <t>HMG domain-containing protein 4</t>
  </si>
  <si>
    <t>Protein NDRG3</t>
  </si>
  <si>
    <t>Armadillo repeat-containing X-linked protein 3</t>
  </si>
  <si>
    <t>Switch-associated protein 70</t>
  </si>
  <si>
    <t>Ragulator complex protein LAMTOR3</t>
  </si>
  <si>
    <t>LIM domain and actin-binding protein 1</t>
  </si>
  <si>
    <t>AF4/FMR2 family member 4</t>
  </si>
  <si>
    <t>Signal recognition particle subunit SRP68</t>
  </si>
  <si>
    <t>Cysteine and histidine-rich domain-containing protein 1</t>
  </si>
  <si>
    <t>Serine/threonine-protein kinase TBK1</t>
  </si>
  <si>
    <t>Septin-9</t>
  </si>
  <si>
    <t>Ubiquilin-2</t>
  </si>
  <si>
    <t>Metalloreductase STEAP1</t>
  </si>
  <si>
    <t>Zinc finger transcription factor Trps1</t>
  </si>
  <si>
    <t>Prenylcysteine oxidase 1</t>
  </si>
  <si>
    <t>Probable ATP-dependent RNA helicase DDX20</t>
  </si>
  <si>
    <t>Sedoheptulokinase</t>
  </si>
  <si>
    <t>Alpha-methylacyl-CoA racemase</t>
  </si>
  <si>
    <t>Dipeptidyl peptidase 2</t>
  </si>
  <si>
    <t>DNA polymerase subunit gamma-2, mitochondrial</t>
  </si>
  <si>
    <t>Transmembrane protein 2</t>
  </si>
  <si>
    <t>Ubiquitin carboxyl-terminal hydrolase 25</t>
  </si>
  <si>
    <t>B-cell receptor-associated protein 29</t>
  </si>
  <si>
    <t>NADH-cytochrome b5 reductase 1</t>
  </si>
  <si>
    <t>Brain-specific angiogenesis inhibitor 1-associated protein 2-like protein 1</t>
  </si>
  <si>
    <t>Mediator of RNA polymerase II transcription subunit 13</t>
  </si>
  <si>
    <t>Prefoldin subunit 2</t>
  </si>
  <si>
    <t>GPN-loop GTPase 3</t>
  </si>
  <si>
    <t>Isoform 4 of Poly(U)-binding-splicing factor PUF60</t>
  </si>
  <si>
    <t>Isoform 4 of EGF-like module-containing mucin-like hormone receptor-like 2</t>
  </si>
  <si>
    <t>Nuclear receptor-binding protein</t>
  </si>
  <si>
    <t>Enolase-phosphatase E1</t>
  </si>
  <si>
    <t>NADH dehydrogenase [ubiquinone] 1 alpha subcomplex subunit 12</t>
  </si>
  <si>
    <t>Translation initiation factor eIF-2B subunit delta</t>
  </si>
  <si>
    <t>Isoform 2 of V-type proton ATPase subunit H</t>
  </si>
  <si>
    <t>Transgelin-3</t>
  </si>
  <si>
    <t>Importin-11</t>
  </si>
  <si>
    <t>tRNA methyltransferase 112 homolog</t>
  </si>
  <si>
    <t>Glutaminase liver isoform, mitochondrial</t>
  </si>
  <si>
    <t>Isoform 2 of Dachshund homolog 1</t>
  </si>
  <si>
    <t>Putative ribosomal RNA methyltransferase 2</t>
  </si>
  <si>
    <t>Leucine carboxyl methyltransferase 1</t>
  </si>
  <si>
    <t>Vacuolar protein sorting-associated protein 51 homolog</t>
  </si>
  <si>
    <t>ATPase inhibitor, mitochondrial</t>
  </si>
  <si>
    <t>GTP:AMP phosphotransferase AK3, mitochondrial</t>
  </si>
  <si>
    <t>Death-associated protein kinase 2</t>
  </si>
  <si>
    <t>Isoform 3 of Short coiled-coil protein</t>
  </si>
  <si>
    <t>FK506-binding protein-like</t>
  </si>
  <si>
    <t>Isoform 3 of Leucyl-cystinyl aminopeptidase</t>
  </si>
  <si>
    <t>Homeobox protein SIX4</t>
  </si>
  <si>
    <t>Gamma-glutamyltransferase 7</t>
  </si>
  <si>
    <t>Isoform 2 of Mitochondrial peptide methionine sulfoxide reductase</t>
  </si>
  <si>
    <t>Isoform 2 of Cardiolipin synthase</t>
  </si>
  <si>
    <t>tRNA (adenine(58)-N(1))-methyltransferase non-catalytic subunit TRM6</t>
  </si>
  <si>
    <t>SH3 domain-binding glutamic acid-rich-like protein 2</t>
  </si>
  <si>
    <t>Zinc finger protein 280C (Fragment)</t>
  </si>
  <si>
    <t>Ribosome biogenesis protein TSR3 homolog</t>
  </si>
  <si>
    <t>Calcium-binding mitochondrial carrier protein Aralar2</t>
  </si>
  <si>
    <t>Drebrin-like protein</t>
  </si>
  <si>
    <t>Isoform 2 of Drebrin-like protein</t>
  </si>
  <si>
    <t>Isoform 3 of Drebrin-like protein</t>
  </si>
  <si>
    <t>Dynactin subunit 4</t>
  </si>
  <si>
    <t>Isoform 2 of Anaphase-promoting complex subunit 7</t>
  </si>
  <si>
    <t>Isoform 2 of Anaphase-promoting complex subunit 4</t>
  </si>
  <si>
    <t>Isoform 2 of Anaphase-promoting complex subunit 2</t>
  </si>
  <si>
    <t>ADP-ribosylation factor-binding protein GGA2</t>
  </si>
  <si>
    <t>Isoform 4 of ADP-ribosylation factor-binding protein GGA1</t>
  </si>
  <si>
    <t>Stomatin-like protein 2, mitochondrial</t>
  </si>
  <si>
    <t>F-box only protein 2</t>
  </si>
  <si>
    <t>N-acetylglucosamine-1-phosphodiester alpha-N-acetylglucosaminidase</t>
  </si>
  <si>
    <t>Ribosomal protein S6 kinase alpha-6</t>
  </si>
  <si>
    <t>Vacuolar protein sorting-associated protein 28 homolog</t>
  </si>
  <si>
    <t>U6 snRNA-associated Sm-like protein LSm7</t>
  </si>
  <si>
    <t>Isoform 2 of Inhibitor of growth protein 1</t>
  </si>
  <si>
    <t>Lariat debranching enzyme</t>
  </si>
  <si>
    <t>Hematological and neurological expressed 1 protein</t>
  </si>
  <si>
    <t>Isoform 3 of F-box only protein 9</t>
  </si>
  <si>
    <t>F-box/LRR-repeat protein 4</t>
  </si>
  <si>
    <t>A-kinase anchor protein 11</t>
  </si>
  <si>
    <t>DnaJ homolog subfamily C member 12</t>
  </si>
  <si>
    <t>Adherens junction-associated protein 1</t>
  </si>
  <si>
    <t>mRNA turnover protein 4 homolog</t>
  </si>
  <si>
    <t>Cleavage and polyadenylation specificity factor subunit 3</t>
  </si>
  <si>
    <t>DCC-interacting protein 13-alpha</t>
  </si>
  <si>
    <t>Isoform 5 of Serine/threonine-protein kinase tousled-like 1</t>
  </si>
  <si>
    <t>G patch domain-containing protein 8</t>
  </si>
  <si>
    <t>ADP-sugar pyrophosphatase</t>
  </si>
  <si>
    <t>CASP8-associated protein 2</t>
  </si>
  <si>
    <t>Phosphatidylcholine transfer protein</t>
  </si>
  <si>
    <t>Endoplasmic reticulum mannosyl-oligosaccharide 1,2-alpha-mannosidase</t>
  </si>
  <si>
    <t>General transcription factor 3C polypeptide 4</t>
  </si>
  <si>
    <t>Isoform 2 of Disintegrin and metalloproteinase domain-containing protein 28</t>
  </si>
  <si>
    <t>Probable ergosterol biosynthetic protein 28</t>
  </si>
  <si>
    <t>Protein kinase C and casein kinase substrate in neurons protein 3</t>
  </si>
  <si>
    <t>F-box only protein 4</t>
  </si>
  <si>
    <t>Isobutyryl-CoA dehydrogenase, mitochondrial</t>
  </si>
  <si>
    <t>Protein argonaute-2</t>
  </si>
  <si>
    <t>Isoform 2 of Nuclear pore complex protein Nup50</t>
  </si>
  <si>
    <t>CCR4-NOT transcription complex subunit 11</t>
  </si>
  <si>
    <t>BAG family molecular chaperone regulator 5</t>
  </si>
  <si>
    <t>Protein argonaute-1</t>
  </si>
  <si>
    <t>Ras-related protein Rab-21</t>
  </si>
  <si>
    <t>Ras-related protein Rab-22A</t>
  </si>
  <si>
    <t>Paraneoplastic antigen Ma2</t>
  </si>
  <si>
    <t>Proteasome activator complex subunit 2</t>
  </si>
  <si>
    <t>Transmembrane protease serine 11E</t>
  </si>
  <si>
    <t>Isoform 2 of Serine/threonine-protein kinase TAO2</t>
  </si>
  <si>
    <t>Ras-related protein Rab-23</t>
  </si>
  <si>
    <t>Malignant T-cell-amplified sequence 1</t>
  </si>
  <si>
    <t>Long-chain-fatty-acid--CoA ligase 5</t>
  </si>
  <si>
    <t>Zinc finger protein 608</t>
  </si>
  <si>
    <t>Paladin</t>
  </si>
  <si>
    <t>Zinc transporter ZIP10</t>
  </si>
  <si>
    <t>Isoform 2 of Kinase D-interacting substrate of 220 kDa</t>
  </si>
  <si>
    <t>Isoform 4 of MKL/myocardin-like protein 2</t>
  </si>
  <si>
    <t>Zinc finger MIZ domain-containing protein 1</t>
  </si>
  <si>
    <t>Neurabin-1</t>
  </si>
  <si>
    <t>Isoform 3 of Proline-rich protein 12</t>
  </si>
  <si>
    <t>Isoform 2 of TBC1 domain family member 24</t>
  </si>
  <si>
    <t>Pre-mRNA-splicing factor ISY1 homolog</t>
  </si>
  <si>
    <t>Protein phosphatase 1H</t>
  </si>
  <si>
    <t>Coronin-1C</t>
  </si>
  <si>
    <t>Targeting protein for Xklp2</t>
  </si>
  <si>
    <t>RNA-binding protein NOB1</t>
  </si>
  <si>
    <t>A-kinase anchor protein 8-like</t>
  </si>
  <si>
    <t>Carbonic anhydrase 14</t>
  </si>
  <si>
    <t>Transcription factor MafF</t>
  </si>
  <si>
    <t>Isoform 2 of Apoptosis-associated speck-like protein containing a CARD</t>
  </si>
  <si>
    <t>Isoform 5 of Unconventional myosin-VI</t>
  </si>
  <si>
    <t>ATP-dependent RNA helicase DDX19B</t>
  </si>
  <si>
    <t>Isoform 3 of NFU1 iron-sulfur cluster scaffold homolog, mitochondrial</t>
  </si>
  <si>
    <t>Pre-mRNA-processing factor 19</t>
  </si>
  <si>
    <t>Ubiquilin-1</t>
  </si>
  <si>
    <t>Isoform 2 of Ubiquilin-1</t>
  </si>
  <si>
    <t>Neudesin</t>
  </si>
  <si>
    <t>Nucleolar protein 7</t>
  </si>
  <si>
    <t>Isoform 2 of Sorting nexin-12</t>
  </si>
  <si>
    <t>Isoform 5 of Synergin gamma</t>
  </si>
  <si>
    <t>Vacuolar protein sorting-associated protein 4A</t>
  </si>
  <si>
    <t>Transcription factor SOX-13</t>
  </si>
  <si>
    <t>Isoform B of 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</si>
  <si>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</si>
  <si>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</si>
  <si>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</si>
  <si>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</si>
  <si>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Dual specificity protein phosphatase 12</t>
  </si>
  <si>
    <t>Syntaxin-8</t>
  </si>
  <si>
    <t>Protein angel homolog 1</t>
  </si>
  <si>
    <t>26S proteasome non-ATPase regulatory subunit 13</t>
  </si>
  <si>
    <t>FAS-associated factor 1</t>
  </si>
  <si>
    <t>Peptidyl-prolyl cis-trans isomerase E</t>
  </si>
  <si>
    <t>Isoform 2 of Protein timeless homolog</t>
  </si>
  <si>
    <t>COP9 signalosome complex subunit 3</t>
  </si>
  <si>
    <t>Multiple inositol polyphosphate phosphatase 1</t>
  </si>
  <si>
    <t>WD repeat-containing protein 3</t>
  </si>
  <si>
    <t>Transcription termination factor 2</t>
  </si>
  <si>
    <t>Leydig cell tumor 10 kDa protein homolog</t>
  </si>
  <si>
    <t>Isoform 3 of Conserved oligomeric Golgi complex subunit 5</t>
  </si>
  <si>
    <t>Isoform 5 of Solute carrier family 12 member 4</t>
  </si>
  <si>
    <t>Protein SCAF8</t>
  </si>
  <si>
    <t>Serine/threonine-protein phosphatase 6 regulatory subunit 1</t>
  </si>
  <si>
    <t>Isoform Beta of E3 ubiquitin-protein ligase TRIM33</t>
  </si>
  <si>
    <t>Isoform 4 of Histone lysine demethylase PHF8</t>
  </si>
  <si>
    <t>Isoform 2 of Trinucleotide repeat-containing gene 6B protein</t>
  </si>
  <si>
    <t>Protein SMG5</t>
  </si>
  <si>
    <t>Isoform 1 of Exocyst complex component 7</t>
  </si>
  <si>
    <t>Zinc finger CCCH domain-containing protein 4</t>
  </si>
  <si>
    <t>Isoform 2 of Ubiquitin carboxyl-terminal hydrolase 22</t>
  </si>
  <si>
    <t>Ubiquitin carboxyl-terminal hydrolase 24</t>
  </si>
  <si>
    <t>Cytosolic carboxypeptidase 1</t>
  </si>
  <si>
    <t>Endoribonuclease Dicer</t>
  </si>
  <si>
    <t>Cystine/glutamate transporter</t>
  </si>
  <si>
    <t>Isoform 2 of Microtubule-associated protein RP/EB family member 3</t>
  </si>
  <si>
    <t>Isoform 2 of Leucine-rich repeat protein SHOC-2</t>
  </si>
  <si>
    <t>Serine/arginine repetitive matrix protein 2</t>
  </si>
  <si>
    <t>Isoform 2 of Alpha-1,3-mannosyl-glycoprotein 4-beta-N-acetylglucosaminyltransferase B</t>
  </si>
  <si>
    <t>Proliferation-associated protein 2G4</t>
  </si>
  <si>
    <t>Paraplegin</t>
  </si>
  <si>
    <t>Isoform 5 of Brain-specific angiogenesis inhibitor 1-associated protein 2</t>
  </si>
  <si>
    <t>Isoform 6 of Brain-specific angiogenesis inhibitor 1-associated protein 2</t>
  </si>
  <si>
    <t>Isoform 2 of GRB2-associated-binding protein 2</t>
  </si>
  <si>
    <t>Structural maintenance of chromosomes protein 3</t>
  </si>
  <si>
    <t>Histone deacetylase 5</t>
  </si>
  <si>
    <t>Charged multivesicular body protein 2b</t>
  </si>
  <si>
    <t>Myotubularin-related protein 6</t>
  </si>
  <si>
    <t>Protein jagged-2</t>
  </si>
  <si>
    <t>Isoform 2 of 60S ribosome subunit biogenesis protein NIP7 homolog</t>
  </si>
  <si>
    <t>Bifunctional UDP-N-acetylglucosamine 2-epimerase/N-acetylmannosamine kinase</t>
  </si>
  <si>
    <t>UPF0568 protein C14orf166</t>
  </si>
  <si>
    <t>RuvB-like 2</t>
  </si>
  <si>
    <t>Isoform 2 of Chromodomain Y-like protein</t>
  </si>
  <si>
    <t>Lipoyltransferase 1, mitochondrial</t>
  </si>
  <si>
    <t>Probable C-&gt;U-editing enzyme APOBEC-2</t>
  </si>
  <si>
    <t>Peptidyl-prolyl cis-trans isomerase NIMA-interacting 4</t>
  </si>
  <si>
    <t>HIG1 domain family member 1A, mitochondrial</t>
  </si>
  <si>
    <t>Transcription factor 19</t>
  </si>
  <si>
    <t>Isoform 2 of RAC-gamma serine/threonine-protein kinase</t>
  </si>
  <si>
    <t>Proteasome maturation protein</t>
  </si>
  <si>
    <t>Protein FAM50B</t>
  </si>
  <si>
    <t>DNA replication complex GINS protein PSF2</t>
  </si>
  <si>
    <t>Choline/ethanolamine kinase</t>
  </si>
  <si>
    <t>Phospholipase A-2-activating protein</t>
  </si>
  <si>
    <t>RuvB-like 1</t>
  </si>
  <si>
    <t>Nuclear migration protein nudC</t>
  </si>
  <si>
    <t>Mitochondrial chaperone BCS1</t>
  </si>
  <si>
    <t>Voltage-dependent anion-selective channel protein 3</t>
  </si>
  <si>
    <t>Cofilin-2</t>
  </si>
  <si>
    <t>Histone chaperone ASF1A</t>
  </si>
  <si>
    <t>Developmentally-regulated GTP-binding protein 1</t>
  </si>
  <si>
    <t>Trafficking protein particle complex subunit 4</t>
  </si>
  <si>
    <t>Nck-associated protein 1</t>
  </si>
  <si>
    <t>UDP-GlcNAc:betaGal beta-1,3-N-acetylglucosaminyltransferase 3</t>
  </si>
  <si>
    <t>Protein canopy homolog 2</t>
  </si>
  <si>
    <t>Nuclease EXOG, mitochondrial</t>
  </si>
  <si>
    <t>Exocyst complex component 6B</t>
  </si>
  <si>
    <t>A-kinase anchor protein 2</t>
  </si>
  <si>
    <t>GDP-fucose protein O-fucosyltransferase 2</t>
  </si>
  <si>
    <t>Isoform 3 of Disks large-associated protein 4</t>
  </si>
  <si>
    <t>Serine/threonine-protein kinase 38-like</t>
  </si>
  <si>
    <t>Isoform 2 of Fibronectin type-III domain-containing protein 3A</t>
  </si>
  <si>
    <t>Nischarin</t>
  </si>
  <si>
    <t>WD repeat-containing protein 37</t>
  </si>
  <si>
    <t>TBC1 domain family member 30</t>
  </si>
  <si>
    <t>Ubiquitin carboxyl-terminal hydrolase 20</t>
  </si>
  <si>
    <t>Lysine-specific demethylase 2A</t>
  </si>
  <si>
    <t>Exosome complex exonuclease RRP44</t>
  </si>
  <si>
    <t>Isoform 3 of Probable phospholipid-transporting ATPase IA</t>
  </si>
  <si>
    <t>Glutathione S-transferase kappa 1</t>
  </si>
  <si>
    <t>Ragulator complex protein LAMTOR2</t>
  </si>
  <si>
    <t>28S ribosomal protein S28, mitochondrial</t>
  </si>
  <si>
    <t>Cytochrome c oxidase assembly protein 3 homolog, mitochondrial</t>
  </si>
  <si>
    <t>Probable ATP-dependent RNA helicase DDX52</t>
  </si>
  <si>
    <t>DNA-directed RNA polymerases I and III subunit RPAC2</t>
  </si>
  <si>
    <t>Isoform 2 of DNA-directed RNA polymerases I and III subunit RPAC2</t>
  </si>
  <si>
    <t>Isoform 2 of Lambda-crystallin homolog</t>
  </si>
  <si>
    <t>Translation machinery-associated protein 7</t>
  </si>
  <si>
    <t>Polymerase delta-interacting protein 2</t>
  </si>
  <si>
    <t>AP-3 complex subunit mu-1</t>
  </si>
  <si>
    <t>Inner nuclear membrane protein Man1</t>
  </si>
  <si>
    <t>Calcium-regulated heat stable protein 1</t>
  </si>
  <si>
    <t>Isoform 2 of Conserved oligomeric Golgi complex subunit 6</t>
  </si>
  <si>
    <t>Thyroid hormone receptor-associated protein 3</t>
  </si>
  <si>
    <t>Nucleolar protein 58</t>
  </si>
  <si>
    <t>Isoform 3 of ARF GTPase-activating protein GIT1</t>
  </si>
  <si>
    <t>DNA-directed RNA polymerase III subunit RPC10</t>
  </si>
  <si>
    <t>Isoform 2 of Suppressor of G2 allele of SKP1 homolog</t>
  </si>
  <si>
    <t>Isoform 5 of Protein MTO1 homolog, mitochondrial</t>
  </si>
  <si>
    <t>Tyrosine--tRNA ligase, mitochondrial</t>
  </si>
  <si>
    <t>Isoform 3 of Ubiquinone biosynthesis monooxygenase COQ6</t>
  </si>
  <si>
    <t>Putative N-acetylglucosamine-6-phosphate deacetylase</t>
  </si>
  <si>
    <t>Acyl-coenzyme A thioesterase 9, mitochondrial</t>
  </si>
  <si>
    <t>Nitric oxide synthase-interacting protein</t>
  </si>
  <si>
    <t>Putative deoxyribose-phosphate aldolase</t>
  </si>
  <si>
    <t>Protein MEMO1</t>
  </si>
  <si>
    <t>Isoform 2 of Thioredoxin-related transmembrane protein 2</t>
  </si>
  <si>
    <t>U6 snRNA-associated Sm-like protein LSm2</t>
  </si>
  <si>
    <t>Endophilin-B1</t>
  </si>
  <si>
    <t>Complex I intermediate-associated protein 30, mitochondrial</t>
  </si>
  <si>
    <t>Calcium-binding protein 39</t>
  </si>
  <si>
    <t>Putative RNA-binding protein Luc7-like 2</t>
  </si>
  <si>
    <t>Ubiquitin-conjugating enzyme E2 J1</t>
  </si>
  <si>
    <t>RNA-binding motif protein, X-linked 2</t>
  </si>
  <si>
    <t>Isoform 2 of Dehydrogenase/reductase SDR family member 7</t>
  </si>
  <si>
    <t>28S ribosomal protein S2, mitochondrial</t>
  </si>
  <si>
    <t>Isoform 2 of Ubiquinone biosynthesis protein COQ4 homolog, mitochondrial</t>
  </si>
  <si>
    <t>Isoform 3 of MOB-like protein phocein</t>
  </si>
  <si>
    <t>Ribosome maturation protein SBDS</t>
  </si>
  <si>
    <t>Transmembrane emp24 domain-containing protein 5</t>
  </si>
  <si>
    <t>Protein slowmo homolog 2</t>
  </si>
  <si>
    <t>Exosome complex component CSL4</t>
  </si>
  <si>
    <t>Transmembrane emp24 domain-containing protein 7</t>
  </si>
  <si>
    <t>Pre-mRNA branch site protein p14</t>
  </si>
  <si>
    <t>RRP15-like protein</t>
  </si>
  <si>
    <t>Nucleolar protein 16</t>
  </si>
  <si>
    <t>TP53RK-binding protein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</si>
  <si>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</si>
  <si>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</si>
  <si>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</si>
  <si>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</si>
  <si>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28S ribosomal protein S18c, mitochondrial</t>
  </si>
  <si>
    <t>Mitochondrial fission 1 protein</t>
  </si>
  <si>
    <t>Adenylate kinase isoenzyme 6</t>
  </si>
  <si>
    <t>28S ribosomal protein S23, mitochondrial</t>
  </si>
  <si>
    <t>BolA-like protein 1</t>
  </si>
  <si>
    <t>Isoform 4 of Charged multivesicular body protein 3</t>
  </si>
  <si>
    <t>Serine-threonine kinase receptor-associated protein</t>
  </si>
  <si>
    <t>tRNA-splicing ligase RtcB homolog</t>
  </si>
  <si>
    <t>F-box only protein 7</t>
  </si>
  <si>
    <t>Ras-related protein Rap-2c</t>
  </si>
  <si>
    <t>Signaling threshold-regulating transmembrane adapter 1</t>
  </si>
  <si>
    <t>Rab GTPase-activating protein 1</t>
  </si>
  <si>
    <t>TSC22 domain family protein 4</t>
  </si>
  <si>
    <t>Isoform 2 of Protein dopey-2</t>
  </si>
  <si>
    <t>Zinc finger protein 330</t>
  </si>
  <si>
    <t>R3H and coiled-coil domain-containing protein 1</t>
  </si>
  <si>
    <t>Nucleolar complex protein 2 homolog</t>
  </si>
  <si>
    <t>60S ribosomal protein L36</t>
  </si>
  <si>
    <t>Coiled-coil domain-containing protein 9</t>
  </si>
  <si>
    <t>Isoform 3 of Chromatin target of PRMT1 protein</t>
  </si>
  <si>
    <t>Deoxynucleoside triphosphate triphosphohydrolase SAMHD1</t>
  </si>
  <si>
    <t>Protein FAM32A</t>
  </si>
  <si>
    <t>Plakophilin-3</t>
  </si>
  <si>
    <t>Isoform 2 of Small kinetochore-associated protein</t>
  </si>
  <si>
    <t>HBS1-like protein</t>
  </si>
  <si>
    <t>5-AMP-activated protein kinase subunit beta-1</t>
  </si>
  <si>
    <t>V-type proton ATPase 116 kDa subunit a isoform 2</t>
  </si>
  <si>
    <t>Talin-1</t>
  </si>
  <si>
    <t>Protein VPRBP</t>
  </si>
  <si>
    <t>Lysine-specific demethylase 3A</t>
  </si>
  <si>
    <t>Isoform 2 of Disheveled-associated activator of morphogenesis 1</t>
  </si>
  <si>
    <t>Isoform 2 of Plexin-D1</t>
  </si>
  <si>
    <t>Isoform 2 of WASH complex subunit FAM21C</t>
  </si>
  <si>
    <t>Ubiquitin carboxyl-terminal hydrolase 15</t>
  </si>
  <si>
    <t>Insulin receptor substrate 2</t>
  </si>
  <si>
    <t>Isoform 3 of Tesmin</t>
  </si>
  <si>
    <t>Absent in melanoma 1 protein</t>
  </si>
  <si>
    <t>Mitogen-activated protein kinase kinase kinase kinase 5</t>
  </si>
  <si>
    <t>Hypoxia up-regulated protein 1</t>
  </si>
  <si>
    <t>Isoform 6 of Cysteine protease ATG4B</t>
  </si>
  <si>
    <t>Isoform 3 of WD repeat domain phosphoinositide-interacting protein 2</t>
  </si>
  <si>
    <t>Telomere length regulation protein TEL2 homolog</t>
  </si>
  <si>
    <t>Methylmalonic aciduria and homocystinuria type C protein</t>
  </si>
  <si>
    <t>AFG3-like protein 2</t>
  </si>
  <si>
    <t>E3 ubiquitin-protein ligase ARIH1</t>
  </si>
  <si>
    <t>U6 snRNA-associated Sm-like protein LSm4</t>
  </si>
  <si>
    <t>RING finger protein 114</t>
  </si>
  <si>
    <t>Sorting and assembly machinery component 50 homolog</t>
  </si>
  <si>
    <t>Isoform 7 of Protein PRRC2C</t>
  </si>
  <si>
    <t>Leucine-rich repeat-containing protein 42</t>
  </si>
  <si>
    <t>Protein phosphatase methylesterase 1</t>
  </si>
  <si>
    <t>Mitochondrial import inner membrane translocase subunit Tim22</t>
  </si>
  <si>
    <t>Isoform 2 of BTB/POZ domain-containing protein KCTD3</t>
  </si>
  <si>
    <t>Isoform 2 of YTH domain family protein 2</t>
  </si>
  <si>
    <t>RNA polymerase II subunit A C-terminal domain phosphatase</t>
  </si>
  <si>
    <t>PAX3- and PAX7-binding protein 1</t>
  </si>
  <si>
    <t>Nucleoside diphosphate kinase 7</t>
  </si>
  <si>
    <t>FACT complex subunit SPT16</t>
  </si>
  <si>
    <t>U3 small nucleolar RNA-associated protein 18 homolog</t>
  </si>
  <si>
    <t>Mitochondrial import inner membrane translocase subunit Tim10 B</t>
  </si>
  <si>
    <t>Mitochondrial import inner membrane translocase subunit Tim9</t>
  </si>
  <si>
    <t>Isoform 1 of Choline-phosphate cytidylyltransferase B</t>
  </si>
  <si>
    <t>Isoform 2 of Ubiquitin carboxyl-terminal hydrolase isozyme L5</t>
  </si>
  <si>
    <t>CD2-associated protein</t>
  </si>
  <si>
    <t>V-type proton ATPase subunit D</t>
  </si>
  <si>
    <t>Transportin-3</t>
  </si>
  <si>
    <t>Ectonucleoside triphosphate diphosphohydrolase 2</t>
  </si>
  <si>
    <t>Mitochondrial import inner membrane translocase subunit Tim13</t>
  </si>
  <si>
    <t>Signal recognition particle receptor subunit beta</t>
  </si>
  <si>
    <t>Isoform 2 of Collagen type IV alpha-3-binding protein</t>
  </si>
  <si>
    <t>Mannose-1-phosphate guanyltransferase beta</t>
  </si>
  <si>
    <t>General transcription factor 3C polypeptide 5</t>
  </si>
  <si>
    <t>General transcription factor 3C polypeptide 3</t>
  </si>
  <si>
    <t>Trafficking protein particle complex subunit 1</t>
  </si>
  <si>
    <t>Serine/threonine-protein kinase MRCK beta</t>
  </si>
  <si>
    <t>RNA-binding protein 8A</t>
  </si>
  <si>
    <t>DnaJ homolog subfamily C member 15</t>
  </si>
  <si>
    <t>Isoform 2 of Protein TSSC4</t>
  </si>
  <si>
    <t>Zinc finger protein 706</t>
  </si>
  <si>
    <t>Sorting nexin-9</t>
  </si>
  <si>
    <t>Sorting nexin-8</t>
  </si>
  <si>
    <t>Sorting nexin-5</t>
  </si>
  <si>
    <t>Feline leukemia virus subgroup C receptor-related protein 1</t>
  </si>
  <si>
    <t>Cytosolic Fe-S cluster assembly factor NUBP2</t>
  </si>
  <si>
    <t>Suppressor of tumorigenicity 14 protein</t>
  </si>
  <si>
    <t>Isoform 3 of Beta-secretase 2</t>
  </si>
  <si>
    <t>Heme-binding protein 2</t>
  </si>
  <si>
    <t>Isoform 2 of UbiA prenyltransferase domain-containing protein 1</t>
  </si>
  <si>
    <t>MORF4 family-associated protein 1</t>
  </si>
  <si>
    <t>Leucine-rich repeat flightless-interacting protein 2</t>
  </si>
  <si>
    <t>Isoform 2 of Leucine-rich repeat flightless-interacting protein 2</t>
  </si>
  <si>
    <t>FH1/FH2 domain-containing protein 1</t>
  </si>
  <si>
    <t>Phosphoserine aminotransferase</t>
  </si>
  <si>
    <t>Mitochondrial ornithine transporter 1</t>
  </si>
  <si>
    <t>DNA repair and recombination protein RAD54B</t>
  </si>
  <si>
    <t>Neuroplastin</t>
  </si>
  <si>
    <t>Carboxypeptidase Q</t>
  </si>
  <si>
    <t>Spindlin-1</t>
  </si>
  <si>
    <t>Solute carrier family 12 member 7</t>
  </si>
  <si>
    <t>Dolichyl-phosphate beta-glucosyltransferase</t>
  </si>
  <si>
    <t>28S ribosomal protein S18b, mitochondrial</t>
  </si>
  <si>
    <t>Coatomer subunit gamma-1</t>
  </si>
  <si>
    <t>Isoform Short of Ancient ubiquitous protein 1</t>
  </si>
  <si>
    <t>Isoform 3 of Peptidyl-prolyl cis-trans isomerase FKBP7</t>
  </si>
  <si>
    <t>Lipoma HMGIC fusion partner</t>
  </si>
  <si>
    <t>Chloride intracellular channel protein 4</t>
  </si>
  <si>
    <t>Isoform Cytoplasmic of Cysteine desulfurase, mitochondrial</t>
  </si>
  <si>
    <t>UPF0468 protein C16orf80</t>
  </si>
  <si>
    <t>Transforming acidic coiled-coil-containing protein 3</t>
  </si>
  <si>
    <t>GTP-binding protein SAR1b</t>
  </si>
  <si>
    <t>Mitochondrial carrier homolog 2</t>
  </si>
  <si>
    <t>Brefeldin A-inhibited guanine nucleotide-exchange protein 2</t>
  </si>
  <si>
    <t>Brefeldin A-inhibited guanine nucleotide-exchange protein 1</t>
  </si>
  <si>
    <t>Mitotic spindle assembly checkpoint protein MAD1</t>
  </si>
  <si>
    <t>Isoform A of Serine/threonine-protein kinase 24</t>
  </si>
  <si>
    <t>COMM domain-containing protein 10</t>
  </si>
  <si>
    <t>Cytoplasmic dynein 1 light intermediate chain 1</t>
  </si>
  <si>
    <t>Coiled-coil-helix-coiled-coil-helix domain-containing protein 2, mitochondrial</t>
  </si>
  <si>
    <t>Epsin-1</t>
  </si>
  <si>
    <t>Testis-expressed sequence 264 protein</t>
  </si>
  <si>
    <t>2-5-oligoadenylate synthase 3</t>
  </si>
  <si>
    <t>NF-kappa-B essential modulator</t>
  </si>
  <si>
    <t>Isoform 4 of Casein kinase I isoform gamma-3</t>
  </si>
  <si>
    <t>Zinc transporter 1</t>
  </si>
  <si>
    <t>NADH dehydrogenase [ubiquinone] 1 beta subcomplex subunit 9</t>
  </si>
  <si>
    <t>Cytochrome c oxidase assembly protein COX11, mitochondrial</t>
  </si>
  <si>
    <t>Sulfide:quinone oxidoreductase, mitochondrial</t>
  </si>
  <si>
    <t>Isoform 4 of Roundabout homolog 1</t>
  </si>
  <si>
    <t>AP-1 complex subunit mu-2</t>
  </si>
  <si>
    <t>Isoform 2 of Nuclear receptor coactivator 3</t>
  </si>
  <si>
    <t>Adseverin</t>
  </si>
  <si>
    <t>Probable ATP-dependent RNA helicase DDX49</t>
  </si>
  <si>
    <t>Calpain-7</t>
  </si>
  <si>
    <t>Wiskott-Aldrich syndrome protein family member 2</t>
  </si>
  <si>
    <t>Bis(5-adenosyl)-triphosphatase ENPP4</t>
  </si>
  <si>
    <t>Zinc fingers and homeoboxes protein 2</t>
  </si>
  <si>
    <t>MORC family CW-type zinc finger protein 2</t>
  </si>
  <si>
    <t>Motile sperm domain-containing protein 2</t>
  </si>
  <si>
    <t>26S proteasome non-ATPase regulatory subunit 8</t>
  </si>
  <si>
    <t>GDH/6PGL endoplasmic bifunctional protein</t>
  </si>
  <si>
    <t>Polycomb complex protein BMI-1</t>
  </si>
  <si>
    <t>Ran-binding protein 10</t>
  </si>
  <si>
    <t>Serine protease 56</t>
  </si>
  <si>
    <t>Protein tyrosine phosphatase type IVA 2</t>
  </si>
  <si>
    <t>YTH domain family protein 3</t>
  </si>
  <si>
    <t>Protein S100-A6 (Fragment)</t>
  </si>
  <si>
    <t>DENN domain-containing protein 4C</t>
  </si>
  <si>
    <t>Pleckstrin homology-like domain family A member 1</t>
  </si>
  <si>
    <t>Adrenocortical dysplasia protein homolog (Fragment)</t>
  </si>
  <si>
    <t>26S protease regulatory subunit 6A</t>
  </si>
  <si>
    <t>UBA6</t>
  </si>
  <si>
    <t>KIAA1598</t>
  </si>
  <si>
    <t>TMEM223</t>
  </si>
  <si>
    <t>KIAA0999</t>
  </si>
  <si>
    <t>MARVELD2</t>
  </si>
  <si>
    <t>ILVBL</t>
  </si>
  <si>
    <t>C17orf89</t>
  </si>
  <si>
    <t>SH3PXD2B</t>
  </si>
  <si>
    <t>ACO2</t>
  </si>
  <si>
    <t>RALGAPB</t>
  </si>
  <si>
    <t>AAR2</t>
  </si>
  <si>
    <t>PRNP</t>
  </si>
  <si>
    <t>VEGFA</t>
  </si>
  <si>
    <t>FRMD3</t>
  </si>
  <si>
    <t>HLA-C</t>
  </si>
  <si>
    <t>HLA-DQB1</t>
  </si>
  <si>
    <t>NBAS</t>
  </si>
  <si>
    <t>KIAA1467</t>
  </si>
  <si>
    <t>TYW5</t>
  </si>
  <si>
    <t>SBNO1</t>
  </si>
  <si>
    <t>ISPD</t>
  </si>
  <si>
    <t>FAM221A</t>
  </si>
  <si>
    <t>GTPBP10</t>
  </si>
  <si>
    <t>KLRG2</t>
  </si>
  <si>
    <t>LCHN</t>
  </si>
  <si>
    <t>DKFZP586J0619</t>
  </si>
  <si>
    <t>MBLAC1</t>
  </si>
  <si>
    <t>TMEM189</t>
  </si>
  <si>
    <t>CNOT1</t>
  </si>
  <si>
    <t>ARHGEF35</t>
  </si>
  <si>
    <t>CCDC88B</t>
  </si>
  <si>
    <t>SDCCAG8</t>
  </si>
  <si>
    <t>PGP</t>
  </si>
  <si>
    <t>C5orf51</t>
  </si>
  <si>
    <t>RCCD1</t>
  </si>
  <si>
    <t>HCFC1</t>
  </si>
  <si>
    <t>PIGK</t>
  </si>
  <si>
    <t>TSPAN14</t>
  </si>
  <si>
    <t>ZNF316</t>
  </si>
  <si>
    <t>CHMP1A</t>
  </si>
  <si>
    <t>PRCC</t>
  </si>
  <si>
    <t>DYNLT3</t>
  </si>
  <si>
    <t>ZMYM3</t>
  </si>
  <si>
    <t>SNRPE</t>
  </si>
  <si>
    <t>TUBAL3</t>
  </si>
  <si>
    <t>SMCHD1</t>
  </si>
  <si>
    <t>UNC119B</t>
  </si>
  <si>
    <t>NDEL1</t>
  </si>
  <si>
    <t>METTL15</t>
  </si>
  <si>
    <t>C13orf23</t>
  </si>
  <si>
    <t>LIPT2</t>
  </si>
  <si>
    <t>CDKN1C</t>
  </si>
  <si>
    <t>CCDC85C</t>
  </si>
  <si>
    <t>GPR89C</t>
  </si>
  <si>
    <t>SEPT8</t>
  </si>
  <si>
    <t>DIAPH2</t>
  </si>
  <si>
    <t>POLA1</t>
  </si>
  <si>
    <t>CD9</t>
  </si>
  <si>
    <t>AIF1L</t>
  </si>
  <si>
    <t>PIP5K1A</t>
  </si>
  <si>
    <t>ARHGAP32</t>
  </si>
  <si>
    <t>SOBP</t>
  </si>
  <si>
    <t>ZBTB8OS</t>
  </si>
  <si>
    <t>SELK</t>
  </si>
  <si>
    <t>HSPA8</t>
  </si>
  <si>
    <t>YDJC</t>
  </si>
  <si>
    <t>MLLT4</t>
  </si>
  <si>
    <t>RTFDC1</t>
  </si>
  <si>
    <t>RTN1</t>
  </si>
  <si>
    <t>FAM3B</t>
  </si>
  <si>
    <t>ARMC8</t>
  </si>
  <si>
    <t>hCG_1988162</t>
  </si>
  <si>
    <t>DSCR3</t>
  </si>
  <si>
    <t>TMEM147</t>
  </si>
  <si>
    <t>HOOK1</t>
  </si>
  <si>
    <t>SUMO3</t>
  </si>
  <si>
    <t>TUBA4A</t>
  </si>
  <si>
    <t>BICD1</t>
  </si>
  <si>
    <t>PLRG1</t>
  </si>
  <si>
    <t>MT1F</t>
  </si>
  <si>
    <t>KIAA1324L</t>
  </si>
  <si>
    <t>ERCC2</t>
  </si>
  <si>
    <t>REEP6</t>
  </si>
  <si>
    <t>MATR3</t>
  </si>
  <si>
    <t>PTTG1IP</t>
  </si>
  <si>
    <t>NUDT19</t>
  </si>
  <si>
    <t>PIK3C3</t>
  </si>
  <si>
    <t>STX1A</t>
  </si>
  <si>
    <t>RUNX1</t>
  </si>
  <si>
    <t>MIF4GD</t>
  </si>
  <si>
    <t>SRRM1</t>
  </si>
  <si>
    <t>EIF3L</t>
  </si>
  <si>
    <t>SMCR7L</t>
  </si>
  <si>
    <t>TBC1D22A</t>
  </si>
  <si>
    <t>EWSR1</t>
  </si>
  <si>
    <t>TFEB</t>
  </si>
  <si>
    <t>SLC25A17</t>
  </si>
  <si>
    <t>BAG6</t>
  </si>
  <si>
    <t>ABHD16A</t>
  </si>
  <si>
    <t>EHMT2</t>
  </si>
  <si>
    <t>VARS</t>
  </si>
  <si>
    <t>PSMB9</t>
  </si>
  <si>
    <t>APOC3</t>
  </si>
  <si>
    <t>VIM</t>
  </si>
  <si>
    <t>TSPO</t>
  </si>
  <si>
    <t>NHP2L1</t>
  </si>
  <si>
    <t>HMGCL</t>
  </si>
  <si>
    <t>MAD2L2</t>
  </si>
  <si>
    <t>ESPN</t>
  </si>
  <si>
    <t>NRD1</t>
  </si>
  <si>
    <t>OSBPL9</t>
  </si>
  <si>
    <t>EIF4ENIF1</t>
  </si>
  <si>
    <t>NFIA</t>
  </si>
  <si>
    <t>ATP1A2</t>
  </si>
  <si>
    <t>CDC37L1</t>
  </si>
  <si>
    <t>SMG7</t>
  </si>
  <si>
    <t>PHYH</t>
  </si>
  <si>
    <t>ARHGEF7</t>
  </si>
  <si>
    <t>TMEM9</t>
  </si>
  <si>
    <t>UBE2J2</t>
  </si>
  <si>
    <t>SEPT6</t>
  </si>
  <si>
    <t>CD58</t>
  </si>
  <si>
    <t>EIF4G3</t>
  </si>
  <si>
    <t>PRSS3</t>
  </si>
  <si>
    <t>GUK1</t>
  </si>
  <si>
    <t>USF1</t>
  </si>
  <si>
    <t>GMEB1</t>
  </si>
  <si>
    <t>MUC1</t>
  </si>
  <si>
    <t>PSAP</t>
  </si>
  <si>
    <t>TAP1</t>
  </si>
  <si>
    <t>ACTN2</t>
  </si>
  <si>
    <t>PHC2</t>
  </si>
  <si>
    <t>EIF3S3</t>
  </si>
  <si>
    <t>EIF3F</t>
  </si>
  <si>
    <t>LZTFL1</t>
  </si>
  <si>
    <t>DCLRE1C</t>
  </si>
  <si>
    <t>PLTP</t>
  </si>
  <si>
    <t>SOD2</t>
  </si>
  <si>
    <t>UXS1</t>
  </si>
  <si>
    <t>PHF23</t>
  </si>
  <si>
    <t>CENPH</t>
  </si>
  <si>
    <t>DDX58</t>
  </si>
  <si>
    <t>AP1G1</t>
  </si>
  <si>
    <t>SLC12A6</t>
  </si>
  <si>
    <t>CDIPT</t>
  </si>
  <si>
    <t>ARL6IP4</t>
  </si>
  <si>
    <t>CNN2</t>
  </si>
  <si>
    <t>CLPTM1</t>
  </si>
  <si>
    <t>SIRT6</t>
  </si>
  <si>
    <t>HARS2</t>
  </si>
  <si>
    <t>SLC35A2</t>
  </si>
  <si>
    <t>REEP2</t>
  </si>
  <si>
    <t>PRNPIP</t>
  </si>
  <si>
    <t>HUS1</t>
  </si>
  <si>
    <t>COMMD1</t>
  </si>
  <si>
    <t>DYNLRB1</t>
  </si>
  <si>
    <t>CTNNB1</t>
  </si>
  <si>
    <t>PIP4K2A</t>
  </si>
  <si>
    <t>MAP1S</t>
  </si>
  <si>
    <t>MSI2</t>
  </si>
  <si>
    <t>LRRC28</t>
  </si>
  <si>
    <t>PIP5K1B</t>
  </si>
  <si>
    <t>EIF2AK1</t>
  </si>
  <si>
    <t>RAB5A</t>
  </si>
  <si>
    <t>DHRS13</t>
  </si>
  <si>
    <t>SNRPD3</t>
  </si>
  <si>
    <t>CS</t>
  </si>
  <si>
    <t>PWP1</t>
  </si>
  <si>
    <t>TOP3A</t>
  </si>
  <si>
    <t>ZNF286A</t>
  </si>
  <si>
    <t>LSR</t>
  </si>
  <si>
    <t>CHURC1-FNTB</t>
  </si>
  <si>
    <t>C2orf18</t>
  </si>
  <si>
    <t>SLC25A10</t>
  </si>
  <si>
    <t>NQO1</t>
  </si>
  <si>
    <t>RPS6KB1</t>
  </si>
  <si>
    <t>PGS1</t>
  </si>
  <si>
    <t>RNF220</t>
  </si>
  <si>
    <t>FAM45A</t>
  </si>
  <si>
    <t>PTGES3</t>
  </si>
  <si>
    <t>SLC25A16</t>
  </si>
  <si>
    <t>TOX4</t>
  </si>
  <si>
    <t>TRA2A</t>
  </si>
  <si>
    <t>PGD</t>
  </si>
  <si>
    <t>MTMR8</t>
  </si>
  <si>
    <t>HIST2H2BF</t>
  </si>
  <si>
    <t>SEC61A1</t>
  </si>
  <si>
    <t>CHM</t>
  </si>
  <si>
    <t>ZDHHC20</t>
  </si>
  <si>
    <t>SH2D3A</t>
  </si>
  <si>
    <t>C9orf41</t>
  </si>
  <si>
    <t>PTBP2</t>
  </si>
  <si>
    <t>ANXA7</t>
  </si>
  <si>
    <t>SLC25A46</t>
  </si>
  <si>
    <t>HNRNPD</t>
  </si>
  <si>
    <t>SLC9A1</t>
  </si>
  <si>
    <t>SLC35F2</t>
  </si>
  <si>
    <t>MYLK</t>
  </si>
  <si>
    <t>SERINC3</t>
  </si>
  <si>
    <t>ANXA11</t>
  </si>
  <si>
    <t>EIF3D</t>
  </si>
  <si>
    <t>NDUFAF6</t>
  </si>
  <si>
    <t>HACL1</t>
  </si>
  <si>
    <t>CNKSR1</t>
  </si>
  <si>
    <t>FXR1</t>
  </si>
  <si>
    <t>NUP35</t>
  </si>
  <si>
    <t>JAG1</t>
  </si>
  <si>
    <t>SYPL2</t>
  </si>
  <si>
    <t>HDAC6</t>
  </si>
  <si>
    <t>TMEM134</t>
  </si>
  <si>
    <t>PEX5</t>
  </si>
  <si>
    <t>PBXIP1</t>
  </si>
  <si>
    <t>ARMC6</t>
  </si>
  <si>
    <t>RIOK3</t>
  </si>
  <si>
    <t>SDC4</t>
  </si>
  <si>
    <t>NET1</t>
  </si>
  <si>
    <t>SFRS3</t>
  </si>
  <si>
    <t>LAMP2</t>
  </si>
  <si>
    <t>HADHB</t>
  </si>
  <si>
    <t>METTL13</t>
  </si>
  <si>
    <t>USP28</t>
  </si>
  <si>
    <t>CHCHD10</t>
  </si>
  <si>
    <t>CDCA5</t>
  </si>
  <si>
    <t>TCN2</t>
  </si>
  <si>
    <t>STEAP2</t>
  </si>
  <si>
    <t>LIMK2</t>
  </si>
  <si>
    <t>MPV17</t>
  </si>
  <si>
    <t>EPCAM</t>
  </si>
  <si>
    <t>PES1</t>
  </si>
  <si>
    <t>PPM1F</t>
  </si>
  <si>
    <t>RFT1</t>
  </si>
  <si>
    <t>C2orf43</t>
  </si>
  <si>
    <t>METTL8</t>
  </si>
  <si>
    <t>PPP1R12C</t>
  </si>
  <si>
    <t>CWC22</t>
  </si>
  <si>
    <t>EML3</t>
  </si>
  <si>
    <t>RIC8B</t>
  </si>
  <si>
    <t>DTNB</t>
  </si>
  <si>
    <t>PDIA6</t>
  </si>
  <si>
    <t>MTMR9</t>
  </si>
  <si>
    <t>RPS6KA5</t>
  </si>
  <si>
    <t>TSPAN5</t>
  </si>
  <si>
    <t>MTMR1</t>
  </si>
  <si>
    <t>ALAD</t>
  </si>
  <si>
    <t>NPEPPS</t>
  </si>
  <si>
    <t>FGD4</t>
  </si>
  <si>
    <t>DNASE2</t>
  </si>
  <si>
    <t>P2RX4</t>
  </si>
  <si>
    <t>CCBL1</t>
  </si>
  <si>
    <t>F11R</t>
  </si>
  <si>
    <t>SLC27A1</t>
  </si>
  <si>
    <t>ABR</t>
  </si>
  <si>
    <t>ZNF346</t>
  </si>
  <si>
    <t>DECR1</t>
  </si>
  <si>
    <t>TNFAIP1</t>
  </si>
  <si>
    <t>MLLT3</t>
  </si>
  <si>
    <t>RANBP3</t>
  </si>
  <si>
    <t>ZKSCAN4</t>
  </si>
  <si>
    <t>AMN1</t>
  </si>
  <si>
    <t>USP7</t>
  </si>
  <si>
    <t>DHCR24</t>
  </si>
  <si>
    <t>ATP6AP2</t>
  </si>
  <si>
    <t>CALB1</t>
  </si>
  <si>
    <t>ATP1B1</t>
  </si>
  <si>
    <t>PMS1</t>
  </si>
  <si>
    <t>GALK2</t>
  </si>
  <si>
    <t>FOXP4</t>
  </si>
  <si>
    <t>SH3GLB2</t>
  </si>
  <si>
    <t>PPP2R5E</t>
  </si>
  <si>
    <t>UBXN2A</t>
  </si>
  <si>
    <t>SCARB1</t>
  </si>
  <si>
    <t>SMPD3</t>
  </si>
  <si>
    <t>COX18</t>
  </si>
  <si>
    <t>CLASP1</t>
  </si>
  <si>
    <t>EDEM3</t>
  </si>
  <si>
    <t>RLTPR</t>
  </si>
  <si>
    <t>CCDC115</t>
  </si>
  <si>
    <t>PIGQ</t>
  </si>
  <si>
    <t>LSM5</t>
  </si>
  <si>
    <t>STK16</t>
  </si>
  <si>
    <t>SUMO1</t>
  </si>
  <si>
    <t>PTMA</t>
  </si>
  <si>
    <t>NAB1</t>
  </si>
  <si>
    <t>ATF2</t>
  </si>
  <si>
    <t>COQ10B</t>
  </si>
  <si>
    <t>AGFG1</t>
  </si>
  <si>
    <t>USP39</t>
  </si>
  <si>
    <t>RHBDD1</t>
  </si>
  <si>
    <t>COA5</t>
  </si>
  <si>
    <t>IMMT</t>
  </si>
  <si>
    <t>RBM12B</t>
  </si>
  <si>
    <t>BAK1</t>
  </si>
  <si>
    <t>ATG12</t>
  </si>
  <si>
    <t>KREMEN1</t>
  </si>
  <si>
    <t>WASH3P</t>
  </si>
  <si>
    <t>MAZ</t>
  </si>
  <si>
    <t>MED30S</t>
  </si>
  <si>
    <t>MRPL2</t>
  </si>
  <si>
    <t>TRABD2A</t>
  </si>
  <si>
    <t>CUTA</t>
  </si>
  <si>
    <t>NDUFB2</t>
  </si>
  <si>
    <t>ZC3HC1</t>
  </si>
  <si>
    <t>CCDC126</t>
  </si>
  <si>
    <t>PFN2</t>
  </si>
  <si>
    <t>SRI</t>
  </si>
  <si>
    <t>PMS2</t>
  </si>
  <si>
    <t>DNAJB2</t>
  </si>
  <si>
    <t>MEGF9</t>
  </si>
  <si>
    <t>UBE2F</t>
  </si>
  <si>
    <t>SLC4A10</t>
  </si>
  <si>
    <t>UBE2E1</t>
  </si>
  <si>
    <t>TAMM41</t>
  </si>
  <si>
    <t>IKBKG</t>
  </si>
  <si>
    <t>POLR2B</t>
  </si>
  <si>
    <t>CROT</t>
  </si>
  <si>
    <t>C2orf49</t>
  </si>
  <si>
    <t>IL8</t>
  </si>
  <si>
    <t>RPL37A</t>
  </si>
  <si>
    <t>PDCD10</t>
  </si>
  <si>
    <t>IGF1R</t>
  </si>
  <si>
    <t>ARHGAP31</t>
  </si>
  <si>
    <t>HDAC10</t>
  </si>
  <si>
    <t>ALDH5A1</t>
  </si>
  <si>
    <t>SYNPR</t>
  </si>
  <si>
    <t>RPSA</t>
  </si>
  <si>
    <t>COA1</t>
  </si>
  <si>
    <t>NMD3</t>
  </si>
  <si>
    <t>SSR3</t>
  </si>
  <si>
    <t>BBX</t>
  </si>
  <si>
    <t>SRSF7</t>
  </si>
  <si>
    <t>NCK1</t>
  </si>
  <si>
    <t>FXN</t>
  </si>
  <si>
    <t>BSDC1</t>
  </si>
  <si>
    <t>TF</t>
  </si>
  <si>
    <t>LYG2</t>
  </si>
  <si>
    <t>SPCS1</t>
  </si>
  <si>
    <t>C7orf41</t>
  </si>
  <si>
    <t>MRPS33</t>
  </si>
  <si>
    <t>DRAP1</t>
  </si>
  <si>
    <t>MYOF</t>
  </si>
  <si>
    <t>TMUB1</t>
  </si>
  <si>
    <t>NCOR2</t>
  </si>
  <si>
    <t>CDC42EP3</t>
  </si>
  <si>
    <t>POM121C</t>
  </si>
  <si>
    <t>C19orf55</t>
  </si>
  <si>
    <t>ITM2C</t>
  </si>
  <si>
    <t>AAMP</t>
  </si>
  <si>
    <t>TYMP</t>
  </si>
  <si>
    <t>TMEM238</t>
  </si>
  <si>
    <t>APEH</t>
  </si>
  <si>
    <t>WDR53</t>
  </si>
  <si>
    <t>ITGA6</t>
  </si>
  <si>
    <t>POLR2H</t>
  </si>
  <si>
    <t>APAF1</t>
  </si>
  <si>
    <t>SEPT5</t>
  </si>
  <si>
    <t>FARP1</t>
  </si>
  <si>
    <t>OARD1</t>
  </si>
  <si>
    <t>SH3RF3</t>
  </si>
  <si>
    <t>GSTK1</t>
  </si>
  <si>
    <t>MBNL1</t>
  </si>
  <si>
    <t>CRTAP</t>
  </si>
  <si>
    <t>CCNL1</t>
  </si>
  <si>
    <t>NKIRAS2</t>
  </si>
  <si>
    <t>CCDC58</t>
  </si>
  <si>
    <t>NME6</t>
  </si>
  <si>
    <t>PPIH</t>
  </si>
  <si>
    <t>STK11IP</t>
  </si>
  <si>
    <t>SATB2</t>
  </si>
  <si>
    <t>SEC22A</t>
  </si>
  <si>
    <t>CHCHD3</t>
  </si>
  <si>
    <t>RNF123</t>
  </si>
  <si>
    <t>SLC46A1</t>
  </si>
  <si>
    <t>SERP1</t>
  </si>
  <si>
    <t>FOXJ3</t>
  </si>
  <si>
    <t>MEST</t>
  </si>
  <si>
    <t>FILIP1L</t>
  </si>
  <si>
    <t>POP7</t>
  </si>
  <si>
    <t>SYPL1</t>
  </si>
  <si>
    <t>NRCAM</t>
  </si>
  <si>
    <t>INPP5K</t>
  </si>
  <si>
    <t>RFC4</t>
  </si>
  <si>
    <t>DHRS2</t>
  </si>
  <si>
    <t>ARFGAP3</t>
  </si>
  <si>
    <t>PCBP4</t>
  </si>
  <si>
    <t>UBE2H</t>
  </si>
  <si>
    <t>RAPH1</t>
  </si>
  <si>
    <t>PrLZ</t>
  </si>
  <si>
    <t>EIF4G2</t>
  </si>
  <si>
    <t>ZCSL3</t>
  </si>
  <si>
    <t>SLC4A7</t>
  </si>
  <si>
    <t>RPL32</t>
  </si>
  <si>
    <t>NDOR1</t>
  </si>
  <si>
    <t>TAPBP</t>
  </si>
  <si>
    <t>CAMK2D</t>
  </si>
  <si>
    <t>MLF1IP</t>
  </si>
  <si>
    <t>POLR3G</t>
  </si>
  <si>
    <t>SSBP2</t>
  </si>
  <si>
    <t>TMEM161B</t>
  </si>
  <si>
    <t>FAM169A</t>
  </si>
  <si>
    <t>IRF2</t>
  </si>
  <si>
    <t>CXXC5</t>
  </si>
  <si>
    <t>FAM173B</t>
  </si>
  <si>
    <t>EIF4E</t>
  </si>
  <si>
    <t>HSD17B11</t>
  </si>
  <si>
    <t>TMEM175</t>
  </si>
  <si>
    <t>CDV3</t>
  </si>
  <si>
    <t>PET112</t>
  </si>
  <si>
    <t>CDC42SE2</t>
  </si>
  <si>
    <t>FAM175A</t>
  </si>
  <si>
    <t>CSNK1A1</t>
  </si>
  <si>
    <t>SLC38A9</t>
  </si>
  <si>
    <t>SEC31A</t>
  </si>
  <si>
    <t>STX18</t>
  </si>
  <si>
    <t>DCK</t>
  </si>
  <si>
    <t>FAM117A</t>
  </si>
  <si>
    <t>SEPT11</t>
  </si>
  <si>
    <t>CNOT6L</t>
  </si>
  <si>
    <t>CENPK</t>
  </si>
  <si>
    <t>RNASET2</t>
  </si>
  <si>
    <t>COX7A2</t>
  </si>
  <si>
    <t>CLDND1</t>
  </si>
  <si>
    <t>MFSD10</t>
  </si>
  <si>
    <t>RFESD</t>
  </si>
  <si>
    <t>SLCO4A1</t>
  </si>
  <si>
    <t>VWA8</t>
  </si>
  <si>
    <t>C15orf38-AP3S2</t>
  </si>
  <si>
    <t>GMNN</t>
  </si>
  <si>
    <t>MRPL13</t>
  </si>
  <si>
    <t>NSMCE2</t>
  </si>
  <si>
    <t>TATDN1</t>
  </si>
  <si>
    <t>TRIQK</t>
  </si>
  <si>
    <t>RWDD1</t>
  </si>
  <si>
    <t>STMN2</t>
  </si>
  <si>
    <t>DERL1</t>
  </si>
  <si>
    <t>TCEB1</t>
  </si>
  <si>
    <t>DNM3</t>
  </si>
  <si>
    <t>TMEM66</t>
  </si>
  <si>
    <t>ERLIN2</t>
  </si>
  <si>
    <t>RPL30</t>
  </si>
  <si>
    <t>TTI2</t>
  </si>
  <si>
    <t>IMPA1</t>
  </si>
  <si>
    <t>SERF1A</t>
  </si>
  <si>
    <t>IDO1</t>
  </si>
  <si>
    <t>PSEN2</t>
  </si>
  <si>
    <t>ZFAND1</t>
  </si>
  <si>
    <t>NUDT18</t>
  </si>
  <si>
    <t>CPEB4</t>
  </si>
  <si>
    <t>PTTG1</t>
  </si>
  <si>
    <t>SKP1</t>
  </si>
  <si>
    <t>MTFR1</t>
  </si>
  <si>
    <t>PIGG</t>
  </si>
  <si>
    <t>COPS6</t>
  </si>
  <si>
    <t>RNF5</t>
  </si>
  <si>
    <t>PTPN18</t>
  </si>
  <si>
    <t>ANXA6</t>
  </si>
  <si>
    <t>AKAP10</t>
  </si>
  <si>
    <t>ASAH1</t>
  </si>
  <si>
    <t>PPP1R2</t>
  </si>
  <si>
    <t>ARMC5</t>
  </si>
  <si>
    <t>RAI14</t>
  </si>
  <si>
    <t>TACC2</t>
  </si>
  <si>
    <t>KIAA0319L</t>
  </si>
  <si>
    <t>ZNF143</t>
  </si>
  <si>
    <t>NCSTN</t>
  </si>
  <si>
    <t>CALCOCO2</t>
  </si>
  <si>
    <t>ADAR</t>
  </si>
  <si>
    <t>BRCA1</t>
  </si>
  <si>
    <t>NARF</t>
  </si>
  <si>
    <t>RPL14</t>
  </si>
  <si>
    <t>CD44</t>
  </si>
  <si>
    <t>TOM1</t>
  </si>
  <si>
    <t>IBTK</t>
  </si>
  <si>
    <t>PDXDC1</t>
  </si>
  <si>
    <t>PRRC2C</t>
  </si>
  <si>
    <t>NDUFV2</t>
  </si>
  <si>
    <t>TNIP1</t>
  </si>
  <si>
    <t>NAA50</t>
  </si>
  <si>
    <t>LTF</t>
  </si>
  <si>
    <t>CORIN</t>
  </si>
  <si>
    <t>PRODH</t>
  </si>
  <si>
    <t>ARHGAP4</t>
  </si>
  <si>
    <t>SENP6</t>
  </si>
  <si>
    <t>YIPF3</t>
  </si>
  <si>
    <t>ACIN1</t>
  </si>
  <si>
    <t>RPL15</t>
  </si>
  <si>
    <t>ERMP1</t>
  </si>
  <si>
    <t>FAM193B</t>
  </si>
  <si>
    <t>GMIP</t>
  </si>
  <si>
    <t>TNS3</t>
  </si>
  <si>
    <t>ZC3H18</t>
  </si>
  <si>
    <t>HMGB3</t>
  </si>
  <si>
    <t>TTC38</t>
  </si>
  <si>
    <t>HSPA4L</t>
  </si>
  <si>
    <t>PSEN1</t>
  </si>
  <si>
    <t>PRPF31</t>
  </si>
  <si>
    <t>ITGA2</t>
  </si>
  <si>
    <t>NAT10</t>
  </si>
  <si>
    <t>CHRD</t>
  </si>
  <si>
    <t>NDUFA10</t>
  </si>
  <si>
    <t>U2SURP</t>
  </si>
  <si>
    <t>DNPEP</t>
  </si>
  <si>
    <t>RPS24</t>
  </si>
  <si>
    <t>BZW2</t>
  </si>
  <si>
    <t>GDI2</t>
  </si>
  <si>
    <t>CSNK2A1</t>
  </si>
  <si>
    <t>ABCD3</t>
  </si>
  <si>
    <t>SSFA2</t>
  </si>
  <si>
    <t>NUP54</t>
  </si>
  <si>
    <t>PGBD3</t>
  </si>
  <si>
    <t>PCM1</t>
  </si>
  <si>
    <t>MAP4</t>
  </si>
  <si>
    <t>ATG16L1</t>
  </si>
  <si>
    <t>CYFIP2</t>
  </si>
  <si>
    <t>RAI1</t>
  </si>
  <si>
    <t>SDAD1</t>
  </si>
  <si>
    <t>POLB</t>
  </si>
  <si>
    <t>MYO6</t>
  </si>
  <si>
    <t>MON1B</t>
  </si>
  <si>
    <t>SEPT10</t>
  </si>
  <si>
    <t>ABI2</t>
  </si>
  <si>
    <t>EXOC6</t>
  </si>
  <si>
    <t>ASXL2</t>
  </si>
  <si>
    <t>ZMIZ2</t>
  </si>
  <si>
    <t>SETD5</t>
  </si>
  <si>
    <t>NDUFB5</t>
  </si>
  <si>
    <t>MAST4</t>
  </si>
  <si>
    <t>SIRT2</t>
  </si>
  <si>
    <t>MPP2</t>
  </si>
  <si>
    <t>EIF4B</t>
  </si>
  <si>
    <t>PCCB</t>
  </si>
  <si>
    <t>EIF4G1</t>
  </si>
  <si>
    <t>DCTN1</t>
  </si>
  <si>
    <t>NT5DC2</t>
  </si>
  <si>
    <t>RAVER1</t>
  </si>
  <si>
    <t>GPATCH4</t>
  </si>
  <si>
    <t>ALYREF</t>
  </si>
  <si>
    <t>MLLT10</t>
  </si>
  <si>
    <t>TMEM201</t>
  </si>
  <si>
    <t>CELF2</t>
  </si>
  <si>
    <t>MARK2</t>
  </si>
  <si>
    <t>EIF2B5</t>
  </si>
  <si>
    <t>MAN2B2</t>
  </si>
  <si>
    <t>FNIP1</t>
  </si>
  <si>
    <t>GUSB</t>
  </si>
  <si>
    <t>GOSR1</t>
  </si>
  <si>
    <t>TLL1</t>
  </si>
  <si>
    <t>CKAP2</t>
  </si>
  <si>
    <t>ARVCF</t>
  </si>
  <si>
    <t>MYO1B</t>
  </si>
  <si>
    <t>RPAIN</t>
  </si>
  <si>
    <t>ITGB6</t>
  </si>
  <si>
    <t>ATP11A</t>
  </si>
  <si>
    <t>XPO7</t>
  </si>
  <si>
    <t>DIP2A</t>
  </si>
  <si>
    <t>PDPK1</t>
  </si>
  <si>
    <t>DIAPH1</t>
  </si>
  <si>
    <t>NUP155</t>
  </si>
  <si>
    <t>ACSF2</t>
  </si>
  <si>
    <t>HADH</t>
  </si>
  <si>
    <t>TBL2</t>
  </si>
  <si>
    <t>VPS41</t>
  </si>
  <si>
    <t>SLC25A19</t>
  </si>
  <si>
    <t>MAPK8IP3</t>
  </si>
  <si>
    <t>RABGEF1</t>
  </si>
  <si>
    <t>PPP2R5D</t>
  </si>
  <si>
    <t>CEP97</t>
  </si>
  <si>
    <t>RASA1</t>
  </si>
  <si>
    <t>TSN</t>
  </si>
  <si>
    <t>RPS6KA1</t>
  </si>
  <si>
    <t>MED22</t>
  </si>
  <si>
    <t>DNAJB6</t>
  </si>
  <si>
    <t>PRDX3</t>
  </si>
  <si>
    <t>MCCC1</t>
  </si>
  <si>
    <t>CYP20A1</t>
  </si>
  <si>
    <t>PIAS3</t>
  </si>
  <si>
    <t>EPB41L2</t>
  </si>
  <si>
    <t>MROH1</t>
  </si>
  <si>
    <t>MTCH2</t>
  </si>
  <si>
    <t>PHRF1</t>
  </si>
  <si>
    <t>TCP11L1</t>
  </si>
  <si>
    <t>UBXN1</t>
  </si>
  <si>
    <t>CYHR1</t>
  </si>
  <si>
    <t>CD81</t>
  </si>
  <si>
    <t>FBXO3</t>
  </si>
  <si>
    <t>EEF1D</t>
  </si>
  <si>
    <t>SNX15</t>
  </si>
  <si>
    <t>BCLAF1</t>
  </si>
  <si>
    <t>PLEKHA7</t>
  </si>
  <si>
    <t>ACAT1</t>
  </si>
  <si>
    <t>PRMT1</t>
  </si>
  <si>
    <t>UBTF</t>
  </si>
  <si>
    <t>TMEM123</t>
  </si>
  <si>
    <t>MRPL17</t>
  </si>
  <si>
    <t>TTC9C</t>
  </si>
  <si>
    <t>BTF3L4</t>
  </si>
  <si>
    <t>CLP1</t>
  </si>
  <si>
    <t>EI24</t>
  </si>
  <si>
    <t>NEDD8-MDP1</t>
  </si>
  <si>
    <t>RPL27A</t>
  </si>
  <si>
    <t>USP47</t>
  </si>
  <si>
    <t>C11orf58</t>
  </si>
  <si>
    <t>BIRC2</t>
  </si>
  <si>
    <t>CLNS1A</t>
  </si>
  <si>
    <t>FAM118B</t>
  </si>
  <si>
    <t>ATG13</t>
  </si>
  <si>
    <t>CD151</t>
  </si>
  <si>
    <t>ARHGEF12</t>
  </si>
  <si>
    <t>KCTD21</t>
  </si>
  <si>
    <t>LMO7</t>
  </si>
  <si>
    <t>ARFGAP2</t>
  </si>
  <si>
    <t>EBAG9</t>
  </si>
  <si>
    <t>DGKZ</t>
  </si>
  <si>
    <t>TXNRD1</t>
  </si>
  <si>
    <t>ARHGAP27</t>
  </si>
  <si>
    <t>CD59</t>
  </si>
  <si>
    <t>LTBP3</t>
  </si>
  <si>
    <t>RRP8</t>
  </si>
  <si>
    <t>C11orf57</t>
  </si>
  <si>
    <t>PFDN4</t>
  </si>
  <si>
    <t>FAU</t>
  </si>
  <si>
    <t>MAF1</t>
  </si>
  <si>
    <t>SLC22A18</t>
  </si>
  <si>
    <t>EIF1AD</t>
  </si>
  <si>
    <t>SCYL1</t>
  </si>
  <si>
    <t>SMCO4</t>
  </si>
  <si>
    <t>TM9SF1</t>
  </si>
  <si>
    <t>PFKFB3</t>
  </si>
  <si>
    <t>MYH14</t>
  </si>
  <si>
    <t>FGGY</t>
  </si>
  <si>
    <t>TRMT2A</t>
  </si>
  <si>
    <t>XPO4</t>
  </si>
  <si>
    <t>TRMT2B</t>
  </si>
  <si>
    <t>GTF2H3</t>
  </si>
  <si>
    <t>TMEM258</t>
  </si>
  <si>
    <t>CCDC53</t>
  </si>
  <si>
    <t>JUP</t>
  </si>
  <si>
    <t>TLDC1</t>
  </si>
  <si>
    <t>WNK1</t>
  </si>
  <si>
    <t>CHD4</t>
  </si>
  <si>
    <t>PODXL</t>
  </si>
  <si>
    <t>FAM76B</t>
  </si>
  <si>
    <t>KDM4B</t>
  </si>
  <si>
    <t>FRYL</t>
  </si>
  <si>
    <t>SUCLA2</t>
  </si>
  <si>
    <t>ATE1</t>
  </si>
  <si>
    <t>NR4A1</t>
  </si>
  <si>
    <t>DNAJB11</t>
  </si>
  <si>
    <t>DAD1</t>
  </si>
  <si>
    <t>SASS6</t>
  </si>
  <si>
    <t>PRPF19</t>
  </si>
  <si>
    <t>GPBP1</t>
  </si>
  <si>
    <t>HN1</t>
  </si>
  <si>
    <t>GALNT1</t>
  </si>
  <si>
    <t>OTUB1</t>
  </si>
  <si>
    <t>ATP6V0D1</t>
  </si>
  <si>
    <t>TM7SF2</t>
  </si>
  <si>
    <t>PXN</t>
  </si>
  <si>
    <t>PLEKHB1</t>
  </si>
  <si>
    <t>DHX36</t>
  </si>
  <si>
    <t>SLC3A2</t>
  </si>
  <si>
    <t>FAM120B</t>
  </si>
  <si>
    <t>ALKBH2</t>
  </si>
  <si>
    <t>TRIM21</t>
  </si>
  <si>
    <t>TPD52</t>
  </si>
  <si>
    <t>ANAPC5</t>
  </si>
  <si>
    <t>SOX5</t>
  </si>
  <si>
    <t>SEC23IP</t>
  </si>
  <si>
    <t>CLASRP</t>
  </si>
  <si>
    <t>GPR56</t>
  </si>
  <si>
    <t>RRN3</t>
  </si>
  <si>
    <t>DNAJA4</t>
  </si>
  <si>
    <t>ABI1</t>
  </si>
  <si>
    <t>HELB</t>
  </si>
  <si>
    <t>TXNRD2</t>
  </si>
  <si>
    <t>KIAA1211</t>
  </si>
  <si>
    <t>FLJ22184</t>
  </si>
  <si>
    <t>LRBA</t>
  </si>
  <si>
    <t>GOPC</t>
  </si>
  <si>
    <t>STARD10</t>
  </si>
  <si>
    <t>ATXN3</t>
  </si>
  <si>
    <t>CDKN3</t>
  </si>
  <si>
    <t>ANKLE2</t>
  </si>
  <si>
    <t>VMP1</t>
  </si>
  <si>
    <t>KIAA1715</t>
  </si>
  <si>
    <t>DCTN2</t>
  </si>
  <si>
    <t>PRPF4B</t>
  </si>
  <si>
    <t>XAB2</t>
  </si>
  <si>
    <t>SEC23A</t>
  </si>
  <si>
    <t>COL4A6</t>
  </si>
  <si>
    <t>KPNA6</t>
  </si>
  <si>
    <t>ATP5J2</t>
  </si>
  <si>
    <t>PDCD2</t>
  </si>
  <si>
    <t>ATP7B</t>
  </si>
  <si>
    <t>ATP6V0A1</t>
  </si>
  <si>
    <t>BRK1</t>
  </si>
  <si>
    <t>TUBA1C</t>
  </si>
  <si>
    <t>GRSF1</t>
  </si>
  <si>
    <t>IFNGR1</t>
  </si>
  <si>
    <t>CDC42BPA</t>
  </si>
  <si>
    <t>NDUFS7</t>
  </si>
  <si>
    <t>BCKDHA</t>
  </si>
  <si>
    <t>NAT1</t>
  </si>
  <si>
    <t>CLASP2</t>
  </si>
  <si>
    <t>TUFT1</t>
  </si>
  <si>
    <t>OXNAD1</t>
  </si>
  <si>
    <t>LARS</t>
  </si>
  <si>
    <t>NOL10</t>
  </si>
  <si>
    <t>FAM60A</t>
  </si>
  <si>
    <t>MRPL48</t>
  </si>
  <si>
    <t>WBP11</t>
  </si>
  <si>
    <t>MSRB3</t>
  </si>
  <si>
    <t>MGST1</t>
  </si>
  <si>
    <t>GABPB1</t>
  </si>
  <si>
    <t>MGA</t>
  </si>
  <si>
    <t>MFGE8</t>
  </si>
  <si>
    <t>RPS6KC1</t>
  </si>
  <si>
    <t>REEP1</t>
  </si>
  <si>
    <t>OGDH</t>
  </si>
  <si>
    <t>INPP4A</t>
  </si>
  <si>
    <t>MED21</t>
  </si>
  <si>
    <t>SPINT1</t>
  </si>
  <si>
    <t>TRAP1</t>
  </si>
  <si>
    <t>XRCC1</t>
  </si>
  <si>
    <t>MVK</t>
  </si>
  <si>
    <t>RABGAP1L</t>
  </si>
  <si>
    <t>SIDT2</t>
  </si>
  <si>
    <t>EPN2</t>
  </si>
  <si>
    <t>TXNIP</t>
  </si>
  <si>
    <t>SIPA1</t>
  </si>
  <si>
    <t>SMARCA1</t>
  </si>
  <si>
    <t>PPP3R1</t>
  </si>
  <si>
    <t>HYI</t>
  </si>
  <si>
    <t>TPD52L1</t>
  </si>
  <si>
    <t>NME2</t>
  </si>
  <si>
    <t>CAD</t>
  </si>
  <si>
    <t>DDX39B</t>
  </si>
  <si>
    <t>BRF1</t>
  </si>
  <si>
    <t>C12orf75</t>
  </si>
  <si>
    <t>UIMC1</t>
  </si>
  <si>
    <t>METAP2</t>
  </si>
  <si>
    <t>TMEM19</t>
  </si>
  <si>
    <t>TSPAN31</t>
  </si>
  <si>
    <t>NFYB</t>
  </si>
  <si>
    <t>PLXNA1</t>
  </si>
  <si>
    <t>FKBP11</t>
  </si>
  <si>
    <t>DAZAP2</t>
  </si>
  <si>
    <t>CNOT2</t>
  </si>
  <si>
    <t>CD63</t>
  </si>
  <si>
    <t>COPZ1</t>
  </si>
  <si>
    <t>PACS2</t>
  </si>
  <si>
    <t>CSRP2</t>
  </si>
  <si>
    <t>MON2</t>
  </si>
  <si>
    <t>ALG10B</t>
  </si>
  <si>
    <t>SLC38A1</t>
  </si>
  <si>
    <t>SCAF11</t>
  </si>
  <si>
    <t>NAP1L1</t>
  </si>
  <si>
    <t>ARL1</t>
  </si>
  <si>
    <t>LETMD1</t>
  </si>
  <si>
    <t>NACA</t>
  </si>
  <si>
    <t>C17orf49</t>
  </si>
  <si>
    <t>PPHLN1</t>
  </si>
  <si>
    <t>SLC11A2</t>
  </si>
  <si>
    <t>BTD</t>
  </si>
  <si>
    <t>RFX5</t>
  </si>
  <si>
    <t>HNRNPA1</t>
  </si>
  <si>
    <t>UBAP2L</t>
  </si>
  <si>
    <t>GOLIM4</t>
  </si>
  <si>
    <t>PBLD</t>
  </si>
  <si>
    <t>GPHN</t>
  </si>
  <si>
    <t>FAM162A</t>
  </si>
  <si>
    <t>VEZT</t>
  </si>
  <si>
    <t>SLBP</t>
  </si>
  <si>
    <t>PLS3</t>
  </si>
  <si>
    <t>FAM179A</t>
  </si>
  <si>
    <t>RAB24</t>
  </si>
  <si>
    <t>TIA1</t>
  </si>
  <si>
    <t>UNC13B</t>
  </si>
  <si>
    <t>CADPS2</t>
  </si>
  <si>
    <t>STX5</t>
  </si>
  <si>
    <t>IGF2BP2</t>
  </si>
  <si>
    <t>FSD1L</t>
  </si>
  <si>
    <t>CASK</t>
  </si>
  <si>
    <t>WNK2</t>
  </si>
  <si>
    <t>DYRK1A</t>
  </si>
  <si>
    <t>LENG8</t>
  </si>
  <si>
    <t>MED24</t>
  </si>
  <si>
    <t>CCDC93</t>
  </si>
  <si>
    <t>SLC25A26</t>
  </si>
  <si>
    <t>ADAM22</t>
  </si>
  <si>
    <t>STAG2</t>
  </si>
  <si>
    <t>SEPW1</t>
  </si>
  <si>
    <t>MRPL40</t>
  </si>
  <si>
    <t>PLD1</t>
  </si>
  <si>
    <t>GTPBP8</t>
  </si>
  <si>
    <t>SAC3D1</t>
  </si>
  <si>
    <t>KIF21A</t>
  </si>
  <si>
    <t>FRMPD2</t>
  </si>
  <si>
    <t>ATL1</t>
  </si>
  <si>
    <t>NOL8</t>
  </si>
  <si>
    <t>DNMT3A</t>
  </si>
  <si>
    <t>KSR1</t>
  </si>
  <si>
    <t>ZFAND2B</t>
  </si>
  <si>
    <t>SEC62</t>
  </si>
  <si>
    <t>ALG3</t>
  </si>
  <si>
    <t>NDUFV1</t>
  </si>
  <si>
    <t>OTUD4</t>
  </si>
  <si>
    <t>SDR16C5</t>
  </si>
  <si>
    <t>GSDMD</t>
  </si>
  <si>
    <t>DPP3</t>
  </si>
  <si>
    <t>PON2</t>
  </si>
  <si>
    <t>LOH12CR1</t>
  </si>
  <si>
    <t>ISYNA1</t>
  </si>
  <si>
    <t>ATF7IP</t>
  </si>
  <si>
    <t>GOLT1B</t>
  </si>
  <si>
    <t>ZCRB1</t>
  </si>
  <si>
    <t>RPL18</t>
  </si>
  <si>
    <t>TMCC3</t>
  </si>
  <si>
    <t>METTL10</t>
  </si>
  <si>
    <t>ACYP1</t>
  </si>
  <si>
    <t>ATP5J2-PTCD1</t>
  </si>
  <si>
    <t>FERMT2</t>
  </si>
  <si>
    <t>MYO5A</t>
  </si>
  <si>
    <t>SPATA7</t>
  </si>
  <si>
    <t>DCAF8</t>
  </si>
  <si>
    <t>NFKBIA</t>
  </si>
  <si>
    <t>DGKA</t>
  </si>
  <si>
    <t>VIPAS39</t>
  </si>
  <si>
    <t>HNRNPC</t>
  </si>
  <si>
    <t>DDX24</t>
  </si>
  <si>
    <t>FAM177A1</t>
  </si>
  <si>
    <t>CTAGE5</t>
  </si>
  <si>
    <t>CCNK</t>
  </si>
  <si>
    <t>ZFYVE1</t>
  </si>
  <si>
    <t>GSTZ1</t>
  </si>
  <si>
    <t>CDK2</t>
  </si>
  <si>
    <t>WARS</t>
  </si>
  <si>
    <t>PSMA6</t>
  </si>
  <si>
    <t>TMEM48</t>
  </si>
  <si>
    <t>ARID1B</t>
  </si>
  <si>
    <t>MAP4K4</t>
  </si>
  <si>
    <t>TTC17</t>
  </si>
  <si>
    <t>SLC26A6</t>
  </si>
  <si>
    <t>PTPRD</t>
  </si>
  <si>
    <t>PAPOLA</t>
  </si>
  <si>
    <t>LAMB1</t>
  </si>
  <si>
    <t>TRAM1</t>
  </si>
  <si>
    <t>TIMM8B</t>
  </si>
  <si>
    <t>SBF1</t>
  </si>
  <si>
    <t>SMARCB1</t>
  </si>
  <si>
    <t>GPR107</t>
  </si>
  <si>
    <t>USP11</t>
  </si>
  <si>
    <t>TJP1</t>
  </si>
  <si>
    <t>NKIRAS1</t>
  </si>
  <si>
    <t>HPS3</t>
  </si>
  <si>
    <t>PWWP2A</t>
  </si>
  <si>
    <t>CELF1</t>
  </si>
  <si>
    <t>MAU2</t>
  </si>
  <si>
    <t>TDG</t>
  </si>
  <si>
    <t>PUS1</t>
  </si>
  <si>
    <t>HNRNPH1</t>
  </si>
  <si>
    <t>SMPD4</t>
  </si>
  <si>
    <t>WDR45</t>
  </si>
  <si>
    <t>LEPREL2</t>
  </si>
  <si>
    <t>TACC1</t>
  </si>
  <si>
    <t>PPT2</t>
  </si>
  <si>
    <t>MVB12B</t>
  </si>
  <si>
    <t>TAF6</t>
  </si>
  <si>
    <t>BLOC1S1</t>
  </si>
  <si>
    <t>TH1L</t>
  </si>
  <si>
    <t>MPRIP</t>
  </si>
  <si>
    <t>MTHFD1L</t>
  </si>
  <si>
    <t>AMPD2</t>
  </si>
  <si>
    <t>SLC30A7</t>
  </si>
  <si>
    <t>ABCA3</t>
  </si>
  <si>
    <t>PRRC2B</t>
  </si>
  <si>
    <t>MYD88</t>
  </si>
  <si>
    <t>TRRAP</t>
  </si>
  <si>
    <t>NAPEPLD</t>
  </si>
  <si>
    <t>PAEP</t>
  </si>
  <si>
    <t>CIZ1</t>
  </si>
  <si>
    <t>UFM1</t>
  </si>
  <si>
    <t>SNAP47</t>
  </si>
  <si>
    <t>KDM6A</t>
  </si>
  <si>
    <t>NME4</t>
  </si>
  <si>
    <t>BRD2</t>
  </si>
  <si>
    <t>SP3</t>
  </si>
  <si>
    <t>SUN1</t>
  </si>
  <si>
    <t>CALM2</t>
  </si>
  <si>
    <t>ATP2B2</t>
  </si>
  <si>
    <t>PLXNB2</t>
  </si>
  <si>
    <t>FOXP1</t>
  </si>
  <si>
    <t>MTCH1</t>
  </si>
  <si>
    <t>TMEM222</t>
  </si>
  <si>
    <t>B4GALT7</t>
  </si>
  <si>
    <t>PRR5-ARHGAP8</t>
  </si>
  <si>
    <t>TMA16</t>
  </si>
  <si>
    <t>PCBD2</t>
  </si>
  <si>
    <t>UBE2B</t>
  </si>
  <si>
    <t>RRM2B</t>
  </si>
  <si>
    <t>UBE2W</t>
  </si>
  <si>
    <t>BNIP3L</t>
  </si>
  <si>
    <t>TXNRD3</t>
  </si>
  <si>
    <t>VPS37A</t>
  </si>
  <si>
    <t>PTK2</t>
  </si>
  <si>
    <t>TRAPPC9</t>
  </si>
  <si>
    <t>ESRP1</t>
  </si>
  <si>
    <t>CD74</t>
  </si>
  <si>
    <t>GLB1L2</t>
  </si>
  <si>
    <t>RUFY2</t>
  </si>
  <si>
    <t>PPP6R3</t>
  </si>
  <si>
    <t>CRTC2</t>
  </si>
  <si>
    <t>PPP5C</t>
  </si>
  <si>
    <t>SSSCA1</t>
  </si>
  <si>
    <t>RNASEH2C</t>
  </si>
  <si>
    <t>PELI3</t>
  </si>
  <si>
    <t>KAT5</t>
  </si>
  <si>
    <t>SMPD1</t>
  </si>
  <si>
    <t>CADM1</t>
  </si>
  <si>
    <t>PLCD3</t>
  </si>
  <si>
    <t>REXO2</t>
  </si>
  <si>
    <t>LRP6</t>
  </si>
  <si>
    <t>METTL7A</t>
  </si>
  <si>
    <t>OAS1</t>
  </si>
  <si>
    <t>FBXO21</t>
  </si>
  <si>
    <t>NGDN</t>
  </si>
  <si>
    <t>EMC4</t>
  </si>
  <si>
    <t>RPL28</t>
  </si>
  <si>
    <t>EID1</t>
  </si>
  <si>
    <t>TLE3</t>
  </si>
  <si>
    <t>POU2F1</t>
  </si>
  <si>
    <t>RFX7</t>
  </si>
  <si>
    <t>GMPR2</t>
  </si>
  <si>
    <t>ALDH1A2</t>
  </si>
  <si>
    <t>PSMA4</t>
  </si>
  <si>
    <t>MORF4L1</t>
  </si>
  <si>
    <t>C15orf57</t>
  </si>
  <si>
    <t>PBX3</t>
  </si>
  <si>
    <t>RAB8B</t>
  </si>
  <si>
    <t>SEC11A</t>
  </si>
  <si>
    <t>EMC9</t>
  </si>
  <si>
    <t>UACA</t>
  </si>
  <si>
    <t>BLM</t>
  </si>
  <si>
    <t>CD55</t>
  </si>
  <si>
    <t>DBNDD1</t>
  </si>
  <si>
    <t>DDX17</t>
  </si>
  <si>
    <t>NUB1</t>
  </si>
  <si>
    <t>GLG1</t>
  </si>
  <si>
    <t>NOL3</t>
  </si>
  <si>
    <t>COMMD4</t>
  </si>
  <si>
    <t>SPNS1</t>
  </si>
  <si>
    <t>C1orf63</t>
  </si>
  <si>
    <t>TSC2</t>
  </si>
  <si>
    <t>MPHOSPH6</t>
  </si>
  <si>
    <t>TRAPPC2L</t>
  </si>
  <si>
    <t>HEXA</t>
  </si>
  <si>
    <t>COQ7</t>
  </si>
  <si>
    <t>TK2</t>
  </si>
  <si>
    <t>MACF1</t>
  </si>
  <si>
    <t>TCF4</t>
  </si>
  <si>
    <t>CLN3</t>
  </si>
  <si>
    <t>ALDOA</t>
  </si>
  <si>
    <t>SNAPC5</t>
  </si>
  <si>
    <t>OBSCN</t>
  </si>
  <si>
    <t>UBE2I</t>
  </si>
  <si>
    <t>TMEM170A</t>
  </si>
  <si>
    <t>COG8</t>
  </si>
  <si>
    <t>DCTN5</t>
  </si>
  <si>
    <t>ZFYVE19</t>
  </si>
  <si>
    <t>UBFD1</t>
  </si>
  <si>
    <t>ABAT</t>
  </si>
  <si>
    <t>NFATC3</t>
  </si>
  <si>
    <t>FAM219B</t>
  </si>
  <si>
    <t>EIF3C</t>
  </si>
  <si>
    <t>VWA9</t>
  </si>
  <si>
    <t>CYLD</t>
  </si>
  <si>
    <t>ZNF768</t>
  </si>
  <si>
    <t>MSRB1</t>
  </si>
  <si>
    <t>GABARAPL2</t>
  </si>
  <si>
    <t>C16orf58</t>
  </si>
  <si>
    <t>BLOC1S6</t>
  </si>
  <si>
    <t>CTU2</t>
  </si>
  <si>
    <t>MAP1LC3B</t>
  </si>
  <si>
    <t>PKM</t>
  </si>
  <si>
    <t>ORC6</t>
  </si>
  <si>
    <t>CDR2</t>
  </si>
  <si>
    <t>ARL2BP</t>
  </si>
  <si>
    <t>ITFG1</t>
  </si>
  <si>
    <t>OGFOD1</t>
  </si>
  <si>
    <t>RNPS1</t>
  </si>
  <si>
    <t>LMF1</t>
  </si>
  <si>
    <t>GABARAP</t>
  </si>
  <si>
    <t>GCA</t>
  </si>
  <si>
    <t>SAP130</t>
  </si>
  <si>
    <t>METTL21A</t>
  </si>
  <si>
    <t>ESYT2</t>
  </si>
  <si>
    <t>ERGIC3</t>
  </si>
  <si>
    <t>TMEM41A</t>
  </si>
  <si>
    <t>MPC1</t>
  </si>
  <si>
    <t>DHX30</t>
  </si>
  <si>
    <t>PCMT1</t>
  </si>
  <si>
    <t>WRB</t>
  </si>
  <si>
    <t>RNF34</t>
  </si>
  <si>
    <t>INTS9</t>
  </si>
  <si>
    <t>TPM1</t>
  </si>
  <si>
    <t>KRTCAP3</t>
  </si>
  <si>
    <t>P4HB</t>
  </si>
  <si>
    <t>PDIA3</t>
  </si>
  <si>
    <t>GPC1</t>
  </si>
  <si>
    <t>RBKS</t>
  </si>
  <si>
    <t>NHEJ1</t>
  </si>
  <si>
    <t>CHL1</t>
  </si>
  <si>
    <t>SF1</t>
  </si>
  <si>
    <t>IQSEC1</t>
  </si>
  <si>
    <t>RAF1</t>
  </si>
  <si>
    <t>MZT2B</t>
  </si>
  <si>
    <t>RALGAPA2</t>
  </si>
  <si>
    <t>SLC35E1</t>
  </si>
  <si>
    <t>BET1</t>
  </si>
  <si>
    <t>CC2D1B</t>
  </si>
  <si>
    <t>APOO</t>
  </si>
  <si>
    <t>CTDSP1</t>
  </si>
  <si>
    <t>TSPAN15</t>
  </si>
  <si>
    <t>NIPSNAP1</t>
  </si>
  <si>
    <t>RPL31</t>
  </si>
  <si>
    <t>OSBP2</t>
  </si>
  <si>
    <t>NAGK</t>
  </si>
  <si>
    <t>GNS</t>
  </si>
  <si>
    <t>MITD1</t>
  </si>
  <si>
    <t>ATG2A</t>
  </si>
  <si>
    <t>TTC3</t>
  </si>
  <si>
    <t>PPAN</t>
  </si>
  <si>
    <t>ARV1</t>
  </si>
  <si>
    <t>STK19</t>
  </si>
  <si>
    <t>ITGB5</t>
  </si>
  <si>
    <t>ZMYND8</t>
  </si>
  <si>
    <t>NDFIP2</t>
  </si>
  <si>
    <t>IAH1</t>
  </si>
  <si>
    <t>GK5</t>
  </si>
  <si>
    <t>PARP14</t>
  </si>
  <si>
    <t>LCN2</t>
  </si>
  <si>
    <t>TNRC18</t>
  </si>
  <si>
    <t>MICU1</t>
  </si>
  <si>
    <t>SLC25A52</t>
  </si>
  <si>
    <t>SMG1</t>
  </si>
  <si>
    <t>GOSR2</t>
  </si>
  <si>
    <t>NSF</t>
  </si>
  <si>
    <t>DGKE</t>
  </si>
  <si>
    <t>DPH1</t>
  </si>
  <si>
    <t>SLC25A11</t>
  </si>
  <si>
    <t>ELP5</t>
  </si>
  <si>
    <t>GEMIN4</t>
  </si>
  <si>
    <t>ZNF174</t>
  </si>
  <si>
    <t>CIC</t>
  </si>
  <si>
    <t>AZI1</t>
  </si>
  <si>
    <t>FAM195B</t>
  </si>
  <si>
    <t>SLC2A4</t>
  </si>
  <si>
    <t>EIF5A</t>
  </si>
  <si>
    <t>PELP1</t>
  </si>
  <si>
    <t>RPS15A</t>
  </si>
  <si>
    <t>ATPAF1</t>
  </si>
  <si>
    <t>MYL4</t>
  </si>
  <si>
    <t>ABCC1</t>
  </si>
  <si>
    <t>NFKBIB</t>
  </si>
  <si>
    <t>NDUFAB1</t>
  </si>
  <si>
    <t>FABP5</t>
  </si>
  <si>
    <t>CACTIN</t>
  </si>
  <si>
    <t>SMARCD2</t>
  </si>
  <si>
    <t>NPC2</t>
  </si>
  <si>
    <t>DPF2</t>
  </si>
  <si>
    <t>LDLR</t>
  </si>
  <si>
    <t>NDUFA13</t>
  </si>
  <si>
    <t>KIAA0368</t>
  </si>
  <si>
    <t>FBRSL1</t>
  </si>
  <si>
    <t>PSMD9</t>
  </si>
  <si>
    <t>RCOR1</t>
  </si>
  <si>
    <t>NLRP2</t>
  </si>
  <si>
    <t>BNIP2</t>
  </si>
  <si>
    <t>TOR1AIP1</t>
  </si>
  <si>
    <t>TPM3</t>
  </si>
  <si>
    <t>NCEH1</t>
  </si>
  <si>
    <t>TBC1D8B</t>
  </si>
  <si>
    <t>APIP</t>
  </si>
  <si>
    <t>OXA1L</t>
  </si>
  <si>
    <t>MAP3K4</t>
  </si>
  <si>
    <t>SAAL1</t>
  </si>
  <si>
    <t>MYL6</t>
  </si>
  <si>
    <t>PAH</t>
  </si>
  <si>
    <t>CCS</t>
  </si>
  <si>
    <t>CYB5B</t>
  </si>
  <si>
    <t>COG4</t>
  </si>
  <si>
    <t>CHID1</t>
  </si>
  <si>
    <t>SEC16A</t>
  </si>
  <si>
    <t>YAF2</t>
  </si>
  <si>
    <t>DDX41</t>
  </si>
  <si>
    <t>SEMA4B</t>
  </si>
  <si>
    <t>MARK3</t>
  </si>
  <si>
    <t>FGFR1</t>
  </si>
  <si>
    <t>ZNF292</t>
  </si>
  <si>
    <t>CCDC41</t>
  </si>
  <si>
    <t>MYO18A</t>
  </si>
  <si>
    <t>SIPA1L1</t>
  </si>
  <si>
    <t>PTPRA</t>
  </si>
  <si>
    <t>PHACTR2</t>
  </si>
  <si>
    <t>RBM7</t>
  </si>
  <si>
    <t>KIF3A</t>
  </si>
  <si>
    <t>HDAC7</t>
  </si>
  <si>
    <t>CAMKK1</t>
  </si>
  <si>
    <t>KDM1B</t>
  </si>
  <si>
    <t>DNAJB12</t>
  </si>
  <si>
    <t>DPP8</t>
  </si>
  <si>
    <t>TRABD</t>
  </si>
  <si>
    <t>CHCHD7</t>
  </si>
  <si>
    <t>MPST</t>
  </si>
  <si>
    <t>HDAC2</t>
  </si>
  <si>
    <t>ANTXR2</t>
  </si>
  <si>
    <t>C1D</t>
  </si>
  <si>
    <t>RFXANK</t>
  </si>
  <si>
    <t>OLA1</t>
  </si>
  <si>
    <t>COPS7B</t>
  </si>
  <si>
    <t>TBC1D8</t>
  </si>
  <si>
    <t>PTRH2</t>
  </si>
  <si>
    <t>C6orf203</t>
  </si>
  <si>
    <t>PPP1R37</t>
  </si>
  <si>
    <t>SYT1</t>
  </si>
  <si>
    <t>CYTH2</t>
  </si>
  <si>
    <t>THUMPD1</t>
  </si>
  <si>
    <t>SUN2</t>
  </si>
  <si>
    <t>RAN</t>
  </si>
  <si>
    <t>GBA</t>
  </si>
  <si>
    <t>SUMF2</t>
  </si>
  <si>
    <t>APOL2</t>
  </si>
  <si>
    <t>BABAM1</t>
  </si>
  <si>
    <t>CDKN1A</t>
  </si>
  <si>
    <t>MED19</t>
  </si>
  <si>
    <t>CCDC12</t>
  </si>
  <si>
    <t>GRAMD1A</t>
  </si>
  <si>
    <t>TBCD</t>
  </si>
  <si>
    <t>C16orf55</t>
  </si>
  <si>
    <t>GSDMA</t>
  </si>
  <si>
    <t>SS18</t>
  </si>
  <si>
    <t>CBX1</t>
  </si>
  <si>
    <t>ICT1</t>
  </si>
  <si>
    <t>MBP</t>
  </si>
  <si>
    <t>CHTF8</t>
  </si>
  <si>
    <t>GGA3</t>
  </si>
  <si>
    <t>FBXL20</t>
  </si>
  <si>
    <t>DDX5</t>
  </si>
  <si>
    <t>RTTN</t>
  </si>
  <si>
    <t>CDH3</t>
  </si>
  <si>
    <t>SRSF1</t>
  </si>
  <si>
    <t>CHERP</t>
  </si>
  <si>
    <t>NSFL1C</t>
  </si>
  <si>
    <t>SMARCE1</t>
  </si>
  <si>
    <t>SCO1</t>
  </si>
  <si>
    <t>SCRN2</t>
  </si>
  <si>
    <t>SLC39A11</t>
  </si>
  <si>
    <t>CD7</t>
  </si>
  <si>
    <t>MRPS7</t>
  </si>
  <si>
    <t>SNX11</t>
  </si>
  <si>
    <t>SAP30BP</t>
  </si>
  <si>
    <t>TRAPPC8</t>
  </si>
  <si>
    <t>RPL17</t>
  </si>
  <si>
    <t>SUZ12</t>
  </si>
  <si>
    <t>YTHDC1</t>
  </si>
  <si>
    <t>RPL19</t>
  </si>
  <si>
    <t>ORMDL3</t>
  </si>
  <si>
    <t>MYL12A</t>
  </si>
  <si>
    <t>ZNF207</t>
  </si>
  <si>
    <t>YES1</t>
  </si>
  <si>
    <t>VAMP2</t>
  </si>
  <si>
    <t>LLGL2</t>
  </si>
  <si>
    <t>COPRS</t>
  </si>
  <si>
    <t>HELZ</t>
  </si>
  <si>
    <t>CYB561</t>
  </si>
  <si>
    <t>BRIP1</t>
  </si>
  <si>
    <t>VEZF1</t>
  </si>
  <si>
    <t>ABCA2</t>
  </si>
  <si>
    <t>RSL1D1</t>
  </si>
  <si>
    <t>ZFP62</t>
  </si>
  <si>
    <t>CRBN</t>
  </si>
  <si>
    <t>BAG1</t>
  </si>
  <si>
    <t>CHCHD6</t>
  </si>
  <si>
    <t>C17orf75</t>
  </si>
  <si>
    <t>LMNB2</t>
  </si>
  <si>
    <t>PITPNC1</t>
  </si>
  <si>
    <t>TMCO1</t>
  </si>
  <si>
    <t>RWDD4</t>
  </si>
  <si>
    <t>CUL4B</t>
  </si>
  <si>
    <t>MLX</t>
  </si>
  <si>
    <t>CLUH</t>
  </si>
  <si>
    <t>LOC440335</t>
  </si>
  <si>
    <t>WBP2</t>
  </si>
  <si>
    <t>NUDT16L1</t>
  </si>
  <si>
    <t>YIPF2</t>
  </si>
  <si>
    <t>SMAD4</t>
  </si>
  <si>
    <t>STX10</t>
  </si>
  <si>
    <t>SEC14L1</t>
  </si>
  <si>
    <t>RPS15</t>
  </si>
  <si>
    <t>CALR</t>
  </si>
  <si>
    <t>AP1M1</t>
  </si>
  <si>
    <t>SEC11C</t>
  </si>
  <si>
    <t>FAM210A</t>
  </si>
  <si>
    <t>H3F3B</t>
  </si>
  <si>
    <t>FOSB</t>
  </si>
  <si>
    <t>LONP1</t>
  </si>
  <si>
    <t>EVPL</t>
  </si>
  <si>
    <t>MRPL4</t>
  </si>
  <si>
    <t>PPL</t>
  </si>
  <si>
    <t>TMUB2</t>
  </si>
  <si>
    <t>CAPS</t>
  </si>
  <si>
    <t>CDC37</t>
  </si>
  <si>
    <t>PRKCSH</t>
  </si>
  <si>
    <t>KATNAL2</t>
  </si>
  <si>
    <t>TMEM205</t>
  </si>
  <si>
    <t>UBALD1</t>
  </si>
  <si>
    <t>GLYR1</t>
  </si>
  <si>
    <t>RTN2</t>
  </si>
  <si>
    <t>ZNF444</t>
  </si>
  <si>
    <t>ELOF1</t>
  </si>
  <si>
    <t>hCG_2039718</t>
  </si>
  <si>
    <t>FUT5</t>
  </si>
  <si>
    <t>NARS</t>
  </si>
  <si>
    <t>C18orf8</t>
  </si>
  <si>
    <t>PSMG2</t>
  </si>
  <si>
    <t>ATP5SL</t>
  </si>
  <si>
    <t>UBXN6</t>
  </si>
  <si>
    <t>RBM42</t>
  </si>
  <si>
    <t>MGRN1</t>
  </si>
  <si>
    <t>SLC44A2</t>
  </si>
  <si>
    <t>MOB3A</t>
  </si>
  <si>
    <t>TMEM161A</t>
  </si>
  <si>
    <t>AES</t>
  </si>
  <si>
    <t>TPM4</t>
  </si>
  <si>
    <t>FARSA</t>
  </si>
  <si>
    <t>APOC2</t>
  </si>
  <si>
    <t>EIF3K</t>
  </si>
  <si>
    <t>UBE2O</t>
  </si>
  <si>
    <t>RAD23A</t>
  </si>
  <si>
    <t>G6PC3</t>
  </si>
  <si>
    <t>DNM2</t>
  </si>
  <si>
    <t>SARS2</t>
  </si>
  <si>
    <t>PAF1</t>
  </si>
  <si>
    <t>WIZ</t>
  </si>
  <si>
    <t>USF2</t>
  </si>
  <si>
    <t>ZNF428</t>
  </si>
  <si>
    <t>EPS15L1</t>
  </si>
  <si>
    <t>LIPE</t>
  </si>
  <si>
    <t>ZFP36</t>
  </si>
  <si>
    <t>MPV17L2</t>
  </si>
  <si>
    <t>GMFG</t>
  </si>
  <si>
    <t>TUBB4A</t>
  </si>
  <si>
    <t>RPL13A</t>
  </si>
  <si>
    <t>SAMD4B</t>
  </si>
  <si>
    <t>JOSD2</t>
  </si>
  <si>
    <t>HNRNPM</t>
  </si>
  <si>
    <t>ARHGEF1</t>
  </si>
  <si>
    <t>PRKD2</t>
  </si>
  <si>
    <t>KXD1</t>
  </si>
  <si>
    <t>SPHK2</t>
  </si>
  <si>
    <t>RPS5</t>
  </si>
  <si>
    <t>AP2S1</t>
  </si>
  <si>
    <t>MRPL34</t>
  </si>
  <si>
    <t>EMC10</t>
  </si>
  <si>
    <t>POLD1</t>
  </si>
  <si>
    <t>CGB1</t>
  </si>
  <si>
    <t>SUGP2</t>
  </si>
  <si>
    <t>PEX11G</t>
  </si>
  <si>
    <t>FSD1</t>
  </si>
  <si>
    <t>RABAC1</t>
  </si>
  <si>
    <t>AGPS</t>
  </si>
  <si>
    <t>KIF2A</t>
  </si>
  <si>
    <t>DDX39A</t>
  </si>
  <si>
    <t>PDLIM1</t>
  </si>
  <si>
    <t>ACOT7</t>
  </si>
  <si>
    <t>MYO1C</t>
  </si>
  <si>
    <t>SNAP23</t>
  </si>
  <si>
    <t>HAX1</t>
  </si>
  <si>
    <t>AIP</t>
  </si>
  <si>
    <t>GTPBP1</t>
  </si>
  <si>
    <t>STXBP3</t>
  </si>
  <si>
    <t>AP3B1</t>
  </si>
  <si>
    <t>NDUFS8</t>
  </si>
  <si>
    <t>TNFRSF10A</t>
  </si>
  <si>
    <t>NFKBIE</t>
  </si>
  <si>
    <t>PSMD11</t>
  </si>
  <si>
    <t>PSMD12</t>
  </si>
  <si>
    <t>ATOX1</t>
  </si>
  <si>
    <t>CBX4</t>
  </si>
  <si>
    <t>PGRMC1</t>
  </si>
  <si>
    <t>SUPT5H</t>
  </si>
  <si>
    <t>DFFA</t>
  </si>
  <si>
    <t>RFXAP</t>
  </si>
  <si>
    <t>HIP1</t>
  </si>
  <si>
    <t>CLIC1</t>
  </si>
  <si>
    <t>TNFRSF11B</t>
  </si>
  <si>
    <t>WWP2</t>
  </si>
  <si>
    <t>PDHX</t>
  </si>
  <si>
    <t>QSOX1</t>
  </si>
  <si>
    <t>DCTN6</t>
  </si>
  <si>
    <t>SLC33A1</t>
  </si>
  <si>
    <t>WASL</t>
  </si>
  <si>
    <t>IPO5</t>
  </si>
  <si>
    <t>SAP18</t>
  </si>
  <si>
    <t>DNM1L</t>
  </si>
  <si>
    <t>RTCA</t>
  </si>
  <si>
    <t>PIK3C2A</t>
  </si>
  <si>
    <t>PIK3R2</t>
  </si>
  <si>
    <t>MANBA</t>
  </si>
  <si>
    <t>TRAF5</t>
  </si>
  <si>
    <t>AGRN</t>
  </si>
  <si>
    <t>PLOD2</t>
  </si>
  <si>
    <t>EXOC5</t>
  </si>
  <si>
    <t>HMGN4</t>
  </si>
  <si>
    <t>NDUFA4</t>
  </si>
  <si>
    <t>PSMD14</t>
  </si>
  <si>
    <t>ZNF593</t>
  </si>
  <si>
    <t>KPNA3</t>
  </si>
  <si>
    <t>STK25</t>
  </si>
  <si>
    <t>BCL9</t>
  </si>
  <si>
    <t>LAD1</t>
  </si>
  <si>
    <t>VWA5A</t>
  </si>
  <si>
    <t>SDCBP</t>
  </si>
  <si>
    <t>PITPNM1</t>
  </si>
  <si>
    <t>MPHOSPH10</t>
  </si>
  <si>
    <t>NOP56</t>
  </si>
  <si>
    <t>DDX3X</t>
  </si>
  <si>
    <t>PIR</t>
  </si>
  <si>
    <t>KPNA4</t>
  </si>
  <si>
    <t>PPP6C</t>
  </si>
  <si>
    <t>CES2</t>
  </si>
  <si>
    <t>MAN2B1</t>
  </si>
  <si>
    <t>FBP2</t>
  </si>
  <si>
    <t>UBE2C</t>
  </si>
  <si>
    <t>PDXK</t>
  </si>
  <si>
    <t>SCD</t>
  </si>
  <si>
    <t>ARID1A</t>
  </si>
  <si>
    <t>BHLHE40</t>
  </si>
  <si>
    <t>CDK2AP1</t>
  </si>
  <si>
    <t>C2CD2L</t>
  </si>
  <si>
    <t>TMEM194A</t>
  </si>
  <si>
    <t>TRAFD1</t>
  </si>
  <si>
    <t>COX7A2L</t>
  </si>
  <si>
    <t>GAPDHS</t>
  </si>
  <si>
    <t>CIT</t>
  </si>
  <si>
    <t>COPE</t>
  </si>
  <si>
    <t>AP3D1</t>
  </si>
  <si>
    <t>TOR1A</t>
  </si>
  <si>
    <t>TOR1B</t>
  </si>
  <si>
    <t>STX16</t>
  </si>
  <si>
    <t>ADAM10</t>
  </si>
  <si>
    <t>MLL2</t>
  </si>
  <si>
    <t>IMPA2</t>
  </si>
  <si>
    <t>MAP2K7</t>
  </si>
  <si>
    <t>ACOT8</t>
  </si>
  <si>
    <t>PDCD5</t>
  </si>
  <si>
    <t>PRMT5</t>
  </si>
  <si>
    <t>SLC9A3R1</t>
  </si>
  <si>
    <t>CHEK1</t>
  </si>
  <si>
    <t>TNFRSF10B</t>
  </si>
  <si>
    <t>FPGT</t>
  </si>
  <si>
    <t>TPP1</t>
  </si>
  <si>
    <t>TCERG1</t>
  </si>
  <si>
    <t>NDC80</t>
  </si>
  <si>
    <t>TNPO2</t>
  </si>
  <si>
    <t>POLR3A</t>
  </si>
  <si>
    <t>PSMA7</t>
  </si>
  <si>
    <t>SCAMP3</t>
  </si>
  <si>
    <t>OPLAH</t>
  </si>
  <si>
    <t>BACH1</t>
  </si>
  <si>
    <t>BCKDK</t>
  </si>
  <si>
    <t>IRF6</t>
  </si>
  <si>
    <t>TAX1BP3</t>
  </si>
  <si>
    <t>GIPC1</t>
  </si>
  <si>
    <t>IKBKB</t>
  </si>
  <si>
    <t>TIMM23</t>
  </si>
  <si>
    <t>HAT1</t>
  </si>
  <si>
    <t>UBE2L6</t>
  </si>
  <si>
    <t>UQCRQ</t>
  </si>
  <si>
    <t>HGS</t>
  </si>
  <si>
    <t>AURKA</t>
  </si>
  <si>
    <t>PPP1R12A</t>
  </si>
  <si>
    <t>SLC27A2</t>
  </si>
  <si>
    <t>GAK</t>
  </si>
  <si>
    <t>HNRPDL</t>
  </si>
  <si>
    <t>XPO1</t>
  </si>
  <si>
    <t>BTAF1</t>
  </si>
  <si>
    <t>ZNF609</t>
  </si>
  <si>
    <t>ZNF646</t>
  </si>
  <si>
    <t>SPTBN2</t>
  </si>
  <si>
    <t>RIMBP2</t>
  </si>
  <si>
    <t>TECPR2</t>
  </si>
  <si>
    <t>KIF3B</t>
  </si>
  <si>
    <t>PFAS</t>
  </si>
  <si>
    <t>DCLK1</t>
  </si>
  <si>
    <t>ANKRD28</t>
  </si>
  <si>
    <t>KIAA0391</t>
  </si>
  <si>
    <t>LSM1</t>
  </si>
  <si>
    <t>NPC1</t>
  </si>
  <si>
    <t>DEGS1</t>
  </si>
  <si>
    <t>SCAMP1</t>
  </si>
  <si>
    <t>SCAMP2</t>
  </si>
  <si>
    <t>ARPC1B</t>
  </si>
  <si>
    <t>ARPC2</t>
  </si>
  <si>
    <t>ARPC3</t>
  </si>
  <si>
    <t>ZBTB7B</t>
  </si>
  <si>
    <t>POLR1C</t>
  </si>
  <si>
    <t>AXIN1</t>
  </si>
  <si>
    <t>PGRMC2</t>
  </si>
  <si>
    <t>RGL2</t>
  </si>
  <si>
    <t>PFDN6</t>
  </si>
  <si>
    <t>WDR46</t>
  </si>
  <si>
    <t>GNPAT</t>
  </si>
  <si>
    <t>LAMA5</t>
  </si>
  <si>
    <t>CASC3</t>
  </si>
  <si>
    <t>MRPS12</t>
  </si>
  <si>
    <t>NDUFA1</t>
  </si>
  <si>
    <t>VGF</t>
  </si>
  <si>
    <t>RER1</t>
  </si>
  <si>
    <t>MAPK13</t>
  </si>
  <si>
    <t>SPTLC1</t>
  </si>
  <si>
    <t>SPTLC2</t>
  </si>
  <si>
    <t>OGT</t>
  </si>
  <si>
    <t>PMM2</t>
  </si>
  <si>
    <t>INPP4B</t>
  </si>
  <si>
    <t>MID1</t>
  </si>
  <si>
    <t>PPM1G</t>
  </si>
  <si>
    <t>INPPL1</t>
  </si>
  <si>
    <t>HDAC3</t>
  </si>
  <si>
    <t>BCAT2</t>
  </si>
  <si>
    <t>IPO8</t>
  </si>
  <si>
    <t>STX7</t>
  </si>
  <si>
    <t>SLC16A3</t>
  </si>
  <si>
    <t>SLC31A1</t>
  </si>
  <si>
    <t>ABCC4</t>
  </si>
  <si>
    <t>CD3EAP</t>
  </si>
  <si>
    <t>P4HA2</t>
  </si>
  <si>
    <t>YKT6</t>
  </si>
  <si>
    <t>ARPC5</t>
  </si>
  <si>
    <t>POLR2D</t>
  </si>
  <si>
    <t>RNF113A</t>
  </si>
  <si>
    <t>CLDN3</t>
  </si>
  <si>
    <t>DHX15</t>
  </si>
  <si>
    <t>RNMT</t>
  </si>
  <si>
    <t>ZZEF1</t>
  </si>
  <si>
    <t>ASAP2</t>
  </si>
  <si>
    <t>TTI1</t>
  </si>
  <si>
    <t>PLXNB1</t>
  </si>
  <si>
    <t>PJA2</t>
  </si>
  <si>
    <t>PRPF4</t>
  </si>
  <si>
    <t>PHGDH</t>
  </si>
  <si>
    <t>NDUFS4</t>
  </si>
  <si>
    <t>DYNC1LI2</t>
  </si>
  <si>
    <t>PSMD3</t>
  </si>
  <si>
    <t>RBFOX2</t>
  </si>
  <si>
    <t>PAPSS1</t>
  </si>
  <si>
    <t>ZW10</t>
  </si>
  <si>
    <t>B4GALT5</t>
  </si>
  <si>
    <t>SART1</t>
  </si>
  <si>
    <t>SPINT2</t>
  </si>
  <si>
    <t>GPAA1</t>
  </si>
  <si>
    <t>DAPK3</t>
  </si>
  <si>
    <t>ZBTB43</t>
  </si>
  <si>
    <t>AP5Z1</t>
  </si>
  <si>
    <t>CTIF</t>
  </si>
  <si>
    <t>PPIP5K2</t>
  </si>
  <si>
    <t>MAP3K7</t>
  </si>
  <si>
    <t>LYRM1</t>
  </si>
  <si>
    <t>RIPK2</t>
  </si>
  <si>
    <t>WDR62</t>
  </si>
  <si>
    <t>HNRNPR</t>
  </si>
  <si>
    <t>PRPF3</t>
  </si>
  <si>
    <t>TXNL1</t>
  </si>
  <si>
    <t>TPD52L2</t>
  </si>
  <si>
    <t>EMC8</t>
  </si>
  <si>
    <t>PRKRIR</t>
  </si>
  <si>
    <t>FIBP</t>
  </si>
  <si>
    <t>CBFA2T2</t>
  </si>
  <si>
    <t>HTRA2</t>
  </si>
  <si>
    <t>KLF4</t>
  </si>
  <si>
    <t>OIP5</t>
  </si>
  <si>
    <t>AKR7A2</t>
  </si>
  <si>
    <t>PROM1</t>
  </si>
  <si>
    <t>TGOLN2</t>
  </si>
  <si>
    <t>RAD51C</t>
  </si>
  <si>
    <t>LAMTOR5</t>
  </si>
  <si>
    <t>B3GNT1</t>
  </si>
  <si>
    <t>MED7</t>
  </si>
  <si>
    <t>ATP8B1</t>
  </si>
  <si>
    <t>FOXO3</t>
  </si>
  <si>
    <t>XRCC3</t>
  </si>
  <si>
    <t>RNF13</t>
  </si>
  <si>
    <t>DENR</t>
  </si>
  <si>
    <t>XPOT</t>
  </si>
  <si>
    <t>SPRY2</t>
  </si>
  <si>
    <t>DNPH1</t>
  </si>
  <si>
    <t>TIMM44</t>
  </si>
  <si>
    <t>TRAPPC3</t>
  </si>
  <si>
    <t>CHMP2A</t>
  </si>
  <si>
    <t>NCK2</t>
  </si>
  <si>
    <t>TSPAN6</t>
  </si>
  <si>
    <t>PRC1</t>
  </si>
  <si>
    <t>NDUFB3</t>
  </si>
  <si>
    <t>NDUFC1</t>
  </si>
  <si>
    <t>NDUFA2</t>
  </si>
  <si>
    <t>ASNA1</t>
  </si>
  <si>
    <t>BUB3</t>
  </si>
  <si>
    <t>ACTN4</t>
  </si>
  <si>
    <t>WBSCR22</t>
  </si>
  <si>
    <t>TRIAP1</t>
  </si>
  <si>
    <t>HTATSF1</t>
  </si>
  <si>
    <t>STX6</t>
  </si>
  <si>
    <t>SYNGR2</t>
  </si>
  <si>
    <t>SGTA</t>
  </si>
  <si>
    <t>LIAS</t>
  </si>
  <si>
    <t>ENSA</t>
  </si>
  <si>
    <t>SLC25A20</t>
  </si>
  <si>
    <t>SSNA1</t>
  </si>
  <si>
    <t>NUDT21</t>
  </si>
  <si>
    <t>LANCL1</t>
  </si>
  <si>
    <t>STRN</t>
  </si>
  <si>
    <t>RRP9</t>
  </si>
  <si>
    <t>SCO2</t>
  </si>
  <si>
    <t>HYAL3</t>
  </si>
  <si>
    <t>AKAP8</t>
  </si>
  <si>
    <t>GTPBP6</t>
  </si>
  <si>
    <t>SLC37A4</t>
  </si>
  <si>
    <t>ZBTB14</t>
  </si>
  <si>
    <t>IDH3B</t>
  </si>
  <si>
    <t>CALU</t>
  </si>
  <si>
    <t>AHCYL1</t>
  </si>
  <si>
    <t>EXTL3</t>
  </si>
  <si>
    <t>ORC5</t>
  </si>
  <si>
    <t>NDUFS5</t>
  </si>
  <si>
    <t>PDE6D</t>
  </si>
  <si>
    <t>PEX1</t>
  </si>
  <si>
    <t>RAD21</t>
  </si>
  <si>
    <t>AKR1B10</t>
  </si>
  <si>
    <t>TIMM8A</t>
  </si>
  <si>
    <t>DHX16</t>
  </si>
  <si>
    <t>PRPSAP2</t>
  </si>
  <si>
    <t>SMARCA5</t>
  </si>
  <si>
    <t>SPAG9</t>
  </si>
  <si>
    <t>SIPA1L3</t>
  </si>
  <si>
    <t>LCMT2</t>
  </si>
  <si>
    <t>AQR</t>
  </si>
  <si>
    <t>OPA1</t>
  </si>
  <si>
    <t>KIF1B</t>
  </si>
  <si>
    <t>KDM1A</t>
  </si>
  <si>
    <t>TBC1D4</t>
  </si>
  <si>
    <t>ECE2</t>
  </si>
  <si>
    <t>PHLPP1</t>
  </si>
  <si>
    <t>TBC1D12</t>
  </si>
  <si>
    <t>FZD6</t>
  </si>
  <si>
    <t>FADS1</t>
  </si>
  <si>
    <t>LY75</t>
  </si>
  <si>
    <t>MAN1A2</t>
  </si>
  <si>
    <t>PLXNC1</t>
  </si>
  <si>
    <t>MPZL2</t>
  </si>
  <si>
    <t>ACSL4</t>
  </si>
  <si>
    <t>SNX3</t>
  </si>
  <si>
    <t>MGEA5</t>
  </si>
  <si>
    <t>SORBS3</t>
  </si>
  <si>
    <t>SYNCRIP</t>
  </si>
  <si>
    <t>TPST1</t>
  </si>
  <si>
    <t>CDC40</t>
  </si>
  <si>
    <t>RANBP6</t>
  </si>
  <si>
    <t>NEMF</t>
  </si>
  <si>
    <t>GMDS</t>
  </si>
  <si>
    <t>NMT2</t>
  </si>
  <si>
    <t>CCNT1</t>
  </si>
  <si>
    <t>BUB1B</t>
  </si>
  <si>
    <t>PLOD3</t>
  </si>
  <si>
    <t>EIF4E2</t>
  </si>
  <si>
    <t>SEP15</t>
  </si>
  <si>
    <t>EXOC3</t>
  </si>
  <si>
    <t>KLHL41</t>
  </si>
  <si>
    <t>PLIN3</t>
  </si>
  <si>
    <t>RAD1</t>
  </si>
  <si>
    <t>PRMT3</t>
  </si>
  <si>
    <t>UGDH</t>
  </si>
  <si>
    <t>TPST2</t>
  </si>
  <si>
    <t>CTNND1</t>
  </si>
  <si>
    <t>ICMT</t>
  </si>
  <si>
    <t>PLA2G6</t>
  </si>
  <si>
    <t>EIF1B</t>
  </si>
  <si>
    <t>SNX2</t>
  </si>
  <si>
    <t>USO1</t>
  </si>
  <si>
    <t>PFKFB2</t>
  </si>
  <si>
    <t>PQBP1</t>
  </si>
  <si>
    <t>TIMM17B</t>
  </si>
  <si>
    <t>PRAF2</t>
  </si>
  <si>
    <t>DKC1</t>
  </si>
  <si>
    <t>EIF5B</t>
  </si>
  <si>
    <t>EDF1</t>
  </si>
  <si>
    <t>KIN</t>
  </si>
  <si>
    <t>DNAJA2</t>
  </si>
  <si>
    <t>BRD4</t>
  </si>
  <si>
    <t>SMPD2</t>
  </si>
  <si>
    <t>CTSL2</t>
  </si>
  <si>
    <t>PFDN1</t>
  </si>
  <si>
    <t>PPP1R11</t>
  </si>
  <si>
    <t>NBN</t>
  </si>
  <si>
    <t>RNGTT</t>
  </si>
  <si>
    <t>ABCB7</t>
  </si>
  <si>
    <t>SRGAP2</t>
  </si>
  <si>
    <t>PLXNA2</t>
  </si>
  <si>
    <t>IGSF3</t>
  </si>
  <si>
    <t>FAM20B</t>
  </si>
  <si>
    <t>EFCAB14</t>
  </si>
  <si>
    <t>WDR1</t>
  </si>
  <si>
    <t>MEGF6</t>
  </si>
  <si>
    <t>ATP9A</t>
  </si>
  <si>
    <t>N4BP1</t>
  </si>
  <si>
    <t>ROCK2</t>
  </si>
  <si>
    <t>COBL</t>
  </si>
  <si>
    <t>CPNE3</t>
  </si>
  <si>
    <t>HIP1R</t>
  </si>
  <si>
    <t>RNF40</t>
  </si>
  <si>
    <t>ZC3H11A</t>
  </si>
  <si>
    <t>TSC22D2</t>
  </si>
  <si>
    <t>NPHP4</t>
  </si>
  <si>
    <t>KDM4A</t>
  </si>
  <si>
    <t>DNAJC13</t>
  </si>
  <si>
    <t>PPP6R2</t>
  </si>
  <si>
    <t>CNOT3</t>
  </si>
  <si>
    <t>SS18L1</t>
  </si>
  <si>
    <t>ANKRD17</t>
  </si>
  <si>
    <t>ATP2C2</t>
  </si>
  <si>
    <t>XYLB</t>
  </si>
  <si>
    <t>TMEM127</t>
  </si>
  <si>
    <t>COQ9</t>
  </si>
  <si>
    <t>GGCT</t>
  </si>
  <si>
    <t>NDUFS2</t>
  </si>
  <si>
    <t>ZNF259</t>
  </si>
  <si>
    <t>GBAS</t>
  </si>
  <si>
    <t>HMMR</t>
  </si>
  <si>
    <t>PDCD6</t>
  </si>
  <si>
    <t>TBCA</t>
  </si>
  <si>
    <t>ATP6V1G1</t>
  </si>
  <si>
    <t>VPS4B</t>
  </si>
  <si>
    <t>ENTPD3</t>
  </si>
  <si>
    <t>ENTPD5</t>
  </si>
  <si>
    <t>ZNF217</t>
  </si>
  <si>
    <t>H2AFY</t>
  </si>
  <si>
    <t>SH3BGRL</t>
  </si>
  <si>
    <t>FLNB</t>
  </si>
  <si>
    <t>NCOR1</t>
  </si>
  <si>
    <t>VAMP4</t>
  </si>
  <si>
    <t>NDUFS6</t>
  </si>
  <si>
    <t>PEX14</t>
  </si>
  <si>
    <t>TRIM3</t>
  </si>
  <si>
    <t>SLC43A1</t>
  </si>
  <si>
    <t>SPAG7</t>
  </si>
  <si>
    <t>SEC22B</t>
  </si>
  <si>
    <t>PRPF40A</t>
  </si>
  <si>
    <t>CDC45</t>
  </si>
  <si>
    <t>LRCH4</t>
  </si>
  <si>
    <t>VPS26A</t>
  </si>
  <si>
    <t>NDUFB1</t>
  </si>
  <si>
    <t>PMPCB</t>
  </si>
  <si>
    <t>SAP30</t>
  </si>
  <si>
    <t>KATNA1</t>
  </si>
  <si>
    <t>PSIP1</t>
  </si>
  <si>
    <t>ERLIN1</t>
  </si>
  <si>
    <t>GPC4</t>
  </si>
  <si>
    <t>NDUFS3</t>
  </si>
  <si>
    <t>CLN5</t>
  </si>
  <si>
    <t>HSBP1</t>
  </si>
  <si>
    <t>ECI2</t>
  </si>
  <si>
    <t>TADA3</t>
  </si>
  <si>
    <t>EED</t>
  </si>
  <si>
    <t>BANF1</t>
  </si>
  <si>
    <t>SF3B1</t>
  </si>
  <si>
    <t>CSDE1</t>
  </si>
  <si>
    <t>WBP4</t>
  </si>
  <si>
    <t>MTRF1</t>
  </si>
  <si>
    <t>CRCP</t>
  </si>
  <si>
    <t>GCAT</t>
  </si>
  <si>
    <t>NPM3</t>
  </si>
  <si>
    <t>LYPLA1</t>
  </si>
  <si>
    <t>ERAL1</t>
  </si>
  <si>
    <t>CREG1</t>
  </si>
  <si>
    <t>SNRNP200</t>
  </si>
  <si>
    <t>TRMU</t>
  </si>
  <si>
    <t>TIPRL</t>
  </si>
  <si>
    <t>SURF6</t>
  </si>
  <si>
    <t>PPM1B</t>
  </si>
  <si>
    <t>UTP20</t>
  </si>
  <si>
    <t>RP2</t>
  </si>
  <si>
    <t>WDHD1</t>
  </si>
  <si>
    <t>SLC25A12</t>
  </si>
  <si>
    <t>GRAP2</t>
  </si>
  <si>
    <t>RNASEH2A</t>
  </si>
  <si>
    <t>CDC123</t>
  </si>
  <si>
    <t>SOLH</t>
  </si>
  <si>
    <t>RPP40</t>
  </si>
  <si>
    <t>EIF3G</t>
  </si>
  <si>
    <t>EIF3J</t>
  </si>
  <si>
    <t>CBR3</t>
  </si>
  <si>
    <t>PSMD10</t>
  </si>
  <si>
    <t>ZMPSTE24</t>
  </si>
  <si>
    <t>SC5D</t>
  </si>
  <si>
    <t>IDH1</t>
  </si>
  <si>
    <t>ATRN</t>
  </si>
  <si>
    <t>RBBP9</t>
  </si>
  <si>
    <t>STAM2</t>
  </si>
  <si>
    <t>ALDH1L1</t>
  </si>
  <si>
    <t>TUSC2</t>
  </si>
  <si>
    <t>ARL6IP5</t>
  </si>
  <si>
    <t>PIAS1</t>
  </si>
  <si>
    <t>BCAS2</t>
  </si>
  <si>
    <t>DCTN3</t>
  </si>
  <si>
    <t>DNAJC8</t>
  </si>
  <si>
    <t>SMNDC1</t>
  </si>
  <si>
    <t>RAD17</t>
  </si>
  <si>
    <t>ATP5H</t>
  </si>
  <si>
    <t>FLOT1</t>
  </si>
  <si>
    <t>TRIO</t>
  </si>
  <si>
    <t>ATP5L</t>
  </si>
  <si>
    <t>CPD</t>
  </si>
  <si>
    <t>GLRX3</t>
  </si>
  <si>
    <t>WFS1</t>
  </si>
  <si>
    <t>CLPX</t>
  </si>
  <si>
    <t>NEBL</t>
  </si>
  <si>
    <t>SEC14L2</t>
  </si>
  <si>
    <t>STC2</t>
  </si>
  <si>
    <t>CIAO1</t>
  </si>
  <si>
    <t>PDE5A</t>
  </si>
  <si>
    <t>DFFB</t>
  </si>
  <si>
    <t>ZFAND5</t>
  </si>
  <si>
    <t>SRP72</t>
  </si>
  <si>
    <t>JTB</t>
  </si>
  <si>
    <t>DOM3Z</t>
  </si>
  <si>
    <t>DDAH1</t>
  </si>
  <si>
    <t>URI1</t>
  </si>
  <si>
    <t>B3GAT3</t>
  </si>
  <si>
    <t>MTA2</t>
  </si>
  <si>
    <t>USP1</t>
  </si>
  <si>
    <t>STK10</t>
  </si>
  <si>
    <t>LTN1</t>
  </si>
  <si>
    <t>TOMM70A</t>
  </si>
  <si>
    <t>PLEKHG5</t>
  </si>
  <si>
    <t>IPO13</t>
  </si>
  <si>
    <t>DDHD2</t>
  </si>
  <si>
    <t>MYO1D</t>
  </si>
  <si>
    <t>MICAL2</t>
  </si>
  <si>
    <t>SEC24D</t>
  </si>
  <si>
    <t>SUPT7L</t>
  </si>
  <si>
    <t>UFL1</t>
  </si>
  <si>
    <t>SORBS2</t>
  </si>
  <si>
    <t>TMCC1</t>
  </si>
  <si>
    <t>PHF14</t>
  </si>
  <si>
    <t>TMEM63A</t>
  </si>
  <si>
    <t>UBXN7</t>
  </si>
  <si>
    <t>PROSC</t>
  </si>
  <si>
    <t>PRPF6</t>
  </si>
  <si>
    <t>DKK1</t>
  </si>
  <si>
    <t>PCF11</t>
  </si>
  <si>
    <t>NFAT5</t>
  </si>
  <si>
    <t>ENDOD1</t>
  </si>
  <si>
    <t>GLS</t>
  </si>
  <si>
    <t>USP19</t>
  </si>
  <si>
    <t>AP2A2</t>
  </si>
  <si>
    <t>HEXIM1</t>
  </si>
  <si>
    <t>RPP14</t>
  </si>
  <si>
    <t>CCNB2</t>
  </si>
  <si>
    <t>AGFG2</t>
  </si>
  <si>
    <t>SCAF4</t>
  </si>
  <si>
    <t>NDUFB6</t>
  </si>
  <si>
    <t>MFN2</t>
  </si>
  <si>
    <t>UBE4B</t>
  </si>
  <si>
    <t>ZFPL1</t>
  </si>
  <si>
    <t>IKBKAP</t>
  </si>
  <si>
    <t>NDUFA3</t>
  </si>
  <si>
    <t>NDUFB4</t>
  </si>
  <si>
    <t>SCEL</t>
  </si>
  <si>
    <t>NDUFA7</t>
  </si>
  <si>
    <t>CSPG5</t>
  </si>
  <si>
    <t>RTN3</t>
  </si>
  <si>
    <t>LETM1</t>
  </si>
  <si>
    <t>MBLL</t>
  </si>
  <si>
    <t>ZRANB2</t>
  </si>
  <si>
    <t>SNX4</t>
  </si>
  <si>
    <t>ZWINT</t>
  </si>
  <si>
    <t>VENTX</t>
  </si>
  <si>
    <t>LUC7L3</t>
  </si>
  <si>
    <t>KIF20A</t>
  </si>
  <si>
    <t>KIF4A</t>
  </si>
  <si>
    <t>KAT7</t>
  </si>
  <si>
    <t>LYPD3</t>
  </si>
  <si>
    <t>VAPB</t>
  </si>
  <si>
    <t>SNAPIN</t>
  </si>
  <si>
    <t>MPZL1</t>
  </si>
  <si>
    <t>NDUFC2</t>
  </si>
  <si>
    <t>FKBP9</t>
  </si>
  <si>
    <t>PGLS</t>
  </si>
  <si>
    <t>SMC2</t>
  </si>
  <si>
    <t>ATG7</t>
  </si>
  <si>
    <t>FARS2</t>
  </si>
  <si>
    <t>ZBTB7A</t>
  </si>
  <si>
    <t>LYPLA2</t>
  </si>
  <si>
    <t>IPO7</t>
  </si>
  <si>
    <t>ARIH2</t>
  </si>
  <si>
    <t>SLU7</t>
  </si>
  <si>
    <t>PGM3</t>
  </si>
  <si>
    <t>MOCS3</t>
  </si>
  <si>
    <t>CD2BP2</t>
  </si>
  <si>
    <t>MED26</t>
  </si>
  <si>
    <t>ZFYVE9</t>
  </si>
  <si>
    <t>ZIC2</t>
  </si>
  <si>
    <t>SVIL</t>
  </si>
  <si>
    <t>BAG4</t>
  </si>
  <si>
    <t>AHSA1</t>
  </si>
  <si>
    <t>PARN</t>
  </si>
  <si>
    <t>TGDS</t>
  </si>
  <si>
    <t>PSMG1</t>
  </si>
  <si>
    <t>SGPL1</t>
  </si>
  <si>
    <t>CLDN7</t>
  </si>
  <si>
    <t>SEC24A</t>
  </si>
  <si>
    <t>SEC24B</t>
  </si>
  <si>
    <t>NADK</t>
  </si>
  <si>
    <t>TDP2</t>
  </si>
  <si>
    <t>ETHE1</t>
  </si>
  <si>
    <t>ACSL3</t>
  </si>
  <si>
    <t>POLR1A</t>
  </si>
  <si>
    <t>YEATS4</t>
  </si>
  <si>
    <t>DUS4L</t>
  </si>
  <si>
    <t>ADCY5</t>
  </si>
  <si>
    <t>CNOT4</t>
  </si>
  <si>
    <t>STAMBP</t>
  </si>
  <si>
    <t>ATP6V1G2</t>
  </si>
  <si>
    <t>ASMTL</t>
  </si>
  <si>
    <t>CDS2</t>
  </si>
  <si>
    <t>FGFR1OP</t>
  </si>
  <si>
    <t>PPP1R3D</t>
  </si>
  <si>
    <t>RAB3D</t>
  </si>
  <si>
    <t>SNAP29</t>
  </si>
  <si>
    <t>OXSR1</t>
  </si>
  <si>
    <t>GGPS1</t>
  </si>
  <si>
    <t>FGF19</t>
  </si>
  <si>
    <t>PTBP3</t>
  </si>
  <si>
    <t>NAA38</t>
  </si>
  <si>
    <t>AP2A1</t>
  </si>
  <si>
    <t>TTC4</t>
  </si>
  <si>
    <t>SDPR</t>
  </si>
  <si>
    <t>BAG2</t>
  </si>
  <si>
    <t>BAG3</t>
  </si>
  <si>
    <t>MLYCD</t>
  </si>
  <si>
    <t>CRYZL1</t>
  </si>
  <si>
    <t>AIFM1</t>
  </si>
  <si>
    <t>EML2</t>
  </si>
  <si>
    <t>LATS1</t>
  </si>
  <si>
    <t>NUDT14</t>
  </si>
  <si>
    <t>TSPAN13</t>
  </si>
  <si>
    <t>BPNT1</t>
  </si>
  <si>
    <t>DDAH2</t>
  </si>
  <si>
    <t>C6orf47</t>
  </si>
  <si>
    <t>TXNDC12</t>
  </si>
  <si>
    <t>ECD</t>
  </si>
  <si>
    <t>SYF2</t>
  </si>
  <si>
    <t>MBD3</t>
  </si>
  <si>
    <t>TOP3B</t>
  </si>
  <si>
    <t>NUDT3</t>
  </si>
  <si>
    <t>BCL10</t>
  </si>
  <si>
    <t>NDUFB10</t>
  </si>
  <si>
    <t>MOCS2</t>
  </si>
  <si>
    <t>TOMM40</t>
  </si>
  <si>
    <t>PEX11B</t>
  </si>
  <si>
    <t>PAK4</t>
  </si>
  <si>
    <t>CHEK2</t>
  </si>
  <si>
    <t>ACTL6A</t>
  </si>
  <si>
    <t>CYB5A</t>
  </si>
  <si>
    <t>LDHA</t>
  </si>
  <si>
    <t>ALDH1A1</t>
  </si>
  <si>
    <t>GLUD1</t>
  </si>
  <si>
    <t>DHFR</t>
  </si>
  <si>
    <t>CYB5R3</t>
  </si>
  <si>
    <t>GSR</t>
  </si>
  <si>
    <t>MT-CO2</t>
  </si>
  <si>
    <t>SOD1</t>
  </si>
  <si>
    <t>PNP</t>
  </si>
  <si>
    <t>HPRT1</t>
  </si>
  <si>
    <t>GOT2</t>
  </si>
  <si>
    <t>ABL1</t>
  </si>
  <si>
    <t>PGK1</t>
  </si>
  <si>
    <t>ADA</t>
  </si>
  <si>
    <t>MT-ATP6</t>
  </si>
  <si>
    <t>CA2</t>
  </si>
  <si>
    <t>ASS1</t>
  </si>
  <si>
    <t>CST3</t>
  </si>
  <si>
    <t>CST1</t>
  </si>
  <si>
    <t>FOS</t>
  </si>
  <si>
    <t>NRAS</t>
  </si>
  <si>
    <t>HRAS</t>
  </si>
  <si>
    <t>KRAS</t>
  </si>
  <si>
    <t>TGFB1</t>
  </si>
  <si>
    <t>HBZ</t>
  </si>
  <si>
    <t>MB</t>
  </si>
  <si>
    <t>LMNA</t>
  </si>
  <si>
    <t>APOE</t>
  </si>
  <si>
    <t>TFRC</t>
  </si>
  <si>
    <t>FTL</t>
  </si>
  <si>
    <t>FTH1</t>
  </si>
  <si>
    <t>MT2A</t>
  </si>
  <si>
    <t>MT-ATP8</t>
  </si>
  <si>
    <t>CAT</t>
  </si>
  <si>
    <t>FUCA1</t>
  </si>
  <si>
    <t>CSTB</t>
  </si>
  <si>
    <t>ANXA1</t>
  </si>
  <si>
    <t>APOB</t>
  </si>
  <si>
    <t>OAT</t>
  </si>
  <si>
    <t>TK1</t>
  </si>
  <si>
    <t>GAPDH</t>
  </si>
  <si>
    <t>ASL</t>
  </si>
  <si>
    <t>CAPNS1</t>
  </si>
  <si>
    <t>HSPB1</t>
  </si>
  <si>
    <t>TYMS</t>
  </si>
  <si>
    <t>RPN1</t>
  </si>
  <si>
    <t>RPN2</t>
  </si>
  <si>
    <t>GNAI2</t>
  </si>
  <si>
    <t>SLC4A2</t>
  </si>
  <si>
    <t>ATP1A1</t>
  </si>
  <si>
    <t>CHGB</t>
  </si>
  <si>
    <t>APP</t>
  </si>
  <si>
    <t>ALDH2</t>
  </si>
  <si>
    <t>HMGN1</t>
  </si>
  <si>
    <t>SLC25A5</t>
  </si>
  <si>
    <t>ISG15</t>
  </si>
  <si>
    <t>PCCA</t>
  </si>
  <si>
    <t>EIF2S1</t>
  </si>
  <si>
    <t>HMGN2</t>
  </si>
  <si>
    <t>ICAM1</t>
  </si>
  <si>
    <t>RPLP1</t>
  </si>
  <si>
    <t>RPLP2</t>
  </si>
  <si>
    <t>RPLP0</t>
  </si>
  <si>
    <t>JUN</t>
  </si>
  <si>
    <t>SSB</t>
  </si>
  <si>
    <t>ITGB1</t>
  </si>
  <si>
    <t>KRT18</t>
  </si>
  <si>
    <t>MYL1</t>
  </si>
  <si>
    <t>UROD</t>
  </si>
  <si>
    <t>BCHE</t>
  </si>
  <si>
    <t>GLA</t>
  </si>
  <si>
    <t>GSN</t>
  </si>
  <si>
    <t>RB1</t>
  </si>
  <si>
    <t>CDK1</t>
  </si>
  <si>
    <t>ATP5B</t>
  </si>
  <si>
    <t>ENO1</t>
  </si>
  <si>
    <t>PYGL</t>
  </si>
  <si>
    <t>GPI</t>
  </si>
  <si>
    <t>NPM1</t>
  </si>
  <si>
    <t>ITGAV</t>
  </si>
  <si>
    <t>DBI</t>
  </si>
  <si>
    <t>LDHB</t>
  </si>
  <si>
    <t>CENPB</t>
  </si>
  <si>
    <t>GPX1</t>
  </si>
  <si>
    <t>PGK2</t>
  </si>
  <si>
    <t>H1F0</t>
  </si>
  <si>
    <t>CTSD</t>
  </si>
  <si>
    <t>ANXA2</t>
  </si>
  <si>
    <t>CAPN1</t>
  </si>
  <si>
    <t>HEXB</t>
  </si>
  <si>
    <t>PFN1</t>
  </si>
  <si>
    <t>BPGM</t>
  </si>
  <si>
    <t>APRT</t>
  </si>
  <si>
    <t>EPRS</t>
  </si>
  <si>
    <t>CTSB</t>
  </si>
  <si>
    <t>HSP90AA1</t>
  </si>
  <si>
    <t>GALT</t>
  </si>
  <si>
    <t>UQCRH</t>
  </si>
  <si>
    <t>LYN</t>
  </si>
  <si>
    <t>TPM2</t>
  </si>
  <si>
    <t>FH</t>
  </si>
  <si>
    <t>GJB1</t>
  </si>
  <si>
    <t>SP1</t>
  </si>
  <si>
    <t>HSPA1A</t>
  </si>
  <si>
    <t>PFKM</t>
  </si>
  <si>
    <t>HSP90AB1</t>
  </si>
  <si>
    <t>SRPR</t>
  </si>
  <si>
    <t>ASNS</t>
  </si>
  <si>
    <t>SOD3</t>
  </si>
  <si>
    <t>HMBS</t>
  </si>
  <si>
    <t>MME</t>
  </si>
  <si>
    <t>PDHA1</t>
  </si>
  <si>
    <t>CYC1</t>
  </si>
  <si>
    <t>SNRPB2</t>
  </si>
  <si>
    <t>SNRNP70</t>
  </si>
  <si>
    <t>GNAI3</t>
  </si>
  <si>
    <t>ANXA5</t>
  </si>
  <si>
    <t>SNRPA</t>
  </si>
  <si>
    <t>FGF2</t>
  </si>
  <si>
    <t>ENO2</t>
  </si>
  <si>
    <t>ACAA1</t>
  </si>
  <si>
    <t>SRP19</t>
  </si>
  <si>
    <t>DBH</t>
  </si>
  <si>
    <t>GSTP1</t>
  </si>
  <si>
    <t>SNRPC</t>
  </si>
  <si>
    <t>LGALS1</t>
  </si>
  <si>
    <t>QDPR</t>
  </si>
  <si>
    <t>HMGB1</t>
  </si>
  <si>
    <t>FBP1</t>
  </si>
  <si>
    <t>CLTA</t>
  </si>
  <si>
    <t>CLTB</t>
  </si>
  <si>
    <t>ANXA4</t>
  </si>
  <si>
    <t>CNP</t>
  </si>
  <si>
    <t>HMOX1</t>
  </si>
  <si>
    <t>PDGFRB</t>
  </si>
  <si>
    <t>DLD</t>
  </si>
  <si>
    <t>SNRPA1</t>
  </si>
  <si>
    <t>CTSH</t>
  </si>
  <si>
    <t>COX6C</t>
  </si>
  <si>
    <t>PARP1</t>
  </si>
  <si>
    <t>LTA4H</t>
  </si>
  <si>
    <t>ALDOC</t>
  </si>
  <si>
    <t>NUDT7</t>
  </si>
  <si>
    <t>CISD3</t>
  </si>
  <si>
    <t>ATXN1L</t>
  </si>
  <si>
    <t>JMJD7</t>
  </si>
  <si>
    <t>POLR2M</t>
  </si>
  <si>
    <t>RPS17L</t>
  </si>
  <si>
    <t>SMIM13</t>
  </si>
  <si>
    <t>FDX1</t>
  </si>
  <si>
    <t>RAP2A</t>
  </si>
  <si>
    <t>TROVE2</t>
  </si>
  <si>
    <t>COX8A</t>
  </si>
  <si>
    <t>GAA</t>
  </si>
  <si>
    <t>RRAS</t>
  </si>
  <si>
    <t>ARAF</t>
  </si>
  <si>
    <t>HIST1H1E</t>
  </si>
  <si>
    <t>DLAT</t>
  </si>
  <si>
    <t>PTPRF</t>
  </si>
  <si>
    <t>NR2F6</t>
  </si>
  <si>
    <t>TXN</t>
  </si>
  <si>
    <t>COX5B</t>
  </si>
  <si>
    <t>CTSA</t>
  </si>
  <si>
    <t>MAPT</t>
  </si>
  <si>
    <t>C7</t>
  </si>
  <si>
    <t>PRKAR1A</t>
  </si>
  <si>
    <t>UROS</t>
  </si>
  <si>
    <t>ESD</t>
  </si>
  <si>
    <t>HSPD1</t>
  </si>
  <si>
    <t>CLU</t>
  </si>
  <si>
    <t>HSPA5</t>
  </si>
  <si>
    <t>LAMC1</t>
  </si>
  <si>
    <t>PNMT</t>
  </si>
  <si>
    <t>ACP2</t>
  </si>
  <si>
    <t>SLC2A1</t>
  </si>
  <si>
    <t>EPB41</t>
  </si>
  <si>
    <t>UMPS</t>
  </si>
  <si>
    <t>PDHB</t>
  </si>
  <si>
    <t>DBT</t>
  </si>
  <si>
    <t>PYGB</t>
  </si>
  <si>
    <t>RALA</t>
  </si>
  <si>
    <t>RALB</t>
  </si>
  <si>
    <t>BCR</t>
  </si>
  <si>
    <t>LAMP1</t>
  </si>
  <si>
    <t>TOP1</t>
  </si>
  <si>
    <t>TOP2A</t>
  </si>
  <si>
    <t>G6PD</t>
  </si>
  <si>
    <t>UBL4A</t>
  </si>
  <si>
    <t>PC</t>
  </si>
  <si>
    <t>MTHFD1</t>
  </si>
  <si>
    <t>IGF2R</t>
  </si>
  <si>
    <t>ADH5</t>
  </si>
  <si>
    <t>PSKH1</t>
  </si>
  <si>
    <t>CDK4</t>
  </si>
  <si>
    <t>PRPS2</t>
  </si>
  <si>
    <t>PABPC1</t>
  </si>
  <si>
    <t>PCNA</t>
  </si>
  <si>
    <t>HARS</t>
  </si>
  <si>
    <t>COL6A1</t>
  </si>
  <si>
    <t>SLC25A4</t>
  </si>
  <si>
    <t>SLC25A6</t>
  </si>
  <si>
    <t>IMPDH2</t>
  </si>
  <si>
    <t>TPR</t>
  </si>
  <si>
    <t>CKB</t>
  </si>
  <si>
    <t>ANXA3</t>
  </si>
  <si>
    <t>CKMT1A</t>
  </si>
  <si>
    <t>SKI</t>
  </si>
  <si>
    <t>ACTN1</t>
  </si>
  <si>
    <t>CDH1</t>
  </si>
  <si>
    <t>PEPD</t>
  </si>
  <si>
    <t>XRCC6</t>
  </si>
  <si>
    <t>XRCC5</t>
  </si>
  <si>
    <t>UNG</t>
  </si>
  <si>
    <t>NR2C1</t>
  </si>
  <si>
    <t>COX4I1</t>
  </si>
  <si>
    <t>ALAS1</t>
  </si>
  <si>
    <t>IFI30</t>
  </si>
  <si>
    <t>RNH1</t>
  </si>
  <si>
    <t>CYBA</t>
  </si>
  <si>
    <t>SCG2</t>
  </si>
  <si>
    <t>EEF2</t>
  </si>
  <si>
    <t>MT1G</t>
  </si>
  <si>
    <t>PDIA4</t>
  </si>
  <si>
    <t>P4HA1</t>
  </si>
  <si>
    <t>TPT1</t>
  </si>
  <si>
    <t>ETFA</t>
  </si>
  <si>
    <t>PRKAR2A</t>
  </si>
  <si>
    <t>SLC5A1</t>
  </si>
  <si>
    <t>ENO3</t>
  </si>
  <si>
    <t>GTF2F2</t>
  </si>
  <si>
    <t>CCDC130</t>
  </si>
  <si>
    <t>MTHFD2</t>
  </si>
  <si>
    <t>MIF</t>
  </si>
  <si>
    <t>PRF1</t>
  </si>
  <si>
    <t>FDPS</t>
  </si>
  <si>
    <t>AKR1A1</t>
  </si>
  <si>
    <t>PLA2G2A</t>
  </si>
  <si>
    <t>ACYP2</t>
  </si>
  <si>
    <t>HSP90B1</t>
  </si>
  <si>
    <t>CCNB1</t>
  </si>
  <si>
    <t>MYL6B</t>
  </si>
  <si>
    <t>SNRPB</t>
  </si>
  <si>
    <t>IDE</t>
  </si>
  <si>
    <t>COX6B1</t>
  </si>
  <si>
    <t>HNRNPL</t>
  </si>
  <si>
    <t>DARS</t>
  </si>
  <si>
    <t>UQCRB</t>
  </si>
  <si>
    <t>GLUL</t>
  </si>
  <si>
    <t>ANPEP</t>
  </si>
  <si>
    <t>PVR</t>
  </si>
  <si>
    <t>GSPT1</t>
  </si>
  <si>
    <t>ARSA</t>
  </si>
  <si>
    <t>B4GALT1</t>
  </si>
  <si>
    <t>EZR</t>
  </si>
  <si>
    <t>UCHL3</t>
  </si>
  <si>
    <t>FOSL1</t>
  </si>
  <si>
    <t>CD46</t>
  </si>
  <si>
    <t>NME1</t>
  </si>
  <si>
    <t>HIVEP1</t>
  </si>
  <si>
    <t>ARSB</t>
  </si>
  <si>
    <t>RPS2</t>
  </si>
  <si>
    <t>CHN1</t>
  </si>
  <si>
    <t>DSP</t>
  </si>
  <si>
    <t>RPA2</t>
  </si>
  <si>
    <t>COX7C</t>
  </si>
  <si>
    <t>ITGB4</t>
  </si>
  <si>
    <t>CBR1</t>
  </si>
  <si>
    <t>HLA-A</t>
  </si>
  <si>
    <t>ACADS</t>
  </si>
  <si>
    <t>CREB1</t>
  </si>
  <si>
    <t>GLB1</t>
  </si>
  <si>
    <t>PPP3CB</t>
  </si>
  <si>
    <t>GCFC2</t>
  </si>
  <si>
    <t>HIST1H1B</t>
  </si>
  <si>
    <t>POR</t>
  </si>
  <si>
    <t>MGMT</t>
  </si>
  <si>
    <t>ATP2A2</t>
  </si>
  <si>
    <t>CPE</t>
  </si>
  <si>
    <t>FAH</t>
  </si>
  <si>
    <t>STMN1</t>
  </si>
  <si>
    <t>YBX3</t>
  </si>
  <si>
    <t>ZNF24</t>
  </si>
  <si>
    <t>NAGA</t>
  </si>
  <si>
    <t>HSPA6</t>
  </si>
  <si>
    <t>HMGA1</t>
  </si>
  <si>
    <t>TMEM11</t>
  </si>
  <si>
    <t>GOT1</t>
  </si>
  <si>
    <t>PRKCA</t>
  </si>
  <si>
    <t>JUNB</t>
  </si>
  <si>
    <t>JUND</t>
  </si>
  <si>
    <t>NDUFB7</t>
  </si>
  <si>
    <t>PRKACA</t>
  </si>
  <si>
    <t>CAPN2</t>
  </si>
  <si>
    <t>PTPN2</t>
  </si>
  <si>
    <t>CTPS1</t>
  </si>
  <si>
    <t>PFKL</t>
  </si>
  <si>
    <t>GM2A</t>
  </si>
  <si>
    <t>LGALS3</t>
  </si>
  <si>
    <t>TCP1</t>
  </si>
  <si>
    <t>PTPN1</t>
  </si>
  <si>
    <t>IGFBP2</t>
  </si>
  <si>
    <t>ARF4</t>
  </si>
  <si>
    <t>RPL7</t>
  </si>
  <si>
    <t>EGR1</t>
  </si>
  <si>
    <t>VCL</t>
  </si>
  <si>
    <t>GPX2</t>
  </si>
  <si>
    <t>NELFE</t>
  </si>
  <si>
    <t>PGAM1</t>
  </si>
  <si>
    <t>RCC1</t>
  </si>
  <si>
    <t>SDC1</t>
  </si>
  <si>
    <t>ATF1</t>
  </si>
  <si>
    <t>LIG1</t>
  </si>
  <si>
    <t>ATP5J</t>
  </si>
  <si>
    <t>PAM</t>
  </si>
  <si>
    <t>PLCG1</t>
  </si>
  <si>
    <t>NCL</t>
  </si>
  <si>
    <t>HK1</t>
  </si>
  <si>
    <t>POLR2C</t>
  </si>
  <si>
    <t>POLR2E</t>
  </si>
  <si>
    <t>ERCC3</t>
  </si>
  <si>
    <t>EIF2AK2</t>
  </si>
  <si>
    <t>SRM</t>
  </si>
  <si>
    <t>CSNK2A2</t>
  </si>
  <si>
    <t>NFKB1</t>
  </si>
  <si>
    <t>ATP2B1</t>
  </si>
  <si>
    <t>EIF2S2</t>
  </si>
  <si>
    <t>CCNA2</t>
  </si>
  <si>
    <t>BTF3</t>
  </si>
  <si>
    <t>CHRM3</t>
  </si>
  <si>
    <t>RAB3A</t>
  </si>
  <si>
    <t>RAB3B</t>
  </si>
  <si>
    <t>RAB4A</t>
  </si>
  <si>
    <t>RAB6A</t>
  </si>
  <si>
    <t>MSH3</t>
  </si>
  <si>
    <t>PSMB1</t>
  </si>
  <si>
    <t>M6PR</t>
  </si>
  <si>
    <t>COX5A</t>
  </si>
  <si>
    <t>LMNB1</t>
  </si>
  <si>
    <t>CAST</t>
  </si>
  <si>
    <t>AGA</t>
  </si>
  <si>
    <t>PTMS</t>
  </si>
  <si>
    <t>CDK11B</t>
  </si>
  <si>
    <t>GSTM3</t>
  </si>
  <si>
    <t>ATP6V1B2</t>
  </si>
  <si>
    <t>ATP6V1C1</t>
  </si>
  <si>
    <t>CSRP1</t>
  </si>
  <si>
    <t>FLNA</t>
  </si>
  <si>
    <t>NF1</t>
  </si>
  <si>
    <t>MAOA</t>
  </si>
  <si>
    <t>ACO1</t>
  </si>
  <si>
    <t>TNFAIP3</t>
  </si>
  <si>
    <t>GPD1</t>
  </si>
  <si>
    <t>VDAC1</t>
  </si>
  <si>
    <t>ERBB3</t>
  </si>
  <si>
    <t>SDHB</t>
  </si>
  <si>
    <t>BCKDHB</t>
  </si>
  <si>
    <t>COMT</t>
  </si>
  <si>
    <t>MUT</t>
  </si>
  <si>
    <t>OSBP</t>
  </si>
  <si>
    <t>FUT4</t>
  </si>
  <si>
    <t>FBL</t>
  </si>
  <si>
    <t>GART</t>
  </si>
  <si>
    <t>PAICS</t>
  </si>
  <si>
    <t>IDS</t>
  </si>
  <si>
    <t>SCP2</t>
  </si>
  <si>
    <t>UBA1</t>
  </si>
  <si>
    <t>SPRR2D</t>
  </si>
  <si>
    <t>FDXR</t>
  </si>
  <si>
    <t>HNRNPA2B1</t>
  </si>
  <si>
    <t>CBL</t>
  </si>
  <si>
    <t>IGFBP4</t>
  </si>
  <si>
    <t>PRKACB</t>
  </si>
  <si>
    <t>UQCRC2</t>
  </si>
  <si>
    <t>FECH</t>
  </si>
  <si>
    <t>XPA</t>
  </si>
  <si>
    <t>CES1</t>
  </si>
  <si>
    <t>TCEA1</t>
  </si>
  <si>
    <t>SFPQ</t>
  </si>
  <si>
    <t>TUBG1</t>
  </si>
  <si>
    <t>CA6</t>
  </si>
  <si>
    <t>PPIB</t>
  </si>
  <si>
    <t>ME2</t>
  </si>
  <si>
    <t>RPS3</t>
  </si>
  <si>
    <t>MYF6</t>
  </si>
  <si>
    <t>GCSH</t>
  </si>
  <si>
    <t>PTPRE</t>
  </si>
  <si>
    <t>SP100</t>
  </si>
  <si>
    <t>NFYA</t>
  </si>
  <si>
    <t>AHCY</t>
  </si>
  <si>
    <t>CFL1</t>
  </si>
  <si>
    <t>F8A1</t>
  </si>
  <si>
    <t>CPT2</t>
  </si>
  <si>
    <t>DTYMK</t>
  </si>
  <si>
    <t>RRM1</t>
  </si>
  <si>
    <t>CCND1</t>
  </si>
  <si>
    <t>NR2F2</t>
  </si>
  <si>
    <t>EEF1B2</t>
  </si>
  <si>
    <t>IGFBP5</t>
  </si>
  <si>
    <t>ACP1</t>
  </si>
  <si>
    <t>POLR2A</t>
  </si>
  <si>
    <t>APC</t>
  </si>
  <si>
    <t>ADRBK1</t>
  </si>
  <si>
    <t>MCM3</t>
  </si>
  <si>
    <t>AZGP1</t>
  </si>
  <si>
    <t>RPS12</t>
  </si>
  <si>
    <t>YY1</t>
  </si>
  <si>
    <t>DNAJB1</t>
  </si>
  <si>
    <t>ATP5A1</t>
  </si>
  <si>
    <t>PSMA1</t>
  </si>
  <si>
    <t>PSMA2</t>
  </si>
  <si>
    <t>PSMA3</t>
  </si>
  <si>
    <t>S100P</t>
  </si>
  <si>
    <t>MSN</t>
  </si>
  <si>
    <t>DDX6</t>
  </si>
  <si>
    <t>DNMT1</t>
  </si>
  <si>
    <t>U2AF2</t>
  </si>
  <si>
    <t>RPL13</t>
  </si>
  <si>
    <t>CHML</t>
  </si>
  <si>
    <t>IVD</t>
  </si>
  <si>
    <t>S100A4</t>
  </si>
  <si>
    <t>MGAT1</t>
  </si>
  <si>
    <t>HMGB2</t>
  </si>
  <si>
    <t>PTBP1</t>
  </si>
  <si>
    <t>TARS</t>
  </si>
  <si>
    <t>EEF1G</t>
  </si>
  <si>
    <t>FKBP2</t>
  </si>
  <si>
    <t>AK4</t>
  </si>
  <si>
    <t>MAOB</t>
  </si>
  <si>
    <t>YWHAQ</t>
  </si>
  <si>
    <t>MAPK3</t>
  </si>
  <si>
    <t>ATP6V0C</t>
  </si>
  <si>
    <t>CALML3</t>
  </si>
  <si>
    <t>ARNT</t>
  </si>
  <si>
    <t>RPL10</t>
  </si>
  <si>
    <t>RPA1</t>
  </si>
  <si>
    <t>APEX1</t>
  </si>
  <si>
    <t>CANX</t>
  </si>
  <si>
    <t>PIK3R1</t>
  </si>
  <si>
    <t>ITPKB</t>
  </si>
  <si>
    <t>PSMB8</t>
  </si>
  <si>
    <t>PSMA5</t>
  </si>
  <si>
    <t>PSMB4</t>
  </si>
  <si>
    <t>PSMB6</t>
  </si>
  <si>
    <t>PSMB5</t>
  </si>
  <si>
    <t>NDUFS1</t>
  </si>
  <si>
    <t>MAPK1</t>
  </si>
  <si>
    <t>RXRB</t>
  </si>
  <si>
    <t>ERCC5</t>
  </si>
  <si>
    <t>GRN</t>
  </si>
  <si>
    <t>LAP3</t>
  </si>
  <si>
    <t>S100A2</t>
  </si>
  <si>
    <t>GTF2E1</t>
  </si>
  <si>
    <t>GTF2E2</t>
  </si>
  <si>
    <t>TPP2</t>
  </si>
  <si>
    <t>EPHA2</t>
  </si>
  <si>
    <t>EPHB2</t>
  </si>
  <si>
    <t>PTPN6</t>
  </si>
  <si>
    <t>SHC1</t>
  </si>
  <si>
    <t>MPG</t>
  </si>
  <si>
    <t>CRABP2</t>
  </si>
  <si>
    <t>COL4A5</t>
  </si>
  <si>
    <t>TKT</t>
  </si>
  <si>
    <t>PML</t>
  </si>
  <si>
    <t>MARCKS</t>
  </si>
  <si>
    <t>GNA11</t>
  </si>
  <si>
    <t>ALDH4A1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</si>
  <si>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</si>
  <si>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</si>
  <si>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</si>
  <si>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</si>
  <si>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</si>
  <si>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</si>
  <si>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</si>
  <si>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</si>
  <si>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RPL12</t>
  </si>
  <si>
    <t>ECHS1</t>
  </si>
  <si>
    <t>CMPK1</t>
  </si>
  <si>
    <t>PEBP1</t>
  </si>
  <si>
    <t>PPP2R1A</t>
  </si>
  <si>
    <t>PPP2R1B</t>
  </si>
  <si>
    <t>CDC27</t>
  </si>
  <si>
    <t>CCND3</t>
  </si>
  <si>
    <t>WEE1</t>
  </si>
  <si>
    <t>PPIF</t>
  </si>
  <si>
    <t>NKTR</t>
  </si>
  <si>
    <t>NMT1</t>
  </si>
  <si>
    <t>HLA-B</t>
  </si>
  <si>
    <t>HMOX2</t>
  </si>
  <si>
    <t>ADSS</t>
  </si>
  <si>
    <t>LRPAP1</t>
  </si>
  <si>
    <t>ADSL</t>
  </si>
  <si>
    <t>PKLR</t>
  </si>
  <si>
    <t>CLIP1</t>
  </si>
  <si>
    <t>GSTT1</t>
  </si>
  <si>
    <t>SERPINB1</t>
  </si>
  <si>
    <t>GCH1</t>
  </si>
  <si>
    <t>SLC7A1</t>
  </si>
  <si>
    <t>ALDH1B1</t>
  </si>
  <si>
    <t>ALDH3A1</t>
  </si>
  <si>
    <t>SDHA</t>
  </si>
  <si>
    <t>CORO1A</t>
  </si>
  <si>
    <t>GDI1</t>
  </si>
  <si>
    <t>MAT2A</t>
  </si>
  <si>
    <t>PRKAR2B</t>
  </si>
  <si>
    <t>RRM2</t>
  </si>
  <si>
    <t>SLC6A6</t>
  </si>
  <si>
    <t>DNAJA1</t>
  </si>
  <si>
    <t>AKT1</t>
  </si>
  <si>
    <t>AKT2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</si>
  <si>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</si>
  <si>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</si>
  <si>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</si>
  <si>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</si>
  <si>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</si>
  <si>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</si>
  <si>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</si>
  <si>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</si>
  <si>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INPP5B</t>
  </si>
  <si>
    <t>PRDX2</t>
  </si>
  <si>
    <t>ARRB2</t>
  </si>
  <si>
    <t>GK</t>
  </si>
  <si>
    <t>CDA</t>
  </si>
  <si>
    <t>DCTD</t>
  </si>
  <si>
    <t>PYCR1</t>
  </si>
  <si>
    <t>ELF1</t>
  </si>
  <si>
    <t>CTH</t>
  </si>
  <si>
    <t>RPL9</t>
  </si>
  <si>
    <t>ACSL1</t>
  </si>
  <si>
    <t>KIF5B</t>
  </si>
  <si>
    <t>CSTF2</t>
  </si>
  <si>
    <t>DUT</t>
  </si>
  <si>
    <t>CKS2</t>
  </si>
  <si>
    <t>S100A3</t>
  </si>
  <si>
    <t>MAN1A1</t>
  </si>
  <si>
    <t>TTK</t>
  </si>
  <si>
    <t>MCM4</t>
  </si>
  <si>
    <t>MCM5</t>
  </si>
  <si>
    <t>MCM7</t>
  </si>
  <si>
    <t>GALNS</t>
  </si>
  <si>
    <t>SHMT1</t>
  </si>
  <si>
    <t>SHMT2</t>
  </si>
  <si>
    <t>HSPA4</t>
  </si>
  <si>
    <t>MPI</t>
  </si>
  <si>
    <t>CA8</t>
  </si>
  <si>
    <t>CTNNA1</t>
  </si>
  <si>
    <t>PCGF2</t>
  </si>
  <si>
    <t>PHB</t>
  </si>
  <si>
    <t>SERPINB6</t>
  </si>
  <si>
    <t>NF2</t>
  </si>
  <si>
    <t>RDX</t>
  </si>
  <si>
    <t>RPA3</t>
  </si>
  <si>
    <t>RFC2</t>
  </si>
  <si>
    <t>RFC1</t>
  </si>
  <si>
    <t>RPL22</t>
  </si>
  <si>
    <t>GTF2F1</t>
  </si>
  <si>
    <t>SPR</t>
  </si>
  <si>
    <t>IDUA</t>
  </si>
  <si>
    <t>AGL</t>
  </si>
  <si>
    <t>MYH9</t>
  </si>
  <si>
    <t>MYH10</t>
  </si>
  <si>
    <t>COPB2</t>
  </si>
  <si>
    <t>SOAT1</t>
  </si>
  <si>
    <t>ADD1</t>
  </si>
  <si>
    <t>BSG</t>
  </si>
  <si>
    <t>ADRBK2</t>
  </si>
  <si>
    <t>FUS</t>
  </si>
  <si>
    <t>NUP214</t>
  </si>
  <si>
    <t>DEK</t>
  </si>
  <si>
    <t>GLRX</t>
  </si>
  <si>
    <t>CHKA</t>
  </si>
  <si>
    <t>PPM1A</t>
  </si>
  <si>
    <t>PSMC2</t>
  </si>
  <si>
    <t>ARL2</t>
  </si>
  <si>
    <t>ARL3</t>
  </si>
  <si>
    <t>MAP2K2</t>
  </si>
  <si>
    <t>ATP5C1</t>
  </si>
  <si>
    <t>ATP6V1E1</t>
  </si>
  <si>
    <t>CPOX</t>
  </si>
  <si>
    <t>RPL4</t>
  </si>
  <si>
    <t>NUDT1</t>
  </si>
  <si>
    <t>PGM1</t>
  </si>
  <si>
    <t>PPP1CC</t>
  </si>
  <si>
    <t>GNL1</t>
  </si>
  <si>
    <t>SERPINB5</t>
  </si>
  <si>
    <t>POLR2I</t>
  </si>
  <si>
    <t>SERPINF1</t>
  </si>
  <si>
    <t>DLST</t>
  </si>
  <si>
    <t>GMPR</t>
  </si>
  <si>
    <t>GPX4</t>
  </si>
  <si>
    <t>SRP14</t>
  </si>
  <si>
    <t>NUP62</t>
  </si>
  <si>
    <t>HPCAL1</t>
  </si>
  <si>
    <t>FDFT1</t>
  </si>
  <si>
    <t>PIGA</t>
  </si>
  <si>
    <t>TAGLN2</t>
  </si>
  <si>
    <t>TALDO1</t>
  </si>
  <si>
    <t>ETFB</t>
  </si>
  <si>
    <t>RBMX</t>
  </si>
  <si>
    <t>COIL</t>
  </si>
  <si>
    <t>GGCX</t>
  </si>
  <si>
    <t>ITGAE</t>
  </si>
  <si>
    <t>ATP6V1A</t>
  </si>
  <si>
    <t>HSPA9</t>
  </si>
  <si>
    <t>EIF4A3</t>
  </si>
  <si>
    <t>IGHMBP2</t>
  </si>
  <si>
    <t>RPS19</t>
  </si>
  <si>
    <t>RPL3</t>
  </si>
  <si>
    <t>DDOST</t>
  </si>
  <si>
    <t>ANP32A</t>
  </si>
  <si>
    <t>FEN1</t>
  </si>
  <si>
    <t>CUX1</t>
  </si>
  <si>
    <t>CAPG</t>
  </si>
  <si>
    <t>IL6ST</t>
  </si>
  <si>
    <t>TXLNA</t>
  </si>
  <si>
    <t>CCT6A</t>
  </si>
  <si>
    <t>PSMB10</t>
  </si>
  <si>
    <t>VHL</t>
  </si>
  <si>
    <t>MLH1</t>
  </si>
  <si>
    <t>STAT3</t>
  </si>
  <si>
    <t>USP8</t>
  </si>
  <si>
    <t>MDH1</t>
  </si>
  <si>
    <t>MDH2</t>
  </si>
  <si>
    <t>RFC5</t>
  </si>
  <si>
    <t>RFC3</t>
  </si>
  <si>
    <t>HADHA</t>
  </si>
  <si>
    <t>EIF2S3</t>
  </si>
  <si>
    <t>ID1</t>
  </si>
  <si>
    <t>BCL6</t>
  </si>
  <si>
    <t>CETN2</t>
  </si>
  <si>
    <t>ETV6</t>
  </si>
  <si>
    <t>EIF2D</t>
  </si>
  <si>
    <t>BUD31</t>
  </si>
  <si>
    <t>NAA10</t>
  </si>
  <si>
    <t>KDM5C</t>
  </si>
  <si>
    <t>CSK</t>
  </si>
  <si>
    <t>PNPLA4</t>
  </si>
  <si>
    <t>GARS</t>
  </si>
  <si>
    <t>IARS</t>
  </si>
  <si>
    <t>SLC19A1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</si>
  <si>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</si>
  <si>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</si>
  <si>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</si>
  <si>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</si>
  <si>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</si>
  <si>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</si>
  <si>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</si>
  <si>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</si>
  <si>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</si>
  <si>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MTOR</t>
  </si>
  <si>
    <t>EPS15</t>
  </si>
  <si>
    <t>CASP3</t>
  </si>
  <si>
    <t>CASP2</t>
  </si>
  <si>
    <t>RPS27</t>
  </si>
  <si>
    <t>ABL2</t>
  </si>
  <si>
    <t>FRK</t>
  </si>
  <si>
    <t>NCAPD3</t>
  </si>
  <si>
    <t>LRPPRC</t>
  </si>
  <si>
    <t>ACAA2</t>
  </si>
  <si>
    <t>RPL35</t>
  </si>
  <si>
    <t>CDKN2B</t>
  </si>
  <si>
    <t>PRCP</t>
  </si>
  <si>
    <t>HTT</t>
  </si>
  <si>
    <t>ECE1</t>
  </si>
  <si>
    <t>MTHFR</t>
  </si>
  <si>
    <t>SLC1A3</t>
  </si>
  <si>
    <t>SLC1A4</t>
  </si>
  <si>
    <t>PAFAH1B1</t>
  </si>
  <si>
    <t>MCAM</t>
  </si>
  <si>
    <t>CRAT</t>
  </si>
  <si>
    <t>MSH2</t>
  </si>
  <si>
    <t>GPD2</t>
  </si>
  <si>
    <t>SSR1</t>
  </si>
  <si>
    <t>PTPN9</t>
  </si>
  <si>
    <t>SYK</t>
  </si>
  <si>
    <t>RANBP1</t>
  </si>
  <si>
    <t>NAMPT</t>
  </si>
  <si>
    <t>PSMC4</t>
  </si>
  <si>
    <t>TSFM</t>
  </si>
  <si>
    <t>VDAC2</t>
  </si>
  <si>
    <t>ACADSB</t>
  </si>
  <si>
    <t>CBX5</t>
  </si>
  <si>
    <t>USP5</t>
  </si>
  <si>
    <t>MAPK8</t>
  </si>
  <si>
    <t>MAPK9</t>
  </si>
  <si>
    <t>MAP2K4</t>
  </si>
  <si>
    <t>MKI67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</si>
  <si>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</si>
  <si>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</si>
  <si>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</si>
  <si>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</si>
  <si>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</si>
  <si>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</si>
  <si>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</si>
  <si>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</si>
  <si>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NOTCH1</t>
  </si>
  <si>
    <t>MAP2K3</t>
  </si>
  <si>
    <t>BRCC3</t>
  </si>
  <si>
    <t>RPL5</t>
  </si>
  <si>
    <t>RPL21</t>
  </si>
  <si>
    <t>RPS9</t>
  </si>
  <si>
    <t>RPS10</t>
  </si>
  <si>
    <t>GNPDA1</t>
  </si>
  <si>
    <t>YAP1</t>
  </si>
  <si>
    <t>UTRN</t>
  </si>
  <si>
    <t>IQGAP1</t>
  </si>
  <si>
    <t>GYG1</t>
  </si>
  <si>
    <t>STT3A</t>
  </si>
  <si>
    <t>RABIF</t>
  </si>
  <si>
    <t>PLA2G4A</t>
  </si>
  <si>
    <t>CAPZA2</t>
  </si>
  <si>
    <t>CAPZB</t>
  </si>
  <si>
    <t>EIF1AX</t>
  </si>
  <si>
    <t>QARS</t>
  </si>
  <si>
    <t>RPL29</t>
  </si>
  <si>
    <t>LGALS7</t>
  </si>
  <si>
    <t>UQCRFS1</t>
  </si>
  <si>
    <t>SLC6A8</t>
  </si>
  <si>
    <t>ATP5O</t>
  </si>
  <si>
    <t>LIMS1</t>
  </si>
  <si>
    <t>GLIPR1</t>
  </si>
  <si>
    <t>SLC6A9</t>
  </si>
  <si>
    <t>PREP</t>
  </si>
  <si>
    <t>ME1</t>
  </si>
  <si>
    <t>IREB2</t>
  </si>
  <si>
    <t>SOX2</t>
  </si>
  <si>
    <t>SOX9</t>
  </si>
  <si>
    <t>ARCN1</t>
  </si>
  <si>
    <t>LSS</t>
  </si>
  <si>
    <t>PPP3CC</t>
  </si>
  <si>
    <t>GCLC</t>
  </si>
  <si>
    <t>GCLM</t>
  </si>
  <si>
    <t>PRRC2A</t>
  </si>
  <si>
    <t>GSS</t>
  </si>
  <si>
    <t>CCT5</t>
  </si>
  <si>
    <t>PTDSS1</t>
  </si>
  <si>
    <t>HSPA13</t>
  </si>
  <si>
    <t>AMT</t>
  </si>
  <si>
    <t>CSNK1D</t>
  </si>
  <si>
    <t>IDH2</t>
  </si>
  <si>
    <t>PITPNB</t>
  </si>
  <si>
    <t>CD97</t>
  </si>
  <si>
    <t>POLD2</t>
  </si>
  <si>
    <t>MARCKSL1</t>
  </si>
  <si>
    <t>CAMLG</t>
  </si>
  <si>
    <t>NR2C2</t>
  </si>
  <si>
    <t>MAPKAPK2</t>
  </si>
  <si>
    <t>ALDH9A1</t>
  </si>
  <si>
    <t>RPL34</t>
  </si>
  <si>
    <t>RPIA</t>
  </si>
  <si>
    <t>LMAN1</t>
  </si>
  <si>
    <t>NASP</t>
  </si>
  <si>
    <t>FASN</t>
  </si>
  <si>
    <t>CDK8</t>
  </si>
  <si>
    <t>FNTA</t>
  </si>
  <si>
    <t>DHPS</t>
  </si>
  <si>
    <t>CCT3</t>
  </si>
  <si>
    <t>MRPL19</t>
  </si>
  <si>
    <t>ARRB1</t>
  </si>
  <si>
    <t>TUFM</t>
  </si>
  <si>
    <t>ALDH7A1</t>
  </si>
  <si>
    <t>CDC34</t>
  </si>
  <si>
    <t>INPP1</t>
  </si>
  <si>
    <t>CENPF</t>
  </si>
  <si>
    <t>SRP9</t>
  </si>
  <si>
    <t>UBE2A</t>
  </si>
  <si>
    <t>PCYT1A</t>
  </si>
  <si>
    <t>AARS</t>
  </si>
  <si>
    <t>CARS</t>
  </si>
  <si>
    <t>SARS</t>
  </si>
  <si>
    <t>PRIM1</t>
  </si>
  <si>
    <t>PRIM2</t>
  </si>
  <si>
    <t>CASP4</t>
  </si>
  <si>
    <t>CSNK1E</t>
  </si>
  <si>
    <t>CTCF</t>
  </si>
  <si>
    <t>PSMB3</t>
  </si>
  <si>
    <t>PSMB2</t>
  </si>
  <si>
    <t>MCM2</t>
  </si>
  <si>
    <t>ACADVL</t>
  </si>
  <si>
    <t>YLPM1</t>
  </si>
  <si>
    <t>ACOT2</t>
  </si>
  <si>
    <t>TMED10</t>
  </si>
  <si>
    <t>RBM25</t>
  </si>
  <si>
    <t>NUMB</t>
  </si>
  <si>
    <t>EIF2B2</t>
  </si>
  <si>
    <t>HINT1</t>
  </si>
  <si>
    <t>FHIT</t>
  </si>
  <si>
    <t>NUP153</t>
  </si>
  <si>
    <t>RANBP2</t>
  </si>
  <si>
    <t>RGS4</t>
  </si>
  <si>
    <t>GSK3A</t>
  </si>
  <si>
    <t>GSK3B</t>
  </si>
  <si>
    <t>NT5C2</t>
  </si>
  <si>
    <t>SEPHS1</t>
  </si>
  <si>
    <t>MTHFS</t>
  </si>
  <si>
    <t>GMPS</t>
  </si>
  <si>
    <t>LIG3</t>
  </si>
  <si>
    <t>MRE11A</t>
  </si>
  <si>
    <t>ENTPD1</t>
  </si>
  <si>
    <t>KHK</t>
  </si>
  <si>
    <t>GNAQ</t>
  </si>
  <si>
    <t>GNG10</t>
  </si>
  <si>
    <t>IDH3A</t>
  </si>
  <si>
    <t>CRIP1</t>
  </si>
  <si>
    <t>PPOX</t>
  </si>
  <si>
    <t>EMD</t>
  </si>
  <si>
    <t>CPT1A</t>
  </si>
  <si>
    <t>SERPINB8</t>
  </si>
  <si>
    <t>SERPINB9</t>
  </si>
  <si>
    <t>SERPINH1</t>
  </si>
  <si>
    <t>ST13</t>
  </si>
  <si>
    <t>VASP</t>
  </si>
  <si>
    <t>NUDT2</t>
  </si>
  <si>
    <t>CDK7</t>
  </si>
  <si>
    <t>HLCS</t>
  </si>
  <si>
    <t>KNTC1</t>
  </si>
  <si>
    <t>CDK9</t>
  </si>
  <si>
    <t>BCAM</t>
  </si>
  <si>
    <t>PPT1</t>
  </si>
  <si>
    <t>CCT8</t>
  </si>
  <si>
    <t>CCT4</t>
  </si>
  <si>
    <t>FXR2</t>
  </si>
  <si>
    <t>RAB5C</t>
  </si>
  <si>
    <t>RAB7A</t>
  </si>
  <si>
    <t>RAB9A</t>
  </si>
  <si>
    <t>RAB13</t>
  </si>
  <si>
    <t>RAB28</t>
  </si>
  <si>
    <t>FABP6</t>
  </si>
  <si>
    <t>DAP</t>
  </si>
  <si>
    <t>DAP3</t>
  </si>
  <si>
    <t>DUSP3</t>
  </si>
  <si>
    <t>SMARCA2</t>
  </si>
  <si>
    <t>IDH3G</t>
  </si>
  <si>
    <t>GALK1</t>
  </si>
  <si>
    <t>SSR4</t>
  </si>
  <si>
    <t>BCAP31</t>
  </si>
  <si>
    <t>TPMT</t>
  </si>
  <si>
    <t>MECP2</t>
  </si>
  <si>
    <t>ALDH3A2</t>
  </si>
  <si>
    <t>HSD17B4</t>
  </si>
  <si>
    <t>PSMD7</t>
  </si>
  <si>
    <t>SUOX</t>
  </si>
  <si>
    <t>SGSH</t>
  </si>
  <si>
    <t>KCNQ1</t>
  </si>
  <si>
    <t>CLCN3</t>
  </si>
  <si>
    <t>CLCN6</t>
  </si>
  <si>
    <t>CLCN7</t>
  </si>
  <si>
    <t>PLXNA3</t>
  </si>
  <si>
    <t>VAMP7</t>
  </si>
  <si>
    <t>RPS6KA3</t>
  </si>
  <si>
    <t>PRKX</t>
  </si>
  <si>
    <t>AKR1D1</t>
  </si>
  <si>
    <t>HDGF</t>
  </si>
  <si>
    <t>CCNH</t>
  </si>
  <si>
    <t>MNAT1</t>
  </si>
  <si>
    <t>NDUFA8</t>
  </si>
  <si>
    <t>HNRNPA3</t>
  </si>
  <si>
    <t>KPNA2</t>
  </si>
  <si>
    <t>KPNA1</t>
  </si>
  <si>
    <t>NCBP2</t>
  </si>
  <si>
    <t>RAP1GDS1</t>
  </si>
  <si>
    <t>MAP2K6</t>
  </si>
  <si>
    <t>ARHGDIA</t>
  </si>
  <si>
    <t>HNRNPF</t>
  </si>
  <si>
    <t>STAT2</t>
  </si>
  <si>
    <t>GTF2A1</t>
  </si>
  <si>
    <t>GTF2A2</t>
  </si>
  <si>
    <t>MSH6</t>
  </si>
  <si>
    <t>KIF11</t>
  </si>
  <si>
    <t>VAV2</t>
  </si>
  <si>
    <t>RBM5</t>
  </si>
  <si>
    <t>HRSP12</t>
  </si>
  <si>
    <t>SMS</t>
  </si>
  <si>
    <t>HK2</t>
  </si>
  <si>
    <t>EFNA4</t>
  </si>
  <si>
    <t>EFNB2</t>
  </si>
  <si>
    <t>THOP1</t>
  </si>
  <si>
    <t>AKR1C2</t>
  </si>
  <si>
    <t>CAPZA1</t>
  </si>
  <si>
    <t>CRIP2</t>
  </si>
  <si>
    <t>NUP98</t>
  </si>
  <si>
    <t>BLVRA</t>
  </si>
  <si>
    <t>SLC25A1</t>
  </si>
  <si>
    <t>ARFIP2</t>
  </si>
  <si>
    <t>ARFIP1</t>
  </si>
  <si>
    <t>NUDT6</t>
  </si>
  <si>
    <t>NUBP1</t>
  </si>
  <si>
    <t>ACLY</t>
  </si>
  <si>
    <t>CEBPG</t>
  </si>
  <si>
    <t>METAP1</t>
  </si>
  <si>
    <t>SUCLG1</t>
  </si>
  <si>
    <t>MVD</t>
  </si>
  <si>
    <t>PGGT1B</t>
  </si>
  <si>
    <t>RABGGTB</t>
  </si>
  <si>
    <t>COPB1</t>
  </si>
  <si>
    <t>COPA</t>
  </si>
  <si>
    <t>CTSC</t>
  </si>
  <si>
    <t>AP3M2</t>
  </si>
  <si>
    <t>HCCS</t>
  </si>
  <si>
    <t>MAPK12</t>
  </si>
  <si>
    <t>SLC5A3</t>
  </si>
  <si>
    <t>POLR2K</t>
  </si>
  <si>
    <t>SMTN</t>
  </si>
  <si>
    <t>PLA2G16</t>
  </si>
  <si>
    <t>SLC16A1</t>
  </si>
  <si>
    <t>IST1</t>
  </si>
  <si>
    <t>SEC24C</t>
  </si>
  <si>
    <t>SUB1</t>
  </si>
  <si>
    <t>POLG</t>
  </si>
  <si>
    <t>RARS</t>
  </si>
  <si>
    <t>ATXN1</t>
  </si>
  <si>
    <t>ATN1</t>
  </si>
  <si>
    <t>YARS</t>
  </si>
  <si>
    <t>USP14</t>
  </si>
  <si>
    <t>PRKAG1</t>
  </si>
  <si>
    <t>ATP1B3</t>
  </si>
  <si>
    <t>RAD23B</t>
  </si>
  <si>
    <t>EPHB3</t>
  </si>
  <si>
    <t>EPHA4</t>
  </si>
  <si>
    <t>NAGLU</t>
  </si>
  <si>
    <t>AK2</t>
  </si>
  <si>
    <t>ALDH18A1</t>
  </si>
  <si>
    <t>NAPA</t>
  </si>
  <si>
    <t>EIF5</t>
  </si>
  <si>
    <t>SLC12A2</t>
  </si>
  <si>
    <t>PSMD4</t>
  </si>
  <si>
    <t>DRG2</t>
  </si>
  <si>
    <t>CSE1L</t>
  </si>
  <si>
    <t>VCP</t>
  </si>
  <si>
    <t>MFAP1</t>
  </si>
  <si>
    <t>MFAP3</t>
  </si>
  <si>
    <t>MANF</t>
  </si>
  <si>
    <t>MLLT6</t>
  </si>
  <si>
    <t>ELL</t>
  </si>
  <si>
    <t>CASP7</t>
  </si>
  <si>
    <t>CASP9</t>
  </si>
  <si>
    <t>CASP6</t>
  </si>
  <si>
    <t>ADK</t>
  </si>
  <si>
    <t>LAMB2</t>
  </si>
  <si>
    <t>CDKN2D</t>
  </si>
  <si>
    <t>SEC13</t>
  </si>
  <si>
    <t>GFER</t>
  </si>
  <si>
    <t>HNRNPH2</t>
  </si>
  <si>
    <t>OXCT1</t>
  </si>
  <si>
    <t>EIF3B</t>
  </si>
  <si>
    <t>BID</t>
  </si>
  <si>
    <t>NDUFV3</t>
  </si>
  <si>
    <t>RRP1</t>
  </si>
  <si>
    <t>MARS</t>
  </si>
  <si>
    <t>ITGA1</t>
  </si>
  <si>
    <t>ARPP19</t>
  </si>
  <si>
    <t>CMC4</t>
  </si>
  <si>
    <t>MP68</t>
  </si>
  <si>
    <t>ATP5E</t>
  </si>
  <si>
    <t>ATP5I</t>
  </si>
  <si>
    <t>HDAC4</t>
  </si>
  <si>
    <t>EIF6</t>
  </si>
  <si>
    <t>CTBP2</t>
  </si>
  <si>
    <t>NDUFA6</t>
  </si>
  <si>
    <t>ARL4C</t>
  </si>
  <si>
    <t>PEX3</t>
  </si>
  <si>
    <t>HSD17B7</t>
  </si>
  <si>
    <t>BCAR1</t>
  </si>
  <si>
    <t>STX17</t>
  </si>
  <si>
    <t>PIGP</t>
  </si>
  <si>
    <t>RWDD2B</t>
  </si>
  <si>
    <t>C21orf59</t>
  </si>
  <si>
    <t>WDR4</t>
  </si>
  <si>
    <t>TMEM33</t>
  </si>
  <si>
    <t>SYNJ2BP</t>
  </si>
  <si>
    <t>KLF3</t>
  </si>
  <si>
    <t>RAB25</t>
  </si>
  <si>
    <t>CORO7</t>
  </si>
  <si>
    <t>NUP107</t>
  </si>
  <si>
    <t>EEFSEC</t>
  </si>
  <si>
    <t>MTPN</t>
  </si>
  <si>
    <t>ARPC4</t>
  </si>
  <si>
    <t>SEC61G</t>
  </si>
  <si>
    <t>TPI1</t>
  </si>
  <si>
    <t>EIF3E</t>
  </si>
  <si>
    <t>SEC61B</t>
  </si>
  <si>
    <t>PTEN</t>
  </si>
  <si>
    <t>PPP4C</t>
  </si>
  <si>
    <t>ROMO1</t>
  </si>
  <si>
    <t>UBE2G2</t>
  </si>
  <si>
    <t>ACTB</t>
  </si>
  <si>
    <t>RAC3</t>
  </si>
  <si>
    <t>EIF4A1</t>
  </si>
  <si>
    <t>RPS20</t>
  </si>
  <si>
    <t>PRPS1</t>
  </si>
  <si>
    <t>SHFM1</t>
  </si>
  <si>
    <t>S100A10</t>
  </si>
  <si>
    <t>CDC42</t>
  </si>
  <si>
    <t>DSTN</t>
  </si>
  <si>
    <t>GMFB</t>
  </si>
  <si>
    <t>RAB8A</t>
  </si>
  <si>
    <t>SPCS3</t>
  </si>
  <si>
    <t>SRP54</t>
  </si>
  <si>
    <t>RAB4B</t>
  </si>
  <si>
    <t>RAB2A</t>
  </si>
  <si>
    <t>RAB5B</t>
  </si>
  <si>
    <t>CKS1B</t>
  </si>
  <si>
    <t>RAB10</t>
  </si>
  <si>
    <t>UBE2D3</t>
  </si>
  <si>
    <t>UBE2M</t>
  </si>
  <si>
    <t>UBE2K</t>
  </si>
  <si>
    <t>UBE2N</t>
  </si>
  <si>
    <t>RAB14</t>
  </si>
  <si>
    <t>ZC3H6</t>
  </si>
  <si>
    <t>ACTR3</t>
  </si>
  <si>
    <t>ACTR2</t>
  </si>
  <si>
    <t>ACTR1A</t>
  </si>
  <si>
    <t>COPS2</t>
  </si>
  <si>
    <t>ARF3</t>
  </si>
  <si>
    <t>POLR2F</t>
  </si>
  <si>
    <t>ABCE1</t>
  </si>
  <si>
    <t>RAP1B</t>
  </si>
  <si>
    <t>RAP2B</t>
  </si>
  <si>
    <t>MAX</t>
  </si>
  <si>
    <t>RPS3A</t>
  </si>
  <si>
    <t>RPL26</t>
  </si>
  <si>
    <t>PSME3</t>
  </si>
  <si>
    <t>MAGOH</t>
  </si>
  <si>
    <t>RPL27</t>
  </si>
  <si>
    <t>PCBD1</t>
  </si>
  <si>
    <t>RHOA</t>
  </si>
  <si>
    <t>NAA20</t>
  </si>
  <si>
    <t>NCALD</t>
  </si>
  <si>
    <t>HSPE1</t>
  </si>
  <si>
    <t>VBP1</t>
  </si>
  <si>
    <t>STXBP1</t>
  </si>
  <si>
    <t>B2M</t>
  </si>
  <si>
    <t>TGFB2</t>
  </si>
  <si>
    <t>RPL37</t>
  </si>
  <si>
    <t>DCAF7</t>
  </si>
  <si>
    <t>WDR5</t>
  </si>
  <si>
    <t>AP1S1</t>
  </si>
  <si>
    <t>NUTF2</t>
  </si>
  <si>
    <t>HNRNPK</t>
  </si>
  <si>
    <t>YWHAG</t>
  </si>
  <si>
    <t>RRAS2</t>
  </si>
  <si>
    <t>TIMM10</t>
  </si>
  <si>
    <t>RPS7</t>
  </si>
  <si>
    <t>PPP1CA</t>
  </si>
  <si>
    <t>PPP1CB</t>
  </si>
  <si>
    <t>PSMC1</t>
  </si>
  <si>
    <t>PSMC5</t>
  </si>
  <si>
    <t>RPS8</t>
  </si>
  <si>
    <t>RPS16</t>
  </si>
  <si>
    <t>YWHAE</t>
  </si>
  <si>
    <t>RPS14</t>
  </si>
  <si>
    <t>RPS23</t>
  </si>
  <si>
    <t>RPS18</t>
  </si>
  <si>
    <t>RPS29</t>
  </si>
  <si>
    <t>RPS13</t>
  </si>
  <si>
    <t>RPS11</t>
  </si>
  <si>
    <t>SNRPF</t>
  </si>
  <si>
    <t>SNRPG</t>
  </si>
  <si>
    <t>LSM3</t>
  </si>
  <si>
    <t>LSM6</t>
  </si>
  <si>
    <t>SNRPD1</t>
  </si>
  <si>
    <t>SNRPD2</t>
  </si>
  <si>
    <t>BTG1</t>
  </si>
  <si>
    <t>TMSB4X</t>
  </si>
  <si>
    <t>ARF6</t>
  </si>
  <si>
    <t>PSMC6</t>
  </si>
  <si>
    <t>SELT</t>
  </si>
  <si>
    <t>TBPL1</t>
  </si>
  <si>
    <t>RPL7A</t>
  </si>
  <si>
    <t>POLR2G</t>
  </si>
  <si>
    <t>ETF1</t>
  </si>
  <si>
    <t>CNBP</t>
  </si>
  <si>
    <t>RPS4X</t>
  </si>
  <si>
    <t>PPP2CB</t>
  </si>
  <si>
    <t>RHOB</t>
  </si>
  <si>
    <t>RPL23A</t>
  </si>
  <si>
    <t>RPS6</t>
  </si>
  <si>
    <t>VSNL1</t>
  </si>
  <si>
    <t>HIST1H4A</t>
  </si>
  <si>
    <t>RAB1A</t>
  </si>
  <si>
    <t>RPL23</t>
  </si>
  <si>
    <t>RAP1A</t>
  </si>
  <si>
    <t>UBE2D2</t>
  </si>
  <si>
    <t>RPS25</t>
  </si>
  <si>
    <t>RPS26</t>
  </si>
  <si>
    <t>RPS28</t>
  </si>
  <si>
    <t>GNB1</t>
  </si>
  <si>
    <t>RBX1</t>
  </si>
  <si>
    <t>GNB2</t>
  </si>
  <si>
    <t>RPL10A</t>
  </si>
  <si>
    <t>RPL11</t>
  </si>
  <si>
    <t>RPL8</t>
  </si>
  <si>
    <t>PPIA</t>
  </si>
  <si>
    <t>FKBP1A</t>
  </si>
  <si>
    <t>RPS27A</t>
  </si>
  <si>
    <t>UBA52</t>
  </si>
  <si>
    <t>GRB2</t>
  </si>
  <si>
    <t>TRA2B</t>
  </si>
  <si>
    <t>RAC1</t>
  </si>
  <si>
    <t>AP2B1</t>
  </si>
  <si>
    <t>GNAS</t>
  </si>
  <si>
    <t>GNAI1</t>
  </si>
  <si>
    <t>YWHAZ</t>
  </si>
  <si>
    <t>PPP2R2A</t>
  </si>
  <si>
    <t>DYNLL1</t>
  </si>
  <si>
    <t>RPL38</t>
  </si>
  <si>
    <t>GNG5</t>
  </si>
  <si>
    <t>GNB2L1</t>
  </si>
  <si>
    <t>SUPT4H1</t>
  </si>
  <si>
    <t>PPP2CA</t>
  </si>
  <si>
    <t>YBX1</t>
  </si>
  <si>
    <t>UBE2L3</t>
  </si>
  <si>
    <t>EEF1A1</t>
  </si>
  <si>
    <t>ACTA1</t>
  </si>
  <si>
    <t>TUBA1B</t>
  </si>
  <si>
    <t>TUBB4B</t>
  </si>
  <si>
    <t>PAFAH1B2</t>
  </si>
  <si>
    <t>HBA1</t>
  </si>
  <si>
    <t>CXADR</t>
  </si>
  <si>
    <t>IGBP1</t>
  </si>
  <si>
    <t>PSPH</t>
  </si>
  <si>
    <t>RBM6</t>
  </si>
  <si>
    <t>RPP38</t>
  </si>
  <si>
    <t>RPP30</t>
  </si>
  <si>
    <t>GTF2I</t>
  </si>
  <si>
    <t>PIP4K2B</t>
  </si>
  <si>
    <t>CSNK1G2</t>
  </si>
  <si>
    <t>CCT2</t>
  </si>
  <si>
    <t>RAE1</t>
  </si>
  <si>
    <t>GSTO1</t>
  </si>
  <si>
    <t>ST5</t>
  </si>
  <si>
    <t>PRKDC</t>
  </si>
  <si>
    <t>ADAM17</t>
  </si>
  <si>
    <t>ARG2</t>
  </si>
  <si>
    <t>NTHL1</t>
  </si>
  <si>
    <t>IFI35</t>
  </si>
  <si>
    <t>MT1H</t>
  </si>
  <si>
    <t>MT1X</t>
  </si>
  <si>
    <t>NUCB2</t>
  </si>
  <si>
    <t>BASP1</t>
  </si>
  <si>
    <t>DCD</t>
  </si>
  <si>
    <t>TMF1</t>
  </si>
  <si>
    <t>MRPS10</t>
  </si>
  <si>
    <t>MRPS35</t>
  </si>
  <si>
    <t>MRPS5</t>
  </si>
  <si>
    <t>MRPS36</t>
  </si>
  <si>
    <t>MRPS11</t>
  </si>
  <si>
    <t>MRPS34</t>
  </si>
  <si>
    <t>MRPS6</t>
  </si>
  <si>
    <t>MRPS9</t>
  </si>
  <si>
    <t>SARNP</t>
  </si>
  <si>
    <t>LACTB</t>
  </si>
  <si>
    <t>COG7</t>
  </si>
  <si>
    <t>RPL24</t>
  </si>
  <si>
    <t>ARF5</t>
  </si>
  <si>
    <t>ERH</t>
  </si>
  <si>
    <t>RHOG</t>
  </si>
  <si>
    <t>SERF2</t>
  </si>
  <si>
    <t>MXRA7</t>
  </si>
  <si>
    <t>FOXK1</t>
  </si>
  <si>
    <t>CCZ1</t>
  </si>
  <si>
    <t>VLDLR</t>
  </si>
  <si>
    <t>EFNB1</t>
  </si>
  <si>
    <t>FAM3A</t>
  </si>
  <si>
    <t>RBM10</t>
  </si>
  <si>
    <t>RBM3</t>
  </si>
  <si>
    <t>ATP2C1</t>
  </si>
  <si>
    <t>CYCS</t>
  </si>
  <si>
    <t>TFAM</t>
  </si>
  <si>
    <t>PITPNA</t>
  </si>
  <si>
    <t>MAT1A</t>
  </si>
  <si>
    <t>SLC25A3</t>
  </si>
  <si>
    <t>HDLBP</t>
  </si>
  <si>
    <t>GTF2B</t>
  </si>
  <si>
    <t>CDK6</t>
  </si>
  <si>
    <t>CDK5</t>
  </si>
  <si>
    <t>PURA</t>
  </si>
  <si>
    <t>CDC42EP1</t>
  </si>
  <si>
    <t>CLTC</t>
  </si>
  <si>
    <t>HSF1</t>
  </si>
  <si>
    <t>NFKB2</t>
  </si>
  <si>
    <t>FKBP3</t>
  </si>
  <si>
    <t>REEP5</t>
  </si>
  <si>
    <t>SORD</t>
  </si>
  <si>
    <t>HNRNPU</t>
  </si>
  <si>
    <t>U2AF1</t>
  </si>
  <si>
    <t>SPTBN1</t>
  </si>
  <si>
    <t>TIAL1</t>
  </si>
  <si>
    <t>SET</t>
  </si>
  <si>
    <t>SRSF2</t>
  </si>
  <si>
    <t>CD83</t>
  </si>
  <si>
    <t>FOXK2</t>
  </si>
  <si>
    <t>CAP1</t>
  </si>
  <si>
    <t>DEFA5</t>
  </si>
  <si>
    <t>HMGCS1</t>
  </si>
  <si>
    <t>SLC7A5</t>
  </si>
  <si>
    <t>DR1</t>
  </si>
  <si>
    <t>EXOSC10</t>
  </si>
  <si>
    <t>PFKP</t>
  </si>
  <si>
    <t>OCRL</t>
  </si>
  <si>
    <t>PLCB3</t>
  </si>
  <si>
    <t>TAGLN</t>
  </si>
  <si>
    <t>AKAP17A</t>
  </si>
  <si>
    <t>NAAA</t>
  </si>
  <si>
    <t>DHODH</t>
  </si>
  <si>
    <t>PRKCE</t>
  </si>
  <si>
    <t>KIF23</t>
  </si>
  <si>
    <t>ALDH6A1</t>
  </si>
  <si>
    <t>CYP27A1</t>
  </si>
  <si>
    <t>BDH1</t>
  </si>
  <si>
    <t>SEMG2</t>
  </si>
  <si>
    <t>SP4</t>
  </si>
  <si>
    <t>DSC2</t>
  </si>
  <si>
    <t>RPL18A</t>
  </si>
  <si>
    <t>GCNT1</t>
  </si>
  <si>
    <t>MAP2K1</t>
  </si>
  <si>
    <t>FKBP4</t>
  </si>
  <si>
    <t>PLOD1</t>
  </si>
  <si>
    <t>NUCB1</t>
  </si>
  <si>
    <t>RPL6</t>
  </si>
  <si>
    <t>TOP2B</t>
  </si>
  <si>
    <t>AKAP12</t>
  </si>
  <si>
    <t>DST</t>
  </si>
  <si>
    <t>MLLT1</t>
  </si>
  <si>
    <t>GNA12</t>
  </si>
  <si>
    <t>ACY1</t>
  </si>
  <si>
    <t>TNFAIP2</t>
  </si>
  <si>
    <t>PTS</t>
  </si>
  <si>
    <t>TAP2</t>
  </si>
  <si>
    <t>CEBPZ</t>
  </si>
  <si>
    <t>GBE1</t>
  </si>
  <si>
    <t>ATP7A</t>
  </si>
  <si>
    <t>NOTCH2</t>
  </si>
  <si>
    <t>TLE1</t>
  </si>
  <si>
    <t>PRKCQ</t>
  </si>
  <si>
    <t>GLO1</t>
  </si>
  <si>
    <t>AKR1C1</t>
  </si>
  <si>
    <t>SSBP1</t>
  </si>
  <si>
    <t>YWHAH</t>
  </si>
  <si>
    <t>PLP2</t>
  </si>
  <si>
    <t>CSTF1</t>
  </si>
  <si>
    <t>ICA1</t>
  </si>
  <si>
    <t>UBE3A</t>
  </si>
  <si>
    <t>DNM1</t>
  </si>
  <si>
    <t>PTPN12</t>
  </si>
  <si>
    <t>PRKCZ</t>
  </si>
  <si>
    <t>SRSF11</t>
  </si>
  <si>
    <t>EEF1A2</t>
  </si>
  <si>
    <t>PRKCD</t>
  </si>
  <si>
    <t>CALD1</t>
  </si>
  <si>
    <t>FPGS</t>
  </si>
  <si>
    <t>CTDSPL2</t>
  </si>
  <si>
    <t>PTPN11</t>
  </si>
  <si>
    <t>KDSR</t>
  </si>
  <si>
    <t>PPAT</t>
  </si>
  <si>
    <t>GFPT1</t>
  </si>
  <si>
    <t>EXOSC9</t>
  </si>
  <si>
    <t>PSME1</t>
  </si>
  <si>
    <t>RBPJ</t>
  </si>
  <si>
    <t>APLP2</t>
  </si>
  <si>
    <t>GABPA</t>
  </si>
  <si>
    <t>RING1</t>
  </si>
  <si>
    <t>RAD51</t>
  </si>
  <si>
    <t>FMR1</t>
  </si>
  <si>
    <t>PRDX1</t>
  </si>
  <si>
    <t>C1QBP</t>
  </si>
  <si>
    <t>CKAP4</t>
  </si>
  <si>
    <t>TFF3</t>
  </si>
  <si>
    <t>KHDRBS1</t>
  </si>
  <si>
    <t>BAX</t>
  </si>
  <si>
    <t>MCL1</t>
  </si>
  <si>
    <t>KLC1</t>
  </si>
  <si>
    <t>LRP1</t>
  </si>
  <si>
    <t>ARHGAP1</t>
  </si>
  <si>
    <t>SRSF4</t>
  </si>
  <si>
    <t>PPP3CA</t>
  </si>
  <si>
    <t>DHX9</t>
  </si>
  <si>
    <t>CRYZ</t>
  </si>
  <si>
    <t>SLC20A2</t>
  </si>
  <si>
    <t>GOLGA3</t>
  </si>
  <si>
    <t>GOLGA2</t>
  </si>
  <si>
    <t>LGALS3BP</t>
  </si>
  <si>
    <t>EHHADH</t>
  </si>
  <si>
    <t>CD47</t>
  </si>
  <si>
    <t>PPID</t>
  </si>
  <si>
    <t>SSRP1</t>
  </si>
  <si>
    <t>SLFN5</t>
  </si>
  <si>
    <t>MZT1</t>
  </si>
  <si>
    <t>VAC14</t>
  </si>
  <si>
    <t>KIAA0100</t>
  </si>
  <si>
    <t>NSUN2</t>
  </si>
  <si>
    <t>RBBP4</t>
  </si>
  <si>
    <t>NCBP1</t>
  </si>
  <si>
    <t>MGAT5</t>
  </si>
  <si>
    <t>EP300</t>
  </si>
  <si>
    <t>AHNAK</t>
  </si>
  <si>
    <t>FCHO2</t>
  </si>
  <si>
    <t>ELP6</t>
  </si>
  <si>
    <t>HSPA14</t>
  </si>
  <si>
    <t>SCRN3</t>
  </si>
  <si>
    <t>FAAP100</t>
  </si>
  <si>
    <t>LAMTOR4</t>
  </si>
  <si>
    <t>MGAT2</t>
  </si>
  <si>
    <t>GALNT2</t>
  </si>
  <si>
    <t>AP1B1</t>
  </si>
  <si>
    <t>CPSF1</t>
  </si>
  <si>
    <t>PMPCA</t>
  </si>
  <si>
    <t>ST3GAL4</t>
  </si>
  <si>
    <t>SCRN1</t>
  </si>
  <si>
    <t>KIAA0196</t>
  </si>
  <si>
    <t>SCAP</t>
  </si>
  <si>
    <t>ARHGEF5</t>
  </si>
  <si>
    <t>TBL3</t>
  </si>
  <si>
    <t>GTF3C1</t>
  </si>
  <si>
    <t>TWF1</t>
  </si>
  <si>
    <t>PNRC1</t>
  </si>
  <si>
    <t>ASPH</t>
  </si>
  <si>
    <t>TFCP2</t>
  </si>
  <si>
    <t>AKAP13</t>
  </si>
  <si>
    <t>BPTF</t>
  </si>
  <si>
    <t>CDC20</t>
  </si>
  <si>
    <t>STX4</t>
  </si>
  <si>
    <t>SFSWAP</t>
  </si>
  <si>
    <t>SF3A3</t>
  </si>
  <si>
    <t>TP53BP1</t>
  </si>
  <si>
    <t>IFRD2</t>
  </si>
  <si>
    <t>AIMP1</t>
  </si>
  <si>
    <t>ILF2</t>
  </si>
  <si>
    <t>ILF3</t>
  </si>
  <si>
    <t>LMAN2</t>
  </si>
  <si>
    <t>EPS8</t>
  </si>
  <si>
    <t>TRAF2</t>
  </si>
  <si>
    <t>ANK3</t>
  </si>
  <si>
    <t>DLG1</t>
  </si>
  <si>
    <t>TAF10</t>
  </si>
  <si>
    <t>MYO1E</t>
  </si>
  <si>
    <t>PPP1R8</t>
  </si>
  <si>
    <t>BNIP1</t>
  </si>
  <si>
    <t>NFX1</t>
  </si>
  <si>
    <t>CSTF3</t>
  </si>
  <si>
    <t>ECH1</t>
  </si>
  <si>
    <t>MLLT11</t>
  </si>
  <si>
    <t>ARHGAP5</t>
  </si>
  <si>
    <t>STRN3</t>
  </si>
  <si>
    <t>STK4</t>
  </si>
  <si>
    <t>FLII</t>
  </si>
  <si>
    <t>COASY</t>
  </si>
  <si>
    <t>ACACA</t>
  </si>
  <si>
    <t>GPS1</t>
  </si>
  <si>
    <t>USP4</t>
  </si>
  <si>
    <t>CHAF1A</t>
  </si>
  <si>
    <t>CHAF1B</t>
  </si>
  <si>
    <t>IK</t>
  </si>
  <si>
    <t>MTAP</t>
  </si>
  <si>
    <t>PRKAA1</t>
  </si>
  <si>
    <t>PPFIA1</t>
  </si>
  <si>
    <t>BAMBI</t>
  </si>
  <si>
    <t>TARDBP</t>
  </si>
  <si>
    <t>HNRNPA0</t>
  </si>
  <si>
    <t>PAK1</t>
  </si>
  <si>
    <t>AIMP2</t>
  </si>
  <si>
    <t>FADD</t>
  </si>
  <si>
    <t>PRDX4</t>
  </si>
  <si>
    <t>MAPK7</t>
  </si>
  <si>
    <t>PAK2</t>
  </si>
  <si>
    <t>CBX3</t>
  </si>
  <si>
    <t>STK3</t>
  </si>
  <si>
    <t>PSMD2</t>
  </si>
  <si>
    <t>DDX10</t>
  </si>
  <si>
    <t>ERCC8</t>
  </si>
  <si>
    <t>DNAJC3</t>
  </si>
  <si>
    <t>SELENBP1</t>
  </si>
  <si>
    <t>NME3</t>
  </si>
  <si>
    <t>SRSF9</t>
  </si>
  <si>
    <t>SRSF5</t>
  </si>
  <si>
    <t>SRSF6</t>
  </si>
  <si>
    <t>MAD2L1</t>
  </si>
  <si>
    <t>TRIM28</t>
  </si>
  <si>
    <t>STX3</t>
  </si>
  <si>
    <t>G3BP1</t>
  </si>
  <si>
    <t>NMI</t>
  </si>
  <si>
    <t>KCNAB2</t>
  </si>
  <si>
    <t>PTK7</t>
  </si>
  <si>
    <t>PABPC4</t>
  </si>
  <si>
    <t>ATM</t>
  </si>
  <si>
    <t>GRB10</t>
  </si>
  <si>
    <t>MTA1</t>
  </si>
  <si>
    <t>EIF3I</t>
  </si>
  <si>
    <t>PPIL2</t>
  </si>
  <si>
    <t>PPP2R5C</t>
  </si>
  <si>
    <t>CTBP1</t>
  </si>
  <si>
    <t>PDCL</t>
  </si>
  <si>
    <t>TARBP1</t>
  </si>
  <si>
    <t>MRPL49</t>
  </si>
  <si>
    <t>DYNC1I2</t>
  </si>
  <si>
    <t>ORC2</t>
  </si>
  <si>
    <t>ILK</t>
  </si>
  <si>
    <t>NNT</t>
  </si>
  <si>
    <t>SNTB2</t>
  </si>
  <si>
    <t>XRCC4</t>
  </si>
  <si>
    <t>PPIG</t>
  </si>
  <si>
    <t>TCOF1</t>
  </si>
  <si>
    <t>UNC119</t>
  </si>
  <si>
    <t>SLC39A6</t>
  </si>
  <si>
    <t>SF3B2</t>
  </si>
  <si>
    <t>OS9</t>
  </si>
  <si>
    <t>GOLGA4</t>
  </si>
  <si>
    <t>PDAP1</t>
  </si>
  <si>
    <t>ADAM9</t>
  </si>
  <si>
    <t>TMED1</t>
  </si>
  <si>
    <t>FKBP5</t>
  </si>
  <si>
    <t>ROCK1</t>
  </si>
  <si>
    <t>TCIRG1</t>
  </si>
  <si>
    <t>PICALM</t>
  </si>
  <si>
    <t>MTM1</t>
  </si>
  <si>
    <t>SQSTM1</t>
  </si>
  <si>
    <t>MTX1</t>
  </si>
  <si>
    <t>TUBB3</t>
  </si>
  <si>
    <t>PIN1</t>
  </si>
  <si>
    <t>ATR</t>
  </si>
  <si>
    <t>EIF4EBP1</t>
  </si>
  <si>
    <t>EIF4EBP2</t>
  </si>
  <si>
    <t>RIPK1</t>
  </si>
  <si>
    <t>HDAC1</t>
  </si>
  <si>
    <t>NAE1</t>
  </si>
  <si>
    <t>ITPK1</t>
  </si>
  <si>
    <t>SNW1</t>
  </si>
  <si>
    <t>STIM1</t>
  </si>
  <si>
    <t>SNX1</t>
  </si>
  <si>
    <t>KRR1</t>
  </si>
  <si>
    <t>PEX6</t>
  </si>
  <si>
    <t>MTMR2</t>
  </si>
  <si>
    <t>MTMR3</t>
  </si>
  <si>
    <t>CUL1</t>
  </si>
  <si>
    <t>CUL2</t>
  </si>
  <si>
    <t>CUL3</t>
  </si>
  <si>
    <t>CUL4A</t>
  </si>
  <si>
    <t>TSTA3</t>
  </si>
  <si>
    <t>TPBG</t>
  </si>
  <si>
    <t>FHL1</t>
  </si>
  <si>
    <t>FHL3</t>
  </si>
  <si>
    <t>ALKBH1</t>
  </si>
  <si>
    <t>MOGS</t>
  </si>
  <si>
    <t>ATP1A4</t>
  </si>
  <si>
    <t>ALCAM</t>
  </si>
  <si>
    <t>LAMB3</t>
  </si>
  <si>
    <t>LAMC2</t>
  </si>
  <si>
    <t>THOC5</t>
  </si>
  <si>
    <t>ARFRP1</t>
  </si>
  <si>
    <t>SPTAN1</t>
  </si>
  <si>
    <t>AUH</t>
  </si>
  <si>
    <t>BLMH</t>
  </si>
  <si>
    <t>EXOSC2</t>
  </si>
  <si>
    <t>SNTB1</t>
  </si>
  <si>
    <t>TUBB2A</t>
  </si>
  <si>
    <t>BYSL</t>
  </si>
  <si>
    <t>IDI1</t>
  </si>
  <si>
    <t>CBFB</t>
  </si>
  <si>
    <t>NFYC</t>
  </si>
  <si>
    <t>CKAP5</t>
  </si>
  <si>
    <t>CIRBP</t>
  </si>
  <si>
    <t>COTL1</t>
  </si>
  <si>
    <t>COX17</t>
  </si>
  <si>
    <t>SCARB2</t>
  </si>
  <si>
    <t>LRP8</t>
  </si>
  <si>
    <t>DAG1</t>
  </si>
  <si>
    <t>DSG2</t>
  </si>
  <si>
    <t>VGLL4</t>
  </si>
  <si>
    <t>BOP1</t>
  </si>
  <si>
    <t>UBE4A</t>
  </si>
  <si>
    <t>URB2</t>
  </si>
  <si>
    <t>MORC3</t>
  </si>
  <si>
    <t>SAFB2</t>
  </si>
  <si>
    <t>EIF3A</t>
  </si>
  <si>
    <t>SCRIB</t>
  </si>
  <si>
    <t>GIT2</t>
  </si>
  <si>
    <t>MLEC</t>
  </si>
  <si>
    <t>TTLL12</t>
  </si>
  <si>
    <t>POLA2</t>
  </si>
  <si>
    <t>TFDP1</t>
  </si>
  <si>
    <t>WRN</t>
  </si>
  <si>
    <t>DPYSL3</t>
  </si>
  <si>
    <t>DYNC1H1</t>
  </si>
  <si>
    <t>NPAT</t>
  </si>
  <si>
    <t>EIF2B1</t>
  </si>
  <si>
    <t>EIF4A2</t>
  </si>
  <si>
    <t>TCEB3</t>
  </si>
  <si>
    <t>MAP7</t>
  </si>
  <si>
    <t>CTTN</t>
  </si>
  <si>
    <t>ENDOG</t>
  </si>
  <si>
    <t>FLOT2</t>
  </si>
  <si>
    <t>RCN2</t>
  </si>
  <si>
    <t>TRIM25</t>
  </si>
  <si>
    <t>FKBP8</t>
  </si>
  <si>
    <t>FAM50A</t>
  </si>
  <si>
    <t>FRG1</t>
  </si>
  <si>
    <t>GNA13</t>
  </si>
  <si>
    <t>GALE</t>
  </si>
  <si>
    <t>GALNT3</t>
  </si>
  <si>
    <t>CAPRIN1</t>
  </si>
  <si>
    <t>GRB7</t>
  </si>
  <si>
    <t>BECN1</t>
  </si>
  <si>
    <t>HES1</t>
  </si>
  <si>
    <t>RBM39</t>
  </si>
  <si>
    <t>WFDC2</t>
  </si>
  <si>
    <t>NEDD9</t>
  </si>
  <si>
    <t>HABP2</t>
  </si>
  <si>
    <t>HIC1</t>
  </si>
  <si>
    <t>SQLE</t>
  </si>
  <si>
    <t>PDIA5</t>
  </si>
  <si>
    <t>PRPSAP1</t>
  </si>
  <si>
    <t>DHX8</t>
  </si>
  <si>
    <t>MCM6</t>
  </si>
  <si>
    <t>ITPR3</t>
  </si>
  <si>
    <t>PLS1</t>
  </si>
  <si>
    <t>IRF3</t>
  </si>
  <si>
    <t>LAGE3</t>
  </si>
  <si>
    <t>TRIP12</t>
  </si>
  <si>
    <t>MDC1</t>
  </si>
  <si>
    <t>CLINT1</t>
  </si>
  <si>
    <t>KANK1</t>
  </si>
  <si>
    <t>MELK</t>
  </si>
  <si>
    <t>KCTD2</t>
  </si>
  <si>
    <t>SMC1A</t>
  </si>
  <si>
    <t>RRP1B</t>
  </si>
  <si>
    <t>NCOA6</t>
  </si>
  <si>
    <t>GSE1</t>
  </si>
  <si>
    <t>GINS1</t>
  </si>
  <si>
    <t>USP10</t>
  </si>
  <si>
    <t>MESDC2</t>
  </si>
  <si>
    <t>GANAB</t>
  </si>
  <si>
    <t>RFTN1</t>
  </si>
  <si>
    <t>LBR</t>
  </si>
  <si>
    <t>COG2</t>
  </si>
  <si>
    <t>GOLGB1</t>
  </si>
  <si>
    <t>CASP8</t>
  </si>
  <si>
    <t>NAA30</t>
  </si>
  <si>
    <t>FXYD3</t>
  </si>
  <si>
    <t>KIF22</t>
  </si>
  <si>
    <t>LASP1</t>
  </si>
  <si>
    <t>PTGR1</t>
  </si>
  <si>
    <t>RAB39A</t>
  </si>
  <si>
    <t>ZNF638</t>
  </si>
  <si>
    <t>KPNB1</t>
  </si>
  <si>
    <t>NOLC1</t>
  </si>
  <si>
    <t>NUMA1</t>
  </si>
  <si>
    <t>PSME4</t>
  </si>
  <si>
    <t>SLMAP</t>
  </si>
  <si>
    <t>GAPVD1</t>
  </si>
  <si>
    <t>FRMPD4</t>
  </si>
  <si>
    <t>NAA25</t>
  </si>
  <si>
    <t>FASTKD3</t>
  </si>
  <si>
    <t>NCAPH</t>
  </si>
  <si>
    <t>KIAA0101</t>
  </si>
  <si>
    <t>SPCS2</t>
  </si>
  <si>
    <t>EMC2</t>
  </si>
  <si>
    <t>WTAP</t>
  </si>
  <si>
    <t>PSMD6</t>
  </si>
  <si>
    <t>HERPUD1</t>
  </si>
  <si>
    <t>LAPTM4A</t>
  </si>
  <si>
    <t>MAD2L1BP</t>
  </si>
  <si>
    <t>FAM175B</t>
  </si>
  <si>
    <t>SEPT2</t>
  </si>
  <si>
    <t>SART3</t>
  </si>
  <si>
    <t>NCAPD2</t>
  </si>
  <si>
    <t>EXOSC7</t>
  </si>
  <si>
    <t>EFTUD2</t>
  </si>
  <si>
    <t>LARS2</t>
  </si>
  <si>
    <t>R3HDM1</t>
  </si>
  <si>
    <t>SNX17</t>
  </si>
  <si>
    <t>RAB3GAP1</t>
  </si>
  <si>
    <t>SLC39A14</t>
  </si>
  <si>
    <t>KARS</t>
  </si>
  <si>
    <t>SETDB1</t>
  </si>
  <si>
    <t>LRRC14</t>
  </si>
  <si>
    <t>RRS1</t>
  </si>
  <si>
    <t>IQCB1</t>
  </si>
  <si>
    <t>EIF4H</t>
  </si>
  <si>
    <t>ACAP2</t>
  </si>
  <si>
    <t>BRD3</t>
  </si>
  <si>
    <t>WDR43</t>
  </si>
  <si>
    <t>ACOX1</t>
  </si>
  <si>
    <t>EEA1</t>
  </si>
  <si>
    <t>PAFAH1B3</t>
  </si>
  <si>
    <t>PDK1</t>
  </si>
  <si>
    <t>PDK3</t>
  </si>
  <si>
    <t>PEA15</t>
  </si>
  <si>
    <t>EBP</t>
  </si>
  <si>
    <t>PMVK</t>
  </si>
  <si>
    <t>PRKD1</t>
  </si>
  <si>
    <t>PLEC</t>
  </si>
  <si>
    <t>NOMO1</t>
  </si>
  <si>
    <t>TCEAL1</t>
  </si>
  <si>
    <t>PPP2R5A</t>
  </si>
  <si>
    <t>PPA1</t>
  </si>
  <si>
    <t>STK38</t>
  </si>
  <si>
    <t>PVRL1</t>
  </si>
  <si>
    <t>NONO</t>
  </si>
  <si>
    <t>PPP2R4</t>
  </si>
  <si>
    <t>PWP2</t>
  </si>
  <si>
    <t>QPRT</t>
  </si>
  <si>
    <t>RABEP1</t>
  </si>
  <si>
    <t>RASA2</t>
  </si>
  <si>
    <t>RAB35</t>
  </si>
  <si>
    <t>RBBP5</t>
  </si>
  <si>
    <t>RCN1</t>
  </si>
  <si>
    <t>RALBP1</t>
  </si>
  <si>
    <t>LLGL1</t>
  </si>
  <si>
    <t>LRRC41</t>
  </si>
  <si>
    <t>TMED2</t>
  </si>
  <si>
    <t>PCBP1</t>
  </si>
  <si>
    <t>PCBP2</t>
  </si>
  <si>
    <t>TCEB2</t>
  </si>
  <si>
    <t>RHEB</t>
  </si>
  <si>
    <t>UBE3C</t>
  </si>
  <si>
    <t>SF3B3</t>
  </si>
  <si>
    <t>DLGAP5</t>
  </si>
  <si>
    <t>RSU1</t>
  </si>
  <si>
    <t>CNN3</t>
  </si>
  <si>
    <t>SAFB</t>
  </si>
  <si>
    <t>SF3A2</t>
  </si>
  <si>
    <t>PPP1R7</t>
  </si>
  <si>
    <t>SEC23B</t>
  </si>
  <si>
    <t>SF3A1</t>
  </si>
  <si>
    <t>SHB</t>
  </si>
  <si>
    <t>SKIV2L</t>
  </si>
  <si>
    <t>SURF1</t>
  </si>
  <si>
    <t>SURF2</t>
  </si>
  <si>
    <t>TAF7</t>
  </si>
  <si>
    <t>TERF2</t>
  </si>
  <si>
    <t>MAPRE2</t>
  </si>
  <si>
    <t>TCEA2</t>
  </si>
  <si>
    <t>SLC9A3R2</t>
  </si>
  <si>
    <t>TRADD</t>
  </si>
  <si>
    <t>TARBP2</t>
  </si>
  <si>
    <t>TRIP10</t>
  </si>
  <si>
    <t>TRIP11</t>
  </si>
  <si>
    <t>TRIP13</t>
  </si>
  <si>
    <t>MED1</t>
  </si>
  <si>
    <t>ZNHIT3</t>
  </si>
  <si>
    <t>HMGN3</t>
  </si>
  <si>
    <t>JMJD1C</t>
  </si>
  <si>
    <t>TRIP6</t>
  </si>
  <si>
    <t>MAPRE1</t>
  </si>
  <si>
    <t>TSC22D1</t>
  </si>
  <si>
    <t>ELAVL1</t>
  </si>
  <si>
    <t>NSDHL</t>
  </si>
  <si>
    <t>TAB1</t>
  </si>
  <si>
    <t>SLC1A5</t>
  </si>
  <si>
    <t>RAB30</t>
  </si>
  <si>
    <t>TOMM34</t>
  </si>
  <si>
    <t>NCOA1</t>
  </si>
  <si>
    <t>SMAD2</t>
  </si>
  <si>
    <t>SMAD1</t>
  </si>
  <si>
    <t>MSMO1</t>
  </si>
  <si>
    <t>TBCE</t>
  </si>
  <si>
    <t>TBCC</t>
  </si>
  <si>
    <t>UBE2V2</t>
  </si>
  <si>
    <t>STXBP2</t>
  </si>
  <si>
    <t>VAMP3</t>
  </si>
  <si>
    <t>ADIRF</t>
  </si>
  <si>
    <t>ATP6AP1</t>
  </si>
  <si>
    <t>VPS72</t>
  </si>
  <si>
    <t>RAB11B</t>
  </si>
  <si>
    <t>ZYX</t>
  </si>
  <si>
    <t>ETFDH</t>
  </si>
  <si>
    <t>SEPT7</t>
  </si>
  <si>
    <t>ADRM1</t>
  </si>
  <si>
    <t>CCDC6</t>
  </si>
  <si>
    <t>UAP1</t>
  </si>
  <si>
    <t>E2F4</t>
  </si>
  <si>
    <t>PSMD5</t>
  </si>
  <si>
    <t>PKN1</t>
  </si>
  <si>
    <t>PKN2</t>
  </si>
  <si>
    <t>TAF12</t>
  </si>
  <si>
    <t>DDB1</t>
  </si>
  <si>
    <t>MAPK14</t>
  </si>
  <si>
    <t>DPYSL2</t>
  </si>
  <si>
    <t>RBBP7</t>
  </si>
  <si>
    <t>TAF9</t>
  </si>
  <si>
    <t>ZNF239</t>
  </si>
  <si>
    <t>ECM1</t>
  </si>
  <si>
    <t>OCLN</t>
  </si>
  <si>
    <t>MEA1</t>
  </si>
  <si>
    <t>CPSF6</t>
  </si>
  <si>
    <t>DBN1</t>
  </si>
  <si>
    <t>MAPKAPK3</t>
  </si>
  <si>
    <t>NRF1</t>
  </si>
  <si>
    <t>FSCN1</t>
  </si>
  <si>
    <t>ZSCAN26</t>
  </si>
  <si>
    <t>MAN2A1</t>
  </si>
  <si>
    <t>NDUFA5</t>
  </si>
  <si>
    <t>CLPP</t>
  </si>
  <si>
    <t>TST</t>
  </si>
  <si>
    <t>UBE2S</t>
  </si>
  <si>
    <t>QPCT</t>
  </si>
  <si>
    <t>HAGH</t>
  </si>
  <si>
    <t>HIST2H2BE</t>
  </si>
  <si>
    <t>CA9</t>
  </si>
  <si>
    <t>NDUFA9</t>
  </si>
  <si>
    <t>PCK2</t>
  </si>
  <si>
    <t>CYP51A1</t>
  </si>
  <si>
    <t>UGP2</t>
  </si>
  <si>
    <t>DGUOK</t>
  </si>
  <si>
    <t>ATP6V1F</t>
  </si>
  <si>
    <t>UGT8</t>
  </si>
  <si>
    <t>TATDN3</t>
  </si>
  <si>
    <t>FAM98C</t>
  </si>
  <si>
    <t>REL</t>
  </si>
  <si>
    <t>DOK7</t>
  </si>
  <si>
    <t>KNOP1</t>
  </si>
  <si>
    <t>HNRNPUL2</t>
  </si>
  <si>
    <t>CSPP1</t>
  </si>
  <si>
    <t>TMEM132A</t>
  </si>
  <si>
    <t>INF2</t>
  </si>
  <si>
    <t>PDS5A</t>
  </si>
  <si>
    <t>QSER1</t>
  </si>
  <si>
    <t>CLEC16A</t>
  </si>
  <si>
    <t>MTHFSD</t>
  </si>
  <si>
    <t>AAK1</t>
  </si>
  <si>
    <t>PLK1S1</t>
  </si>
  <si>
    <t>KIAA1033</t>
  </si>
  <si>
    <t>KCNE3</t>
  </si>
  <si>
    <t>ERCC6L</t>
  </si>
  <si>
    <t>TSR1</t>
  </si>
  <si>
    <t>TYSND1</t>
  </si>
  <si>
    <t>ALG11</t>
  </si>
  <si>
    <t>QRICH1</t>
  </si>
  <si>
    <t>RELA</t>
  </si>
  <si>
    <t>TUSC1</t>
  </si>
  <si>
    <t>GOLGA7B</t>
  </si>
  <si>
    <t>SMU1</t>
  </si>
  <si>
    <t>CWF19L2</t>
  </si>
  <si>
    <t>LRRFIP1</t>
  </si>
  <si>
    <t>POLD3</t>
  </si>
  <si>
    <t>LEPRE1</t>
  </si>
  <si>
    <t>TRMT5</t>
  </si>
  <si>
    <t>NME1-NME2</t>
  </si>
  <si>
    <t>TWISTNB</t>
  </si>
  <si>
    <t>GFOD2</t>
  </si>
  <si>
    <t>MAP7D1</t>
  </si>
  <si>
    <t>UAP1L1</t>
  </si>
  <si>
    <t>C2orf76</t>
  </si>
  <si>
    <t>ALKBH6</t>
  </si>
  <si>
    <t>DAK</t>
  </si>
  <si>
    <t>LSM12</t>
  </si>
  <si>
    <t>TBC1D25</t>
  </si>
  <si>
    <t>RGL3</t>
  </si>
  <si>
    <t>PUS10</t>
  </si>
  <si>
    <t>ADCK5</t>
  </si>
  <si>
    <t>HSDL1</t>
  </si>
  <si>
    <t>ALDH1L2</t>
  </si>
  <si>
    <t>RABL6</t>
  </si>
  <si>
    <t>VMA21</t>
  </si>
  <si>
    <t>TUBB8</t>
  </si>
  <si>
    <t>FAM174B</t>
  </si>
  <si>
    <t>TIMM50</t>
  </si>
  <si>
    <t>LGALSL</t>
  </si>
  <si>
    <t>FUT11</t>
  </si>
  <si>
    <t>CDNF</t>
  </si>
  <si>
    <t>C5orf22</t>
  </si>
  <si>
    <t>COX19</t>
  </si>
  <si>
    <t>VPS26B</t>
  </si>
  <si>
    <t>CCSMST1</t>
  </si>
  <si>
    <t>LARP7</t>
  </si>
  <si>
    <t>NADKD1</t>
  </si>
  <si>
    <t>CCDC40</t>
  </si>
  <si>
    <t>GXYLT1</t>
  </si>
  <si>
    <t>ACSF3</t>
  </si>
  <si>
    <t>PREPL</t>
  </si>
  <si>
    <t>TBC1D10B</t>
  </si>
  <si>
    <t>ANO6</t>
  </si>
  <si>
    <t>PLCH1</t>
  </si>
  <si>
    <t>DNAL1</t>
  </si>
  <si>
    <t>ARID4B</t>
  </si>
  <si>
    <t>GRIPAP1</t>
  </si>
  <si>
    <t>BCL7A</t>
  </si>
  <si>
    <t>AMOT</t>
  </si>
  <si>
    <t>DECR2</t>
  </si>
  <si>
    <t>TMEM259</t>
  </si>
  <si>
    <t>C4orf46</t>
  </si>
  <si>
    <t>LIN52</t>
  </si>
  <si>
    <t>FAM98B</t>
  </si>
  <si>
    <t>PDCD4</t>
  </si>
  <si>
    <t>AGPAT9</t>
  </si>
  <si>
    <t>C17orf85</t>
  </si>
  <si>
    <t>TP53I3</t>
  </si>
  <si>
    <t>C11orf73</t>
  </si>
  <si>
    <t>PDLIM3</t>
  </si>
  <si>
    <t>HSD17B12</t>
  </si>
  <si>
    <t>AGK</t>
  </si>
  <si>
    <t>SETMAR</t>
  </si>
  <si>
    <t>LACTB2</t>
  </si>
  <si>
    <t>PYCRL</t>
  </si>
  <si>
    <t>TSSC1</t>
  </si>
  <si>
    <t>SMUG1</t>
  </si>
  <si>
    <t>SOWAHC</t>
  </si>
  <si>
    <t>FASTKD1</t>
  </si>
  <si>
    <t>ASPRV1</t>
  </si>
  <si>
    <t>BOLA3</t>
  </si>
  <si>
    <t>COBLL1</t>
  </si>
  <si>
    <t>HS1BP3</t>
  </si>
  <si>
    <t>SGOL2</t>
  </si>
  <si>
    <t>OCIAD2</t>
  </si>
  <si>
    <t>SFT2D3</t>
  </si>
  <si>
    <t>KHDC3L</t>
  </si>
  <si>
    <t>HSP90AB2P</t>
  </si>
  <si>
    <t>HSP90AA4P</t>
  </si>
  <si>
    <t>DCAF6</t>
  </si>
  <si>
    <t>RPL39P5</t>
  </si>
  <si>
    <t>TMEM97</t>
  </si>
  <si>
    <t>OXLD1</t>
  </si>
  <si>
    <t>C19orf54</t>
  </si>
  <si>
    <t>ZNF326</t>
  </si>
  <si>
    <t>PDZD11</t>
  </si>
  <si>
    <t>DNAJC21</t>
  </si>
  <si>
    <t>VWA2</t>
  </si>
  <si>
    <t>HERC4</t>
  </si>
  <si>
    <t>UTS2</t>
  </si>
  <si>
    <t>CXorf40B</t>
  </si>
  <si>
    <t>MTX3</t>
  </si>
  <si>
    <t>RABL3</t>
  </si>
  <si>
    <t>COQ5</t>
  </si>
  <si>
    <t>SH3D19</t>
  </si>
  <si>
    <t>TUBB</t>
  </si>
  <si>
    <t>NOMO2</t>
  </si>
  <si>
    <t>EARS2</t>
  </si>
  <si>
    <t>DPCD</t>
  </si>
  <si>
    <t>RHOC</t>
  </si>
  <si>
    <t>PPM1J</t>
  </si>
  <si>
    <t>MIA3</t>
  </si>
  <si>
    <t>NUPL1</t>
  </si>
  <si>
    <t>SRSF10</t>
  </si>
  <si>
    <t>PITRM1</t>
  </si>
  <si>
    <t>NHLRC3</t>
  </si>
  <si>
    <t>PSMG4</t>
  </si>
  <si>
    <t>WDR44</t>
  </si>
  <si>
    <t>HMGN5</t>
  </si>
  <si>
    <t>TJAP1</t>
  </si>
  <si>
    <t>RRP12</t>
  </si>
  <si>
    <t>COA6</t>
  </si>
  <si>
    <t>GMEB2</t>
  </si>
  <si>
    <t>AARS2</t>
  </si>
  <si>
    <t>TOR2A</t>
  </si>
  <si>
    <t>RAPGEF1</t>
  </si>
  <si>
    <t>TEX30</t>
  </si>
  <si>
    <t>DLG3</t>
  </si>
  <si>
    <t>FRMPD3</t>
  </si>
  <si>
    <t>PCID2</t>
  </si>
  <si>
    <t>HABP4</t>
  </si>
  <si>
    <t>ELMO2</t>
  </si>
  <si>
    <t>STAU1</t>
  </si>
  <si>
    <t>TMEM230</t>
  </si>
  <si>
    <t>MED23</t>
  </si>
  <si>
    <t>MORF4L2</t>
  </si>
  <si>
    <t>CRNKL1</t>
  </si>
  <si>
    <t>SLC27A3</t>
  </si>
  <si>
    <t>SPECC1</t>
  </si>
  <si>
    <t>SLC35D3</t>
  </si>
  <si>
    <t>SMEK2</t>
  </si>
  <si>
    <t>WDR45B</t>
  </si>
  <si>
    <t>WIPI1</t>
  </si>
  <si>
    <t>EOGT</t>
  </si>
  <si>
    <t>DNTTIP2</t>
  </si>
  <si>
    <t>PEX19</t>
  </si>
  <si>
    <t>ATP5F1</t>
  </si>
  <si>
    <t>BCL2L1</t>
  </si>
  <si>
    <t>DPM1</t>
  </si>
  <si>
    <t>RALY</t>
  </si>
  <si>
    <t>PSMF1</t>
  </si>
  <si>
    <t>FYN</t>
  </si>
  <si>
    <t>MPC2</t>
  </si>
  <si>
    <t>COX20</t>
  </si>
  <si>
    <t>EXOSC6</t>
  </si>
  <si>
    <t>NPDC1</t>
  </si>
  <si>
    <t>ATAT1</t>
  </si>
  <si>
    <t>CLSTN1</t>
  </si>
  <si>
    <t>HIATL1</t>
  </si>
  <si>
    <t>NUP188</t>
  </si>
  <si>
    <t>MANEA</t>
  </si>
  <si>
    <t>CSNK2B</t>
  </si>
  <si>
    <t>HP1BP3</t>
  </si>
  <si>
    <t>VARS2</t>
  </si>
  <si>
    <t>SLC25A30</t>
  </si>
  <si>
    <t>CEP170</t>
  </si>
  <si>
    <t>CAMK2G</t>
  </si>
  <si>
    <t>ODR4</t>
  </si>
  <si>
    <t>SNAPC4</t>
  </si>
  <si>
    <t>DNLZ</t>
  </si>
  <si>
    <t>NHSL1</t>
  </si>
  <si>
    <t>SF3B4</t>
  </si>
  <si>
    <t>CERS2</t>
  </si>
  <si>
    <t>TDRKH</t>
  </si>
  <si>
    <t>AMY1B</t>
  </si>
  <si>
    <t>TPRG1L</t>
  </si>
  <si>
    <t>FNBP1L</t>
  </si>
  <si>
    <t>DPYSL4</t>
  </si>
  <si>
    <t>C6orf132</t>
  </si>
  <si>
    <t>SH3BGRL3</t>
  </si>
  <si>
    <t>RARS2</t>
  </si>
  <si>
    <t>PYGO2</t>
  </si>
  <si>
    <t>FKBP15</t>
  </si>
  <si>
    <t>DDX59</t>
  </si>
  <si>
    <t>PUM1</t>
  </si>
  <si>
    <t>ZC3H13</t>
  </si>
  <si>
    <t>ZDHHC12</t>
  </si>
  <si>
    <t>C9orf114</t>
  </si>
  <si>
    <t>C10orf76</t>
  </si>
  <si>
    <t>PDSS1</t>
  </si>
  <si>
    <t>C1orf159</t>
  </si>
  <si>
    <t>PSRC1</t>
  </si>
  <si>
    <t>TMEM63B</t>
  </si>
  <si>
    <t>ABCC10</t>
  </si>
  <si>
    <t>IBA57</t>
  </si>
  <si>
    <t>ZFYVE27</t>
  </si>
  <si>
    <t>UBR4</t>
  </si>
  <si>
    <t>ACADM</t>
  </si>
  <si>
    <t>STXBP5</t>
  </si>
  <si>
    <t>KIAA1217</t>
  </si>
  <si>
    <t>ARHGAP21</t>
  </si>
  <si>
    <t>CAMSAP1</t>
  </si>
  <si>
    <t>UBAP2</t>
  </si>
  <si>
    <t>ABLIM1</t>
  </si>
  <si>
    <t>C9orf64</t>
  </si>
  <si>
    <t>XP32</t>
  </si>
  <si>
    <t>FAM69A</t>
  </si>
  <si>
    <t>GORAB</t>
  </si>
  <si>
    <t>ACBD5</t>
  </si>
  <si>
    <t>COX6A1P2</t>
  </si>
  <si>
    <t>RBM26</t>
  </si>
  <si>
    <t>SURF4</t>
  </si>
  <si>
    <t>AK1</t>
  </si>
  <si>
    <t>FAM102A</t>
  </si>
  <si>
    <t>CPSF3L</t>
  </si>
  <si>
    <t>GLTPD1</t>
  </si>
  <si>
    <t>ZCCHC11</t>
  </si>
  <si>
    <t>FRY</t>
  </si>
  <si>
    <t>RNASEH2B</t>
  </si>
  <si>
    <t>TAF4</t>
  </si>
  <si>
    <t>RBM34</t>
  </si>
  <si>
    <t>NQO2</t>
  </si>
  <si>
    <t>C6orf89</t>
  </si>
  <si>
    <t>DNAJC16</t>
  </si>
  <si>
    <t>DDI2</t>
  </si>
  <si>
    <t>NDUFAF5</t>
  </si>
  <si>
    <t>NT5DC1</t>
  </si>
  <si>
    <t>C6orf106</t>
  </si>
  <si>
    <t>ARFGEF3</t>
  </si>
  <si>
    <t>PRDM2</t>
  </si>
  <si>
    <t>PRR14L</t>
  </si>
  <si>
    <t>SLC19A2</t>
  </si>
  <si>
    <t>CROCC</t>
  </si>
  <si>
    <t>LYRM7</t>
  </si>
  <si>
    <t>RIF1</t>
  </si>
  <si>
    <t>VPS53</t>
  </si>
  <si>
    <t>STRIP1</t>
  </si>
  <si>
    <t>ABHD17B</t>
  </si>
  <si>
    <t>CEP350</t>
  </si>
  <si>
    <t>RPRD2</t>
  </si>
  <si>
    <t>MARC1</t>
  </si>
  <si>
    <t>GHITM</t>
  </si>
  <si>
    <t>PRPF38B</t>
  </si>
  <si>
    <t>TTC39B</t>
  </si>
  <si>
    <t>RNF20</t>
  </si>
  <si>
    <t>DYNLT1</t>
  </si>
  <si>
    <t>ATF3</t>
  </si>
  <si>
    <t>ZNF318</t>
  </si>
  <si>
    <t>C1orf53</t>
  </si>
  <si>
    <t>C6orf57</t>
  </si>
  <si>
    <t>ARHGEF16</t>
  </si>
  <si>
    <t>CDKAL1</t>
  </si>
  <si>
    <t>ZNF691</t>
  </si>
  <si>
    <t>MGST3</t>
  </si>
  <si>
    <t>MYSM1</t>
  </si>
  <si>
    <t>YOD1</t>
  </si>
  <si>
    <t>NFIB</t>
  </si>
  <si>
    <t>BROX</t>
  </si>
  <si>
    <t>FOCAD</t>
  </si>
  <si>
    <t>GPAM</t>
  </si>
  <si>
    <t>SNX30</t>
  </si>
  <si>
    <t>FAM46C</t>
  </si>
  <si>
    <t>RSBN1</t>
  </si>
  <si>
    <t>DAB2IP</t>
  </si>
  <si>
    <t>PARD3</t>
  </si>
  <si>
    <t>LYPLAL1</t>
  </si>
  <si>
    <t>ARHGEF2</t>
  </si>
  <si>
    <t>ZCCHC6</t>
  </si>
  <si>
    <t>RNLS</t>
  </si>
  <si>
    <t>NAA35</t>
  </si>
  <si>
    <t>LRRC16A</t>
  </si>
  <si>
    <t>ITM2B</t>
  </si>
  <si>
    <t>BSPRY</t>
  </si>
  <si>
    <t>FAM160B1</t>
  </si>
  <si>
    <t>SPRYD7</t>
  </si>
  <si>
    <t>NMRK1</t>
  </si>
  <si>
    <t>NDUFB8</t>
  </si>
  <si>
    <t>SLC35A1</t>
  </si>
  <si>
    <t>QIL1</t>
  </si>
  <si>
    <t>FBXW9</t>
  </si>
  <si>
    <t>CD276</t>
  </si>
  <si>
    <t>RNF213</t>
  </si>
  <si>
    <t>AP1AR</t>
  </si>
  <si>
    <t>FAM21A</t>
  </si>
  <si>
    <t>LPCAT4</t>
  </si>
  <si>
    <t>FAM91A1</t>
  </si>
  <si>
    <t>LARP1B</t>
  </si>
  <si>
    <t>TBC1D9B</t>
  </si>
  <si>
    <t>PFKFB4</t>
  </si>
  <si>
    <t>ARID2</t>
  </si>
  <si>
    <t>DIEXF</t>
  </si>
  <si>
    <t>SPTY2D1</t>
  </si>
  <si>
    <t>MBLAC2</t>
  </si>
  <si>
    <t>LMBRD2</t>
  </si>
  <si>
    <t>INTS3</t>
  </si>
  <si>
    <t>ARHGAP17</t>
  </si>
  <si>
    <t>CWF19L1</t>
  </si>
  <si>
    <t>KIAA1429</t>
  </si>
  <si>
    <t>SPECC1L</t>
  </si>
  <si>
    <t>C12orf73</t>
  </si>
  <si>
    <t>UHRF1BP1</t>
  </si>
  <si>
    <t>ZNF787</t>
  </si>
  <si>
    <t>ATL3</t>
  </si>
  <si>
    <t>ADAL</t>
  </si>
  <si>
    <t>TTC19</t>
  </si>
  <si>
    <t>CDC42BPG</t>
  </si>
  <si>
    <t>VASN</t>
  </si>
  <si>
    <t>CIAPIN1</t>
  </si>
  <si>
    <t>ZFAND6</t>
  </si>
  <si>
    <t>SMYD5</t>
  </si>
  <si>
    <t>PTRHD1</t>
  </si>
  <si>
    <t>OTUD7B</t>
  </si>
  <si>
    <t>SELS</t>
  </si>
  <si>
    <t>RALGAPA1</t>
  </si>
  <si>
    <t>ISM2</t>
  </si>
  <si>
    <t>THOC7</t>
  </si>
  <si>
    <t>SIGIRR</t>
  </si>
  <si>
    <t>NADSYN1</t>
  </si>
  <si>
    <t>ELP2</t>
  </si>
  <si>
    <t>LAMTOR1</t>
  </si>
  <si>
    <t>DHRS7B</t>
  </si>
  <si>
    <t>TWF2</t>
  </si>
  <si>
    <t>NCAPH2</t>
  </si>
  <si>
    <t>DESI1</t>
  </si>
  <si>
    <t>KIAA0930</t>
  </si>
  <si>
    <t>Em:AP000351.3</t>
  </si>
  <si>
    <t>MRM1</t>
  </si>
  <si>
    <t>SMEK1</t>
  </si>
  <si>
    <t>TYW3</t>
  </si>
  <si>
    <t>RAB12</t>
  </si>
  <si>
    <t>SDE2</t>
  </si>
  <si>
    <t>GRHL2</t>
  </si>
  <si>
    <t>USP3</t>
  </si>
  <si>
    <t>ACAD10</t>
  </si>
  <si>
    <t>NIPBL</t>
  </si>
  <si>
    <t>SLC25A25</t>
  </si>
  <si>
    <t>PDE12</t>
  </si>
  <si>
    <t>LIN54</t>
  </si>
  <si>
    <t>ZNF280D</t>
  </si>
  <si>
    <t>OGFOD2</t>
  </si>
  <si>
    <t>NAA16</t>
  </si>
  <si>
    <t>KIAA1161</t>
  </si>
  <si>
    <t>SLC18B1</t>
  </si>
  <si>
    <t>C5orf45</t>
  </si>
  <si>
    <t>SLC25A24</t>
  </si>
  <si>
    <t>REEP3</t>
  </si>
  <si>
    <t>RETSAT</t>
  </si>
  <si>
    <t>RINT1</t>
  </si>
  <si>
    <t>TMEM214</t>
  </si>
  <si>
    <t>TCTN3</t>
  </si>
  <si>
    <t>KIAA1211L</t>
  </si>
  <si>
    <t>SWSAP1</t>
  </si>
  <si>
    <t>HIBCH</t>
  </si>
  <si>
    <t>PPP1R2P3</t>
  </si>
  <si>
    <t>ANKRD54</t>
  </si>
  <si>
    <t>TAPT1</t>
  </si>
  <si>
    <t>JMJD6</t>
  </si>
  <si>
    <t>PPP1R18</t>
  </si>
  <si>
    <t>PTRF</t>
  </si>
  <si>
    <t>ZCCHC8</t>
  </si>
  <si>
    <t>RPUSD3</t>
  </si>
  <si>
    <t>MRPL54</t>
  </si>
  <si>
    <t>ERAP2</t>
  </si>
  <si>
    <t>CDC73</t>
  </si>
  <si>
    <t>PMF1</t>
  </si>
  <si>
    <t>FAM117B</t>
  </si>
  <si>
    <t>MRPL14</t>
  </si>
  <si>
    <t>SLC27A4</t>
  </si>
  <si>
    <t>CC2D1A</t>
  </si>
  <si>
    <t>METTL2B</t>
  </si>
  <si>
    <t>DUS1L</t>
  </si>
  <si>
    <t>TAF2</t>
  </si>
  <si>
    <t>C8orf82</t>
  </si>
  <si>
    <t>STAG1</t>
  </si>
  <si>
    <t>EDC4</t>
  </si>
  <si>
    <t>CEP85</t>
  </si>
  <si>
    <t>FAHD2B</t>
  </si>
  <si>
    <t>PRMT10</t>
  </si>
  <si>
    <t>PRPF8</t>
  </si>
  <si>
    <t>FBXO42</t>
  </si>
  <si>
    <t>SCYL2</t>
  </si>
  <si>
    <t>TTC27</t>
  </si>
  <si>
    <t>SFXN4</t>
  </si>
  <si>
    <t>PLBD1</t>
  </si>
  <si>
    <t>CASC4</t>
  </si>
  <si>
    <t>FDX1L</t>
  </si>
  <si>
    <t>WDR73</t>
  </si>
  <si>
    <t>NFRKB</t>
  </si>
  <si>
    <t>MZT2A</t>
  </si>
  <si>
    <t>FAHD1</t>
  </si>
  <si>
    <t>ANKRD16</t>
  </si>
  <si>
    <t>ALKBH5</t>
  </si>
  <si>
    <t>NOTUM</t>
  </si>
  <si>
    <t>RSBN1L</t>
  </si>
  <si>
    <t>ABHD17C</t>
  </si>
  <si>
    <t>PGM2L1</t>
  </si>
  <si>
    <t>CTR9</t>
  </si>
  <si>
    <t>AAGAB</t>
  </si>
  <si>
    <t>TTC37</t>
  </si>
  <si>
    <t>C16orf87</t>
  </si>
  <si>
    <t>KCTD18</t>
  </si>
  <si>
    <t>DARS2</t>
  </si>
  <si>
    <t>TTC33</t>
  </si>
  <si>
    <t>CCDC174</t>
  </si>
  <si>
    <t>HAGHL</t>
  </si>
  <si>
    <t>FBXO38</t>
  </si>
  <si>
    <t>CENPC1</t>
  </si>
  <si>
    <t>FIGNL1</t>
  </si>
  <si>
    <t>TRIM65</t>
  </si>
  <si>
    <t>RHBDF2</t>
  </si>
  <si>
    <t>BRAT1</t>
  </si>
  <si>
    <t>WDR59</t>
  </si>
  <si>
    <t>ZC3H14</t>
  </si>
  <si>
    <t>RAB17</t>
  </si>
  <si>
    <t>TXNDC11</t>
  </si>
  <si>
    <t>LARP1</t>
  </si>
  <si>
    <t>TMED8</t>
  </si>
  <si>
    <t>SLC30A9</t>
  </si>
  <si>
    <t>PAOX</t>
  </si>
  <si>
    <t>BLOC1S3</t>
  </si>
  <si>
    <t>BLOC1S2</t>
  </si>
  <si>
    <t>WDR74</t>
  </si>
  <si>
    <t>AGTRAP</t>
  </si>
  <si>
    <t>POTEE</t>
  </si>
  <si>
    <t>SARM1</t>
  </si>
  <si>
    <t>METAP1D</t>
  </si>
  <si>
    <t>ANKRD12</t>
  </si>
  <si>
    <t>AFTPH</t>
  </si>
  <si>
    <t>FIP1L1</t>
  </si>
  <si>
    <t>CRTC1</t>
  </si>
  <si>
    <t>ATRAID</t>
  </si>
  <si>
    <t>KDELC1</t>
  </si>
  <si>
    <t>C11orf83</t>
  </si>
  <si>
    <t>LRSAM1</t>
  </si>
  <si>
    <t>DHRS11</t>
  </si>
  <si>
    <t>LCLAT1</t>
  </si>
  <si>
    <t>LCN15</t>
  </si>
  <si>
    <t>CWC27</t>
  </si>
  <si>
    <t>SEZ6L2</t>
  </si>
  <si>
    <t>KIAA1324</t>
  </si>
  <si>
    <t>CRELD2</t>
  </si>
  <si>
    <t>WDR82</t>
  </si>
  <si>
    <t>APOOL</t>
  </si>
  <si>
    <t>MUC6</t>
  </si>
  <si>
    <t>RAB11FIP1</t>
  </si>
  <si>
    <t>NAPRT1</t>
  </si>
  <si>
    <t>PTPLB</t>
  </si>
  <si>
    <t>GIGYF2</t>
  </si>
  <si>
    <t>CD109</t>
  </si>
  <si>
    <t>THADA</t>
  </si>
  <si>
    <t>HSDL2</t>
  </si>
  <si>
    <t>CCBL2</t>
  </si>
  <si>
    <t>TMEM184A</t>
  </si>
  <si>
    <t>CERS6</t>
  </si>
  <si>
    <t>PPP1R21</t>
  </si>
  <si>
    <t>THSD4</t>
  </si>
  <si>
    <t>LDHAL6A</t>
  </si>
  <si>
    <t>MEX3B</t>
  </si>
  <si>
    <t>LIN28B</t>
  </si>
  <si>
    <t>NFXL1</t>
  </si>
  <si>
    <t>NBEAL2</t>
  </si>
  <si>
    <t>GDPGP1</t>
  </si>
  <si>
    <t>DPY19L3</t>
  </si>
  <si>
    <t>QSOX2</t>
  </si>
  <si>
    <t>SRCAP</t>
  </si>
  <si>
    <t>FAM65A</t>
  </si>
  <si>
    <t>NBEAL1</t>
  </si>
  <si>
    <t>C1orf122</t>
  </si>
  <si>
    <t>MFSD6</t>
  </si>
  <si>
    <t>TMPPE</t>
  </si>
  <si>
    <t>SH3BP1</t>
  </si>
  <si>
    <t>RASSF6</t>
  </si>
  <si>
    <t>LHFPL2</t>
  </si>
  <si>
    <t>GPRIN3</t>
  </si>
  <si>
    <t>TOM1L2</t>
  </si>
  <si>
    <t>C16orf86</t>
  </si>
  <si>
    <t>PAXIP1</t>
  </si>
  <si>
    <t>TMTC3</t>
  </si>
  <si>
    <t>GTF2H5</t>
  </si>
  <si>
    <t>VPS13C</t>
  </si>
  <si>
    <t>ACAD11</t>
  </si>
  <si>
    <t>USP34</t>
  </si>
  <si>
    <t>MOB2</t>
  </si>
  <si>
    <t>IKBIP</t>
  </si>
  <si>
    <t>FRA10AC1</t>
  </si>
  <si>
    <t>UBE2R2</t>
  </si>
  <si>
    <t>MED13L</t>
  </si>
  <si>
    <t>LARP4</t>
  </si>
  <si>
    <t>MED25</t>
  </si>
  <si>
    <t>H2AFV</t>
  </si>
  <si>
    <t>INTS8</t>
  </si>
  <si>
    <t>MTSS1L</t>
  </si>
  <si>
    <t>BTN2A1</t>
  </si>
  <si>
    <t>SUPT6H</t>
  </si>
  <si>
    <t>SND1</t>
  </si>
  <si>
    <t>COX15</t>
  </si>
  <si>
    <t>DDX46</t>
  </si>
  <si>
    <t>RUFY3</t>
  </si>
  <si>
    <t>TRMT10C</t>
  </si>
  <si>
    <t>BZW1</t>
  </si>
  <si>
    <t>CYB5R4</t>
  </si>
  <si>
    <t>ABHD13</t>
  </si>
  <si>
    <t>ASRGL1</t>
  </si>
  <si>
    <t>KCTD9</t>
  </si>
  <si>
    <t>EIF3M</t>
  </si>
  <si>
    <t>MEPCE</t>
  </si>
  <si>
    <t>PARS2</t>
  </si>
  <si>
    <t>FAM73B</t>
  </si>
  <si>
    <t>RSRC2</t>
  </si>
  <si>
    <t>RRAGA</t>
  </si>
  <si>
    <t>CYFIP1</t>
  </si>
  <si>
    <t>NDUFAF7</t>
  </si>
  <si>
    <t>GET4</t>
  </si>
  <si>
    <t>LPCAT2</t>
  </si>
  <si>
    <t>ENOSF1</t>
  </si>
  <si>
    <t>EPM2AIP1</t>
  </si>
  <si>
    <t>DHX32</t>
  </si>
  <si>
    <t>TAOK1</t>
  </si>
  <si>
    <t>FASTKD5</t>
  </si>
  <si>
    <t>ATPBD4</t>
  </si>
  <si>
    <t>EEPD1</t>
  </si>
  <si>
    <t>KDM3B</t>
  </si>
  <si>
    <t>CHMP1B</t>
  </si>
  <si>
    <t>HS2ST1</t>
  </si>
  <si>
    <t>NIPA1</t>
  </si>
  <si>
    <t>MICAL3</t>
  </si>
  <si>
    <t>PHF5A</t>
  </si>
  <si>
    <t>TAS1R3</t>
  </si>
  <si>
    <t>APTX</t>
  </si>
  <si>
    <t>GPRIN1</t>
  </si>
  <si>
    <t>ZC3HAV1</t>
  </si>
  <si>
    <t>GVINP1</t>
  </si>
  <si>
    <t>EFTUD1</t>
  </si>
  <si>
    <t>FAM122B</t>
  </si>
  <si>
    <t>DKFZp686L0695</t>
  </si>
  <si>
    <t>TRAPPC11</t>
  </si>
  <si>
    <t>ATG9A</t>
  </si>
  <si>
    <t>LYSMD3</t>
  </si>
  <si>
    <t>C14orf159</t>
  </si>
  <si>
    <t>C10orf118</t>
  </si>
  <si>
    <t>POGZ</t>
  </si>
  <si>
    <t>ZFYVE16</t>
  </si>
  <si>
    <t>TMC4</t>
  </si>
  <si>
    <t>NUFIP2</t>
  </si>
  <si>
    <t>SZRD1</t>
  </si>
  <si>
    <t>MAVS</t>
  </si>
  <si>
    <t>DHX29</t>
  </si>
  <si>
    <t>COMMD6</t>
  </si>
  <si>
    <t>TRMT11</t>
  </si>
  <si>
    <t>HDDC2</t>
  </si>
  <si>
    <t>HAUS6</t>
  </si>
  <si>
    <t>KDELC2</t>
  </si>
  <si>
    <t>LIMS2</t>
  </si>
  <si>
    <t>HEATR3</t>
  </si>
  <si>
    <t>HDGFRP2</t>
  </si>
  <si>
    <t>DCXR</t>
  </si>
  <si>
    <t>BRAP</t>
  </si>
  <si>
    <t>EMSY</t>
  </si>
  <si>
    <t>GOLGA7</t>
  </si>
  <si>
    <t>WAPAL</t>
  </si>
  <si>
    <t>IRF2BP2</t>
  </si>
  <si>
    <t>BCDIN3D</t>
  </si>
  <si>
    <t>CCDC91</t>
  </si>
  <si>
    <t>SRGAP1</t>
  </si>
  <si>
    <t>RBBP6</t>
  </si>
  <si>
    <t>C5orf24</t>
  </si>
  <si>
    <t>UBE3D</t>
  </si>
  <si>
    <t>TSEN54</t>
  </si>
  <si>
    <t>PTAR1</t>
  </si>
  <si>
    <t>TECPR1</t>
  </si>
  <si>
    <t>RABEPK</t>
  </si>
  <si>
    <t>FBXO33</t>
  </si>
  <si>
    <t>MTERFD2</t>
  </si>
  <si>
    <t>ADAT2</t>
  </si>
  <si>
    <t>HUWE1</t>
  </si>
  <si>
    <t>CTU1</t>
  </si>
  <si>
    <t>PXK</t>
  </si>
  <si>
    <t>TAF8</t>
  </si>
  <si>
    <t>UBE2Q1</t>
  </si>
  <si>
    <t>KIAA0907</t>
  </si>
  <si>
    <t>MRPL55</t>
  </si>
  <si>
    <t>TMED4</t>
  </si>
  <si>
    <t>MRPL10</t>
  </si>
  <si>
    <t>CMC1</t>
  </si>
  <si>
    <t>CENPV</t>
  </si>
  <si>
    <t>ZER1</t>
  </si>
  <si>
    <t>TMEM179B</t>
  </si>
  <si>
    <t>DHDDS</t>
  </si>
  <si>
    <t>GALNT10</t>
  </si>
  <si>
    <t>GLRX5</t>
  </si>
  <si>
    <t>TRAPPC6B</t>
  </si>
  <si>
    <t>TMEM55B</t>
  </si>
  <si>
    <t>PATL1</t>
  </si>
  <si>
    <t>PEG10</t>
  </si>
  <si>
    <t>TBC1D1</t>
  </si>
  <si>
    <t>DPP9</t>
  </si>
  <si>
    <t>SYVN1</t>
  </si>
  <si>
    <t>TRPT1</t>
  </si>
  <si>
    <t>PRUNE</t>
  </si>
  <si>
    <t>SETD3</t>
  </si>
  <si>
    <t>ADCK1</t>
  </si>
  <si>
    <t>ACOT1</t>
  </si>
  <si>
    <t>ISCA2</t>
  </si>
  <si>
    <t>NOP9</t>
  </si>
  <si>
    <t>METTL3</t>
  </si>
  <si>
    <t>LDB1</t>
  </si>
  <si>
    <t>PBRM1</t>
  </si>
  <si>
    <t>YRDC</t>
  </si>
  <si>
    <t>PRPF39</t>
  </si>
  <si>
    <t>SAPCD2</t>
  </si>
  <si>
    <t>MTDH</t>
  </si>
  <si>
    <t>TLK2</t>
  </si>
  <si>
    <t>ZNF598</t>
  </si>
  <si>
    <t>AGPAT6</t>
  </si>
  <si>
    <t>KTN1</t>
  </si>
  <si>
    <t>SMG6</t>
  </si>
  <si>
    <t>NLRX1</t>
  </si>
  <si>
    <t>BCL9L</t>
  </si>
  <si>
    <t>USP48</t>
  </si>
  <si>
    <t>ABCC5</t>
  </si>
  <si>
    <t>STK32C</t>
  </si>
  <si>
    <t>TXNDC5</t>
  </si>
  <si>
    <t>NT5DC3</t>
  </si>
  <si>
    <t>CASZ1</t>
  </si>
  <si>
    <t>AACS</t>
  </si>
  <si>
    <t>LUZP1</t>
  </si>
  <si>
    <t>GPR180</t>
  </si>
  <si>
    <t>MDP1</t>
  </si>
  <si>
    <t>KBTBD6</t>
  </si>
  <si>
    <t>NRAP</t>
  </si>
  <si>
    <t>IQGAP3</t>
  </si>
  <si>
    <t>VPS36</t>
  </si>
  <si>
    <t>CAND1</t>
  </si>
  <si>
    <t>GLCCI1</t>
  </si>
  <si>
    <t>FAM134C</t>
  </si>
  <si>
    <t>HOOK3</t>
  </si>
  <si>
    <t>COMTD1</t>
  </si>
  <si>
    <t>SESTD1</t>
  </si>
  <si>
    <t>MON1A</t>
  </si>
  <si>
    <t>THOC6</t>
  </si>
  <si>
    <t>METTL16</t>
  </si>
  <si>
    <t>PARG</t>
  </si>
  <si>
    <t>PPFIBP1</t>
  </si>
  <si>
    <t>BPHL</t>
  </si>
  <si>
    <t>LONP2</t>
  </si>
  <si>
    <t>OSTM1</t>
  </si>
  <si>
    <t>CHD1L</t>
  </si>
  <si>
    <t>NR2C2AP</t>
  </si>
  <si>
    <t>CCDC25</t>
  </si>
  <si>
    <t>PROSER2</t>
  </si>
  <si>
    <t>LDHD</t>
  </si>
  <si>
    <t>CCDC43</t>
  </si>
  <si>
    <t>CARM1</t>
  </si>
  <si>
    <t>NUDT13</t>
  </si>
  <si>
    <t>NIT1</t>
  </si>
  <si>
    <t>COMMD2</t>
  </si>
  <si>
    <t>CIR1</t>
  </si>
  <si>
    <t>PLA2G4D</t>
  </si>
  <si>
    <t>DGKH</t>
  </si>
  <si>
    <t>DDX42</t>
  </si>
  <si>
    <t>FRAS1</t>
  </si>
  <si>
    <t>SPATS2</t>
  </si>
  <si>
    <t>VRK2</t>
  </si>
  <si>
    <t>NDUFA11</t>
  </si>
  <si>
    <t>HEATR2</t>
  </si>
  <si>
    <t>PTRH1</t>
  </si>
  <si>
    <t>STX12</t>
  </si>
  <si>
    <t>ERO1LB</t>
  </si>
  <si>
    <t>PDSS2</t>
  </si>
  <si>
    <t>HOMER1</t>
  </si>
  <si>
    <t>DOLPP1</t>
  </si>
  <si>
    <t>GATAD2A</t>
  </si>
  <si>
    <t>C2CD5</t>
  </si>
  <si>
    <t>MIB1</t>
  </si>
  <si>
    <t>SGK223</t>
  </si>
  <si>
    <t>HPS6</t>
  </si>
  <si>
    <t>IRF2BP1</t>
  </si>
  <si>
    <t>RHPN2</t>
  </si>
  <si>
    <t>ERC1</t>
  </si>
  <si>
    <t>MINA</t>
  </si>
  <si>
    <t>ZDHHC13</t>
  </si>
  <si>
    <t>CRLF3</t>
  </si>
  <si>
    <t>TRAPPC5</t>
  </si>
  <si>
    <t>RELL1</t>
  </si>
  <si>
    <t>TMEM126B</t>
  </si>
  <si>
    <t>AGXT2L2</t>
  </si>
  <si>
    <t>PLD3</t>
  </si>
  <si>
    <t>LACC1</t>
  </si>
  <si>
    <t>HID1</t>
  </si>
  <si>
    <t>ANKMY2</t>
  </si>
  <si>
    <t>UNC5CL</t>
  </si>
  <si>
    <t>LYSMD2</t>
  </si>
  <si>
    <t>PRR15</t>
  </si>
  <si>
    <t>VRK3</t>
  </si>
  <si>
    <t>LIX1L</t>
  </si>
  <si>
    <t>NUDCD3</t>
  </si>
  <si>
    <t>AHNAK2</t>
  </si>
  <si>
    <t>MMAA</t>
  </si>
  <si>
    <t>MAP4K3</t>
  </si>
  <si>
    <t>NAV2</t>
  </si>
  <si>
    <t>CCDC50</t>
  </si>
  <si>
    <t>ZDHHC21</t>
  </si>
  <si>
    <t>PPM1D</t>
  </si>
  <si>
    <t>MCAT</t>
  </si>
  <si>
    <t>C19orf21</t>
  </si>
  <si>
    <t>ARID3B</t>
  </si>
  <si>
    <t>CARKD</t>
  </si>
  <si>
    <t>MFN1</t>
  </si>
  <si>
    <t>ITPRIP</t>
  </si>
  <si>
    <t>WDFY1</t>
  </si>
  <si>
    <t>TEX2</t>
  </si>
  <si>
    <t>MAP7D3</t>
  </si>
  <si>
    <t>CCDC117</t>
  </si>
  <si>
    <t>FAM114A1</t>
  </si>
  <si>
    <t>DCUN1D3</t>
  </si>
  <si>
    <t>DENND6A</t>
  </si>
  <si>
    <t>GCC2</t>
  </si>
  <si>
    <t>HSCB</t>
  </si>
  <si>
    <t>ZC3H7A</t>
  </si>
  <si>
    <t>PHF6</t>
  </si>
  <si>
    <t>LRRC8A</t>
  </si>
  <si>
    <t>LMTK2</t>
  </si>
  <si>
    <t>UBR1</t>
  </si>
  <si>
    <t>UBR2</t>
  </si>
  <si>
    <t>ARHGAP12</t>
  </si>
  <si>
    <t>SGPP2</t>
  </si>
  <si>
    <t>ANKHD1</t>
  </si>
  <si>
    <t>SUGP1</t>
  </si>
  <si>
    <t>UEVLD</t>
  </si>
  <si>
    <t>CCAR1</t>
  </si>
  <si>
    <t>DHX40</t>
  </si>
  <si>
    <t>SKA3</t>
  </si>
  <si>
    <t>DNAJC10</t>
  </si>
  <si>
    <t>RHOT2</t>
  </si>
  <si>
    <t>RHOT1</t>
  </si>
  <si>
    <t>BAP18</t>
  </si>
  <si>
    <t>KIAA1704</t>
  </si>
  <si>
    <t>RPAP2</t>
  </si>
  <si>
    <t>PNPLA6</t>
  </si>
  <si>
    <t>SMC5</t>
  </si>
  <si>
    <t>CMIP</t>
  </si>
  <si>
    <t>MICALL2</t>
  </si>
  <si>
    <t>DHX37</t>
  </si>
  <si>
    <t>KBTBD2</t>
  </si>
  <si>
    <t>SLC35F3</t>
  </si>
  <si>
    <t>FTSJ3</t>
  </si>
  <si>
    <t>SLX4</t>
  </si>
  <si>
    <t>TMEM192</t>
  </si>
  <si>
    <t>MB21D2</t>
  </si>
  <si>
    <t>SMAP1</t>
  </si>
  <si>
    <t>DIS3L2</t>
  </si>
  <si>
    <t>SUPV3L1</t>
  </si>
  <si>
    <t>CCDC146</t>
  </si>
  <si>
    <t>ZZZ3</t>
  </si>
  <si>
    <t>EXOC8</t>
  </si>
  <si>
    <t>C1orf174</t>
  </si>
  <si>
    <t>THNSL1</t>
  </si>
  <si>
    <t>PM20D2</t>
  </si>
  <si>
    <t>KIAA2013</t>
  </si>
  <si>
    <t>MICU2</t>
  </si>
  <si>
    <t>RNF168</t>
  </si>
  <si>
    <t>ANKRD13A</t>
  </si>
  <si>
    <t>PHACTR4</t>
  </si>
  <si>
    <t>RCOR2</t>
  </si>
  <si>
    <t>RASEF</t>
  </si>
  <si>
    <t>CHPF</t>
  </si>
  <si>
    <t>MTX2</t>
  </si>
  <si>
    <t>RPUSD2</t>
  </si>
  <si>
    <t>ELMOD2</t>
  </si>
  <si>
    <t>ALDH16A1</t>
  </si>
  <si>
    <t>NALCN</t>
  </si>
  <si>
    <t>XRN1</t>
  </si>
  <si>
    <t>MAML2</t>
  </si>
  <si>
    <t>SELH</t>
  </si>
  <si>
    <t>CMTM4</t>
  </si>
  <si>
    <t>RDH10</t>
  </si>
  <si>
    <t>TNS4</t>
  </si>
  <si>
    <t>C8orf59</t>
  </si>
  <si>
    <t>FAM185A</t>
  </si>
  <si>
    <t>VKORC1L1</t>
  </si>
  <si>
    <t>FUK</t>
  </si>
  <si>
    <t>CLYBL</t>
  </si>
  <si>
    <t>TTC5</t>
  </si>
  <si>
    <t>PUSL1</t>
  </si>
  <si>
    <t>VSIG10</t>
  </si>
  <si>
    <t>MIER1</t>
  </si>
  <si>
    <t>RPTOR</t>
  </si>
  <si>
    <t>CNPY4</t>
  </si>
  <si>
    <t>KIAA1967</t>
  </si>
  <si>
    <t>NDUFAF2</t>
  </si>
  <si>
    <t>VPS52</t>
  </si>
  <si>
    <t>NUP93</t>
  </si>
  <si>
    <t>FTSJD2</t>
  </si>
  <si>
    <t>LRRC47</t>
  </si>
  <si>
    <t>THEMIS</t>
  </si>
  <si>
    <t>PLD6</t>
  </si>
  <si>
    <t>ARMC10</t>
  </si>
  <si>
    <t>GHDC</t>
  </si>
  <si>
    <t>ABHD12</t>
  </si>
  <si>
    <t>APITD1</t>
  </si>
  <si>
    <t>CCDC23</t>
  </si>
  <si>
    <t>GPD1L</t>
  </si>
  <si>
    <t>DOS</t>
  </si>
  <si>
    <t>ARHGAP18</t>
  </si>
  <si>
    <t>VWA5B2</t>
  </si>
  <si>
    <t>ASCC3</t>
  </si>
  <si>
    <t>EHBP1L1</t>
  </si>
  <si>
    <t>MICALL1</t>
  </si>
  <si>
    <t>MPP5</t>
  </si>
  <si>
    <t>FNBP4</t>
  </si>
  <si>
    <t>GUF1</t>
  </si>
  <si>
    <t>D2HGDH</t>
  </si>
  <si>
    <t>RYBP</t>
  </si>
  <si>
    <t>PNKD</t>
  </si>
  <si>
    <t>MINK1</t>
  </si>
  <si>
    <t>TOMM5</t>
  </si>
  <si>
    <t>HDDC3</t>
  </si>
  <si>
    <t>ZADH2</t>
  </si>
  <si>
    <t>CHCHD4</t>
  </si>
  <si>
    <t>CBR4</t>
  </si>
  <si>
    <t>MMGT1</t>
  </si>
  <si>
    <t>ZCCHC9</t>
  </si>
  <si>
    <t>OXR1</t>
  </si>
  <si>
    <t>TTC39C</t>
  </si>
  <si>
    <t>SRBD1</t>
  </si>
  <si>
    <t>NKAP</t>
  </si>
  <si>
    <t>SMIM20</t>
  </si>
  <si>
    <t>TMEM57</t>
  </si>
  <si>
    <t>ARRDC1</t>
  </si>
  <si>
    <t>C12orf45</t>
  </si>
  <si>
    <t>CISD2</t>
  </si>
  <si>
    <t>RPP25L</t>
  </si>
  <si>
    <t>ATPAF2</t>
  </si>
  <si>
    <t>JAGN1</t>
  </si>
  <si>
    <t>MRPL50</t>
  </si>
  <si>
    <t>EIF4E3</t>
  </si>
  <si>
    <t>PARP16</t>
  </si>
  <si>
    <t>KCTD17</t>
  </si>
  <si>
    <t>CPSF7</t>
  </si>
  <si>
    <t>SLC15A4</t>
  </si>
  <si>
    <t>OTUD6B</t>
  </si>
  <si>
    <t>C1orf52</t>
  </si>
  <si>
    <t>ACBD7</t>
  </si>
  <si>
    <t>METTL25</t>
  </si>
  <si>
    <t>ANKRD13C</t>
  </si>
  <si>
    <t>ARFGAP1</t>
  </si>
  <si>
    <t>NPW</t>
  </si>
  <si>
    <t>TOM1L1</t>
  </si>
  <si>
    <t>EMC1</t>
  </si>
  <si>
    <t>UBR7</t>
  </si>
  <si>
    <t>C4orf32</t>
  </si>
  <si>
    <t>PTGR2</t>
  </si>
  <si>
    <t>SLC25A29</t>
  </si>
  <si>
    <t>C2orf69</t>
  </si>
  <si>
    <t>ARL14EP</t>
  </si>
  <si>
    <t>ENAH</t>
  </si>
  <si>
    <t>GPATCH11</t>
  </si>
  <si>
    <t>C12orf29</t>
  </si>
  <si>
    <t>JMY</t>
  </si>
  <si>
    <t>GDPD1</t>
  </si>
  <si>
    <t>DTX3</t>
  </si>
  <si>
    <t>TMEM102</t>
  </si>
  <si>
    <t>LRRC57</t>
  </si>
  <si>
    <t>SCAI</t>
  </si>
  <si>
    <t>KRI1</t>
  </si>
  <si>
    <t>WDSUB1</t>
  </si>
  <si>
    <t>ZNF579</t>
  </si>
  <si>
    <t>PRPF38A</t>
  </si>
  <si>
    <t>C1orf172</t>
  </si>
  <si>
    <t>ZNF511</t>
  </si>
  <si>
    <t>MLKL</t>
  </si>
  <si>
    <t>PDDC1</t>
  </si>
  <si>
    <t>ANKRD52</t>
  </si>
  <si>
    <t>ATP11C</t>
  </si>
  <si>
    <t>SPATA5</t>
  </si>
  <si>
    <t>NHLRC2</t>
  </si>
  <si>
    <t>AVL9</t>
  </si>
  <si>
    <t>XXYLT1</t>
  </si>
  <si>
    <t>GOLM1</t>
  </si>
  <si>
    <t>COLGALT1</t>
  </si>
  <si>
    <t>SUMF1</t>
  </si>
  <si>
    <t>UBAC2</t>
  </si>
  <si>
    <t>PCYOX1L</t>
  </si>
  <si>
    <t>TMEM87A</t>
  </si>
  <si>
    <t>RDH13</t>
  </si>
  <si>
    <t>PCSK9</t>
  </si>
  <si>
    <t>ATAD1</t>
  </si>
  <si>
    <t>SCCPDH</t>
  </si>
  <si>
    <t>MST4</t>
  </si>
  <si>
    <t>SERBP1</t>
  </si>
  <si>
    <t>KCT2</t>
  </si>
  <si>
    <t>LEMD2</t>
  </si>
  <si>
    <t>NOA1</t>
  </si>
  <si>
    <t>NECAP1</t>
  </si>
  <si>
    <t>FAM98A</t>
  </si>
  <si>
    <t>PLA2G15</t>
  </si>
  <si>
    <t>TSEN2</t>
  </si>
  <si>
    <t>MTMR14</t>
  </si>
  <si>
    <t>NFATC2IP</t>
  </si>
  <si>
    <t>DAGLB</t>
  </si>
  <si>
    <t>CHST14</t>
  </si>
  <si>
    <t>GALNT6</t>
  </si>
  <si>
    <t>RNF169</t>
  </si>
  <si>
    <t>PDPR</t>
  </si>
  <si>
    <t>APOA1BP</t>
  </si>
  <si>
    <t>SMG8</t>
  </si>
  <si>
    <t>RNF214</t>
  </si>
  <si>
    <t>LSM14A</t>
  </si>
  <si>
    <t>CCNY</t>
  </si>
  <si>
    <t>MAPK1IP1L</t>
  </si>
  <si>
    <t>C1orf131</t>
  </si>
  <si>
    <t>NPEPL1</t>
  </si>
  <si>
    <t>RBM15B</t>
  </si>
  <si>
    <t>C3orf58</t>
  </si>
  <si>
    <t>CNNM3</t>
  </si>
  <si>
    <t>CHDH</t>
  </si>
  <si>
    <t>ABCF1</t>
  </si>
  <si>
    <t>MCU</t>
  </si>
  <si>
    <t>GSTCD</t>
  </si>
  <si>
    <t>FAM83F</t>
  </si>
  <si>
    <t>DENND6B</t>
  </si>
  <si>
    <t>DDHD1</t>
  </si>
  <si>
    <t>PDZD8</t>
  </si>
  <si>
    <t>APPL2</t>
  </si>
  <si>
    <t>FBXO22</t>
  </si>
  <si>
    <t>LPCAT1</t>
  </si>
  <si>
    <t>BOD1L1</t>
  </si>
  <si>
    <t>FLAD1</t>
  </si>
  <si>
    <t>NUP43</t>
  </si>
  <si>
    <t>NUP37</t>
  </si>
  <si>
    <t>ENGASE</t>
  </si>
  <si>
    <t>IL17RD</t>
  </si>
  <si>
    <t>TOR1AIP2</t>
  </si>
  <si>
    <t>TSTD1</t>
  </si>
  <si>
    <t>ABHD11</t>
  </si>
  <si>
    <t>CMAS</t>
  </si>
  <si>
    <t>STXBP6</t>
  </si>
  <si>
    <t>TTL</t>
  </si>
  <si>
    <t>OR8H1</t>
  </si>
  <si>
    <t>SVIP</t>
  </si>
  <si>
    <t>ZNRF2</t>
  </si>
  <si>
    <t>ATL2</t>
  </si>
  <si>
    <t>TRY6</t>
  </si>
  <si>
    <t>KDM2B</t>
  </si>
  <si>
    <t>PLBD2</t>
  </si>
  <si>
    <t>GIMAP7</t>
  </si>
  <si>
    <t>NEDD1</t>
  </si>
  <si>
    <t>CDC26</t>
  </si>
  <si>
    <t>NCOA7</t>
  </si>
  <si>
    <t>MCFD2</t>
  </si>
  <si>
    <t>THOC2</t>
  </si>
  <si>
    <t>INADL</t>
  </si>
  <si>
    <t>WDR36</t>
  </si>
  <si>
    <t>PPTC7</t>
  </si>
  <si>
    <t>ADCK3</t>
  </si>
  <si>
    <t>RP9</t>
  </si>
  <si>
    <t>GRPEL2</t>
  </si>
  <si>
    <t>SNIP1</t>
  </si>
  <si>
    <t>PPP1R14C</t>
  </si>
  <si>
    <t>GADD45GIP1</t>
  </si>
  <si>
    <t>WDR48</t>
  </si>
  <si>
    <t>ERMN</t>
  </si>
  <si>
    <t>CEP76</t>
  </si>
  <si>
    <t>SMARCC2</t>
  </si>
  <si>
    <t>FGFBP3</t>
  </si>
  <si>
    <t>NPLOC4</t>
  </si>
  <si>
    <t>FAM76A</t>
  </si>
  <si>
    <t>CXorf38</t>
  </si>
  <si>
    <t>GDAP1</t>
  </si>
  <si>
    <t>NUBPL</t>
  </si>
  <si>
    <t>FBXO30</t>
  </si>
  <si>
    <t>SLC35B2</t>
  </si>
  <si>
    <t>PUM2</t>
  </si>
  <si>
    <t>GOLGA5</t>
  </si>
  <si>
    <t>LNX1</t>
  </si>
  <si>
    <t>KLHDC4</t>
  </si>
  <si>
    <t>UBA3</t>
  </si>
  <si>
    <t>NANP</t>
  </si>
  <si>
    <t>FAM213B</t>
  </si>
  <si>
    <t>SETD6</t>
  </si>
  <si>
    <t>FAM57A</t>
  </si>
  <si>
    <t>PIP4K2C</t>
  </si>
  <si>
    <t>TRMT10A</t>
  </si>
  <si>
    <t>TBC1D15</t>
  </si>
  <si>
    <t>RDH11</t>
  </si>
  <si>
    <t>LRRC20</t>
  </si>
  <si>
    <t>C18orf32</t>
  </si>
  <si>
    <t>NT5C</t>
  </si>
  <si>
    <t>KIAA1524</t>
  </si>
  <si>
    <t>PI4K2B</t>
  </si>
  <si>
    <t>STT3B</t>
  </si>
  <si>
    <t>PNPT1</t>
  </si>
  <si>
    <t>HM13</t>
  </si>
  <si>
    <t>DYNC2LI1</t>
  </si>
  <si>
    <t>RHPN1</t>
  </si>
  <si>
    <t>URGCP</t>
  </si>
  <si>
    <t>CD99L2</t>
  </si>
  <si>
    <t>BICD2</t>
  </si>
  <si>
    <t>NEK9</t>
  </si>
  <si>
    <t>GPT2</t>
  </si>
  <si>
    <t>DTX3L</t>
  </si>
  <si>
    <t>DDX54</t>
  </si>
  <si>
    <t>BLOC1S5</t>
  </si>
  <si>
    <t>GNPDA2</t>
  </si>
  <si>
    <t>STK35</t>
  </si>
  <si>
    <t>NEK7</t>
  </si>
  <si>
    <t>RB1CC1</t>
  </si>
  <si>
    <t>MICAL1</t>
  </si>
  <si>
    <t>PANK1</t>
  </si>
  <si>
    <t>SSH3</t>
  </si>
  <si>
    <t>NSUN6</t>
  </si>
  <si>
    <t>TBCK</t>
  </si>
  <si>
    <t>DTD1</t>
  </si>
  <si>
    <t>DCAF11</t>
  </si>
  <si>
    <t>UTP15</t>
  </si>
  <si>
    <t>NUP210</t>
  </si>
  <si>
    <t>GEMIN5</t>
  </si>
  <si>
    <t>PIGO</t>
  </si>
  <si>
    <t>GANC</t>
  </si>
  <si>
    <t>SMCR8</t>
  </si>
  <si>
    <t>IPO4</t>
  </si>
  <si>
    <t>USP33</t>
  </si>
  <si>
    <t>PNISR</t>
  </si>
  <si>
    <t>PPP4R1</t>
  </si>
  <si>
    <t>SLC16A10</t>
  </si>
  <si>
    <t>WIPF2</t>
  </si>
  <si>
    <t>ABHD5</t>
  </si>
  <si>
    <t>SETD7</t>
  </si>
  <si>
    <t>COG1</t>
  </si>
  <si>
    <t>ZDHHC1</t>
  </si>
  <si>
    <t>PYROXD1</t>
  </si>
  <si>
    <t>SMAP2</t>
  </si>
  <si>
    <t>ZC3H15</t>
  </si>
  <si>
    <t>PPIL4</t>
  </si>
  <si>
    <t>GTF3C2</t>
  </si>
  <si>
    <t>PHF10</t>
  </si>
  <si>
    <t>RAB2B</t>
  </si>
  <si>
    <t>PPP1R13L</t>
  </si>
  <si>
    <t>FAM172A</t>
  </si>
  <si>
    <t>CHURC1</t>
  </si>
  <si>
    <t>TGFBRAP1</t>
  </si>
  <si>
    <t>C12orf23</t>
  </si>
  <si>
    <t>STYX</t>
  </si>
  <si>
    <t>PTPMT1</t>
  </si>
  <si>
    <t>NUP133</t>
  </si>
  <si>
    <t>PDCD6IP</t>
  </si>
  <si>
    <t>UBTD2</t>
  </si>
  <si>
    <t>FBLIM1</t>
  </si>
  <si>
    <t>C15orf40</t>
  </si>
  <si>
    <t>CHAC2</t>
  </si>
  <si>
    <t>CHMP7</t>
  </si>
  <si>
    <t>THEM6</t>
  </si>
  <si>
    <t>NAT14</t>
  </si>
  <si>
    <t>NSMCE1</t>
  </si>
  <si>
    <t>SNX33</t>
  </si>
  <si>
    <t>PTCD2</t>
  </si>
  <si>
    <t>LACE1</t>
  </si>
  <si>
    <t>CHTF18</t>
  </si>
  <si>
    <t>LEO1</t>
  </si>
  <si>
    <t>RPS21</t>
  </si>
  <si>
    <t>RNF138</t>
  </si>
  <si>
    <t>NUDCD2</t>
  </si>
  <si>
    <t>SNRNP27</t>
  </si>
  <si>
    <t>ANKRD49</t>
  </si>
  <si>
    <t>TFB1M</t>
  </si>
  <si>
    <t>SCFD1</t>
  </si>
  <si>
    <t>CANT1</t>
  </si>
  <si>
    <t>TRAPPC12</t>
  </si>
  <si>
    <t>POF1B</t>
  </si>
  <si>
    <t>HNRPLL</t>
  </si>
  <si>
    <t>FAR1</t>
  </si>
  <si>
    <t>UBLCP1</t>
  </si>
  <si>
    <t>KBTBD7</t>
  </si>
  <si>
    <t>TSEN15</t>
  </si>
  <si>
    <t>PCNP</t>
  </si>
  <si>
    <t>SPRYD4</t>
  </si>
  <si>
    <t>C1orf85</t>
  </si>
  <si>
    <t>C2orf47</t>
  </si>
  <si>
    <t>TRUB1</t>
  </si>
  <si>
    <t>SLC44A1</t>
  </si>
  <si>
    <t>ATXN2L</t>
  </si>
  <si>
    <t>RTN4IP1</t>
  </si>
  <si>
    <t>SELM</t>
  </si>
  <si>
    <t>IGFBPL1</t>
  </si>
  <si>
    <t>NELFB</t>
  </si>
  <si>
    <t>SREK1</t>
  </si>
  <si>
    <t>SCG3</t>
  </si>
  <si>
    <t>GEMIN6</t>
  </si>
  <si>
    <t>ATRIP</t>
  </si>
  <si>
    <t>PSPC1</t>
  </si>
  <si>
    <t>SYNE2</t>
  </si>
  <si>
    <t>GATAD2B</t>
  </si>
  <si>
    <t>DNAH7</t>
  </si>
  <si>
    <t>DNAJC9</t>
  </si>
  <si>
    <t>BRI3BP</t>
  </si>
  <si>
    <t>CTNNBL1</t>
  </si>
  <si>
    <t>AHCTF1</t>
  </si>
  <si>
    <t>OVCA2</t>
  </si>
  <si>
    <t>LZIC</t>
  </si>
  <si>
    <t>IRGQ</t>
  </si>
  <si>
    <t>DDB2</t>
  </si>
  <si>
    <t>SMPDL3B</t>
  </si>
  <si>
    <t>DDX1</t>
  </si>
  <si>
    <t>SLC39A7</t>
  </si>
  <si>
    <t>HSD17B8</t>
  </si>
  <si>
    <t>PIEZO1</t>
  </si>
  <si>
    <t>FAM3C</t>
  </si>
  <si>
    <t>H1FX</t>
  </si>
  <si>
    <t>CCT6B</t>
  </si>
  <si>
    <t>SLC7A6</t>
  </si>
  <si>
    <t>KIAA0247</t>
  </si>
  <si>
    <t>GBF1</t>
  </si>
  <si>
    <t>RTF1</t>
  </si>
  <si>
    <t>TM9SF4</t>
  </si>
  <si>
    <t>RGP1</t>
  </si>
  <si>
    <t>TOPBP1</t>
  </si>
  <si>
    <t>IP6K1</t>
  </si>
  <si>
    <t>MRPS27</t>
  </si>
  <si>
    <t>WASF1</t>
  </si>
  <si>
    <t>AP3S1</t>
  </si>
  <si>
    <t>UBXN4</t>
  </si>
  <si>
    <t>PHF3</t>
  </si>
  <si>
    <t>MAML1</t>
  </si>
  <si>
    <t>NDRG1</t>
  </si>
  <si>
    <t>HSPH1</t>
  </si>
  <si>
    <t>RQCD1</t>
  </si>
  <si>
    <t>TBC1D5</t>
  </si>
  <si>
    <t>LARP4B</t>
  </si>
  <si>
    <t>GCN1L1</t>
  </si>
  <si>
    <t>ZNF516</t>
  </si>
  <si>
    <t>DHX38</t>
  </si>
  <si>
    <t>NUP205</t>
  </si>
  <si>
    <t>TTC9</t>
  </si>
  <si>
    <t>ANKS1A</t>
  </si>
  <si>
    <t>NSMAF</t>
  </si>
  <si>
    <t>GTF3A</t>
  </si>
  <si>
    <t>MRPS31</t>
  </si>
  <si>
    <t>AKAP1</t>
  </si>
  <si>
    <t>SORL1</t>
  </si>
  <si>
    <t>ANP32B</t>
  </si>
  <si>
    <t>PVRL2</t>
  </si>
  <si>
    <t>RABGGTA</t>
  </si>
  <si>
    <t>TFG</t>
  </si>
  <si>
    <t>USP6NL</t>
  </si>
  <si>
    <t>ARPC1A</t>
  </si>
  <si>
    <t>RREB1</t>
  </si>
  <si>
    <t>STAM</t>
  </si>
  <si>
    <t>LEPREL4</t>
  </si>
  <si>
    <t>CREBBP</t>
  </si>
  <si>
    <t>SYMPK</t>
  </si>
  <si>
    <t>TAF15</t>
  </si>
  <si>
    <t>GOLGA1</t>
  </si>
  <si>
    <t>GGH</t>
  </si>
  <si>
    <t>BCL2L2</t>
  </si>
  <si>
    <t>TANK</t>
  </si>
  <si>
    <t>KIFAP3</t>
  </si>
  <si>
    <t>SEMA4D</t>
  </si>
  <si>
    <t>PMM1</t>
  </si>
  <si>
    <t>KLK6</t>
  </si>
  <si>
    <t>RAD50</t>
  </si>
  <si>
    <t>OSTF1</t>
  </si>
  <si>
    <t>ERCC4</t>
  </si>
  <si>
    <t>UFD1L</t>
  </si>
  <si>
    <t>UPF1</t>
  </si>
  <si>
    <t>COPS5</t>
  </si>
  <si>
    <t>GPKOW</t>
  </si>
  <si>
    <t>SMARCC1</t>
  </si>
  <si>
    <t>BAD</t>
  </si>
  <si>
    <t>KHSRP</t>
  </si>
  <si>
    <t>GCDH</t>
  </si>
  <si>
    <t>PEX13</t>
  </si>
  <si>
    <t>TNPO1</t>
  </si>
  <si>
    <t>EMG1</t>
  </si>
  <si>
    <t>GLMN</t>
  </si>
  <si>
    <t>USP13</t>
  </si>
  <si>
    <t>USP9X</t>
  </si>
  <si>
    <t>NAT6</t>
  </si>
  <si>
    <t>CUL5</t>
  </si>
  <si>
    <t>LPP</t>
  </si>
  <si>
    <t>TATDN2</t>
  </si>
  <si>
    <t>HIST1H2AC</t>
  </si>
  <si>
    <t>SCAMP4</t>
  </si>
  <si>
    <t>TCEAL3</t>
  </si>
  <si>
    <t>TSR2</t>
  </si>
  <si>
    <t>RFK</t>
  </si>
  <si>
    <t>POP5</t>
  </si>
  <si>
    <t>C19orf10</t>
  </si>
  <si>
    <t>MAL2</t>
  </si>
  <si>
    <t>YIPF5</t>
  </si>
  <si>
    <t>PIGT</t>
  </si>
  <si>
    <t>IGSF8</t>
  </si>
  <si>
    <t>RPL36AL</t>
  </si>
  <si>
    <t>ZNF622</t>
  </si>
  <si>
    <t>GFM2</t>
  </si>
  <si>
    <t>NT5C3B</t>
  </si>
  <si>
    <t>NCLN</t>
  </si>
  <si>
    <t>MUL1</t>
  </si>
  <si>
    <t>ERGIC1</t>
  </si>
  <si>
    <t>CIRH1A</t>
  </si>
  <si>
    <t>GTPBP3</t>
  </si>
  <si>
    <t>TBRG4</t>
  </si>
  <si>
    <t>C11orf52</t>
  </si>
  <si>
    <t>SLC35C1</t>
  </si>
  <si>
    <t>CCDC47</t>
  </si>
  <si>
    <t>SLC25A28</t>
  </si>
  <si>
    <t>SYAP1</t>
  </si>
  <si>
    <t>MARVELD3</t>
  </si>
  <si>
    <t>EXOC4</t>
  </si>
  <si>
    <t>KIAA1191</t>
  </si>
  <si>
    <t>ISOC2</t>
  </si>
  <si>
    <t>NTAN1</t>
  </si>
  <si>
    <t>FUBP1</t>
  </si>
  <si>
    <t>LRRC59</t>
  </si>
  <si>
    <t>VTI1A</t>
  </si>
  <si>
    <t>MCUR1</t>
  </si>
  <si>
    <t>KIAA1143</t>
  </si>
  <si>
    <t>RPE</t>
  </si>
  <si>
    <t>FKBP10</t>
  </si>
  <si>
    <t>ISG20</t>
  </si>
  <si>
    <t>RAD51AP1</t>
  </si>
  <si>
    <t>C18orf25</t>
  </si>
  <si>
    <t>EXOSC8</t>
  </si>
  <si>
    <t>AKT1S1</t>
  </si>
  <si>
    <t>C10orf32</t>
  </si>
  <si>
    <t>TOMM6</t>
  </si>
  <si>
    <t>LENG9</t>
  </si>
  <si>
    <t>SH3KBP1</t>
  </si>
  <si>
    <t>AIDA</t>
  </si>
  <si>
    <t>PINX1</t>
  </si>
  <si>
    <t>ARL8A</t>
  </si>
  <si>
    <t>FAM105B</t>
  </si>
  <si>
    <t>CHCHD1</t>
  </si>
  <si>
    <t>PPWD1</t>
  </si>
  <si>
    <t>SELRC1</t>
  </si>
  <si>
    <t>UPRT</t>
  </si>
  <si>
    <t>PTER</t>
  </si>
  <si>
    <t>ATG2B</t>
  </si>
  <si>
    <t>LENG1</t>
  </si>
  <si>
    <t>TBC1D20</t>
  </si>
  <si>
    <t>FAM136A</t>
  </si>
  <si>
    <t>SMCR7</t>
  </si>
  <si>
    <t>EFHD2</t>
  </si>
  <si>
    <t>GALM</t>
  </si>
  <si>
    <t>RUNDC1</t>
  </si>
  <si>
    <t>PYCR2</t>
  </si>
  <si>
    <t>C12orf43</t>
  </si>
  <si>
    <t>DCPS</t>
  </si>
  <si>
    <t>PPP1R14B</t>
  </si>
  <si>
    <t>INTS12</t>
  </si>
  <si>
    <t>NSUN4</t>
  </si>
  <si>
    <t>FBXL8</t>
  </si>
  <si>
    <t>PPCDC</t>
  </si>
  <si>
    <t>CHMP4C</t>
  </si>
  <si>
    <t>TIFA</t>
  </si>
  <si>
    <t>CTHRC1</t>
  </si>
  <si>
    <t>ISOC1</t>
  </si>
  <si>
    <t>FLYWCH2</t>
  </si>
  <si>
    <t>FAF2</t>
  </si>
  <si>
    <t>CCDC124</t>
  </si>
  <si>
    <t>FOXRED1</t>
  </si>
  <si>
    <t>OPTN</t>
  </si>
  <si>
    <t>AP2M1</t>
  </si>
  <si>
    <t>TUBGCP3</t>
  </si>
  <si>
    <t>SLC7A6OS</t>
  </si>
  <si>
    <t>KCTD12</t>
  </si>
  <si>
    <t>ORAI1</t>
  </si>
  <si>
    <t>REPS1</t>
  </si>
  <si>
    <t>RAB39B</t>
  </si>
  <si>
    <t>DNAJC19</t>
  </si>
  <si>
    <t>RMDN1</t>
  </si>
  <si>
    <t>SHISA4</t>
  </si>
  <si>
    <t>NUDT16</t>
  </si>
  <si>
    <t>ANAPC16</t>
  </si>
  <si>
    <t>DGCR14</t>
  </si>
  <si>
    <t>SNRNP40</t>
  </si>
  <si>
    <t>STARD4</t>
  </si>
  <si>
    <t>LGALS12</t>
  </si>
  <si>
    <t>MRPL38</t>
  </si>
  <si>
    <t>ASB9</t>
  </si>
  <si>
    <t>ERLEC1</t>
  </si>
  <si>
    <t>FAM122A</t>
  </si>
  <si>
    <t>MRRF</t>
  </si>
  <si>
    <t>RMI2</t>
  </si>
  <si>
    <t>SMIM19</t>
  </si>
  <si>
    <t>NUS1</t>
  </si>
  <si>
    <t>OMA1</t>
  </si>
  <si>
    <t>SPDL1</t>
  </si>
  <si>
    <t>ELP4</t>
  </si>
  <si>
    <t>SIRT1</t>
  </si>
  <si>
    <t>YIPF6</t>
  </si>
  <si>
    <t>HOOK2</t>
  </si>
  <si>
    <t>SEH1L</t>
  </si>
  <si>
    <t>MALSU1</t>
  </si>
  <si>
    <t>TCEAL4</t>
  </si>
  <si>
    <t>THAP11</t>
  </si>
  <si>
    <t>KIAA1279</t>
  </si>
  <si>
    <t>GNPNAT1</t>
  </si>
  <si>
    <t>KTI12</t>
  </si>
  <si>
    <t>MRPS24</t>
  </si>
  <si>
    <t>MRPL53</t>
  </si>
  <si>
    <t>RNF31</t>
  </si>
  <si>
    <t>DAZAP1</t>
  </si>
  <si>
    <t>SGTB</t>
  </si>
  <si>
    <t>CCDC51</t>
  </si>
  <si>
    <t>RRP36</t>
  </si>
  <si>
    <t>RBM33</t>
  </si>
  <si>
    <t>DTNBP1</t>
  </si>
  <si>
    <t>HSPBAP1</t>
  </si>
  <si>
    <t>SMIM12</t>
  </si>
  <si>
    <t>WDR34</t>
  </si>
  <si>
    <t>DNAJA3</t>
  </si>
  <si>
    <t>MVB12A</t>
  </si>
  <si>
    <t>PTCD3</t>
  </si>
  <si>
    <t>MMAB</t>
  </si>
  <si>
    <t>ADAT3</t>
  </si>
  <si>
    <t>TRIM11</t>
  </si>
  <si>
    <t>ZNF503</t>
  </si>
  <si>
    <t>CCDC97</t>
  </si>
  <si>
    <t>EDC3</t>
  </si>
  <si>
    <t>PELI1</t>
  </si>
  <si>
    <t>DDX11</t>
  </si>
  <si>
    <t>LINGO1</t>
  </si>
  <si>
    <t>PIK3IP1</t>
  </si>
  <si>
    <t>MEF2BNB</t>
  </si>
  <si>
    <t>WDR89</t>
  </si>
  <si>
    <t>S100A16</t>
  </si>
  <si>
    <t>THOC1</t>
  </si>
  <si>
    <t>DPH3</t>
  </si>
  <si>
    <t>TRMT61A</t>
  </si>
  <si>
    <t>C3orf37</t>
  </si>
  <si>
    <t>CHMP6</t>
  </si>
  <si>
    <t>PGM2</t>
  </si>
  <si>
    <t>FAM86A</t>
  </si>
  <si>
    <t>MED8</t>
  </si>
  <si>
    <t>CCDC104</t>
  </si>
  <si>
    <t>DUS3L</t>
  </si>
  <si>
    <t>OTUD5</t>
  </si>
  <si>
    <t>LTV1</t>
  </si>
  <si>
    <t>SDSL</t>
  </si>
  <si>
    <t>PDXP</t>
  </si>
  <si>
    <t>RNF185</t>
  </si>
  <si>
    <t>DCUN1D1</t>
  </si>
  <si>
    <t>FAHD2A</t>
  </si>
  <si>
    <t>TOE1</t>
  </si>
  <si>
    <t>DDX27</t>
  </si>
  <si>
    <t>C17orf59</t>
  </si>
  <si>
    <t>ABHD17A</t>
  </si>
  <si>
    <t>C5orf30</t>
  </si>
  <si>
    <t>MARS2</t>
  </si>
  <si>
    <t>ATXN7L3B</t>
  </si>
  <si>
    <t>MASTL</t>
  </si>
  <si>
    <t>ZC2HC1A</t>
  </si>
  <si>
    <t>SLC41A3</t>
  </si>
  <si>
    <t>SNF8</t>
  </si>
  <si>
    <t>ZC3HAV1L</t>
  </si>
  <si>
    <t>PDLIM5</t>
  </si>
  <si>
    <t>CRELD1</t>
  </si>
  <si>
    <t>ERO1L</t>
  </si>
  <si>
    <t>C7orf55</t>
  </si>
  <si>
    <t>SH3YL1</t>
  </si>
  <si>
    <t>AHCYL2</t>
  </si>
  <si>
    <t>DOCK6</t>
  </si>
  <si>
    <t>CDKN2AIPNL</t>
  </si>
  <si>
    <t>NAF1</t>
  </si>
  <si>
    <t>PGAM5</t>
  </si>
  <si>
    <t>INTS4</t>
  </si>
  <si>
    <t>DDRGK1</t>
  </si>
  <si>
    <t>DHTKD1</t>
  </si>
  <si>
    <t>SCLY</t>
  </si>
  <si>
    <t>FUBP3</t>
  </si>
  <si>
    <t>RBM17</t>
  </si>
  <si>
    <t>COX14</t>
  </si>
  <si>
    <t>WBSCR16</t>
  </si>
  <si>
    <t>NARS2</t>
  </si>
  <si>
    <t>SUCLG2</t>
  </si>
  <si>
    <t>GMPPA</t>
  </si>
  <si>
    <t>BOD1</t>
  </si>
  <si>
    <t>ZNF414</t>
  </si>
  <si>
    <t>ZNF845</t>
  </si>
  <si>
    <t>HPDL</t>
  </si>
  <si>
    <t>ABHD14B</t>
  </si>
  <si>
    <t>NGLY1</t>
  </si>
  <si>
    <t>USMG5</t>
  </si>
  <si>
    <t>NSL1</t>
  </si>
  <si>
    <t>PAWR</t>
  </si>
  <si>
    <t>RSRC1</t>
  </si>
  <si>
    <t>THOC3</t>
  </si>
  <si>
    <t>ITCH</t>
  </si>
  <si>
    <t>WNK4</t>
  </si>
  <si>
    <t>LRIG1</t>
  </si>
  <si>
    <t>COG3</t>
  </si>
  <si>
    <t>CDK5RAP3</t>
  </si>
  <si>
    <t>VPS39</t>
  </si>
  <si>
    <t>EAF1</t>
  </si>
  <si>
    <t>VCPIP1</t>
  </si>
  <si>
    <t>TMX3</t>
  </si>
  <si>
    <t>MAML3</t>
  </si>
  <si>
    <t>CHAMP1</t>
  </si>
  <si>
    <t>ZFP91</t>
  </si>
  <si>
    <t>RNF170</t>
  </si>
  <si>
    <t>ZC3H10</t>
  </si>
  <si>
    <t>CLPTM1L</t>
  </si>
  <si>
    <t>PBK</t>
  </si>
  <si>
    <t>ARL5B</t>
  </si>
  <si>
    <t>DNAJC1</t>
  </si>
  <si>
    <t>FAM84B</t>
  </si>
  <si>
    <t>EXOC2</t>
  </si>
  <si>
    <t>CNDP2</t>
  </si>
  <si>
    <t>ZFR</t>
  </si>
  <si>
    <t>LRR1</t>
  </si>
  <si>
    <t>B3GALT6</t>
  </si>
  <si>
    <t>EP400</t>
  </si>
  <si>
    <t>SNX27</t>
  </si>
  <si>
    <t>KIF16B</t>
  </si>
  <si>
    <t>ALPK3</t>
  </si>
  <si>
    <t>PRMT6</t>
  </si>
  <si>
    <t>IFT74</t>
  </si>
  <si>
    <t>TRIM47</t>
  </si>
  <si>
    <t>SENP8</t>
  </si>
  <si>
    <t>DHRS1</t>
  </si>
  <si>
    <t>UBE2E2</t>
  </si>
  <si>
    <t>C9orf72</t>
  </si>
  <si>
    <t>CNBD2</t>
  </si>
  <si>
    <t>PRRC1</t>
  </si>
  <si>
    <t>AK7</t>
  </si>
  <si>
    <t>FBXL18</t>
  </si>
  <si>
    <t>JSRP1</t>
  </si>
  <si>
    <t>NDNL2</t>
  </si>
  <si>
    <t>HEXIM2</t>
  </si>
  <si>
    <t>TMEM68</t>
  </si>
  <si>
    <t>WDR92</t>
  </si>
  <si>
    <t>ENTHD2</t>
  </si>
  <si>
    <t>TTC14</t>
  </si>
  <si>
    <t>MBOAT7</t>
  </si>
  <si>
    <t>SFXN2</t>
  </si>
  <si>
    <t>ZNF830</t>
  </si>
  <si>
    <t>ZMAT2</t>
  </si>
  <si>
    <t>NAP1L5</t>
  </si>
  <si>
    <t>AMDHD1</t>
  </si>
  <si>
    <t>CLIC6</t>
  </si>
  <si>
    <t>NSUN5</t>
  </si>
  <si>
    <t>RPRD1A</t>
  </si>
  <si>
    <t>AGAP3</t>
  </si>
  <si>
    <t>ARAP1</t>
  </si>
  <si>
    <t>IPO9</t>
  </si>
  <si>
    <t>DCBLD2</t>
  </si>
  <si>
    <t>ARHGEF17</t>
  </si>
  <si>
    <t>MCEE</t>
  </si>
  <si>
    <t>RBM14</t>
  </si>
  <si>
    <t>RCHY1</t>
  </si>
  <si>
    <t>NEDD4L</t>
  </si>
  <si>
    <t>FMNL2</t>
  </si>
  <si>
    <t>PUS7</t>
  </si>
  <si>
    <t>TRNT1</t>
  </si>
  <si>
    <t>TMEM237</t>
  </si>
  <si>
    <t>ALKBH3</t>
  </si>
  <si>
    <t>PPP1R10</t>
  </si>
  <si>
    <t>MICA</t>
  </si>
  <si>
    <t>SLC38A2</t>
  </si>
  <si>
    <t>SLC2A13</t>
  </si>
  <si>
    <t>TEFM</t>
  </si>
  <si>
    <t>RAB3IP</t>
  </si>
  <si>
    <t>VPS35</t>
  </si>
  <si>
    <t>PURB</t>
  </si>
  <si>
    <t>XPO6</t>
  </si>
  <si>
    <t>MAGI1</t>
  </si>
  <si>
    <t>PANX1</t>
  </si>
  <si>
    <t>NACC1</t>
  </si>
  <si>
    <t>PASK</t>
  </si>
  <si>
    <t>VPS13A</t>
  </si>
  <si>
    <t>MED15</t>
  </si>
  <si>
    <t>GFM1</t>
  </si>
  <si>
    <t>ERGIC2</t>
  </si>
  <si>
    <t>CAMKK2</t>
  </si>
  <si>
    <t>NUDCD1</t>
  </si>
  <si>
    <t>ERBB2IP</t>
  </si>
  <si>
    <t>JMJD8</t>
  </si>
  <si>
    <t>C16orf13</t>
  </si>
  <si>
    <t>TP53RK</t>
  </si>
  <si>
    <t>PIGS</t>
  </si>
  <si>
    <t>WRNIP1</t>
  </si>
  <si>
    <t>RANBP9</t>
  </si>
  <si>
    <t>CLCC1</t>
  </si>
  <si>
    <t>UBL7</t>
  </si>
  <si>
    <t>LYSMD1</t>
  </si>
  <si>
    <t>CCNL2</t>
  </si>
  <si>
    <t>PLEKHF1</t>
  </si>
  <si>
    <t>SRPK1</t>
  </si>
  <si>
    <t>SMC6</t>
  </si>
  <si>
    <t>TFAP2A</t>
  </si>
  <si>
    <t>KCTD15</t>
  </si>
  <si>
    <t>STRBP</t>
  </si>
  <si>
    <t>TMEM209</t>
  </si>
  <si>
    <t>DIRC2</t>
  </si>
  <si>
    <t>GPX7</t>
  </si>
  <si>
    <t>IWS1</t>
  </si>
  <si>
    <t>SIN3A</t>
  </si>
  <si>
    <t>ADO</t>
  </si>
  <si>
    <t>CDK5RAP1</t>
  </si>
  <si>
    <t>MAP7D2</t>
  </si>
  <si>
    <t>RSF1</t>
  </si>
  <si>
    <t>ZIC5</t>
  </si>
  <si>
    <t>RBM15</t>
  </si>
  <si>
    <t>RUFY1</t>
  </si>
  <si>
    <t>SPEN</t>
  </si>
  <si>
    <t>PNKP</t>
  </si>
  <si>
    <t>NMNAT3</t>
  </si>
  <si>
    <t>MMS19</t>
  </si>
  <si>
    <t>UHRF1</t>
  </si>
  <si>
    <t>FAM129B</t>
  </si>
  <si>
    <t>YME1L1</t>
  </si>
  <si>
    <t>TCF12</t>
  </si>
  <si>
    <t>MYCBP</t>
  </si>
  <si>
    <t>TBCB</t>
  </si>
  <si>
    <t>PSMB7</t>
  </si>
  <si>
    <t>PCYT2</t>
  </si>
  <si>
    <t>CDC5L</t>
  </si>
  <si>
    <t>PSMD1</t>
  </si>
  <si>
    <t>SDF2</t>
  </si>
  <si>
    <t>PFDN5</t>
  </si>
  <si>
    <t>PAFAH2</t>
  </si>
  <si>
    <t>RNF2</t>
  </si>
  <si>
    <t>PARK7</t>
  </si>
  <si>
    <t>EYA3</t>
  </si>
  <si>
    <t>NEU1</t>
  </si>
  <si>
    <t>SORT1</t>
  </si>
  <si>
    <t>VAT1</t>
  </si>
  <si>
    <t>LGMN</t>
  </si>
  <si>
    <t>PLIN2</t>
  </si>
  <si>
    <t>DNAJC2</t>
  </si>
  <si>
    <t>MPHOSPH8</t>
  </si>
  <si>
    <t>NUP88</t>
  </si>
  <si>
    <t>PKP4</t>
  </si>
  <si>
    <t>PIK3R4</t>
  </si>
  <si>
    <t>SERPINI1</t>
  </si>
  <si>
    <t>POP1</t>
  </si>
  <si>
    <t>MNT</t>
  </si>
  <si>
    <t>S100A13</t>
  </si>
  <si>
    <t>ZBTB18</t>
  </si>
  <si>
    <t>TIMM17A</t>
  </si>
  <si>
    <t>TSNAX</t>
  </si>
  <si>
    <t>SEPHS2</t>
  </si>
  <si>
    <t>TTC1</t>
  </si>
  <si>
    <t>DNAJC7</t>
  </si>
  <si>
    <t>CDCA3</t>
  </si>
  <si>
    <t>C12orf57</t>
  </si>
  <si>
    <t>PHB2</t>
  </si>
  <si>
    <t>COPS8</t>
  </si>
  <si>
    <t>PRPF18</t>
  </si>
  <si>
    <t>RAD9A</t>
  </si>
  <si>
    <t>CHP1</t>
  </si>
  <si>
    <t>KIF2C</t>
  </si>
  <si>
    <t>CGREF1</t>
  </si>
  <si>
    <t>ATXN2</t>
  </si>
  <si>
    <t>DOK1</t>
  </si>
  <si>
    <t>MTR</t>
  </si>
  <si>
    <t>HSD17B10</t>
  </si>
  <si>
    <t>SIGMAR1</t>
  </si>
  <si>
    <t>HNRNPAB</t>
  </si>
  <si>
    <t>NAP1L4</t>
  </si>
  <si>
    <t>MGST2</t>
  </si>
  <si>
    <t>NAPG</t>
  </si>
  <si>
    <t>TXN2</t>
  </si>
  <si>
    <t>ATP5S</t>
  </si>
  <si>
    <t>MIPEP</t>
  </si>
  <si>
    <t>TM9SF2</t>
  </si>
  <si>
    <t>SLC29A1</t>
  </si>
  <si>
    <t>TSG101</t>
  </si>
  <si>
    <t>CIB1</t>
  </si>
  <si>
    <t>CPNE1</t>
  </si>
  <si>
    <t>CCT7</t>
  </si>
  <si>
    <t>ARID3A</t>
  </si>
  <si>
    <t>HIST1H2AJ</t>
  </si>
  <si>
    <t>PKP2</t>
  </si>
  <si>
    <t>SH3GL1</t>
  </si>
  <si>
    <t>VRK1</t>
  </si>
  <si>
    <t>GDF15</t>
  </si>
  <si>
    <t>AKAP9</t>
  </si>
  <si>
    <t>NCAPG</t>
  </si>
  <si>
    <t>ARPC5L</t>
  </si>
  <si>
    <t>KCTD14</t>
  </si>
  <si>
    <t>ZFYVE21</t>
  </si>
  <si>
    <t>DDX50</t>
  </si>
  <si>
    <t>ELAC2</t>
  </si>
  <si>
    <t>C19orf43</t>
  </si>
  <si>
    <t>GRWD1</t>
  </si>
  <si>
    <t>MACROD1</t>
  </si>
  <si>
    <t>TCF25</t>
  </si>
  <si>
    <t>KLHDC3</t>
  </si>
  <si>
    <t>ECSIT</t>
  </si>
  <si>
    <t>WDR77</t>
  </si>
  <si>
    <t>DPH2</t>
  </si>
  <si>
    <t>MYBBP1A</t>
  </si>
  <si>
    <t>FERMT1</t>
  </si>
  <si>
    <t>MGME1</t>
  </si>
  <si>
    <t>GORASP1</t>
  </si>
  <si>
    <t>FYCO1</t>
  </si>
  <si>
    <t>SLC25A21</t>
  </si>
  <si>
    <t>CLSTN3</t>
  </si>
  <si>
    <t>ACBD6</t>
  </si>
  <si>
    <t>CORO1B</t>
  </si>
  <si>
    <t>LSMD1</t>
  </si>
  <si>
    <t>TXNDC17</t>
  </si>
  <si>
    <t>BUD13</t>
  </si>
  <si>
    <t>CPPED1</t>
  </si>
  <si>
    <t>VPS25</t>
  </si>
  <si>
    <t>MRPL45</t>
  </si>
  <si>
    <t>SDF4</t>
  </si>
  <si>
    <t>PDCD2L</t>
  </si>
  <si>
    <t>PAAF1</t>
  </si>
  <si>
    <t>WIBG</t>
  </si>
  <si>
    <t>AIFM2</t>
  </si>
  <si>
    <t>ZKSCAN3</t>
  </si>
  <si>
    <t>ADPGK</t>
  </si>
  <si>
    <t>GPATCH1</t>
  </si>
  <si>
    <t>RIOK1</t>
  </si>
  <si>
    <t>MNF1</t>
  </si>
  <si>
    <t>MIEN1</t>
  </si>
  <si>
    <t>CBWD1</t>
  </si>
  <si>
    <t>GINS4</t>
  </si>
  <si>
    <t>SIKE1</t>
  </si>
  <si>
    <t>PELO</t>
  </si>
  <si>
    <t>GINS3</t>
  </si>
  <si>
    <t>FAM213A</t>
  </si>
  <si>
    <t>ANAPC13</t>
  </si>
  <si>
    <t>ERP44</t>
  </si>
  <si>
    <t>ATG101</t>
  </si>
  <si>
    <t>NTPCR</t>
  </si>
  <si>
    <t>AGMAT</t>
  </si>
  <si>
    <t>C19orf52</t>
  </si>
  <si>
    <t>TACO1</t>
  </si>
  <si>
    <t>HDHD3</t>
  </si>
  <si>
    <t>TUBGCP2</t>
  </si>
  <si>
    <t>C17orf80</t>
  </si>
  <si>
    <t>FAM64A</t>
  </si>
  <si>
    <t>ESYT1</t>
  </si>
  <si>
    <t>SLC25A33</t>
  </si>
  <si>
    <t>UBAC1</t>
  </si>
  <si>
    <t>YIPF4</t>
  </si>
  <si>
    <t>RTKN</t>
  </si>
  <si>
    <t>TSEN34</t>
  </si>
  <si>
    <t>EFCAB4B</t>
  </si>
  <si>
    <t>CHCHD5</t>
  </si>
  <si>
    <t>CNPY3</t>
  </si>
  <si>
    <t>MTG1</t>
  </si>
  <si>
    <t>ALG1</t>
  </si>
  <si>
    <t>LIMD2</t>
  </si>
  <si>
    <t>ALKBH7</t>
  </si>
  <si>
    <t>PSMG3</t>
  </si>
  <si>
    <t>COPS4</t>
  </si>
  <si>
    <t>WAC</t>
  </si>
  <si>
    <t>DIDO1</t>
  </si>
  <si>
    <t>MCMBP</t>
  </si>
  <si>
    <t>AARSD1</t>
  </si>
  <si>
    <t>DCUN1D5</t>
  </si>
  <si>
    <t>THUMPD2</t>
  </si>
  <si>
    <t>FAM103A1</t>
  </si>
  <si>
    <t>ANP32E</t>
  </si>
  <si>
    <t>MED10</t>
  </si>
  <si>
    <t>LRRC1</t>
  </si>
  <si>
    <t>PI4K2A</t>
  </si>
  <si>
    <t>TMEM43</t>
  </si>
  <si>
    <t>WDR85</t>
  </si>
  <si>
    <t>TTPAL</t>
  </si>
  <si>
    <t>FUCA2</t>
  </si>
  <si>
    <t>FAM203A</t>
  </si>
  <si>
    <t>DHRS4</t>
  </si>
  <si>
    <t>THTPA</t>
  </si>
  <si>
    <t>LMF2</t>
  </si>
  <si>
    <t>NDUFAF3</t>
  </si>
  <si>
    <t>MMTAG2</t>
  </si>
  <si>
    <t>DOHH</t>
  </si>
  <si>
    <t>C11orf84</t>
  </si>
  <si>
    <t>MKNK1</t>
  </si>
  <si>
    <t>TMEM70</t>
  </si>
  <si>
    <t>MED18</t>
  </si>
  <si>
    <t>ISCA1</t>
  </si>
  <si>
    <t>TUBB6</t>
  </si>
  <si>
    <t>C9orf142</t>
  </si>
  <si>
    <t>POLR3C</t>
  </si>
  <si>
    <t>HNRNPUL1</t>
  </si>
  <si>
    <t>MSTO1</t>
  </si>
  <si>
    <t>RPP25</t>
  </si>
  <si>
    <t>CCDC28B</t>
  </si>
  <si>
    <t>HTATIP2</t>
  </si>
  <si>
    <t>DDX23</t>
  </si>
  <si>
    <t>WRAP53</t>
  </si>
  <si>
    <t>FAM195A</t>
  </si>
  <si>
    <t>C9orf16</t>
  </si>
  <si>
    <t>TRAF4</t>
  </si>
  <si>
    <t>ALG12</t>
  </si>
  <si>
    <t>C1orf50</t>
  </si>
  <si>
    <t>MRI1</t>
  </si>
  <si>
    <t>ABHD6</t>
  </si>
  <si>
    <t>WDR18</t>
  </si>
  <si>
    <t>VAMP8</t>
  </si>
  <si>
    <t>THUMPD3</t>
  </si>
  <si>
    <t>ADI1</t>
  </si>
  <si>
    <t>RNF126</t>
  </si>
  <si>
    <t>MECR</t>
  </si>
  <si>
    <t>EMC6</t>
  </si>
  <si>
    <t>NTMT1</t>
  </si>
  <si>
    <t>KATNB1</t>
  </si>
  <si>
    <t>TUBB2B</t>
  </si>
  <si>
    <t>MLST8</t>
  </si>
  <si>
    <t>TMEM109</t>
  </si>
  <si>
    <t>PBDC1</t>
  </si>
  <si>
    <t>PTDSS2</t>
  </si>
  <si>
    <t>NOC4L</t>
  </si>
  <si>
    <t>UTP14A</t>
  </si>
  <si>
    <t>DUSP23</t>
  </si>
  <si>
    <t>TMED9</t>
  </si>
  <si>
    <t>SELO</t>
  </si>
  <si>
    <t>GGACT</t>
  </si>
  <si>
    <t>GNL3</t>
  </si>
  <si>
    <t>SPATA5L1</t>
  </si>
  <si>
    <t>TRMT61B</t>
  </si>
  <si>
    <t>TIMM21</t>
  </si>
  <si>
    <t>TIPIN</t>
  </si>
  <si>
    <t>SARG</t>
  </si>
  <si>
    <t>KIFC1</t>
  </si>
  <si>
    <t>NUP85</t>
  </si>
  <si>
    <t>TPPP3</t>
  </si>
  <si>
    <t>ELOVL1</t>
  </si>
  <si>
    <t>DDA1</t>
  </si>
  <si>
    <t>HIRIP3</t>
  </si>
  <si>
    <t>IFT27</t>
  </si>
  <si>
    <t>CCDC94</t>
  </si>
  <si>
    <t>NUDT9</t>
  </si>
  <si>
    <t>TARS2</t>
  </si>
  <si>
    <t>ACAT2</t>
  </si>
  <si>
    <t>REPIN1</t>
  </si>
  <si>
    <t>RBM4</t>
  </si>
  <si>
    <t>FUNDC2</t>
  </si>
  <si>
    <t>RPAP1</t>
  </si>
  <si>
    <t>SF3B5</t>
  </si>
  <si>
    <t>SFXN3</t>
  </si>
  <si>
    <t>PAPOLG</t>
  </si>
  <si>
    <t>SLC4A1AP</t>
  </si>
  <si>
    <t>LSM14B</t>
  </si>
  <si>
    <t>SORBS1</t>
  </si>
  <si>
    <t>HINT2</t>
  </si>
  <si>
    <t>SGPP1</t>
  </si>
  <si>
    <t>BBC3</t>
  </si>
  <si>
    <t>NAA15</t>
  </si>
  <si>
    <t>KLF16</t>
  </si>
  <si>
    <t>BCL2L13</t>
  </si>
  <si>
    <t>SLC12A9</t>
  </si>
  <si>
    <t>SRRT</t>
  </si>
  <si>
    <t>QTRT1</t>
  </si>
  <si>
    <t>TMEM59</t>
  </si>
  <si>
    <t>NUSAP1</t>
  </si>
  <si>
    <t>C14orf142</t>
  </si>
  <si>
    <t>OSBPL1A</t>
  </si>
  <si>
    <t>CECR5</t>
  </si>
  <si>
    <t>FANCD2</t>
  </si>
  <si>
    <t>ITPA</t>
  </si>
  <si>
    <t>HDAC8</t>
  </si>
  <si>
    <t>CHMP4A</t>
  </si>
  <si>
    <t>EIF2A</t>
  </si>
  <si>
    <t>POLDIP3</t>
  </si>
  <si>
    <t>KIAA1671</t>
  </si>
  <si>
    <t>GNB1L</t>
  </si>
  <si>
    <t>MRPL32</t>
  </si>
  <si>
    <t>MRPL1</t>
  </si>
  <si>
    <t>RBCK1</t>
  </si>
  <si>
    <t>SRXN1</t>
  </si>
  <si>
    <t>MRPS26</t>
  </si>
  <si>
    <t>NLN</t>
  </si>
  <si>
    <t>SETD2</t>
  </si>
  <si>
    <t>PANK2</t>
  </si>
  <si>
    <t>DOCK9</t>
  </si>
  <si>
    <t>FRMD8</t>
  </si>
  <si>
    <t>WHSC1L1</t>
  </si>
  <si>
    <t>MRPL37</t>
  </si>
  <si>
    <t>PUS3</t>
  </si>
  <si>
    <t>ASPSCR1</t>
  </si>
  <si>
    <t>OSBPL8</t>
  </si>
  <si>
    <t>WDR11</t>
  </si>
  <si>
    <t>UPF3B</t>
  </si>
  <si>
    <t>TBL1XR1</t>
  </si>
  <si>
    <t>UBL5</t>
  </si>
  <si>
    <t>PLA2G12A</t>
  </si>
  <si>
    <t>ULBP3</t>
  </si>
  <si>
    <t>ULBP2</t>
  </si>
  <si>
    <t>UCK2</t>
  </si>
  <si>
    <t>API5</t>
  </si>
  <si>
    <t>SPRY4</t>
  </si>
  <si>
    <t>DPY30</t>
  </si>
  <si>
    <t>TRIM4</t>
  </si>
  <si>
    <t>TRIM2</t>
  </si>
  <si>
    <t>UNK</t>
  </si>
  <si>
    <t>FTO</t>
  </si>
  <si>
    <t>ZDHHC5</t>
  </si>
  <si>
    <t>TANGO6</t>
  </si>
  <si>
    <t>TNKS1BP1</t>
  </si>
  <si>
    <t>AMBRA1</t>
  </si>
  <si>
    <t>ZYG11B</t>
  </si>
  <si>
    <t>TANC1</t>
  </si>
  <si>
    <t>CEP44</t>
  </si>
  <si>
    <t>TTYH3</t>
  </si>
  <si>
    <t>MTMR12</t>
  </si>
  <si>
    <t>WDR33</t>
  </si>
  <si>
    <t>SLC39A8</t>
  </si>
  <si>
    <t>WDR12</t>
  </si>
  <si>
    <t>C20orf27</t>
  </si>
  <si>
    <t>NRSN2</t>
  </si>
  <si>
    <t>PITHD1</t>
  </si>
  <si>
    <t>DERL2</t>
  </si>
  <si>
    <t>COMMD5</t>
  </si>
  <si>
    <t>REXO4</t>
  </si>
  <si>
    <t>POLR1E</t>
  </si>
  <si>
    <t>WDR61</t>
  </si>
  <si>
    <t>SLIRP</t>
  </si>
  <si>
    <t>WNT10A</t>
  </si>
  <si>
    <t>CCDC90B</t>
  </si>
  <si>
    <t>NIF3L1</t>
  </si>
  <si>
    <t>EGLN1</t>
  </si>
  <si>
    <t>FAM192A</t>
  </si>
  <si>
    <t>TWSG1</t>
  </si>
  <si>
    <t>MFF</t>
  </si>
  <si>
    <t>UBA5</t>
  </si>
  <si>
    <t>LHPP</t>
  </si>
  <si>
    <t>MTFR1L</t>
  </si>
  <si>
    <t>TMEM126A</t>
  </si>
  <si>
    <t>PAIP1</t>
  </si>
  <si>
    <t>CLPB</t>
  </si>
  <si>
    <t>RAB33B</t>
  </si>
  <si>
    <t>LSG1</t>
  </si>
  <si>
    <t>KLC2</t>
  </si>
  <si>
    <t>ILKAP</t>
  </si>
  <si>
    <t>XRN2</t>
  </si>
  <si>
    <t>TOLLIP</t>
  </si>
  <si>
    <t>BRD8</t>
  </si>
  <si>
    <t>ARL6</t>
  </si>
  <si>
    <t>NSRP1</t>
  </si>
  <si>
    <t>RACGAP1</t>
  </si>
  <si>
    <t>PARP12</t>
  </si>
  <si>
    <t>SIK2</t>
  </si>
  <si>
    <t>PUS7L</t>
  </si>
  <si>
    <t>CSTF2T</t>
  </si>
  <si>
    <t>NT5C3A</t>
  </si>
  <si>
    <t>HDHD2</t>
  </si>
  <si>
    <t>QRSL1</t>
  </si>
  <si>
    <t>DDX47</t>
  </si>
  <si>
    <t>MAGT1</t>
  </si>
  <si>
    <t>RAB1B</t>
  </si>
  <si>
    <t>MRPL18</t>
  </si>
  <si>
    <t>TSPYL1</t>
  </si>
  <si>
    <t>LMAN2L</t>
  </si>
  <si>
    <t>SMG9</t>
  </si>
  <si>
    <t>C11orf54</t>
  </si>
  <si>
    <t>ITFG3</t>
  </si>
  <si>
    <t>NAPB</t>
  </si>
  <si>
    <t>SIL1</t>
  </si>
  <si>
    <t>IRF2BPL</t>
  </si>
  <si>
    <t>UNC93B1</t>
  </si>
  <si>
    <t>POLR3F</t>
  </si>
  <si>
    <t>NUCKS1</t>
  </si>
  <si>
    <t>ASCC2</t>
  </si>
  <si>
    <t>UPF3A</t>
  </si>
  <si>
    <t>ZFYVE20</t>
  </si>
  <si>
    <t>ISCU</t>
  </si>
  <si>
    <t>MESDC1</t>
  </si>
  <si>
    <t>OSBPL2</t>
  </si>
  <si>
    <t>DNAJC25</t>
  </si>
  <si>
    <t>ATG5</t>
  </si>
  <si>
    <t>WDR13</t>
  </si>
  <si>
    <t>MED28</t>
  </si>
  <si>
    <t>EHD4</t>
  </si>
  <si>
    <t>VPS33B</t>
  </si>
  <si>
    <t>VPS16</t>
  </si>
  <si>
    <t>VPS11</t>
  </si>
  <si>
    <t>GAN</t>
  </si>
  <si>
    <t>SLC25A32</t>
  </si>
  <si>
    <t>TRIOBP</t>
  </si>
  <si>
    <t>SLK</t>
  </si>
  <si>
    <t>PPIL3</t>
  </si>
  <si>
    <t>PDCL3</t>
  </si>
  <si>
    <t>MTIF3</t>
  </si>
  <si>
    <t>TAOK3</t>
  </si>
  <si>
    <t>RAB3GAP2</t>
  </si>
  <si>
    <t>ADNP</t>
  </si>
  <si>
    <t>DPH5</t>
  </si>
  <si>
    <t>PPA2</t>
  </si>
  <si>
    <t>MRPL46</t>
  </si>
  <si>
    <t>ZNF106</t>
  </si>
  <si>
    <t>PARL</t>
  </si>
  <si>
    <t>PNN</t>
  </si>
  <si>
    <t>TMEM245</t>
  </si>
  <si>
    <t>GGNBP2</t>
  </si>
  <si>
    <t>KCTD10</t>
  </si>
  <si>
    <t>TRIT1</t>
  </si>
  <si>
    <t>C11orf68</t>
  </si>
  <si>
    <t>DPAGT1</t>
  </si>
  <si>
    <t>C12orf65</t>
  </si>
  <si>
    <t>BOLA2</t>
  </si>
  <si>
    <t>TMX1</t>
  </si>
  <si>
    <t>NELFA</t>
  </si>
  <si>
    <t>ACBD3</t>
  </si>
  <si>
    <t>CDC42EP4</t>
  </si>
  <si>
    <t>KDM4C</t>
  </si>
  <si>
    <t>MUC13</t>
  </si>
  <si>
    <t>PTPN23</t>
  </si>
  <si>
    <t>UNC45A</t>
  </si>
  <si>
    <t>MFSD1</t>
  </si>
  <si>
    <t>PPDPF</t>
  </si>
  <si>
    <t>DNAJC5</t>
  </si>
  <si>
    <t>DSN1</t>
  </si>
  <si>
    <t>C1orf198</t>
  </si>
  <si>
    <t>CHMP4B</t>
  </si>
  <si>
    <t>CUEDC2</t>
  </si>
  <si>
    <t>FN3K</t>
  </si>
  <si>
    <t>POFUT1</t>
  </si>
  <si>
    <t>PIGU</t>
  </si>
  <si>
    <t>IFRG15</t>
  </si>
  <si>
    <t>TOR3A</t>
  </si>
  <si>
    <t>RNPEP</t>
  </si>
  <si>
    <t>GOLPH3L</t>
  </si>
  <si>
    <t>GOLPH3</t>
  </si>
  <si>
    <t>OSGEPL1</t>
  </si>
  <si>
    <t>ZHX3</t>
  </si>
  <si>
    <t>GTPBP5</t>
  </si>
  <si>
    <t>OSBPL3</t>
  </si>
  <si>
    <t>SMARCAD1</t>
  </si>
  <si>
    <t>EHD1</t>
  </si>
  <si>
    <t>RNF41</t>
  </si>
  <si>
    <t>PCIF1</t>
  </si>
  <si>
    <t>ESF1</t>
  </si>
  <si>
    <t>ALG2</t>
  </si>
  <si>
    <t>HEATR1</t>
  </si>
  <si>
    <t>SGK196</t>
  </si>
  <si>
    <t>RABEP2</t>
  </si>
  <si>
    <t>TFB2M</t>
  </si>
  <si>
    <t>CDCP1</t>
  </si>
  <si>
    <t>CXorf56</t>
  </si>
  <si>
    <t>FAM96A</t>
  </si>
  <si>
    <t>NSUN3</t>
  </si>
  <si>
    <t>PCNXL3</t>
  </si>
  <si>
    <t>CCDC134</t>
  </si>
  <si>
    <t>CCDC86</t>
  </si>
  <si>
    <t>REEP4</t>
  </si>
  <si>
    <t>OPA3</t>
  </si>
  <si>
    <t>ARMC7</t>
  </si>
  <si>
    <t>FAM134B</t>
  </si>
  <si>
    <t>TASP1</t>
  </si>
  <si>
    <t>NARFL</t>
  </si>
  <si>
    <t>DHX33</t>
  </si>
  <si>
    <t>NOL6</t>
  </si>
  <si>
    <t>C2orf44</t>
  </si>
  <si>
    <t>EPS8L2</t>
  </si>
  <si>
    <t>ESRP2</t>
  </si>
  <si>
    <t>RPAP3</t>
  </si>
  <si>
    <t>BCAS3</t>
  </si>
  <si>
    <t>ALG9</t>
  </si>
  <si>
    <t>NO66</t>
  </si>
  <si>
    <t>WDR55</t>
  </si>
  <si>
    <t>DCTPP1</t>
  </si>
  <si>
    <t>SH2D4A</t>
  </si>
  <si>
    <t>SMYD3</t>
  </si>
  <si>
    <t>AAMDC</t>
  </si>
  <si>
    <t>WDR26</t>
  </si>
  <si>
    <t>TDRD3</t>
  </si>
  <si>
    <t>ATP13A3</t>
  </si>
  <si>
    <t>PPP1R3E</t>
  </si>
  <si>
    <t>SUDS3</t>
  </si>
  <si>
    <t>ZNF703</t>
  </si>
  <si>
    <t>NRDE2</t>
  </si>
  <si>
    <t>KAT8</t>
  </si>
  <si>
    <t>PTGES2</t>
  </si>
  <si>
    <t>PHAX</t>
  </si>
  <si>
    <t>UBE2Z</t>
  </si>
  <si>
    <t>GEMIN7</t>
  </si>
  <si>
    <t>ACAD9</t>
  </si>
  <si>
    <t>PRKRIP1</t>
  </si>
  <si>
    <t>CAAP1</t>
  </si>
  <si>
    <t>NOL11</t>
  </si>
  <si>
    <t>MANSC1</t>
  </si>
  <si>
    <t>FAM188A</t>
  </si>
  <si>
    <t>MOB1A</t>
  </si>
  <si>
    <t>ZFAND3</t>
  </si>
  <si>
    <t>ECT2</t>
  </si>
  <si>
    <t>FAM204A</t>
  </si>
  <si>
    <t>PLEKHF2</t>
  </si>
  <si>
    <t>ANKZF1</t>
  </si>
  <si>
    <t>GORASP2</t>
  </si>
  <si>
    <t>ZWILCH</t>
  </si>
  <si>
    <t>MTHFD2L</t>
  </si>
  <si>
    <t>HN1L</t>
  </si>
  <si>
    <t>SLC25A22</t>
  </si>
  <si>
    <t>PSTPIP2</t>
  </si>
  <si>
    <t>QTRTD1</t>
  </si>
  <si>
    <t>WDR54</t>
  </si>
  <si>
    <t>ACTR8</t>
  </si>
  <si>
    <t>C6orf211</t>
  </si>
  <si>
    <t>PANK3</t>
  </si>
  <si>
    <t>CNOT10</t>
  </si>
  <si>
    <t>LRRC40</t>
  </si>
  <si>
    <t>RMI1</t>
  </si>
  <si>
    <t>EHMT1</t>
  </si>
  <si>
    <t>SFXN1</t>
  </si>
  <si>
    <t>ACTR5</t>
  </si>
  <si>
    <t>VPS37B</t>
  </si>
  <si>
    <t>MRPL44</t>
  </si>
  <si>
    <t>ERVMER34-1</t>
  </si>
  <si>
    <t>L2HGDH</t>
  </si>
  <si>
    <t>CAB39L</t>
  </si>
  <si>
    <t>JMJD4</t>
  </si>
  <si>
    <t>GPN2</t>
  </si>
  <si>
    <t>UCK1</t>
  </si>
  <si>
    <t>FN3KRP</t>
  </si>
  <si>
    <t>TBC1D17</t>
  </si>
  <si>
    <t>CARS2</t>
  </si>
  <si>
    <t>PPCS</t>
  </si>
  <si>
    <t>MEAF6</t>
  </si>
  <si>
    <t>NMNAT1</t>
  </si>
  <si>
    <t>PLEKHA5</t>
  </si>
  <si>
    <t>UPF2</t>
  </si>
  <si>
    <t>XPO5</t>
  </si>
  <si>
    <t>GRPEL1</t>
  </si>
  <si>
    <t>CLSPN</t>
  </si>
  <si>
    <t>C12orf10</t>
  </si>
  <si>
    <t>PLEKHA1</t>
  </si>
  <si>
    <t>SCPEP1</t>
  </si>
  <si>
    <t>ELL3</t>
  </si>
  <si>
    <t>CACYBP</t>
  </si>
  <si>
    <t>RRAGC</t>
  </si>
  <si>
    <t>SMARCA4</t>
  </si>
  <si>
    <t>PDF</t>
  </si>
  <si>
    <t>RDH14</t>
  </si>
  <si>
    <t>PARVB</t>
  </si>
  <si>
    <t>PLGRKT</t>
  </si>
  <si>
    <t>NMRAL1</t>
  </si>
  <si>
    <t>SPC25</t>
  </si>
  <si>
    <t>TAF9B</t>
  </si>
  <si>
    <t>AGPAT1</t>
  </si>
  <si>
    <t>SLC38A10</t>
  </si>
  <si>
    <t>ETNK1</t>
  </si>
  <si>
    <t>TMEM165</t>
  </si>
  <si>
    <t>EML4</t>
  </si>
  <si>
    <t>RNMTL1</t>
  </si>
  <si>
    <t>GLOD4</t>
  </si>
  <si>
    <t>CBX8</t>
  </si>
  <si>
    <t>MCCC2</t>
  </si>
  <si>
    <t>NCOA5</t>
  </si>
  <si>
    <t>EPG5</t>
  </si>
  <si>
    <t>MOV10</t>
  </si>
  <si>
    <t>METTL14</t>
  </si>
  <si>
    <t>GBA2</t>
  </si>
  <si>
    <t>RAVER2</t>
  </si>
  <si>
    <t>TMEM8A</t>
  </si>
  <si>
    <t>GPN1</t>
  </si>
  <si>
    <t>SDF2L1</t>
  </si>
  <si>
    <t>CSNK1G1</t>
  </si>
  <si>
    <t>PDE11A</t>
  </si>
  <si>
    <t>PREB</t>
  </si>
  <si>
    <t>POLD4</t>
  </si>
  <si>
    <t>S100A14</t>
  </si>
  <si>
    <t>SRA1</t>
  </si>
  <si>
    <t>ATP13A1</t>
  </si>
  <si>
    <t>MRPL47</t>
  </si>
  <si>
    <t>LYRM4</t>
  </si>
  <si>
    <t>SEPSECS</t>
  </si>
  <si>
    <t>TM9SF3</t>
  </si>
  <si>
    <t>RANGRF</t>
  </si>
  <si>
    <t>MYO10</t>
  </si>
  <si>
    <t>JPH1</t>
  </si>
  <si>
    <t>APMAP</t>
  </si>
  <si>
    <t>WDR6</t>
  </si>
  <si>
    <t>ABCB6</t>
  </si>
  <si>
    <t>HMG20A</t>
  </si>
  <si>
    <t>RAB18</t>
  </si>
  <si>
    <t>ALG13</t>
  </si>
  <si>
    <t>SSU72</t>
  </si>
  <si>
    <t>VTA1</t>
  </si>
  <si>
    <t>PNPLA8</t>
  </si>
  <si>
    <t>TNFRSF12A</t>
  </si>
  <si>
    <t>MRPS30</t>
  </si>
  <si>
    <t>EMC7</t>
  </si>
  <si>
    <t>MID1IP1</t>
  </si>
  <si>
    <t>ENY2</t>
  </si>
  <si>
    <t>GPCPD1</t>
  </si>
  <si>
    <t>EXOSC4</t>
  </si>
  <si>
    <t>UBE2T</t>
  </si>
  <si>
    <t>NGRN</t>
  </si>
  <si>
    <t>NOP10</t>
  </si>
  <si>
    <t>CD320</t>
  </si>
  <si>
    <t>OSGEP</t>
  </si>
  <si>
    <t>UBN1</t>
  </si>
  <si>
    <t>ACP6</t>
  </si>
  <si>
    <t>DCP1A</t>
  </si>
  <si>
    <t>ACOT13</t>
  </si>
  <si>
    <t>MED4</t>
  </si>
  <si>
    <t>TIMMDC1</t>
  </si>
  <si>
    <t>RIC8A</t>
  </si>
  <si>
    <t>GPR108</t>
  </si>
  <si>
    <t>LUC7L</t>
  </si>
  <si>
    <t>TIGAR</t>
  </si>
  <si>
    <t>RTN4</t>
  </si>
  <si>
    <t>HINT3</t>
  </si>
  <si>
    <t>RPRD1B</t>
  </si>
  <si>
    <t>HPS4</t>
  </si>
  <si>
    <t>XPNPEP3</t>
  </si>
  <si>
    <t>NIT2</t>
  </si>
  <si>
    <t>AVEN</t>
  </si>
  <si>
    <t>EXOSC5</t>
  </si>
  <si>
    <t>EXOSC3</t>
  </si>
  <si>
    <t>KIF13B</t>
  </si>
  <si>
    <t>ANLN</t>
  </si>
  <si>
    <t>XPNPEP1</t>
  </si>
  <si>
    <t>BIN3</t>
  </si>
  <si>
    <t>UTP3</t>
  </si>
  <si>
    <t>STARD7</t>
  </si>
  <si>
    <t>ZC4H2</t>
  </si>
  <si>
    <t>BIRC6</t>
  </si>
  <si>
    <t>PDLIM7</t>
  </si>
  <si>
    <t>ACSS2</t>
  </si>
  <si>
    <t>DIABLO</t>
  </si>
  <si>
    <t>DDX21</t>
  </si>
  <si>
    <t>SAR1A</t>
  </si>
  <si>
    <t>POLE4</t>
  </si>
  <si>
    <t>NANS</t>
  </si>
  <si>
    <t>ASH1L</t>
  </si>
  <si>
    <t>EIF2B3</t>
  </si>
  <si>
    <t>SLC17A5</t>
  </si>
  <si>
    <t>PICK1</t>
  </si>
  <si>
    <t>CTPS2</t>
  </si>
  <si>
    <t>POLE3</t>
  </si>
  <si>
    <t>CHRAC1</t>
  </si>
  <si>
    <t>PRTFDC1</t>
  </si>
  <si>
    <t>SMYD2</t>
  </si>
  <si>
    <t>SDR39U1</t>
  </si>
  <si>
    <t>AAAS</t>
  </si>
  <si>
    <t>YAE1D1</t>
  </si>
  <si>
    <t>ABCB10</t>
  </si>
  <si>
    <t>BAZ1A</t>
  </si>
  <si>
    <t>STRN4</t>
  </si>
  <si>
    <t>AASDHPPT</t>
  </si>
  <si>
    <t>METTL5</t>
  </si>
  <si>
    <t>OSTC</t>
  </si>
  <si>
    <t>CMC2</t>
  </si>
  <si>
    <t>ACN9</t>
  </si>
  <si>
    <t>UBQLN4</t>
  </si>
  <si>
    <t>CDC42SE1</t>
  </si>
  <si>
    <t>HEBP1</t>
  </si>
  <si>
    <t>RAB6B</t>
  </si>
  <si>
    <t>DUSP22</t>
  </si>
  <si>
    <t>VPS45</t>
  </si>
  <si>
    <t>PNO1</t>
  </si>
  <si>
    <t>NDUFA4L2</t>
  </si>
  <si>
    <t>PHPT1</t>
  </si>
  <si>
    <t>SERINC1</t>
  </si>
  <si>
    <t>INIP</t>
  </si>
  <si>
    <t>ARHGAP35</t>
  </si>
  <si>
    <t>FAM114A2</t>
  </si>
  <si>
    <t>AGPAT4</t>
  </si>
  <si>
    <t>AGPAT3</t>
  </si>
  <si>
    <t>HELLS</t>
  </si>
  <si>
    <t>GLRX2</t>
  </si>
  <si>
    <t>TOMM22</t>
  </si>
  <si>
    <t>MBIP</t>
  </si>
  <si>
    <t>LANCL2</t>
  </si>
  <si>
    <t>KIF15</t>
  </si>
  <si>
    <t>RAD18</t>
  </si>
  <si>
    <t>TM7SF3</t>
  </si>
  <si>
    <t>CTNNBIP1</t>
  </si>
  <si>
    <t>FARSB</t>
  </si>
  <si>
    <t>IARS2</t>
  </si>
  <si>
    <t>FAM207A</t>
  </si>
  <si>
    <t>KLC4</t>
  </si>
  <si>
    <t>ATG3</t>
  </si>
  <si>
    <t>SIRT3</t>
  </si>
  <si>
    <t>PDS5B</t>
  </si>
  <si>
    <t>SMC4</t>
  </si>
  <si>
    <t>MAN2C1</t>
  </si>
  <si>
    <t>SACM1L</t>
  </si>
  <si>
    <t>CUTC</t>
  </si>
  <si>
    <t>ECHDC1</t>
  </si>
  <si>
    <t>RBM12</t>
  </si>
  <si>
    <t>MDN1</t>
  </si>
  <si>
    <t>LYRM2</t>
  </si>
  <si>
    <t>ACSS1</t>
  </si>
  <si>
    <t>ZCCHC3</t>
  </si>
  <si>
    <t>PDRG1</t>
  </si>
  <si>
    <t>ABHD10</t>
  </si>
  <si>
    <t>C19orf66</t>
  </si>
  <si>
    <t>TMEM106B</t>
  </si>
  <si>
    <t>LMBRD1</t>
  </si>
  <si>
    <t>BLOC1S4</t>
  </si>
  <si>
    <t>TRMT13</t>
  </si>
  <si>
    <t>LIN7C</t>
  </si>
  <si>
    <t>AGPAT5</t>
  </si>
  <si>
    <t>TXLNG</t>
  </si>
  <si>
    <t>UFSP2</t>
  </si>
  <si>
    <t>ABCF3</t>
  </si>
  <si>
    <t>FAM49B</t>
  </si>
  <si>
    <t>DDX19A</t>
  </si>
  <si>
    <t>TDP1</t>
  </si>
  <si>
    <t>TBC1D23</t>
  </si>
  <si>
    <t>DCAF13</t>
  </si>
  <si>
    <t>NUDT15</t>
  </si>
  <si>
    <t>MRGBP</t>
  </si>
  <si>
    <t>TYW1</t>
  </si>
  <si>
    <t>EXOC1</t>
  </si>
  <si>
    <t>TMEM30A</t>
  </si>
  <si>
    <t>UQCC</t>
  </si>
  <si>
    <t>TMEM184C</t>
  </si>
  <si>
    <t>MED17</t>
  </si>
  <si>
    <t>PANK4</t>
  </si>
  <si>
    <t>FBXO28</t>
  </si>
  <si>
    <t>TBC1D13</t>
  </si>
  <si>
    <t>EXD2</t>
  </si>
  <si>
    <t>DNAJC11</t>
  </si>
  <si>
    <t>INTS7</t>
  </si>
  <si>
    <t>TMLHE</t>
  </si>
  <si>
    <t>FANCI</t>
  </si>
  <si>
    <t>ATAD3A</t>
  </si>
  <si>
    <t>ARL8B</t>
  </si>
  <si>
    <t>FGFR1OP2</t>
  </si>
  <si>
    <t>PRMT7</t>
  </si>
  <si>
    <t>DNAJC17</t>
  </si>
  <si>
    <t>ASUN</t>
  </si>
  <si>
    <t>GNL3L</t>
  </si>
  <si>
    <t>DDX18</t>
  </si>
  <si>
    <t>ASF1B</t>
  </si>
  <si>
    <t>FAIM</t>
  </si>
  <si>
    <t>KLHL11</t>
  </si>
  <si>
    <t>INTS10</t>
  </si>
  <si>
    <t>DNAAF2</t>
  </si>
  <si>
    <t>PNPO</t>
  </si>
  <si>
    <t>ARMC1</t>
  </si>
  <si>
    <t>MTPAP</t>
  </si>
  <si>
    <t>NLE1</t>
  </si>
  <si>
    <t>KBTBD4</t>
  </si>
  <si>
    <t>NECAP2</t>
  </si>
  <si>
    <t>ZNF358</t>
  </si>
  <si>
    <t>ANO10</t>
  </si>
  <si>
    <t>RBM22</t>
  </si>
  <si>
    <t>WDR70</t>
  </si>
  <si>
    <t>MED9</t>
  </si>
  <si>
    <t>ARGLU1</t>
  </si>
  <si>
    <t>TMEM248</t>
  </si>
  <si>
    <t>TMEM242</t>
  </si>
  <si>
    <t>SLTM</t>
  </si>
  <si>
    <t>CUEDC1</t>
  </si>
  <si>
    <t>FKBP14</t>
  </si>
  <si>
    <t>PIH1D1</t>
  </si>
  <si>
    <t>FAM118A</t>
  </si>
  <si>
    <t>RMND1</t>
  </si>
  <si>
    <t>HIF1AN</t>
  </si>
  <si>
    <t>OXSM</t>
  </si>
  <si>
    <t>GID8</t>
  </si>
  <si>
    <t>C1orf123</t>
  </si>
  <si>
    <t>ASB6</t>
  </si>
  <si>
    <t>THG1L</t>
  </si>
  <si>
    <t>C4orf27</t>
  </si>
  <si>
    <t>IRAK4</t>
  </si>
  <si>
    <t>UCKL1</t>
  </si>
  <si>
    <t>TXNL4B</t>
  </si>
  <si>
    <t>TRNAU1AP</t>
  </si>
  <si>
    <t>COMMD8</t>
  </si>
  <si>
    <t>NDUFB11</t>
  </si>
  <si>
    <t>NHP2</t>
  </si>
  <si>
    <t>FAM206A</t>
  </si>
  <si>
    <t>OCIAD1</t>
  </si>
  <si>
    <t>ADPRHL2</t>
  </si>
  <si>
    <t>MARCH5</t>
  </si>
  <si>
    <t>HYPK</t>
  </si>
  <si>
    <t>RAB20</t>
  </si>
  <si>
    <t>LYAR</t>
  </si>
  <si>
    <t>IMPAD1</t>
  </si>
  <si>
    <t>MED29</t>
  </si>
  <si>
    <t>DUS2L</t>
  </si>
  <si>
    <t>TMEM260</t>
  </si>
  <si>
    <t>SIRT5</t>
  </si>
  <si>
    <t>MIOS</t>
  </si>
  <si>
    <t>CWC25</t>
  </si>
  <si>
    <t>TEX10</t>
  </si>
  <si>
    <t>DCAF16</t>
  </si>
  <si>
    <t>ZDHHC7</t>
  </si>
  <si>
    <t>P4HTM</t>
  </si>
  <si>
    <t>TRMT1</t>
  </si>
  <si>
    <t>FBXL12</t>
  </si>
  <si>
    <t>GDAP2</t>
  </si>
  <si>
    <t>NDE1</t>
  </si>
  <si>
    <t>ANKRD10</t>
  </si>
  <si>
    <t>BRE</t>
  </si>
  <si>
    <t>QPCTL</t>
  </si>
  <si>
    <t>ARL15</t>
  </si>
  <si>
    <t>KCTD5</t>
  </si>
  <si>
    <t>CDKN2AIP</t>
  </si>
  <si>
    <t>ALKBH4</t>
  </si>
  <si>
    <t>PPP4R2</t>
  </si>
  <si>
    <t>AATF</t>
  </si>
  <si>
    <t>TERF2IP</t>
  </si>
  <si>
    <t>ZDHHC3</t>
  </si>
  <si>
    <t>ANAPC11</t>
  </si>
  <si>
    <t>UTP6</t>
  </si>
  <si>
    <t>COA4</t>
  </si>
  <si>
    <t>MRPL39</t>
  </si>
  <si>
    <t>MLTK</t>
  </si>
  <si>
    <t>TMOD3</t>
  </si>
  <si>
    <t>BET1L</t>
  </si>
  <si>
    <t>MIS18A</t>
  </si>
  <si>
    <t>CELSR1</t>
  </si>
  <si>
    <t>CELSR3</t>
  </si>
  <si>
    <t>UGGT1</t>
  </si>
  <si>
    <t>CDK12</t>
  </si>
  <si>
    <t>FASTKD2</t>
  </si>
  <si>
    <t>TECR</t>
  </si>
  <si>
    <t>ERAP1</t>
  </si>
  <si>
    <t>UBAP1</t>
  </si>
  <si>
    <t>ACTR10</t>
  </si>
  <si>
    <t>USE1</t>
  </si>
  <si>
    <t>CISD1</t>
  </si>
  <si>
    <t>PODXL2</t>
  </si>
  <si>
    <t>C9orf78</t>
  </si>
  <si>
    <t>CLIC5</t>
  </si>
  <si>
    <t>FAM120A</t>
  </si>
  <si>
    <t>GDE1</t>
  </si>
  <si>
    <t>WWOX</t>
  </si>
  <si>
    <t>GLTP</t>
  </si>
  <si>
    <t>SPG21</t>
  </si>
  <si>
    <t>UBP1</t>
  </si>
  <si>
    <t>IGF2BP1</t>
  </si>
  <si>
    <t>SACS</t>
  </si>
  <si>
    <t>COQ3</t>
  </si>
  <si>
    <t>NUDT4</t>
  </si>
  <si>
    <t>HSPBP1</t>
  </si>
  <si>
    <t>MAT2B</t>
  </si>
  <si>
    <t>ITSN2</t>
  </si>
  <si>
    <t>GLTSCR1</t>
  </si>
  <si>
    <t>NCKIPSD</t>
  </si>
  <si>
    <t>CALML5</t>
  </si>
  <si>
    <t>OGFR</t>
  </si>
  <si>
    <t>LMCD1</t>
  </si>
  <si>
    <t>MPP6</t>
  </si>
  <si>
    <t>CHMP5</t>
  </si>
  <si>
    <t>CWC15</t>
  </si>
  <si>
    <t>THYN1</t>
  </si>
  <si>
    <t>CRIPT</t>
  </si>
  <si>
    <t>CCDC59</t>
  </si>
  <si>
    <t>NDUFAF4</t>
  </si>
  <si>
    <t>PTPLAD1</t>
  </si>
  <si>
    <t>CCDC167</t>
  </si>
  <si>
    <t>EMC3</t>
  </si>
  <si>
    <t>PDP1</t>
  </si>
  <si>
    <t>KCMF1</t>
  </si>
  <si>
    <t>VAPA</t>
  </si>
  <si>
    <t>RNF181</t>
  </si>
  <si>
    <t>GSKIP</t>
  </si>
  <si>
    <t>COX16</t>
  </si>
  <si>
    <t>CXXC1</t>
  </si>
  <si>
    <t>SH3BP4</t>
  </si>
  <si>
    <t>HMG20B</t>
  </si>
  <si>
    <t>PIPOX</t>
  </si>
  <si>
    <t>ABRACL</t>
  </si>
  <si>
    <t>ACTR3B</t>
  </si>
  <si>
    <t>CAMSAP3</t>
  </si>
  <si>
    <t>CALCOCO1</t>
  </si>
  <si>
    <t>KIAA1522</t>
  </si>
  <si>
    <t>CEP72</t>
  </si>
  <si>
    <t>CCDC88C</t>
  </si>
  <si>
    <t>RCC2</t>
  </si>
  <si>
    <t>KIAA1468</t>
  </si>
  <si>
    <t>DIP2B</t>
  </si>
  <si>
    <t>KIAA1462</t>
  </si>
  <si>
    <t>SLAIN2</t>
  </si>
  <si>
    <t>TENM3</t>
  </si>
  <si>
    <t>USP36</t>
  </si>
  <si>
    <t>BCCIP</t>
  </si>
  <si>
    <t>PTGFRN</t>
  </si>
  <si>
    <t>CTTNBP2NL</t>
  </si>
  <si>
    <t>TMEM181</t>
  </si>
  <si>
    <t>CHD7</t>
  </si>
  <si>
    <t>HEATR5B</t>
  </si>
  <si>
    <t>RRBP1</t>
  </si>
  <si>
    <t>CPSF2</t>
  </si>
  <si>
    <t>PDP2</t>
  </si>
  <si>
    <t>RCOR3</t>
  </si>
  <si>
    <t>MYEF2</t>
  </si>
  <si>
    <t>KLHL42</t>
  </si>
  <si>
    <t>CGN</t>
  </si>
  <si>
    <t>RBM27</t>
  </si>
  <si>
    <t>ANKFY1</t>
  </si>
  <si>
    <t>RERE</t>
  </si>
  <si>
    <t>PSMC3IP</t>
  </si>
  <si>
    <t>DPM3</t>
  </si>
  <si>
    <t>IMPACT</t>
  </si>
  <si>
    <t>UVRAG</t>
  </si>
  <si>
    <t>ATXN10</t>
  </si>
  <si>
    <t>MBD2</t>
  </si>
  <si>
    <t>NCDN</t>
  </si>
  <si>
    <t>TFIP11</t>
  </si>
  <si>
    <t>ORC3</t>
  </si>
  <si>
    <t>SAE1</t>
  </si>
  <si>
    <t>COPG2</t>
  </si>
  <si>
    <t>RNF7</t>
  </si>
  <si>
    <t>PI4KB</t>
  </si>
  <si>
    <t>MTRR</t>
  </si>
  <si>
    <t>ASH2L</t>
  </si>
  <si>
    <t>DHCR7</t>
  </si>
  <si>
    <t>TNFRSF10D</t>
  </si>
  <si>
    <t>SPAST</t>
  </si>
  <si>
    <t>METTL1</t>
  </si>
  <si>
    <t>VPS29</t>
  </si>
  <si>
    <t>GRHPR</t>
  </si>
  <si>
    <t>CTSZ</t>
  </si>
  <si>
    <t>RPS6KB2</t>
  </si>
  <si>
    <t>RNF14</t>
  </si>
  <si>
    <t>SUCO</t>
  </si>
  <si>
    <t>UBA2</t>
  </si>
  <si>
    <t>FAM8A1</t>
  </si>
  <si>
    <t>NXF1</t>
  </si>
  <si>
    <t>SEL1L</t>
  </si>
  <si>
    <t>PEF1</t>
  </si>
  <si>
    <t>ZMYM2</t>
  </si>
  <si>
    <t>COPS7A</t>
  </si>
  <si>
    <t>PPP1R1B</t>
  </si>
  <si>
    <t>UQCR10</t>
  </si>
  <si>
    <t>MTFP1</t>
  </si>
  <si>
    <t>TJP2</t>
  </si>
  <si>
    <t>DNAJB4</t>
  </si>
  <si>
    <t>MALT1</t>
  </si>
  <si>
    <t>CFDP1</t>
  </si>
  <si>
    <t>ZNF629</t>
  </si>
  <si>
    <t>DAXX</t>
  </si>
  <si>
    <t>FTSJ1</t>
  </si>
  <si>
    <t>VTI1B</t>
  </si>
  <si>
    <t>STK39</t>
  </si>
  <si>
    <t>ADD3</t>
  </si>
  <si>
    <t>LRWD1</t>
  </si>
  <si>
    <t>C19orf25</t>
  </si>
  <si>
    <t>NIPSNAP3A</t>
  </si>
  <si>
    <t>CGGBP1</t>
  </si>
  <si>
    <t>PISD</t>
  </si>
  <si>
    <t>ABCF2</t>
  </si>
  <si>
    <t>MTRF1L</t>
  </si>
  <si>
    <t>TES</t>
  </si>
  <si>
    <t>TUBGCP4</t>
  </si>
  <si>
    <t>STAP2</t>
  </si>
  <si>
    <t>SERGEF</t>
  </si>
  <si>
    <t>WARS2</t>
  </si>
  <si>
    <t>LIMD1</t>
  </si>
  <si>
    <t>SEC63</t>
  </si>
  <si>
    <t>CACFD1</t>
  </si>
  <si>
    <t>SLC2A6</t>
  </si>
  <si>
    <t>ZC3H7B</t>
  </si>
  <si>
    <t>TCF20</t>
  </si>
  <si>
    <t>HMGXB4</t>
  </si>
  <si>
    <t>NDRG3</t>
  </si>
  <si>
    <t>ARMCX3</t>
  </si>
  <si>
    <t>SWAP70</t>
  </si>
  <si>
    <t>LAMTOR3</t>
  </si>
  <si>
    <t>LIMA1</t>
  </si>
  <si>
    <t>AFF4</t>
  </si>
  <si>
    <t>SRP68</t>
  </si>
  <si>
    <t>CHORDC1</t>
  </si>
  <si>
    <t>TBK1</t>
  </si>
  <si>
    <t>SEPT9</t>
  </si>
  <si>
    <t>UBQLN2</t>
  </si>
  <si>
    <t>STEAP1</t>
  </si>
  <si>
    <t>TRPS1</t>
  </si>
  <si>
    <t>PCYOX1</t>
  </si>
  <si>
    <t>DDX20</t>
  </si>
  <si>
    <t>SHPK</t>
  </si>
  <si>
    <t>AMACR</t>
  </si>
  <si>
    <t>DPP7</t>
  </si>
  <si>
    <t>POLG2</t>
  </si>
  <si>
    <t>TMEM2</t>
  </si>
  <si>
    <t>USP25</t>
  </si>
  <si>
    <t>BCAP29</t>
  </si>
  <si>
    <t>CYB5R1</t>
  </si>
  <si>
    <t>BAIAP2L1</t>
  </si>
  <si>
    <t>MED13</t>
  </si>
  <si>
    <t>PFDN2</t>
  </si>
  <si>
    <t>GPN3</t>
  </si>
  <si>
    <t>PUF60</t>
  </si>
  <si>
    <t>EMR2</t>
  </si>
  <si>
    <t>NRBP1</t>
  </si>
  <si>
    <t>ENOPH1</t>
  </si>
  <si>
    <t>NDUFA12</t>
  </si>
  <si>
    <t>EIF2B4</t>
  </si>
  <si>
    <t>ATP6V1H</t>
  </si>
  <si>
    <t>TAGLN3</t>
  </si>
  <si>
    <t>IPO11</t>
  </si>
  <si>
    <t>TRMT112</t>
  </si>
  <si>
    <t>GLS2</t>
  </si>
  <si>
    <t>DACH1</t>
  </si>
  <si>
    <t>FTSJ2</t>
  </si>
  <si>
    <t>LCMT1</t>
  </si>
  <si>
    <t>VPS51</t>
  </si>
  <si>
    <t>ATPIF1</t>
  </si>
  <si>
    <t>AK3</t>
  </si>
  <si>
    <t>DAPK2</t>
  </si>
  <si>
    <t>SCOC</t>
  </si>
  <si>
    <t>FKBPL</t>
  </si>
  <si>
    <t>LNPEP</t>
  </si>
  <si>
    <t>SIX4</t>
  </si>
  <si>
    <t>GGT7</t>
  </si>
  <si>
    <t>MSRA</t>
  </si>
  <si>
    <t>CRLS1</t>
  </si>
  <si>
    <t>TRMT6</t>
  </si>
  <si>
    <t>SH3BGRL2</t>
  </si>
  <si>
    <t>ZNF280C</t>
  </si>
  <si>
    <t>TSR3</t>
  </si>
  <si>
    <t>SLC25A13</t>
  </si>
  <si>
    <t>DBNL</t>
  </si>
  <si>
    <t>DCTN4</t>
  </si>
  <si>
    <t>ANAPC7</t>
  </si>
  <si>
    <t>ANAPC4</t>
  </si>
  <si>
    <t>ANAPC2</t>
  </si>
  <si>
    <t>GGA2</t>
  </si>
  <si>
    <t>GGA1</t>
  </si>
  <si>
    <t>STOML2</t>
  </si>
  <si>
    <t>FBXO2</t>
  </si>
  <si>
    <t>NAGPA</t>
  </si>
  <si>
    <t>RPS6KA6</t>
  </si>
  <si>
    <t>VPS28</t>
  </si>
  <si>
    <t>LSM7</t>
  </si>
  <si>
    <t>ING1</t>
  </si>
  <si>
    <t>DBR1</t>
  </si>
  <si>
    <t>FBXO9</t>
  </si>
  <si>
    <t>FBXL4</t>
  </si>
  <si>
    <t>AKAP11</t>
  </si>
  <si>
    <t>DNAJC12</t>
  </si>
  <si>
    <t>AJAP1</t>
  </si>
  <si>
    <t>MRTO4</t>
  </si>
  <si>
    <t>CPSF3</t>
  </si>
  <si>
    <t>APPL1</t>
  </si>
  <si>
    <t>TLK1</t>
  </si>
  <si>
    <t>GPATCH8</t>
  </si>
  <si>
    <t>NUDT5</t>
  </si>
  <si>
    <t>CASP8AP2</t>
  </si>
  <si>
    <t>PCTP</t>
  </si>
  <si>
    <t>MAN1B1</t>
  </si>
  <si>
    <t>GTF3C4</t>
  </si>
  <si>
    <t>ADAM28</t>
  </si>
  <si>
    <t>C14orf1</t>
  </si>
  <si>
    <t>PACSIN3</t>
  </si>
  <si>
    <t>FBXO4</t>
  </si>
  <si>
    <t>ACAD8</t>
  </si>
  <si>
    <t>AGO2</t>
  </si>
  <si>
    <t>NUP50</t>
  </si>
  <si>
    <t>CNOT11</t>
  </si>
  <si>
    <t>BAG5</t>
  </si>
  <si>
    <t>AGO1</t>
  </si>
  <si>
    <t>RAB21</t>
  </si>
  <si>
    <t>RAB22A</t>
  </si>
  <si>
    <t>PNMA2</t>
  </si>
  <si>
    <t>PSME2</t>
  </si>
  <si>
    <t>TMPRSS11E</t>
  </si>
  <si>
    <t>TAOK2</t>
  </si>
  <si>
    <t>RAB23</t>
  </si>
  <si>
    <t>MCTS1</t>
  </si>
  <si>
    <t>ACSL5</t>
  </si>
  <si>
    <t>ZNF608</t>
  </si>
  <si>
    <t>PALD1</t>
  </si>
  <si>
    <t>SLC39A10</t>
  </si>
  <si>
    <t>KIDINS220</t>
  </si>
  <si>
    <t>MKL2</t>
  </si>
  <si>
    <t>ZMIZ1</t>
  </si>
  <si>
    <t>PPP1R9A</t>
  </si>
  <si>
    <t>PRR12</t>
  </si>
  <si>
    <t>TBC1D24</t>
  </si>
  <si>
    <t>ISY1</t>
  </si>
  <si>
    <t>PPM1H</t>
  </si>
  <si>
    <t>CORO1C</t>
  </si>
  <si>
    <t>TPX2</t>
  </si>
  <si>
    <t>NOB1</t>
  </si>
  <si>
    <t>AKAP8L</t>
  </si>
  <si>
    <t>CA14</t>
  </si>
  <si>
    <t>MAFF</t>
  </si>
  <si>
    <t>PYCARD</t>
  </si>
  <si>
    <t>DDX19B</t>
  </si>
  <si>
    <t>NFU1</t>
  </si>
  <si>
    <t>UBQLN1</t>
  </si>
  <si>
    <t>NENF</t>
  </si>
  <si>
    <t>NOL7</t>
  </si>
  <si>
    <t>SNX12</t>
  </si>
  <si>
    <t>SYNRG</t>
  </si>
  <si>
    <t>VPS4A</t>
  </si>
  <si>
    <t>SOX13</t>
  </si>
  <si>
    <t>G3BP2</t>
  </si>
  <si>
    <t>STUB1</t>
  </si>
  <si>
    <t>PACSIN2</t>
  </si>
  <si>
    <t>MAGED2</t>
  </si>
  <si>
    <t>SNX6</t>
  </si>
  <si>
    <t>DUSP12</t>
  </si>
  <si>
    <t>STX8</t>
  </si>
  <si>
    <t>ANGEL1</t>
  </si>
  <si>
    <t>PSMD13</t>
  </si>
  <si>
    <t>FAF1</t>
  </si>
  <si>
    <t>PPIE</t>
  </si>
  <si>
    <t>TIMELESS</t>
  </si>
  <si>
    <t>COPS3</t>
  </si>
  <si>
    <t>MINPP1</t>
  </si>
  <si>
    <t>WDR3</t>
  </si>
  <si>
    <t>TTF2</t>
  </si>
  <si>
    <t>C19orf53</t>
  </si>
  <si>
    <t>COG5</t>
  </si>
  <si>
    <t>SLC12A4</t>
  </si>
  <si>
    <t>SCAF8</t>
  </si>
  <si>
    <t>PPP6R1</t>
  </si>
  <si>
    <t>TRIM33</t>
  </si>
  <si>
    <t>PHF8</t>
  </si>
  <si>
    <t>TNRC6B</t>
  </si>
  <si>
    <t>SMG5</t>
  </si>
  <si>
    <t>EXOC7</t>
  </si>
  <si>
    <t>ZC3H4</t>
  </si>
  <si>
    <t>USP22</t>
  </si>
  <si>
    <t>USP24</t>
  </si>
  <si>
    <t>AGTPBP1</t>
  </si>
  <si>
    <t>DICER1</t>
  </si>
  <si>
    <t>SLC7A11</t>
  </si>
  <si>
    <t>MAPRE3</t>
  </si>
  <si>
    <t>SHOC2</t>
  </si>
  <si>
    <t>SRRM2</t>
  </si>
  <si>
    <t>MGAT4B</t>
  </si>
  <si>
    <t>PA2G4</t>
  </si>
  <si>
    <t>SPG7</t>
  </si>
  <si>
    <t>BAIAP2</t>
  </si>
  <si>
    <t>GAB2</t>
  </si>
  <si>
    <t>SMC3</t>
  </si>
  <si>
    <t>HDAC5</t>
  </si>
  <si>
    <t>CHMP2B</t>
  </si>
  <si>
    <t>MTMR6</t>
  </si>
  <si>
    <t>JAG2</t>
  </si>
  <si>
    <t>NIP7</t>
  </si>
  <si>
    <t>GNE</t>
  </si>
  <si>
    <t>C14orf166</t>
  </si>
  <si>
    <t>RUVBL2</t>
  </si>
  <si>
    <t>CDYL</t>
  </si>
  <si>
    <t>LIPT1</t>
  </si>
  <si>
    <t>APOBEC2</t>
  </si>
  <si>
    <t>PIN4</t>
  </si>
  <si>
    <t>HIGD1A</t>
  </si>
  <si>
    <t>TCF19</t>
  </si>
  <si>
    <t>AKT3</t>
  </si>
  <si>
    <t>POMP</t>
  </si>
  <si>
    <t>FAM50B</t>
  </si>
  <si>
    <t>GINS2</t>
  </si>
  <si>
    <t>CHKB</t>
  </si>
  <si>
    <t>PLAA</t>
  </si>
  <si>
    <t>RUVBL1</t>
  </si>
  <si>
    <t>NUDC</t>
  </si>
  <si>
    <t>BCS1L</t>
  </si>
  <si>
    <t>VDAC3</t>
  </si>
  <si>
    <t>CFL2</t>
  </si>
  <si>
    <t>ASF1A</t>
  </si>
  <si>
    <t>DRG1</t>
  </si>
  <si>
    <t>TRAPPC4</t>
  </si>
  <si>
    <t>NCKAP1</t>
  </si>
  <si>
    <t>B3GNT3</t>
  </si>
  <si>
    <t>CNPY2</t>
  </si>
  <si>
    <t>EXOG</t>
  </si>
  <si>
    <t>EXOC6B</t>
  </si>
  <si>
    <t>AKAP2</t>
  </si>
  <si>
    <t>POFUT2</t>
  </si>
  <si>
    <t>DLGAP4</t>
  </si>
  <si>
    <t>STK38L</t>
  </si>
  <si>
    <t>FNDC3A</t>
  </si>
  <si>
    <t>NISCH</t>
  </si>
  <si>
    <t>WDR37</t>
  </si>
  <si>
    <t>TBC1D30</t>
  </si>
  <si>
    <t>USP20</t>
  </si>
  <si>
    <t>KDM2A</t>
  </si>
  <si>
    <t>DIS3</t>
  </si>
  <si>
    <t>ATP8A1</t>
  </si>
  <si>
    <t>LAMTOR2</t>
  </si>
  <si>
    <t>MRPS28</t>
  </si>
  <si>
    <t>COA3</t>
  </si>
  <si>
    <t>DDX52</t>
  </si>
  <si>
    <t>POLR1D</t>
  </si>
  <si>
    <t>CRYL1</t>
  </si>
  <si>
    <t>TMA7</t>
  </si>
  <si>
    <t>POLDIP2</t>
  </si>
  <si>
    <t>AP3M1</t>
  </si>
  <si>
    <t>LEMD3</t>
  </si>
  <si>
    <t>CARHSP1</t>
  </si>
  <si>
    <t>COG6</t>
  </si>
  <si>
    <t>THRAP3</t>
  </si>
  <si>
    <t>NOP58</t>
  </si>
  <si>
    <t>GIT1</t>
  </si>
  <si>
    <t>POLR3K</t>
  </si>
  <si>
    <t>SUGT1</t>
  </si>
  <si>
    <t>MTO1</t>
  </si>
  <si>
    <t>YARS2</t>
  </si>
  <si>
    <t>COQ6</t>
  </si>
  <si>
    <t>AMDHD2</t>
  </si>
  <si>
    <t>ACOT9</t>
  </si>
  <si>
    <t>NOSIP</t>
  </si>
  <si>
    <t>DERA</t>
  </si>
  <si>
    <t>MEMO1</t>
  </si>
  <si>
    <t>TMX2</t>
  </si>
  <si>
    <t>LSM2</t>
  </si>
  <si>
    <t>SH3GLB1</t>
  </si>
  <si>
    <t>NDUFAF1</t>
  </si>
  <si>
    <t>CAB39</t>
  </si>
  <si>
    <t>LUC7L2</t>
  </si>
  <si>
    <t>UBE2J1</t>
  </si>
  <si>
    <t>RBMX2</t>
  </si>
  <si>
    <t>DHRS7</t>
  </si>
  <si>
    <t>MRPS2</t>
  </si>
  <si>
    <t>COQ4</t>
  </si>
  <si>
    <t>MOB4</t>
  </si>
  <si>
    <t>SBDS</t>
  </si>
  <si>
    <t>TMED5</t>
  </si>
  <si>
    <t>SLMO2</t>
  </si>
  <si>
    <t>EXOSC1</t>
  </si>
  <si>
    <t>TMED7</t>
  </si>
  <si>
    <t>SF3B14</t>
  </si>
  <si>
    <t>RRP15</t>
  </si>
  <si>
    <t>NOP16</t>
  </si>
  <si>
    <t>TPRKB</t>
  </si>
  <si>
    <t>PPIL1</t>
  </si>
  <si>
    <t>UFC1</t>
  </si>
  <si>
    <t>FAM96B</t>
  </si>
  <si>
    <t>MSRB2</t>
  </si>
  <si>
    <t>MRPS18C</t>
  </si>
  <si>
    <t>FIS1</t>
  </si>
  <si>
    <t>MRPS23</t>
  </si>
  <si>
    <t>BOLA1</t>
  </si>
  <si>
    <t>CHMP3</t>
  </si>
  <si>
    <t>STRAP</t>
  </si>
  <si>
    <t>C22orf28</t>
  </si>
  <si>
    <t>FBXO7</t>
  </si>
  <si>
    <t>RAP2C</t>
  </si>
  <si>
    <t>SIT1</t>
  </si>
  <si>
    <t>RABGAP1</t>
  </si>
  <si>
    <t>TSC22D4</t>
  </si>
  <si>
    <t>DOPEY2</t>
  </si>
  <si>
    <t>ZNF330</t>
  </si>
  <si>
    <t>R3HCC1</t>
  </si>
  <si>
    <t>NOC2L</t>
  </si>
  <si>
    <t>RPL36</t>
  </si>
  <si>
    <t>CCDC9</t>
  </si>
  <si>
    <t>CHTOP</t>
  </si>
  <si>
    <t>SAMHD1</t>
  </si>
  <si>
    <t>FAM32A</t>
  </si>
  <si>
    <t>PKP3</t>
  </si>
  <si>
    <t>KNSTRN</t>
  </si>
  <si>
    <t>HBS1L</t>
  </si>
  <si>
    <t>PRKAB1</t>
  </si>
  <si>
    <t>ATP6V0A2</t>
  </si>
  <si>
    <t>TLN1</t>
  </si>
  <si>
    <t>VPRBP</t>
  </si>
  <si>
    <t>KDM3A</t>
  </si>
  <si>
    <t>DAAM1</t>
  </si>
  <si>
    <t>PLXND1</t>
  </si>
  <si>
    <t>FAM21C</t>
  </si>
  <si>
    <t>USP15</t>
  </si>
  <si>
    <t>IRS2</t>
  </si>
  <si>
    <t>MTL5</t>
  </si>
  <si>
    <t>AIM1</t>
  </si>
  <si>
    <t>MAP4K5</t>
  </si>
  <si>
    <t>HYOU1</t>
  </si>
  <si>
    <t>ATG4B</t>
  </si>
  <si>
    <t>WIPI2</t>
  </si>
  <si>
    <t>TELO2</t>
  </si>
  <si>
    <t>MMACHC</t>
  </si>
  <si>
    <t>AFG3L2</t>
  </si>
  <si>
    <t>ARIH1</t>
  </si>
  <si>
    <t>LSM4</t>
  </si>
  <si>
    <t>RNF114</t>
  </si>
  <si>
    <t>SAMM50</t>
  </si>
  <si>
    <t>LRRC42</t>
  </si>
  <si>
    <t>PPME1</t>
  </si>
  <si>
    <t>TIMM22</t>
  </si>
  <si>
    <t>KCTD3</t>
  </si>
  <si>
    <t>YTHDF2</t>
  </si>
  <si>
    <t>CTDP1</t>
  </si>
  <si>
    <t>PAXBP1</t>
  </si>
  <si>
    <t>NME7</t>
  </si>
  <si>
    <t>SUPT16H</t>
  </si>
  <si>
    <t>UTP18</t>
  </si>
  <si>
    <t>TIMM10B</t>
  </si>
  <si>
    <t>TIMM9</t>
  </si>
  <si>
    <t>PCYT1B</t>
  </si>
  <si>
    <t>UCHL5</t>
  </si>
  <si>
    <t>CD2AP</t>
  </si>
  <si>
    <t>ATP6V1D</t>
  </si>
  <si>
    <t>TNPO3</t>
  </si>
  <si>
    <t>ENTPD2</t>
  </si>
  <si>
    <t>TIMM13</t>
  </si>
  <si>
    <t>SRPRB</t>
  </si>
  <si>
    <t>COL4A3BP</t>
  </si>
  <si>
    <t>GMPPB</t>
  </si>
  <si>
    <t>GTF3C5</t>
  </si>
  <si>
    <t>GTF3C3</t>
  </si>
  <si>
    <t>TRAPPC1</t>
  </si>
  <si>
    <t>CDC42BPB</t>
  </si>
  <si>
    <t>RBM8A</t>
  </si>
  <si>
    <t>DNAJC15</t>
  </si>
  <si>
    <t>TSSC4</t>
  </si>
  <si>
    <t>ZNF706</t>
  </si>
  <si>
    <t>SNX9</t>
  </si>
  <si>
    <t>SNX8</t>
  </si>
  <si>
    <t>SNX5</t>
  </si>
  <si>
    <t>FLVCR1</t>
  </si>
  <si>
    <t>NUBP2</t>
  </si>
  <si>
    <t>ST14</t>
  </si>
  <si>
    <t>BACE2</t>
  </si>
  <si>
    <t>HEBP2</t>
  </si>
  <si>
    <t>UBIAD1</t>
  </si>
  <si>
    <t>MRFAP1</t>
  </si>
  <si>
    <t>LRRFIP2</t>
  </si>
  <si>
    <t>FHOD1</t>
  </si>
  <si>
    <t>PSAT1</t>
  </si>
  <si>
    <t>SLC25A15</t>
  </si>
  <si>
    <t>RAD54B</t>
  </si>
  <si>
    <t>NPTN</t>
  </si>
  <si>
    <t>CPQ</t>
  </si>
  <si>
    <t>SPIN1</t>
  </si>
  <si>
    <t>SLC12A7</t>
  </si>
  <si>
    <t>ALG5</t>
  </si>
  <si>
    <t>MRPS18B</t>
  </si>
  <si>
    <t>COPG1</t>
  </si>
  <si>
    <t>AUP1</t>
  </si>
  <si>
    <t>FKBP7</t>
  </si>
  <si>
    <t>LHFP</t>
  </si>
  <si>
    <t>CLIC4</t>
  </si>
  <si>
    <t>NFS1</t>
  </si>
  <si>
    <t>C16orf80</t>
  </si>
  <si>
    <t>TACC3</t>
  </si>
  <si>
    <t>SAR1B</t>
  </si>
  <si>
    <t>ARFGEF2</t>
  </si>
  <si>
    <t>ARFGEF1</t>
  </si>
  <si>
    <t>MAD1L1</t>
  </si>
  <si>
    <t>STK24</t>
  </si>
  <si>
    <t>COMMD10</t>
  </si>
  <si>
    <t>DYNC1LI1</t>
  </si>
  <si>
    <t>CHCHD2</t>
  </si>
  <si>
    <t>EPN1</t>
  </si>
  <si>
    <t>TEX264</t>
  </si>
  <si>
    <t>OAS3</t>
  </si>
  <si>
    <t>CSNK1G3</t>
  </si>
  <si>
    <t>SLC30A1</t>
  </si>
  <si>
    <t>NDUFB9</t>
  </si>
  <si>
    <t>COX11</t>
  </si>
  <si>
    <t>SQRDL</t>
  </si>
  <si>
    <t>ROBO1</t>
  </si>
  <si>
    <t>AP1M2</t>
  </si>
  <si>
    <t>NCOA3</t>
  </si>
  <si>
    <t>SCIN</t>
  </si>
  <si>
    <t>DDX49</t>
  </si>
  <si>
    <t>CAPN7</t>
  </si>
  <si>
    <t>WASF2</t>
  </si>
  <si>
    <t>ENPP4</t>
  </si>
  <si>
    <t>ZHX2</t>
  </si>
  <si>
    <t>MORC2</t>
  </si>
  <si>
    <t>MOSPD2</t>
  </si>
  <si>
    <t>PSMD8</t>
  </si>
  <si>
    <t>H6PD</t>
  </si>
  <si>
    <t>BMI1</t>
  </si>
  <si>
    <t>RANBP10</t>
  </si>
  <si>
    <t>PRSS56</t>
  </si>
  <si>
    <t>PTP4A2</t>
  </si>
  <si>
    <t>YTHDF3</t>
  </si>
  <si>
    <t>S100A6</t>
  </si>
  <si>
    <t>DENND4C</t>
  </si>
  <si>
    <t>PHLDA1</t>
  </si>
  <si>
    <t>ACD</t>
  </si>
  <si>
    <t>PSMC3</t>
  </si>
  <si>
    <t>A0AVT1</t>
  </si>
  <si>
    <t>A0MZ66</t>
  </si>
  <si>
    <t>A0PJW6</t>
  </si>
  <si>
    <t>A1A5A9</t>
  </si>
  <si>
    <t>A1BQX2</t>
  </si>
  <si>
    <t>A1L0T0</t>
  </si>
  <si>
    <t>A1L188</t>
  </si>
  <si>
    <t>A1X283</t>
  </si>
  <si>
    <t>A2A274</t>
  </si>
  <si>
    <t>A2A2F0</t>
  </si>
  <si>
    <t>A2A2Q9</t>
  </si>
  <si>
    <t>A2A2V1</t>
  </si>
  <si>
    <t>A2A2V4</t>
  </si>
  <si>
    <t>A2A2Y4-5</t>
  </si>
  <si>
    <t>A2AEA2</t>
  </si>
  <si>
    <t>A2BF36</t>
  </si>
  <si>
    <t>A2RRP1</t>
  </si>
  <si>
    <t>A2RU67</t>
  </si>
  <si>
    <t>A2RUC4</t>
  </si>
  <si>
    <t>A3KN83-2</t>
  </si>
  <si>
    <t>A4D126</t>
  </si>
  <si>
    <t>A4D161-2</t>
  </si>
  <si>
    <t>A4D1E9</t>
  </si>
  <si>
    <t>A4D1S0</t>
  </si>
  <si>
    <t>A4D1U4</t>
  </si>
  <si>
    <t>A4D212</t>
  </si>
  <si>
    <t>A4D2B0</t>
  </si>
  <si>
    <t>A5PLL7</t>
  </si>
  <si>
    <t>A5YKK6</t>
  </si>
  <si>
    <t>A5YM69</t>
  </si>
  <si>
    <t>A6NC98-4</t>
  </si>
  <si>
    <t>A6NCS9</t>
  </si>
  <si>
    <t>A6NDG6</t>
  </si>
  <si>
    <t>A6NDJ8</t>
  </si>
  <si>
    <t>A6NDU8</t>
  </si>
  <si>
    <t>A6NED2</t>
  </si>
  <si>
    <t>A6NEM2</t>
  </si>
  <si>
    <t>A6NEM5</t>
  </si>
  <si>
    <t>A6NEP9</t>
  </si>
  <si>
    <t>A6NFI3</t>
  </si>
  <si>
    <t>A6NG32</t>
  </si>
  <si>
    <t>A6NG79</t>
  </si>
  <si>
    <t>A6NGJ0</t>
  </si>
  <si>
    <t>A6NHB5</t>
  </si>
  <si>
    <t>A6NHK2</t>
  </si>
  <si>
    <t>A6NHL2-2</t>
  </si>
  <si>
    <t>A6NHR9</t>
  </si>
  <si>
    <t>A6NIH7</t>
  </si>
  <si>
    <t>A6NIZ0</t>
  </si>
  <si>
    <t>A6NJ78</t>
  </si>
  <si>
    <t>A6NJ97</t>
  </si>
  <si>
    <t>A6NK58</t>
  </si>
  <si>
    <t>A6NK88</t>
  </si>
  <si>
    <t>A6NKD9</t>
  </si>
  <si>
    <t>A6NKF9</t>
  </si>
  <si>
    <t>A6NMH6</t>
  </si>
  <si>
    <t>A6NML8</t>
  </si>
  <si>
    <t>A6NMQ1</t>
  </si>
  <si>
    <t>A6NNI4</t>
  </si>
  <si>
    <t>A6PVM9</t>
  </si>
  <si>
    <t>A6PW57</t>
  </si>
  <si>
    <t>A7KAX9</t>
  </si>
  <si>
    <t>A7XYQ1</t>
  </si>
  <si>
    <t>A8K0B5</t>
  </si>
  <si>
    <t>A8K0M9</t>
  </si>
  <si>
    <t>A8K7Q2</t>
  </si>
  <si>
    <t>A8MPS7</t>
  </si>
  <si>
    <t>A8MQ02</t>
  </si>
  <si>
    <t>A8MSH5</t>
  </si>
  <si>
    <t>A8MT72</t>
  </si>
  <si>
    <t>A8MTF8</t>
  </si>
  <si>
    <t>A8MTG8</t>
  </si>
  <si>
    <t>A8MTT3</t>
  </si>
  <si>
    <t>A8MTY9</t>
  </si>
  <si>
    <t>A8MU21</t>
  </si>
  <si>
    <t>A8MU44</t>
  </si>
  <si>
    <t>A8MUA9</t>
  </si>
  <si>
    <t>A8MUB1</t>
  </si>
  <si>
    <t>A8MVZ6</t>
  </si>
  <si>
    <t>A8MW61</t>
  </si>
  <si>
    <t>A8MWH4</t>
  </si>
  <si>
    <t>A8MWY0</t>
  </si>
  <si>
    <t>A8MX75</t>
  </si>
  <si>
    <t>A8MXN1</t>
  </si>
  <si>
    <t>A8MXP9</t>
  </si>
  <si>
    <t>A8MXQ1</t>
  </si>
  <si>
    <t>A8MXV4</t>
  </si>
  <si>
    <t>A8MYT4</t>
  </si>
  <si>
    <t>A8MZ54</t>
  </si>
  <si>
    <t>A8MZI9</t>
  </si>
  <si>
    <t>A9UHW6</t>
  </si>
  <si>
    <t>A9Z1X7</t>
  </si>
  <si>
    <t>B0QY89</t>
  </si>
  <si>
    <t>B0QY95</t>
  </si>
  <si>
    <t>B0QYI3</t>
  </si>
  <si>
    <t>B0QYK0</t>
  </si>
  <si>
    <t>B0QYS6</t>
  </si>
  <si>
    <t>B0QYW5</t>
  </si>
  <si>
    <t>B0UX83</t>
  </si>
  <si>
    <t>B0UXB6</t>
  </si>
  <si>
    <t>B0UY12</t>
  </si>
  <si>
    <t>B0UZY3</t>
  </si>
  <si>
    <t>B0V043</t>
  </si>
  <si>
    <t>B0V0T3</t>
  </si>
  <si>
    <t>B0YIW2</t>
  </si>
  <si>
    <t>B0YJC4</t>
  </si>
  <si>
    <t>B1AH87</t>
  </si>
  <si>
    <t>B1AHD1</t>
  </si>
  <si>
    <t>B1AK13</t>
  </si>
  <si>
    <t>B1AK44</t>
  </si>
  <si>
    <t>B1AK53</t>
  </si>
  <si>
    <t>B1AKJ5</t>
  </si>
  <si>
    <t>B1AKJ6</t>
  </si>
  <si>
    <t>B1AKL4</t>
  </si>
  <si>
    <t>B1AKN6</t>
  </si>
  <si>
    <t>B1AKY9</t>
  </si>
  <si>
    <t>B1AL69</t>
  </si>
  <si>
    <t>B1ALB4</t>
  </si>
  <si>
    <t>B1ALH6</t>
  </si>
  <si>
    <t>B1ALK7</t>
  </si>
  <si>
    <t>B1ALM5</t>
  </si>
  <si>
    <t>B1AMF0</t>
  </si>
  <si>
    <t>B1AMS2</t>
  </si>
  <si>
    <t>B1AMW1</t>
  </si>
  <si>
    <t>B1AN89</t>
  </si>
  <si>
    <t>B1AN99</t>
  </si>
  <si>
    <t>B1ANH0</t>
  </si>
  <si>
    <t>B1AQP1</t>
  </si>
  <si>
    <t>B1AT46</t>
  </si>
  <si>
    <t>B1AVQ7</t>
  </si>
  <si>
    <t>B1AVU8</t>
  </si>
  <si>
    <t>B1AZV3</t>
  </si>
  <si>
    <t>B2RCS5</t>
  </si>
  <si>
    <t>B3KPJ4</t>
  </si>
  <si>
    <t>B3KS98</t>
  </si>
  <si>
    <t>B3KSH1</t>
  </si>
  <si>
    <t>B3KSI9</t>
  </si>
  <si>
    <t>B3KSJ7</t>
  </si>
  <si>
    <t>B3KUE5</t>
  </si>
  <si>
    <t>B3KUK2</t>
  </si>
  <si>
    <t>B3KV61</t>
  </si>
  <si>
    <t>B3KVH8</t>
  </si>
  <si>
    <t>B3KVZ3</t>
  </si>
  <si>
    <t>B3KWW1</t>
  </si>
  <si>
    <t>B3KXW5</t>
  </si>
  <si>
    <t>B3KXX3</t>
  </si>
  <si>
    <t>B3KY94</t>
  </si>
  <si>
    <t>B3V0L1</t>
  </si>
  <si>
    <t>B4DDF4</t>
  </si>
  <si>
    <t>B4DDS3</t>
  </si>
  <si>
    <t>B4DDV3</t>
  </si>
  <si>
    <t>B4DDY8</t>
  </si>
  <si>
    <t>B4DE11</t>
  </si>
  <si>
    <t>B4DE60</t>
  </si>
  <si>
    <t>B4DEX5</t>
  </si>
  <si>
    <t>B4DFI9</t>
  </si>
  <si>
    <t>B4DFQ4</t>
  </si>
  <si>
    <t>B4DFR2</t>
  </si>
  <si>
    <t>B4DGU4</t>
  </si>
  <si>
    <t>B4DGX2</t>
  </si>
  <si>
    <t>B4DH53</t>
  </si>
  <si>
    <t>B4DHE8</t>
  </si>
  <si>
    <t>B4DHL3</t>
  </si>
  <si>
    <t>B4DIG7</t>
  </si>
  <si>
    <t>B4DIP4</t>
  </si>
  <si>
    <t>B4DJA5</t>
  </si>
  <si>
    <t>B4DJC5</t>
  </si>
  <si>
    <t>B4DJP7</t>
  </si>
  <si>
    <t>B4DJV2</t>
  </si>
  <si>
    <t>B4DJV5</t>
  </si>
  <si>
    <t>B4DK80</t>
  </si>
  <si>
    <t>B4DKF9</t>
  </si>
  <si>
    <t>B4DKL4</t>
  </si>
  <si>
    <t>B4DL54</t>
  </si>
  <si>
    <t>B4DLH2</t>
  </si>
  <si>
    <t>B4DLN1</t>
  </si>
  <si>
    <t>B4DLR8</t>
  </si>
  <si>
    <t>B4DLT4</t>
  </si>
  <si>
    <t>B4DLU3</t>
  </si>
  <si>
    <t>B4DLZ9</t>
  </si>
  <si>
    <t>B4DMU4</t>
  </si>
  <si>
    <t>B4DP21</t>
  </si>
  <si>
    <t>B4DPV4</t>
  </si>
  <si>
    <t>B4DPY8</t>
  </si>
  <si>
    <t>B4DQI6</t>
  </si>
  <si>
    <t>B4DQJ8</t>
  </si>
  <si>
    <t>B4DQL0</t>
  </si>
  <si>
    <t>B4DR52</t>
  </si>
  <si>
    <t>B4DR61</t>
  </si>
  <si>
    <t>B4DRL9</t>
  </si>
  <si>
    <t>B4DRN8</t>
  </si>
  <si>
    <t>B4DRS7</t>
  </si>
  <si>
    <t>B4DSD4</t>
  </si>
  <si>
    <t>B4DSS8</t>
  </si>
  <si>
    <t>B4DT77</t>
  </si>
  <si>
    <t>B4DTA3</t>
  </si>
  <si>
    <t>B4DTC3</t>
  </si>
  <si>
    <t>B4DTZ6</t>
  </si>
  <si>
    <t>B4DUB9</t>
  </si>
  <si>
    <t>B4DUE3</t>
  </si>
  <si>
    <t>B4DUE9</t>
  </si>
  <si>
    <t>B4DVE7</t>
  </si>
  <si>
    <t>B4DVY1</t>
  </si>
  <si>
    <t>B4DW83</t>
  </si>
  <si>
    <t>B4DWI1</t>
  </si>
  <si>
    <t>B4DXN4</t>
  </si>
  <si>
    <t>B4DXZ6</t>
  </si>
  <si>
    <t>B4DYB4</t>
  </si>
  <si>
    <t>B4DYR1</t>
  </si>
  <si>
    <t>B4DYR7</t>
  </si>
  <si>
    <t>B4DZH6</t>
  </si>
  <si>
    <t>B4E0E3</t>
  </si>
  <si>
    <t>B4E0T2</t>
  </si>
  <si>
    <t>B4E1J0</t>
  </si>
  <si>
    <t>B4E1N1</t>
  </si>
  <si>
    <t>B4E1Q4</t>
  </si>
  <si>
    <t>B4E1S6</t>
  </si>
  <si>
    <t>B4E1Y1</t>
  </si>
  <si>
    <t>B4E241</t>
  </si>
  <si>
    <t>B4E2S7</t>
  </si>
  <si>
    <t>B4E2W0</t>
  </si>
  <si>
    <t>B4E2X3</t>
  </si>
  <si>
    <t>B4E3L3</t>
  </si>
  <si>
    <t>B5MBW9</t>
  </si>
  <si>
    <t>B5MBX0</t>
  </si>
  <si>
    <t>B5MBX2</t>
  </si>
  <si>
    <t>B5MC02</t>
  </si>
  <si>
    <t>B5MC51</t>
  </si>
  <si>
    <t>B5MC53</t>
  </si>
  <si>
    <t>B5MCA4</t>
  </si>
  <si>
    <t>B5MCF9</t>
  </si>
  <si>
    <t>B5MCT7</t>
  </si>
  <si>
    <t>B5MDE0</t>
  </si>
  <si>
    <t>B5MDU6</t>
  </si>
  <si>
    <t>B5ME25</t>
  </si>
  <si>
    <t>B5MEC7</t>
  </si>
  <si>
    <t>B7WP27</t>
  </si>
  <si>
    <t>B7WPE2</t>
  </si>
  <si>
    <t>B7WPL0</t>
  </si>
  <si>
    <t>B7Z202</t>
  </si>
  <si>
    <t>B7Z254</t>
  </si>
  <si>
    <t>B7Z291</t>
  </si>
  <si>
    <t>B7Z2Y5</t>
  </si>
  <si>
    <t>B7Z317</t>
  </si>
  <si>
    <t>B7Z3D5</t>
  </si>
  <si>
    <t>B7Z3I9</t>
  </si>
  <si>
    <t>B7Z463</t>
  </si>
  <si>
    <t>B7Z493</t>
  </si>
  <si>
    <t>B7Z4K6</t>
  </si>
  <si>
    <t>B7Z4R5</t>
  </si>
  <si>
    <t>B7Z4W5</t>
  </si>
  <si>
    <t>B7Z5W1</t>
  </si>
  <si>
    <t>B7Z662</t>
  </si>
  <si>
    <t>B7Z683</t>
  </si>
  <si>
    <t>B7Z6B6</t>
  </si>
  <si>
    <t>B7Z6B8</t>
  </si>
  <si>
    <t>B7Z6M4</t>
  </si>
  <si>
    <t>B7Z755</t>
  </si>
  <si>
    <t>B7Z7F3</t>
  </si>
  <si>
    <t>B7Z7H3</t>
  </si>
  <si>
    <t>B7Z7J3</t>
  </si>
  <si>
    <t>B7Z815</t>
  </si>
  <si>
    <t>B7Z817</t>
  </si>
  <si>
    <t>B7Z9I3</t>
  </si>
  <si>
    <t>B7Z9J4</t>
  </si>
  <si>
    <t>B7Z9S8</t>
  </si>
  <si>
    <t>B7ZAA0</t>
  </si>
  <si>
    <t>B7ZAX5</t>
  </si>
  <si>
    <t>B7ZBM3</t>
  </si>
  <si>
    <t>B7ZC38</t>
  </si>
  <si>
    <t>B7ZKK9</t>
  </si>
  <si>
    <t>B7ZKP8</t>
  </si>
  <si>
    <t>B7ZKQ9</t>
  </si>
  <si>
    <t>B7ZL82</t>
  </si>
  <si>
    <t>B7ZL88</t>
  </si>
  <si>
    <t>B7ZLX3</t>
  </si>
  <si>
    <t>B7ZLZ2</t>
  </si>
  <si>
    <t>B8X2Z3</t>
  </si>
  <si>
    <t>B8ZZ99</t>
  </si>
  <si>
    <t>B8ZZC7</t>
  </si>
  <si>
    <t>B8ZZF8</t>
  </si>
  <si>
    <t>B8ZZI5</t>
  </si>
  <si>
    <t>B8ZZN6</t>
  </si>
  <si>
    <t>B8ZZQ6</t>
  </si>
  <si>
    <t>B8ZZS2</t>
  </si>
  <si>
    <t>B8ZZU6</t>
  </si>
  <si>
    <t>B8ZZV9</t>
  </si>
  <si>
    <t>B8ZZY2</t>
  </si>
  <si>
    <t>B9A018</t>
  </si>
  <si>
    <t>B9A054</t>
  </si>
  <si>
    <t>B9A057</t>
  </si>
  <si>
    <t>B9A067</t>
  </si>
  <si>
    <t>B9ZVT1</t>
  </si>
  <si>
    <t>C0H5Y7</t>
  </si>
  <si>
    <t>C1IDX9</t>
  </si>
  <si>
    <t>C1P671</t>
  </si>
  <si>
    <t>C4AMC7</t>
  </si>
  <si>
    <t>C6G496</t>
  </si>
  <si>
    <t>C6GKU9</t>
  </si>
  <si>
    <t>C9IY40</t>
  </si>
  <si>
    <t>C9IYB5</t>
  </si>
  <si>
    <t>C9IZG4</t>
  </si>
  <si>
    <t>C9IZW8</t>
  </si>
  <si>
    <t>C9J0I9</t>
  </si>
  <si>
    <t>C9J0J0</t>
  </si>
  <si>
    <t>C9J0J7</t>
  </si>
  <si>
    <t>C9J0K6</t>
  </si>
  <si>
    <t>C9J167</t>
  </si>
  <si>
    <t>C9J1G2</t>
  </si>
  <si>
    <t>C9J1K8</t>
  </si>
  <si>
    <t>C9J212</t>
  </si>
  <si>
    <t>C9J240</t>
  </si>
  <si>
    <t>C9J2P0</t>
  </si>
  <si>
    <t>C9J2U4</t>
  </si>
  <si>
    <t>C9J2V2</t>
  </si>
  <si>
    <t>C9J2Y9</t>
  </si>
  <si>
    <t>C9J3D7</t>
  </si>
  <si>
    <t>C9J4K0</t>
  </si>
  <si>
    <t>C9J4T6</t>
  </si>
  <si>
    <t>C9J4Z3</t>
  </si>
  <si>
    <t>C9J5C3</t>
  </si>
  <si>
    <t>C9J5X1</t>
  </si>
  <si>
    <t>C9J652</t>
  </si>
  <si>
    <t>C9J712</t>
  </si>
  <si>
    <t>C9J8B8</t>
  </si>
  <si>
    <t>C9J8Q5</t>
  </si>
  <si>
    <t>C9J976</t>
  </si>
  <si>
    <t>C9J9K3</t>
  </si>
  <si>
    <t>C9JA07</t>
  </si>
  <si>
    <t>C9JA08</t>
  </si>
  <si>
    <t>C9JA28</t>
  </si>
  <si>
    <t>C9JA69</t>
  </si>
  <si>
    <t>C9JAB2</t>
  </si>
  <si>
    <t>C9JAB9</t>
  </si>
  <si>
    <t>C9JAX1</t>
  </si>
  <si>
    <t>C9JB13</t>
  </si>
  <si>
    <t>C9JB55</t>
  </si>
  <si>
    <t>C9JBA4</t>
  </si>
  <si>
    <t>C9JBL1</t>
  </si>
  <si>
    <t>C9JBT1</t>
  </si>
  <si>
    <t>C9JBY7</t>
  </si>
  <si>
    <t>C9JCC6</t>
  </si>
  <si>
    <t>C9JCN0</t>
  </si>
  <si>
    <t>C9JE12</t>
  </si>
  <si>
    <t>C9JE98</t>
  </si>
  <si>
    <t>C9JEZ4</t>
  </si>
  <si>
    <t>C9JFL1</t>
  </si>
  <si>
    <t>C9JFW7</t>
  </si>
  <si>
    <t>C9JG41</t>
  </si>
  <si>
    <t>C9JG97</t>
  </si>
  <si>
    <t>C9JGI3</t>
  </si>
  <si>
    <t>C9JI98</t>
  </si>
  <si>
    <t>C9JIF9</t>
  </si>
  <si>
    <t>C9JJZ8</t>
  </si>
  <si>
    <t>C9JK10</t>
  </si>
  <si>
    <t>C9JLU1</t>
  </si>
  <si>
    <t>C9JLV4</t>
  </si>
  <si>
    <t>C9JM82</t>
  </si>
  <si>
    <t>C9JME2</t>
  </si>
  <si>
    <t>C9JNE2</t>
  </si>
  <si>
    <t>C9JNJ4</t>
  </si>
  <si>
    <t>C9JNT3</t>
  </si>
  <si>
    <t>C9JP00</t>
  </si>
  <si>
    <t>C9JP16</t>
  </si>
  <si>
    <t>C9JPL0</t>
  </si>
  <si>
    <t>C9JPP2</t>
  </si>
  <si>
    <t>C9JQ41</t>
  </si>
  <si>
    <t>C9JQB1</t>
  </si>
  <si>
    <t>C9JQD4</t>
  </si>
  <si>
    <t>C9JQV3</t>
  </si>
  <si>
    <t>C9JR56</t>
  </si>
  <si>
    <t>C9JRY4</t>
  </si>
  <si>
    <t>C9JRZ6</t>
  </si>
  <si>
    <t>C9JS59</t>
  </si>
  <si>
    <t>C9JSZ2</t>
  </si>
  <si>
    <t>C9JUH5</t>
  </si>
  <si>
    <t>C9JVP0</t>
  </si>
  <si>
    <t>C9JWU9</t>
  </si>
  <si>
    <t>C9JYJ6</t>
  </si>
  <si>
    <t>C9JYM0</t>
  </si>
  <si>
    <t>C9JYN0</t>
  </si>
  <si>
    <t>C9JYY6</t>
  </si>
  <si>
    <t>C9JZB0</t>
  </si>
  <si>
    <t>C9JZI1</t>
  </si>
  <si>
    <t>C9JZP6</t>
  </si>
  <si>
    <t>C9JZR4</t>
  </si>
  <si>
    <t>C9JZY3</t>
  </si>
  <si>
    <t>C9JZY6</t>
  </si>
  <si>
    <t>C9K0J5</t>
  </si>
  <si>
    <t>D0UFD3</t>
  </si>
  <si>
    <t>D3DQV9</t>
  </si>
  <si>
    <t>D3DQZ6</t>
  </si>
  <si>
    <t>D3K174</t>
  </si>
  <si>
    <t>D3YTB1</t>
  </si>
  <si>
    <t>D3YTG6</t>
  </si>
  <si>
    <t>D3YTI9</t>
  </si>
  <si>
    <t>D6R938</t>
  </si>
  <si>
    <t>D6R9S4</t>
  </si>
  <si>
    <t>D6R9U7</t>
  </si>
  <si>
    <t>D6RAC5</t>
  </si>
  <si>
    <t>D6RAR3</t>
  </si>
  <si>
    <t>D6RB01</t>
  </si>
  <si>
    <t>D6RB34</t>
  </si>
  <si>
    <t>D6RBE0</t>
  </si>
  <si>
    <t>D6RBE3</t>
  </si>
  <si>
    <t>D6RBW1</t>
  </si>
  <si>
    <t>D6RCD0</t>
  </si>
  <si>
    <t>D6RCD9</t>
  </si>
  <si>
    <t>D6RDN0</t>
  </si>
  <si>
    <t>D6REA0</t>
  </si>
  <si>
    <t>D6REL0</t>
  </si>
  <si>
    <t>D6REL5</t>
  </si>
  <si>
    <t>D6REM4</t>
  </si>
  <si>
    <t>D6RER8</t>
  </si>
  <si>
    <t>D6REX3</t>
  </si>
  <si>
    <t>D6RF48</t>
  </si>
  <si>
    <t>D6RFG8</t>
  </si>
  <si>
    <t>D6RFX7</t>
  </si>
  <si>
    <t>D6RGI3</t>
  </si>
  <si>
    <t>D6RGK9</t>
  </si>
  <si>
    <t>D6RHD3</t>
  </si>
  <si>
    <t>D6RHI9</t>
  </si>
  <si>
    <t>D6RIE3</t>
  </si>
  <si>
    <t>D6RIU2</t>
  </si>
  <si>
    <t>D6RIZ4</t>
  </si>
  <si>
    <t>D6RJG8</t>
  </si>
  <si>
    <t>E1P5H9</t>
  </si>
  <si>
    <t>E2QRD0</t>
  </si>
  <si>
    <t>E2QRD5</t>
  </si>
  <si>
    <t>E2QRF9</t>
  </si>
  <si>
    <t>E5RFI2</t>
  </si>
  <si>
    <t>E5RFJ1</t>
  </si>
  <si>
    <t>E5RG17</t>
  </si>
  <si>
    <t>E5RG44</t>
  </si>
  <si>
    <t>E5RGQ3</t>
  </si>
  <si>
    <t>E5RGX5</t>
  </si>
  <si>
    <t>E5RGY0</t>
  </si>
  <si>
    <t>E5RHG8</t>
  </si>
  <si>
    <t>E5RHK8</t>
  </si>
  <si>
    <t>E5RHW0</t>
  </si>
  <si>
    <t>E5RHW4</t>
  </si>
  <si>
    <t>E5RI99</t>
  </si>
  <si>
    <t>E5RIH5</t>
  </si>
  <si>
    <t>E5RIP7</t>
  </si>
  <si>
    <t>E5RIQ9</t>
  </si>
  <si>
    <t>E5RIX2</t>
  </si>
  <si>
    <t>E5RJ26</t>
  </si>
  <si>
    <t>E5RJ99</t>
  </si>
  <si>
    <t>E5RJD2</t>
  </si>
  <si>
    <t>E5RJJ3</t>
  </si>
  <si>
    <t>E5RJM0</t>
  </si>
  <si>
    <t>E5RJR4</t>
  </si>
  <si>
    <t>E5RJR5</t>
  </si>
  <si>
    <t>E5RJS5</t>
  </si>
  <si>
    <t>E7EM50</t>
  </si>
  <si>
    <t>E7EM64</t>
  </si>
  <si>
    <t>E7EM95</t>
  </si>
  <si>
    <t>E7EMB8</t>
  </si>
  <si>
    <t>E7EMC6</t>
  </si>
  <si>
    <t>E7EMD6</t>
  </si>
  <si>
    <t>E7EMM4</t>
  </si>
  <si>
    <t>E7EMN6</t>
  </si>
  <si>
    <t>E7EMQ9</t>
  </si>
  <si>
    <t>E7EMX7</t>
  </si>
  <si>
    <t>E7EMZ9</t>
  </si>
  <si>
    <t>E7EN73</t>
  </si>
  <si>
    <t>E7EN86</t>
  </si>
  <si>
    <t>E7ENA9</t>
  </si>
  <si>
    <t>E7ENK0</t>
  </si>
  <si>
    <t>E7ENU4</t>
  </si>
  <si>
    <t>E7EP70</t>
  </si>
  <si>
    <t>E7EP87</t>
  </si>
  <si>
    <t>E7EPB3</t>
  </si>
  <si>
    <t>E7EPC6</t>
  </si>
  <si>
    <t>E7EPD0</t>
  </si>
  <si>
    <t>E7EPI0</t>
  </si>
  <si>
    <t>E7EPL4</t>
  </si>
  <si>
    <t>E7EPN9</t>
  </si>
  <si>
    <t>E7EPT4</t>
  </si>
  <si>
    <t>E7EPY1</t>
  </si>
  <si>
    <t>E7EQ69</t>
  </si>
  <si>
    <t>E7EQB2</t>
  </si>
  <si>
    <t>E7EQE7</t>
  </si>
  <si>
    <t>E7EQL6</t>
  </si>
  <si>
    <t>E7EQN5</t>
  </si>
  <si>
    <t>E7EQN6</t>
  </si>
  <si>
    <t>E7EQR8</t>
  </si>
  <si>
    <t>E7EQT4</t>
  </si>
  <si>
    <t>E7EQV9</t>
  </si>
  <si>
    <t>E7ER77</t>
  </si>
  <si>
    <t>E7ER81</t>
  </si>
  <si>
    <t>E7ERB7</t>
  </si>
  <si>
    <t>E7ERH3</t>
  </si>
  <si>
    <t>E7ERS3</t>
  </si>
  <si>
    <t>E7ES08</t>
  </si>
  <si>
    <t>E7ES35</t>
  </si>
  <si>
    <t>E7ES43</t>
  </si>
  <si>
    <t>E7ES96</t>
  </si>
  <si>
    <t>E7ESA8</t>
  </si>
  <si>
    <t>E7ESP4</t>
  </si>
  <si>
    <t>E7ESU4</t>
  </si>
  <si>
    <t>E7ESX1</t>
  </si>
  <si>
    <t>E7ESZ7</t>
  </si>
  <si>
    <t>E7ET15</t>
  </si>
  <si>
    <t>E7ETB3</t>
  </si>
  <si>
    <t>E7ETK0</t>
  </si>
  <si>
    <t>E7ETZ4</t>
  </si>
  <si>
    <t>E7EU23</t>
  </si>
  <si>
    <t>E7EU96</t>
  </si>
  <si>
    <t>E7EUE1</t>
  </si>
  <si>
    <t>E7EUL7</t>
  </si>
  <si>
    <t>E7EUM5</t>
  </si>
  <si>
    <t>E7EV46</t>
  </si>
  <si>
    <t>E7EV56</t>
  </si>
  <si>
    <t>E7EVA0</t>
  </si>
  <si>
    <t>E7EVC7</t>
  </si>
  <si>
    <t>E7EVJ5</t>
  </si>
  <si>
    <t>E7EVZ3</t>
  </si>
  <si>
    <t>E7EW05</t>
  </si>
  <si>
    <t>E7EW18</t>
  </si>
  <si>
    <t>E7EW20</t>
  </si>
  <si>
    <t>E7EW32</t>
  </si>
  <si>
    <t>E7EW69</t>
  </si>
  <si>
    <t>E7EW77</t>
  </si>
  <si>
    <t>E7EW84</t>
  </si>
  <si>
    <t>E7EWD6</t>
  </si>
  <si>
    <t>E7EWM3</t>
  </si>
  <si>
    <t>E7EWN3</t>
  </si>
  <si>
    <t>E7EWP0</t>
  </si>
  <si>
    <t>E7EWQ5</t>
  </si>
  <si>
    <t>E7EWX6</t>
  </si>
  <si>
    <t>E7EX01</t>
  </si>
  <si>
    <t>E7EX17</t>
  </si>
  <si>
    <t>E7EX59</t>
  </si>
  <si>
    <t>E7EX73</t>
  </si>
  <si>
    <t>E7EX90</t>
  </si>
  <si>
    <t>E9PAL9</t>
  </si>
  <si>
    <t>E9PAU2</t>
  </si>
  <si>
    <t>E9PAV9</t>
  </si>
  <si>
    <t>E9PB61</t>
  </si>
  <si>
    <t>E9PBP4</t>
  </si>
  <si>
    <t>E9PBR6</t>
  </si>
  <si>
    <t>E9PC62</t>
  </si>
  <si>
    <t>E9PC69</t>
  </si>
  <si>
    <t>E9PC74</t>
  </si>
  <si>
    <t>E9PCD7</t>
  </si>
  <si>
    <t>E9PCH4</t>
  </si>
  <si>
    <t>E9PCV0</t>
  </si>
  <si>
    <t>E9PCW1</t>
  </si>
  <si>
    <t>E9PD25</t>
  </si>
  <si>
    <t>E9PD90</t>
  </si>
  <si>
    <t>E9PDC3</t>
  </si>
  <si>
    <t>E9PDF6</t>
  </si>
  <si>
    <t>E9PDG9</t>
  </si>
  <si>
    <t>E9PEE8</t>
  </si>
  <si>
    <t>E9PEJ6</t>
  </si>
  <si>
    <t>E9PEN8</t>
  </si>
  <si>
    <t>E9PER1</t>
  </si>
  <si>
    <t>E9PER6</t>
  </si>
  <si>
    <t>E9PEZ3</t>
  </si>
  <si>
    <t>E9PF10</t>
  </si>
  <si>
    <t>E9PF16</t>
  </si>
  <si>
    <t>E9PF18</t>
  </si>
  <si>
    <t>E9PF19</t>
  </si>
  <si>
    <t>E9PF36</t>
  </si>
  <si>
    <t>E9PF74</t>
  </si>
  <si>
    <t>E9PFH7</t>
  </si>
  <si>
    <t>E9PFK9</t>
  </si>
  <si>
    <t>E9PFR3</t>
  </si>
  <si>
    <t>E9PG22</t>
  </si>
  <si>
    <t>E9PGC0</t>
  </si>
  <si>
    <t>E9PGT1</t>
  </si>
  <si>
    <t>E9PGT3</t>
  </si>
  <si>
    <t>E9PGW7</t>
  </si>
  <si>
    <t>E9PH18</t>
  </si>
  <si>
    <t>E9PH29</t>
  </si>
  <si>
    <t>E9PHF7</t>
  </si>
  <si>
    <t>E9PHG5</t>
  </si>
  <si>
    <t>E9PHH8</t>
  </si>
  <si>
    <t>E9PHY5</t>
  </si>
  <si>
    <t>E9PHY8</t>
  </si>
  <si>
    <t>E9PIB1</t>
  </si>
  <si>
    <t>E9PIE4</t>
  </si>
  <si>
    <t>E9PJ24</t>
  </si>
  <si>
    <t>E9PJ55</t>
  </si>
  <si>
    <t>E9PJ81</t>
  </si>
  <si>
    <t>E9PJD7</t>
  </si>
  <si>
    <t>E9PJK1</t>
  </si>
  <si>
    <t>E9PJM3</t>
  </si>
  <si>
    <t>E9PK01</t>
  </si>
  <si>
    <t>E9PK26</t>
  </si>
  <si>
    <t>E9PK91</t>
  </si>
  <si>
    <t>E9PKC0</t>
  </si>
  <si>
    <t>E9PKF3</t>
  </si>
  <si>
    <t>E9PKG1</t>
  </si>
  <si>
    <t>E9PKP7</t>
  </si>
  <si>
    <t>E9PKT4</t>
  </si>
  <si>
    <t>E9PKV2</t>
  </si>
  <si>
    <t>E9PKV8</t>
  </si>
  <si>
    <t>E9PL10</t>
  </si>
  <si>
    <t>E9PL17</t>
  </si>
  <si>
    <t>E9PL33</t>
  </si>
  <si>
    <t>E9PL57</t>
  </si>
  <si>
    <t>E9PLK3</t>
  </si>
  <si>
    <t>E9PLL6</t>
  </si>
  <si>
    <t>E9PM46</t>
  </si>
  <si>
    <t>E9PM92</t>
  </si>
  <si>
    <t>E9PMH5</t>
  </si>
  <si>
    <t>E9PMI6</t>
  </si>
  <si>
    <t>E9PMJ2</t>
  </si>
  <si>
    <t>E9PML6</t>
  </si>
  <si>
    <t>E9PMR4</t>
  </si>
  <si>
    <t>E9PMR6</t>
  </si>
  <si>
    <t>E9PMS5</t>
  </si>
  <si>
    <t>E9PMS6</t>
  </si>
  <si>
    <t>E9PN48</t>
  </si>
  <si>
    <t>E9PND3</t>
  </si>
  <si>
    <t>E9PNL8</t>
  </si>
  <si>
    <t>E9PNQ6</t>
  </si>
  <si>
    <t>E9PNT2</t>
  </si>
  <si>
    <t>E9PNW4</t>
  </si>
  <si>
    <t>E9PPT7</t>
  </si>
  <si>
    <t>E9PPY3</t>
  </si>
  <si>
    <t>E9PQL5</t>
  </si>
  <si>
    <t>E9PQY2</t>
  </si>
  <si>
    <t>E9PR30</t>
  </si>
  <si>
    <t>E9PR76</t>
  </si>
  <si>
    <t>E9PRM7</t>
  </si>
  <si>
    <t>E9PRR8</t>
  </si>
  <si>
    <t>E9PRY8</t>
  </si>
  <si>
    <t>E9PS17</t>
  </si>
  <si>
    <t>E9PSB8</t>
  </si>
  <si>
    <t>E9PSI1</t>
  </si>
  <si>
    <t>F2Z2I2</t>
  </si>
  <si>
    <t>F2Z2U8</t>
  </si>
  <si>
    <t>F2Z2V1</t>
  </si>
  <si>
    <t>F2Z2W7</t>
  </si>
  <si>
    <t>F2Z2X4</t>
  </si>
  <si>
    <t>F2Z384</t>
  </si>
  <si>
    <t>F5GWD3</t>
  </si>
  <si>
    <t>F5GWH5</t>
  </si>
  <si>
    <t>F5GWI9</t>
  </si>
  <si>
    <t>F5GWP8</t>
  </si>
  <si>
    <t>F5GWS3</t>
  </si>
  <si>
    <t>F5GWT4</t>
  </si>
  <si>
    <t>F5GWX5</t>
  </si>
  <si>
    <t>F5GWY5</t>
  </si>
  <si>
    <t>F5GX09</t>
  </si>
  <si>
    <t>F5GX28</t>
  </si>
  <si>
    <t>F5GX82</t>
  </si>
  <si>
    <t>F5GXC8</t>
  </si>
  <si>
    <t>F5GXE4</t>
  </si>
  <si>
    <t>F5GXF0</t>
  </si>
  <si>
    <t>F5GXK8</t>
  </si>
  <si>
    <t>F5GXX5</t>
  </si>
  <si>
    <t>F5GXY5</t>
  </si>
  <si>
    <t>F5GY56</t>
  </si>
  <si>
    <t>F5GY92</t>
  </si>
  <si>
    <t>F5GY98</t>
  </si>
  <si>
    <t>F5GY99</t>
  </si>
  <si>
    <t>F5GYJ5</t>
  </si>
  <si>
    <t>F5GYN4</t>
  </si>
  <si>
    <t>F5GYQ1</t>
  </si>
  <si>
    <t>F5GYV3</t>
  </si>
  <si>
    <t>F5GZ78</t>
  </si>
  <si>
    <t>F5GZH3</t>
  </si>
  <si>
    <t>F5GZS0</t>
  </si>
  <si>
    <t>F5GZS6</t>
  </si>
  <si>
    <t>F5GZX9</t>
  </si>
  <si>
    <t>F5GZZ0</t>
  </si>
  <si>
    <t>F5H012</t>
  </si>
  <si>
    <t>F5H0B0</t>
  </si>
  <si>
    <t>F5H0F9</t>
  </si>
  <si>
    <t>F5H0I3</t>
  </si>
  <si>
    <t>F5H0L8</t>
  </si>
  <si>
    <t>F5H0Q6</t>
  </si>
  <si>
    <t>F5H144</t>
  </si>
  <si>
    <t>F5H148</t>
  </si>
  <si>
    <t>F5H170</t>
  </si>
  <si>
    <t>F5H1G9</t>
  </si>
  <si>
    <t>F5H1I4</t>
  </si>
  <si>
    <t>F5H1L4</t>
  </si>
  <si>
    <t>F5H1N7</t>
  </si>
  <si>
    <t>F5H1R7</t>
  </si>
  <si>
    <t>F5H1X8</t>
  </si>
  <si>
    <t>F5H1Y4</t>
  </si>
  <si>
    <t>F5H1Z6</t>
  </si>
  <si>
    <t>F5H211</t>
  </si>
  <si>
    <t>F5H232</t>
  </si>
  <si>
    <t>F5H2H5</t>
  </si>
  <si>
    <t>F5H2J3</t>
  </si>
  <si>
    <t>F5H2Q7</t>
  </si>
  <si>
    <t>F5H2S7</t>
  </si>
  <si>
    <t>F5H2U2</t>
  </si>
  <si>
    <t>F5H315</t>
  </si>
  <si>
    <t>F5H365</t>
  </si>
  <si>
    <t>F5H3Q5</t>
  </si>
  <si>
    <t>F5H4G7</t>
  </si>
  <si>
    <t>F5H4H2</t>
  </si>
  <si>
    <t>F5H4V9</t>
  </si>
  <si>
    <t>F5H562</t>
  </si>
  <si>
    <t>F5H569</t>
  </si>
  <si>
    <t>F5H577</t>
  </si>
  <si>
    <t>F5H5D3</t>
  </si>
  <si>
    <t>F5H5I6</t>
  </si>
  <si>
    <t>F5H5M7</t>
  </si>
  <si>
    <t>F5H5N0</t>
  </si>
  <si>
    <t>F5H5N1</t>
  </si>
  <si>
    <t>F5H5P2</t>
  </si>
  <si>
    <t>F5H5R8</t>
  </si>
  <si>
    <t>F5H604</t>
  </si>
  <si>
    <t>F5H607</t>
  </si>
  <si>
    <t>F5H620</t>
  </si>
  <si>
    <t>F5H698</t>
  </si>
  <si>
    <t>F5H6G7</t>
  </si>
  <si>
    <t>F5H6U2</t>
  </si>
  <si>
    <t>F5H702</t>
  </si>
  <si>
    <t>F5H721</t>
  </si>
  <si>
    <t>F5H7C4</t>
  </si>
  <si>
    <t>F5H7F6</t>
  </si>
  <si>
    <t>F5H7I4</t>
  </si>
  <si>
    <t>F5H7K2</t>
  </si>
  <si>
    <t>F5H7N9</t>
  </si>
  <si>
    <t>F5H7T0</t>
  </si>
  <si>
    <t>F5H7Z9</t>
  </si>
  <si>
    <t>F5H801</t>
  </si>
  <si>
    <t>F5H860</t>
  </si>
  <si>
    <t>F5H872</t>
  </si>
  <si>
    <t>F5H877</t>
  </si>
  <si>
    <t>F5H897</t>
  </si>
  <si>
    <t>F5H8D7</t>
  </si>
  <si>
    <t>F5H8H2</t>
  </si>
  <si>
    <t>F5H8L0</t>
  </si>
  <si>
    <t>F5H8L4</t>
  </si>
  <si>
    <t>F6PQP6</t>
  </si>
  <si>
    <t>F6RIS4</t>
  </si>
  <si>
    <t>F6RY50</t>
  </si>
  <si>
    <t>F6TQG2</t>
  </si>
  <si>
    <t>F6U1F2</t>
  </si>
  <si>
    <t>F6U1T9</t>
  </si>
  <si>
    <t>F6UJY9</t>
  </si>
  <si>
    <t>F6V707</t>
  </si>
  <si>
    <t>F6XY72</t>
  </si>
  <si>
    <t>F8VP89</t>
  </si>
  <si>
    <t>F8VPD4</t>
  </si>
  <si>
    <t>F8VQ10</t>
  </si>
  <si>
    <t>F8VQ19</t>
  </si>
  <si>
    <t>F8VQD4</t>
  </si>
  <si>
    <t>F8VQY2</t>
  </si>
  <si>
    <t>F8VQZ7</t>
  </si>
  <si>
    <t>F8VRE8</t>
  </si>
  <si>
    <t>F8VS78</t>
  </si>
  <si>
    <t>F8VSL3</t>
  </si>
  <si>
    <t>F8VSZ4</t>
  </si>
  <si>
    <t>F8VU90</t>
  </si>
  <si>
    <t>F8VUW5</t>
  </si>
  <si>
    <t>F8VV52</t>
  </si>
  <si>
    <t>F8VV56</t>
  </si>
  <si>
    <t>F8VVA7</t>
  </si>
  <si>
    <t>F8VW41</t>
  </si>
  <si>
    <t>F8VW96</t>
  </si>
  <si>
    <t>F8VWA6</t>
  </si>
  <si>
    <t>F8VWA9</t>
  </si>
  <si>
    <t>F8VX04</t>
  </si>
  <si>
    <t>F8VXG7</t>
  </si>
  <si>
    <t>F8VY35</t>
  </si>
  <si>
    <t>F8VYN9</t>
  </si>
  <si>
    <t>F8VZA2</t>
  </si>
  <si>
    <t>F8VZJ2</t>
  </si>
  <si>
    <t>F8W031</t>
  </si>
  <si>
    <t>F8W038</t>
  </si>
  <si>
    <t>F8W0Q9</t>
  </si>
  <si>
    <t>F8W1P7</t>
  </si>
  <si>
    <t>F8W1Q3</t>
  </si>
  <si>
    <t>F8W689</t>
  </si>
  <si>
    <t>F8W6I7</t>
  </si>
  <si>
    <t>F8W726</t>
  </si>
  <si>
    <t>F8W785</t>
  </si>
  <si>
    <t>F8W7D0</t>
  </si>
  <si>
    <t>F8W7D6</t>
  </si>
  <si>
    <t>F8W7Q4</t>
  </si>
  <si>
    <t>F8W810</t>
  </si>
  <si>
    <t>F8W8C2</t>
  </si>
  <si>
    <t>F8W8D3</t>
  </si>
  <si>
    <t>F8W8D8</t>
  </si>
  <si>
    <t>F8W8E4</t>
  </si>
  <si>
    <t>F8W8H5</t>
  </si>
  <si>
    <t>F8W8I6</t>
  </si>
  <si>
    <t>F8W8M9</t>
  </si>
  <si>
    <t>F8W8P5</t>
  </si>
  <si>
    <t>F8W8Q9</t>
  </si>
  <si>
    <t>F8W930</t>
  </si>
  <si>
    <t>F8W946</t>
  </si>
  <si>
    <t>F8W998</t>
  </si>
  <si>
    <t>F8W9F9</t>
  </si>
  <si>
    <t>F8W9I9</t>
  </si>
  <si>
    <t>F8W9Q9</t>
  </si>
  <si>
    <t>F8W9R9</t>
  </si>
  <si>
    <t>F8W9X7</t>
  </si>
  <si>
    <t>F8WAB8</t>
  </si>
  <si>
    <t>F8WAD8</t>
  </si>
  <si>
    <t>F8WAK8</t>
  </si>
  <si>
    <t>F8WB74</t>
  </si>
  <si>
    <t>F8WBK5</t>
  </si>
  <si>
    <t>F8WBV7</t>
  </si>
  <si>
    <t>F8WBY6</t>
  </si>
  <si>
    <t>F8WC89</t>
  </si>
  <si>
    <t>F8WCF2</t>
  </si>
  <si>
    <t>F8WCP6</t>
  </si>
  <si>
    <t>F8WCT2</t>
  </si>
  <si>
    <t>F8WD04</t>
  </si>
  <si>
    <t>F8WE42</t>
  </si>
  <si>
    <t>F8WE91</t>
  </si>
  <si>
    <t>F8WEA9</t>
  </si>
  <si>
    <t>F8WEE4</t>
  </si>
  <si>
    <t>F8WF48</t>
  </si>
  <si>
    <t>F8WF93</t>
  </si>
  <si>
    <t>G3V0I5</t>
  </si>
  <si>
    <t>G3V0I6</t>
  </si>
  <si>
    <t>G3V145</t>
  </si>
  <si>
    <t>G3V1A6</t>
  </si>
  <si>
    <t>G3V1D3</t>
  </si>
  <si>
    <t>G3V1K3</t>
  </si>
  <si>
    <t>G3V1P3</t>
  </si>
  <si>
    <t>G3V1R9</t>
  </si>
  <si>
    <t>G3V1U0</t>
  </si>
  <si>
    <t>G3V1U5</t>
  </si>
  <si>
    <t>G3V1V1</t>
  </si>
  <si>
    <t>G3V203</t>
  </si>
  <si>
    <t>G3V207</t>
  </si>
  <si>
    <t>G3V238</t>
  </si>
  <si>
    <t>G3V2F7</t>
  </si>
  <si>
    <t>G3V2U7</t>
  </si>
  <si>
    <t>G3V325</t>
  </si>
  <si>
    <t>G3V379</t>
  </si>
  <si>
    <t>G3V394</t>
  </si>
  <si>
    <t>G3V3D2</t>
  </si>
  <si>
    <t>G3V3G9</t>
  </si>
  <si>
    <t>G3V3I4</t>
  </si>
  <si>
    <t>G3V4E1</t>
  </si>
  <si>
    <t>G3V4K3</t>
  </si>
  <si>
    <t>G3V4W0</t>
  </si>
  <si>
    <t>G3V529</t>
  </si>
  <si>
    <t>G3V583</t>
  </si>
  <si>
    <t>G3V599</t>
  </si>
  <si>
    <t>G3V5E1</t>
  </si>
  <si>
    <t>G3V5N8</t>
  </si>
  <si>
    <t>G3V5T0</t>
  </si>
  <si>
    <t>G3V5T9</t>
  </si>
  <si>
    <t>G3V5W1</t>
  </si>
  <si>
    <t>G3V5Z7</t>
  </si>
  <si>
    <t>G3XA81</t>
  </si>
  <si>
    <t>G3XAA0</t>
  </si>
  <si>
    <t>G3XAA2</t>
  </si>
  <si>
    <t>G3XAB3</t>
  </si>
  <si>
    <t>G3XAC1</t>
  </si>
  <si>
    <t>G3XAD5</t>
  </si>
  <si>
    <t>G3XAH6</t>
  </si>
  <si>
    <t>G3XAI2</t>
  </si>
  <si>
    <t>G3XAN4</t>
  </si>
  <si>
    <t>G3XAN8</t>
  </si>
  <si>
    <t>G5E933</t>
  </si>
  <si>
    <t>G5E975</t>
  </si>
  <si>
    <t>G5E994</t>
  </si>
  <si>
    <t>G5E9A6</t>
  </si>
  <si>
    <t>G5E9E7</t>
  </si>
  <si>
    <t>G5E9P3</t>
  </si>
  <si>
    <t>G5E9V4</t>
  </si>
  <si>
    <t>G5EA07</t>
  </si>
  <si>
    <t>G5EA30</t>
  </si>
  <si>
    <t>G8JL95</t>
  </si>
  <si>
    <t>G8JL98</t>
  </si>
  <si>
    <t>G8JLB3</t>
  </si>
  <si>
    <t>G8JLB6</t>
  </si>
  <si>
    <t>G8JLC4</t>
  </si>
  <si>
    <t>G8JLI5</t>
  </si>
  <si>
    <t>G8JLI6</t>
  </si>
  <si>
    <t>G8JLK4</t>
  </si>
  <si>
    <t>G8JLL2</t>
  </si>
  <si>
    <t>G8JLL7</t>
  </si>
  <si>
    <t>G8JLM6</t>
  </si>
  <si>
    <t>G8JLQ3</t>
  </si>
  <si>
    <t>H0UI80</t>
  </si>
  <si>
    <t>H0Y2S9</t>
  </si>
  <si>
    <t>H0Y327</t>
  </si>
  <si>
    <t>H0Y360</t>
  </si>
  <si>
    <t>H0Y362</t>
  </si>
  <si>
    <t>H0Y3H2</t>
  </si>
  <si>
    <t>H0Y412</t>
  </si>
  <si>
    <t>H0Y4G9</t>
  </si>
  <si>
    <t>H0Y4W2</t>
  </si>
  <si>
    <t>H0Y4Y2</t>
  </si>
  <si>
    <t>H0Y530</t>
  </si>
  <si>
    <t>H0Y5D5</t>
  </si>
  <si>
    <t>H0Y614</t>
  </si>
  <si>
    <t>H0Y627</t>
  </si>
  <si>
    <t>H0Y6A0</t>
  </si>
  <si>
    <t>H0Y6I7</t>
  </si>
  <si>
    <t>H0Y6J0</t>
  </si>
  <si>
    <t>H0Y6K2</t>
  </si>
  <si>
    <t>H0Y6K5</t>
  </si>
  <si>
    <t>H0Y742</t>
  </si>
  <si>
    <t>H0Y7A7</t>
  </si>
  <si>
    <t>H0Y7S3</t>
  </si>
  <si>
    <t>H0Y7X5</t>
  </si>
  <si>
    <t>H0Y858</t>
  </si>
  <si>
    <t>H0Y882</t>
  </si>
  <si>
    <t>H0Y8C3</t>
  </si>
  <si>
    <t>H0Y8D0</t>
  </si>
  <si>
    <t>H0Y9D6</t>
  </si>
  <si>
    <t>H0Y9T8</t>
  </si>
  <si>
    <t>H0Y9X1</t>
  </si>
  <si>
    <t>H0YA52</t>
  </si>
  <si>
    <t>H0YA80</t>
  </si>
  <si>
    <t>H0YAV1</t>
  </si>
  <si>
    <t>H0YB73</t>
  </si>
  <si>
    <t>H0YBC7</t>
  </si>
  <si>
    <t>H0YBI6</t>
  </si>
  <si>
    <t>H0YBN0</t>
  </si>
  <si>
    <t>H0YBP1</t>
  </si>
  <si>
    <t>H0YBR0</t>
  </si>
  <si>
    <t>H0YBR2</t>
  </si>
  <si>
    <t>H0YBZ2</t>
  </si>
  <si>
    <t>H0YCY4</t>
  </si>
  <si>
    <t>H0YD93</t>
  </si>
  <si>
    <t>H0YDK9</t>
  </si>
  <si>
    <t>H0YDQ8</t>
  </si>
  <si>
    <t>H0YDU8</t>
  </si>
  <si>
    <t>H0YEB6</t>
  </si>
  <si>
    <t>H0YEF3</t>
  </si>
  <si>
    <t>H0YEM6</t>
  </si>
  <si>
    <t>H0YEP0</t>
  </si>
  <si>
    <t>H0YEP5</t>
  </si>
  <si>
    <t>H0YGA7</t>
  </si>
  <si>
    <t>H0YGF8</t>
  </si>
  <si>
    <t>H0YGR4</t>
  </si>
  <si>
    <t>H0YGW5</t>
  </si>
  <si>
    <t>H0YHG0</t>
  </si>
  <si>
    <t>H0YI09</t>
  </si>
  <si>
    <t>H0YI20</t>
  </si>
  <si>
    <t>H0YIE9</t>
  </si>
  <si>
    <t>H0YIV9</t>
  </si>
  <si>
    <t>H0YJ17</t>
  </si>
  <si>
    <t>H0YK61</t>
  </si>
  <si>
    <t>H0YKD8</t>
  </si>
  <si>
    <t>H0YKG9</t>
  </si>
  <si>
    <t>H0YL70</t>
  </si>
  <si>
    <t>H0YLB5</t>
  </si>
  <si>
    <t>H0YLX2</t>
  </si>
  <si>
    <t>H0YMB3</t>
  </si>
  <si>
    <t>H0YMG7</t>
  </si>
  <si>
    <t>H0YMI6</t>
  </si>
  <si>
    <t>H0YMJ0</t>
  </si>
  <si>
    <t>H0YN78</t>
  </si>
  <si>
    <t>H0YNB6</t>
  </si>
  <si>
    <t>H0YNE9</t>
  </si>
  <si>
    <t>H0YNG3</t>
  </si>
  <si>
    <t>H0YNH6</t>
  </si>
  <si>
    <t>H0YNH8</t>
  </si>
  <si>
    <t>H0YNU5</t>
  </si>
  <si>
    <t>H3BLV0</t>
  </si>
  <si>
    <t>H3BLZ2</t>
  </si>
  <si>
    <t>H3BLZ8</t>
  </si>
  <si>
    <t>H3BM14</t>
  </si>
  <si>
    <t>H3BM42</t>
  </si>
  <si>
    <t>H3BM67</t>
  </si>
  <si>
    <t>H3BM91</t>
  </si>
  <si>
    <t>H3BMF4</t>
  </si>
  <si>
    <t>H3BMM5</t>
  </si>
  <si>
    <t>H3BMN1</t>
  </si>
  <si>
    <t>H3BMQ0</t>
  </si>
  <si>
    <t>H3BN98</t>
  </si>
  <si>
    <t>H3BNT4</t>
  </si>
  <si>
    <t>H3BP13</t>
  </si>
  <si>
    <t>H3BP20</t>
  </si>
  <si>
    <t>H3BP28</t>
  </si>
  <si>
    <t>H3BP77</t>
  </si>
  <si>
    <t>H3BPE1</t>
  </si>
  <si>
    <t>H3BPJ7</t>
  </si>
  <si>
    <t>H3BPL0</t>
  </si>
  <si>
    <t>H3BPS8</t>
  </si>
  <si>
    <t>H3BQA0</t>
  </si>
  <si>
    <t>H3BQA7</t>
  </si>
  <si>
    <t>H3BQQ9</t>
  </si>
  <si>
    <t>H3BQT8</t>
  </si>
  <si>
    <t>H3BQV3</t>
  </si>
  <si>
    <t>H3BR01</t>
  </si>
  <si>
    <t>H3BR94</t>
  </si>
  <si>
    <t>H3BRF9</t>
  </si>
  <si>
    <t>H3BRL3</t>
  </si>
  <si>
    <t>H3BRN4</t>
  </si>
  <si>
    <t>H3BRS1</t>
  </si>
  <si>
    <t>H3BRU1</t>
  </si>
  <si>
    <t>H3BRV0</t>
  </si>
  <si>
    <t>H3BRY6</t>
  </si>
  <si>
    <t>H3BS09</t>
  </si>
  <si>
    <t>H3BS42</t>
  </si>
  <si>
    <t>H3BS64</t>
  </si>
  <si>
    <t>H3BSM5</t>
  </si>
  <si>
    <t>H3BSM7</t>
  </si>
  <si>
    <t>H3BST1</t>
  </si>
  <si>
    <t>H3BSW6</t>
  </si>
  <si>
    <t>H3BTL1</t>
  </si>
  <si>
    <t>H3BTN5</t>
  </si>
  <si>
    <t>H3BTQ7</t>
  </si>
  <si>
    <t>H3BTX0</t>
  </si>
  <si>
    <t>H3BU23</t>
  </si>
  <si>
    <t>H3BU49</t>
  </si>
  <si>
    <t>H3BUJ1</t>
  </si>
  <si>
    <t>H3BUQ2</t>
  </si>
  <si>
    <t>H3BV80</t>
  </si>
  <si>
    <t>H3BVI4</t>
  </si>
  <si>
    <t>H6UMI1</t>
  </si>
  <si>
    <t>H7BXD5</t>
  </si>
  <si>
    <t>H7BXF5</t>
  </si>
  <si>
    <t>H7BXH2</t>
  </si>
  <si>
    <t>H7BXH9</t>
  </si>
  <si>
    <t>H7BXI1</t>
  </si>
  <si>
    <t>H7BXI5</t>
  </si>
  <si>
    <t>H7BXL1</t>
  </si>
  <si>
    <t>H7BXW7</t>
  </si>
  <si>
    <t>H7BXY3</t>
  </si>
  <si>
    <t>H7BY58</t>
  </si>
  <si>
    <t>H7BYE5</t>
  </si>
  <si>
    <t>H7BYJ1</t>
  </si>
  <si>
    <t>H7BYQ6</t>
  </si>
  <si>
    <t>H7BYY1</t>
  </si>
  <si>
    <t>H7BZ70</t>
  </si>
  <si>
    <t>H7BZ94</t>
  </si>
  <si>
    <t>H7BZJ3</t>
  </si>
  <si>
    <t>H7BZT4</t>
  </si>
  <si>
    <t>H7C024</t>
  </si>
  <si>
    <t>H7C091</t>
  </si>
  <si>
    <t>H7C0G7</t>
  </si>
  <si>
    <t>H7C0J0</t>
  </si>
  <si>
    <t>H7C0N4</t>
  </si>
  <si>
    <t>H7C107</t>
  </si>
  <si>
    <t>H7C155</t>
  </si>
  <si>
    <t>H7C173</t>
  </si>
  <si>
    <t>H7C1F9</t>
  </si>
  <si>
    <t>H7C1I0</t>
  </si>
  <si>
    <t>H7C1N3</t>
  </si>
  <si>
    <t>H7C1U3</t>
  </si>
  <si>
    <t>H7C1U8</t>
  </si>
  <si>
    <t>H7C270</t>
  </si>
  <si>
    <t>H7C285</t>
  </si>
  <si>
    <t>H7C2U6</t>
  </si>
  <si>
    <t>H7C2W9</t>
  </si>
  <si>
    <t>H7C368</t>
  </si>
  <si>
    <t>H7C3G9</t>
  </si>
  <si>
    <t>H7C3P4</t>
  </si>
  <si>
    <t>H7C3Q6</t>
  </si>
  <si>
    <t>H7C3T2</t>
  </si>
  <si>
    <t>H7C3Z1</t>
  </si>
  <si>
    <t>H7C417</t>
  </si>
  <si>
    <t>H7C446</t>
  </si>
  <si>
    <t>H7C484</t>
  </si>
  <si>
    <t>H7C4K1</t>
  </si>
  <si>
    <t>H7C4W1</t>
  </si>
  <si>
    <t>H7C4X9</t>
  </si>
  <si>
    <t>H7C5F7</t>
  </si>
  <si>
    <t>H7C5G1</t>
  </si>
  <si>
    <t>H7C5R4</t>
  </si>
  <si>
    <t>H7C5R8</t>
  </si>
  <si>
    <t>H9KV70</t>
  </si>
  <si>
    <t>H9KVB4</t>
  </si>
  <si>
    <t>H9KVB8</t>
  </si>
  <si>
    <t>I3L097</t>
  </si>
  <si>
    <t>I3L0B8</t>
  </si>
  <si>
    <t>I3L0C1</t>
  </si>
  <si>
    <t>I3L0K1</t>
  </si>
  <si>
    <t>I3L0N3</t>
  </si>
  <si>
    <t>I3L112</t>
  </si>
  <si>
    <t>I3L1H5</t>
  </si>
  <si>
    <t>I3L1P8</t>
  </si>
  <si>
    <t>I3L1Q3</t>
  </si>
  <si>
    <t>I3L2C7</t>
  </si>
  <si>
    <t>I3L2H2</t>
  </si>
  <si>
    <t>I3L2J0</t>
  </si>
  <si>
    <t>I3L2J8</t>
  </si>
  <si>
    <t>I3L2L5</t>
  </si>
  <si>
    <t>I3L2R4</t>
  </si>
  <si>
    <t>I3L397</t>
  </si>
  <si>
    <t>I3L3A8</t>
  </si>
  <si>
    <t>I3L3B4</t>
  </si>
  <si>
    <t>I3L3P7</t>
  </si>
  <si>
    <t>I3L448</t>
  </si>
  <si>
    <t>I3L4B1</t>
  </si>
  <si>
    <t>I3L4X2</t>
  </si>
  <si>
    <t>I3L4X3</t>
  </si>
  <si>
    <t>I3L505</t>
  </si>
  <si>
    <t>I3NI03</t>
  </si>
  <si>
    <t>I6L8B7</t>
  </si>
  <si>
    <t>J3KMW8</t>
  </si>
  <si>
    <t>J3KMX2</t>
  </si>
  <si>
    <t>J3KMY5</t>
  </si>
  <si>
    <t>J3KMZ8</t>
  </si>
  <si>
    <t>J3KMZ9</t>
  </si>
  <si>
    <t>J3KN00</t>
  </si>
  <si>
    <t>J3KN16</t>
  </si>
  <si>
    <t>J3KN27</t>
  </si>
  <si>
    <t>J3KN29</t>
  </si>
  <si>
    <t>J3KN32</t>
  </si>
  <si>
    <t>J3KN39</t>
  </si>
  <si>
    <t>J3KN59</t>
  </si>
  <si>
    <t>J3KN66</t>
  </si>
  <si>
    <t>J3KN67</t>
  </si>
  <si>
    <t>J3KN69</t>
  </si>
  <si>
    <t>J3KN75</t>
  </si>
  <si>
    <t>J3KN82</t>
  </si>
  <si>
    <t>J3KNA0</t>
  </si>
  <si>
    <t>J3KNB8</t>
  </si>
  <si>
    <t>J3KND1</t>
  </si>
  <si>
    <t>J3KND3</t>
  </si>
  <si>
    <t>J3KND8</t>
  </si>
  <si>
    <t>J3KNF4</t>
  </si>
  <si>
    <t>J3KNF8</t>
  </si>
  <si>
    <t>J3KNI1</t>
  </si>
  <si>
    <t>J3KNL3</t>
  </si>
  <si>
    <t>J3KNL6</t>
  </si>
  <si>
    <t>J3KNM5</t>
  </si>
  <si>
    <t>J3KNN5</t>
  </si>
  <si>
    <t>J3KNP4</t>
  </si>
  <si>
    <t>J3KNR0</t>
  </si>
  <si>
    <t>J3KNT4</t>
  </si>
  <si>
    <t>J3KNV1</t>
  </si>
  <si>
    <t>J3KNW7</t>
  </si>
  <si>
    <t>J3KNX9</t>
  </si>
  <si>
    <t>J3KP19</t>
  </si>
  <si>
    <t>J3KP22</t>
  </si>
  <si>
    <t>J3KP75</t>
  </si>
  <si>
    <t>J3KPD3</t>
  </si>
  <si>
    <t>J3KPF9</t>
  </si>
  <si>
    <t>J3KPH8</t>
  </si>
  <si>
    <t>J3KPJ3</t>
  </si>
  <si>
    <t>J3KPL2</t>
  </si>
  <si>
    <t>J3KPS0</t>
  </si>
  <si>
    <t>J3KPT0</t>
  </si>
  <si>
    <t>J3KPT4</t>
  </si>
  <si>
    <t>J3KPV1</t>
  </si>
  <si>
    <t>J3KPV7</t>
  </si>
  <si>
    <t>J3KPW7</t>
  </si>
  <si>
    <t>J3KPY9</t>
  </si>
  <si>
    <t>J3KPZ4</t>
  </si>
  <si>
    <t>J3KPZ8</t>
  </si>
  <si>
    <t>J3KQ32</t>
  </si>
  <si>
    <t>J3KQ34</t>
  </si>
  <si>
    <t>J3KQ40</t>
  </si>
  <si>
    <t>J3KQ48</t>
  </si>
  <si>
    <t>J3KQ88</t>
  </si>
  <si>
    <t>J3KQ98</t>
  </si>
  <si>
    <t>J3KQA0</t>
  </si>
  <si>
    <t>J3KQA6</t>
  </si>
  <si>
    <t>J3KQB0</t>
  </si>
  <si>
    <t>J3KQE0</t>
  </si>
  <si>
    <t>J3KQE5</t>
  </si>
  <si>
    <t>J3KQG4</t>
  </si>
  <si>
    <t>J3KQJ1</t>
  </si>
  <si>
    <t>J3KQL8</t>
  </si>
  <si>
    <t>J3KQS6</t>
  </si>
  <si>
    <t>J3KQV0</t>
  </si>
  <si>
    <t>J3KR33</t>
  </si>
  <si>
    <t>J3KR35</t>
  </si>
  <si>
    <t>J3KR86</t>
  </si>
  <si>
    <t>J3KR97</t>
  </si>
  <si>
    <t>J3KRC8</t>
  </si>
  <si>
    <t>J3KRG2</t>
  </si>
  <si>
    <t>J3KRP6</t>
  </si>
  <si>
    <t>J3KS05</t>
  </si>
  <si>
    <t>J3KS15</t>
  </si>
  <si>
    <t>J3KS94</t>
  </si>
  <si>
    <t>J3KSJ7</t>
  </si>
  <si>
    <t>J3KSS7</t>
  </si>
  <si>
    <t>J3KTA1</t>
  </si>
  <si>
    <t>J3KTA4</t>
  </si>
  <si>
    <t>J3KTD2</t>
  </si>
  <si>
    <t>J3KTE9</t>
  </si>
  <si>
    <t>J3KTL2</t>
  </si>
  <si>
    <t>J3QK89</t>
  </si>
  <si>
    <t>J3QK90</t>
  </si>
  <si>
    <t>J3QKS7</t>
  </si>
  <si>
    <t>J3QL56</t>
  </si>
  <si>
    <t>J3QL71</t>
  </si>
  <si>
    <t>J3QLB2</t>
  </si>
  <si>
    <t>J3QLM0</t>
  </si>
  <si>
    <t>J3QLS3</t>
  </si>
  <si>
    <t>J3QLV8</t>
  </si>
  <si>
    <t>J3QQJ0</t>
  </si>
  <si>
    <t>J3QQJ5</t>
  </si>
  <si>
    <t>J3QQT2</t>
  </si>
  <si>
    <t>J3QQW9</t>
  </si>
  <si>
    <t>J3QR07</t>
  </si>
  <si>
    <t>J3QR09</t>
  </si>
  <si>
    <t>J3QRM9</t>
  </si>
  <si>
    <t>J3QRS3</t>
  </si>
  <si>
    <t>J3QRS9</t>
  </si>
  <si>
    <t>J3QRU1</t>
  </si>
  <si>
    <t>J3QRU4</t>
  </si>
  <si>
    <t>J3QRV5</t>
  </si>
  <si>
    <t>J3QRX6</t>
  </si>
  <si>
    <t>J3QS41</t>
  </si>
  <si>
    <t>J3QS47</t>
  </si>
  <si>
    <t>J3QSE8</t>
  </si>
  <si>
    <t>J3QSH4</t>
  </si>
  <si>
    <t>J3QSS3</t>
  </si>
  <si>
    <t>J3QSV6</t>
  </si>
  <si>
    <t>J3QSW3</t>
  </si>
  <si>
    <t>J3QT87</t>
  </si>
  <si>
    <t>J3QTA2</t>
  </si>
  <si>
    <t>J3QTA6</t>
  </si>
  <si>
    <t>J9JIC5</t>
  </si>
  <si>
    <t>J9JID7</t>
  </si>
  <si>
    <t>J9JID9</t>
  </si>
  <si>
    <t>J9JIE6</t>
  </si>
  <si>
    <t>K4DI92</t>
  </si>
  <si>
    <t>K4DI93</t>
  </si>
  <si>
    <t>K7EID0</t>
  </si>
  <si>
    <t>K7EIG1</t>
  </si>
  <si>
    <t>K7EIG5</t>
  </si>
  <si>
    <t>K7EIJ0</t>
  </si>
  <si>
    <t>K7EIN2</t>
  </si>
  <si>
    <t>K7EIP7</t>
  </si>
  <si>
    <t>K7EIU8</t>
  </si>
  <si>
    <t>K7EIY4</t>
  </si>
  <si>
    <t>K7EJ08</t>
  </si>
  <si>
    <t>K7EJ78</t>
  </si>
  <si>
    <t>K7EJB9</t>
  </si>
  <si>
    <t>K7EJL1</t>
  </si>
  <si>
    <t>K7EJQ7</t>
  </si>
  <si>
    <t>K7EK00</t>
  </si>
  <si>
    <t>K7EK07</t>
  </si>
  <si>
    <t>K7EKA0</t>
  </si>
  <si>
    <t>K7EKE6</t>
  </si>
  <si>
    <t>K7EKI0</t>
  </si>
  <si>
    <t>K7EKI4</t>
  </si>
  <si>
    <t>K7EKI8</t>
  </si>
  <si>
    <t>K7EKW3</t>
  </si>
  <si>
    <t>K7EL21</t>
  </si>
  <si>
    <t>K7EL68</t>
  </si>
  <si>
    <t>K7ELL7</t>
  </si>
  <si>
    <t>K7EM02</t>
  </si>
  <si>
    <t>K7EM09</t>
  </si>
  <si>
    <t>K7EM88</t>
  </si>
  <si>
    <t>K7EMM8</t>
  </si>
  <si>
    <t>K7EMR7</t>
  </si>
  <si>
    <t>K7EMV5</t>
  </si>
  <si>
    <t>K7EN05</t>
  </si>
  <si>
    <t>K7EN88</t>
  </si>
  <si>
    <t>K7ENC0</t>
  </si>
  <si>
    <t>K7ENF0</t>
  </si>
  <si>
    <t>K7ENL9</t>
  </si>
  <si>
    <t>K7ENR6</t>
  </si>
  <si>
    <t>K7ENW2</t>
  </si>
  <si>
    <t>K7EP31</t>
  </si>
  <si>
    <t>K7EP32</t>
  </si>
  <si>
    <t>K7EP90</t>
  </si>
  <si>
    <t>K7EPJ5</t>
  </si>
  <si>
    <t>K7EPV6</t>
  </si>
  <si>
    <t>K7EPX7</t>
  </si>
  <si>
    <t>K7EQ34</t>
  </si>
  <si>
    <t>K7EQH5</t>
  </si>
  <si>
    <t>K7EQW8</t>
  </si>
  <si>
    <t>K7ER00</t>
  </si>
  <si>
    <t>K7ER74</t>
  </si>
  <si>
    <t>K7ERF1</t>
  </si>
  <si>
    <t>K7ES11</t>
  </si>
  <si>
    <t>K7ESE3</t>
  </si>
  <si>
    <t>K7ESE6</t>
  </si>
  <si>
    <t>K7ESI9</t>
  </si>
  <si>
    <t>M0QWZ7</t>
  </si>
  <si>
    <t>M0QX35</t>
  </si>
  <si>
    <t>M0QXA7</t>
  </si>
  <si>
    <t>M0QXT0</t>
  </si>
  <si>
    <t>M0QXZ5</t>
  </si>
  <si>
    <t>M0QY01</t>
  </si>
  <si>
    <t>M0QY29</t>
  </si>
  <si>
    <t>M0QY76</t>
  </si>
  <si>
    <t>M0QYH5</t>
  </si>
  <si>
    <t>M0QYJ8</t>
  </si>
  <si>
    <t>M0QYM7</t>
  </si>
  <si>
    <t>M0QYS1</t>
  </si>
  <si>
    <t>M0QZ22</t>
  </si>
  <si>
    <t>M0QZL8</t>
  </si>
  <si>
    <t>M0QZM1</t>
  </si>
  <si>
    <t>M0QZR4</t>
  </si>
  <si>
    <t>M0QZW1</t>
  </si>
  <si>
    <t>M0R042</t>
  </si>
  <si>
    <t>M0R0B4</t>
  </si>
  <si>
    <t>M0R0E9</t>
  </si>
  <si>
    <t>M0R0F0</t>
  </si>
  <si>
    <t>M0R0N4</t>
  </si>
  <si>
    <t>M0R150</t>
  </si>
  <si>
    <t>M0R226</t>
  </si>
  <si>
    <t>M0R2A0</t>
  </si>
  <si>
    <t>M0R2B7</t>
  </si>
  <si>
    <t>M0R2C4</t>
  </si>
  <si>
    <t>M0R2Z1</t>
  </si>
  <si>
    <t>M0R2Z9</t>
  </si>
  <si>
    <t>M0R328</t>
  </si>
  <si>
    <t>M0R366</t>
  </si>
  <si>
    <t>M0R3D4</t>
  </si>
  <si>
    <t>O00116</t>
  </si>
  <si>
    <t>O00139-2</t>
  </si>
  <si>
    <t>O00148</t>
  </si>
  <si>
    <t>O00151</t>
  </si>
  <si>
    <t>O00154</t>
  </si>
  <si>
    <t>O00159</t>
  </si>
  <si>
    <t>O00161</t>
  </si>
  <si>
    <t>O00165-5</t>
  </si>
  <si>
    <t>O00170</t>
  </si>
  <si>
    <t>O00178</t>
  </si>
  <si>
    <t>O00186</t>
  </si>
  <si>
    <t>O00203</t>
  </si>
  <si>
    <t>O00217</t>
  </si>
  <si>
    <t>O00220</t>
  </si>
  <si>
    <t>O00221</t>
  </si>
  <si>
    <t>O00231</t>
  </si>
  <si>
    <t>O00232</t>
  </si>
  <si>
    <t>O00244</t>
  </si>
  <si>
    <t>O00257</t>
  </si>
  <si>
    <t>O00264</t>
  </si>
  <si>
    <t>O00267-2</t>
  </si>
  <si>
    <t>O00273</t>
  </si>
  <si>
    <t>O00273-2</t>
  </si>
  <si>
    <t>O00287</t>
  </si>
  <si>
    <t>O00291</t>
  </si>
  <si>
    <t>O00299</t>
  </si>
  <si>
    <t>O00300</t>
  </si>
  <si>
    <t>O00308</t>
  </si>
  <si>
    <t>O00330</t>
  </si>
  <si>
    <t>O00391</t>
  </si>
  <si>
    <t>O00399</t>
  </si>
  <si>
    <t>O00400</t>
  </si>
  <si>
    <t>O00401</t>
  </si>
  <si>
    <t>O00410</t>
  </si>
  <si>
    <t>O00422</t>
  </si>
  <si>
    <t>O00429-3</t>
  </si>
  <si>
    <t>O00429-4</t>
  </si>
  <si>
    <t>O00442</t>
  </si>
  <si>
    <t>O00443</t>
  </si>
  <si>
    <t>O00459</t>
  </si>
  <si>
    <t>O00462</t>
  </si>
  <si>
    <t>O00463</t>
  </si>
  <si>
    <t>O00468-6</t>
  </si>
  <si>
    <t>O00469</t>
  </si>
  <si>
    <t>O00469-2</t>
  </si>
  <si>
    <t>O00471</t>
  </si>
  <si>
    <t>O00479</t>
  </si>
  <si>
    <t>O00483</t>
  </si>
  <si>
    <t>O00487</t>
  </si>
  <si>
    <t>O00488</t>
  </si>
  <si>
    <t>O00505</t>
  </si>
  <si>
    <t>O00506</t>
  </si>
  <si>
    <t>O00512</t>
  </si>
  <si>
    <t>O00515</t>
  </si>
  <si>
    <t>O00533-2</t>
  </si>
  <si>
    <t>O00534</t>
  </si>
  <si>
    <t>O00560</t>
  </si>
  <si>
    <t>O00562-2</t>
  </si>
  <si>
    <t>O00566</t>
  </si>
  <si>
    <t>O00567</t>
  </si>
  <si>
    <t>O00571</t>
  </si>
  <si>
    <t>O00625</t>
  </si>
  <si>
    <t>O00629</t>
  </si>
  <si>
    <t>O00743</t>
  </si>
  <si>
    <t>O00748</t>
  </si>
  <si>
    <t>O00754-2</t>
  </si>
  <si>
    <t>O00757</t>
  </si>
  <si>
    <t>O00762-2</t>
  </si>
  <si>
    <t>O00764</t>
  </si>
  <si>
    <t>O00767</t>
  </si>
  <si>
    <t>O14497</t>
  </si>
  <si>
    <t>O14503</t>
  </si>
  <si>
    <t>O14519-2</t>
  </si>
  <si>
    <t>O14523</t>
  </si>
  <si>
    <t>O14524-2</t>
  </si>
  <si>
    <t>O14545</t>
  </si>
  <si>
    <t>O14548</t>
  </si>
  <si>
    <t>O14556</t>
  </si>
  <si>
    <t>O14561</t>
  </si>
  <si>
    <t>O14578-4</t>
  </si>
  <si>
    <t>O14579</t>
  </si>
  <si>
    <t>O14617</t>
  </si>
  <si>
    <t>O14656</t>
  </si>
  <si>
    <t>O14657</t>
  </si>
  <si>
    <t>O14662-2</t>
  </si>
  <si>
    <t>O14672</t>
  </si>
  <si>
    <t>O14686</t>
  </si>
  <si>
    <t>O14732</t>
  </si>
  <si>
    <t>O14733</t>
  </si>
  <si>
    <t>O14734</t>
  </si>
  <si>
    <t>O14737</t>
  </si>
  <si>
    <t>O14744</t>
  </si>
  <si>
    <t>O14745</t>
  </si>
  <si>
    <t>O14757</t>
  </si>
  <si>
    <t>O14763-2</t>
  </si>
  <si>
    <t>O14772</t>
  </si>
  <si>
    <t>O14773</t>
  </si>
  <si>
    <t>O14776-2</t>
  </si>
  <si>
    <t>O14777</t>
  </si>
  <si>
    <t>O14787-2</t>
  </si>
  <si>
    <t>O14802</t>
  </si>
  <si>
    <t>O14818</t>
  </si>
  <si>
    <t>O14828</t>
  </si>
  <si>
    <t>O14841</t>
  </si>
  <si>
    <t>O14867</t>
  </si>
  <si>
    <t>O14874</t>
  </si>
  <si>
    <t>O14896</t>
  </si>
  <si>
    <t>O14907</t>
  </si>
  <si>
    <t>O14908</t>
  </si>
  <si>
    <t>O14920</t>
  </si>
  <si>
    <t>O14925</t>
  </si>
  <si>
    <t>O14929</t>
  </si>
  <si>
    <t>O14933</t>
  </si>
  <si>
    <t>O14949</t>
  </si>
  <si>
    <t>O14964</t>
  </si>
  <si>
    <t>O14965</t>
  </si>
  <si>
    <t>O14974</t>
  </si>
  <si>
    <t>O14975-2</t>
  </si>
  <si>
    <t>O14976</t>
  </si>
  <si>
    <t>O14979-3</t>
  </si>
  <si>
    <t>O14980</t>
  </si>
  <si>
    <t>O14981</t>
  </si>
  <si>
    <t>O15014</t>
  </si>
  <si>
    <t>O15015</t>
  </si>
  <si>
    <t>O15020</t>
  </si>
  <si>
    <t>O15031</t>
  </si>
  <si>
    <t>O15034</t>
  </si>
  <si>
    <t>O15040</t>
  </si>
  <si>
    <t>O15066</t>
  </si>
  <si>
    <t>O15067</t>
  </si>
  <si>
    <t>O15075-4</t>
  </si>
  <si>
    <t>O15084</t>
  </si>
  <si>
    <t>O15091-2</t>
  </si>
  <si>
    <t>O15116</t>
  </si>
  <si>
    <t>O15118</t>
  </si>
  <si>
    <t>O15121</t>
  </si>
  <si>
    <t>O15126</t>
  </si>
  <si>
    <t>O15127</t>
  </si>
  <si>
    <t>O15143</t>
  </si>
  <si>
    <t>O15144</t>
  </si>
  <si>
    <t>O15145</t>
  </si>
  <si>
    <t>O15156</t>
  </si>
  <si>
    <t>O15160</t>
  </si>
  <si>
    <t>O15169-2</t>
  </si>
  <si>
    <t>O15173</t>
  </si>
  <si>
    <t>O15211</t>
  </si>
  <si>
    <t>O15212</t>
  </si>
  <si>
    <t>O15213</t>
  </si>
  <si>
    <t>O15228</t>
  </si>
  <si>
    <t>O15230</t>
  </si>
  <si>
    <t>O15234</t>
  </si>
  <si>
    <t>O15235</t>
  </si>
  <si>
    <t>O15239</t>
  </si>
  <si>
    <t>O15240</t>
  </si>
  <si>
    <t>O15258</t>
  </si>
  <si>
    <t>O15264</t>
  </si>
  <si>
    <t>O15269</t>
  </si>
  <si>
    <t>O15270</t>
  </si>
  <si>
    <t>O15294</t>
  </si>
  <si>
    <t>O15305</t>
  </si>
  <si>
    <t>O15327</t>
  </si>
  <si>
    <t>O15344</t>
  </si>
  <si>
    <t>O15355</t>
  </si>
  <si>
    <t>O15357</t>
  </si>
  <si>
    <t>O15379</t>
  </si>
  <si>
    <t>O15382</t>
  </si>
  <si>
    <t>O15397</t>
  </si>
  <si>
    <t>O15400-2</t>
  </si>
  <si>
    <t>O15427</t>
  </si>
  <si>
    <t>O15431</t>
  </si>
  <si>
    <t>O15439-2</t>
  </si>
  <si>
    <t>O15446</t>
  </si>
  <si>
    <t>O15460-2</t>
  </si>
  <si>
    <t>O15498</t>
  </si>
  <si>
    <t>O15511</t>
  </si>
  <si>
    <t>O15514</t>
  </si>
  <si>
    <t>O15541</t>
  </si>
  <si>
    <t>O15551</t>
  </si>
  <si>
    <t>O43143</t>
  </si>
  <si>
    <t>O43148</t>
  </si>
  <si>
    <t>O43149</t>
  </si>
  <si>
    <t>O43150-2</t>
  </si>
  <si>
    <t>O43156</t>
  </si>
  <si>
    <t>O43157-2</t>
  </si>
  <si>
    <t>O43164-2</t>
  </si>
  <si>
    <t>O43172-2</t>
  </si>
  <si>
    <t>O43175</t>
  </si>
  <si>
    <t>O43181</t>
  </si>
  <si>
    <t>O43237</t>
  </si>
  <si>
    <t>O43242</t>
  </si>
  <si>
    <t>O43251-6</t>
  </si>
  <si>
    <t>O43252</t>
  </si>
  <si>
    <t>O43264</t>
  </si>
  <si>
    <t>O43278-2</t>
  </si>
  <si>
    <t>O43286</t>
  </si>
  <si>
    <t>O43290</t>
  </si>
  <si>
    <t>O43291</t>
  </si>
  <si>
    <t>O43292</t>
  </si>
  <si>
    <t>O43293</t>
  </si>
  <si>
    <t>O43298</t>
  </si>
  <si>
    <t>O43299</t>
  </si>
  <si>
    <t>O43310</t>
  </si>
  <si>
    <t>O43314-2</t>
  </si>
  <si>
    <t>O43318-2</t>
  </si>
  <si>
    <t>O43325</t>
  </si>
  <si>
    <t>O43353</t>
  </si>
  <si>
    <t>O43379</t>
  </si>
  <si>
    <t>O43390</t>
  </si>
  <si>
    <t>O43395</t>
  </si>
  <si>
    <t>O43396</t>
  </si>
  <si>
    <t>O43399-4</t>
  </si>
  <si>
    <t>O43399-5</t>
  </si>
  <si>
    <t>O43402</t>
  </si>
  <si>
    <t>O43422</t>
  </si>
  <si>
    <t>O43427-2</t>
  </si>
  <si>
    <t>O43432</t>
  </si>
  <si>
    <t>O43439-2</t>
  </si>
  <si>
    <t>O43464-3</t>
  </si>
  <si>
    <t>O43474-1</t>
  </si>
  <si>
    <t>O43482</t>
  </si>
  <si>
    <t>O43488</t>
  </si>
  <si>
    <t>O43490-4</t>
  </si>
  <si>
    <t>O43493-4</t>
  </si>
  <si>
    <t>O43502</t>
  </si>
  <si>
    <t>O43504</t>
  </si>
  <si>
    <t>O43505</t>
  </si>
  <si>
    <t>O43513</t>
  </si>
  <si>
    <t>O43520</t>
  </si>
  <si>
    <t>O43524</t>
  </si>
  <si>
    <t>O43542</t>
  </si>
  <si>
    <t>O43567</t>
  </si>
  <si>
    <t>O43583</t>
  </si>
  <si>
    <t>O43592</t>
  </si>
  <si>
    <t>O43597</t>
  </si>
  <si>
    <t>O43598</t>
  </si>
  <si>
    <t>O43615</t>
  </si>
  <si>
    <t>O43617</t>
  </si>
  <si>
    <t>O43633</t>
  </si>
  <si>
    <t>O43639</t>
  </si>
  <si>
    <t>O43657</t>
  </si>
  <si>
    <t>O43663-2</t>
  </si>
  <si>
    <t>O43676</t>
  </si>
  <si>
    <t>O43677</t>
  </si>
  <si>
    <t>O43678</t>
  </si>
  <si>
    <t>O43681</t>
  </si>
  <si>
    <t>O43684</t>
  </si>
  <si>
    <t>O43707</t>
  </si>
  <si>
    <t>O43709</t>
  </si>
  <si>
    <t>O43715</t>
  </si>
  <si>
    <t>O43719</t>
  </si>
  <si>
    <t>O43752</t>
  </si>
  <si>
    <t>O43760</t>
  </si>
  <si>
    <t>O43765</t>
  </si>
  <si>
    <t>O43766</t>
  </si>
  <si>
    <t>O43768-2</t>
  </si>
  <si>
    <t>O43772</t>
  </si>
  <si>
    <t>O43776</t>
  </si>
  <si>
    <t>O43805</t>
  </si>
  <si>
    <t>O43809</t>
  </si>
  <si>
    <t>O43813</t>
  </si>
  <si>
    <t>O43815</t>
  </si>
  <si>
    <t>O43818</t>
  </si>
  <si>
    <t>O43819</t>
  </si>
  <si>
    <t>O43820-4</t>
  </si>
  <si>
    <t>O43823</t>
  </si>
  <si>
    <t>O43824</t>
  </si>
  <si>
    <t>O43826</t>
  </si>
  <si>
    <t>O43829</t>
  </si>
  <si>
    <t>O43837</t>
  </si>
  <si>
    <t>O43852</t>
  </si>
  <si>
    <t>O43865</t>
  </si>
  <si>
    <t>O43909</t>
  </si>
  <si>
    <t>O43913</t>
  </si>
  <si>
    <t>O43920</t>
  </si>
  <si>
    <t>O43924</t>
  </si>
  <si>
    <t>O43933</t>
  </si>
  <si>
    <t>O60216</t>
  </si>
  <si>
    <t>O60218</t>
  </si>
  <si>
    <t>O60220</t>
  </si>
  <si>
    <t>O60231</t>
  </si>
  <si>
    <t>O60256</t>
  </si>
  <si>
    <t>O60264</t>
  </si>
  <si>
    <t>O60271-4</t>
  </si>
  <si>
    <t>O60292</t>
  </si>
  <si>
    <t>O60294</t>
  </si>
  <si>
    <t>O60306</t>
  </si>
  <si>
    <t>O60313-2</t>
  </si>
  <si>
    <t>O60333-2</t>
  </si>
  <si>
    <t>O60341</t>
  </si>
  <si>
    <t>O60343-2</t>
  </si>
  <si>
    <t>O60344-4</t>
  </si>
  <si>
    <t>O60346</t>
  </si>
  <si>
    <t>O60347</t>
  </si>
  <si>
    <t>O60353-2</t>
  </si>
  <si>
    <t>O60427</t>
  </si>
  <si>
    <t>O60449-2</t>
  </si>
  <si>
    <t>O60476</t>
  </si>
  <si>
    <t>O60486</t>
  </si>
  <si>
    <t>O60487</t>
  </si>
  <si>
    <t>O60488-2</t>
  </si>
  <si>
    <t>O60493</t>
  </si>
  <si>
    <t>O60502</t>
  </si>
  <si>
    <t>O60504-2</t>
  </si>
  <si>
    <t>O60506-3</t>
  </si>
  <si>
    <t>O60507</t>
  </si>
  <si>
    <t>O60508</t>
  </si>
  <si>
    <t>O60518</t>
  </si>
  <si>
    <t>O60524-4</t>
  </si>
  <si>
    <t>O60547</t>
  </si>
  <si>
    <t>O60551</t>
  </si>
  <si>
    <t>O60563</t>
  </si>
  <si>
    <t>O60566-3</t>
  </si>
  <si>
    <t>O60568</t>
  </si>
  <si>
    <t>O60573</t>
  </si>
  <si>
    <t>O60613</t>
  </si>
  <si>
    <t>O60645-3</t>
  </si>
  <si>
    <t>O60662</t>
  </si>
  <si>
    <t>O60664</t>
  </si>
  <si>
    <t>O60671</t>
  </si>
  <si>
    <t>O60678</t>
  </si>
  <si>
    <t>O60701</t>
  </si>
  <si>
    <t>O60704</t>
  </si>
  <si>
    <t>O60716-5</t>
  </si>
  <si>
    <t>O60725</t>
  </si>
  <si>
    <t>O60733-2</t>
  </si>
  <si>
    <t>O60739</t>
  </si>
  <si>
    <t>O60749</t>
  </si>
  <si>
    <t>O60763</t>
  </si>
  <si>
    <t>O60825-2</t>
  </si>
  <si>
    <t>O60828</t>
  </si>
  <si>
    <t>O60830</t>
  </si>
  <si>
    <t>O60831</t>
  </si>
  <si>
    <t>O60832</t>
  </si>
  <si>
    <t>O60841</t>
  </si>
  <si>
    <t>O60869</t>
  </si>
  <si>
    <t>O60870</t>
  </si>
  <si>
    <t>O60884</t>
  </si>
  <si>
    <t>O60885</t>
  </si>
  <si>
    <t>O60888-3</t>
  </si>
  <si>
    <t>O60906</t>
  </si>
  <si>
    <t>O60911</t>
  </si>
  <si>
    <t>O60925</t>
  </si>
  <si>
    <t>O60927</t>
  </si>
  <si>
    <t>O60934</t>
  </si>
  <si>
    <t>O60942</t>
  </si>
  <si>
    <t>O75027</t>
  </si>
  <si>
    <t>O75044</t>
  </si>
  <si>
    <t>O75051</t>
  </si>
  <si>
    <t>O75054</t>
  </si>
  <si>
    <t>O75063</t>
  </si>
  <si>
    <t>O75071</t>
  </si>
  <si>
    <t>O75083</t>
  </si>
  <si>
    <t>O75095</t>
  </si>
  <si>
    <t>O75095-2</t>
  </si>
  <si>
    <t>O75110</t>
  </si>
  <si>
    <t>O75113</t>
  </si>
  <si>
    <t>O75116</t>
  </si>
  <si>
    <t>O75128-3</t>
  </si>
  <si>
    <t>O75131</t>
  </si>
  <si>
    <t>O75146</t>
  </si>
  <si>
    <t>O75150</t>
  </si>
  <si>
    <t>O75152</t>
  </si>
  <si>
    <t>O75153</t>
  </si>
  <si>
    <t>O75157-2</t>
  </si>
  <si>
    <t>O75161</t>
  </si>
  <si>
    <t>O75164</t>
  </si>
  <si>
    <t>O75165</t>
  </si>
  <si>
    <t>O75170-4</t>
  </si>
  <si>
    <t>O75175</t>
  </si>
  <si>
    <t>O75177-2</t>
  </si>
  <si>
    <t>O75179-2</t>
  </si>
  <si>
    <t>O75185</t>
  </si>
  <si>
    <t>O75191</t>
  </si>
  <si>
    <t>O75204</t>
  </si>
  <si>
    <t>O75208</t>
  </si>
  <si>
    <t>O75223</t>
  </si>
  <si>
    <t>O75306</t>
  </si>
  <si>
    <t>O75312</t>
  </si>
  <si>
    <t>O75323</t>
  </si>
  <si>
    <t>O75330-2</t>
  </si>
  <si>
    <t>O75340</t>
  </si>
  <si>
    <t>O75347</t>
  </si>
  <si>
    <t>O75348</t>
  </si>
  <si>
    <t>O75351</t>
  </si>
  <si>
    <t>O75355</t>
  </si>
  <si>
    <t>O75356</t>
  </si>
  <si>
    <t>O75362</t>
  </si>
  <si>
    <t>O75367-2</t>
  </si>
  <si>
    <t>O75368</t>
  </si>
  <si>
    <t>O75369-2</t>
  </si>
  <si>
    <t>O75376</t>
  </si>
  <si>
    <t>O75379-2</t>
  </si>
  <si>
    <t>O75380</t>
  </si>
  <si>
    <t>O75381-2</t>
  </si>
  <si>
    <t>O75382-2</t>
  </si>
  <si>
    <t>O75387</t>
  </si>
  <si>
    <t>O75391</t>
  </si>
  <si>
    <t>O75396</t>
  </si>
  <si>
    <t>O75400-3</t>
  </si>
  <si>
    <t>O75419-2</t>
  </si>
  <si>
    <t>O75427</t>
  </si>
  <si>
    <t>O75436</t>
  </si>
  <si>
    <t>O75438</t>
  </si>
  <si>
    <t>O75439</t>
  </si>
  <si>
    <t>O75446</t>
  </si>
  <si>
    <t>O75449</t>
  </si>
  <si>
    <t>O75475</t>
  </si>
  <si>
    <t>O75475-3</t>
  </si>
  <si>
    <t>O75477</t>
  </si>
  <si>
    <t>O75487</t>
  </si>
  <si>
    <t>O75489</t>
  </si>
  <si>
    <t>O75503</t>
  </si>
  <si>
    <t>O75506</t>
  </si>
  <si>
    <t>O75521-2</t>
  </si>
  <si>
    <t>O75528</t>
  </si>
  <si>
    <t>O75530-3</t>
  </si>
  <si>
    <t>O75531</t>
  </si>
  <si>
    <t>O75533</t>
  </si>
  <si>
    <t>O75534</t>
  </si>
  <si>
    <t>O75554</t>
  </si>
  <si>
    <t>O75570</t>
  </si>
  <si>
    <t>O75575</t>
  </si>
  <si>
    <t>O75600</t>
  </si>
  <si>
    <t>O75607</t>
  </si>
  <si>
    <t>O75608-2</t>
  </si>
  <si>
    <t>O75616</t>
  </si>
  <si>
    <t>O75629</t>
  </si>
  <si>
    <t>O75643</t>
  </si>
  <si>
    <t>O75648</t>
  </si>
  <si>
    <t>O75663</t>
  </si>
  <si>
    <t>O75683</t>
  </si>
  <si>
    <t>O75688</t>
  </si>
  <si>
    <t>O75688-2</t>
  </si>
  <si>
    <t>O75691</t>
  </si>
  <si>
    <t>O75695</t>
  </si>
  <si>
    <t>O75717</t>
  </si>
  <si>
    <t>O75746</t>
  </si>
  <si>
    <t>O75791</t>
  </si>
  <si>
    <t>O75792</t>
  </si>
  <si>
    <t>O75794</t>
  </si>
  <si>
    <t>O75808</t>
  </si>
  <si>
    <t>O75818-2</t>
  </si>
  <si>
    <t>O75821</t>
  </si>
  <si>
    <t>O75822</t>
  </si>
  <si>
    <t>O75828</t>
  </si>
  <si>
    <t>O75832</t>
  </si>
  <si>
    <t>O75844</t>
  </si>
  <si>
    <t>O75845</t>
  </si>
  <si>
    <t>O75874</t>
  </si>
  <si>
    <t>O75882</t>
  </si>
  <si>
    <t>O75884</t>
  </si>
  <si>
    <t>O75886</t>
  </si>
  <si>
    <t>O75891</t>
  </si>
  <si>
    <t>O75896</t>
  </si>
  <si>
    <t>O75915</t>
  </si>
  <si>
    <t>O75925</t>
  </si>
  <si>
    <t>O75934</t>
  </si>
  <si>
    <t>O75935</t>
  </si>
  <si>
    <t>O75937</t>
  </si>
  <si>
    <t>O75940</t>
  </si>
  <si>
    <t>O75943-2</t>
  </si>
  <si>
    <t>O75947</t>
  </si>
  <si>
    <t>O75955</t>
  </si>
  <si>
    <t>O75962</t>
  </si>
  <si>
    <t>O75964</t>
  </si>
  <si>
    <t>O75976</t>
  </si>
  <si>
    <t>O76003</t>
  </si>
  <si>
    <t>O76024</t>
  </si>
  <si>
    <t>O76031</t>
  </si>
  <si>
    <t>O76041-2</t>
  </si>
  <si>
    <t>O76054-4</t>
  </si>
  <si>
    <t>O76061</t>
  </si>
  <si>
    <t>O76071</t>
  </si>
  <si>
    <t>O76074-2</t>
  </si>
  <si>
    <t>O76075</t>
  </si>
  <si>
    <t>O76080</t>
  </si>
  <si>
    <t>O76094</t>
  </si>
  <si>
    <t>O76095-2</t>
  </si>
  <si>
    <t>O77932</t>
  </si>
  <si>
    <t>O94760</t>
  </si>
  <si>
    <t>O94763</t>
  </si>
  <si>
    <t>O94766</t>
  </si>
  <si>
    <t>O94776</t>
  </si>
  <si>
    <t>O94782</t>
  </si>
  <si>
    <t>O94804</t>
  </si>
  <si>
    <t>O94822</t>
  </si>
  <si>
    <t>O94826</t>
  </si>
  <si>
    <t>O94827-5</t>
  </si>
  <si>
    <t>O94829</t>
  </si>
  <si>
    <t>O94830</t>
  </si>
  <si>
    <t>O94832</t>
  </si>
  <si>
    <t>O94851-6</t>
  </si>
  <si>
    <t>O94855</t>
  </si>
  <si>
    <t>O94864-2</t>
  </si>
  <si>
    <t>O94874</t>
  </si>
  <si>
    <t>O94875-12</t>
  </si>
  <si>
    <t>O94876</t>
  </si>
  <si>
    <t>O94880</t>
  </si>
  <si>
    <t>O94880-2</t>
  </si>
  <si>
    <t>O94886</t>
  </si>
  <si>
    <t>O94888</t>
  </si>
  <si>
    <t>O94903</t>
  </si>
  <si>
    <t>O94906-2</t>
  </si>
  <si>
    <t>O94907</t>
  </si>
  <si>
    <t>O94913</t>
  </si>
  <si>
    <t>O94916-2</t>
  </si>
  <si>
    <t>O94919</t>
  </si>
  <si>
    <t>O94925</t>
  </si>
  <si>
    <t>O94925-3</t>
  </si>
  <si>
    <t>O94966-7</t>
  </si>
  <si>
    <t>O94973</t>
  </si>
  <si>
    <t>O94973-2</t>
  </si>
  <si>
    <t>O94992</t>
  </si>
  <si>
    <t>O95059</t>
  </si>
  <si>
    <t>O95067</t>
  </si>
  <si>
    <t>O95081</t>
  </si>
  <si>
    <t>O95104-3</t>
  </si>
  <si>
    <t>O95139</t>
  </si>
  <si>
    <t>O95140</t>
  </si>
  <si>
    <t>O95155-2</t>
  </si>
  <si>
    <t>O95159</t>
  </si>
  <si>
    <t>O95163</t>
  </si>
  <si>
    <t>O95167</t>
  </si>
  <si>
    <t>O95168</t>
  </si>
  <si>
    <t>O95171-3</t>
  </si>
  <si>
    <t>O95182</t>
  </si>
  <si>
    <t>O95196-3</t>
  </si>
  <si>
    <t>O95197-2</t>
  </si>
  <si>
    <t>O95202</t>
  </si>
  <si>
    <t>O95205</t>
  </si>
  <si>
    <t>O95218-2</t>
  </si>
  <si>
    <t>O95219</t>
  </si>
  <si>
    <t>O95229</t>
  </si>
  <si>
    <t>O95231</t>
  </si>
  <si>
    <t>O95232</t>
  </si>
  <si>
    <t>O95235</t>
  </si>
  <si>
    <t>O95239</t>
  </si>
  <si>
    <t>O95251-2</t>
  </si>
  <si>
    <t>O95274</t>
  </si>
  <si>
    <t>O95292</t>
  </si>
  <si>
    <t>O95295</t>
  </si>
  <si>
    <t>O95297-2</t>
  </si>
  <si>
    <t>O95298-2</t>
  </si>
  <si>
    <t>O95302</t>
  </si>
  <si>
    <t>O95336</t>
  </si>
  <si>
    <t>O95347</t>
  </si>
  <si>
    <t>O95352</t>
  </si>
  <si>
    <t>O95363</t>
  </si>
  <si>
    <t>O95365</t>
  </si>
  <si>
    <t>O95372</t>
  </si>
  <si>
    <t>O95373</t>
  </si>
  <si>
    <t>O95376</t>
  </si>
  <si>
    <t>O95391</t>
  </si>
  <si>
    <t>O95394</t>
  </si>
  <si>
    <t>O95396</t>
  </si>
  <si>
    <t>O95400</t>
  </si>
  <si>
    <t>O95402</t>
  </si>
  <si>
    <t>O95405-3</t>
  </si>
  <si>
    <t>O95409</t>
  </si>
  <si>
    <t>O95425-2</t>
  </si>
  <si>
    <t>O95429-2</t>
  </si>
  <si>
    <t>O95433</t>
  </si>
  <si>
    <t>O95453-2</t>
  </si>
  <si>
    <t>O95455</t>
  </si>
  <si>
    <t>O95456-2</t>
  </si>
  <si>
    <t>O95470</t>
  </si>
  <si>
    <t>O95471</t>
  </si>
  <si>
    <t>O95486</t>
  </si>
  <si>
    <t>O95487-2</t>
  </si>
  <si>
    <t>O95544</t>
  </si>
  <si>
    <t>O95551</t>
  </si>
  <si>
    <t>O95571</t>
  </si>
  <si>
    <t>O95573</t>
  </si>
  <si>
    <t>O95602</t>
  </si>
  <si>
    <t>O95619</t>
  </si>
  <si>
    <t>O95620</t>
  </si>
  <si>
    <t>O95622</t>
  </si>
  <si>
    <t>O95628-5</t>
  </si>
  <si>
    <t>O95630</t>
  </si>
  <si>
    <t>O95670</t>
  </si>
  <si>
    <t>O95671-2</t>
  </si>
  <si>
    <t>O95674</t>
  </si>
  <si>
    <t>O95684</t>
  </si>
  <si>
    <t>O95685</t>
  </si>
  <si>
    <t>O95716</t>
  </si>
  <si>
    <t>O95721</t>
  </si>
  <si>
    <t>O95747</t>
  </si>
  <si>
    <t>O95749</t>
  </si>
  <si>
    <t>O95750</t>
  </si>
  <si>
    <t>O95758-1</t>
  </si>
  <si>
    <t>O95777</t>
  </si>
  <si>
    <t>O95782-2</t>
  </si>
  <si>
    <t>O95801</t>
  </si>
  <si>
    <t>O95810</t>
  </si>
  <si>
    <t>O95816</t>
  </si>
  <si>
    <t>O95817</t>
  </si>
  <si>
    <t>O95822</t>
  </si>
  <si>
    <t>O95825</t>
  </si>
  <si>
    <t>O95831-3</t>
  </si>
  <si>
    <t>O95834-2</t>
  </si>
  <si>
    <t>O95835</t>
  </si>
  <si>
    <t>O95848</t>
  </si>
  <si>
    <t>O95857</t>
  </si>
  <si>
    <t>O95861</t>
  </si>
  <si>
    <t>O95865</t>
  </si>
  <si>
    <t>O95873</t>
  </si>
  <si>
    <t>O95881</t>
  </si>
  <si>
    <t>O95905</t>
  </si>
  <si>
    <t>O95926</t>
  </si>
  <si>
    <t>O95983-2</t>
  </si>
  <si>
    <t>O95985</t>
  </si>
  <si>
    <t>O95989</t>
  </si>
  <si>
    <t>O95999</t>
  </si>
  <si>
    <t>O96000</t>
  </si>
  <si>
    <t>O96007</t>
  </si>
  <si>
    <t>O96008</t>
  </si>
  <si>
    <t>O96011-2</t>
  </si>
  <si>
    <t>O96013</t>
  </si>
  <si>
    <t>O96017</t>
  </si>
  <si>
    <t>O96019</t>
  </si>
  <si>
    <t>O96033</t>
  </si>
  <si>
    <t>P00167-2</t>
  </si>
  <si>
    <t>P00338</t>
  </si>
  <si>
    <t>P00352</t>
  </si>
  <si>
    <t>P00367</t>
  </si>
  <si>
    <t>P00374</t>
  </si>
  <si>
    <t>P00387-2</t>
  </si>
  <si>
    <t>P00390-2</t>
  </si>
  <si>
    <t>P00403</t>
  </si>
  <si>
    <t>P00441</t>
  </si>
  <si>
    <t>P00491</t>
  </si>
  <si>
    <t>P00492</t>
  </si>
  <si>
    <t>P00505</t>
  </si>
  <si>
    <t>P00519</t>
  </si>
  <si>
    <t>P00558</t>
  </si>
  <si>
    <t>P00813</t>
  </si>
  <si>
    <t>P00846</t>
  </si>
  <si>
    <t>P00918</t>
  </si>
  <si>
    <t>P00966</t>
  </si>
  <si>
    <t>P01034</t>
  </si>
  <si>
    <t>P01037</t>
  </si>
  <si>
    <t>P01100</t>
  </si>
  <si>
    <t>P01111</t>
  </si>
  <si>
    <t>P01112</t>
  </si>
  <si>
    <t>P01116-2</t>
  </si>
  <si>
    <t>P01137</t>
  </si>
  <si>
    <t>P02008</t>
  </si>
  <si>
    <t>P02144</t>
  </si>
  <si>
    <t>P02545</t>
  </si>
  <si>
    <t>P02649</t>
  </si>
  <si>
    <t>P02786</t>
  </si>
  <si>
    <t>P02787</t>
  </si>
  <si>
    <t>P02792</t>
  </si>
  <si>
    <t>P02794</t>
  </si>
  <si>
    <t>P02795</t>
  </si>
  <si>
    <t>P03928</t>
  </si>
  <si>
    <t>P04040</t>
  </si>
  <si>
    <t>P04066</t>
  </si>
  <si>
    <t>P04075</t>
  </si>
  <si>
    <t>P04080</t>
  </si>
  <si>
    <t>P04083</t>
  </si>
  <si>
    <t>P04114</t>
  </si>
  <si>
    <t>P04181</t>
  </si>
  <si>
    <t>P04183</t>
  </si>
  <si>
    <t>P04350</t>
  </si>
  <si>
    <t>P04406</t>
  </si>
  <si>
    <t>P04424</t>
  </si>
  <si>
    <t>P04632</t>
  </si>
  <si>
    <t>P04792</t>
  </si>
  <si>
    <t>P04818</t>
  </si>
  <si>
    <t>P04843</t>
  </si>
  <si>
    <t>P04844</t>
  </si>
  <si>
    <t>P04899</t>
  </si>
  <si>
    <t>P04920-2</t>
  </si>
  <si>
    <t>P05023-4</t>
  </si>
  <si>
    <t>P05060</t>
  </si>
  <si>
    <t>P05067-7</t>
  </si>
  <si>
    <t>P05091</t>
  </si>
  <si>
    <t>P05114</t>
  </si>
  <si>
    <t>P05141</t>
  </si>
  <si>
    <t>P05161</t>
  </si>
  <si>
    <t>P05165-2</t>
  </si>
  <si>
    <t>P05198</t>
  </si>
  <si>
    <t>P05204</t>
  </si>
  <si>
    <t>P05362</t>
  </si>
  <si>
    <t>P05386</t>
  </si>
  <si>
    <t>P05387</t>
  </si>
  <si>
    <t>P05388</t>
  </si>
  <si>
    <t>P05412</t>
  </si>
  <si>
    <t>P05455</t>
  </si>
  <si>
    <t>P05556</t>
  </si>
  <si>
    <t>P05783</t>
  </si>
  <si>
    <t>P05976-2</t>
  </si>
  <si>
    <t>P06132</t>
  </si>
  <si>
    <t>P06276</t>
  </si>
  <si>
    <t>P06280</t>
  </si>
  <si>
    <t>P06396-2</t>
  </si>
  <si>
    <t>P06400</t>
  </si>
  <si>
    <t>P06493</t>
  </si>
  <si>
    <t>P06576</t>
  </si>
  <si>
    <t>P06733</t>
  </si>
  <si>
    <t>P06733-2</t>
  </si>
  <si>
    <t>P06737</t>
  </si>
  <si>
    <t>P06744</t>
  </si>
  <si>
    <t>P06748</t>
  </si>
  <si>
    <t>P06748-3</t>
  </si>
  <si>
    <t>P06753-3</t>
  </si>
  <si>
    <t>P06756-3</t>
  </si>
  <si>
    <t>P07108</t>
  </si>
  <si>
    <t>P07195</t>
  </si>
  <si>
    <t>P07199</t>
  </si>
  <si>
    <t>P07203</t>
  </si>
  <si>
    <t>P07205</t>
  </si>
  <si>
    <t>P07237</t>
  </si>
  <si>
    <t>P07305-2</t>
  </si>
  <si>
    <t>P07339</t>
  </si>
  <si>
    <t>P07355</t>
  </si>
  <si>
    <t>P07384</t>
  </si>
  <si>
    <t>P07686</t>
  </si>
  <si>
    <t>P07737</t>
  </si>
  <si>
    <t>P07738</t>
  </si>
  <si>
    <t>P07741</t>
  </si>
  <si>
    <t>P07814</t>
  </si>
  <si>
    <t>P07858</t>
  </si>
  <si>
    <t>P07900</t>
  </si>
  <si>
    <t>P07902</t>
  </si>
  <si>
    <t>P07919</t>
  </si>
  <si>
    <t>P07948-2</t>
  </si>
  <si>
    <t>P07951</t>
  </si>
  <si>
    <t>P07954-2</t>
  </si>
  <si>
    <t>P08034</t>
  </si>
  <si>
    <t>P08047</t>
  </si>
  <si>
    <t>P08107</t>
  </si>
  <si>
    <t>P08237</t>
  </si>
  <si>
    <t>P08238</t>
  </si>
  <si>
    <t>P08240</t>
  </si>
  <si>
    <t>P08243-2</t>
  </si>
  <si>
    <t>P08294</t>
  </si>
  <si>
    <t>P08397-2</t>
  </si>
  <si>
    <t>P08473</t>
  </si>
  <si>
    <t>P08559</t>
  </si>
  <si>
    <t>P08574</t>
  </si>
  <si>
    <t>P08579</t>
  </si>
  <si>
    <t>P08621</t>
  </si>
  <si>
    <t>P08754</t>
  </si>
  <si>
    <t>P08758</t>
  </si>
  <si>
    <t>P09012</t>
  </si>
  <si>
    <t>P09038-2</t>
  </si>
  <si>
    <t>P09104</t>
  </si>
  <si>
    <t>P09110</t>
  </si>
  <si>
    <t>P09132</t>
  </si>
  <si>
    <t>P09172</t>
  </si>
  <si>
    <t>P09211</t>
  </si>
  <si>
    <t>P09234</t>
  </si>
  <si>
    <t>P09382</t>
  </si>
  <si>
    <t>P09417</t>
  </si>
  <si>
    <t>P09429</t>
  </si>
  <si>
    <t>P09467</t>
  </si>
  <si>
    <t>P09493-10</t>
  </si>
  <si>
    <t>P09493-3</t>
  </si>
  <si>
    <t>P09496-2</t>
  </si>
  <si>
    <t>P09497-2</t>
  </si>
  <si>
    <t>P09525</t>
  </si>
  <si>
    <t>P09543-2</t>
  </si>
  <si>
    <t>P09601</t>
  </si>
  <si>
    <t>P09619</t>
  </si>
  <si>
    <t>P09622</t>
  </si>
  <si>
    <t>P09661</t>
  </si>
  <si>
    <t>P09668</t>
  </si>
  <si>
    <t>P09669</t>
  </si>
  <si>
    <t>P09874</t>
  </si>
  <si>
    <t>P09960</t>
  </si>
  <si>
    <t>P09972</t>
  </si>
  <si>
    <t>P0C024</t>
  </si>
  <si>
    <t>P0C7P0</t>
  </si>
  <si>
    <t>P0C7T5</t>
  </si>
  <si>
    <t>P0C870</t>
  </si>
  <si>
    <t>P0CAP2</t>
  </si>
  <si>
    <t>P0CG12</t>
  </si>
  <si>
    <t>P0CW22</t>
  </si>
  <si>
    <t>P0DJ93</t>
  </si>
  <si>
    <t>P10109</t>
  </si>
  <si>
    <t>P10114</t>
  </si>
  <si>
    <t>P10155</t>
  </si>
  <si>
    <t>P10176</t>
  </si>
  <si>
    <t>P10253</t>
  </si>
  <si>
    <t>P10301</t>
  </si>
  <si>
    <t>P10398</t>
  </si>
  <si>
    <t>P10412</t>
  </si>
  <si>
    <t>P10515</t>
  </si>
  <si>
    <t>P10586-2</t>
  </si>
  <si>
    <t>P10588</t>
  </si>
  <si>
    <t>P10599</t>
  </si>
  <si>
    <t>P10606</t>
  </si>
  <si>
    <t>P10619</t>
  </si>
  <si>
    <t>P10636-5</t>
  </si>
  <si>
    <t>P10643</t>
  </si>
  <si>
    <t>P10644</t>
  </si>
  <si>
    <t>P10746</t>
  </si>
  <si>
    <t>P10768</t>
  </si>
  <si>
    <t>P10809</t>
  </si>
  <si>
    <t>P10909-4</t>
  </si>
  <si>
    <t>P11021</t>
  </si>
  <si>
    <t>P11047</t>
  </si>
  <si>
    <t>P11086</t>
  </si>
  <si>
    <t>P11117</t>
  </si>
  <si>
    <t>P11142</t>
  </si>
  <si>
    <t>P11166</t>
  </si>
  <si>
    <t>P11171</t>
  </si>
  <si>
    <t>P11171-2</t>
  </si>
  <si>
    <t>P11172</t>
  </si>
  <si>
    <t>P11177</t>
  </si>
  <si>
    <t>P11182</t>
  </si>
  <si>
    <t>P11216</t>
  </si>
  <si>
    <t>P11233</t>
  </si>
  <si>
    <t>P11234</t>
  </si>
  <si>
    <t>P11274</t>
  </si>
  <si>
    <t>P11279</t>
  </si>
  <si>
    <t>P11387</t>
  </si>
  <si>
    <t>P11388</t>
  </si>
  <si>
    <t>P11413</t>
  </si>
  <si>
    <t>P11441</t>
  </si>
  <si>
    <t>P11498</t>
  </si>
  <si>
    <t>P11586</t>
  </si>
  <si>
    <t>P11717</t>
  </si>
  <si>
    <t>P11766</t>
  </si>
  <si>
    <t>P11801</t>
  </si>
  <si>
    <t>P11802</t>
  </si>
  <si>
    <t>P11908</t>
  </si>
  <si>
    <t>P11940-2</t>
  </si>
  <si>
    <t>P12004</t>
  </si>
  <si>
    <t>P12081</t>
  </si>
  <si>
    <t>P12109</t>
  </si>
  <si>
    <t>P12235</t>
  </si>
  <si>
    <t>P12236</t>
  </si>
  <si>
    <t>P12268</t>
  </si>
  <si>
    <t>P12270</t>
  </si>
  <si>
    <t>P12277</t>
  </si>
  <si>
    <t>P12429</t>
  </si>
  <si>
    <t>P12532</t>
  </si>
  <si>
    <t>P12755</t>
  </si>
  <si>
    <t>P12814-2</t>
  </si>
  <si>
    <t>P12830</t>
  </si>
  <si>
    <t>P12955</t>
  </si>
  <si>
    <t>P12956</t>
  </si>
  <si>
    <t>P13010</t>
  </si>
  <si>
    <t>P13051</t>
  </si>
  <si>
    <t>P13056</t>
  </si>
  <si>
    <t>P13073</t>
  </si>
  <si>
    <t>P13196</t>
  </si>
  <si>
    <t>P13284</t>
  </si>
  <si>
    <t>P13489</t>
  </si>
  <si>
    <t>P13498</t>
  </si>
  <si>
    <t>P13521</t>
  </si>
  <si>
    <t>P13639</t>
  </si>
  <si>
    <t>P13640-2</t>
  </si>
  <si>
    <t>P13667</t>
  </si>
  <si>
    <t>P13674</t>
  </si>
  <si>
    <t>P13674-2</t>
  </si>
  <si>
    <t>P13693</t>
  </si>
  <si>
    <t>P13804</t>
  </si>
  <si>
    <t>P13861</t>
  </si>
  <si>
    <t>P13866-2</t>
  </si>
  <si>
    <t>P13929</t>
  </si>
  <si>
    <t>P13984</t>
  </si>
  <si>
    <t>P13994</t>
  </si>
  <si>
    <t>P13995</t>
  </si>
  <si>
    <t>P14174</t>
  </si>
  <si>
    <t>P14222</t>
  </si>
  <si>
    <t>P14324-2</t>
  </si>
  <si>
    <t>P14550</t>
  </si>
  <si>
    <t>P14555</t>
  </si>
  <si>
    <t>P14618</t>
  </si>
  <si>
    <t>P14618-2</t>
  </si>
  <si>
    <t>P14621</t>
  </si>
  <si>
    <t>P14625</t>
  </si>
  <si>
    <t>P14635</t>
  </si>
  <si>
    <t>P14649</t>
  </si>
  <si>
    <t>P14678-2</t>
  </si>
  <si>
    <t>P14735</t>
  </si>
  <si>
    <t>P14854</t>
  </si>
  <si>
    <t>P14866</t>
  </si>
  <si>
    <t>P14868</t>
  </si>
  <si>
    <t>P14923</t>
  </si>
  <si>
    <t>P14927</t>
  </si>
  <si>
    <t>P15104</t>
  </si>
  <si>
    <t>P15144</t>
  </si>
  <si>
    <t>P15151-3</t>
  </si>
  <si>
    <t>P15170-2</t>
  </si>
  <si>
    <t>P15289</t>
  </si>
  <si>
    <t>P15291-2</t>
  </si>
  <si>
    <t>P15311</t>
  </si>
  <si>
    <t>P15374</t>
  </si>
  <si>
    <t>P15407</t>
  </si>
  <si>
    <t>P15529-7</t>
  </si>
  <si>
    <t>P15531</t>
  </si>
  <si>
    <t>P15822</t>
  </si>
  <si>
    <t>P15848</t>
  </si>
  <si>
    <t>P15880</t>
  </si>
  <si>
    <t>P15882-3</t>
  </si>
  <si>
    <t>P15924</t>
  </si>
  <si>
    <t>P15927</t>
  </si>
  <si>
    <t>P15954</t>
  </si>
  <si>
    <t>P16144-2</t>
  </si>
  <si>
    <t>P16152</t>
  </si>
  <si>
    <t>P16188</t>
  </si>
  <si>
    <t>P16219</t>
  </si>
  <si>
    <t>P16220-2</t>
  </si>
  <si>
    <t>P16278-3</t>
  </si>
  <si>
    <t>P16298</t>
  </si>
  <si>
    <t>P16383</t>
  </si>
  <si>
    <t>P16401</t>
  </si>
  <si>
    <t>P16435</t>
  </si>
  <si>
    <t>P16455</t>
  </si>
  <si>
    <t>P16615</t>
  </si>
  <si>
    <t>P16870-2</t>
  </si>
  <si>
    <t>P16930</t>
  </si>
  <si>
    <t>P16949</t>
  </si>
  <si>
    <t>P16989</t>
  </si>
  <si>
    <t>P16989-2</t>
  </si>
  <si>
    <t>P17028</t>
  </si>
  <si>
    <t>P17050</t>
  </si>
  <si>
    <t>P17066</t>
  </si>
  <si>
    <t>P17096</t>
  </si>
  <si>
    <t>P17096-2</t>
  </si>
  <si>
    <t>P17152</t>
  </si>
  <si>
    <t>P17174</t>
  </si>
  <si>
    <t>P17252</t>
  </si>
  <si>
    <t>P17275</t>
  </si>
  <si>
    <t>P17301</t>
  </si>
  <si>
    <t>P17535</t>
  </si>
  <si>
    <t>P17568</t>
  </si>
  <si>
    <t>P17612</t>
  </si>
  <si>
    <t>P17655</t>
  </si>
  <si>
    <t>P17706-2</t>
  </si>
  <si>
    <t>P17812</t>
  </si>
  <si>
    <t>P17858</t>
  </si>
  <si>
    <t>P17900</t>
  </si>
  <si>
    <t>P17931</t>
  </si>
  <si>
    <t>P17987</t>
  </si>
  <si>
    <t>P18031</t>
  </si>
  <si>
    <t>P18065</t>
  </si>
  <si>
    <t>P18085</t>
  </si>
  <si>
    <t>P18124</t>
  </si>
  <si>
    <t>P18146</t>
  </si>
  <si>
    <t>P18206-2</t>
  </si>
  <si>
    <t>P18283</t>
  </si>
  <si>
    <t>P18615</t>
  </si>
  <si>
    <t>P18669</t>
  </si>
  <si>
    <t>P18754</t>
  </si>
  <si>
    <t>P18827</t>
  </si>
  <si>
    <t>P18846</t>
  </si>
  <si>
    <t>P18858</t>
  </si>
  <si>
    <t>P18859</t>
  </si>
  <si>
    <t>P19021-6</t>
  </si>
  <si>
    <t>P19174</t>
  </si>
  <si>
    <t>P19338</t>
  </si>
  <si>
    <t>P19367</t>
  </si>
  <si>
    <t>P19387</t>
  </si>
  <si>
    <t>P19388</t>
  </si>
  <si>
    <t>P19447</t>
  </si>
  <si>
    <t>P19525</t>
  </si>
  <si>
    <t>P19623</t>
  </si>
  <si>
    <t>P19784</t>
  </si>
  <si>
    <t>P19838</t>
  </si>
  <si>
    <t>P20020-6</t>
  </si>
  <si>
    <t>P20042</t>
  </si>
  <si>
    <t>P20248</t>
  </si>
  <si>
    <t>P20290</t>
  </si>
  <si>
    <t>P20290-2</t>
  </si>
  <si>
    <t>P20309</t>
  </si>
  <si>
    <t>P20336</t>
  </si>
  <si>
    <t>P20337</t>
  </si>
  <si>
    <t>P20338</t>
  </si>
  <si>
    <t>P20340</t>
  </si>
  <si>
    <t>P20340-2</t>
  </si>
  <si>
    <t>P20585</t>
  </si>
  <si>
    <t>P20618</t>
  </si>
  <si>
    <t>P20645</t>
  </si>
  <si>
    <t>P20674</t>
  </si>
  <si>
    <t>P20700</t>
  </si>
  <si>
    <t>P20810-5</t>
  </si>
  <si>
    <t>P20933</t>
  </si>
  <si>
    <t>P20962</t>
  </si>
  <si>
    <t>P21127-8</t>
  </si>
  <si>
    <t>P21266</t>
  </si>
  <si>
    <t>P21281</t>
  </si>
  <si>
    <t>P21283</t>
  </si>
  <si>
    <t>P21291</t>
  </si>
  <si>
    <t>P21333-2</t>
  </si>
  <si>
    <t>P21359-2</t>
  </si>
  <si>
    <t>P21397</t>
  </si>
  <si>
    <t>P21399</t>
  </si>
  <si>
    <t>P21580</t>
  </si>
  <si>
    <t>P21695-2</t>
  </si>
  <si>
    <t>P21796</t>
  </si>
  <si>
    <t>P21860-4</t>
  </si>
  <si>
    <t>P21912</t>
  </si>
  <si>
    <t>P21953</t>
  </si>
  <si>
    <t>P21964-2</t>
  </si>
  <si>
    <t>P22033</t>
  </si>
  <si>
    <t>P22059</t>
  </si>
  <si>
    <t>P22083</t>
  </si>
  <si>
    <t>P22087</t>
  </si>
  <si>
    <t>P22102</t>
  </si>
  <si>
    <t>P22234</t>
  </si>
  <si>
    <t>P22304</t>
  </si>
  <si>
    <t>P22307-6</t>
  </si>
  <si>
    <t>P22314</t>
  </si>
  <si>
    <t>P22532</t>
  </si>
  <si>
    <t>P22570</t>
  </si>
  <si>
    <t>P22626</t>
  </si>
  <si>
    <t>P22681</t>
  </si>
  <si>
    <t>P22692</t>
  </si>
  <si>
    <t>P22694</t>
  </si>
  <si>
    <t>P22695</t>
  </si>
  <si>
    <t>P22830</t>
  </si>
  <si>
    <t>P23025</t>
  </si>
  <si>
    <t>P23141-3</t>
  </si>
  <si>
    <t>P23193</t>
  </si>
  <si>
    <t>P23246</t>
  </si>
  <si>
    <t>P23258</t>
  </si>
  <si>
    <t>P23280</t>
  </si>
  <si>
    <t>P23284</t>
  </si>
  <si>
    <t>P23368</t>
  </si>
  <si>
    <t>P23381</t>
  </si>
  <si>
    <t>P23396</t>
  </si>
  <si>
    <t>P23409</t>
  </si>
  <si>
    <t>P23434</t>
  </si>
  <si>
    <t>P23469-2</t>
  </si>
  <si>
    <t>P23497</t>
  </si>
  <si>
    <t>P23511-2</t>
  </si>
  <si>
    <t>P23526</t>
  </si>
  <si>
    <t>P23528</t>
  </si>
  <si>
    <t>P23610</t>
  </si>
  <si>
    <t>P23786</t>
  </si>
  <si>
    <t>P23919</t>
  </si>
  <si>
    <t>P23921</t>
  </si>
  <si>
    <t>P24385</t>
  </si>
  <si>
    <t>P24468</t>
  </si>
  <si>
    <t>P24534</t>
  </si>
  <si>
    <t>P24593</t>
  </si>
  <si>
    <t>P24666</t>
  </si>
  <si>
    <t>P24666-2</t>
  </si>
  <si>
    <t>P24752</t>
  </si>
  <si>
    <t>P24928</t>
  </si>
  <si>
    <t>P25054-2</t>
  </si>
  <si>
    <t>P25098</t>
  </si>
  <si>
    <t>P25205</t>
  </si>
  <si>
    <t>P25311</t>
  </si>
  <si>
    <t>P25398</t>
  </si>
  <si>
    <t>P25490</t>
  </si>
  <si>
    <t>P25685</t>
  </si>
  <si>
    <t>P25705</t>
  </si>
  <si>
    <t>P25786</t>
  </si>
  <si>
    <t>P25787</t>
  </si>
  <si>
    <t>P25788-2</t>
  </si>
  <si>
    <t>P25789</t>
  </si>
  <si>
    <t>P25815</t>
  </si>
  <si>
    <t>P26038</t>
  </si>
  <si>
    <t>P26196</t>
  </si>
  <si>
    <t>P26358</t>
  </si>
  <si>
    <t>P26368-2</t>
  </si>
  <si>
    <t>P26373</t>
  </si>
  <si>
    <t>P26374</t>
  </si>
  <si>
    <t>P26440</t>
  </si>
  <si>
    <t>P26447</t>
  </si>
  <si>
    <t>P26572</t>
  </si>
  <si>
    <t>P26583</t>
  </si>
  <si>
    <t>P26599</t>
  </si>
  <si>
    <t>P26639</t>
  </si>
  <si>
    <t>P26641</t>
  </si>
  <si>
    <t>P26885</t>
  </si>
  <si>
    <t>P27144</t>
  </si>
  <si>
    <t>P27338</t>
  </si>
  <si>
    <t>P27348</t>
  </si>
  <si>
    <t>P27361</t>
  </si>
  <si>
    <t>P27449</t>
  </si>
  <si>
    <t>P27482</t>
  </si>
  <si>
    <t>P27540-2</t>
  </si>
  <si>
    <t>P27635</t>
  </si>
  <si>
    <t>P27694</t>
  </si>
  <si>
    <t>P27695</t>
  </si>
  <si>
    <t>P27797</t>
  </si>
  <si>
    <t>P27816-5</t>
  </si>
  <si>
    <t>P27824</t>
  </si>
  <si>
    <t>P27986</t>
  </si>
  <si>
    <t>P27987</t>
  </si>
  <si>
    <t>P28062-2</t>
  </si>
  <si>
    <t>P28066</t>
  </si>
  <si>
    <t>P28070</t>
  </si>
  <si>
    <t>P28072</t>
  </si>
  <si>
    <t>P28074</t>
  </si>
  <si>
    <t>P28331-4</t>
  </si>
  <si>
    <t>P28482</t>
  </si>
  <si>
    <t>P28702</t>
  </si>
  <si>
    <t>P28715</t>
  </si>
  <si>
    <t>P28799</t>
  </si>
  <si>
    <t>P28838-2</t>
  </si>
  <si>
    <t>P29034</t>
  </si>
  <si>
    <t>P29083</t>
  </si>
  <si>
    <t>P29084</t>
  </si>
  <si>
    <t>P29144</t>
  </si>
  <si>
    <t>P29218</t>
  </si>
  <si>
    <t>P29317</t>
  </si>
  <si>
    <t>P29323-2</t>
  </si>
  <si>
    <t>P29350</t>
  </si>
  <si>
    <t>P29353-2</t>
  </si>
  <si>
    <t>P29372-5</t>
  </si>
  <si>
    <t>P29373</t>
  </si>
  <si>
    <t>P29400</t>
  </si>
  <si>
    <t>P29401</t>
  </si>
  <si>
    <t>P29590-11</t>
  </si>
  <si>
    <t>P29966</t>
  </si>
  <si>
    <t>P29992</t>
  </si>
  <si>
    <t>P30038</t>
  </si>
  <si>
    <t>P30040</t>
  </si>
  <si>
    <t>P30041</t>
  </si>
  <si>
    <t>P30042</t>
  </si>
  <si>
    <t>P30043</t>
  </si>
  <si>
    <t>P30044</t>
  </si>
  <si>
    <t>P30046</t>
  </si>
  <si>
    <t>P30047</t>
  </si>
  <si>
    <t>P30049</t>
  </si>
  <si>
    <t>P30050</t>
  </si>
  <si>
    <t>P30084</t>
  </si>
  <si>
    <t>P30085</t>
  </si>
  <si>
    <t>P30086</t>
  </si>
  <si>
    <t>P30101</t>
  </si>
  <si>
    <t>P30153</t>
  </si>
  <si>
    <t>P30154</t>
  </si>
  <si>
    <t>P30260</t>
  </si>
  <si>
    <t>P30281-3</t>
  </si>
  <si>
    <t>P30291</t>
  </si>
  <si>
    <t>P30405</t>
  </si>
  <si>
    <t>P30414</t>
  </si>
  <si>
    <t>P30419</t>
  </si>
  <si>
    <t>P30443</t>
  </si>
  <si>
    <t>P30492</t>
  </si>
  <si>
    <t>P30504</t>
  </si>
  <si>
    <t>P30508</t>
  </si>
  <si>
    <t>P30519</t>
  </si>
  <si>
    <t>P30520</t>
  </si>
  <si>
    <t>P30533</t>
  </si>
  <si>
    <t>P30566</t>
  </si>
  <si>
    <t>P30613-2</t>
  </si>
  <si>
    <t>P30622-2</t>
  </si>
  <si>
    <t>P30711</t>
  </si>
  <si>
    <t>P30740</t>
  </si>
  <si>
    <t>P30793</t>
  </si>
  <si>
    <t>P30825</t>
  </si>
  <si>
    <t>P30837</t>
  </si>
  <si>
    <t>P30838</t>
  </si>
  <si>
    <t>P31040</t>
  </si>
  <si>
    <t>P31146</t>
  </si>
  <si>
    <t>P31150</t>
  </si>
  <si>
    <t>P31153</t>
  </si>
  <si>
    <t>P31323</t>
  </si>
  <si>
    <t>P31350</t>
  </si>
  <si>
    <t>P31641</t>
  </si>
  <si>
    <t>P31689</t>
  </si>
  <si>
    <t>P31749</t>
  </si>
  <si>
    <t>P31751</t>
  </si>
  <si>
    <t>P31930</t>
  </si>
  <si>
    <t>P31937</t>
  </si>
  <si>
    <t>P31939</t>
  </si>
  <si>
    <t>P31942-2</t>
  </si>
  <si>
    <t>P31946</t>
  </si>
  <si>
    <t>P31947</t>
  </si>
  <si>
    <t>P31948</t>
  </si>
  <si>
    <t>P31949</t>
  </si>
  <si>
    <t>P32019-3</t>
  </si>
  <si>
    <t>P32119</t>
  </si>
  <si>
    <t>P32121-5</t>
  </si>
  <si>
    <t>P32189-1</t>
  </si>
  <si>
    <t>P32320</t>
  </si>
  <si>
    <t>P32321-2</t>
  </si>
  <si>
    <t>P32322</t>
  </si>
  <si>
    <t>P32519-2</t>
  </si>
  <si>
    <t>P32929</t>
  </si>
  <si>
    <t>P32969</t>
  </si>
  <si>
    <t>P33121</t>
  </si>
  <si>
    <t>P33176</t>
  </si>
  <si>
    <t>P33240-2</t>
  </si>
  <si>
    <t>P33316</t>
  </si>
  <si>
    <t>P33316-2</t>
  </si>
  <si>
    <t>P33552</t>
  </si>
  <si>
    <t>P33764</t>
  </si>
  <si>
    <t>P33908</t>
  </si>
  <si>
    <t>P33981-2</t>
  </si>
  <si>
    <t>P33991</t>
  </si>
  <si>
    <t>P33992</t>
  </si>
  <si>
    <t>P33993</t>
  </si>
  <si>
    <t>P34059</t>
  </si>
  <si>
    <t>P34896-2</t>
  </si>
  <si>
    <t>P34897-3</t>
  </si>
  <si>
    <t>P34932</t>
  </si>
  <si>
    <t>P34949</t>
  </si>
  <si>
    <t>P35219</t>
  </si>
  <si>
    <t>P35221</t>
  </si>
  <si>
    <t>P35227</t>
  </si>
  <si>
    <t>P35232</t>
  </si>
  <si>
    <t>P35237</t>
  </si>
  <si>
    <t>P35240-4</t>
  </si>
  <si>
    <t>P35241</t>
  </si>
  <si>
    <t>P35244</t>
  </si>
  <si>
    <t>P35250</t>
  </si>
  <si>
    <t>P35251-2</t>
  </si>
  <si>
    <t>P35268</t>
  </si>
  <si>
    <t>P35269</t>
  </si>
  <si>
    <t>P35270</t>
  </si>
  <si>
    <t>P35318</t>
  </si>
  <si>
    <t>P35475</t>
  </si>
  <si>
    <t>P35573</t>
  </si>
  <si>
    <t>P35579</t>
  </si>
  <si>
    <t>P35580</t>
  </si>
  <si>
    <t>P35606</t>
  </si>
  <si>
    <t>P35610</t>
  </si>
  <si>
    <t>P35611</t>
  </si>
  <si>
    <t>P35613-2</t>
  </si>
  <si>
    <t>P35626</t>
  </si>
  <si>
    <t>P35637-2</t>
  </si>
  <si>
    <t>P35658-2</t>
  </si>
  <si>
    <t>P35659</t>
  </si>
  <si>
    <t>P35754</t>
  </si>
  <si>
    <t>P35790</t>
  </si>
  <si>
    <t>P35813</t>
  </si>
  <si>
    <t>P35998</t>
  </si>
  <si>
    <t>P36404</t>
  </si>
  <si>
    <t>P36405</t>
  </si>
  <si>
    <t>P36507</t>
  </si>
  <si>
    <t>P36542</t>
  </si>
  <si>
    <t>P36543</t>
  </si>
  <si>
    <t>P36551</t>
  </si>
  <si>
    <t>P36578</t>
  </si>
  <si>
    <t>P36639-4</t>
  </si>
  <si>
    <t>P36871</t>
  </si>
  <si>
    <t>P36873-2</t>
  </si>
  <si>
    <t>P36915</t>
  </si>
  <si>
    <t>P36952</t>
  </si>
  <si>
    <t>P36954</t>
  </si>
  <si>
    <t>P36955</t>
  </si>
  <si>
    <t>P36957</t>
  </si>
  <si>
    <t>P36959</t>
  </si>
  <si>
    <t>P36969-2</t>
  </si>
  <si>
    <t>P37108</t>
  </si>
  <si>
    <t>P37198</t>
  </si>
  <si>
    <t>P37235</t>
  </si>
  <si>
    <t>P37268</t>
  </si>
  <si>
    <t>P37287-3</t>
  </si>
  <si>
    <t>P37802</t>
  </si>
  <si>
    <t>P37837</t>
  </si>
  <si>
    <t>P38117</t>
  </si>
  <si>
    <t>P38117-2</t>
  </si>
  <si>
    <t>P38159</t>
  </si>
  <si>
    <t>P38432</t>
  </si>
  <si>
    <t>P38435</t>
  </si>
  <si>
    <t>P38570</t>
  </si>
  <si>
    <t>P38606</t>
  </si>
  <si>
    <t>P38646</t>
  </si>
  <si>
    <t>P38919</t>
  </si>
  <si>
    <t>P38935</t>
  </si>
  <si>
    <t>P39019</t>
  </si>
  <si>
    <t>P39023</t>
  </si>
  <si>
    <t>P39656</t>
  </si>
  <si>
    <t>P39687</t>
  </si>
  <si>
    <t>P39748</t>
  </si>
  <si>
    <t>P39880-3</t>
  </si>
  <si>
    <t>P40121-2</t>
  </si>
  <si>
    <t>P40189-3</t>
  </si>
  <si>
    <t>P40222</t>
  </si>
  <si>
    <t>P40227</t>
  </si>
  <si>
    <t>P40306</t>
  </si>
  <si>
    <t>P40337-3</t>
  </si>
  <si>
    <t>P40692</t>
  </si>
  <si>
    <t>P40763</t>
  </si>
  <si>
    <t>P40763-2</t>
  </si>
  <si>
    <t>P40818</t>
  </si>
  <si>
    <t>P40925</t>
  </si>
  <si>
    <t>P40926</t>
  </si>
  <si>
    <t>P40937</t>
  </si>
  <si>
    <t>P40938-2</t>
  </si>
  <si>
    <t>P40939</t>
  </si>
  <si>
    <t>P41091</t>
  </si>
  <si>
    <t>P41134</t>
  </si>
  <si>
    <t>P41182-2</t>
  </si>
  <si>
    <t>P41208</t>
  </si>
  <si>
    <t>P41212</t>
  </si>
  <si>
    <t>P41214</t>
  </si>
  <si>
    <t>P41223</t>
  </si>
  <si>
    <t>P41227</t>
  </si>
  <si>
    <t>P41229-3</t>
  </si>
  <si>
    <t>P41240</t>
  </si>
  <si>
    <t>P41247</t>
  </si>
  <si>
    <t>P41250</t>
  </si>
  <si>
    <t>P41252</t>
  </si>
  <si>
    <t>P41440-2</t>
  </si>
  <si>
    <t>P41567</t>
  </si>
  <si>
    <t>P41743</t>
  </si>
  <si>
    <t>P42025</t>
  </si>
  <si>
    <t>P42126-2</t>
  </si>
  <si>
    <t>P42166</t>
  </si>
  <si>
    <t>P42167</t>
  </si>
  <si>
    <t>P42167-2</t>
  </si>
  <si>
    <t>P42224</t>
  </si>
  <si>
    <t>P42226</t>
  </si>
  <si>
    <t>P42285</t>
  </si>
  <si>
    <t>P42330</t>
  </si>
  <si>
    <t>P42345</t>
  </si>
  <si>
    <t>P42566</t>
  </si>
  <si>
    <t>P42574</t>
  </si>
  <si>
    <t>P42575</t>
  </si>
  <si>
    <t>P42677</t>
  </si>
  <si>
    <t>P42684-8</t>
  </si>
  <si>
    <t>P42685</t>
  </si>
  <si>
    <t>P42695</t>
  </si>
  <si>
    <t>P42704</t>
  </si>
  <si>
    <t>P42765</t>
  </si>
  <si>
    <t>P42766</t>
  </si>
  <si>
    <t>P42772</t>
  </si>
  <si>
    <t>P42785</t>
  </si>
  <si>
    <t>P42858</t>
  </si>
  <si>
    <t>P42892-3</t>
  </si>
  <si>
    <t>P42898</t>
  </si>
  <si>
    <t>P43003-2</t>
  </si>
  <si>
    <t>P43007</t>
  </si>
  <si>
    <t>P43034</t>
  </si>
  <si>
    <t>P43121</t>
  </si>
  <si>
    <t>P43155-2</t>
  </si>
  <si>
    <t>P43246</t>
  </si>
  <si>
    <t>P43304</t>
  </si>
  <si>
    <t>P43307</t>
  </si>
  <si>
    <t>P43378</t>
  </si>
  <si>
    <t>P43405</t>
  </si>
  <si>
    <t>P43487</t>
  </si>
  <si>
    <t>P43490</t>
  </si>
  <si>
    <t>P43686</t>
  </si>
  <si>
    <t>P43897</t>
  </si>
  <si>
    <t>P45880</t>
  </si>
  <si>
    <t>P45954</t>
  </si>
  <si>
    <t>P45973</t>
  </si>
  <si>
    <t>P45974-2</t>
  </si>
  <si>
    <t>P45983-3</t>
  </si>
  <si>
    <t>P45984-3</t>
  </si>
  <si>
    <t>P45985</t>
  </si>
  <si>
    <t>P46013</t>
  </si>
  <si>
    <t>P46060</t>
  </si>
  <si>
    <t>P46063</t>
  </si>
  <si>
    <t>P46087</t>
  </si>
  <si>
    <t>P46100-2</t>
  </si>
  <si>
    <t>P46108</t>
  </si>
  <si>
    <t>P46108-2</t>
  </si>
  <si>
    <t>P46109</t>
  </si>
  <si>
    <t>P46199</t>
  </si>
  <si>
    <t>P46527</t>
  </si>
  <si>
    <t>P46531</t>
  </si>
  <si>
    <t>P46734</t>
  </si>
  <si>
    <t>P46736-2</t>
  </si>
  <si>
    <t>P46777</t>
  </si>
  <si>
    <t>P46778</t>
  </si>
  <si>
    <t>P46781</t>
  </si>
  <si>
    <t>P46783</t>
  </si>
  <si>
    <t>P46926</t>
  </si>
  <si>
    <t>P46937</t>
  </si>
  <si>
    <t>P46939</t>
  </si>
  <si>
    <t>P46940</t>
  </si>
  <si>
    <t>P46976-2</t>
  </si>
  <si>
    <t>P46977</t>
  </si>
  <si>
    <t>P47224</t>
  </si>
  <si>
    <t>P47712</t>
  </si>
  <si>
    <t>P47755</t>
  </si>
  <si>
    <t>P47756-2</t>
  </si>
  <si>
    <t>P47813</t>
  </si>
  <si>
    <t>P47897</t>
  </si>
  <si>
    <t>P47914</t>
  </si>
  <si>
    <t>P47929</t>
  </si>
  <si>
    <t>P47985</t>
  </si>
  <si>
    <t>P48029</t>
  </si>
  <si>
    <t>P48047</t>
  </si>
  <si>
    <t>P48059</t>
  </si>
  <si>
    <t>P48060</t>
  </si>
  <si>
    <t>P48067-2</t>
  </si>
  <si>
    <t>P48147</t>
  </si>
  <si>
    <t>P48163</t>
  </si>
  <si>
    <t>P48200</t>
  </si>
  <si>
    <t>P48431</t>
  </si>
  <si>
    <t>P48436</t>
  </si>
  <si>
    <t>P48444</t>
  </si>
  <si>
    <t>P48449</t>
  </si>
  <si>
    <t>P48454-2</t>
  </si>
  <si>
    <t>P48506</t>
  </si>
  <si>
    <t>P48507</t>
  </si>
  <si>
    <t>P48634</t>
  </si>
  <si>
    <t>P48637</t>
  </si>
  <si>
    <t>P48643</t>
  </si>
  <si>
    <t>P48651</t>
  </si>
  <si>
    <t>P48723</t>
  </si>
  <si>
    <t>P48728</t>
  </si>
  <si>
    <t>P48729</t>
  </si>
  <si>
    <t>P48730-2</t>
  </si>
  <si>
    <t>P48735</t>
  </si>
  <si>
    <t>P48739</t>
  </si>
  <si>
    <t>P48960-2</t>
  </si>
  <si>
    <t>P49005</t>
  </si>
  <si>
    <t>P49006</t>
  </si>
  <si>
    <t>P49069</t>
  </si>
  <si>
    <t>P49116</t>
  </si>
  <si>
    <t>P49137</t>
  </si>
  <si>
    <t>P49189</t>
  </si>
  <si>
    <t>P49207</t>
  </si>
  <si>
    <t>P49247</t>
  </si>
  <si>
    <t>P49257</t>
  </si>
  <si>
    <t>P49321-3</t>
  </si>
  <si>
    <t>P49327</t>
  </si>
  <si>
    <t>P49336-2</t>
  </si>
  <si>
    <t>P49354</t>
  </si>
  <si>
    <t>P49366</t>
  </si>
  <si>
    <t>P49368</t>
  </si>
  <si>
    <t>P49406</t>
  </si>
  <si>
    <t>P49407-2</t>
  </si>
  <si>
    <t>P49411</t>
  </si>
  <si>
    <t>P49419-2</t>
  </si>
  <si>
    <t>P49427</t>
  </si>
  <si>
    <t>P49441</t>
  </si>
  <si>
    <t>P49454</t>
  </si>
  <si>
    <t>P49458</t>
  </si>
  <si>
    <t>P49459</t>
  </si>
  <si>
    <t>P49585</t>
  </si>
  <si>
    <t>P49588</t>
  </si>
  <si>
    <t>P49589-3</t>
  </si>
  <si>
    <t>P49591</t>
  </si>
  <si>
    <t>P49642</t>
  </si>
  <si>
    <t>P49643</t>
  </si>
  <si>
    <t>P49662</t>
  </si>
  <si>
    <t>P49674</t>
  </si>
  <si>
    <t>P49711-2</t>
  </si>
  <si>
    <t>P49720</t>
  </si>
  <si>
    <t>P49721</t>
  </si>
  <si>
    <t>P49736</t>
  </si>
  <si>
    <t>P49748-2</t>
  </si>
  <si>
    <t>P49750-4</t>
  </si>
  <si>
    <t>P49753</t>
  </si>
  <si>
    <t>P49755</t>
  </si>
  <si>
    <t>P49756</t>
  </si>
  <si>
    <t>P49757-4</t>
  </si>
  <si>
    <t>P49770</t>
  </si>
  <si>
    <t>P49773</t>
  </si>
  <si>
    <t>P49789</t>
  </si>
  <si>
    <t>P49790</t>
  </si>
  <si>
    <t>P49792</t>
  </si>
  <si>
    <t>P49798-3</t>
  </si>
  <si>
    <t>P49840</t>
  </si>
  <si>
    <t>P49841</t>
  </si>
  <si>
    <t>P49902</t>
  </si>
  <si>
    <t>P49903</t>
  </si>
  <si>
    <t>P49914</t>
  </si>
  <si>
    <t>P49915</t>
  </si>
  <si>
    <t>P49916</t>
  </si>
  <si>
    <t>P49959</t>
  </si>
  <si>
    <t>P49961</t>
  </si>
  <si>
    <t>P50053</t>
  </si>
  <si>
    <t>P50148</t>
  </si>
  <si>
    <t>P50151</t>
  </si>
  <si>
    <t>P50213</t>
  </si>
  <si>
    <t>P50238</t>
  </si>
  <si>
    <t>P50336</t>
  </si>
  <si>
    <t>P50402</t>
  </si>
  <si>
    <t>P50416-2</t>
  </si>
  <si>
    <t>P50452</t>
  </si>
  <si>
    <t>P50453</t>
  </si>
  <si>
    <t>P50454</t>
  </si>
  <si>
    <t>P50502</t>
  </si>
  <si>
    <t>P50552</t>
  </si>
  <si>
    <t>P50570-4</t>
  </si>
  <si>
    <t>P50579</t>
  </si>
  <si>
    <t>P50583</t>
  </si>
  <si>
    <t>P50613</t>
  </si>
  <si>
    <t>P50747</t>
  </si>
  <si>
    <t>P50748</t>
  </si>
  <si>
    <t>P50750</t>
  </si>
  <si>
    <t>P50895</t>
  </si>
  <si>
    <t>P50897</t>
  </si>
  <si>
    <t>P50990</t>
  </si>
  <si>
    <t>P50991</t>
  </si>
  <si>
    <t>P51116</t>
  </si>
  <si>
    <t>P51148</t>
  </si>
  <si>
    <t>P51149</t>
  </si>
  <si>
    <t>P51151</t>
  </si>
  <si>
    <t>P51153</t>
  </si>
  <si>
    <t>P51157</t>
  </si>
  <si>
    <t>P51161</t>
  </si>
  <si>
    <t>P51397</t>
  </si>
  <si>
    <t>P51398-2</t>
  </si>
  <si>
    <t>P51452</t>
  </si>
  <si>
    <t>P51531-2</t>
  </si>
  <si>
    <t>P51553</t>
  </si>
  <si>
    <t>P51570</t>
  </si>
  <si>
    <t>P51571</t>
  </si>
  <si>
    <t>P51572</t>
  </si>
  <si>
    <t>P51580</t>
  </si>
  <si>
    <t>P51608</t>
  </si>
  <si>
    <t>P51610-2</t>
  </si>
  <si>
    <t>P51648</t>
  </si>
  <si>
    <t>P51659</t>
  </si>
  <si>
    <t>P51665</t>
  </si>
  <si>
    <t>P51687</t>
  </si>
  <si>
    <t>P51688</t>
  </si>
  <si>
    <t>P51787-2</t>
  </si>
  <si>
    <t>P51790-4</t>
  </si>
  <si>
    <t>P51797</t>
  </si>
  <si>
    <t>P51798-2</t>
  </si>
  <si>
    <t>P51805</t>
  </si>
  <si>
    <t>P51809</t>
  </si>
  <si>
    <t>P51812</t>
  </si>
  <si>
    <t>P51817</t>
  </si>
  <si>
    <t>P51857-2</t>
  </si>
  <si>
    <t>P51858</t>
  </si>
  <si>
    <t>P51946</t>
  </si>
  <si>
    <t>P51948-2</t>
  </si>
  <si>
    <t>P51970</t>
  </si>
  <si>
    <t>P51991</t>
  </si>
  <si>
    <t>P52272-2</t>
  </si>
  <si>
    <t>P52292</t>
  </si>
  <si>
    <t>P52294</t>
  </si>
  <si>
    <t>P52298</t>
  </si>
  <si>
    <t>P52306</t>
  </si>
  <si>
    <t>P52306-4</t>
  </si>
  <si>
    <t>P52564</t>
  </si>
  <si>
    <t>P52565</t>
  </si>
  <si>
    <t>P52597</t>
  </si>
  <si>
    <t>P52630-4</t>
  </si>
  <si>
    <t>P52655</t>
  </si>
  <si>
    <t>P52657</t>
  </si>
  <si>
    <t>P52701</t>
  </si>
  <si>
    <t>P52732</t>
  </si>
  <si>
    <t>P52735-3</t>
  </si>
  <si>
    <t>P52756</t>
  </si>
  <si>
    <t>P52758</t>
  </si>
  <si>
    <t>P52788</t>
  </si>
  <si>
    <t>P52789</t>
  </si>
  <si>
    <t>P52798-2</t>
  </si>
  <si>
    <t>P52799</t>
  </si>
  <si>
    <t>P52888</t>
  </si>
  <si>
    <t>P52895</t>
  </si>
  <si>
    <t>P52907</t>
  </si>
  <si>
    <t>P52943</t>
  </si>
  <si>
    <t>P52948-6</t>
  </si>
  <si>
    <t>P53004</t>
  </si>
  <si>
    <t>P53007</t>
  </si>
  <si>
    <t>P53365</t>
  </si>
  <si>
    <t>P53367-2</t>
  </si>
  <si>
    <t>P53370</t>
  </si>
  <si>
    <t>P53384-2</t>
  </si>
  <si>
    <t>P53396</t>
  </si>
  <si>
    <t>P53567</t>
  </si>
  <si>
    <t>P53582</t>
  </si>
  <si>
    <t>P53597</t>
  </si>
  <si>
    <t>P53602</t>
  </si>
  <si>
    <t>P53609</t>
  </si>
  <si>
    <t>P53611</t>
  </si>
  <si>
    <t>P53618</t>
  </si>
  <si>
    <t>P53621</t>
  </si>
  <si>
    <t>P53634</t>
  </si>
  <si>
    <t>P53677</t>
  </si>
  <si>
    <t>P53701</t>
  </si>
  <si>
    <t>P53778</t>
  </si>
  <si>
    <t>P53794</t>
  </si>
  <si>
    <t>P53803</t>
  </si>
  <si>
    <t>P53814-5</t>
  </si>
  <si>
    <t>P53816</t>
  </si>
  <si>
    <t>P53985</t>
  </si>
  <si>
    <t>P53990-2</t>
  </si>
  <si>
    <t>P53992</t>
  </si>
  <si>
    <t>P53999</t>
  </si>
  <si>
    <t>P54098</t>
  </si>
  <si>
    <t>P54136</t>
  </si>
  <si>
    <t>P54136-2</t>
  </si>
  <si>
    <t>P54253</t>
  </si>
  <si>
    <t>P54259</t>
  </si>
  <si>
    <t>P54577</t>
  </si>
  <si>
    <t>P54578</t>
  </si>
  <si>
    <t>P54619-2</t>
  </si>
  <si>
    <t>P54709</t>
  </si>
  <si>
    <t>P54727</t>
  </si>
  <si>
    <t>P54753</t>
  </si>
  <si>
    <t>P54764</t>
  </si>
  <si>
    <t>P54802</t>
  </si>
  <si>
    <t>P54819</t>
  </si>
  <si>
    <t>P54886-2</t>
  </si>
  <si>
    <t>P54920</t>
  </si>
  <si>
    <t>P55010</t>
  </si>
  <si>
    <t>P55011-3</t>
  </si>
  <si>
    <t>P55036</t>
  </si>
  <si>
    <t>P55039</t>
  </si>
  <si>
    <t>P55060-3</t>
  </si>
  <si>
    <t>P55072</t>
  </si>
  <si>
    <t>P55081</t>
  </si>
  <si>
    <t>P55082-2</t>
  </si>
  <si>
    <t>P55145</t>
  </si>
  <si>
    <t>P55198</t>
  </si>
  <si>
    <t>P55199</t>
  </si>
  <si>
    <t>P55210</t>
  </si>
  <si>
    <t>P55211</t>
  </si>
  <si>
    <t>P55212</t>
  </si>
  <si>
    <t>P55263</t>
  </si>
  <si>
    <t>P55268</t>
  </si>
  <si>
    <t>P55273</t>
  </si>
  <si>
    <t>P55327-2</t>
  </si>
  <si>
    <t>P55735</t>
  </si>
  <si>
    <t>P55789</t>
  </si>
  <si>
    <t>P55795</t>
  </si>
  <si>
    <t>P55809</t>
  </si>
  <si>
    <t>P55884</t>
  </si>
  <si>
    <t>P55957</t>
  </si>
  <si>
    <t>P56181</t>
  </si>
  <si>
    <t>P56181-2</t>
  </si>
  <si>
    <t>P56182</t>
  </si>
  <si>
    <t>P56192</t>
  </si>
  <si>
    <t>P56199</t>
  </si>
  <si>
    <t>P56211</t>
  </si>
  <si>
    <t>P56270-2</t>
  </si>
  <si>
    <t>P56277</t>
  </si>
  <si>
    <t>P56378</t>
  </si>
  <si>
    <t>P56381</t>
  </si>
  <si>
    <t>P56385</t>
  </si>
  <si>
    <t>P56524</t>
  </si>
  <si>
    <t>P56537</t>
  </si>
  <si>
    <t>P56545-2</t>
  </si>
  <si>
    <t>P56556</t>
  </si>
  <si>
    <t>P56559</t>
  </si>
  <si>
    <t>P56589</t>
  </si>
  <si>
    <t>P56937-3</t>
  </si>
  <si>
    <t>P56945-5</t>
  </si>
  <si>
    <t>P56962</t>
  </si>
  <si>
    <t>P57054-3</t>
  </si>
  <si>
    <t>P57060</t>
  </si>
  <si>
    <t>P57076</t>
  </si>
  <si>
    <t>P57081-2</t>
  </si>
  <si>
    <t>P57088</t>
  </si>
  <si>
    <t>P57105</t>
  </si>
  <si>
    <t>P57682</t>
  </si>
  <si>
    <t>P57735</t>
  </si>
  <si>
    <t>P57737-3</t>
  </si>
  <si>
    <t>P57740</t>
  </si>
  <si>
    <t>P57772</t>
  </si>
  <si>
    <t>P58546</t>
  </si>
  <si>
    <t>P59998</t>
  </si>
  <si>
    <t>P60059</t>
  </si>
  <si>
    <t>P60174</t>
  </si>
  <si>
    <t>P60228</t>
  </si>
  <si>
    <t>P60468</t>
  </si>
  <si>
    <t>P60484</t>
  </si>
  <si>
    <t>P60510</t>
  </si>
  <si>
    <t>P60602</t>
  </si>
  <si>
    <t>P60604-2</t>
  </si>
  <si>
    <t>P60709</t>
  </si>
  <si>
    <t>P60763</t>
  </si>
  <si>
    <t>P60842</t>
  </si>
  <si>
    <t>P60866</t>
  </si>
  <si>
    <t>P60891</t>
  </si>
  <si>
    <t>P60896</t>
  </si>
  <si>
    <t>P60903</t>
  </si>
  <si>
    <t>P60953</t>
  </si>
  <si>
    <t>P60981</t>
  </si>
  <si>
    <t>P60983</t>
  </si>
  <si>
    <t>P61006</t>
  </si>
  <si>
    <t>P61009</t>
  </si>
  <si>
    <t>P61011</t>
  </si>
  <si>
    <t>P61018</t>
  </si>
  <si>
    <t>P61019</t>
  </si>
  <si>
    <t>P61020</t>
  </si>
  <si>
    <t>P61024</t>
  </si>
  <si>
    <t>P61026</t>
  </si>
  <si>
    <t>P61077</t>
  </si>
  <si>
    <t>P61081</t>
  </si>
  <si>
    <t>P61086</t>
  </si>
  <si>
    <t>P61088</t>
  </si>
  <si>
    <t>P61106</t>
  </si>
  <si>
    <t>P61129</t>
  </si>
  <si>
    <t>P61158</t>
  </si>
  <si>
    <t>P61160</t>
  </si>
  <si>
    <t>P61163</t>
  </si>
  <si>
    <t>P61201</t>
  </si>
  <si>
    <t>P61204</t>
  </si>
  <si>
    <t>P61218</t>
  </si>
  <si>
    <t>P61221</t>
  </si>
  <si>
    <t>P61224</t>
  </si>
  <si>
    <t>P61225</t>
  </si>
  <si>
    <t>P61244-2</t>
  </si>
  <si>
    <t>P61247</t>
  </si>
  <si>
    <t>P61254</t>
  </si>
  <si>
    <t>P61289</t>
  </si>
  <si>
    <t>P61326</t>
  </si>
  <si>
    <t>P61353</t>
  </si>
  <si>
    <t>P61457</t>
  </si>
  <si>
    <t>P61586</t>
  </si>
  <si>
    <t>P61599</t>
  </si>
  <si>
    <t>P61601</t>
  </si>
  <si>
    <t>P61604</t>
  </si>
  <si>
    <t>P61758</t>
  </si>
  <si>
    <t>P61764</t>
  </si>
  <si>
    <t>P61769</t>
  </si>
  <si>
    <t>P61812</t>
  </si>
  <si>
    <t>P61927</t>
  </si>
  <si>
    <t>P61962</t>
  </si>
  <si>
    <t>P61964</t>
  </si>
  <si>
    <t>P61966</t>
  </si>
  <si>
    <t>P61970</t>
  </si>
  <si>
    <t>P61978-3</t>
  </si>
  <si>
    <t>P61981</t>
  </si>
  <si>
    <t>P62070</t>
  </si>
  <si>
    <t>P62072</t>
  </si>
  <si>
    <t>P62081</t>
  </si>
  <si>
    <t>P62136</t>
  </si>
  <si>
    <t>P62140</t>
  </si>
  <si>
    <t>P62191</t>
  </si>
  <si>
    <t>P62195-2</t>
  </si>
  <si>
    <t>P62241</t>
  </si>
  <si>
    <t>P62249</t>
  </si>
  <si>
    <t>P62258</t>
  </si>
  <si>
    <t>P62263</t>
  </si>
  <si>
    <t>P62266</t>
  </si>
  <si>
    <t>P62269</t>
  </si>
  <si>
    <t>P62273</t>
  </si>
  <si>
    <t>P62277</t>
  </si>
  <si>
    <t>P62280</t>
  </si>
  <si>
    <t>P62304</t>
  </si>
  <si>
    <t>P62306</t>
  </si>
  <si>
    <t>P62308</t>
  </si>
  <si>
    <t>P62310</t>
  </si>
  <si>
    <t>P62312</t>
  </si>
  <si>
    <t>P62314</t>
  </si>
  <si>
    <t>P62316</t>
  </si>
  <si>
    <t>P62324</t>
  </si>
  <si>
    <t>P62328</t>
  </si>
  <si>
    <t>P62330</t>
  </si>
  <si>
    <t>P62333</t>
  </si>
  <si>
    <t>P62341</t>
  </si>
  <si>
    <t>P62380</t>
  </si>
  <si>
    <t>P62424</t>
  </si>
  <si>
    <t>P62487</t>
  </si>
  <si>
    <t>P62495</t>
  </si>
  <si>
    <t>P62633-2</t>
  </si>
  <si>
    <t>P62633-4</t>
  </si>
  <si>
    <t>P62633-5</t>
  </si>
  <si>
    <t>P62701</t>
  </si>
  <si>
    <t>P62714</t>
  </si>
  <si>
    <t>P62745</t>
  </si>
  <si>
    <t>P62750</t>
  </si>
  <si>
    <t>P62753</t>
  </si>
  <si>
    <t>P62760</t>
  </si>
  <si>
    <t>P62805</t>
  </si>
  <si>
    <t>P62820</t>
  </si>
  <si>
    <t>P62829</t>
  </si>
  <si>
    <t>P62834</t>
  </si>
  <si>
    <t>P62837</t>
  </si>
  <si>
    <t>P62851</t>
  </si>
  <si>
    <t>P62854</t>
  </si>
  <si>
    <t>P62857</t>
  </si>
  <si>
    <t>P62873</t>
  </si>
  <si>
    <t>P62877</t>
  </si>
  <si>
    <t>P62879</t>
  </si>
  <si>
    <t>P62906</t>
  </si>
  <si>
    <t>P62913-2</t>
  </si>
  <si>
    <t>P62917</t>
  </si>
  <si>
    <t>P62937</t>
  </si>
  <si>
    <t>P62942</t>
  </si>
  <si>
    <t>P62979</t>
  </si>
  <si>
    <t>P62987</t>
  </si>
  <si>
    <t>P62993</t>
  </si>
  <si>
    <t>P62995-3</t>
  </si>
  <si>
    <t>P63000</t>
  </si>
  <si>
    <t>P63010</t>
  </si>
  <si>
    <t>P63092-3</t>
  </si>
  <si>
    <t>P63096</t>
  </si>
  <si>
    <t>P63104</t>
  </si>
  <si>
    <t>P63151</t>
  </si>
  <si>
    <t>P63167</t>
  </si>
  <si>
    <t>P63173</t>
  </si>
  <si>
    <t>P63218</t>
  </si>
  <si>
    <t>P63244</t>
  </si>
  <si>
    <t>P63272</t>
  </si>
  <si>
    <t>P67775</t>
  </si>
  <si>
    <t>P67809</t>
  </si>
  <si>
    <t>P67936</t>
  </si>
  <si>
    <t>P68036</t>
  </si>
  <si>
    <t>P68104</t>
  </si>
  <si>
    <t>P68133</t>
  </si>
  <si>
    <t>P68363</t>
  </si>
  <si>
    <t>P68371</t>
  </si>
  <si>
    <t>P68402</t>
  </si>
  <si>
    <t>P69905</t>
  </si>
  <si>
    <t>P78310</t>
  </si>
  <si>
    <t>P78318</t>
  </si>
  <si>
    <t>P78330</t>
  </si>
  <si>
    <t>P78332</t>
  </si>
  <si>
    <t>P78345</t>
  </si>
  <si>
    <t>P78346</t>
  </si>
  <si>
    <t>P78347-2</t>
  </si>
  <si>
    <t>P78356</t>
  </si>
  <si>
    <t>P78368</t>
  </si>
  <si>
    <t>P78371</t>
  </si>
  <si>
    <t>P78406</t>
  </si>
  <si>
    <t>P78417</t>
  </si>
  <si>
    <t>P78524</t>
  </si>
  <si>
    <t>P78527</t>
  </si>
  <si>
    <t>P78536</t>
  </si>
  <si>
    <t>P78540</t>
  </si>
  <si>
    <t>P78549</t>
  </si>
  <si>
    <t>P80217</t>
  </si>
  <si>
    <t>P80294</t>
  </si>
  <si>
    <t>P80297</t>
  </si>
  <si>
    <t>P80303</t>
  </si>
  <si>
    <t>P80723</t>
  </si>
  <si>
    <t>P81605</t>
  </si>
  <si>
    <t>P82094</t>
  </si>
  <si>
    <t>P82664</t>
  </si>
  <si>
    <t>P82673</t>
  </si>
  <si>
    <t>P82675</t>
  </si>
  <si>
    <t>P82909</t>
  </si>
  <si>
    <t>P82912-2</t>
  </si>
  <si>
    <t>P82930</t>
  </si>
  <si>
    <t>P82932</t>
  </si>
  <si>
    <t>P82933</t>
  </si>
  <si>
    <t>P82979</t>
  </si>
  <si>
    <t>P83111</t>
  </si>
  <si>
    <t>P83436</t>
  </si>
  <si>
    <t>P83731</t>
  </si>
  <si>
    <t>P84085</t>
  </si>
  <si>
    <t>P84090</t>
  </si>
  <si>
    <t>P84095</t>
  </si>
  <si>
    <t>P84101-4</t>
  </si>
  <si>
    <t>P84157</t>
  </si>
  <si>
    <t>P84157-2</t>
  </si>
  <si>
    <t>P85037</t>
  </si>
  <si>
    <t>P86397</t>
  </si>
  <si>
    <t>P86791</t>
  </si>
  <si>
    <t>P98155-2</t>
  </si>
  <si>
    <t>P98172</t>
  </si>
  <si>
    <t>P98173-3</t>
  </si>
  <si>
    <t>P98175-2</t>
  </si>
  <si>
    <t>P98179</t>
  </si>
  <si>
    <t>P98194-2</t>
  </si>
  <si>
    <t>P99999</t>
  </si>
  <si>
    <t>Q00059</t>
  </si>
  <si>
    <t>Q00169</t>
  </si>
  <si>
    <t>Q00266</t>
  </si>
  <si>
    <t>Q00325-2</t>
  </si>
  <si>
    <t>Q00341</t>
  </si>
  <si>
    <t>Q00403</t>
  </si>
  <si>
    <t>Q00534</t>
  </si>
  <si>
    <t>Q00535</t>
  </si>
  <si>
    <t>Q00577</t>
  </si>
  <si>
    <t>Q00587-2</t>
  </si>
  <si>
    <t>Q00610-2</t>
  </si>
  <si>
    <t>Q00613-2</t>
  </si>
  <si>
    <t>Q00653-4</t>
  </si>
  <si>
    <t>Q00688</t>
  </si>
  <si>
    <t>Q00765</t>
  </si>
  <si>
    <t>Q00796</t>
  </si>
  <si>
    <t>Q00839-2</t>
  </si>
  <si>
    <t>Q01081</t>
  </si>
  <si>
    <t>Q01082</t>
  </si>
  <si>
    <t>Q01082-3</t>
  </si>
  <si>
    <t>Q01085-2</t>
  </si>
  <si>
    <t>Q01105</t>
  </si>
  <si>
    <t>Q01105-2</t>
  </si>
  <si>
    <t>Q01130</t>
  </si>
  <si>
    <t>Q01151</t>
  </si>
  <si>
    <t>Q01167</t>
  </si>
  <si>
    <t>Q01469</t>
  </si>
  <si>
    <t>Q01518-2</t>
  </si>
  <si>
    <t>Q01523</t>
  </si>
  <si>
    <t>Q01581</t>
  </si>
  <si>
    <t>Q01650</t>
  </si>
  <si>
    <t>Q01658</t>
  </si>
  <si>
    <t>Q01780-2</t>
  </si>
  <si>
    <t>Q01813</t>
  </si>
  <si>
    <t>Q01968-2</t>
  </si>
  <si>
    <t>Q01970</t>
  </si>
  <si>
    <t>Q01995</t>
  </si>
  <si>
    <t>Q02040</t>
  </si>
  <si>
    <t>Q02083-2</t>
  </si>
  <si>
    <t>Q02127</t>
  </si>
  <si>
    <t>Q02156</t>
  </si>
  <si>
    <t>Q02241</t>
  </si>
  <si>
    <t>Q02252</t>
  </si>
  <si>
    <t>Q02318</t>
  </si>
  <si>
    <t>Q02338</t>
  </si>
  <si>
    <t>Q02383</t>
  </si>
  <si>
    <t>Q02446</t>
  </si>
  <si>
    <t>Q02487-2</t>
  </si>
  <si>
    <t>Q02543</t>
  </si>
  <si>
    <t>Q02742</t>
  </si>
  <si>
    <t>Q02750</t>
  </si>
  <si>
    <t>Q02790</t>
  </si>
  <si>
    <t>Q02809</t>
  </si>
  <si>
    <t>Q02818</t>
  </si>
  <si>
    <t>Q02878</t>
  </si>
  <si>
    <t>Q02880-2</t>
  </si>
  <si>
    <t>Q02952-3</t>
  </si>
  <si>
    <t>Q03001</t>
  </si>
  <si>
    <t>Q03111</t>
  </si>
  <si>
    <t>Q03113</t>
  </si>
  <si>
    <t>Q03154</t>
  </si>
  <si>
    <t>Q03169</t>
  </si>
  <si>
    <t>Q03393</t>
  </si>
  <si>
    <t>Q03519</t>
  </si>
  <si>
    <t>Q03701</t>
  </si>
  <si>
    <t>Q04446</t>
  </si>
  <si>
    <t>Q04637-5</t>
  </si>
  <si>
    <t>Q04656-5</t>
  </si>
  <si>
    <t>Q04721</t>
  </si>
  <si>
    <t>Q04724</t>
  </si>
  <si>
    <t>Q04726-5</t>
  </si>
  <si>
    <t>Q04759</t>
  </si>
  <si>
    <t>Q04760</t>
  </si>
  <si>
    <t>Q04828</t>
  </si>
  <si>
    <t>Q04837</t>
  </si>
  <si>
    <t>Q04917</t>
  </si>
  <si>
    <t>Q04941</t>
  </si>
  <si>
    <t>Q05048</t>
  </si>
  <si>
    <t>Q05084</t>
  </si>
  <si>
    <t>Q05086-3</t>
  </si>
  <si>
    <t>Q05193-5</t>
  </si>
  <si>
    <t>Q05209</t>
  </si>
  <si>
    <t>Q05513</t>
  </si>
  <si>
    <t>Q05519-2</t>
  </si>
  <si>
    <t>Q05639</t>
  </si>
  <si>
    <t>Q05655</t>
  </si>
  <si>
    <t>Q05682-5</t>
  </si>
  <si>
    <t>Q05932-3</t>
  </si>
  <si>
    <t>Q05D32-2</t>
  </si>
  <si>
    <t>Q06124-2</t>
  </si>
  <si>
    <t>Q06136</t>
  </si>
  <si>
    <t>Q06203</t>
  </si>
  <si>
    <t>Q06210-2</t>
  </si>
  <si>
    <t>Q06265</t>
  </si>
  <si>
    <t>Q06323</t>
  </si>
  <si>
    <t>Q06330-5</t>
  </si>
  <si>
    <t>Q06481</t>
  </si>
  <si>
    <t>Q06546</t>
  </si>
  <si>
    <t>Q06587</t>
  </si>
  <si>
    <t>Q06609-3</t>
  </si>
  <si>
    <t>Q06787-8</t>
  </si>
  <si>
    <t>Q06830</t>
  </si>
  <si>
    <t>Q07021</t>
  </si>
  <si>
    <t>Q07065</t>
  </si>
  <si>
    <t>Q07654</t>
  </si>
  <si>
    <t>Q07666</t>
  </si>
  <si>
    <t>Q07812-5</t>
  </si>
  <si>
    <t>Q07820</t>
  </si>
  <si>
    <t>Q07866-6</t>
  </si>
  <si>
    <t>Q07954</t>
  </si>
  <si>
    <t>Q07960</t>
  </si>
  <si>
    <t>Q08170</t>
  </si>
  <si>
    <t>Q08209-2</t>
  </si>
  <si>
    <t>Q08211</t>
  </si>
  <si>
    <t>Q08257</t>
  </si>
  <si>
    <t>Q08357</t>
  </si>
  <si>
    <t>Q08378</t>
  </si>
  <si>
    <t>Q08379</t>
  </si>
  <si>
    <t>Q08380</t>
  </si>
  <si>
    <t>Q08426</t>
  </si>
  <si>
    <t>Q08722</t>
  </si>
  <si>
    <t>Q08752</t>
  </si>
  <si>
    <t>Q08945</t>
  </si>
  <si>
    <t>Q08AF3</t>
  </si>
  <si>
    <t>Q08AG7</t>
  </si>
  <si>
    <t>Q08AM6</t>
  </si>
  <si>
    <t>Q08E86</t>
  </si>
  <si>
    <t>Q08J23</t>
  </si>
  <si>
    <t>Q09028-3</t>
  </si>
  <si>
    <t>Q09161</t>
  </si>
  <si>
    <t>Q09328</t>
  </si>
  <si>
    <t>Q09472</t>
  </si>
  <si>
    <t>Q09666</t>
  </si>
  <si>
    <t>Q0JRZ9</t>
  </si>
  <si>
    <t>Q0PNE2</t>
  </si>
  <si>
    <t>Q0VDF9</t>
  </si>
  <si>
    <t>Q0VDG4-2</t>
  </si>
  <si>
    <t>Q0VG06</t>
  </si>
  <si>
    <t>Q0VGL1</t>
  </si>
  <si>
    <t>Q10469</t>
  </si>
  <si>
    <t>Q10471</t>
  </si>
  <si>
    <t>Q10567-3</t>
  </si>
  <si>
    <t>Q10570</t>
  </si>
  <si>
    <t>Q10713</t>
  </si>
  <si>
    <t>Q11206-3</t>
  </si>
  <si>
    <t>Q12765</t>
  </si>
  <si>
    <t>Q12768</t>
  </si>
  <si>
    <t>Q12770</t>
  </si>
  <si>
    <t>Q12774</t>
  </si>
  <si>
    <t>Q12788</t>
  </si>
  <si>
    <t>Q12789-3</t>
  </si>
  <si>
    <t>Q12792</t>
  </si>
  <si>
    <t>Q12796</t>
  </si>
  <si>
    <t>Q12797</t>
  </si>
  <si>
    <t>Q12800-4</t>
  </si>
  <si>
    <t>Q12802-4</t>
  </si>
  <si>
    <t>Q12830-4</t>
  </si>
  <si>
    <t>Q12834</t>
  </si>
  <si>
    <t>Q12846</t>
  </si>
  <si>
    <t>Q12872</t>
  </si>
  <si>
    <t>Q12874</t>
  </si>
  <si>
    <t>Q12888</t>
  </si>
  <si>
    <t>Q12894</t>
  </si>
  <si>
    <t>Q12904</t>
  </si>
  <si>
    <t>Q12905</t>
  </si>
  <si>
    <t>Q12906</t>
  </si>
  <si>
    <t>Q12907</t>
  </si>
  <si>
    <t>Q12929</t>
  </si>
  <si>
    <t>Q12933-3</t>
  </si>
  <si>
    <t>Q12955</t>
  </si>
  <si>
    <t>Q12959-5</t>
  </si>
  <si>
    <t>Q12962</t>
  </si>
  <si>
    <t>Q12965</t>
  </si>
  <si>
    <t>Q12972</t>
  </si>
  <si>
    <t>Q12981</t>
  </si>
  <si>
    <t>Q12986</t>
  </si>
  <si>
    <t>Q12996</t>
  </si>
  <si>
    <t>Q13011</t>
  </si>
  <si>
    <t>Q13015</t>
  </si>
  <si>
    <t>Q13017-2</t>
  </si>
  <si>
    <t>Q13033-2</t>
  </si>
  <si>
    <t>Q13043</t>
  </si>
  <si>
    <t>Q13045</t>
  </si>
  <si>
    <t>Q13045-2</t>
  </si>
  <si>
    <t>Q13057</t>
  </si>
  <si>
    <t>Q13085-3</t>
  </si>
  <si>
    <t>Q13098</t>
  </si>
  <si>
    <t>Q13107-2</t>
  </si>
  <si>
    <t>Q13111</t>
  </si>
  <si>
    <t>Q13112</t>
  </si>
  <si>
    <t>Q13123</t>
  </si>
  <si>
    <t>Q13126</t>
  </si>
  <si>
    <t>Q13131</t>
  </si>
  <si>
    <t>Q13136</t>
  </si>
  <si>
    <t>Q13145</t>
  </si>
  <si>
    <t>Q13148</t>
  </si>
  <si>
    <t>Q13151</t>
  </si>
  <si>
    <t>Q13153</t>
  </si>
  <si>
    <t>Q13155</t>
  </si>
  <si>
    <t>Q13158</t>
  </si>
  <si>
    <t>Q13162</t>
  </si>
  <si>
    <t>Q13164-3</t>
  </si>
  <si>
    <t>Q13177</t>
  </si>
  <si>
    <t>Q13185</t>
  </si>
  <si>
    <t>Q13188</t>
  </si>
  <si>
    <t>Q13200</t>
  </si>
  <si>
    <t>Q13206</t>
  </si>
  <si>
    <t>Q13216</t>
  </si>
  <si>
    <t>Q13217</t>
  </si>
  <si>
    <t>Q13228</t>
  </si>
  <si>
    <t>Q13232</t>
  </si>
  <si>
    <t>Q13242</t>
  </si>
  <si>
    <t>Q13243-3</t>
  </si>
  <si>
    <t>Q13247-3</t>
  </si>
  <si>
    <t>Q13257</t>
  </si>
  <si>
    <t>Q13263</t>
  </si>
  <si>
    <t>Q13277-2</t>
  </si>
  <si>
    <t>Q13283</t>
  </si>
  <si>
    <t>Q13287</t>
  </si>
  <si>
    <t>Q13303-2</t>
  </si>
  <si>
    <t>Q13308</t>
  </si>
  <si>
    <t>Q13310-2</t>
  </si>
  <si>
    <t>Q13315</t>
  </si>
  <si>
    <t>Q13322-3</t>
  </si>
  <si>
    <t>Q13330-3</t>
  </si>
  <si>
    <t>Q13347</t>
  </si>
  <si>
    <t>Q13356</t>
  </si>
  <si>
    <t>Q13362-3</t>
  </si>
  <si>
    <t>Q13363</t>
  </si>
  <si>
    <t>Q13371</t>
  </si>
  <si>
    <t>Q13395</t>
  </si>
  <si>
    <t>Q13405</t>
  </si>
  <si>
    <t>Q13409-3</t>
  </si>
  <si>
    <t>Q13416</t>
  </si>
  <si>
    <t>Q13418</t>
  </si>
  <si>
    <t>Q13423</t>
  </si>
  <si>
    <t>Q13425</t>
  </si>
  <si>
    <t>Q13426</t>
  </si>
  <si>
    <t>Q13427</t>
  </si>
  <si>
    <t>Q13428-3</t>
  </si>
  <si>
    <t>Q13432-2</t>
  </si>
  <si>
    <t>Q13433</t>
  </si>
  <si>
    <t>Q13435</t>
  </si>
  <si>
    <t>Q13438-4</t>
  </si>
  <si>
    <t>Q13439-3</t>
  </si>
  <si>
    <t>Q13442</t>
  </si>
  <si>
    <t>Q13443</t>
  </si>
  <si>
    <t>Q13445</t>
  </si>
  <si>
    <t>Q13451</t>
  </si>
  <si>
    <t>Q13464</t>
  </si>
  <si>
    <t>Q13488</t>
  </si>
  <si>
    <t>Q13492-2</t>
  </si>
  <si>
    <t>Q13496</t>
  </si>
  <si>
    <t>Q13501</t>
  </si>
  <si>
    <t>Q13505-3</t>
  </si>
  <si>
    <t>Q13509</t>
  </si>
  <si>
    <t>Q13526</t>
  </si>
  <si>
    <t>Q13535-3</t>
  </si>
  <si>
    <t>Q13541</t>
  </si>
  <si>
    <t>Q13542</t>
  </si>
  <si>
    <t>Q13546</t>
  </si>
  <si>
    <t>Q13547</t>
  </si>
  <si>
    <t>Q13564</t>
  </si>
  <si>
    <t>Q13572</t>
  </si>
  <si>
    <t>Q13573</t>
  </si>
  <si>
    <t>Q13586</t>
  </si>
  <si>
    <t>Q13596</t>
  </si>
  <si>
    <t>Q13601-2</t>
  </si>
  <si>
    <t>Q13608</t>
  </si>
  <si>
    <t>Q13614</t>
  </si>
  <si>
    <t>Q13615-3</t>
  </si>
  <si>
    <t>Q13616</t>
  </si>
  <si>
    <t>Q13617</t>
  </si>
  <si>
    <t>Q13618</t>
  </si>
  <si>
    <t>Q13619</t>
  </si>
  <si>
    <t>Q13630</t>
  </si>
  <si>
    <t>Q13641</t>
  </si>
  <si>
    <t>Q13642-1</t>
  </si>
  <si>
    <t>Q13643</t>
  </si>
  <si>
    <t>Q13686</t>
  </si>
  <si>
    <t>Q13724</t>
  </si>
  <si>
    <t>Q13733</t>
  </si>
  <si>
    <t>Q13740-2</t>
  </si>
  <si>
    <t>Q13751</t>
  </si>
  <si>
    <t>Q13753</t>
  </si>
  <si>
    <t>Q13769</t>
  </si>
  <si>
    <t>Q13795</t>
  </si>
  <si>
    <t>Q13813</t>
  </si>
  <si>
    <t>Q13813-2</t>
  </si>
  <si>
    <t>Q13825</t>
  </si>
  <si>
    <t>Q13867</t>
  </si>
  <si>
    <t>Q13868</t>
  </si>
  <si>
    <t>Q13884</t>
  </si>
  <si>
    <t>Q13885</t>
  </si>
  <si>
    <t>Q13895</t>
  </si>
  <si>
    <t>Q13907</t>
  </si>
  <si>
    <t>Q13948</t>
  </si>
  <si>
    <t>Q13951-2</t>
  </si>
  <si>
    <t>Q13952-3</t>
  </si>
  <si>
    <t>Q14008-2</t>
  </si>
  <si>
    <t>Q14011</t>
  </si>
  <si>
    <t>Q14019</t>
  </si>
  <si>
    <t>Q14061</t>
  </si>
  <si>
    <t>Q14103-3</t>
  </si>
  <si>
    <t>Q14108</t>
  </si>
  <si>
    <t>Q14114-4</t>
  </si>
  <si>
    <t>Q14118</t>
  </si>
  <si>
    <t>Q14126</t>
  </si>
  <si>
    <t>Q14135</t>
  </si>
  <si>
    <t>Q14137</t>
  </si>
  <si>
    <t>Q14139</t>
  </si>
  <si>
    <t>Q14146</t>
  </si>
  <si>
    <t>Q14149</t>
  </si>
  <si>
    <t>Q14151</t>
  </si>
  <si>
    <t>Q14152</t>
  </si>
  <si>
    <t>Q14157-1</t>
  </si>
  <si>
    <t>Q14157-5</t>
  </si>
  <si>
    <t>Q14160</t>
  </si>
  <si>
    <t>Q14161-7</t>
  </si>
  <si>
    <t>Q14165</t>
  </si>
  <si>
    <t>Q14166</t>
  </si>
  <si>
    <t>Q14181</t>
  </si>
  <si>
    <t>Q14186</t>
  </si>
  <si>
    <t>Q14191</t>
  </si>
  <si>
    <t>Q14195</t>
  </si>
  <si>
    <t>Q14204</t>
  </si>
  <si>
    <t>Q14207</t>
  </si>
  <si>
    <t>Q14232</t>
  </si>
  <si>
    <t>Q14240</t>
  </si>
  <si>
    <t>Q14241</t>
  </si>
  <si>
    <t>Q14244</t>
  </si>
  <si>
    <t>Q14247</t>
  </si>
  <si>
    <t>Q14247-3</t>
  </si>
  <si>
    <t>Q14249</t>
  </si>
  <si>
    <t>Q14254</t>
  </si>
  <si>
    <t>Q14257</t>
  </si>
  <si>
    <t>Q14258</t>
  </si>
  <si>
    <t>Q14318-2</t>
  </si>
  <si>
    <t>Q14320</t>
  </si>
  <si>
    <t>Q14331</t>
  </si>
  <si>
    <t>Q14344</t>
  </si>
  <si>
    <t>Q14376</t>
  </si>
  <si>
    <t>Q14435</t>
  </si>
  <si>
    <t>Q14444-2</t>
  </si>
  <si>
    <t>Q14451</t>
  </si>
  <si>
    <t>Q14457</t>
  </si>
  <si>
    <t>Q14469</t>
  </si>
  <si>
    <t>Q14498-2</t>
  </si>
  <si>
    <t>Q14508</t>
  </si>
  <si>
    <t>Q14511-3</t>
  </si>
  <si>
    <t>Q14520-2</t>
  </si>
  <si>
    <t>Q14526</t>
  </si>
  <si>
    <t>Q14534</t>
  </si>
  <si>
    <t>Q14554</t>
  </si>
  <si>
    <t>Q14558-2</t>
  </si>
  <si>
    <t>Q14562</t>
  </si>
  <si>
    <t>Q14566</t>
  </si>
  <si>
    <t>Q14573</t>
  </si>
  <si>
    <t>Q14651</t>
  </si>
  <si>
    <t>Q14653</t>
  </si>
  <si>
    <t>Q14657</t>
  </si>
  <si>
    <t>Q14669-2</t>
  </si>
  <si>
    <t>Q14676</t>
  </si>
  <si>
    <t>Q14677</t>
  </si>
  <si>
    <t>Q14678</t>
  </si>
  <si>
    <t>Q14680-3</t>
  </si>
  <si>
    <t>Q14681</t>
  </si>
  <si>
    <t>Q14683</t>
  </si>
  <si>
    <t>Q14684-2</t>
  </si>
  <si>
    <t>Q14686</t>
  </si>
  <si>
    <t>Q14687-2</t>
  </si>
  <si>
    <t>Q14691</t>
  </si>
  <si>
    <t>Q14694</t>
  </si>
  <si>
    <t>Q14696</t>
  </si>
  <si>
    <t>Q14697</t>
  </si>
  <si>
    <t>Q14697-2</t>
  </si>
  <si>
    <t>Q14699</t>
  </si>
  <si>
    <t>Q14739</t>
  </si>
  <si>
    <t>Q14746-2</t>
  </si>
  <si>
    <t>Q14789</t>
  </si>
  <si>
    <t>Q14790</t>
  </si>
  <si>
    <t>Q147X3</t>
  </si>
  <si>
    <t>Q14802-2</t>
  </si>
  <si>
    <t>Q14807</t>
  </si>
  <si>
    <t>Q14847</t>
  </si>
  <si>
    <t>Q14914-2</t>
  </si>
  <si>
    <t>Q14964</t>
  </si>
  <si>
    <t>Q14966</t>
  </si>
  <si>
    <t>Q14974</t>
  </si>
  <si>
    <t>Q14978-2</t>
  </si>
  <si>
    <t>Q14980</t>
  </si>
  <si>
    <t>Q14997</t>
  </si>
  <si>
    <t>Q14BN4-2</t>
  </si>
  <si>
    <t>Q14C86-6</t>
  </si>
  <si>
    <t>Q14CM0</t>
  </si>
  <si>
    <t>Q14CX7</t>
  </si>
  <si>
    <t>Q14CZ7</t>
  </si>
  <si>
    <t>Q15003</t>
  </si>
  <si>
    <t>Q15004</t>
  </si>
  <si>
    <t>Q15005</t>
  </si>
  <si>
    <t>Q15006</t>
  </si>
  <si>
    <t>Q15007</t>
  </si>
  <si>
    <t>Q15008</t>
  </si>
  <si>
    <t>Q15011-3</t>
  </si>
  <si>
    <t>Q15012</t>
  </si>
  <si>
    <t>Q15013</t>
  </si>
  <si>
    <t>Q15018</t>
  </si>
  <si>
    <t>Q15019</t>
  </si>
  <si>
    <t>Q15020</t>
  </si>
  <si>
    <t>Q15021</t>
  </si>
  <si>
    <t>Q15024</t>
  </si>
  <si>
    <t>Q15029-2</t>
  </si>
  <si>
    <t>Q15031</t>
  </si>
  <si>
    <t>Q15032-2</t>
  </si>
  <si>
    <t>Q15036-2</t>
  </si>
  <si>
    <t>Q15042</t>
  </si>
  <si>
    <t>Q15043-2</t>
  </si>
  <si>
    <t>Q15046</t>
  </si>
  <si>
    <t>Q15047-3</t>
  </si>
  <si>
    <t>Q15048</t>
  </si>
  <si>
    <t>Q15050</t>
  </si>
  <si>
    <t>Q15051-2</t>
  </si>
  <si>
    <t>Q15056</t>
  </si>
  <si>
    <t>Q15056-2</t>
  </si>
  <si>
    <t>Q15057</t>
  </si>
  <si>
    <t>Q15059</t>
  </si>
  <si>
    <t>Q15061</t>
  </si>
  <si>
    <t>Q15067-2</t>
  </si>
  <si>
    <t>Q15075</t>
  </si>
  <si>
    <t>Q15102</t>
  </si>
  <si>
    <t>Q15118</t>
  </si>
  <si>
    <t>Q15120</t>
  </si>
  <si>
    <t>Q15121</t>
  </si>
  <si>
    <t>Q15125</t>
  </si>
  <si>
    <t>Q15126</t>
  </si>
  <si>
    <t>Q15139</t>
  </si>
  <si>
    <t>Q15149-4</t>
  </si>
  <si>
    <t>Q15155</t>
  </si>
  <si>
    <t>Q15170-2</t>
  </si>
  <si>
    <t>Q15172</t>
  </si>
  <si>
    <t>Q15181</t>
  </si>
  <si>
    <t>Q15208</t>
  </si>
  <si>
    <t>Q15223</t>
  </si>
  <si>
    <t>Q15233</t>
  </si>
  <si>
    <t>Q15257</t>
  </si>
  <si>
    <t>Q15269</t>
  </si>
  <si>
    <t>Q15274</t>
  </si>
  <si>
    <t>Q15276</t>
  </si>
  <si>
    <t>Q15283-2</t>
  </si>
  <si>
    <t>Q15286</t>
  </si>
  <si>
    <t>Q15291</t>
  </si>
  <si>
    <t>Q15293</t>
  </si>
  <si>
    <t>Q15311</t>
  </si>
  <si>
    <t>Q15334</t>
  </si>
  <si>
    <t>Q15345-3</t>
  </si>
  <si>
    <t>Q15363</t>
  </si>
  <si>
    <t>Q15365</t>
  </si>
  <si>
    <t>Q15366</t>
  </si>
  <si>
    <t>Q15366-2</t>
  </si>
  <si>
    <t>Q15366-3</t>
  </si>
  <si>
    <t>Q15370</t>
  </si>
  <si>
    <t>Q15382</t>
  </si>
  <si>
    <t>Q15386</t>
  </si>
  <si>
    <t>Q15393</t>
  </si>
  <si>
    <t>Q15398-3</t>
  </si>
  <si>
    <t>Q15404</t>
  </si>
  <si>
    <t>Q15417</t>
  </si>
  <si>
    <t>Q15424</t>
  </si>
  <si>
    <t>Q15428</t>
  </si>
  <si>
    <t>Q15435</t>
  </si>
  <si>
    <t>Q15437</t>
  </si>
  <si>
    <t>Q15459</t>
  </si>
  <si>
    <t>Q15464</t>
  </si>
  <si>
    <t>Q15477</t>
  </si>
  <si>
    <t>Q15526-2</t>
  </si>
  <si>
    <t>Q15527</t>
  </si>
  <si>
    <t>Q15545</t>
  </si>
  <si>
    <t>Q15554</t>
  </si>
  <si>
    <t>Q15555-4</t>
  </si>
  <si>
    <t>Q15560-2</t>
  </si>
  <si>
    <t>Q15599</t>
  </si>
  <si>
    <t>Q15628</t>
  </si>
  <si>
    <t>Q15633-2</t>
  </si>
  <si>
    <t>Q15637-5</t>
  </si>
  <si>
    <t>Q15637-6</t>
  </si>
  <si>
    <t>Q15642</t>
  </si>
  <si>
    <t>Q15643</t>
  </si>
  <si>
    <t>Q15645</t>
  </si>
  <si>
    <t>Q15648</t>
  </si>
  <si>
    <t>Q15649</t>
  </si>
  <si>
    <t>Q15651</t>
  </si>
  <si>
    <t>Q15652-3</t>
  </si>
  <si>
    <t>Q15654</t>
  </si>
  <si>
    <t>Q15691</t>
  </si>
  <si>
    <t>Q15714</t>
  </si>
  <si>
    <t>Q15717</t>
  </si>
  <si>
    <t>Q15738</t>
  </si>
  <si>
    <t>Q15750-2</t>
  </si>
  <si>
    <t>Q15758</t>
  </si>
  <si>
    <t>Q15771</t>
  </si>
  <si>
    <t>Q15785</t>
  </si>
  <si>
    <t>Q15788-2</t>
  </si>
  <si>
    <t>Q15796-2</t>
  </si>
  <si>
    <t>Q15797</t>
  </si>
  <si>
    <t>Q15800</t>
  </si>
  <si>
    <t>Q15813</t>
  </si>
  <si>
    <t>Q15814</t>
  </si>
  <si>
    <t>Q15819</t>
  </si>
  <si>
    <t>Q15833</t>
  </si>
  <si>
    <t>Q15836</t>
  </si>
  <si>
    <t>Q15843</t>
  </si>
  <si>
    <t>Q15847</t>
  </si>
  <si>
    <t>Q15904</t>
  </si>
  <si>
    <t>Q15906</t>
  </si>
  <si>
    <t>Q15907</t>
  </si>
  <si>
    <t>Q15942</t>
  </si>
  <si>
    <t>Q16134</t>
  </si>
  <si>
    <t>Q16181</t>
  </si>
  <si>
    <t>Q16186</t>
  </si>
  <si>
    <t>Q16204</t>
  </si>
  <si>
    <t>Q16222-2</t>
  </si>
  <si>
    <t>Q16254</t>
  </si>
  <si>
    <t>Q16401-2</t>
  </si>
  <si>
    <t>Q16512</t>
  </si>
  <si>
    <t>Q16513</t>
  </si>
  <si>
    <t>Q16514-2</t>
  </si>
  <si>
    <t>Q16531</t>
  </si>
  <si>
    <t>Q16539-2</t>
  </si>
  <si>
    <t>Q16543</t>
  </si>
  <si>
    <t>Q16555</t>
  </si>
  <si>
    <t>Q16576</t>
  </si>
  <si>
    <t>Q16594</t>
  </si>
  <si>
    <t>Q16600</t>
  </si>
  <si>
    <t>Q16610</t>
  </si>
  <si>
    <t>Q16625-4</t>
  </si>
  <si>
    <t>Q16626</t>
  </si>
  <si>
    <t>Q16630-2</t>
  </si>
  <si>
    <t>Q16643</t>
  </si>
  <si>
    <t>Q16644</t>
  </si>
  <si>
    <t>Q16656-2</t>
  </si>
  <si>
    <t>Q16658</t>
  </si>
  <si>
    <t>Q16670-2</t>
  </si>
  <si>
    <t>Q16706</t>
  </si>
  <si>
    <t>Q16718</t>
  </si>
  <si>
    <t>Q16740</t>
  </si>
  <si>
    <t>Q16762</t>
  </si>
  <si>
    <t>Q16763</t>
  </si>
  <si>
    <t>Q16769</t>
  </si>
  <si>
    <t>Q16775-2</t>
  </si>
  <si>
    <t>Q16778</t>
  </si>
  <si>
    <t>Q16790</t>
  </si>
  <si>
    <t>Q16795</t>
  </si>
  <si>
    <t>Q16822</t>
  </si>
  <si>
    <t>Q16850</t>
  </si>
  <si>
    <t>Q16851</t>
  </si>
  <si>
    <t>Q16854</t>
  </si>
  <si>
    <t>Q16864</t>
  </si>
  <si>
    <t>Q16880</t>
  </si>
  <si>
    <t>Q17R31-2</t>
  </si>
  <si>
    <t>Q17RN3</t>
  </si>
  <si>
    <t>Q17RU2</t>
  </si>
  <si>
    <t>Q18PE1-2</t>
  </si>
  <si>
    <t>Q1ED39</t>
  </si>
  <si>
    <t>Q1KMD3</t>
  </si>
  <si>
    <t>Q1MSJ5-1</t>
  </si>
  <si>
    <t>Q24JP5</t>
  </si>
  <si>
    <t>Q27J81-2</t>
  </si>
  <si>
    <t>Q29RF7</t>
  </si>
  <si>
    <t>Q2KHR3-2</t>
  </si>
  <si>
    <t>Q2KHT3</t>
  </si>
  <si>
    <t>Q2M296-2</t>
  </si>
  <si>
    <t>Q2M2I8-2</t>
  </si>
  <si>
    <t>Q2M2Z5-5</t>
  </si>
  <si>
    <t>Q2M389</t>
  </si>
  <si>
    <t>Q2N1I1</t>
  </si>
  <si>
    <t>Q2NKX8</t>
  </si>
  <si>
    <t>Q2NL82</t>
  </si>
  <si>
    <t>Q2T9J0</t>
  </si>
  <si>
    <t>Q2TAA5</t>
  </si>
  <si>
    <t>Q2TAL8</t>
  </si>
  <si>
    <t>Q2TAM5</t>
  </si>
  <si>
    <t>Q2TAM9</t>
  </si>
  <si>
    <t>Q2TAP0</t>
  </si>
  <si>
    <t>Q2TAY7</t>
  </si>
  <si>
    <t>Q2TBE0</t>
  </si>
  <si>
    <t>Q32MZ4-2</t>
  </si>
  <si>
    <t>Q32MZ4-3</t>
  </si>
  <si>
    <t>Q32MZ4-4</t>
  </si>
  <si>
    <t>Q32MZ9</t>
  </si>
  <si>
    <t>Q32P28</t>
  </si>
  <si>
    <t>Q32P41</t>
  </si>
  <si>
    <t>Q32Q12</t>
  </si>
  <si>
    <t>Q3B726</t>
  </si>
  <si>
    <t>Q3B7J2</t>
  </si>
  <si>
    <t>Q3KQU3-2</t>
  </si>
  <si>
    <t>Q3KQV9</t>
  </si>
  <si>
    <t>Q3KRA6</t>
  </si>
  <si>
    <t>Q3KRA9</t>
  </si>
  <si>
    <t>Q3LXA3</t>
  </si>
  <si>
    <t>Q3MHD2</t>
  </si>
  <si>
    <t>Q3MII6</t>
  </si>
  <si>
    <t>Q3MIN7</t>
  </si>
  <si>
    <t>Q3MIT2</t>
  </si>
  <si>
    <t>Q3MIX3</t>
  </si>
  <si>
    <t>Q3SXM5</t>
  </si>
  <si>
    <t>Q3SY69</t>
  </si>
  <si>
    <t>Q3YEC7</t>
  </si>
  <si>
    <t>Q3ZAQ7</t>
  </si>
  <si>
    <t>Q3ZCM7</t>
  </si>
  <si>
    <t>Q3ZCQ3</t>
  </si>
  <si>
    <t>Q3ZCQ8</t>
  </si>
  <si>
    <t>Q3ZCW2</t>
  </si>
  <si>
    <t>Q495W5-2</t>
  </si>
  <si>
    <t>Q49AH0-2</t>
  </si>
  <si>
    <t>Q49AR2</t>
  </si>
  <si>
    <t>Q49B96</t>
  </si>
  <si>
    <t>Q4G0F5</t>
  </si>
  <si>
    <t>Q4G0I0</t>
  </si>
  <si>
    <t>Q4G0J3</t>
  </si>
  <si>
    <t>Q4G0N4</t>
  </si>
  <si>
    <t>Q4G0X9-3</t>
  </si>
  <si>
    <t>Q4G148-2</t>
  </si>
  <si>
    <t>Q4G176</t>
  </si>
  <si>
    <t>Q4J6C6-4</t>
  </si>
  <si>
    <t>Q4JM47</t>
  </si>
  <si>
    <t>Q4KMP7</t>
  </si>
  <si>
    <t>Q4KMQ2-3</t>
  </si>
  <si>
    <t>Q4KWH8-3</t>
  </si>
  <si>
    <t>Q4LDG9-3</t>
  </si>
  <si>
    <t>Q4LE39-3</t>
  </si>
  <si>
    <t>Q4V328</t>
  </si>
  <si>
    <t>Q4VC05</t>
  </si>
  <si>
    <t>Q4VCS5</t>
  </si>
  <si>
    <t>Q4VXZ8</t>
  </si>
  <si>
    <t>Q4ZIN3-2</t>
  </si>
  <si>
    <t>Q504U0</t>
  </si>
  <si>
    <t>Q52LA3</t>
  </si>
  <si>
    <t>Q52LJ0-2</t>
  </si>
  <si>
    <t>Q53EL6-2</t>
  </si>
  <si>
    <t>Q53EU6</t>
  </si>
  <si>
    <t>Q53F19</t>
  </si>
  <si>
    <t>Q53FA7</t>
  </si>
  <si>
    <t>Q53FT3</t>
  </si>
  <si>
    <t>Q53GG5-2</t>
  </si>
  <si>
    <t>Q53GQ0</t>
  </si>
  <si>
    <t>Q53H12</t>
  </si>
  <si>
    <t>Q53H47</t>
  </si>
  <si>
    <t>Q53H82</t>
  </si>
  <si>
    <t>Q53H96</t>
  </si>
  <si>
    <t>Q53HC9</t>
  </si>
  <si>
    <t>Q53HV7</t>
  </si>
  <si>
    <t>Q53LP3</t>
  </si>
  <si>
    <t>Q53R41</t>
  </si>
  <si>
    <t>Q53RT3</t>
  </si>
  <si>
    <t>Q53S33</t>
  </si>
  <si>
    <t>Q53SF7-4</t>
  </si>
  <si>
    <t>Q53T59</t>
  </si>
  <si>
    <t>Q562F6-2</t>
  </si>
  <si>
    <t>Q56VL3</t>
  </si>
  <si>
    <t>Q587I9</t>
  </si>
  <si>
    <t>Q587J8</t>
  </si>
  <si>
    <t>Q58FF8</t>
  </si>
  <si>
    <t>Q58FG1</t>
  </si>
  <si>
    <t>Q58WW2</t>
  </si>
  <si>
    <t>Q59GN2</t>
  </si>
  <si>
    <t>Q5BJF2</t>
  </si>
  <si>
    <t>Q5BKU9</t>
  </si>
  <si>
    <t>Q5BKX5</t>
  </si>
  <si>
    <t>Q5BKZ1</t>
  </si>
  <si>
    <t>Q5EBL8</t>
  </si>
  <si>
    <t>Q5F1R6</t>
  </si>
  <si>
    <t>Q5GFL6</t>
  </si>
  <si>
    <t>Q5GLZ8-3</t>
  </si>
  <si>
    <t>Q5H8X8</t>
  </si>
  <si>
    <t>Q5HY62</t>
  </si>
  <si>
    <t>Q5HYI7</t>
  </si>
  <si>
    <t>Q5HYI8</t>
  </si>
  <si>
    <t>Q5HYK3</t>
  </si>
  <si>
    <t>Q5HYK7-2</t>
  </si>
  <si>
    <t>Q5JP53</t>
  </si>
  <si>
    <t>Q5JPE7-2</t>
  </si>
  <si>
    <t>Q5JPH6</t>
  </si>
  <si>
    <t>Q5JQQ2</t>
  </si>
  <si>
    <t>Q5JR08</t>
  </si>
  <si>
    <t>Q5JR12-2</t>
  </si>
  <si>
    <t>Q5JRA6</t>
  </si>
  <si>
    <t>Q5JRG1</t>
  </si>
  <si>
    <t>Q5JRI1</t>
  </si>
  <si>
    <t>Q5JRX3</t>
  </si>
  <si>
    <t>Q5JS37</t>
  </si>
  <si>
    <t>Q5JS54</t>
  </si>
  <si>
    <t>Q5JSH3-2</t>
  </si>
  <si>
    <t>Q5JSL0</t>
  </si>
  <si>
    <t>Q5JSZ5</t>
  </si>
  <si>
    <t>Q5JTD0-2</t>
  </si>
  <si>
    <t>Q5JTH9-2</t>
  </si>
  <si>
    <t>Q5JTJ3-3</t>
  </si>
  <si>
    <t>Q5JTV1</t>
  </si>
  <si>
    <t>Q5JTV8</t>
  </si>
  <si>
    <t>Q5JTZ9</t>
  </si>
  <si>
    <t>Q5JU69</t>
  </si>
  <si>
    <t>Q5JUE6</t>
  </si>
  <si>
    <t>Q5JUR7</t>
  </si>
  <si>
    <t>Q5JUW8</t>
  </si>
  <si>
    <t>Q5JV73</t>
  </si>
  <si>
    <t>Q5JVF3-3</t>
  </si>
  <si>
    <t>Q5JVS0</t>
  </si>
  <si>
    <t>Q5JVZ5</t>
  </si>
  <si>
    <t>Q5JW30</t>
  </si>
  <si>
    <t>Q5JWB9</t>
  </si>
  <si>
    <t>Q5JWT2</t>
  </si>
  <si>
    <t>Q5JXX2</t>
  </si>
  <si>
    <t>Q5JY65</t>
  </si>
  <si>
    <t>Q5K4L6</t>
  </si>
  <si>
    <t>Q5M775</t>
  </si>
  <si>
    <t>Q5M8T2</t>
  </si>
  <si>
    <t>Q5MIZ7-3</t>
  </si>
  <si>
    <t>Q5MNZ6</t>
  </si>
  <si>
    <t>Q5MNZ9-2</t>
  </si>
  <si>
    <t>Q5NDL2</t>
  </si>
  <si>
    <t>Q5QJE6</t>
  </si>
  <si>
    <t>Q5QNY5</t>
  </si>
  <si>
    <t>Q5QNZ2</t>
  </si>
  <si>
    <t>Q5QP56</t>
  </si>
  <si>
    <t>Q5QPK2</t>
  </si>
  <si>
    <t>Q5QPL9</t>
  </si>
  <si>
    <t>Q5QPM7</t>
  </si>
  <si>
    <t>Q5R372-4</t>
  </si>
  <si>
    <t>Q5R3A8</t>
  </si>
  <si>
    <t>Q5R3B4</t>
  </si>
  <si>
    <t>Q5RI15</t>
  </si>
  <si>
    <t>Q5RKV6</t>
  </si>
  <si>
    <t>Q5SPY9</t>
  </si>
  <si>
    <t>Q5SQI0-5</t>
  </si>
  <si>
    <t>Q5SR54</t>
  </si>
  <si>
    <t>Q5SR56</t>
  </si>
  <si>
    <t>Q5SRE5</t>
  </si>
  <si>
    <t>Q5SRI9</t>
  </si>
  <si>
    <t>Q5SRQ6</t>
  </si>
  <si>
    <t>Q5SSJ5</t>
  </si>
  <si>
    <t>Q5ST30</t>
  </si>
  <si>
    <t>Q5SVS4</t>
  </si>
  <si>
    <t>Q5SW79</t>
  </si>
  <si>
    <t>Q5SWX3</t>
  </si>
  <si>
    <t>Q5SWX8-4</t>
  </si>
  <si>
    <t>Q5SX86</t>
  </si>
  <si>
    <t>Q5SXM2</t>
  </si>
  <si>
    <t>Q5SXM8</t>
  </si>
  <si>
    <t>Q5SYE7-2</t>
  </si>
  <si>
    <t>Q5SZ64</t>
  </si>
  <si>
    <t>Q5SZE2</t>
  </si>
  <si>
    <t>Q5SZR4</t>
  </si>
  <si>
    <t>Q5T085</t>
  </si>
  <si>
    <t>Q5T0D9</t>
  </si>
  <si>
    <t>Q5T0N5-3</t>
  </si>
  <si>
    <t>Q5T0Q6</t>
  </si>
  <si>
    <t>Q5T0Z8</t>
  </si>
  <si>
    <t>Q5T123</t>
  </si>
  <si>
    <t>Q5T160</t>
  </si>
  <si>
    <t>Q5T171</t>
  </si>
  <si>
    <t>Q5T1M5</t>
  </si>
  <si>
    <t>Q5T1V6</t>
  </si>
  <si>
    <t>Q5T1Z4</t>
  </si>
  <si>
    <t>Q5T200</t>
  </si>
  <si>
    <t>Q5T266</t>
  </si>
  <si>
    <t>Q5T280</t>
  </si>
  <si>
    <t>Q5T2E6</t>
  </si>
  <si>
    <t>Q5T2R2-3</t>
  </si>
  <si>
    <t>Q5T2W9</t>
  </si>
  <si>
    <t>Q5T2Z0</t>
  </si>
  <si>
    <t>Q5T3F8</t>
  </si>
  <si>
    <t>Q5T3U5-2</t>
  </si>
  <si>
    <t>Q5T440</t>
  </si>
  <si>
    <t>Q5T4F4-7</t>
  </si>
  <si>
    <t>Q5T4S7-3</t>
  </si>
  <si>
    <t>Q5T4U5</t>
  </si>
  <si>
    <t>Q5T5C0-3</t>
  </si>
  <si>
    <t>Q5T5P2</t>
  </si>
  <si>
    <t>Q5T5U3</t>
  </si>
  <si>
    <t>Q5T5Y3-2</t>
  </si>
  <si>
    <t>Q5T6F2</t>
  </si>
  <si>
    <t>Q5T6N4</t>
  </si>
  <si>
    <t>Q5T6V5</t>
  </si>
  <si>
    <t>Q5T750</t>
  </si>
  <si>
    <t>Q5T7M9</t>
  </si>
  <si>
    <t>Q5T7V8</t>
  </si>
  <si>
    <t>Q5T8D3-4</t>
  </si>
  <si>
    <t>Q5T8I0</t>
  </si>
  <si>
    <t>Q5T8P6</t>
  </si>
  <si>
    <t>Q5T8U5</t>
  </si>
  <si>
    <t>Q5T9B7</t>
  </si>
  <si>
    <t>Q5T9C2-2</t>
  </si>
  <si>
    <t>Q5TA45-3</t>
  </si>
  <si>
    <t>Q5TA50</t>
  </si>
  <si>
    <t>Q5TAX3</t>
  </si>
  <si>
    <t>Q5TBA9</t>
  </si>
  <si>
    <t>Q5TBB1</t>
  </si>
  <si>
    <t>Q5TBP5</t>
  </si>
  <si>
    <t>Q5TCT4</t>
  </si>
  <si>
    <t>Q5TD07</t>
  </si>
  <si>
    <t>Q5TDC5</t>
  </si>
  <si>
    <t>Q5TDG9</t>
  </si>
  <si>
    <t>Q5TDH0</t>
  </si>
  <si>
    <t>Q5TEU4-2</t>
  </si>
  <si>
    <t>Q5TFE4</t>
  </si>
  <si>
    <t>Q5TH58</t>
  </si>
  <si>
    <t>Q5TH69</t>
  </si>
  <si>
    <t>Q5THJ1</t>
  </si>
  <si>
    <t>Q5THK1-3</t>
  </si>
  <si>
    <t>Q5TIE1</t>
  </si>
  <si>
    <t>Q5TZA2</t>
  </si>
  <si>
    <t>Q5U5X0</t>
  </si>
  <si>
    <t>Q5UIP0-2</t>
  </si>
  <si>
    <t>Q5VIR6-4</t>
  </si>
  <si>
    <t>Q5VSL9</t>
  </si>
  <si>
    <t>Q5VST6</t>
  </si>
  <si>
    <t>Q5VT06</t>
  </si>
  <si>
    <t>Q5VT52-3</t>
  </si>
  <si>
    <t>Q5VT66</t>
  </si>
  <si>
    <t>Q5VT94</t>
  </si>
  <si>
    <t>Q5VTL8</t>
  </si>
  <si>
    <t>Q5VTQ0-2</t>
  </si>
  <si>
    <t>Q5VTR2</t>
  </si>
  <si>
    <t>Q5VTU3</t>
  </si>
  <si>
    <t>Q5VTZ4</t>
  </si>
  <si>
    <t>Q5VU58</t>
  </si>
  <si>
    <t>Q5VUA4</t>
  </si>
  <si>
    <t>Q5VUE5</t>
  </si>
  <si>
    <t>Q5VUM1</t>
  </si>
  <si>
    <t>Q5VV41</t>
  </si>
  <si>
    <t>Q5VV42</t>
  </si>
  <si>
    <t>Q5VV50</t>
  </si>
  <si>
    <t>Q5VV87</t>
  </si>
  <si>
    <t>Q5VVJ2-2</t>
  </si>
  <si>
    <t>Q5VVQ6-2</t>
  </si>
  <si>
    <t>Q5VW27</t>
  </si>
  <si>
    <t>Q5VW32</t>
  </si>
  <si>
    <t>Q5VW36</t>
  </si>
  <si>
    <t>Q5VW52</t>
  </si>
  <si>
    <t>Q5VWJ9</t>
  </si>
  <si>
    <t>Q5VWP2</t>
  </si>
  <si>
    <t>Q5VWQ0</t>
  </si>
  <si>
    <t>Q5VWQ8-2</t>
  </si>
  <si>
    <t>Q5VWV2</t>
  </si>
  <si>
    <t>Q5VWZ2</t>
  </si>
  <si>
    <t>Q5VY93</t>
  </si>
  <si>
    <t>Q5VYS8-6</t>
  </si>
  <si>
    <t>Q5VYX0-2</t>
  </si>
  <si>
    <t>Q5VZE5</t>
  </si>
  <si>
    <t>Q5VZK9</t>
  </si>
  <si>
    <t>Q5W0A2</t>
  </si>
  <si>
    <t>Q5W0U4</t>
  </si>
  <si>
    <t>Q5W0V3</t>
  </si>
  <si>
    <t>Q5W0Z9-3</t>
  </si>
  <si>
    <t>Q5W111</t>
  </si>
  <si>
    <t>Q5W125</t>
  </si>
  <si>
    <t>Q5W145</t>
  </si>
  <si>
    <t>Q5W1L7</t>
  </si>
  <si>
    <t>Q5XKP0</t>
  </si>
  <si>
    <t>Q5XUX1-3</t>
  </si>
  <si>
    <t>Q5ZPR3</t>
  </si>
  <si>
    <t>Q63HN8</t>
  </si>
  <si>
    <t>Q63HQ0</t>
  </si>
  <si>
    <t>Q641Q2</t>
  </si>
  <si>
    <t>Q643R3</t>
  </si>
  <si>
    <t>Q658Y4</t>
  </si>
  <si>
    <t>Q659C4</t>
  </si>
  <si>
    <t>Q66K14-2</t>
  </si>
  <si>
    <t>Q66PJ3</t>
  </si>
  <si>
    <t>Q66S35</t>
  </si>
  <si>
    <t>Q68CP9-3</t>
  </si>
  <si>
    <t>Q68CQ4</t>
  </si>
  <si>
    <t>Q68D10</t>
  </si>
  <si>
    <t>Q68D91</t>
  </si>
  <si>
    <t>Q68DH5</t>
  </si>
  <si>
    <t>Q68E01-2</t>
  </si>
  <si>
    <t>Q68EM7-2</t>
  </si>
  <si>
    <t>Q69YL0</t>
  </si>
  <si>
    <t>Q69YN2</t>
  </si>
  <si>
    <t>Q69YN4</t>
  </si>
  <si>
    <t>Q69YQ0-2</t>
  </si>
  <si>
    <t>Q69YU5</t>
  </si>
  <si>
    <t>Q6BDS2</t>
  </si>
  <si>
    <t>Q6DD87</t>
  </si>
  <si>
    <t>Q6DD88</t>
  </si>
  <si>
    <t>Q6DHV7-3</t>
  </si>
  <si>
    <t>Q6DKK2</t>
  </si>
  <si>
    <t>Q6DT37</t>
  </si>
  <si>
    <t>Q6EEV4-2</t>
  </si>
  <si>
    <t>Q6EMK4</t>
  </si>
  <si>
    <t>Q6FI81-3</t>
  </si>
  <si>
    <t>Q6FIF0-2</t>
  </si>
  <si>
    <t>Q6GMV2</t>
  </si>
  <si>
    <t>Q6GMV3</t>
  </si>
  <si>
    <t>Q6GQQ9</t>
  </si>
  <si>
    <t>Q6GYA4</t>
  </si>
  <si>
    <t>Q6GYQ0-4</t>
  </si>
  <si>
    <t>Q6H9L7-5</t>
  </si>
  <si>
    <t>Q6I9Y2</t>
  </si>
  <si>
    <t>Q6IA17</t>
  </si>
  <si>
    <t>Q6IA69</t>
  </si>
  <si>
    <t>Q6IA86-5</t>
  </si>
  <si>
    <t>Q6IAA8</t>
  </si>
  <si>
    <t>Q6IAN0</t>
  </si>
  <si>
    <t>Q6IBS0</t>
  </si>
  <si>
    <t>Q6IBW4-2</t>
  </si>
  <si>
    <t>Q6ICB0</t>
  </si>
  <si>
    <t>Q6ICG6</t>
  </si>
  <si>
    <t>Q6ICJ4</t>
  </si>
  <si>
    <t>Q6IN84</t>
  </si>
  <si>
    <t>Q6IN85</t>
  </si>
  <si>
    <t>Q6IPR3</t>
  </si>
  <si>
    <t>Q6IQ22</t>
  </si>
  <si>
    <t>Q6IQ49-3</t>
  </si>
  <si>
    <t>Q6ISB3</t>
  </si>
  <si>
    <t>Q6JHV3</t>
  </si>
  <si>
    <t>Q6JQN1</t>
  </si>
  <si>
    <t>Q6KC79-2</t>
  </si>
  <si>
    <t>Q6KCM7-2</t>
  </si>
  <si>
    <t>Q6L8Q7-2</t>
  </si>
  <si>
    <t>Q6MZP7-4</t>
  </si>
  <si>
    <t>Q6N043-2</t>
  </si>
  <si>
    <t>Q6N063</t>
  </si>
  <si>
    <t>Q6N069</t>
  </si>
  <si>
    <t>Q6NSJ0</t>
  </si>
  <si>
    <t>Q6NT16</t>
  </si>
  <si>
    <t>Q6NTE8</t>
  </si>
  <si>
    <t>Q6NUK1</t>
  </si>
  <si>
    <t>Q6NUK4</t>
  </si>
  <si>
    <t>Q6NUM9</t>
  </si>
  <si>
    <t>Q6NUQ1</t>
  </si>
  <si>
    <t>Q6NUQ4-2</t>
  </si>
  <si>
    <t>Q6NUS6</t>
  </si>
  <si>
    <t>Q6NV74</t>
  </si>
  <si>
    <t>Q6NVH7</t>
  </si>
  <si>
    <t>Q6NVY1</t>
  </si>
  <si>
    <t>Q6NXS1</t>
  </si>
  <si>
    <t>Q6NXT1</t>
  </si>
  <si>
    <t>Q6NXT6</t>
  </si>
  <si>
    <t>Q6NYC1</t>
  </si>
  <si>
    <t>Q6NYC8</t>
  </si>
  <si>
    <t>Q6NZI2</t>
  </si>
  <si>
    <t>Q6NZY4</t>
  </si>
  <si>
    <t>Q6P087-2</t>
  </si>
  <si>
    <t>Q6P161</t>
  </si>
  <si>
    <t>Q6P179-3</t>
  </si>
  <si>
    <t>Q6P1J9</t>
  </si>
  <si>
    <t>Q6P1K2-4</t>
  </si>
  <si>
    <t>Q6P1L5</t>
  </si>
  <si>
    <t>Q6P1L8</t>
  </si>
  <si>
    <t>Q6P1M0</t>
  </si>
  <si>
    <t>Q6P1N0</t>
  </si>
  <si>
    <t>Q6P1Q9</t>
  </si>
  <si>
    <t>Q6P1R4</t>
  </si>
  <si>
    <t>Q6P1X5</t>
  </si>
  <si>
    <t>Q6P1X6</t>
  </si>
  <si>
    <t>Q6P275</t>
  </si>
  <si>
    <t>Q6P2E9</t>
  </si>
  <si>
    <t>Q6P2H3-2</t>
  </si>
  <si>
    <t>Q6P2I3</t>
  </si>
  <si>
    <t>Q6P2P2</t>
  </si>
  <si>
    <t>Q6P2Q9</t>
  </si>
  <si>
    <t>Q6P3S6</t>
  </si>
  <si>
    <t>Q6P3W7</t>
  </si>
  <si>
    <t>Q6P3X3</t>
  </si>
  <si>
    <t>Q6P4A7</t>
  </si>
  <si>
    <t>Q6P4A8</t>
  </si>
  <si>
    <t>Q6P4E1</t>
  </si>
  <si>
    <t>Q6P4F2</t>
  </si>
  <si>
    <t>Q6P4I2</t>
  </si>
  <si>
    <t>Q6P4R8-3</t>
  </si>
  <si>
    <t>Q6P582</t>
  </si>
  <si>
    <t>Q6P587</t>
  </si>
  <si>
    <t>Q6P6B7-2</t>
  </si>
  <si>
    <t>Q6P6C2</t>
  </si>
  <si>
    <t>Q6P988</t>
  </si>
  <si>
    <t>Q6PCB5</t>
  </si>
  <si>
    <t>Q6PCB6-2</t>
  </si>
  <si>
    <t>Q6PCE3</t>
  </si>
  <si>
    <t>Q6PD62</t>
  </si>
  <si>
    <t>Q6PD74</t>
  </si>
  <si>
    <t>Q6PGP7</t>
  </si>
  <si>
    <t>Q6PH81</t>
  </si>
  <si>
    <t>Q6PI47-3</t>
  </si>
  <si>
    <t>Q6PI48</t>
  </si>
  <si>
    <t>Q6PID6</t>
  </si>
  <si>
    <t>Q6PII3</t>
  </si>
  <si>
    <t>Q6PII5-2</t>
  </si>
  <si>
    <t>Q6PIJ6</t>
  </si>
  <si>
    <t>Q6PIR0</t>
  </si>
  <si>
    <t>Q6PIW4-2</t>
  </si>
  <si>
    <t>Q6PJ69</t>
  </si>
  <si>
    <t>Q6PJF5-2</t>
  </si>
  <si>
    <t>Q6PJG6</t>
  </si>
  <si>
    <t>Q6PJI9</t>
  </si>
  <si>
    <t>Q6PJT7-9</t>
  </si>
  <si>
    <t>Q6PJZ0</t>
  </si>
  <si>
    <t>Q6PKC3-2</t>
  </si>
  <si>
    <t>Q6PKG0</t>
  </si>
  <si>
    <t>Q6PL24</t>
  </si>
  <si>
    <t>Q6PML9</t>
  </si>
  <si>
    <t>Q6QHF9-4</t>
  </si>
  <si>
    <t>Q6QNY0</t>
  </si>
  <si>
    <t>Q6QNY1</t>
  </si>
  <si>
    <t>Q6RFH5-2</t>
  </si>
  <si>
    <t>Q6RW13</t>
  </si>
  <si>
    <t>Q6S8J3</t>
  </si>
  <si>
    <t>Q6SZW1-2</t>
  </si>
  <si>
    <t>Q6UB28</t>
  </si>
  <si>
    <t>Q6UB35</t>
  </si>
  <si>
    <t>Q6UB98-2</t>
  </si>
  <si>
    <t>Q6ULP2-5</t>
  </si>
  <si>
    <t>Q6UN15</t>
  </si>
  <si>
    <t>Q6UUV9-3</t>
  </si>
  <si>
    <t>Q6UW56</t>
  </si>
  <si>
    <t>Q6UW63</t>
  </si>
  <si>
    <t>Q6UW78</t>
  </si>
  <si>
    <t>Q6UWE0</t>
  </si>
  <si>
    <t>Q6UWP2</t>
  </si>
  <si>
    <t>Q6UWP7-3</t>
  </si>
  <si>
    <t>Q6UWW0</t>
  </si>
  <si>
    <t>Q6UX04</t>
  </si>
  <si>
    <t>Q6UXD5-6</t>
  </si>
  <si>
    <t>Q6UXG2-2</t>
  </si>
  <si>
    <t>Q6UXH1-5</t>
  </si>
  <si>
    <t>Q6UXN9</t>
  </si>
  <si>
    <t>Q6UXV4</t>
  </si>
  <si>
    <t>Q6W4X9</t>
  </si>
  <si>
    <t>Q6WCQ1-2</t>
  </si>
  <si>
    <t>Q6WKZ4</t>
  </si>
  <si>
    <t>Q6XQN6</t>
  </si>
  <si>
    <t>Q6Y1H2</t>
  </si>
  <si>
    <t>Q6Y7W6</t>
  </si>
  <si>
    <t>Q6YHK3</t>
  </si>
  <si>
    <t>Q6YHU6-3</t>
  </si>
  <si>
    <t>Q6YN16</t>
  </si>
  <si>
    <t>Q6YP21-3</t>
  </si>
  <si>
    <t>Q6ZMB5</t>
  </si>
  <si>
    <t>Q6ZMG9</t>
  </si>
  <si>
    <t>Q6ZMI0</t>
  </si>
  <si>
    <t>Q6ZMP0</t>
  </si>
  <si>
    <t>Q6ZMR3</t>
  </si>
  <si>
    <t>Q6ZN04</t>
  </si>
  <si>
    <t>Q6ZN17-2</t>
  </si>
  <si>
    <t>Q6ZNB6</t>
  </si>
  <si>
    <t>Q6ZNJ1-2</t>
  </si>
  <si>
    <t>Q6ZNW5</t>
  </si>
  <si>
    <t>Q6ZPD9</t>
  </si>
  <si>
    <t>Q6ZRP7</t>
  </si>
  <si>
    <t>Q6ZRS2-2</t>
  </si>
  <si>
    <t>Q6ZS17-2</t>
  </si>
  <si>
    <t>Q6ZS30</t>
  </si>
  <si>
    <t>Q6ZSJ8</t>
  </si>
  <si>
    <t>Q6ZSS7</t>
  </si>
  <si>
    <t>Q6ZT21-2</t>
  </si>
  <si>
    <t>Q6ZT62</t>
  </si>
  <si>
    <t>Q6ZTQ3-4</t>
  </si>
  <si>
    <t>Q6ZUX7</t>
  </si>
  <si>
    <t>Q6ZVF9</t>
  </si>
  <si>
    <t>Q6ZVM7-2</t>
  </si>
  <si>
    <t>Q6ZW13</t>
  </si>
  <si>
    <t>Q6ZW49-4</t>
  </si>
  <si>
    <t>Q6ZXV5-2</t>
  </si>
  <si>
    <t>Q6ZYL4</t>
  </si>
  <si>
    <t>Q709C8-3</t>
  </si>
  <si>
    <t>Q709F0</t>
  </si>
  <si>
    <t>Q70CQ2</t>
  </si>
  <si>
    <t>Q70IA6</t>
  </si>
  <si>
    <t>Q70UQ0</t>
  </si>
  <si>
    <t>Q70UQ0-4</t>
  </si>
  <si>
    <t>Q70Z53-2</t>
  </si>
  <si>
    <t>Q712K3</t>
  </si>
  <si>
    <t>Q71F56</t>
  </si>
  <si>
    <t>Q71RC2-5</t>
  </si>
  <si>
    <t>Q71SY5-5</t>
  </si>
  <si>
    <t>Q71UI9</t>
  </si>
  <si>
    <t>Q75QN2-2</t>
  </si>
  <si>
    <t>Q765P7</t>
  </si>
  <si>
    <t>Q7KYR7-5</t>
  </si>
  <si>
    <t>Q7KZ85</t>
  </si>
  <si>
    <t>Q7KZ85-2</t>
  </si>
  <si>
    <t>Q7KZF4</t>
  </si>
  <si>
    <t>Q7KZN9-2</t>
  </si>
  <si>
    <t>Q7L014</t>
  </si>
  <si>
    <t>Q7L099-4</t>
  </si>
  <si>
    <t>Q7L0Y3</t>
  </si>
  <si>
    <t>Q7L1Q6-2</t>
  </si>
  <si>
    <t>Q7L1T6</t>
  </si>
  <si>
    <t>Q7L211</t>
  </si>
  <si>
    <t>Q7L266</t>
  </si>
  <si>
    <t>Q7L273</t>
  </si>
  <si>
    <t>Q7L2H7</t>
  </si>
  <si>
    <t>Q7L2J0</t>
  </si>
  <si>
    <t>Q7L3T8</t>
  </si>
  <si>
    <t>Q7L4E1-3</t>
  </si>
  <si>
    <t>Q7L4I2</t>
  </si>
  <si>
    <t>Q7L523</t>
  </si>
  <si>
    <t>Q7L576</t>
  </si>
  <si>
    <t>Q7L592</t>
  </si>
  <si>
    <t>Q7L5D6</t>
  </si>
  <si>
    <t>Q7L5N7</t>
  </si>
  <si>
    <t>Q7L5Y1</t>
  </si>
  <si>
    <t>Q7L775</t>
  </si>
  <si>
    <t>Q7L7V1</t>
  </si>
  <si>
    <t>Q7L7X3</t>
  </si>
  <si>
    <t>Q7L8L6</t>
  </si>
  <si>
    <t>Q7L8W6</t>
  </si>
  <si>
    <t>Q7L9B9</t>
  </si>
  <si>
    <t>Q7LBC6</t>
  </si>
  <si>
    <t>Q7LBR1</t>
  </si>
  <si>
    <t>Q7LGA3</t>
  </si>
  <si>
    <t>Q7RTP0</t>
  </si>
  <si>
    <t>Q7RTP6</t>
  </si>
  <si>
    <t>Q7RTV0</t>
  </si>
  <si>
    <t>Q7RTX0</t>
  </si>
  <si>
    <t>Q7Z2E3-8</t>
  </si>
  <si>
    <t>Q7Z2K8</t>
  </si>
  <si>
    <t>Q7Z2W4</t>
  </si>
  <si>
    <t>Q7Z2Y8</t>
  </si>
  <si>
    <t>Q7Z2Z2</t>
  </si>
  <si>
    <t>Q7Z309</t>
  </si>
  <si>
    <t>Q7Z309-4</t>
  </si>
  <si>
    <t>Q7Z350</t>
  </si>
  <si>
    <t>Q7Z392</t>
  </si>
  <si>
    <t>Q7Z3C6-2</t>
  </si>
  <si>
    <t>Q7Z3D4</t>
  </si>
  <si>
    <t>Q7Z3D6-2</t>
  </si>
  <si>
    <t>Q7Z3E2</t>
  </si>
  <si>
    <t>Q7Z3K3-5</t>
  </si>
  <si>
    <t>Q7Z3T8</t>
  </si>
  <si>
    <t>Q7Z404-1</t>
  </si>
  <si>
    <t>Q7Z417</t>
  </si>
  <si>
    <t>Q7Z422-2</t>
  </si>
  <si>
    <t>Q7Z434</t>
  </si>
  <si>
    <t>Q7Z478</t>
  </si>
  <si>
    <t>Q7Z4G1</t>
  </si>
  <si>
    <t>Q7Z4G4-2</t>
  </si>
  <si>
    <t>Q7Z4H3</t>
  </si>
  <si>
    <t>Q7Z4H7-3</t>
  </si>
  <si>
    <t>Q7Z4H8</t>
  </si>
  <si>
    <t>Q7Z4I7-4</t>
  </si>
  <si>
    <t>Q7Z4Q2</t>
  </si>
  <si>
    <t>Q7Z4V5</t>
  </si>
  <si>
    <t>Q7Z4W1</t>
  </si>
  <si>
    <t>Q7Z569</t>
  </si>
  <si>
    <t>Q7Z589-2</t>
  </si>
  <si>
    <t>Q7Z5G4-3</t>
  </si>
  <si>
    <t>Q7Z5K2</t>
  </si>
  <si>
    <t>Q7Z5L9-2</t>
  </si>
  <si>
    <t>Q7Z5W3</t>
  </si>
  <si>
    <t>Q7Z6B0-2</t>
  </si>
  <si>
    <t>Q7Z6B7-2</t>
  </si>
  <si>
    <t>Q7Z6E9</t>
  </si>
  <si>
    <t>Q7Z6I8</t>
  </si>
  <si>
    <t>Q7Z6J8</t>
  </si>
  <si>
    <t>Q7Z6J9</t>
  </si>
  <si>
    <t>Q7Z6K3</t>
  </si>
  <si>
    <t>Q7Z6L1</t>
  </si>
  <si>
    <t>Q7Z6M1</t>
  </si>
  <si>
    <t>Q7Z6M2</t>
  </si>
  <si>
    <t>Q7Z6M4</t>
  </si>
  <si>
    <t>Q7Z6V5</t>
  </si>
  <si>
    <t>Q7Z6Z7-2</t>
  </si>
  <si>
    <t>Q7Z7A3</t>
  </si>
  <si>
    <t>Q7Z7A4</t>
  </si>
  <si>
    <t>Q7Z7C8</t>
  </si>
  <si>
    <t>Q7Z7E8</t>
  </si>
  <si>
    <t>Q7Z7F0-2</t>
  </si>
  <si>
    <t>Q7Z7F7</t>
  </si>
  <si>
    <t>Q7Z7H5-3</t>
  </si>
  <si>
    <t>Q7Z7H8</t>
  </si>
  <si>
    <t>Q7Z7K0</t>
  </si>
  <si>
    <t>Q7Z7K6-3</t>
  </si>
  <si>
    <t>Q7Z7L7</t>
  </si>
  <si>
    <t>Q7Z7N9</t>
  </si>
  <si>
    <t>Q86SQ9-3</t>
  </si>
  <si>
    <t>Q86SR1-2</t>
  </si>
  <si>
    <t>Q86SX6</t>
  </si>
  <si>
    <t>Q86SZ2</t>
  </si>
  <si>
    <t>Q86T03</t>
  </si>
  <si>
    <t>Q86TB9-4</t>
  </si>
  <si>
    <t>Q86TG7</t>
  </si>
  <si>
    <t>Q86TI0</t>
  </si>
  <si>
    <t>Q86TI2</t>
  </si>
  <si>
    <t>Q86TM6-2</t>
  </si>
  <si>
    <t>Q86TN4</t>
  </si>
  <si>
    <t>Q86TP1</t>
  </si>
  <si>
    <t>Q86TU7</t>
  </si>
  <si>
    <t>Q86TW2-3</t>
  </si>
  <si>
    <t>Q86TX2</t>
  </si>
  <si>
    <t>Q86U28</t>
  </si>
  <si>
    <t>Q86U38</t>
  </si>
  <si>
    <t>Q86U44</t>
  </si>
  <si>
    <t>Q86U70-3</t>
  </si>
  <si>
    <t>Q86U86-5</t>
  </si>
  <si>
    <t>Q86U90</t>
  </si>
  <si>
    <t>Q86UA1</t>
  </si>
  <si>
    <t>Q86UD0</t>
  </si>
  <si>
    <t>Q86UE4</t>
  </si>
  <si>
    <t>Q86UE8-2</t>
  </si>
  <si>
    <t>Q86UK7-3</t>
  </si>
  <si>
    <t>Q86UL3</t>
  </si>
  <si>
    <t>Q86UP2</t>
  </si>
  <si>
    <t>Q86US8</t>
  </si>
  <si>
    <t>Q86UT6-2</t>
  </si>
  <si>
    <t>Q86UU0-4</t>
  </si>
  <si>
    <t>Q86UV5</t>
  </si>
  <si>
    <t>Q86UX3</t>
  </si>
  <si>
    <t>Q86UX6</t>
  </si>
  <si>
    <t>Q86UY0</t>
  </si>
  <si>
    <t>Q86UY8</t>
  </si>
  <si>
    <t>Q86V15</t>
  </si>
  <si>
    <t>Q86V21</t>
  </si>
  <si>
    <t>Q86V48-2</t>
  </si>
  <si>
    <t>Q86V85</t>
  </si>
  <si>
    <t>Q86V88</t>
  </si>
  <si>
    <t>Q86V97</t>
  </si>
  <si>
    <t>Q86VF7-4</t>
  </si>
  <si>
    <t>Q86VI3</t>
  </si>
  <si>
    <t>Q86VN1-2</t>
  </si>
  <si>
    <t>Q86VP6</t>
  </si>
  <si>
    <t>Q86VQ1</t>
  </si>
  <si>
    <t>Q86VR2</t>
  </si>
  <si>
    <t>Q86VS8</t>
  </si>
  <si>
    <t>Q86VU5</t>
  </si>
  <si>
    <t>Q86VW0</t>
  </si>
  <si>
    <t>Q86VX9</t>
  </si>
  <si>
    <t>Q86W42</t>
  </si>
  <si>
    <t>Q86W50</t>
  </si>
  <si>
    <t>Q86W56</t>
  </si>
  <si>
    <t>Q86W92-4</t>
  </si>
  <si>
    <t>Q86WA6-2</t>
  </si>
  <si>
    <t>Q86WA8</t>
  </si>
  <si>
    <t>Q86WC4</t>
  </si>
  <si>
    <t>Q86WJ1-2</t>
  </si>
  <si>
    <t>Q86WQ0</t>
  </si>
  <si>
    <t>Q86WR0</t>
  </si>
  <si>
    <t>Q86WR7</t>
  </si>
  <si>
    <t>Q86WU2-2</t>
  </si>
  <si>
    <t>Q86WV7</t>
  </si>
  <si>
    <t>Q86X55-1</t>
  </si>
  <si>
    <t>Q86X67</t>
  </si>
  <si>
    <t>Q86X76-2</t>
  </si>
  <si>
    <t>Q86X83</t>
  </si>
  <si>
    <t>Q86X95-2</t>
  </si>
  <si>
    <t>Q86XP0</t>
  </si>
  <si>
    <t>Q86XP1</t>
  </si>
  <si>
    <t>Q86XP3</t>
  </si>
  <si>
    <t>Q86XX4</t>
  </si>
  <si>
    <t>Q86XZ4</t>
  </si>
  <si>
    <t>Q86Y07</t>
  </si>
  <si>
    <t>Q86Y07-4</t>
  </si>
  <si>
    <t>Q86Y39</t>
  </si>
  <si>
    <t>Q86Y56</t>
  </si>
  <si>
    <t>Q86Y79</t>
  </si>
  <si>
    <t>Q86Y82</t>
  </si>
  <si>
    <t>Q86YB8</t>
  </si>
  <si>
    <t>Q86YH6</t>
  </si>
  <si>
    <t>Q86YM7</t>
  </si>
  <si>
    <t>Q86YN1-2</t>
  </si>
  <si>
    <t>Q86YP4</t>
  </si>
  <si>
    <t>Q86YS7</t>
  </si>
  <si>
    <t>Q86YT6</t>
  </si>
  <si>
    <t>Q86YV5</t>
  </si>
  <si>
    <t>Q86YV9</t>
  </si>
  <si>
    <t>Q8IU81</t>
  </si>
  <si>
    <t>Q8IUC4</t>
  </si>
  <si>
    <t>Q8IUD2-2</t>
  </si>
  <si>
    <t>Q8IUF8</t>
  </si>
  <si>
    <t>Q8IUF8-4</t>
  </si>
  <si>
    <t>Q8IUH4</t>
  </si>
  <si>
    <t>Q8IUI8</t>
  </si>
  <si>
    <t>Q8IUR0</t>
  </si>
  <si>
    <t>Q8IUW5</t>
  </si>
  <si>
    <t>Q8IUX1-4</t>
  </si>
  <si>
    <t>Q8IUZ5</t>
  </si>
  <si>
    <t>Q8IV08</t>
  </si>
  <si>
    <t>Q8IV20</t>
  </si>
  <si>
    <t>Q8IV36-2</t>
  </si>
  <si>
    <t>Q8IV38</t>
  </si>
  <si>
    <t>Q8IV45</t>
  </si>
  <si>
    <t>Q8IV50</t>
  </si>
  <si>
    <t>Q8IV56</t>
  </si>
  <si>
    <t>Q8IV63-3</t>
  </si>
  <si>
    <t>Q8IVB5</t>
  </si>
  <si>
    <t>Q8IVD9</t>
  </si>
  <si>
    <t>Q8IVF2-3</t>
  </si>
  <si>
    <t>Q8IVH4</t>
  </si>
  <si>
    <t>Q8IVH8-3</t>
  </si>
  <si>
    <t>Q8IVL1-4</t>
  </si>
  <si>
    <t>Q8IVM0</t>
  </si>
  <si>
    <t>Q8IVM0-2</t>
  </si>
  <si>
    <t>Q8IVQ6</t>
  </si>
  <si>
    <t>Q8IVR6</t>
  </si>
  <si>
    <t>Q8IVS2</t>
  </si>
  <si>
    <t>Q8IVT2</t>
  </si>
  <si>
    <t>Q8IVW6-3</t>
  </si>
  <si>
    <t>Q8IW45</t>
  </si>
  <si>
    <t>Q8IWA4</t>
  </si>
  <si>
    <t>Q8IWB1</t>
  </si>
  <si>
    <t>Q8IWB7</t>
  </si>
  <si>
    <t>Q8IWB9</t>
  </si>
  <si>
    <t>Q8IWC1-2</t>
  </si>
  <si>
    <t>Q8IWD4</t>
  </si>
  <si>
    <t>Q8IWE2</t>
  </si>
  <si>
    <t>Q8IWE4</t>
  </si>
  <si>
    <t>Q8IWF6</t>
  </si>
  <si>
    <t>Q8IWJ2</t>
  </si>
  <si>
    <t>Q8IWL3</t>
  </si>
  <si>
    <t>Q8IWR0</t>
  </si>
  <si>
    <t>Q8IWS0</t>
  </si>
  <si>
    <t>Q8IWT6</t>
  </si>
  <si>
    <t>Q8IWU2</t>
  </si>
  <si>
    <t>Q8IWV7</t>
  </si>
  <si>
    <t>Q8IWV8-4</t>
  </si>
  <si>
    <t>Q8IWW6-2</t>
  </si>
  <si>
    <t>Q8IWX5</t>
  </si>
  <si>
    <t>Q8IWZ3-6</t>
  </si>
  <si>
    <t>Q8IWZ8</t>
  </si>
  <si>
    <t>Q8IX04-6</t>
  </si>
  <si>
    <t>Q8IX12-2</t>
  </si>
  <si>
    <t>Q8IX18-3</t>
  </si>
  <si>
    <t>Q8IX90</t>
  </si>
  <si>
    <t>Q8IXB1</t>
  </si>
  <si>
    <t>Q8IXI1</t>
  </si>
  <si>
    <t>Q8IXI2-4</t>
  </si>
  <si>
    <t>Q8IXM2-2</t>
  </si>
  <si>
    <t>Q8IXQ4</t>
  </si>
  <si>
    <t>Q8IXW5-2</t>
  </si>
  <si>
    <t>Q8IY17-5</t>
  </si>
  <si>
    <t>Q8IY18</t>
  </si>
  <si>
    <t>Q8IY22</t>
  </si>
  <si>
    <t>Q8IY33</t>
  </si>
  <si>
    <t>Q8IY37</t>
  </si>
  <si>
    <t>Q8IY47</t>
  </si>
  <si>
    <t>Q8IY50-2</t>
  </si>
  <si>
    <t>Q8IY81</t>
  </si>
  <si>
    <t>Q8IY92-2</t>
  </si>
  <si>
    <t>Q8IY95-2</t>
  </si>
  <si>
    <t>Q8IYB1</t>
  </si>
  <si>
    <t>Q8IYB5-3</t>
  </si>
  <si>
    <t>Q8IYB7</t>
  </si>
  <si>
    <t>Q8IYB8</t>
  </si>
  <si>
    <t>Q8IYE0-2</t>
  </si>
  <si>
    <t>Q8IYH5-4</t>
  </si>
  <si>
    <t>Q8IYI6</t>
  </si>
  <si>
    <t>Q8IYL3</t>
  </si>
  <si>
    <t>Q8IYQ7</t>
  </si>
  <si>
    <t>Q8IYS1</t>
  </si>
  <si>
    <t>Q8IYS2</t>
  </si>
  <si>
    <t>Q8IYU8</t>
  </si>
  <si>
    <t>Q8IYW5</t>
  </si>
  <si>
    <t>Q8IZ07</t>
  </si>
  <si>
    <t>Q8IZ21-3</t>
  </si>
  <si>
    <t>Q8IZ40</t>
  </si>
  <si>
    <t>Q8IZ41</t>
  </si>
  <si>
    <t>Q8IZ52</t>
  </si>
  <si>
    <t>Q8IZ68</t>
  </si>
  <si>
    <t>Q8IZ73</t>
  </si>
  <si>
    <t>Q8IZ81</t>
  </si>
  <si>
    <t>Q8IZ83</t>
  </si>
  <si>
    <t>Q8IZF0</t>
  </si>
  <si>
    <t>Q8IZH2-2</t>
  </si>
  <si>
    <t>Q8IZL2</t>
  </si>
  <si>
    <t>Q8IZQ5</t>
  </si>
  <si>
    <t>Q8IZR5-2</t>
  </si>
  <si>
    <t>Q8IZV5</t>
  </si>
  <si>
    <t>Q8IZW8</t>
  </si>
  <si>
    <t>Q8N0T1</t>
  </si>
  <si>
    <t>Q8N0U4</t>
  </si>
  <si>
    <t>Q8N0U8</t>
  </si>
  <si>
    <t>Q8N0W3</t>
  </si>
  <si>
    <t>Q8N0X4</t>
  </si>
  <si>
    <t>Q8N0Z6</t>
  </si>
  <si>
    <t>Q8N0Z8</t>
  </si>
  <si>
    <t>Q8N0Z9-2</t>
  </si>
  <si>
    <t>Q8N108-17</t>
  </si>
  <si>
    <t>Q8N122</t>
  </si>
  <si>
    <t>Q8N129</t>
  </si>
  <si>
    <t>Q8N163</t>
  </si>
  <si>
    <t>Q8N183</t>
  </si>
  <si>
    <t>Q8N1B4</t>
  </si>
  <si>
    <t>Q8N1F7</t>
  </si>
  <si>
    <t>Q8N1G2</t>
  </si>
  <si>
    <t>Q8N1G4</t>
  </si>
  <si>
    <t>Q8N1K5</t>
  </si>
  <si>
    <t>Q8N2A8</t>
  </si>
  <si>
    <t>Q8N2F6-3</t>
  </si>
  <si>
    <t>Q8N2G8-3</t>
  </si>
  <si>
    <t>Q8N2K0</t>
  </si>
  <si>
    <t>Q8N2Z9</t>
  </si>
  <si>
    <t>Q8N300</t>
  </si>
  <si>
    <t>Q8N335</t>
  </si>
  <si>
    <t>Q8N350</t>
  </si>
  <si>
    <t>Q8N392-2</t>
  </si>
  <si>
    <t>Q8N398-2</t>
  </si>
  <si>
    <t>Q8N3C0</t>
  </si>
  <si>
    <t>Q8N3D4</t>
  </si>
  <si>
    <t>Q8N3F8</t>
  </si>
  <si>
    <t>Q8N3R9-2</t>
  </si>
  <si>
    <t>Q8N3X1</t>
  </si>
  <si>
    <t>Q8N442</t>
  </si>
  <si>
    <t>Q8N465</t>
  </si>
  <si>
    <t>Q8N488</t>
  </si>
  <si>
    <t>Q8N490-2</t>
  </si>
  <si>
    <t>Q8N490-4</t>
  </si>
  <si>
    <t>Q8N4C8-2</t>
  </si>
  <si>
    <t>Q8N4H5</t>
  </si>
  <si>
    <t>Q8N4P3</t>
  </si>
  <si>
    <t>Q8N4Q0</t>
  </si>
  <si>
    <t>Q8N4Q1</t>
  </si>
  <si>
    <t>Q8N4T8</t>
  </si>
  <si>
    <t>Q8N4V1</t>
  </si>
  <si>
    <t>Q8N567</t>
  </si>
  <si>
    <t>Q8N573-2</t>
  </si>
  <si>
    <t>Q8N584</t>
  </si>
  <si>
    <t>Q8N5C6</t>
  </si>
  <si>
    <t>Q8N5F7</t>
  </si>
  <si>
    <t>Q8N5G0-2</t>
  </si>
  <si>
    <t>Q8N5G2</t>
  </si>
  <si>
    <t>Q8N5I2</t>
  </si>
  <si>
    <t>Q8N5I9</t>
  </si>
  <si>
    <t>Q8N5K1</t>
  </si>
  <si>
    <t>Q8N5L8</t>
  </si>
  <si>
    <t>Q8N5M1</t>
  </si>
  <si>
    <t>Q8N5M9</t>
  </si>
  <si>
    <t>Q8N5N7</t>
  </si>
  <si>
    <t>Q8N5X7-2</t>
  </si>
  <si>
    <t>Q8N5Y8</t>
  </si>
  <si>
    <t>Q8N5Z5-2</t>
  </si>
  <si>
    <t>Q8N684-2</t>
  </si>
  <si>
    <t>Q8N697</t>
  </si>
  <si>
    <t>Q8N6H7</t>
  </si>
  <si>
    <t>Q8N6M0</t>
  </si>
  <si>
    <t>Q8N6N3-2</t>
  </si>
  <si>
    <t>Q8N6N7</t>
  </si>
  <si>
    <t>Q8N6Q8</t>
  </si>
  <si>
    <t>Q8N6S4-2</t>
  </si>
  <si>
    <t>Q8N6T3</t>
  </si>
  <si>
    <t>Q8N729</t>
  </si>
  <si>
    <t>Q8N749</t>
  </si>
  <si>
    <t>Q8N766-3</t>
  </si>
  <si>
    <t>Q8N806</t>
  </si>
  <si>
    <t>Q8N8J7</t>
  </si>
  <si>
    <t>Q8N8N7</t>
  </si>
  <si>
    <t>Q8N8R3</t>
  </si>
  <si>
    <t>Q8N8R5</t>
  </si>
  <si>
    <t>Q8N8R7</t>
  </si>
  <si>
    <t>Q8N8S7</t>
  </si>
  <si>
    <t>Q8N954</t>
  </si>
  <si>
    <t>Q8N999</t>
  </si>
  <si>
    <t>Q8N9B5-2</t>
  </si>
  <si>
    <t>Q8N9F7</t>
  </si>
  <si>
    <t>Q8N9I9</t>
  </si>
  <si>
    <t>Q8N9M5</t>
  </si>
  <si>
    <t>Q8N9N7</t>
  </si>
  <si>
    <t>Q8N9R8</t>
  </si>
  <si>
    <t>Q8N9T8</t>
  </si>
  <si>
    <t>Q8N9V3</t>
  </si>
  <si>
    <t>Q8NAF0</t>
  </si>
  <si>
    <t>Q8NAV1</t>
  </si>
  <si>
    <t>Q8NAX2</t>
  </si>
  <si>
    <t>Q8NB15-2</t>
  </si>
  <si>
    <t>Q8NB16</t>
  </si>
  <si>
    <t>Q8NB37</t>
  </si>
  <si>
    <t>Q8NB46</t>
  </si>
  <si>
    <t>Q8NB49-2</t>
  </si>
  <si>
    <t>Q8NB90</t>
  </si>
  <si>
    <t>Q8NBF2</t>
  </si>
  <si>
    <t>Q8NBF6</t>
  </si>
  <si>
    <t>Q8NBI6</t>
  </si>
  <si>
    <t>Q8NBJ4-2</t>
  </si>
  <si>
    <t>Q8NBJ5</t>
  </si>
  <si>
    <t>Q8NBK3-4</t>
  </si>
  <si>
    <t>Q8NBM4-2</t>
  </si>
  <si>
    <t>Q8NBM8</t>
  </si>
  <si>
    <t>Q8NBN3</t>
  </si>
  <si>
    <t>Q8NBN7</t>
  </si>
  <si>
    <t>Q8NBP7</t>
  </si>
  <si>
    <t>Q8NBU5</t>
  </si>
  <si>
    <t>Q8NBX0</t>
  </si>
  <si>
    <t>Q8NBY1</t>
  </si>
  <si>
    <t>Q8NC51</t>
  </si>
  <si>
    <t>Q8NC54</t>
  </si>
  <si>
    <t>Q8NC56</t>
  </si>
  <si>
    <t>Q8NC60</t>
  </si>
  <si>
    <t>Q8NC96</t>
  </si>
  <si>
    <t>Q8NCA5-2</t>
  </si>
  <si>
    <t>Q8NCC3</t>
  </si>
  <si>
    <t>Q8NCE0-4</t>
  </si>
  <si>
    <t>Q8NCE2</t>
  </si>
  <si>
    <t>Q8NCF5</t>
  </si>
  <si>
    <t>Q8NCG7</t>
  </si>
  <si>
    <t>Q8NCH0</t>
  </si>
  <si>
    <t>Q8NCL4</t>
  </si>
  <si>
    <t>Q8NCN4</t>
  </si>
  <si>
    <t>Q8NCN5</t>
  </si>
  <si>
    <t>Q8NCW5</t>
  </si>
  <si>
    <t>Q8ND04</t>
  </si>
  <si>
    <t>Q8ND24</t>
  </si>
  <si>
    <t>Q8ND56-2</t>
  </si>
  <si>
    <t>Q8ND76</t>
  </si>
  <si>
    <t>Q8NDC0</t>
  </si>
  <si>
    <t>Q8NDD1-2</t>
  </si>
  <si>
    <t>Q8NDD1-3</t>
  </si>
  <si>
    <t>Q8NDH3</t>
  </si>
  <si>
    <t>Q8NDT2</t>
  </si>
  <si>
    <t>Q8NDZ4</t>
  </si>
  <si>
    <t>Q8NE01-2</t>
  </si>
  <si>
    <t>Q8NE62</t>
  </si>
  <si>
    <t>Q8NE71</t>
  </si>
  <si>
    <t>Q8NE86-3</t>
  </si>
  <si>
    <t>Q8NEC7</t>
  </si>
  <si>
    <t>Q8NEG4</t>
  </si>
  <si>
    <t>Q8NEG7</t>
  </si>
  <si>
    <t>Q8NEL9-2</t>
  </si>
  <si>
    <t>Q8NEN9</t>
  </si>
  <si>
    <t>Q8NEU8-2</t>
  </si>
  <si>
    <t>Q8NEZ5</t>
  </si>
  <si>
    <t>Q8NF37</t>
  </si>
  <si>
    <t>Q8NFC6</t>
  </si>
  <si>
    <t>Q8NFF5-2</t>
  </si>
  <si>
    <t>Q8NFH3</t>
  </si>
  <si>
    <t>Q8NFH4</t>
  </si>
  <si>
    <t>Q8NFI3</t>
  </si>
  <si>
    <t>Q8NFM7-4</t>
  </si>
  <si>
    <t>Q8NFQ8</t>
  </si>
  <si>
    <t>Q8NFU3</t>
  </si>
  <si>
    <t>Q8NFU3-4</t>
  </si>
  <si>
    <t>Q8NFV4</t>
  </si>
  <si>
    <t>Q8NFW8</t>
  </si>
  <si>
    <t>Q8NFX7-2</t>
  </si>
  <si>
    <t>Q8NG68</t>
  </si>
  <si>
    <t>Q8NGG4</t>
  </si>
  <si>
    <t>Q8NHG7</t>
  </si>
  <si>
    <t>Q8NHG8</t>
  </si>
  <si>
    <t>Q8NHH9</t>
  </si>
  <si>
    <t>Q8NHM4</t>
  </si>
  <si>
    <t>Q8NHM5-4</t>
  </si>
  <si>
    <t>Q8NHP8</t>
  </si>
  <si>
    <t>Q8NHV1</t>
  </si>
  <si>
    <t>Q8NHV4</t>
  </si>
  <si>
    <t>Q8NHZ8</t>
  </si>
  <si>
    <t>Q8NI08-2</t>
  </si>
  <si>
    <t>Q8NI22-2</t>
  </si>
  <si>
    <t>Q8NI27</t>
  </si>
  <si>
    <t>Q8NI35</t>
  </si>
  <si>
    <t>Q8NI36</t>
  </si>
  <si>
    <t>Q8NI37</t>
  </si>
  <si>
    <t>Q8NI60</t>
  </si>
  <si>
    <t>Q8TA86</t>
  </si>
  <si>
    <t>Q8TAA5</t>
  </si>
  <si>
    <t>Q8TAD8</t>
  </si>
  <si>
    <t>Q8TAE6</t>
  </si>
  <si>
    <t>Q8TAE8</t>
  </si>
  <si>
    <t>Q8TAF3</t>
  </si>
  <si>
    <t>Q8TAM6</t>
  </si>
  <si>
    <t>Q8TAP6</t>
  </si>
  <si>
    <t>Q8TAQ2</t>
  </si>
  <si>
    <t>Q8TAT2</t>
  </si>
  <si>
    <t>Q8TAT6</t>
  </si>
  <si>
    <t>Q8TAV0-2</t>
  </si>
  <si>
    <t>Q8TB03</t>
  </si>
  <si>
    <t>Q8TB36</t>
  </si>
  <si>
    <t>Q8TB37</t>
  </si>
  <si>
    <t>Q8TB52</t>
  </si>
  <si>
    <t>Q8TB61-3</t>
  </si>
  <si>
    <t>Q8TB72-3</t>
  </si>
  <si>
    <t>Q8TBA6-2</t>
  </si>
  <si>
    <t>Q8TBB1</t>
  </si>
  <si>
    <t>Q8TBB5-3</t>
  </si>
  <si>
    <t>Q8TBC4</t>
  </si>
  <si>
    <t>Q8TBE9</t>
  </si>
  <si>
    <t>Q8TBF2</t>
  </si>
  <si>
    <t>Q8TBK2-2</t>
  </si>
  <si>
    <t>Q8TBR7-1</t>
  </si>
  <si>
    <t>Q8TBX8</t>
  </si>
  <si>
    <t>Q8TBZ6</t>
  </si>
  <si>
    <t>Q8TC07-2</t>
  </si>
  <si>
    <t>Q8TC12</t>
  </si>
  <si>
    <t>Q8TCA0</t>
  </si>
  <si>
    <t>Q8TCD1</t>
  </si>
  <si>
    <t>Q8TCD5</t>
  </si>
  <si>
    <t>Q8TCG1</t>
  </si>
  <si>
    <t>Q8TCG2</t>
  </si>
  <si>
    <t>Q8TCJ2</t>
  </si>
  <si>
    <t>Q8TCS8</t>
  </si>
  <si>
    <t>Q8TCT9-5</t>
  </si>
  <si>
    <t>Q8TCX1-5</t>
  </si>
  <si>
    <t>Q8TCX5-2</t>
  </si>
  <si>
    <t>Q8TCY9-3</t>
  </si>
  <si>
    <t>Q8TCZ2-6</t>
  </si>
  <si>
    <t>Q8TD16</t>
  </si>
  <si>
    <t>Q8TD19</t>
  </si>
  <si>
    <t>Q8TD30</t>
  </si>
  <si>
    <t>Q8TDB6</t>
  </si>
  <si>
    <t>Q8TDD1-2</t>
  </si>
  <si>
    <t>Q8TDH9</t>
  </si>
  <si>
    <t>Q8TDQ7</t>
  </si>
  <si>
    <t>Q8TDR2</t>
  </si>
  <si>
    <t>Q8TDX7</t>
  </si>
  <si>
    <t>Q8TDY2-2</t>
  </si>
  <si>
    <t>Q8TDZ2</t>
  </si>
  <si>
    <t>Q8TE04-2</t>
  </si>
  <si>
    <t>Q8TE77</t>
  </si>
  <si>
    <t>Q8TEA1</t>
  </si>
  <si>
    <t>Q8TEA7-3</t>
  </si>
  <si>
    <t>Q8TEA8</t>
  </si>
  <si>
    <t>Q8TEB1-2</t>
  </si>
  <si>
    <t>Q8TED0</t>
  </si>
  <si>
    <t>Q8TEM1</t>
  </si>
  <si>
    <t>Q8TEQ6</t>
  </si>
  <si>
    <t>Q8TEQ8-2</t>
  </si>
  <si>
    <t>Q8TET4</t>
  </si>
  <si>
    <t>Q8TEV9-2</t>
  </si>
  <si>
    <t>Q8TEX9</t>
  </si>
  <si>
    <t>Q8TEY7-3</t>
  </si>
  <si>
    <t>Q8TF01</t>
  </si>
  <si>
    <t>Q8TF05-2</t>
  </si>
  <si>
    <t>Q8TF71</t>
  </si>
  <si>
    <t>Q8TF74</t>
  </si>
  <si>
    <t>Q8WTS1</t>
  </si>
  <si>
    <t>Q8WTS6</t>
  </si>
  <si>
    <t>Q8WTW3</t>
  </si>
  <si>
    <t>Q8WTX9</t>
  </si>
  <si>
    <t>Q8WU10</t>
  </si>
  <si>
    <t>Q8WU79-2</t>
  </si>
  <si>
    <t>Q8WU90</t>
  </si>
  <si>
    <t>Q8WUA2</t>
  </si>
  <si>
    <t>Q8WUA4</t>
  </si>
  <si>
    <t>Q8WUB8-3</t>
  </si>
  <si>
    <t>Q8WUD1</t>
  </si>
  <si>
    <t>Q8WUF5</t>
  </si>
  <si>
    <t>Q8WUF8-3</t>
  </si>
  <si>
    <t>Q8WUH1</t>
  </si>
  <si>
    <t>Q8WUH2</t>
  </si>
  <si>
    <t>Q8WUH6</t>
  </si>
  <si>
    <t>Q8WUJ0</t>
  </si>
  <si>
    <t>Q8WUK0</t>
  </si>
  <si>
    <t>Q8WUM0</t>
  </si>
  <si>
    <t>Q8WUM4</t>
  </si>
  <si>
    <t>Q8WUN7</t>
  </si>
  <si>
    <t>Q8WUP2</t>
  </si>
  <si>
    <t>Q8WUR7</t>
  </si>
  <si>
    <t>Q8WUX2</t>
  </si>
  <si>
    <t>Q8WUX9</t>
  </si>
  <si>
    <t>Q8WUY1</t>
  </si>
  <si>
    <t>Q8WUY8</t>
  </si>
  <si>
    <t>Q8WV22</t>
  </si>
  <si>
    <t>Q8WV41</t>
  </si>
  <si>
    <t>Q8WV60</t>
  </si>
  <si>
    <t>Q8WV93</t>
  </si>
  <si>
    <t>Q8WVB6</t>
  </si>
  <si>
    <t>Q8WVC0</t>
  </si>
  <si>
    <t>Q8WVC2</t>
  </si>
  <si>
    <t>Q8WVD3</t>
  </si>
  <si>
    <t>Q8WVJ2</t>
  </si>
  <si>
    <t>Q8WVK2</t>
  </si>
  <si>
    <t>Q8WVL7</t>
  </si>
  <si>
    <t>Q8WVM0</t>
  </si>
  <si>
    <t>Q8WVM8</t>
  </si>
  <si>
    <t>Q8WVQ1</t>
  </si>
  <si>
    <t>Q8WVT3</t>
  </si>
  <si>
    <t>Q8WVV4</t>
  </si>
  <si>
    <t>Q8WVV9-4</t>
  </si>
  <si>
    <t>Q8WVX9</t>
  </si>
  <si>
    <t>Q8WVY7</t>
  </si>
  <si>
    <t>Q8WVZ9</t>
  </si>
  <si>
    <t>Q8WW01</t>
  </si>
  <si>
    <t>Q8WW12</t>
  </si>
  <si>
    <t>Q8WW59</t>
  </si>
  <si>
    <t>Q8WWB7-2</t>
  </si>
  <si>
    <t>Q8WWC4</t>
  </si>
  <si>
    <t>Q8WWH5</t>
  </si>
  <si>
    <t>Q8WWI5</t>
  </si>
  <si>
    <t>Q8WWM7</t>
  </si>
  <si>
    <t>Q8WWV3</t>
  </si>
  <si>
    <t>Q8WWX9</t>
  </si>
  <si>
    <t>Q8WX77</t>
  </si>
  <si>
    <t>Q8WX92</t>
  </si>
  <si>
    <t>Q8WXA9-2</t>
  </si>
  <si>
    <t>Q8WXD2</t>
  </si>
  <si>
    <t>Q8WXD5</t>
  </si>
  <si>
    <t>Q8WXE1-5</t>
  </si>
  <si>
    <t>Q8WXF1</t>
  </si>
  <si>
    <t>Q8WXH0</t>
  </si>
  <si>
    <t>Q8WXI9</t>
  </si>
  <si>
    <t>Q8WXX0</t>
  </si>
  <si>
    <t>Q8WXX5</t>
  </si>
  <si>
    <t>Q8WY22</t>
  </si>
  <si>
    <t>Q8WYA6</t>
  </si>
  <si>
    <t>Q8WYP5</t>
  </si>
  <si>
    <t>Q8WZ82</t>
  </si>
  <si>
    <t>Q8WZA0</t>
  </si>
  <si>
    <t>Q8WZA9</t>
  </si>
  <si>
    <t>Q92466</t>
  </si>
  <si>
    <t>Q92485</t>
  </si>
  <si>
    <t>Q92499</t>
  </si>
  <si>
    <t>Q92504</t>
  </si>
  <si>
    <t>Q92506</t>
  </si>
  <si>
    <t>Q92508</t>
  </si>
  <si>
    <t>Q92520</t>
  </si>
  <si>
    <t>Q92522</t>
  </si>
  <si>
    <t>Q92526</t>
  </si>
  <si>
    <t>Q92536</t>
  </si>
  <si>
    <t>Q92537</t>
  </si>
  <si>
    <t>Q92538</t>
  </si>
  <si>
    <t>Q92541</t>
  </si>
  <si>
    <t>Q92544</t>
  </si>
  <si>
    <t>Q92546</t>
  </si>
  <si>
    <t>Q92547</t>
  </si>
  <si>
    <t>Q92551</t>
  </si>
  <si>
    <t>Q92552</t>
  </si>
  <si>
    <t>Q92558</t>
  </si>
  <si>
    <t>Q92572</t>
  </si>
  <si>
    <t>Q92575</t>
  </si>
  <si>
    <t>Q92576-2</t>
  </si>
  <si>
    <t>Q92585</t>
  </si>
  <si>
    <t>Q92597</t>
  </si>
  <si>
    <t>Q92598-2</t>
  </si>
  <si>
    <t>Q92600</t>
  </si>
  <si>
    <t>Q92609</t>
  </si>
  <si>
    <t>Q92615</t>
  </si>
  <si>
    <t>Q92616</t>
  </si>
  <si>
    <t>Q92618</t>
  </si>
  <si>
    <t>Q92620</t>
  </si>
  <si>
    <t>Q92621</t>
  </si>
  <si>
    <t>Q92623</t>
  </si>
  <si>
    <t>Q92625</t>
  </si>
  <si>
    <t>Q92636</t>
  </si>
  <si>
    <t>Q92664-2</t>
  </si>
  <si>
    <t>Q92665</t>
  </si>
  <si>
    <t>Q92667</t>
  </si>
  <si>
    <t>Q92673</t>
  </si>
  <si>
    <t>Q92688-2</t>
  </si>
  <si>
    <t>Q92692</t>
  </si>
  <si>
    <t>Q92692-2</t>
  </si>
  <si>
    <t>Q92696</t>
  </si>
  <si>
    <t>Q92734-2</t>
  </si>
  <si>
    <t>Q92738</t>
  </si>
  <si>
    <t>Q92747</t>
  </si>
  <si>
    <t>Q92766</t>
  </si>
  <si>
    <t>Q92783-2</t>
  </si>
  <si>
    <t>Q92791</t>
  </si>
  <si>
    <t>Q92793</t>
  </si>
  <si>
    <t>Q92797</t>
  </si>
  <si>
    <t>Q92804-2</t>
  </si>
  <si>
    <t>Q92805</t>
  </si>
  <si>
    <t>Q92820</t>
  </si>
  <si>
    <t>Q92843-2</t>
  </si>
  <si>
    <t>Q92844</t>
  </si>
  <si>
    <t>Q92845-2</t>
  </si>
  <si>
    <t>Q92854</t>
  </si>
  <si>
    <t>Q92871</t>
  </si>
  <si>
    <t>Q92876</t>
  </si>
  <si>
    <t>Q92878</t>
  </si>
  <si>
    <t>Q92882</t>
  </si>
  <si>
    <t>Q92889</t>
  </si>
  <si>
    <t>Q92890</t>
  </si>
  <si>
    <t>Q92896</t>
  </si>
  <si>
    <t>Q92900</t>
  </si>
  <si>
    <t>Q92905</t>
  </si>
  <si>
    <t>Q92917</t>
  </si>
  <si>
    <t>Q92922</t>
  </si>
  <si>
    <t>Q92934</t>
  </si>
  <si>
    <t>Q92945</t>
  </si>
  <si>
    <t>Q92947</t>
  </si>
  <si>
    <t>Q92968</t>
  </si>
  <si>
    <t>Q92973-2</t>
  </si>
  <si>
    <t>Q92979</t>
  </si>
  <si>
    <t>Q92990</t>
  </si>
  <si>
    <t>Q92995</t>
  </si>
  <si>
    <t>Q93008-1</t>
  </si>
  <si>
    <t>Q93015-2</t>
  </si>
  <si>
    <t>Q93034</t>
  </si>
  <si>
    <t>Q93052</t>
  </si>
  <si>
    <t>Q93075</t>
  </si>
  <si>
    <t>Q93077</t>
  </si>
  <si>
    <t>Q969E2-2</t>
  </si>
  <si>
    <t>Q969E4</t>
  </si>
  <si>
    <t>Q969E8</t>
  </si>
  <si>
    <t>Q969G6</t>
  </si>
  <si>
    <t>Q969H6-2</t>
  </si>
  <si>
    <t>Q969H8</t>
  </si>
  <si>
    <t>Q969L2</t>
  </si>
  <si>
    <t>Q969M3</t>
  </si>
  <si>
    <t>Q969N2-4</t>
  </si>
  <si>
    <t>Q969P0-3</t>
  </si>
  <si>
    <t>Q969Q0</t>
  </si>
  <si>
    <t>Q969S3</t>
  </si>
  <si>
    <t>Q969S9-3</t>
  </si>
  <si>
    <t>Q969T7-2</t>
  </si>
  <si>
    <t>Q969V3-2</t>
  </si>
  <si>
    <t>Q969V5</t>
  </si>
  <si>
    <t>Q969X5-2</t>
  </si>
  <si>
    <t>Q969X6</t>
  </si>
  <si>
    <t>Q969Y2-3</t>
  </si>
  <si>
    <t>Q969Z0</t>
  </si>
  <si>
    <t>Q96A22</t>
  </si>
  <si>
    <t>Q96A29-2</t>
  </si>
  <si>
    <t>Q96A33</t>
  </si>
  <si>
    <t>Q96A46</t>
  </si>
  <si>
    <t>Q96A49</t>
  </si>
  <si>
    <t>Q96A59-2</t>
  </si>
  <si>
    <t>Q96A65</t>
  </si>
  <si>
    <t>Q96A73</t>
  </si>
  <si>
    <t>Q96AB3</t>
  </si>
  <si>
    <t>Q96AB6</t>
  </si>
  <si>
    <t>Q96AE4</t>
  </si>
  <si>
    <t>Q96AE4-2</t>
  </si>
  <si>
    <t>Q96AG4</t>
  </si>
  <si>
    <t>Q96AJ9-1</t>
  </si>
  <si>
    <t>Q96AQ8</t>
  </si>
  <si>
    <t>Q96AT1</t>
  </si>
  <si>
    <t>Q96AT9</t>
  </si>
  <si>
    <t>Q96AY3</t>
  </si>
  <si>
    <t>Q96AZ6</t>
  </si>
  <si>
    <t>Q96B01-2</t>
  </si>
  <si>
    <t>Q96B23-2</t>
  </si>
  <si>
    <t>Q96B26</t>
  </si>
  <si>
    <t>Q96B36</t>
  </si>
  <si>
    <t>Q96B45</t>
  </si>
  <si>
    <t>Q96B49</t>
  </si>
  <si>
    <t>Q96B70</t>
  </si>
  <si>
    <t>Q96B97</t>
  </si>
  <si>
    <t>Q96BJ3</t>
  </si>
  <si>
    <t>Q96BK5</t>
  </si>
  <si>
    <t>Q96BM9</t>
  </si>
  <si>
    <t>Q96BN8</t>
  </si>
  <si>
    <t>Q96BP2</t>
  </si>
  <si>
    <t>Q96BP3</t>
  </si>
  <si>
    <t>Q96BR5</t>
  </si>
  <si>
    <t>Q96BW1</t>
  </si>
  <si>
    <t>Q96BW5-2</t>
  </si>
  <si>
    <t>Q96BY7</t>
  </si>
  <si>
    <t>Q96BZ8</t>
  </si>
  <si>
    <t>Q96BZ9</t>
  </si>
  <si>
    <t>Q96C01</t>
  </si>
  <si>
    <t>Q96C03</t>
  </si>
  <si>
    <t>Q96C19</t>
  </si>
  <si>
    <t>Q96C23</t>
  </si>
  <si>
    <t>Q96C34-2</t>
  </si>
  <si>
    <t>Q96C36</t>
  </si>
  <si>
    <t>Q96C57</t>
  </si>
  <si>
    <t>Q96C86</t>
  </si>
  <si>
    <t>Q96C90</t>
  </si>
  <si>
    <t>Q96CB8</t>
  </si>
  <si>
    <t>Q96CB9</t>
  </si>
  <si>
    <t>Q96CD0</t>
  </si>
  <si>
    <t>Q96CD2</t>
  </si>
  <si>
    <t>Q96CF2</t>
  </si>
  <si>
    <t>Q96CG3</t>
  </si>
  <si>
    <t>Q96CG8</t>
  </si>
  <si>
    <t>Q96CN7</t>
  </si>
  <si>
    <t>Q96CP2</t>
  </si>
  <si>
    <t>Q96CS3</t>
  </si>
  <si>
    <t>Q96CT7</t>
  </si>
  <si>
    <t>Q96CU9</t>
  </si>
  <si>
    <t>Q96CV9-3</t>
  </si>
  <si>
    <t>Q96CW1-2</t>
  </si>
  <si>
    <t>Q96CW5</t>
  </si>
  <si>
    <t>Q96CW6</t>
  </si>
  <si>
    <t>Q96CX2</t>
  </si>
  <si>
    <t>Q96D31-2</t>
  </si>
  <si>
    <t>Q96D71-3</t>
  </si>
  <si>
    <t>Q96DA2</t>
  </si>
  <si>
    <t>Q96DA6</t>
  </si>
  <si>
    <t>Q96DB5</t>
  </si>
  <si>
    <t>Q96DD7</t>
  </si>
  <si>
    <t>Q96DE0</t>
  </si>
  <si>
    <t>Q96DE5</t>
  </si>
  <si>
    <t>Q96DF8</t>
  </si>
  <si>
    <t>Q96DI7</t>
  </si>
  <si>
    <t>Q96DR4</t>
  </si>
  <si>
    <t>Q96DT0-3</t>
  </si>
  <si>
    <t>Q96DV4</t>
  </si>
  <si>
    <t>Q96DX5-2</t>
  </si>
  <si>
    <t>Q96DZ1</t>
  </si>
  <si>
    <t>Q96E09</t>
  </si>
  <si>
    <t>Q96E11-3</t>
  </si>
  <si>
    <t>Q96E14</t>
  </si>
  <si>
    <t>Q96E16</t>
  </si>
  <si>
    <t>Q96E22</t>
  </si>
  <si>
    <t>Q96E52</t>
  </si>
  <si>
    <t>Q96EA4</t>
  </si>
  <si>
    <t>Q96EB1</t>
  </si>
  <si>
    <t>Q96EB6</t>
  </si>
  <si>
    <t>Q96EC8</t>
  </si>
  <si>
    <t>Q96ED9-2</t>
  </si>
  <si>
    <t>Q96EE3-1</t>
  </si>
  <si>
    <t>Q96EH3</t>
  </si>
  <si>
    <t>Q96EI5</t>
  </si>
  <si>
    <t>Q96EK4</t>
  </si>
  <si>
    <t>Q96EK5</t>
  </si>
  <si>
    <t>Q96EK6</t>
  </si>
  <si>
    <t>Q96EK9</t>
  </si>
  <si>
    <t>Q96EL2</t>
  </si>
  <si>
    <t>Q96EL3</t>
  </si>
  <si>
    <t>Q96EP0</t>
  </si>
  <si>
    <t>Q96EP5-2</t>
  </si>
  <si>
    <t>Q96EQ0</t>
  </si>
  <si>
    <t>Q96ER3</t>
  </si>
  <si>
    <t>Q96ER9</t>
  </si>
  <si>
    <t>Q96EU6-2</t>
  </si>
  <si>
    <t>Q96EV2</t>
  </si>
  <si>
    <t>Q96EV8</t>
  </si>
  <si>
    <t>Q96EW2</t>
  </si>
  <si>
    <t>Q96EX1</t>
  </si>
  <si>
    <t>Q96EX3</t>
  </si>
  <si>
    <t>Q96EY1</t>
  </si>
  <si>
    <t>Q96EY5</t>
  </si>
  <si>
    <t>Q96EY7</t>
  </si>
  <si>
    <t>Q96EY8</t>
  </si>
  <si>
    <t>Q96EY9</t>
  </si>
  <si>
    <t>Q96F44-3</t>
  </si>
  <si>
    <t>Q96F45</t>
  </si>
  <si>
    <t>Q96F63</t>
  </si>
  <si>
    <t>Q96F86</t>
  </si>
  <si>
    <t>Q96FA3</t>
  </si>
  <si>
    <t>Q96FC9-4</t>
  </si>
  <si>
    <t>Q96FE5-2</t>
  </si>
  <si>
    <t>Q96FE7-4</t>
  </si>
  <si>
    <t>Q96FF7</t>
  </si>
  <si>
    <t>Q96FH0</t>
  </si>
  <si>
    <t>Q96FK6</t>
  </si>
  <si>
    <t>Q96FQ6</t>
  </si>
  <si>
    <t>Q96FV9</t>
  </si>
  <si>
    <t>Q96FX2</t>
  </si>
  <si>
    <t>Q96FX7</t>
  </si>
  <si>
    <t>Q96FZ2</t>
  </si>
  <si>
    <t>Q96FZ7</t>
  </si>
  <si>
    <t>Q96G03</t>
  </si>
  <si>
    <t>Q96G04</t>
  </si>
  <si>
    <t>Q96G25</t>
  </si>
  <si>
    <t>Q96G28</t>
  </si>
  <si>
    <t>Q96G46</t>
  </si>
  <si>
    <t>Q96G74-3</t>
  </si>
  <si>
    <t>Q96GA3</t>
  </si>
  <si>
    <t>Q96GA7</t>
  </si>
  <si>
    <t>Q96GD0</t>
  </si>
  <si>
    <t>Q96GF1</t>
  </si>
  <si>
    <t>Q96GG9</t>
  </si>
  <si>
    <t>Q96GK7</t>
  </si>
  <si>
    <t>Q96GM8</t>
  </si>
  <si>
    <t>Q96GQ7</t>
  </si>
  <si>
    <t>Q96GS4</t>
  </si>
  <si>
    <t>Q96GS6</t>
  </si>
  <si>
    <t>Q96GV9</t>
  </si>
  <si>
    <t>Q96GW9</t>
  </si>
  <si>
    <t>Q96GX2</t>
  </si>
  <si>
    <t>Q96GX5-2</t>
  </si>
  <si>
    <t>Q96GX9-3</t>
  </si>
  <si>
    <t>Q96GY0</t>
  </si>
  <si>
    <t>Q96GZ6-6</t>
  </si>
  <si>
    <t>Q96H20</t>
  </si>
  <si>
    <t>Q96H79</t>
  </si>
  <si>
    <t>Q96HC4</t>
  </si>
  <si>
    <t>Q96HD1</t>
  </si>
  <si>
    <t>Q96HE7</t>
  </si>
  <si>
    <t>Q96HJ9</t>
  </si>
  <si>
    <t>Q96HJ9-2</t>
  </si>
  <si>
    <t>Q96HL8-2</t>
  </si>
  <si>
    <t>Q96HN2-2</t>
  </si>
  <si>
    <t>Q96HP0</t>
  </si>
  <si>
    <t>Q96HQ2-2</t>
  </si>
  <si>
    <t>Q96HR8-2</t>
  </si>
  <si>
    <t>Q96HS1</t>
  </si>
  <si>
    <t>Q96HW7</t>
  </si>
  <si>
    <t>Q96HY6</t>
  </si>
  <si>
    <t>Q96HY7</t>
  </si>
  <si>
    <t>Q96I15</t>
  </si>
  <si>
    <t>Q96I24</t>
  </si>
  <si>
    <t>Q96I25</t>
  </si>
  <si>
    <t>Q96I36</t>
  </si>
  <si>
    <t>Q96I51</t>
  </si>
  <si>
    <t>Q96I59</t>
  </si>
  <si>
    <t>Q96I99</t>
  </si>
  <si>
    <t>Q96IJ6</t>
  </si>
  <si>
    <t>Q96IK1</t>
  </si>
  <si>
    <t>Q96IQ9</t>
  </si>
  <si>
    <t>Q96IR2</t>
  </si>
  <si>
    <t>Q96IR7</t>
  </si>
  <si>
    <t>Q96IU4</t>
  </si>
  <si>
    <t>Q96IV0-2</t>
  </si>
  <si>
    <t>Q96IX5</t>
  </si>
  <si>
    <t>Q96IY1</t>
  </si>
  <si>
    <t>Q96IZ0</t>
  </si>
  <si>
    <t>Q96IZ7-2</t>
  </si>
  <si>
    <t>Q96J01</t>
  </si>
  <si>
    <t>Q96J02-2</t>
  </si>
  <si>
    <t>Q96J92-3</t>
  </si>
  <si>
    <t>Q96JA1</t>
  </si>
  <si>
    <t>Q96JB2</t>
  </si>
  <si>
    <t>Q96JB5</t>
  </si>
  <si>
    <t>Q96JC1-2</t>
  </si>
  <si>
    <t>Q96JC9</t>
  </si>
  <si>
    <t>Q96JH7</t>
  </si>
  <si>
    <t>Q96JJ7</t>
  </si>
  <si>
    <t>Q96JK9</t>
  </si>
  <si>
    <t>Q96JM3</t>
  </si>
  <si>
    <t>Q96JP5</t>
  </si>
  <si>
    <t>Q96K19-2</t>
  </si>
  <si>
    <t>Q96K80</t>
  </si>
  <si>
    <t>Q96KA5-2</t>
  </si>
  <si>
    <t>Q96KB5</t>
  </si>
  <si>
    <t>Q96KC2</t>
  </si>
  <si>
    <t>Q96KC8</t>
  </si>
  <si>
    <t>Q96KN1</t>
  </si>
  <si>
    <t>Q96KP1</t>
  </si>
  <si>
    <t>Q96KP4</t>
  </si>
  <si>
    <t>Q96KR1</t>
  </si>
  <si>
    <t>Q96L50</t>
  </si>
  <si>
    <t>Q96L58</t>
  </si>
  <si>
    <t>Q96L91-4</t>
  </si>
  <si>
    <t>Q96L92</t>
  </si>
  <si>
    <t>Q96L93-6</t>
  </si>
  <si>
    <t>Q96L96</t>
  </si>
  <si>
    <t>Q96LA8</t>
  </si>
  <si>
    <t>Q96LB3</t>
  </si>
  <si>
    <t>Q96LD4</t>
  </si>
  <si>
    <t>Q96LD8</t>
  </si>
  <si>
    <t>Q96LJ7</t>
  </si>
  <si>
    <t>Q96LR5</t>
  </si>
  <si>
    <t>Q96LT7</t>
  </si>
  <si>
    <t>Q96M20-2</t>
  </si>
  <si>
    <t>Q96M27</t>
  </si>
  <si>
    <t>Q96M32</t>
  </si>
  <si>
    <t>Q96ME1-4</t>
  </si>
  <si>
    <t>Q96MG2</t>
  </si>
  <si>
    <t>Q96MG7</t>
  </si>
  <si>
    <t>Q96MH2</t>
  </si>
  <si>
    <t>Q96MH6</t>
  </si>
  <si>
    <t>Q96MX6</t>
  </si>
  <si>
    <t>Q96N21-2</t>
  </si>
  <si>
    <t>Q96N46</t>
  </si>
  <si>
    <t>Q96N66-2</t>
  </si>
  <si>
    <t>Q96NB2</t>
  </si>
  <si>
    <t>Q96NB3</t>
  </si>
  <si>
    <t>Q96NC0</t>
  </si>
  <si>
    <t>Q96NT1</t>
  </si>
  <si>
    <t>Q96NU7</t>
  </si>
  <si>
    <t>Q96NY7-2</t>
  </si>
  <si>
    <t>Q96P11-2</t>
  </si>
  <si>
    <t>Q96P16</t>
  </si>
  <si>
    <t>Q96P47</t>
  </si>
  <si>
    <t>Q96P48-3</t>
  </si>
  <si>
    <t>Q96P70</t>
  </si>
  <si>
    <t>Q96PD2</t>
  </si>
  <si>
    <t>Q96PE2</t>
  </si>
  <si>
    <t>Q96PE7</t>
  </si>
  <si>
    <t>Q96PK6</t>
  </si>
  <si>
    <t>Q96PM5</t>
  </si>
  <si>
    <t>Q96PU5-9</t>
  </si>
  <si>
    <t>Q96PY5</t>
  </si>
  <si>
    <t>Q96PZ0</t>
  </si>
  <si>
    <t>Q96Q11-2</t>
  </si>
  <si>
    <t>Q96Q45-2</t>
  </si>
  <si>
    <t>Q96Q83</t>
  </si>
  <si>
    <t>Q96QC0</t>
  </si>
  <si>
    <t>Q96QC4</t>
  </si>
  <si>
    <t>Q96QD8</t>
  </si>
  <si>
    <t>Q96QE2</t>
  </si>
  <si>
    <t>Q96QE5</t>
  </si>
  <si>
    <t>Q96QF0-2</t>
  </si>
  <si>
    <t>Q96QK1</t>
  </si>
  <si>
    <t>Q96QR8</t>
  </si>
  <si>
    <t>Q96QU8</t>
  </si>
  <si>
    <t>Q96QZ7-6</t>
  </si>
  <si>
    <t>Q96RD7-2</t>
  </si>
  <si>
    <t>Q96RE7</t>
  </si>
  <si>
    <t>Q96RG2</t>
  </si>
  <si>
    <t>Q96RL7-4</t>
  </si>
  <si>
    <t>Q96RN5-3</t>
  </si>
  <si>
    <t>Q96RP9</t>
  </si>
  <si>
    <t>Q96RQ1</t>
  </si>
  <si>
    <t>Q96RR4-2</t>
  </si>
  <si>
    <t>Q96RS6</t>
  </si>
  <si>
    <t>Q96RT1-4</t>
  </si>
  <si>
    <t>Q96S16</t>
  </si>
  <si>
    <t>Q96S19</t>
  </si>
  <si>
    <t>Q96S44</t>
  </si>
  <si>
    <t>Q96S52</t>
  </si>
  <si>
    <t>Q96S55-2</t>
  </si>
  <si>
    <t>Q96S59</t>
  </si>
  <si>
    <t>Q96S66</t>
  </si>
  <si>
    <t>Q96S82</t>
  </si>
  <si>
    <t>Q96S90</t>
  </si>
  <si>
    <t>Q96S94</t>
  </si>
  <si>
    <t>Q96S99</t>
  </si>
  <si>
    <t>Q96SB4</t>
  </si>
  <si>
    <t>Q96SB8</t>
  </si>
  <si>
    <t>Q96SH1</t>
  </si>
  <si>
    <t>Q96SI1</t>
  </si>
  <si>
    <t>Q96SI9-2</t>
  </si>
  <si>
    <t>Q96SK2-2</t>
  </si>
  <si>
    <t>Q96SL1-2</t>
  </si>
  <si>
    <t>Q96SL4</t>
  </si>
  <si>
    <t>Q96ST2</t>
  </si>
  <si>
    <t>Q96ST3</t>
  </si>
  <si>
    <t>Q96SZ5</t>
  </si>
  <si>
    <t>Q96SZ6-3</t>
  </si>
  <si>
    <t>Q96T17</t>
  </si>
  <si>
    <t>Q96T23-2</t>
  </si>
  <si>
    <t>Q96T25</t>
  </si>
  <si>
    <t>Q96T37-2</t>
  </si>
  <si>
    <t>Q96T51</t>
  </si>
  <si>
    <t>Q96T58</t>
  </si>
  <si>
    <t>Q96T60</t>
  </si>
  <si>
    <t>Q96T66</t>
  </si>
  <si>
    <t>Q96T76</t>
  </si>
  <si>
    <t>Q96T88</t>
  </si>
  <si>
    <t>Q96TA1-2</t>
  </si>
  <si>
    <t>Q96TA2-3</t>
  </si>
  <si>
    <t>Q99081</t>
  </si>
  <si>
    <t>Q99417</t>
  </si>
  <si>
    <t>Q99426</t>
  </si>
  <si>
    <t>Q99436</t>
  </si>
  <si>
    <t>Q99447</t>
  </si>
  <si>
    <t>Q99459</t>
  </si>
  <si>
    <t>Q99460</t>
  </si>
  <si>
    <t>Q99470</t>
  </si>
  <si>
    <t>Q99471</t>
  </si>
  <si>
    <t>Q99487</t>
  </si>
  <si>
    <t>Q99496</t>
  </si>
  <si>
    <t>Q99497</t>
  </si>
  <si>
    <t>Q99504-2</t>
  </si>
  <si>
    <t>Q99519</t>
  </si>
  <si>
    <t>Q99523</t>
  </si>
  <si>
    <t>Q99536</t>
  </si>
  <si>
    <t>Q99538</t>
  </si>
  <si>
    <t>Q99541</t>
  </si>
  <si>
    <t>Q99543</t>
  </si>
  <si>
    <t>Q99549</t>
  </si>
  <si>
    <t>Q99567</t>
  </si>
  <si>
    <t>Q99569-2</t>
  </si>
  <si>
    <t>Q99570</t>
  </si>
  <si>
    <t>Q99574</t>
  </si>
  <si>
    <t>Q99575</t>
  </si>
  <si>
    <t>Q99583</t>
  </si>
  <si>
    <t>Q99584</t>
  </si>
  <si>
    <t>Q99592</t>
  </si>
  <si>
    <t>Q99595</t>
  </si>
  <si>
    <t>Q99598</t>
  </si>
  <si>
    <t>Q99611</t>
  </si>
  <si>
    <t>Q99614</t>
  </si>
  <si>
    <t>Q99615</t>
  </si>
  <si>
    <t>Q99618</t>
  </si>
  <si>
    <t>Q99622</t>
  </si>
  <si>
    <t>Q99623</t>
  </si>
  <si>
    <t>Q99627</t>
  </si>
  <si>
    <t>Q99633</t>
  </si>
  <si>
    <t>Q99638</t>
  </si>
  <si>
    <t>Q99653</t>
  </si>
  <si>
    <t>Q99661</t>
  </si>
  <si>
    <t>Q99674</t>
  </si>
  <si>
    <t>Q99700-4</t>
  </si>
  <si>
    <t>Q99704</t>
  </si>
  <si>
    <t>Q99707</t>
  </si>
  <si>
    <t>Q99714</t>
  </si>
  <si>
    <t>Q99720</t>
  </si>
  <si>
    <t>Q99729-3</t>
  </si>
  <si>
    <t>Q99733</t>
  </si>
  <si>
    <t>Q99735-2</t>
  </si>
  <si>
    <t>Q99747</t>
  </si>
  <si>
    <t>Q99757</t>
  </si>
  <si>
    <t>Q99766</t>
  </si>
  <si>
    <t>Q99797</t>
  </si>
  <si>
    <t>Q99805</t>
  </si>
  <si>
    <t>Q99808</t>
  </si>
  <si>
    <t>Q99816</t>
  </si>
  <si>
    <t>Q99828</t>
  </si>
  <si>
    <t>Q99829</t>
  </si>
  <si>
    <t>Q99832</t>
  </si>
  <si>
    <t>Q99856</t>
  </si>
  <si>
    <t>Q99878</t>
  </si>
  <si>
    <t>Q99959-2</t>
  </si>
  <si>
    <t>Q99961</t>
  </si>
  <si>
    <t>Q99986</t>
  </si>
  <si>
    <t>Q99988</t>
  </si>
  <si>
    <t>Q99996-5</t>
  </si>
  <si>
    <t>Q9BPW8</t>
  </si>
  <si>
    <t>Q9BPX3</t>
  </si>
  <si>
    <t>Q9BPX5</t>
  </si>
  <si>
    <t>Q9BQ13</t>
  </si>
  <si>
    <t>Q9BQ24</t>
  </si>
  <si>
    <t>Q9BQ39</t>
  </si>
  <si>
    <t>Q9BQ52</t>
  </si>
  <si>
    <t>Q9BQ61</t>
  </si>
  <si>
    <t>Q9BQ67</t>
  </si>
  <si>
    <t>Q9BQ69</t>
  </si>
  <si>
    <t>Q9BQ70</t>
  </si>
  <si>
    <t>Q9BQ90</t>
  </si>
  <si>
    <t>Q9BQ95</t>
  </si>
  <si>
    <t>Q9BQA1</t>
  </si>
  <si>
    <t>Q9BQC3</t>
  </si>
  <si>
    <t>Q9BQG0</t>
  </si>
  <si>
    <t>Q9BQL6</t>
  </si>
  <si>
    <t>Q9BQP7</t>
  </si>
  <si>
    <t>Q9BQQ3</t>
  </si>
  <si>
    <t>Q9BQS8</t>
  </si>
  <si>
    <t>Q9BQT8-2</t>
  </si>
  <si>
    <t>Q9BQT9</t>
  </si>
  <si>
    <t>Q9BR61</t>
  </si>
  <si>
    <t>Q9BR76</t>
  </si>
  <si>
    <t>Q9BRA0-2</t>
  </si>
  <si>
    <t>Q9BRA2</t>
  </si>
  <si>
    <t>Q9BRD0</t>
  </si>
  <si>
    <t>Q9BRF8</t>
  </si>
  <si>
    <t>Q9BRG1</t>
  </si>
  <si>
    <t>Q9BRJ2</t>
  </si>
  <si>
    <t>Q9BRK5</t>
  </si>
  <si>
    <t>Q9BRP1</t>
  </si>
  <si>
    <t>Q9BRP4</t>
  </si>
  <si>
    <t>Q9BRP8-2</t>
  </si>
  <si>
    <t>Q9BRQ8</t>
  </si>
  <si>
    <t>Q9BRR0-2</t>
  </si>
  <si>
    <t>Q9BRR6-2</t>
  </si>
  <si>
    <t>Q9BRR8</t>
  </si>
  <si>
    <t>Q9BRS2</t>
  </si>
  <si>
    <t>Q9BRT2</t>
  </si>
  <si>
    <t>Q9BRT3</t>
  </si>
  <si>
    <t>Q9BRT8-3</t>
  </si>
  <si>
    <t>Q9BRT9</t>
  </si>
  <si>
    <t>Q9BRV8</t>
  </si>
  <si>
    <t>Q9BRX2</t>
  </si>
  <si>
    <t>Q9BRX5</t>
  </si>
  <si>
    <t>Q9BRX8-2</t>
  </si>
  <si>
    <t>Q9BS18</t>
  </si>
  <si>
    <t>Q9BS26</t>
  </si>
  <si>
    <t>Q9BSB4</t>
  </si>
  <si>
    <t>Q9BSD7</t>
  </si>
  <si>
    <t>Q9BSE5</t>
  </si>
  <si>
    <t>Q9BSF4</t>
  </si>
  <si>
    <t>Q9BSH4</t>
  </si>
  <si>
    <t>Q9BSH5</t>
  </si>
  <si>
    <t>Q9BSJ2</t>
  </si>
  <si>
    <t>Q9BSJ5-3</t>
  </si>
  <si>
    <t>Q9BSJ6</t>
  </si>
  <si>
    <t>Q9BSJ8</t>
  </si>
  <si>
    <t>Q9BSK2</t>
  </si>
  <si>
    <t>Q9BSL1</t>
  </si>
  <si>
    <t>Q9BSR8</t>
  </si>
  <si>
    <t>Q9BST9</t>
  </si>
  <si>
    <t>Q9BSV6</t>
  </si>
  <si>
    <t>Q9BSW2-2</t>
  </si>
  <si>
    <t>Q9BSY4</t>
  </si>
  <si>
    <t>Q9BT09</t>
  </si>
  <si>
    <t>Q9BT17</t>
  </si>
  <si>
    <t>Q9BT22</t>
  </si>
  <si>
    <t>Q9BT23</t>
  </si>
  <si>
    <t>Q9BT30</t>
  </si>
  <si>
    <t>Q9BT73</t>
  </si>
  <si>
    <t>Q9BT78</t>
  </si>
  <si>
    <t>Q9BTA9</t>
  </si>
  <si>
    <t>Q9BTC0</t>
  </si>
  <si>
    <t>Q9BTE3-2</t>
  </si>
  <si>
    <t>Q9BTE6</t>
  </si>
  <si>
    <t>Q9BTE7</t>
  </si>
  <si>
    <t>Q9BTF0-2</t>
  </si>
  <si>
    <t>Q9BTL3</t>
  </si>
  <si>
    <t>Q9BTT0</t>
  </si>
  <si>
    <t>Q9BTT4</t>
  </si>
  <si>
    <t>Q9BTT6</t>
  </si>
  <si>
    <t>Q9BTU6</t>
  </si>
  <si>
    <t>Q9BTV4</t>
  </si>
  <si>
    <t>Q9BTV6</t>
  </si>
  <si>
    <t>Q9BTX7</t>
  </si>
  <si>
    <t>Q9BTY2</t>
  </si>
  <si>
    <t>Q9BTY7</t>
  </si>
  <si>
    <t>Q9BTZ2</t>
  </si>
  <si>
    <t>Q9BU02</t>
  </si>
  <si>
    <t>Q9BU23-3</t>
  </si>
  <si>
    <t>Q9BU61</t>
  </si>
  <si>
    <t>Q9BU76-4</t>
  </si>
  <si>
    <t>Q9BU89</t>
  </si>
  <si>
    <t>Q9BUA3</t>
  </si>
  <si>
    <t>Q9BUB5-2</t>
  </si>
  <si>
    <t>Q9BUB7-2</t>
  </si>
  <si>
    <t>Q9BUE0</t>
  </si>
  <si>
    <t>Q9BUE6</t>
  </si>
  <si>
    <t>Q9BUF5</t>
  </si>
  <si>
    <t>Q9BUH6</t>
  </si>
  <si>
    <t>Q9BUI4</t>
  </si>
  <si>
    <t>Q9BUJ2-2</t>
  </si>
  <si>
    <t>Q9BUK6-2</t>
  </si>
  <si>
    <t>Q9BUL9</t>
  </si>
  <si>
    <t>Q9BUN5</t>
  </si>
  <si>
    <t>Q9BUP3-3</t>
  </si>
  <si>
    <t>Q9BUQ8</t>
  </si>
  <si>
    <t>Q9BUR4</t>
  </si>
  <si>
    <t>Q9BUT9</t>
  </si>
  <si>
    <t>Q9BUW7</t>
  </si>
  <si>
    <t>Q9BUZ4-2</t>
  </si>
  <si>
    <t>Q9BV10</t>
  </si>
  <si>
    <t>Q9BV19</t>
  </si>
  <si>
    <t>Q9BV20</t>
  </si>
  <si>
    <t>Q9BV23</t>
  </si>
  <si>
    <t>Q9BV38</t>
  </si>
  <si>
    <t>Q9BV40</t>
  </si>
  <si>
    <t>Q9BV44</t>
  </si>
  <si>
    <t>Q9BV57</t>
  </si>
  <si>
    <t>Q9BV68-2</t>
  </si>
  <si>
    <t>Q9BV79</t>
  </si>
  <si>
    <t>Q9BV81</t>
  </si>
  <si>
    <t>Q9BV86</t>
  </si>
  <si>
    <t>Q9BVA0</t>
  </si>
  <si>
    <t>Q9BVA1</t>
  </si>
  <si>
    <t>Q9BVC4</t>
  </si>
  <si>
    <t>Q9BVC6</t>
  </si>
  <si>
    <t>Q9BVG4</t>
  </si>
  <si>
    <t>Q9BVG9</t>
  </si>
  <si>
    <t>Q9BVI4</t>
  </si>
  <si>
    <t>Q9BVJ6-3</t>
  </si>
  <si>
    <t>Q9BVJ7</t>
  </si>
  <si>
    <t>Q9BVK6</t>
  </si>
  <si>
    <t>Q9BVL4</t>
  </si>
  <si>
    <t>Q9BVM4</t>
  </si>
  <si>
    <t>Q9BVP2-2</t>
  </si>
  <si>
    <t>Q9BVQ7</t>
  </si>
  <si>
    <t>Q9BVS5</t>
  </si>
  <si>
    <t>Q9BVV7</t>
  </si>
  <si>
    <t>Q9BVW5</t>
  </si>
  <si>
    <t>Q9BW04</t>
  </si>
  <si>
    <t>Q9BW19</t>
  </si>
  <si>
    <t>Q9BW27</t>
  </si>
  <si>
    <t>Q9BW30</t>
  </si>
  <si>
    <t>Q9BW60</t>
  </si>
  <si>
    <t>Q9BW61</t>
  </si>
  <si>
    <t>Q9BW71</t>
  </si>
  <si>
    <t>Q9BW83</t>
  </si>
  <si>
    <t>Q9BW85</t>
  </si>
  <si>
    <t>Q9BW91-2</t>
  </si>
  <si>
    <t>Q9BW92</t>
  </si>
  <si>
    <t>Q9BWD1</t>
  </si>
  <si>
    <t>Q9BWE0</t>
  </si>
  <si>
    <t>Q9BWF3</t>
  </si>
  <si>
    <t>Q9BWH2</t>
  </si>
  <si>
    <t>Q9BWH6</t>
  </si>
  <si>
    <t>Q9BWJ5</t>
  </si>
  <si>
    <t>Q9BWM7</t>
  </si>
  <si>
    <t>Q9BWT3</t>
  </si>
  <si>
    <t>Q9BWU0</t>
  </si>
  <si>
    <t>Q9BX40</t>
  </si>
  <si>
    <t>Q9BX66-9</t>
  </si>
  <si>
    <t>Q9BX68</t>
  </si>
  <si>
    <t>Q9BX95</t>
  </si>
  <si>
    <t>Q9BXH1-2</t>
  </si>
  <si>
    <t>Q9BXJ9</t>
  </si>
  <si>
    <t>Q9BXK1</t>
  </si>
  <si>
    <t>Q9BXK5</t>
  </si>
  <si>
    <t>Q9BXP2</t>
  </si>
  <si>
    <t>Q9BXP5-4</t>
  </si>
  <si>
    <t>Q9BXR0</t>
  </si>
  <si>
    <t>Q9BXS4</t>
  </si>
  <si>
    <t>Q9BXS6-2</t>
  </si>
  <si>
    <t>Q9BXV9</t>
  </si>
  <si>
    <t>Q9BXW6</t>
  </si>
  <si>
    <t>Q9BXW7-2</t>
  </si>
  <si>
    <t>Q9BXW9-3</t>
  </si>
  <si>
    <t>Q9BY32</t>
  </si>
  <si>
    <t>Q9BY41</t>
  </si>
  <si>
    <t>Q9BY43</t>
  </si>
  <si>
    <t>Q9BY44</t>
  </si>
  <si>
    <t>Q9BY77</t>
  </si>
  <si>
    <t>Q9BY89</t>
  </si>
  <si>
    <t>Q9BYB4</t>
  </si>
  <si>
    <t>Q9BYC8</t>
  </si>
  <si>
    <t>Q9BYD6</t>
  </si>
  <si>
    <t>Q9BYM8-3</t>
  </si>
  <si>
    <t>Q9BYN0</t>
  </si>
  <si>
    <t>Q9BYN8</t>
  </si>
  <si>
    <t>Q9BYT8</t>
  </si>
  <si>
    <t>Q9BYW2</t>
  </si>
  <si>
    <t>Q9BZ23-3</t>
  </si>
  <si>
    <t>Q9BZ29-3</t>
  </si>
  <si>
    <t>Q9BZ67-2</t>
  </si>
  <si>
    <t>Q9BZ95-4</t>
  </si>
  <si>
    <t>Q9BZE1</t>
  </si>
  <si>
    <t>Q9BZE2</t>
  </si>
  <si>
    <t>Q9BZE9</t>
  </si>
  <si>
    <t>Q9BZF1-3</t>
  </si>
  <si>
    <t>Q9BZH6</t>
  </si>
  <si>
    <t>Q9BZI7-2</t>
  </si>
  <si>
    <t>Q9BZK7</t>
  </si>
  <si>
    <t>Q9BZL1</t>
  </si>
  <si>
    <t>Q9BZM1</t>
  </si>
  <si>
    <t>Q9BZM4</t>
  </si>
  <si>
    <t>Q9BZM5</t>
  </si>
  <si>
    <t>Q9BZX2</t>
  </si>
  <si>
    <t>Q9BZZ5</t>
  </si>
  <si>
    <t>Q9BZZ5-2</t>
  </si>
  <si>
    <t>Q9C004</t>
  </si>
  <si>
    <t>Q9C005</t>
  </si>
  <si>
    <t>Q9C037-2</t>
  </si>
  <si>
    <t>Q9C040</t>
  </si>
  <si>
    <t>Q9C0B0</t>
  </si>
  <si>
    <t>Q9C0B1</t>
  </si>
  <si>
    <t>Q9C0B5-2</t>
  </si>
  <si>
    <t>Q9C0B7</t>
  </si>
  <si>
    <t>Q9C0C2</t>
  </si>
  <si>
    <t>Q9C0C7-6</t>
  </si>
  <si>
    <t>Q9C0C9</t>
  </si>
  <si>
    <t>Q9C0D3</t>
  </si>
  <si>
    <t>Q9C0D5-2</t>
  </si>
  <si>
    <t>Q9C0F1</t>
  </si>
  <si>
    <t>Q9C0H2-2</t>
  </si>
  <si>
    <t>Q9C0I1</t>
  </si>
  <si>
    <t>Q9C0J8</t>
  </si>
  <si>
    <t>Q9C0K1-2</t>
  </si>
  <si>
    <t>Q9GZL7</t>
  </si>
  <si>
    <t>Q9GZN8</t>
  </si>
  <si>
    <t>Q9GZP1</t>
  </si>
  <si>
    <t>Q9GZP4</t>
  </si>
  <si>
    <t>Q9GZP9</t>
  </si>
  <si>
    <t>Q9GZQ3</t>
  </si>
  <si>
    <t>Q9GZR2</t>
  </si>
  <si>
    <t>Q9GZS1-2</t>
  </si>
  <si>
    <t>Q9GZS3</t>
  </si>
  <si>
    <t>Q9GZT3</t>
  </si>
  <si>
    <t>Q9GZT5</t>
  </si>
  <si>
    <t>Q9GZT6-2</t>
  </si>
  <si>
    <t>Q9GZT8-2</t>
  </si>
  <si>
    <t>Q9GZT9</t>
  </si>
  <si>
    <t>Q9GZU8</t>
  </si>
  <si>
    <t>Q9GZX9</t>
  </si>
  <si>
    <t>Q9GZY8-2</t>
  </si>
  <si>
    <t>Q9GZZ9</t>
  </si>
  <si>
    <t>Q9H008</t>
  </si>
  <si>
    <t>Q9H019-3</t>
  </si>
  <si>
    <t>Q9H061</t>
  </si>
  <si>
    <t>Q9H074</t>
  </si>
  <si>
    <t>Q9H078-2</t>
  </si>
  <si>
    <t>Q9H082</t>
  </si>
  <si>
    <t>Q9H089</t>
  </si>
  <si>
    <t>Q9H0B6</t>
  </si>
  <si>
    <t>Q9H0C8</t>
  </si>
  <si>
    <t>Q9H0D6</t>
  </si>
  <si>
    <t>Q9H0E2</t>
  </si>
  <si>
    <t>Q9H0E9-2</t>
  </si>
  <si>
    <t>Q9H0F7</t>
  </si>
  <si>
    <t>Q9H0G5</t>
  </si>
  <si>
    <t>Q9H0H5</t>
  </si>
  <si>
    <t>Q9H0J9</t>
  </si>
  <si>
    <t>Q9H0K1</t>
  </si>
  <si>
    <t>Q9H0K6</t>
  </si>
  <si>
    <t>Q9H0L4</t>
  </si>
  <si>
    <t>Q9H0P0-1</t>
  </si>
  <si>
    <t>Q9H0R4</t>
  </si>
  <si>
    <t>Q9H0R6</t>
  </si>
  <si>
    <t>Q9H0S4-2</t>
  </si>
  <si>
    <t>Q9H0U3</t>
  </si>
  <si>
    <t>Q9H0U4</t>
  </si>
  <si>
    <t>Q9H0U6</t>
  </si>
  <si>
    <t>Q9H0U9</t>
  </si>
  <si>
    <t>Q9H0V9</t>
  </si>
  <si>
    <t>Q9H0W8-2</t>
  </si>
  <si>
    <t>Q9H0W9</t>
  </si>
  <si>
    <t>Q9H0X4</t>
  </si>
  <si>
    <t>Q9H115</t>
  </si>
  <si>
    <t>Q9H173</t>
  </si>
  <si>
    <t>Q9H1B7</t>
  </si>
  <si>
    <t>Q9H1C4</t>
  </si>
  <si>
    <t>Q9H1D9</t>
  </si>
  <si>
    <t>Q9H1E3</t>
  </si>
  <si>
    <t>Q9H1I8-3</t>
  </si>
  <si>
    <t>Q9H1J1</t>
  </si>
  <si>
    <t>Q9H1K0</t>
  </si>
  <si>
    <t>Q9H1K1</t>
  </si>
  <si>
    <t>Q9H1K6</t>
  </si>
  <si>
    <t>Q9H1P3-2</t>
  </si>
  <si>
    <t>Q9H1X3-3</t>
  </si>
  <si>
    <t>Q9H1Y0</t>
  </si>
  <si>
    <t>Q9H1Z4</t>
  </si>
  <si>
    <t>Q9H204</t>
  </si>
  <si>
    <t>Q9H223</t>
  </si>
  <si>
    <t>Q9H267</t>
  </si>
  <si>
    <t>Q9H269</t>
  </si>
  <si>
    <t>Q9H270</t>
  </si>
  <si>
    <t>Q9H2C0</t>
  </si>
  <si>
    <t>Q9H2D1</t>
  </si>
  <si>
    <t>Q9H2D6-5</t>
  </si>
  <si>
    <t>Q9H2G2</t>
  </si>
  <si>
    <t>Q9H2H8</t>
  </si>
  <si>
    <t>Q9H2J4</t>
  </si>
  <si>
    <t>Q9H2K0</t>
  </si>
  <si>
    <t>Q9H2K8</t>
  </si>
  <si>
    <t>Q9H2M9</t>
  </si>
  <si>
    <t>Q9H2P0</t>
  </si>
  <si>
    <t>Q9H2P9</t>
  </si>
  <si>
    <t>Q9H2U2</t>
  </si>
  <si>
    <t>Q9H2W6</t>
  </si>
  <si>
    <t>Q9H2Y7</t>
  </si>
  <si>
    <t>Q9H300</t>
  </si>
  <si>
    <t>Q9H307</t>
  </si>
  <si>
    <t>Q9H330-2</t>
  </si>
  <si>
    <t>Q9H3C7</t>
  </si>
  <si>
    <t>Q9H3F6</t>
  </si>
  <si>
    <t>Q9H3H1-4</t>
  </si>
  <si>
    <t>Q9H3H3</t>
  </si>
  <si>
    <t>Q9H3H5-2</t>
  </si>
  <si>
    <t>Q9H3J6</t>
  </si>
  <si>
    <t>Q9H3K6</t>
  </si>
  <si>
    <t>Q9H3N1</t>
  </si>
  <si>
    <t>Q9H3P2</t>
  </si>
  <si>
    <t>Q9H3P7</t>
  </si>
  <si>
    <t>Q9H3Q1</t>
  </si>
  <si>
    <t>Q9H3R0-4</t>
  </si>
  <si>
    <t>Q9H3R2</t>
  </si>
  <si>
    <t>Q9H3S7</t>
  </si>
  <si>
    <t>Q9H3U1</t>
  </si>
  <si>
    <t>Q9H3U5-4</t>
  </si>
  <si>
    <t>Q9H3Y8</t>
  </si>
  <si>
    <t>Q9H3Z4-2</t>
  </si>
  <si>
    <t>Q9H410</t>
  </si>
  <si>
    <t>Q9H425</t>
  </si>
  <si>
    <t>Q9H444</t>
  </si>
  <si>
    <t>Q9H467</t>
  </si>
  <si>
    <t>Q9H479</t>
  </si>
  <si>
    <t>Q9H488</t>
  </si>
  <si>
    <t>Q9H490-2</t>
  </si>
  <si>
    <t>Q9H496</t>
  </si>
  <si>
    <t>Q9H497-2</t>
  </si>
  <si>
    <t>Q9H4A4</t>
  </si>
  <si>
    <t>Q9H4A5</t>
  </si>
  <si>
    <t>Q9H4A6</t>
  </si>
  <si>
    <t>Q9H4B0</t>
  </si>
  <si>
    <t>Q9H4I2</t>
  </si>
  <si>
    <t>Q9H4K7</t>
  </si>
  <si>
    <t>Q9H4L5-2</t>
  </si>
  <si>
    <t>Q9H4L7-2</t>
  </si>
  <si>
    <t>Q9H4M9</t>
  </si>
  <si>
    <t>Q9H4P4-2</t>
  </si>
  <si>
    <t>Q9H4Z3</t>
  </si>
  <si>
    <t>Q9H501</t>
  </si>
  <si>
    <t>Q9H553</t>
  </si>
  <si>
    <t>Q9H583</t>
  </si>
  <si>
    <t>Q9H5K3</t>
  </si>
  <si>
    <t>Q9H5N1</t>
  </si>
  <si>
    <t>Q9H5Q4</t>
  </si>
  <si>
    <t>Q9H5V8</t>
  </si>
  <si>
    <t>Q9H5V9</t>
  </si>
  <si>
    <t>Q9H5X1</t>
  </si>
  <si>
    <t>Q9H649</t>
  </si>
  <si>
    <t>Q9H6A9-2</t>
  </si>
  <si>
    <t>Q9H6E4</t>
  </si>
  <si>
    <t>Q9H6F5</t>
  </si>
  <si>
    <t>Q9H6H4</t>
  </si>
  <si>
    <t>Q9H6K4</t>
  </si>
  <si>
    <t>Q9H6L4</t>
  </si>
  <si>
    <t>Q9H6L5</t>
  </si>
  <si>
    <t>Q9H6P5</t>
  </si>
  <si>
    <t>Q9H6Q4</t>
  </si>
  <si>
    <t>Q9H6R0</t>
  </si>
  <si>
    <t>Q9H6R4-4</t>
  </si>
  <si>
    <t>Q9H6R7-2</t>
  </si>
  <si>
    <t>Q9H6S3</t>
  </si>
  <si>
    <t>Q9H6T0-2</t>
  </si>
  <si>
    <t>Q9H6T3</t>
  </si>
  <si>
    <t>Q9H6U6-2</t>
  </si>
  <si>
    <t>Q9H6U8</t>
  </si>
  <si>
    <t>Q9H6W3</t>
  </si>
  <si>
    <t>Q9H6Y2</t>
  </si>
  <si>
    <t>Q9H773</t>
  </si>
  <si>
    <t>Q9H788-2</t>
  </si>
  <si>
    <t>Q9H7B4</t>
  </si>
  <si>
    <t>Q9H7C9</t>
  </si>
  <si>
    <t>Q9H7D7-2</t>
  </si>
  <si>
    <t>Q9H7E2-3</t>
  </si>
  <si>
    <t>Q9H7F0</t>
  </si>
  <si>
    <t>Q9H7J1</t>
  </si>
  <si>
    <t>Q9H7L9</t>
  </si>
  <si>
    <t>Q9H7S9</t>
  </si>
  <si>
    <t>Q9H7Z3</t>
  </si>
  <si>
    <t>Q9H7Z6</t>
  </si>
  <si>
    <t>Q9H7Z7</t>
  </si>
  <si>
    <t>Q9H814</t>
  </si>
  <si>
    <t>Q9H832</t>
  </si>
  <si>
    <t>Q9H840</t>
  </si>
  <si>
    <t>Q9H845</t>
  </si>
  <si>
    <t>Q9H875</t>
  </si>
  <si>
    <t>Q9H8G2</t>
  </si>
  <si>
    <t>Q9H8H0</t>
  </si>
  <si>
    <t>Q9H8J5</t>
  </si>
  <si>
    <t>Q9H8M7</t>
  </si>
  <si>
    <t>Q9H8S9</t>
  </si>
  <si>
    <t>Q9H8U3</t>
  </si>
  <si>
    <t>Q9H8V3</t>
  </si>
  <si>
    <t>Q9H8W3</t>
  </si>
  <si>
    <t>Q9H8W4</t>
  </si>
  <si>
    <t>Q9H8Y5</t>
  </si>
  <si>
    <t>Q9H8Y8</t>
  </si>
  <si>
    <t>Q9H900</t>
  </si>
  <si>
    <t>Q9H903-1</t>
  </si>
  <si>
    <t>Q9H910</t>
  </si>
  <si>
    <t>Q9H910-2</t>
  </si>
  <si>
    <t>Q9H936</t>
  </si>
  <si>
    <t>Q9H939</t>
  </si>
  <si>
    <t>Q9H974</t>
  </si>
  <si>
    <t>Q9H977</t>
  </si>
  <si>
    <t>Q9H981</t>
  </si>
  <si>
    <t>Q9H993</t>
  </si>
  <si>
    <t>Q9H999</t>
  </si>
  <si>
    <t>Q9H9A5-2</t>
  </si>
  <si>
    <t>Q9H9A6</t>
  </si>
  <si>
    <t>Q9H9A7</t>
  </si>
  <si>
    <t>Q9H9B1</t>
  </si>
  <si>
    <t>Q9H9B4</t>
  </si>
  <si>
    <t>Q9H9F9</t>
  </si>
  <si>
    <t>Q9H9H4</t>
  </si>
  <si>
    <t>Q9H9J2</t>
  </si>
  <si>
    <t>Q9H9K5</t>
  </si>
  <si>
    <t>Q9H9P8</t>
  </si>
  <si>
    <t>Q9H9S4</t>
  </si>
  <si>
    <t>Q9H9V9-2</t>
  </si>
  <si>
    <t>Q9H9Y4</t>
  </si>
  <si>
    <t>Q9HA47-3</t>
  </si>
  <si>
    <t>Q9HA64</t>
  </si>
  <si>
    <t>Q9HA65</t>
  </si>
  <si>
    <t>Q9HA77</t>
  </si>
  <si>
    <t>Q9HAB8</t>
  </si>
  <si>
    <t>Q9HAF1-2</t>
  </si>
  <si>
    <t>Q9HAN9</t>
  </si>
  <si>
    <t>Q9HAU0</t>
  </si>
  <si>
    <t>Q9HAU5</t>
  </si>
  <si>
    <t>Q9HAV4</t>
  </si>
  <si>
    <t>Q9HAV7</t>
  </si>
  <si>
    <t>Q9HAW4-3</t>
  </si>
  <si>
    <t>Q9HB07</t>
  </si>
  <si>
    <t>Q9HB21</t>
  </si>
  <si>
    <t>Q9HB40</t>
  </si>
  <si>
    <t>Q9HB65</t>
  </si>
  <si>
    <t>Q9HB71</t>
  </si>
  <si>
    <t>Q9HB90</t>
  </si>
  <si>
    <t>Q9HBD4</t>
  </si>
  <si>
    <t>Q9HBH1</t>
  </si>
  <si>
    <t>Q9HBH5</t>
  </si>
  <si>
    <t>Q9HBI1</t>
  </si>
  <si>
    <t>Q9HBL7</t>
  </si>
  <si>
    <t>Q9HBL8</t>
  </si>
  <si>
    <t>Q9HBM1</t>
  </si>
  <si>
    <t>Q9HBM6</t>
  </si>
  <si>
    <t>Q9HBM8</t>
  </si>
  <si>
    <t>Q9HBR0</t>
  </si>
  <si>
    <t>Q9HBU6</t>
  </si>
  <si>
    <t>Q9HC07</t>
  </si>
  <si>
    <t>Q9HC35</t>
  </si>
  <si>
    <t>Q9HC36</t>
  </si>
  <si>
    <t>Q9HC38-2</t>
  </si>
  <si>
    <t>Q9HC52</t>
  </si>
  <si>
    <t>Q9HCC0</t>
  </si>
  <si>
    <t>Q9HCD5</t>
  </si>
  <si>
    <t>Q9HCE0-2</t>
  </si>
  <si>
    <t>Q9HCE1</t>
  </si>
  <si>
    <t>Q9HCE5</t>
  </si>
  <si>
    <t>Q9HCG7</t>
  </si>
  <si>
    <t>Q9HCJ3-2</t>
  </si>
  <si>
    <t>Q9HCN3</t>
  </si>
  <si>
    <t>Q9HCN4</t>
  </si>
  <si>
    <t>Q9HCN8</t>
  </si>
  <si>
    <t>Q9HCP0-2</t>
  </si>
  <si>
    <t>Q9HCR9</t>
  </si>
  <si>
    <t>Q9HCU5</t>
  </si>
  <si>
    <t>Q9HCU8</t>
  </si>
  <si>
    <t>Q9HCY8</t>
  </si>
  <si>
    <t>Q9HD15</t>
  </si>
  <si>
    <t>Q9HD20-2</t>
  </si>
  <si>
    <t>Q9HD33-2</t>
  </si>
  <si>
    <t>Q9HD34</t>
  </si>
  <si>
    <t>Q9HD40-3</t>
  </si>
  <si>
    <t>Q9HD42</t>
  </si>
  <si>
    <t>Q9HD45</t>
  </si>
  <si>
    <t>Q9HD47-2</t>
  </si>
  <si>
    <t>Q9HD67</t>
  </si>
  <si>
    <t>Q9HDC5</t>
  </si>
  <si>
    <t>Q9HDC9</t>
  </si>
  <si>
    <t>Q9NNW5</t>
  </si>
  <si>
    <t>Q9NP58-4</t>
  </si>
  <si>
    <t>Q9NP66</t>
  </si>
  <si>
    <t>Q9NP72</t>
  </si>
  <si>
    <t>Q9NP73-2</t>
  </si>
  <si>
    <t>Q9NP77</t>
  </si>
  <si>
    <t>Q9NP79</t>
  </si>
  <si>
    <t>Q9NP80-3</t>
  </si>
  <si>
    <t>Q9NP84</t>
  </si>
  <si>
    <t>Q9NP92</t>
  </si>
  <si>
    <t>Q9NPA0</t>
  </si>
  <si>
    <t>Q9NPA3</t>
  </si>
  <si>
    <t>Q9NPA8-2</t>
  </si>
  <si>
    <t>Q9NPB8</t>
  </si>
  <si>
    <t>Q9NPD3</t>
  </si>
  <si>
    <t>Q9NPD8</t>
  </si>
  <si>
    <t>Q9NPE2</t>
  </si>
  <si>
    <t>Q9NPE3</t>
  </si>
  <si>
    <t>Q9NPF0</t>
  </si>
  <si>
    <t>Q9NPF4</t>
  </si>
  <si>
    <t>Q9NPG3-2</t>
  </si>
  <si>
    <t>Q9NPH0</t>
  </si>
  <si>
    <t>Q9NPI6</t>
  </si>
  <si>
    <t>Q9NPJ3</t>
  </si>
  <si>
    <t>Q9NPJ6</t>
  </si>
  <si>
    <t>Q9NPL8</t>
  </si>
  <si>
    <t>Q9NPQ8-4</t>
  </si>
  <si>
    <t>Q9NPR9</t>
  </si>
  <si>
    <t>Q9NQ29</t>
  </si>
  <si>
    <t>Q9NQ88</t>
  </si>
  <si>
    <t>Q9NQC3</t>
  </si>
  <si>
    <t>Q9NQC3-2</t>
  </si>
  <si>
    <t>Q9NQE9</t>
  </si>
  <si>
    <t>Q9NQG5</t>
  </si>
  <si>
    <t>Q9NQG7-3</t>
  </si>
  <si>
    <t>Q9NQH7-2</t>
  </si>
  <si>
    <t>Q9NQR4</t>
  </si>
  <si>
    <t>Q9NQS1</t>
  </si>
  <si>
    <t>Q9NQT4</t>
  </si>
  <si>
    <t>Q9NQT5</t>
  </si>
  <si>
    <t>Q9NQT8</t>
  </si>
  <si>
    <t>Q9NQW6-2</t>
  </si>
  <si>
    <t>Q9NQW7</t>
  </si>
  <si>
    <t>Q9NQW7-3</t>
  </si>
  <si>
    <t>Q9NQY0</t>
  </si>
  <si>
    <t>Q9NQZ2</t>
  </si>
  <si>
    <t>Q9NQZ5</t>
  </si>
  <si>
    <t>Q9NQZ6-3</t>
  </si>
  <si>
    <t>Q9NR09</t>
  </si>
  <si>
    <t>Q9NR12</t>
  </si>
  <si>
    <t>Q9NR19</t>
  </si>
  <si>
    <t>Q9NR28-2</t>
  </si>
  <si>
    <t>Q9NR30</t>
  </si>
  <si>
    <t>Q9NR31</t>
  </si>
  <si>
    <t>Q9NR33</t>
  </si>
  <si>
    <t>Q9NR45</t>
  </si>
  <si>
    <t>Q9NR48-2</t>
  </si>
  <si>
    <t>Q9NR50</t>
  </si>
  <si>
    <t>Q9NRA2</t>
  </si>
  <si>
    <t>Q9NRD5</t>
  </si>
  <si>
    <t>Q9NRF8</t>
  </si>
  <si>
    <t>Q9NRF9</t>
  </si>
  <si>
    <t>Q9NRG0</t>
  </si>
  <si>
    <t>Q9NRG1</t>
  </si>
  <si>
    <t>Q9NRG4</t>
  </si>
  <si>
    <t>Q9NRG7-2</t>
  </si>
  <si>
    <t>Q9NRG9</t>
  </si>
  <si>
    <t>Q9NRH1</t>
  </si>
  <si>
    <t>Q9NRK6</t>
  </si>
  <si>
    <t>Q9NRL2-2</t>
  </si>
  <si>
    <t>Q9NRL3</t>
  </si>
  <si>
    <t>Q9NRN7</t>
  </si>
  <si>
    <t>Q9NRN9</t>
  </si>
  <si>
    <t>Q9NRP0</t>
  </si>
  <si>
    <t>Q9NRP2</t>
  </si>
  <si>
    <t>Q9NRP4</t>
  </si>
  <si>
    <t>Q9NRR5</t>
  </si>
  <si>
    <t>Q9NRR8</t>
  </si>
  <si>
    <t>Q9NRV9</t>
  </si>
  <si>
    <t>Q9NRW1</t>
  </si>
  <si>
    <t>Q9NRW4</t>
  </si>
  <si>
    <t>Q9NRW7</t>
  </si>
  <si>
    <t>Q9NRX1</t>
  </si>
  <si>
    <t>Q9NRX3</t>
  </si>
  <si>
    <t>Q9NRX4</t>
  </si>
  <si>
    <t>Q9NRX5</t>
  </si>
  <si>
    <t>Q9NRY2</t>
  </si>
  <si>
    <t>Q9NRY4</t>
  </si>
  <si>
    <t>Q9NRY5</t>
  </si>
  <si>
    <t>Q9NRZ5</t>
  </si>
  <si>
    <t>Q9NRZ7-2</t>
  </si>
  <si>
    <t>Q9NRZ9-2</t>
  </si>
  <si>
    <t>Q9NS18</t>
  </si>
  <si>
    <t>Q9NS69</t>
  </si>
  <si>
    <t>Q9NS73-5</t>
  </si>
  <si>
    <t>Q9NS86</t>
  </si>
  <si>
    <t>Q9NS87-2</t>
  </si>
  <si>
    <t>Q9NS91</t>
  </si>
  <si>
    <t>Q9NS93</t>
  </si>
  <si>
    <t>Q9NSA3</t>
  </si>
  <si>
    <t>Q9NSD9</t>
  </si>
  <si>
    <t>Q9NSE4</t>
  </si>
  <si>
    <t>Q9NSI2-2</t>
  </si>
  <si>
    <t>Q9NSK0</t>
  </si>
  <si>
    <t>Q9NT62</t>
  </si>
  <si>
    <t>Q9NTG7</t>
  </si>
  <si>
    <t>Q9NTI5-2</t>
  </si>
  <si>
    <t>Q9NTJ3</t>
  </si>
  <si>
    <t>Q9NTJ4-3</t>
  </si>
  <si>
    <t>Q9NTJ5</t>
  </si>
  <si>
    <t>Q9NTM9</t>
  </si>
  <si>
    <t>Q9NTX5-2</t>
  </si>
  <si>
    <t>Q9NTZ6</t>
  </si>
  <si>
    <t>Q9NU22</t>
  </si>
  <si>
    <t>Q9NU23</t>
  </si>
  <si>
    <t>Q9NUB1-2</t>
  </si>
  <si>
    <t>Q9NUD5</t>
  </si>
  <si>
    <t>Q9NUG6</t>
  </si>
  <si>
    <t>Q9NUJ1</t>
  </si>
  <si>
    <t>Q9NUL5-3</t>
  </si>
  <si>
    <t>Q9NUM4</t>
  </si>
  <si>
    <t>Q9NUN5-3</t>
  </si>
  <si>
    <t>Q9NUP1</t>
  </si>
  <si>
    <t>Q9NUP7</t>
  </si>
  <si>
    <t>Q9NUP9</t>
  </si>
  <si>
    <t>Q9NUQ2</t>
  </si>
  <si>
    <t>Q9NUQ3</t>
  </si>
  <si>
    <t>Q9NUQ7</t>
  </si>
  <si>
    <t>Q9NUQ8-2</t>
  </si>
  <si>
    <t>Q9NUQ9</t>
  </si>
  <si>
    <t>Q9NUU7</t>
  </si>
  <si>
    <t>Q9NUW8</t>
  </si>
  <si>
    <t>Q9NUY8</t>
  </si>
  <si>
    <t>Q9NV06</t>
  </si>
  <si>
    <t>Q9NV35</t>
  </si>
  <si>
    <t>Q9NV56</t>
  </si>
  <si>
    <t>Q9NV66</t>
  </si>
  <si>
    <t>Q9NV70</t>
  </si>
  <si>
    <t>Q9NV96-2</t>
  </si>
  <si>
    <t>Q9NVA1</t>
  </si>
  <si>
    <t>Q9NVA4</t>
  </si>
  <si>
    <t>Q9NVC6</t>
  </si>
  <si>
    <t>Q9NVE7</t>
  </si>
  <si>
    <t>Q9NVF7</t>
  </si>
  <si>
    <t>Q9NVG8</t>
  </si>
  <si>
    <t>Q9NVH0</t>
  </si>
  <si>
    <t>Q9NVH1-3</t>
  </si>
  <si>
    <t>Q9NVH2-3</t>
  </si>
  <si>
    <t>Q9NVH6</t>
  </si>
  <si>
    <t>Q9NVI1</t>
  </si>
  <si>
    <t>Q9NVI7-2</t>
  </si>
  <si>
    <t>Q9NVJ2</t>
  </si>
  <si>
    <t>Q9NVK5-2</t>
  </si>
  <si>
    <t>Q9NVM4-3</t>
  </si>
  <si>
    <t>Q9NVM6</t>
  </si>
  <si>
    <t>Q9NVM9</t>
  </si>
  <si>
    <t>Q9NVN8</t>
  </si>
  <si>
    <t>Q9NVP1</t>
  </si>
  <si>
    <t>Q9NVP2</t>
  </si>
  <si>
    <t>Q9NVQ4</t>
  </si>
  <si>
    <t>Q9NVR0</t>
  </si>
  <si>
    <t>Q9NVR2</t>
  </si>
  <si>
    <t>Q9NVR5</t>
  </si>
  <si>
    <t>Q9NVS9</t>
  </si>
  <si>
    <t>Q9NVT9</t>
  </si>
  <si>
    <t>Q9NVV4</t>
  </si>
  <si>
    <t>Q9NVX2</t>
  </si>
  <si>
    <t>Q9NVX7</t>
  </si>
  <si>
    <t>Q9NVZ3</t>
  </si>
  <si>
    <t>Q9NW07</t>
  </si>
  <si>
    <t>Q9NW15</t>
  </si>
  <si>
    <t>Q9NW64</t>
  </si>
  <si>
    <t>Q9NW82</t>
  </si>
  <si>
    <t>Q9NWA0</t>
  </si>
  <si>
    <t>Q9NWB6</t>
  </si>
  <si>
    <t>Q9NWD8</t>
  </si>
  <si>
    <t>Q9NWH2</t>
  </si>
  <si>
    <t>Q9NWH9</t>
  </si>
  <si>
    <t>Q9NWM3</t>
  </si>
  <si>
    <t>Q9NWM8</t>
  </si>
  <si>
    <t>Q9NWS0</t>
  </si>
  <si>
    <t>Q9NWS6</t>
  </si>
  <si>
    <t>Q9NWS8</t>
  </si>
  <si>
    <t>Q9NWT6</t>
  </si>
  <si>
    <t>Q9NWU1</t>
  </si>
  <si>
    <t>Q9NWU2</t>
  </si>
  <si>
    <t>Q9NWV4</t>
  </si>
  <si>
    <t>Q9NWX5</t>
  </si>
  <si>
    <t>Q9NWX6</t>
  </si>
  <si>
    <t>Q9NWY4</t>
  </si>
  <si>
    <t>Q9NWZ3</t>
  </si>
  <si>
    <t>Q9NWZ5</t>
  </si>
  <si>
    <t>Q9NX01</t>
  </si>
  <si>
    <t>Q9NX07</t>
  </si>
  <si>
    <t>Q9NX08</t>
  </si>
  <si>
    <t>Q9NX14-2</t>
  </si>
  <si>
    <t>Q9NX24</t>
  </si>
  <si>
    <t>Q9NX38</t>
  </si>
  <si>
    <t>Q9NX40</t>
  </si>
  <si>
    <t>Q9NX46</t>
  </si>
  <si>
    <t>Q9NX47</t>
  </si>
  <si>
    <t>Q9NX55</t>
  </si>
  <si>
    <t>Q9NX57</t>
  </si>
  <si>
    <t>Q9NX58</t>
  </si>
  <si>
    <t>Q9NX62</t>
  </si>
  <si>
    <t>Q9NX70</t>
  </si>
  <si>
    <t>Q9NX74</t>
  </si>
  <si>
    <t>Q9NX78</t>
  </si>
  <si>
    <t>Q9NXA8</t>
  </si>
  <si>
    <t>Q9NXC5</t>
  </si>
  <si>
    <t>Q9NXE8</t>
  </si>
  <si>
    <t>Q9NXF1-2</t>
  </si>
  <si>
    <t>Q9NXF7</t>
  </si>
  <si>
    <t>Q9NXF8</t>
  </si>
  <si>
    <t>Q9NXG6</t>
  </si>
  <si>
    <t>Q9NXH9</t>
  </si>
  <si>
    <t>Q9NXK8-2</t>
  </si>
  <si>
    <t>Q9NXN4-2</t>
  </si>
  <si>
    <t>Q9NXR1-2</t>
  </si>
  <si>
    <t>Q9NXR5</t>
  </si>
  <si>
    <t>Q9NXR7</t>
  </si>
  <si>
    <t>Q9NXS2</t>
  </si>
  <si>
    <t>Q9NXU5</t>
  </si>
  <si>
    <t>Q9NXV2</t>
  </si>
  <si>
    <t>Q9NXV6</t>
  </si>
  <si>
    <t>Q9NXW9</t>
  </si>
  <si>
    <t>Q9NY27</t>
  </si>
  <si>
    <t>Q9NY61</t>
  </si>
  <si>
    <t>Q9NYB0</t>
  </si>
  <si>
    <t>Q9NYF8-2</t>
  </si>
  <si>
    <t>Q9NYG2</t>
  </si>
  <si>
    <t>Q9NYG5</t>
  </si>
  <si>
    <t>Q9NYH9</t>
  </si>
  <si>
    <t>Q9NYJ1</t>
  </si>
  <si>
    <t>Q9NYK5</t>
  </si>
  <si>
    <t>Q9NYL2-2</t>
  </si>
  <si>
    <t>Q9NYL9</t>
  </si>
  <si>
    <t>Q9NYM9</t>
  </si>
  <si>
    <t>Q9NYP9</t>
  </si>
  <si>
    <t>Q9NYQ6</t>
  </si>
  <si>
    <t>Q9NYQ7</t>
  </si>
  <si>
    <t>Q9NYU2-2</t>
  </si>
  <si>
    <t>Q9NYV4-2</t>
  </si>
  <si>
    <t>Q9NYY8</t>
  </si>
  <si>
    <t>Q9NZ01</t>
  </si>
  <si>
    <t>Q9NZ08</t>
  </si>
  <si>
    <t>Q9NZ09-2</t>
  </si>
  <si>
    <t>Q9NZ32</t>
  </si>
  <si>
    <t>Q9NZ43</t>
  </si>
  <si>
    <t>Q9NZ45</t>
  </si>
  <si>
    <t>Q9NZ53</t>
  </si>
  <si>
    <t>Q9NZ63</t>
  </si>
  <si>
    <t>Q9NZA1-2</t>
  </si>
  <si>
    <t>Q9NZB2-4</t>
  </si>
  <si>
    <t>Q9NZC3</t>
  </si>
  <si>
    <t>Q9NZC7</t>
  </si>
  <si>
    <t>Q9NZD2</t>
  </si>
  <si>
    <t>Q9NZD8-2</t>
  </si>
  <si>
    <t>Q9NZI7-4</t>
  </si>
  <si>
    <t>Q9NZI8</t>
  </si>
  <si>
    <t>Q9NZJ4-2</t>
  </si>
  <si>
    <t>Q9NZJ6</t>
  </si>
  <si>
    <t>Q9NZJ9-2</t>
  </si>
  <si>
    <t>Q9NZL4</t>
  </si>
  <si>
    <t>Q9NZL9</t>
  </si>
  <si>
    <t>Q9NZL9-2</t>
  </si>
  <si>
    <t>Q9NZM3-2</t>
  </si>
  <si>
    <t>Q9NZM4-2</t>
  </si>
  <si>
    <t>Q9NZQ3-3</t>
  </si>
  <si>
    <t>Q9NZT1</t>
  </si>
  <si>
    <t>Q9NZT2-2</t>
  </si>
  <si>
    <t>Q9NZU5</t>
  </si>
  <si>
    <t>Q9NZW5</t>
  </si>
  <si>
    <t>Q9NZZ3</t>
  </si>
  <si>
    <t>Q9P013</t>
  </si>
  <si>
    <t>Q9P016</t>
  </si>
  <si>
    <t>Q9P021</t>
  </si>
  <si>
    <t>Q9P031</t>
  </si>
  <si>
    <t>Q9P032</t>
  </si>
  <si>
    <t>Q9P035</t>
  </si>
  <si>
    <t>Q9P0B6</t>
  </si>
  <si>
    <t>Q9P0I2</t>
  </si>
  <si>
    <t>Q9P0J1</t>
  </si>
  <si>
    <t>Q9P0J7</t>
  </si>
  <si>
    <t>Q9P0L0</t>
  </si>
  <si>
    <t>Q9P0P0</t>
  </si>
  <si>
    <t>Q9P0R6</t>
  </si>
  <si>
    <t>Q9P0S2</t>
  </si>
  <si>
    <t>Q9P0U4</t>
  </si>
  <si>
    <t>Q9P0V3</t>
  </si>
  <si>
    <t>Q9P0W2-2</t>
  </si>
  <si>
    <t>Q9P0Z9</t>
  </si>
  <si>
    <t>Q9P1F3</t>
  </si>
  <si>
    <t>Q9P1U1</t>
  </si>
  <si>
    <t>Q9P1Y5</t>
  </si>
  <si>
    <t>Q9P1Z2-2</t>
  </si>
  <si>
    <t>Q9P206-2</t>
  </si>
  <si>
    <t>Q9P209</t>
  </si>
  <si>
    <t>Q9P219</t>
  </si>
  <si>
    <t>Q9P258</t>
  </si>
  <si>
    <t>Q9P260</t>
  </si>
  <si>
    <t>Q9P265</t>
  </si>
  <si>
    <t>Q9P266</t>
  </si>
  <si>
    <t>Q9P270</t>
  </si>
  <si>
    <t>Q9P273</t>
  </si>
  <si>
    <t>Q9P275</t>
  </si>
  <si>
    <t>Q9P287</t>
  </si>
  <si>
    <t>Q9P287-2</t>
  </si>
  <si>
    <t>Q9P2B2</t>
  </si>
  <si>
    <t>Q9P2B4</t>
  </si>
  <si>
    <t>Q9P2C4</t>
  </si>
  <si>
    <t>Q9P2D1</t>
  </si>
  <si>
    <t>Q9P2D3-3</t>
  </si>
  <si>
    <t>Q9P2E9</t>
  </si>
  <si>
    <t>Q9P2I0</t>
  </si>
  <si>
    <t>Q9P2J9</t>
  </si>
  <si>
    <t>Q9P2K3</t>
  </si>
  <si>
    <t>Q9P2K5-2</t>
  </si>
  <si>
    <t>Q9P2K6</t>
  </si>
  <si>
    <t>Q9P2M7</t>
  </si>
  <si>
    <t>Q9P2N5</t>
  </si>
  <si>
    <t>Q9P2R3</t>
  </si>
  <si>
    <t>Q9P2R6</t>
  </si>
  <si>
    <t>Q9P2W1-2</t>
  </si>
  <si>
    <t>Q9P2X0</t>
  </si>
  <si>
    <t>Q9P2X3</t>
  </si>
  <si>
    <t>Q9P2Y5</t>
  </si>
  <si>
    <t>Q9UBB4</t>
  </si>
  <si>
    <t>Q9UBB5</t>
  </si>
  <si>
    <t>Q9UBB6</t>
  </si>
  <si>
    <t>Q9UBB9</t>
  </si>
  <si>
    <t>Q9UBC2-2</t>
  </si>
  <si>
    <t>Q9UBC2-4</t>
  </si>
  <si>
    <t>Q9UBD5</t>
  </si>
  <si>
    <t>Q9UBE0</t>
  </si>
  <si>
    <t>Q9UBF2</t>
  </si>
  <si>
    <t>Q9UBF6</t>
  </si>
  <si>
    <t>Q9UBF8-2</t>
  </si>
  <si>
    <t>Q9UBK8-2</t>
  </si>
  <si>
    <t>Q9UBL3-3</t>
  </si>
  <si>
    <t>Q9UBM7</t>
  </si>
  <si>
    <t>Q9UBN6</t>
  </si>
  <si>
    <t>Q9UBP0-3</t>
  </si>
  <si>
    <t>Q9UBP6</t>
  </si>
  <si>
    <t>Q9UBQ0</t>
  </si>
  <si>
    <t>Q9UBQ7</t>
  </si>
  <si>
    <t>Q9UBR2</t>
  </si>
  <si>
    <t>Q9UBS0</t>
  </si>
  <si>
    <t>Q9UBS4</t>
  </si>
  <si>
    <t>Q9UBS8</t>
  </si>
  <si>
    <t>Q9UBS9</t>
  </si>
  <si>
    <t>Q9UBT2</t>
  </si>
  <si>
    <t>Q9UBU6</t>
  </si>
  <si>
    <t>Q9UBU9</t>
  </si>
  <si>
    <t>Q9UBV2</t>
  </si>
  <si>
    <t>Q9UBV8</t>
  </si>
  <si>
    <t>Q9UBW7</t>
  </si>
  <si>
    <t>Q9UBW8</t>
  </si>
  <si>
    <t>Q9UBX3</t>
  </si>
  <si>
    <t>Q9UD71</t>
  </si>
  <si>
    <t>Q9UDW1</t>
  </si>
  <si>
    <t>Q9UDX5</t>
  </si>
  <si>
    <t>Q9UDY2-3</t>
  </si>
  <si>
    <t>Q9UDY4</t>
  </si>
  <si>
    <t>Q9UDY8</t>
  </si>
  <si>
    <t>Q9UEE9</t>
  </si>
  <si>
    <t>Q9UEG4</t>
  </si>
  <si>
    <t>Q9UEL6</t>
  </si>
  <si>
    <t>Q9UER7-3</t>
  </si>
  <si>
    <t>Q9UET6-2</t>
  </si>
  <si>
    <t>Q9UEU0</t>
  </si>
  <si>
    <t>Q9UEW8</t>
  </si>
  <si>
    <t>Q9UEY8-2</t>
  </si>
  <si>
    <t>Q9UFC0</t>
  </si>
  <si>
    <t>Q9UFG5</t>
  </si>
  <si>
    <t>Q9UFN0</t>
  </si>
  <si>
    <t>Q9UFW8</t>
  </si>
  <si>
    <t>Q9UG56-2</t>
  </si>
  <si>
    <t>Q9UG63</t>
  </si>
  <si>
    <t>Q9UGC7</t>
  </si>
  <si>
    <t>Q9UGI8</t>
  </si>
  <si>
    <t>Q9UGJ1-2</t>
  </si>
  <si>
    <t>Q9UGK3</t>
  </si>
  <si>
    <t>Q9UGK8</t>
  </si>
  <si>
    <t>Q9UGM6</t>
  </si>
  <si>
    <t>Q9UGP4</t>
  </si>
  <si>
    <t>Q9UGP8</t>
  </si>
  <si>
    <t>Q9UGQ2-2</t>
  </si>
  <si>
    <t>Q9UGQ3-2</t>
  </si>
  <si>
    <t>Q9UGR2-2</t>
  </si>
  <si>
    <t>Q9UGU0-2</t>
  </si>
  <si>
    <t>Q9UGU5</t>
  </si>
  <si>
    <t>Q9UGV2</t>
  </si>
  <si>
    <t>Q9UH62</t>
  </si>
  <si>
    <t>Q9UH65</t>
  </si>
  <si>
    <t>Q9UHA4</t>
  </si>
  <si>
    <t>Q9UHB6</t>
  </si>
  <si>
    <t>Q9UHB7</t>
  </si>
  <si>
    <t>Q9UHB9</t>
  </si>
  <si>
    <t>Q9UHD1</t>
  </si>
  <si>
    <t>Q9UHD2</t>
  </si>
  <si>
    <t>Q9UHD8</t>
  </si>
  <si>
    <t>Q9UHD9</t>
  </si>
  <si>
    <t>Q9UHE8</t>
  </si>
  <si>
    <t>Q9UHF7</t>
  </si>
  <si>
    <t>Q9UHG3</t>
  </si>
  <si>
    <t>Q9UHI6</t>
  </si>
  <si>
    <t>Q9UHJ6</t>
  </si>
  <si>
    <t>Q9UHK6</t>
  </si>
  <si>
    <t>Q9UHL4</t>
  </si>
  <si>
    <t>Q9UHN1</t>
  </si>
  <si>
    <t>Q9UHN6</t>
  </si>
  <si>
    <t>Q9UHP3</t>
  </si>
  <si>
    <t>Q9UHQ4</t>
  </si>
  <si>
    <t>Q9UHQ9</t>
  </si>
  <si>
    <t>Q9UHR4</t>
  </si>
  <si>
    <t>Q9UHV7</t>
  </si>
  <si>
    <t>Q9UHV9</t>
  </si>
  <si>
    <t>Q9UHW5</t>
  </si>
  <si>
    <t>Q9UHX1-4</t>
  </si>
  <si>
    <t>Q9UHX3-4</t>
  </si>
  <si>
    <t>Q9UHY1</t>
  </si>
  <si>
    <t>Q9UHY7</t>
  </si>
  <si>
    <t>Q9UI09</t>
  </si>
  <si>
    <t>Q9UI10</t>
  </si>
  <si>
    <t>Q9UI12-2</t>
  </si>
  <si>
    <t>Q9UI15</t>
  </si>
  <si>
    <t>Q9UI26</t>
  </si>
  <si>
    <t>Q9UI30</t>
  </si>
  <si>
    <t>Q9UI32</t>
  </si>
  <si>
    <t>Q9UI36-2</t>
  </si>
  <si>
    <t>Q9UI43</t>
  </si>
  <si>
    <t>Q9UIC8</t>
  </si>
  <si>
    <t>Q9UID3</t>
  </si>
  <si>
    <t>Q9UII2</t>
  </si>
  <si>
    <t>Q9UIJ7</t>
  </si>
  <si>
    <t>Q9UIK4</t>
  </si>
  <si>
    <t>Q9UIL1-3</t>
  </si>
  <si>
    <t>Q9UIM3</t>
  </si>
  <si>
    <t>Q9UIQ6-3</t>
  </si>
  <si>
    <t>Q9UIU6</t>
  </si>
  <si>
    <t>Q9UJ14</t>
  </si>
  <si>
    <t>Q9UJ68-2</t>
  </si>
  <si>
    <t>Q9UJA2-2</t>
  </si>
  <si>
    <t>Q9UJA5</t>
  </si>
  <si>
    <t>Q9UJC5</t>
  </si>
  <si>
    <t>Q9UJJ2</t>
  </si>
  <si>
    <t>Q9UJK0</t>
  </si>
  <si>
    <t>Q9UJS0</t>
  </si>
  <si>
    <t>Q9UJU6</t>
  </si>
  <si>
    <t>Q9UJU6-2</t>
  </si>
  <si>
    <t>Q9UJU6-3</t>
  </si>
  <si>
    <t>Q9UJW0</t>
  </si>
  <si>
    <t>Q9UJX3-2</t>
  </si>
  <si>
    <t>Q9UJX5-2</t>
  </si>
  <si>
    <t>Q9UJX6-2</t>
  </si>
  <si>
    <t>Q9UJY4</t>
  </si>
  <si>
    <t>Q9UJY5-4</t>
  </si>
  <si>
    <t>Q9UJZ1</t>
  </si>
  <si>
    <t>Q9UK22</t>
  </si>
  <si>
    <t>Q9UK23</t>
  </si>
  <si>
    <t>Q9UK32</t>
  </si>
  <si>
    <t>Q9UK41</t>
  </si>
  <si>
    <t>Q9UK45</t>
  </si>
  <si>
    <t>Q9UK53-2</t>
  </si>
  <si>
    <t>Q9UK59</t>
  </si>
  <si>
    <t>Q9UK76</t>
  </si>
  <si>
    <t>Q9UK97-3</t>
  </si>
  <si>
    <t>Q9UKA2</t>
  </si>
  <si>
    <t>Q9UKA4</t>
  </si>
  <si>
    <t>Q9UKB3</t>
  </si>
  <si>
    <t>Q9UKB5</t>
  </si>
  <si>
    <t>Q9UKD2</t>
  </si>
  <si>
    <t>Q9UKF6</t>
  </si>
  <si>
    <t>Q9UKG1</t>
  </si>
  <si>
    <t>Q9UKI8-5</t>
  </si>
  <si>
    <t>Q9UKJ3</t>
  </si>
  <si>
    <t>Q9UKK9</t>
  </si>
  <si>
    <t>Q9UKL3</t>
  </si>
  <si>
    <t>Q9UKL6</t>
  </si>
  <si>
    <t>Q9UKM7</t>
  </si>
  <si>
    <t>Q9UKN8</t>
  </si>
  <si>
    <t>Q9UKQ2-2</t>
  </si>
  <si>
    <t>Q9UKR5</t>
  </si>
  <si>
    <t>Q9UKS6</t>
  </si>
  <si>
    <t>Q9UKT5</t>
  </si>
  <si>
    <t>Q9UKU7</t>
  </si>
  <si>
    <t>Q9UKV8</t>
  </si>
  <si>
    <t>Q9UKX7-2</t>
  </si>
  <si>
    <t>Q9UKY7</t>
  </si>
  <si>
    <t>Q9UKZ1</t>
  </si>
  <si>
    <t>Q9UL15</t>
  </si>
  <si>
    <t>Q9UL18</t>
  </si>
  <si>
    <t>Q9UL25</t>
  </si>
  <si>
    <t>Q9UL26</t>
  </si>
  <si>
    <t>Q9UL42</t>
  </si>
  <si>
    <t>Q9UL46</t>
  </si>
  <si>
    <t>Q9UL52</t>
  </si>
  <si>
    <t>Q9UL54-2</t>
  </si>
  <si>
    <t>Q9ULC3</t>
  </si>
  <si>
    <t>Q9ULC4</t>
  </si>
  <si>
    <t>Q9ULC5</t>
  </si>
  <si>
    <t>Q9ULD9</t>
  </si>
  <si>
    <t>Q9ULE6</t>
  </si>
  <si>
    <t>Q9ULF5</t>
  </si>
  <si>
    <t>Q9ULH0-2</t>
  </si>
  <si>
    <t>Q9ULH7-4</t>
  </si>
  <si>
    <t>Q9ULJ6</t>
  </si>
  <si>
    <t>Q9ULJ8</t>
  </si>
  <si>
    <t>Q9ULL5-3</t>
  </si>
  <si>
    <t>Q9ULP9-2</t>
  </si>
  <si>
    <t>Q9ULR0</t>
  </si>
  <si>
    <t>Q9ULR3</t>
  </si>
  <si>
    <t>Q9ULV4</t>
  </si>
  <si>
    <t>Q9ULW0</t>
  </si>
  <si>
    <t>Q9ULX3</t>
  </si>
  <si>
    <t>Q9ULX6</t>
  </si>
  <si>
    <t>Q9ULX7</t>
  </si>
  <si>
    <t>Q9ULX9</t>
  </si>
  <si>
    <t>Q9ULZ3-2</t>
  </si>
  <si>
    <t>Q9UM54-5</t>
  </si>
  <si>
    <t>Q9UMR2</t>
  </si>
  <si>
    <t>Q9UMS0-3</t>
  </si>
  <si>
    <t>Q9UMS4</t>
  </si>
  <si>
    <t>Q9UMX0</t>
  </si>
  <si>
    <t>Q9UMX0-2</t>
  </si>
  <si>
    <t>Q9UMX5</t>
  </si>
  <si>
    <t>Q9UMY1</t>
  </si>
  <si>
    <t>Q9UMY4-2</t>
  </si>
  <si>
    <t>Q9UMZ2-6</t>
  </si>
  <si>
    <t>Q9UN37</t>
  </si>
  <si>
    <t>Q9UN79</t>
  </si>
  <si>
    <t>Q9UN86-2</t>
  </si>
  <si>
    <t>Q9UNE7</t>
  </si>
  <si>
    <t>Q9UNF0-2</t>
  </si>
  <si>
    <t>Q9UNF1</t>
  </si>
  <si>
    <t>Q9UNH7</t>
  </si>
  <si>
    <t>Q9UNI6</t>
  </si>
  <si>
    <t>Q9UNK0</t>
  </si>
  <si>
    <t>Q9UNK9</t>
  </si>
  <si>
    <t>Q9UNM6</t>
  </si>
  <si>
    <t>Q9UNN5</t>
  </si>
  <si>
    <t>Q9UNP9</t>
  </si>
  <si>
    <t>Q9UNS1-2</t>
  </si>
  <si>
    <t>Q9UNS2</t>
  </si>
  <si>
    <t>Q9UNW1</t>
  </si>
  <si>
    <t>Q9UNX4</t>
  </si>
  <si>
    <t>Q9UNY4</t>
  </si>
  <si>
    <t>Q9UNZ5</t>
  </si>
  <si>
    <t>Q9UP83-3</t>
  </si>
  <si>
    <t>Q9UP95-5</t>
  </si>
  <si>
    <t>Q9UPN6</t>
  </si>
  <si>
    <t>Q9UPN7</t>
  </si>
  <si>
    <t>Q9UPN9-2</t>
  </si>
  <si>
    <t>Q9UPP1-4</t>
  </si>
  <si>
    <t>Q9UPQ9-1</t>
  </si>
  <si>
    <t>Q9UPR3</t>
  </si>
  <si>
    <t>Q9UPT5-1</t>
  </si>
  <si>
    <t>Q9UPT8</t>
  </si>
  <si>
    <t>Q9UPT9-2</t>
  </si>
  <si>
    <t>Q9UPU5</t>
  </si>
  <si>
    <t>Q9UPW5</t>
  </si>
  <si>
    <t>Q9UPY3</t>
  </si>
  <si>
    <t>Q9UPY5</t>
  </si>
  <si>
    <t>Q9UPY8-2</t>
  </si>
  <si>
    <t>Q9UQ13-2</t>
  </si>
  <si>
    <t>Q9UQ35</t>
  </si>
  <si>
    <t>Q9UQ53-2</t>
  </si>
  <si>
    <t>Q9UQ80</t>
  </si>
  <si>
    <t>Q9UQ90</t>
  </si>
  <si>
    <t>Q9UQB8-5</t>
  </si>
  <si>
    <t>Q9UQB8-6</t>
  </si>
  <si>
    <t>Q9UQC2-2</t>
  </si>
  <si>
    <t>Q9UQE7</t>
  </si>
  <si>
    <t>Q9UQL6</t>
  </si>
  <si>
    <t>Q9UQN3</t>
  </si>
  <si>
    <t>Q9Y217</t>
  </si>
  <si>
    <t>Q9Y219</t>
  </si>
  <si>
    <t>Q9Y221-2</t>
  </si>
  <si>
    <t>Q9Y223</t>
  </si>
  <si>
    <t>Q9Y224</t>
  </si>
  <si>
    <t>Q9Y230</t>
  </si>
  <si>
    <t>Q9Y232-2</t>
  </si>
  <si>
    <t>Q9Y234</t>
  </si>
  <si>
    <t>Q9Y235</t>
  </si>
  <si>
    <t>Q9Y237</t>
  </si>
  <si>
    <t>Q9Y241</t>
  </si>
  <si>
    <t>Q9Y242</t>
  </si>
  <si>
    <t>Q9Y243-2</t>
  </si>
  <si>
    <t>Q9Y244</t>
  </si>
  <si>
    <t>Q9Y247</t>
  </si>
  <si>
    <t>Q9Y248</t>
  </si>
  <si>
    <t>Q9Y259</t>
  </si>
  <si>
    <t>Q9Y263</t>
  </si>
  <si>
    <t>Q9Y265</t>
  </si>
  <si>
    <t>Q9Y266</t>
  </si>
  <si>
    <t>Q9Y276</t>
  </si>
  <si>
    <t>Q9Y277</t>
  </si>
  <si>
    <t>Q9Y281</t>
  </si>
  <si>
    <t>Q9Y294</t>
  </si>
  <si>
    <t>Q9Y295</t>
  </si>
  <si>
    <t>Q9Y296</t>
  </si>
  <si>
    <t>Q9Y2A7</t>
  </si>
  <si>
    <t>Q9Y2A9</t>
  </si>
  <si>
    <t>Q9Y2B0</t>
  </si>
  <si>
    <t>Q9Y2C4</t>
  </si>
  <si>
    <t>Q9Y2D4</t>
  </si>
  <si>
    <t>Q9Y2D5</t>
  </si>
  <si>
    <t>Q9Y2G5</t>
  </si>
  <si>
    <t>Q9Y2H0-3</t>
  </si>
  <si>
    <t>Q9Y2H1</t>
  </si>
  <si>
    <t>Q9Y2H6-2</t>
  </si>
  <si>
    <t>Q9Y2I1</t>
  </si>
  <si>
    <t>Q9Y2I8</t>
  </si>
  <si>
    <t>Q9Y2I9</t>
  </si>
  <si>
    <t>Q9Y2K6</t>
  </si>
  <si>
    <t>Q9Y2K7</t>
  </si>
  <si>
    <t>Q9Y2L1</t>
  </si>
  <si>
    <t>Q9Y2Q0-3</t>
  </si>
  <si>
    <t>Q9Y2Q3</t>
  </si>
  <si>
    <t>Q9Y2Q5</t>
  </si>
  <si>
    <t>Q9Y2Q9</t>
  </si>
  <si>
    <t>Q9Y2R0</t>
  </si>
  <si>
    <t>Q9Y2R4</t>
  </si>
  <si>
    <t>Q9Y2S0</t>
  </si>
  <si>
    <t>Q9Y2S0-2</t>
  </si>
  <si>
    <t>Q9Y2S2-2</t>
  </si>
  <si>
    <t>Q9Y2S6</t>
  </si>
  <si>
    <t>Q9Y2S7</t>
  </si>
  <si>
    <t>Q9Y2T2</t>
  </si>
  <si>
    <t>Q9Y2U8</t>
  </si>
  <si>
    <t>Q9Y2V2</t>
  </si>
  <si>
    <t>Q9Y2V7-2</t>
  </si>
  <si>
    <t>Q9Y2W1</t>
  </si>
  <si>
    <t>Q9Y2X3</t>
  </si>
  <si>
    <t>Q9Y2X7-3</t>
  </si>
  <si>
    <t>Q9Y2Y1</t>
  </si>
  <si>
    <t>Q9Y2Z0-2</t>
  </si>
  <si>
    <t>Q9Y2Z2-4</t>
  </si>
  <si>
    <t>Q9Y2Z4</t>
  </si>
  <si>
    <t>Q9Y2Z9-3</t>
  </si>
  <si>
    <t>Q9Y303</t>
  </si>
  <si>
    <t>Q9Y305</t>
  </si>
  <si>
    <t>Q9Y314</t>
  </si>
  <si>
    <t>Q9Y315</t>
  </si>
  <si>
    <t>Q9Y316</t>
  </si>
  <si>
    <t>Q9Y320-2</t>
  </si>
  <si>
    <t>Q9Y333</t>
  </si>
  <si>
    <t>Q9Y371</t>
  </si>
  <si>
    <t>Q9Y375</t>
  </si>
  <si>
    <t>Q9Y376</t>
  </si>
  <si>
    <t>Q9Y383</t>
  </si>
  <si>
    <t>Q9Y385</t>
  </si>
  <si>
    <t>Q9Y388</t>
  </si>
  <si>
    <t>Q9Y394-2</t>
  </si>
  <si>
    <t>Q9Y399</t>
  </si>
  <si>
    <t>Q9Y3A0-2</t>
  </si>
  <si>
    <t>Q9Y3A3-3</t>
  </si>
  <si>
    <t>Q9Y3A5</t>
  </si>
  <si>
    <t>Q9Y3A6</t>
  </si>
  <si>
    <t>Q9Y3B1</t>
  </si>
  <si>
    <t>Q9Y3B2</t>
  </si>
  <si>
    <t>Q9Y3B3</t>
  </si>
  <si>
    <t>Q9Y3B4</t>
  </si>
  <si>
    <t>Q9Y3B9</t>
  </si>
  <si>
    <t>Q9Y3C1</t>
  </si>
  <si>
    <t>Q9Y3C4</t>
  </si>
  <si>
    <t>Q9Y3C6</t>
  </si>
  <si>
    <t>Q9Y3C8</t>
  </si>
  <si>
    <t>Q9Y3D0</t>
  </si>
  <si>
    <t>Q9Y3D2</t>
  </si>
  <si>
    <t>Q9Y3D5</t>
  </si>
  <si>
    <t>Q9Y3D6</t>
  </si>
  <si>
    <t>Q9Y3D8</t>
  </si>
  <si>
    <t>Q9Y3D9</t>
  </si>
  <si>
    <t>Q9Y3E2</t>
  </si>
  <si>
    <t>Q9Y3E7-4</t>
  </si>
  <si>
    <t>Q9Y3F4</t>
  </si>
  <si>
    <t>Q9Y3I0</t>
  </si>
  <si>
    <t>Q9Y3I1</t>
  </si>
  <si>
    <t>Q9Y3L3</t>
  </si>
  <si>
    <t>Q9Y3L5</t>
  </si>
  <si>
    <t>Q9Y3P8</t>
  </si>
  <si>
    <t>Q9Y3P9</t>
  </si>
  <si>
    <t>Q9Y3Q8</t>
  </si>
  <si>
    <t>Q9Y3R5-2</t>
  </si>
  <si>
    <t>Q9Y3S2</t>
  </si>
  <si>
    <t>Q9Y3T6</t>
  </si>
  <si>
    <t>Q9Y3T9</t>
  </si>
  <si>
    <t>Q9Y3U8</t>
  </si>
  <si>
    <t>Q9Y3X0</t>
  </si>
  <si>
    <t>Q9Y3Y2-4</t>
  </si>
  <si>
    <t>Q9Y3Z3</t>
  </si>
  <si>
    <t>Q9Y421</t>
  </si>
  <si>
    <t>Q9Y446</t>
  </si>
  <si>
    <t>Q9Y448-2</t>
  </si>
  <si>
    <t>Q9Y450</t>
  </si>
  <si>
    <t>Q9Y478</t>
  </si>
  <si>
    <t>Q9Y487</t>
  </si>
  <si>
    <t>Q9Y490</t>
  </si>
  <si>
    <t>Q9Y4B6</t>
  </si>
  <si>
    <t>Q9Y4C1</t>
  </si>
  <si>
    <t>Q9Y4D1-2</t>
  </si>
  <si>
    <t>Q9Y4D7-2</t>
  </si>
  <si>
    <t>Q9Y4E1-2</t>
  </si>
  <si>
    <t>Q9Y4E8</t>
  </si>
  <si>
    <t>Q9Y4H2</t>
  </si>
  <si>
    <t>Q9Y4I5-3</t>
  </si>
  <si>
    <t>Q9Y4K1</t>
  </si>
  <si>
    <t>Q9Y4K4</t>
  </si>
  <si>
    <t>Q9Y4L1</t>
  </si>
  <si>
    <t>Q9Y4P1-6</t>
  </si>
  <si>
    <t>Q9Y4P8-3</t>
  </si>
  <si>
    <t>Q9Y4R8</t>
  </si>
  <si>
    <t>Q9Y4U1</t>
  </si>
  <si>
    <t>Q9Y4W6</t>
  </si>
  <si>
    <t>Q9Y4X5</t>
  </si>
  <si>
    <t>Q9Y4Z0</t>
  </si>
  <si>
    <t>Q9Y508</t>
  </si>
  <si>
    <t>Q9Y512</t>
  </si>
  <si>
    <t>Q9Y520-7</t>
  </si>
  <si>
    <t>Q9Y546</t>
  </si>
  <si>
    <t>Q9Y570</t>
  </si>
  <si>
    <t>Q9Y584</t>
  </si>
  <si>
    <t>Q9Y597-2</t>
  </si>
  <si>
    <t>Q9Y5A9-2</t>
  </si>
  <si>
    <t>Q9Y5B0</t>
  </si>
  <si>
    <t>Q9Y5B6</t>
  </si>
  <si>
    <t>Q9Y5B8</t>
  </si>
  <si>
    <t>Q9Y5B9</t>
  </si>
  <si>
    <t>Q9Y5J1</t>
  </si>
  <si>
    <t>Q9Y5J6</t>
  </si>
  <si>
    <t>Q9Y5J7</t>
  </si>
  <si>
    <t>Q9Y5K3-2</t>
  </si>
  <si>
    <t>Q9Y5K5-2</t>
  </si>
  <si>
    <t>Q9Y5K6</t>
  </si>
  <si>
    <t>Q9Y5K8</t>
  </si>
  <si>
    <t>Q9Y5L0</t>
  </si>
  <si>
    <t>Q9Y5L3</t>
  </si>
  <si>
    <t>Q9Y5L4</t>
  </si>
  <si>
    <t>Q9Y5M8</t>
  </si>
  <si>
    <t>Q9Y5P4-2</t>
  </si>
  <si>
    <t>Q9Y5P6</t>
  </si>
  <si>
    <t>Q9Y5Q8</t>
  </si>
  <si>
    <t>Q9Y5Q9</t>
  </si>
  <si>
    <t>Q9Y5R8</t>
  </si>
  <si>
    <t>Q9Y5S2</t>
  </si>
  <si>
    <t>Q9Y5S9</t>
  </si>
  <si>
    <t>Q9Y5T4</t>
  </si>
  <si>
    <t>Q9Y5U2-2</t>
  </si>
  <si>
    <t>Q9Y5V0</t>
  </si>
  <si>
    <t>Q9Y5X1</t>
  </si>
  <si>
    <t>Q9Y5X2</t>
  </si>
  <si>
    <t>Q9Y5X3</t>
  </si>
  <si>
    <t>Q9Y5Y0</t>
  </si>
  <si>
    <t>Q9Y5Y2</t>
  </si>
  <si>
    <t>Q9Y5Y6</t>
  </si>
  <si>
    <t>Q9Y5Z0-3</t>
  </si>
  <si>
    <t>Q9Y5Z4</t>
  </si>
  <si>
    <t>Q9Y5Z9-2</t>
  </si>
  <si>
    <t>Q9Y605</t>
  </si>
  <si>
    <t>Q9Y608</t>
  </si>
  <si>
    <t>Q9Y608-2</t>
  </si>
  <si>
    <t>Q9Y613</t>
  </si>
  <si>
    <t>Q9Y617</t>
  </si>
  <si>
    <t>Q9Y619</t>
  </si>
  <si>
    <t>Q9Y620</t>
  </si>
  <si>
    <t>Q9Y639</t>
  </si>
  <si>
    <t>Q9Y646</t>
  </si>
  <si>
    <t>Q9Y657</t>
  </si>
  <si>
    <t>Q9Y666</t>
  </si>
  <si>
    <t>Q9Y673</t>
  </si>
  <si>
    <t>Q9Y676</t>
  </si>
  <si>
    <t>Q9Y678</t>
  </si>
  <si>
    <t>Q9Y679-2</t>
  </si>
  <si>
    <t>Q9Y680-3</t>
  </si>
  <si>
    <t>Q9Y693</t>
  </si>
  <si>
    <t>Q9Y696</t>
  </si>
  <si>
    <t>Q9Y697-2</t>
  </si>
  <si>
    <t>Q9Y6A4</t>
  </si>
  <si>
    <t>Q9Y6A5</t>
  </si>
  <si>
    <t>Q9Y6B6</t>
  </si>
  <si>
    <t>Q9Y6C9</t>
  </si>
  <si>
    <t>Q9Y6D5</t>
  </si>
  <si>
    <t>Q9Y6D6</t>
  </si>
  <si>
    <t>Q9Y6D9</t>
  </si>
  <si>
    <t>Q9Y6E0-2</t>
  </si>
  <si>
    <t>Q9Y6G5</t>
  </si>
  <si>
    <t>Q9Y6G9</t>
  </si>
  <si>
    <t>Q9Y6H1</t>
  </si>
  <si>
    <t>Q9Y6I3</t>
  </si>
  <si>
    <t>Q9Y6I9</t>
  </si>
  <si>
    <t>Q9Y6K5</t>
  </si>
  <si>
    <t>Q9Y6K9</t>
  </si>
  <si>
    <t>Q9Y6M4-4</t>
  </si>
  <si>
    <t>Q9Y6M5</t>
  </si>
  <si>
    <t>Q9Y6M9</t>
  </si>
  <si>
    <t>Q9Y6N1</t>
  </si>
  <si>
    <t>Q9Y6N5</t>
  </si>
  <si>
    <t>Q9Y6N7-4</t>
  </si>
  <si>
    <t>Q9Y6Q5</t>
  </si>
  <si>
    <t>Q9Y6Q9-2</t>
  </si>
  <si>
    <t>Q9Y6U3</t>
  </si>
  <si>
    <t>Q9Y6V7</t>
  </si>
  <si>
    <t>Q9Y6W3</t>
  </si>
  <si>
    <t>Q9Y6W5</t>
  </si>
  <si>
    <t>Q9Y6X5</t>
  </si>
  <si>
    <t>Q9Y6X8</t>
  </si>
  <si>
    <t>Q9Y6X9</t>
  </si>
  <si>
    <t>R4GMN1</t>
  </si>
  <si>
    <t>R4GMR5</t>
  </si>
  <si>
    <t>R4GMU1</t>
  </si>
  <si>
    <t>R4GMX3</t>
  </si>
  <si>
    <t>R4GMX8</t>
  </si>
  <si>
    <t>R4GMZ0</t>
  </si>
  <si>
    <t>R4GN50</t>
  </si>
  <si>
    <t>R4GN55</t>
  </si>
  <si>
    <t>R4GN98</t>
  </si>
  <si>
    <t>R4GNB2</t>
  </si>
  <si>
    <t>R4GND3</t>
  </si>
  <si>
    <t>R4GND4</t>
  </si>
  <si>
    <t>R4GNH3</t>
  </si>
  <si>
    <t>norm_FC_TMT126_colon_cancer_spheroids_P016043</t>
  </si>
  <si>
    <t>norm_FC_TMT127L_colon_cancer_spheroids_P016043</t>
  </si>
  <si>
    <t>norm_FC_TMT127H_colon_cancer_spheroids_P016043</t>
  </si>
  <si>
    <t>norm_FC_TMT128L_colon_cancer_spheroids_P016043</t>
  </si>
  <si>
    <t>norm_FC_TMT128H_colon_cancer_spheroids_P016043</t>
  </si>
  <si>
    <t>norm_FC_TMT129L_colon_cancer_spheroids_P016043</t>
  </si>
  <si>
    <t>norm_FC_TMT129H_colon_cancer_spheroids_P016043</t>
  </si>
  <si>
    <t>norm_FC_TMT130L_colon_cancer_spheroids_P016043</t>
  </si>
  <si>
    <t>norm_FC_TMT130H_colon_cancer_spheroids_P016043</t>
  </si>
  <si>
    <t>norm_FC_TMT131L_colon_cancer_spheroids_P016043</t>
  </si>
  <si>
    <t>a_colon_cancer_spheroids_P016043</t>
  </si>
  <si>
    <t>b_colon_cancer_spheroids_P016043</t>
  </si>
  <si>
    <t>meltPoint_colon_cancer_spheroids_P016043</t>
  </si>
  <si>
    <t>inflPoint_colon_cancer_spheroids_P016043</t>
  </si>
  <si>
    <t>slope_colon_cancer_spheroids_P016043</t>
  </si>
  <si>
    <t>plateau_colon_cancer_spheroids_P016043</t>
  </si>
  <si>
    <t>R_sq_colon_cancer_spheroids_P016043</t>
  </si>
  <si>
    <t>protein_identified_in_colon_cancer_spheroids_P016043</t>
  </si>
  <si>
    <t>model_converged_colon_cancer_spheroids_P016043</t>
  </si>
  <si>
    <t>sufficient_data_for_fit_colon_cancer_spheroids_P016043</t>
  </si>
  <si>
    <t>Proteinname_colon_cancer_spheroids_P016043</t>
  </si>
  <si>
    <t>numSpec_colon_cancer_spheroids_P016043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</si>
</sst>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43"/>
  <sheetViews>
    <sheetView tabSelected="1" workbookViewId="0">
      <selection activeCell="O2" sqref="O2"/>
    </sheetView>
  </sheetViews>
  <sheetFormatPr defaultRowHeight="15" x14ac:dyDescent="0.25"/>
  <sheetData>
    <row r="1" spans="1:28" s="2" customFormat="1" ht="105" x14ac:dyDescent="0.25">
      <c r="A1" s="1" t="s">
        <v>0</v>
      </c>
      <c r="B1" s="1" t="s">
        <v>32974</v>
      </c>
      <c r="C1" s="1" t="s">
        <v>32975</v>
      </c>
      <c r="D1" s="1" t="s">
        <v>32976</v>
      </c>
      <c r="E1" s="1" t="s">
        <v>32977</v>
      </c>
      <c r="F1" s="1" t="s">
        <v>32978</v>
      </c>
      <c r="G1" s="1" t="s">
        <v>32979</v>
      </c>
      <c r="H1" s="1" t="s">
        <v>32980</v>
      </c>
      <c r="I1" s="1" t="s">
        <v>32981</v>
      </c>
      <c r="J1" s="1" t="s">
        <v>32982</v>
      </c>
      <c r="K1" s="1" t="s">
        <v>32983</v>
      </c>
      <c r="L1" s="1" t="s">
        <v>32984</v>
      </c>
      <c r="M1" s="1" t="s">
        <v>32985</v>
      </c>
      <c r="N1" s="1" t="s">
        <v>32986</v>
      </c>
      <c r="O1" s="1" t="s">
        <v>32987</v>
      </c>
      <c r="P1" s="1" t="s">
        <v>32988</v>
      </c>
      <c r="Q1" s="1" t="s">
        <v>32989</v>
      </c>
      <c r="R1" s="1" t="s">
        <v>32990</v>
      </c>
      <c r="S1" s="1" t="s">
        <v>1</v>
      </c>
      <c r="T1" s="1" t="s">
        <v>32991</v>
      </c>
      <c r="U1" s="1" t="s">
        <v>32992</v>
      </c>
      <c r="V1" s="1" t="s">
        <v>32993</v>
      </c>
      <c r="W1" s="1" t="s">
        <v>32994</v>
      </c>
      <c r="X1" s="1" t="s">
        <v>32995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25">
      <c r="A2" t="s">
        <v>6</v>
      </c>
      <c r="B2">
        <v>0.99252571173614901</v>
      </c>
      <c r="C2">
        <v>0.90528882415335099</v>
      </c>
      <c r="D2">
        <v>0.76608800053520498</v>
      </c>
      <c r="E2">
        <v>0.31621781788821102</v>
      </c>
      <c r="F2">
        <v>0.14336235479425699</v>
      </c>
      <c r="G2">
        <v>7.6738621967279597E-2</v>
      </c>
      <c r="H2">
        <v>6.1608290731336897E-2</v>
      </c>
      <c r="I2">
        <v>6.2238648745664198E-2</v>
      </c>
      <c r="J2">
        <v>7.0495123352136799E-2</v>
      </c>
      <c r="K2">
        <v>7.0200860638544194E-2</v>
      </c>
      <c r="L2">
        <v>1189.23154554442</v>
      </c>
      <c r="M2">
        <v>24.888528993714299</v>
      </c>
      <c r="N2">
        <v>48.046181564252002</v>
      </c>
      <c r="O2">
        <v>47.477043992485797</v>
      </c>
      <c r="P2">
        <v>-0.122685748826993</v>
      </c>
      <c r="Q2">
        <v>6.3877676156396099E-2</v>
      </c>
      <c r="R2">
        <v>0.99779908211420099</v>
      </c>
      <c r="S2" t="s">
        <v>6648</v>
      </c>
      <c r="T2" t="s">
        <v>13290</v>
      </c>
      <c r="U2" t="s">
        <v>13290</v>
      </c>
      <c r="V2" t="s">
        <v>13290</v>
      </c>
      <c r="W2" t="s">
        <v>13292</v>
      </c>
      <c r="X2">
        <v>32</v>
      </c>
      <c r="Y2" t="s">
        <v>19878</v>
      </c>
      <c r="Z2" t="s">
        <v>26332</v>
      </c>
      <c r="AA2">
        <v>0.31507797297294571</v>
      </c>
      <c r="AB2" t="str">
        <f>HYPERLINK("Melting_Curves/meltCurve_A0AVT1_UBA6.pdf", "Melting_Curves/meltCurve_A0AVT1_UBA6.pdf")</f>
        <v>Melting_Curves/meltCurve_A0AVT1_UBA6.pdf</v>
      </c>
    </row>
    <row r="3" spans="1:28" x14ac:dyDescent="0.25">
      <c r="A3" t="s">
        <v>7</v>
      </c>
      <c r="B3">
        <v>0.99252571173614901</v>
      </c>
      <c r="C3">
        <v>1.02896691566563</v>
      </c>
      <c r="D3">
        <v>0.70719485473844101</v>
      </c>
      <c r="E3">
        <v>0.26542867053862601</v>
      </c>
      <c r="F3">
        <v>0.15768728538472301</v>
      </c>
      <c r="G3">
        <v>9.5135162824978706E-2</v>
      </c>
      <c r="H3">
        <v>7.3486465900568801E-2</v>
      </c>
      <c r="I3">
        <v>8.1764513801492897E-2</v>
      </c>
      <c r="J3">
        <v>0.113627051040795</v>
      </c>
      <c r="K3">
        <v>0.122493526593164</v>
      </c>
      <c r="L3">
        <v>1517.07835924195</v>
      </c>
      <c r="M3">
        <v>32.154088046847697</v>
      </c>
      <c r="N3">
        <v>47.522702223278699</v>
      </c>
      <c r="O3">
        <v>47.000135729855501</v>
      </c>
      <c r="P3">
        <v>-0.153404171632117</v>
      </c>
      <c r="Q3">
        <v>0.103071282143318</v>
      </c>
      <c r="R3">
        <v>0.99447553256918497</v>
      </c>
      <c r="S3" t="s">
        <v>6649</v>
      </c>
      <c r="T3" t="s">
        <v>13290</v>
      </c>
      <c r="U3" t="s">
        <v>13290</v>
      </c>
      <c r="V3" t="s">
        <v>13290</v>
      </c>
      <c r="W3" t="s">
        <v>13293</v>
      </c>
      <c r="X3">
        <v>29</v>
      </c>
      <c r="Y3" t="s">
        <v>19879</v>
      </c>
      <c r="Z3" t="s">
        <v>26333</v>
      </c>
      <c r="AA3">
        <v>0.32242199002248811</v>
      </c>
      <c r="AB3" t="str">
        <f>HYPERLINK("Melting_Curves/meltCurve_A0MZ66_KIAA1598.pdf", "Melting_Curves/meltCurve_A0MZ66_KIAA1598.pdf")</f>
        <v>Melting_Curves/meltCurve_A0MZ66_KIAA1598.pdf</v>
      </c>
    </row>
    <row r="4" spans="1:28" x14ac:dyDescent="0.25">
      <c r="A4" t="s">
        <v>8</v>
      </c>
      <c r="B4">
        <v>0.99252571173614901</v>
      </c>
      <c r="C4">
        <v>0.893787311341113</v>
      </c>
      <c r="D4">
        <v>0.75114336761087797</v>
      </c>
      <c r="E4">
        <v>0.69561781693859803</v>
      </c>
      <c r="F4">
        <v>0.36936136662659902</v>
      </c>
      <c r="G4">
        <v>0.17580704815202</v>
      </c>
      <c r="H4">
        <v>8.0394436516880802E-2</v>
      </c>
      <c r="I4">
        <v>6.8136423277697006E-2</v>
      </c>
      <c r="J4">
        <v>7.9061094307420296E-2</v>
      </c>
      <c r="K4">
        <v>8.8667296776590299E-2</v>
      </c>
      <c r="L4">
        <v>709.112247120956</v>
      </c>
      <c r="M4">
        <v>13.9202819446189</v>
      </c>
      <c r="N4">
        <v>51.143471676930702</v>
      </c>
      <c r="O4">
        <v>49.924189932994601</v>
      </c>
      <c r="P4">
        <v>-6.7847105924732296E-2</v>
      </c>
      <c r="Q4">
        <v>2.6814676852507199E-2</v>
      </c>
      <c r="R4">
        <v>0.98398961893487802</v>
      </c>
      <c r="S4" t="s">
        <v>6650</v>
      </c>
      <c r="T4" t="s">
        <v>13290</v>
      </c>
      <c r="U4" t="s">
        <v>13290</v>
      </c>
      <c r="V4" t="s">
        <v>13290</v>
      </c>
      <c r="W4" t="s">
        <v>13294</v>
      </c>
      <c r="X4">
        <v>3</v>
      </c>
      <c r="Y4" t="s">
        <v>19880</v>
      </c>
      <c r="Z4" t="s">
        <v>26334</v>
      </c>
      <c r="AA4">
        <v>0.4071699511056045</v>
      </c>
      <c r="AB4" t="str">
        <f>HYPERLINK("Melting_Curves/meltCurve_A0PJW6_TMEM223.pdf", "Melting_Curves/meltCurve_A0PJW6_TMEM223.pdf")</f>
        <v>Melting_Curves/meltCurve_A0PJW6_TMEM223.pdf</v>
      </c>
    </row>
    <row r="5" spans="1:28" x14ac:dyDescent="0.25">
      <c r="A5" t="s">
        <v>9</v>
      </c>
      <c r="B5">
        <v>0.99252571173614901</v>
      </c>
      <c r="C5">
        <v>0.92126658394526995</v>
      </c>
      <c r="D5">
        <v>0.79025495436373405</v>
      </c>
      <c r="E5">
        <v>0.76191731125301199</v>
      </c>
      <c r="F5">
        <v>0.42939693970758602</v>
      </c>
      <c r="G5">
        <v>0.19747607830365399</v>
      </c>
      <c r="H5">
        <v>0.20271771474004999</v>
      </c>
      <c r="I5">
        <v>0.218194371120113</v>
      </c>
      <c r="J5">
        <v>0.34173582116680501</v>
      </c>
      <c r="K5">
        <v>0.35481162660647803</v>
      </c>
      <c r="L5">
        <v>1037.5991138852</v>
      </c>
      <c r="M5">
        <v>20.7031848391361</v>
      </c>
      <c r="N5">
        <v>51.877471131897401</v>
      </c>
      <c r="O5">
        <v>49.657285208933303</v>
      </c>
      <c r="P5">
        <v>-7.7939455850887102E-2</v>
      </c>
      <c r="Q5">
        <v>0.25225960421455901</v>
      </c>
      <c r="R5">
        <v>0.93031342973258002</v>
      </c>
      <c r="S5" t="s">
        <v>6651</v>
      </c>
      <c r="T5" t="s">
        <v>13290</v>
      </c>
      <c r="U5" t="s">
        <v>13290</v>
      </c>
      <c r="V5" t="s">
        <v>13290</v>
      </c>
      <c r="W5" t="s">
        <v>13295</v>
      </c>
      <c r="X5">
        <v>2</v>
      </c>
      <c r="Y5" t="s">
        <v>19881</v>
      </c>
      <c r="Z5" t="s">
        <v>26335</v>
      </c>
      <c r="AA5">
        <v>0.51417129868134881</v>
      </c>
      <c r="AB5" t="str">
        <f>HYPERLINK("Melting_Curves/meltCurve_A1A5A9_KIAA0999.pdf", "Melting_Curves/meltCurve_A1A5A9_KIAA0999.pdf")</f>
        <v>Melting_Curves/meltCurve_A1A5A9_KIAA0999.pdf</v>
      </c>
    </row>
    <row r="6" spans="1:28" x14ac:dyDescent="0.25">
      <c r="A6" t="s">
        <v>10</v>
      </c>
      <c r="B6">
        <v>0.99252571173614901</v>
      </c>
      <c r="C6">
        <v>0.95871631552880798</v>
      </c>
      <c r="D6">
        <v>0.87728708881886197</v>
      </c>
      <c r="E6">
        <v>0.86396795480668098</v>
      </c>
      <c r="F6">
        <v>0.67228816425650495</v>
      </c>
      <c r="G6">
        <v>0.46997808640981997</v>
      </c>
      <c r="H6">
        <v>0.353657047605416</v>
      </c>
      <c r="I6">
        <v>0.40405515992687802</v>
      </c>
      <c r="J6">
        <v>0.63104131680960096</v>
      </c>
      <c r="K6">
        <v>0.45757257029319698</v>
      </c>
      <c r="L6">
        <v>1203.2515182899001</v>
      </c>
      <c r="M6">
        <v>23.320094897263498</v>
      </c>
      <c r="N6">
        <v>57.427467133489003</v>
      </c>
      <c r="O6">
        <v>51.222272523341204</v>
      </c>
      <c r="P6">
        <v>-6.22431194662426E-2</v>
      </c>
      <c r="Q6">
        <v>0.45314501957753001</v>
      </c>
      <c r="R6">
        <v>0.88503857991855395</v>
      </c>
      <c r="S6" t="s">
        <v>6652</v>
      </c>
      <c r="T6" t="s">
        <v>13290</v>
      </c>
      <c r="U6" t="s">
        <v>13290</v>
      </c>
      <c r="V6" t="s">
        <v>13290</v>
      </c>
      <c r="W6" t="s">
        <v>13296</v>
      </c>
      <c r="X6">
        <v>4</v>
      </c>
      <c r="Y6" t="s">
        <v>19882</v>
      </c>
      <c r="Z6" t="s">
        <v>26336</v>
      </c>
      <c r="AA6">
        <v>0.67023010648493797</v>
      </c>
      <c r="AB6" t="str">
        <f>HYPERLINK("Melting_Curves/meltCurve_A1BQX2_MARVELD2.pdf", "Melting_Curves/meltCurve_A1BQX2_MARVELD2.pdf")</f>
        <v>Melting_Curves/meltCurve_A1BQX2_MARVELD2.pdf</v>
      </c>
    </row>
    <row r="7" spans="1:28" x14ac:dyDescent="0.25">
      <c r="A7" t="s">
        <v>11</v>
      </c>
      <c r="B7">
        <v>0.99252571173614901</v>
      </c>
      <c r="C7">
        <v>0.93084771465349303</v>
      </c>
      <c r="D7">
        <v>0.98041393401867405</v>
      </c>
      <c r="E7">
        <v>0.83553477341360305</v>
      </c>
      <c r="F7">
        <v>0.24830623063881899</v>
      </c>
      <c r="G7">
        <v>0.15280143459508599</v>
      </c>
      <c r="H7">
        <v>9.0959714881193796E-2</v>
      </c>
      <c r="I7">
        <v>9.3483729324818896E-2</v>
      </c>
      <c r="J7">
        <v>0.10927288855573</v>
      </c>
      <c r="K7">
        <v>8.4832893188991301E-2</v>
      </c>
      <c r="L7">
        <v>2226.9018835561501</v>
      </c>
      <c r="M7">
        <v>43.435323012820803</v>
      </c>
      <c r="N7">
        <v>51.540746956236902</v>
      </c>
      <c r="O7">
        <v>51.161059391207999</v>
      </c>
      <c r="P7">
        <v>-0.19055290049787901</v>
      </c>
      <c r="Q7">
        <v>0.10221702768956401</v>
      </c>
      <c r="R7">
        <v>0.99555077607707199</v>
      </c>
      <c r="S7" t="s">
        <v>6653</v>
      </c>
      <c r="T7" t="s">
        <v>13290</v>
      </c>
      <c r="U7" t="s">
        <v>13290</v>
      </c>
      <c r="V7" t="s">
        <v>13290</v>
      </c>
      <c r="W7" t="s">
        <v>13297</v>
      </c>
      <c r="X7">
        <v>14</v>
      </c>
      <c r="Y7" t="s">
        <v>19883</v>
      </c>
      <c r="Z7" t="s">
        <v>26337</v>
      </c>
      <c r="AA7">
        <v>0.44216034544587002</v>
      </c>
      <c r="AB7" t="str">
        <f>HYPERLINK("Melting_Curves/meltCurve_A1L0T0_ILVBL.pdf", "Melting_Curves/meltCurve_A1L0T0_ILVBL.pdf")</f>
        <v>Melting_Curves/meltCurve_A1L0T0_ILVBL.pdf</v>
      </c>
    </row>
    <row r="8" spans="1:28" x14ac:dyDescent="0.25">
      <c r="A8" t="s">
        <v>12</v>
      </c>
      <c r="B8">
        <v>0.99252571173614901</v>
      </c>
      <c r="C8">
        <v>1.09057144587364</v>
      </c>
      <c r="D8">
        <v>1.0499121608413999</v>
      </c>
      <c r="E8">
        <v>0.94027701281889997</v>
      </c>
      <c r="F8">
        <v>0.82838875269865697</v>
      </c>
      <c r="G8">
        <v>0.67685408365743005</v>
      </c>
      <c r="H8">
        <v>0.62359649555866503</v>
      </c>
      <c r="I8">
        <v>0.74048817835538905</v>
      </c>
      <c r="J8">
        <v>0.87941964038647802</v>
      </c>
      <c r="K8">
        <v>0.84299115776466504</v>
      </c>
      <c r="L8">
        <v>2162.3003051297101</v>
      </c>
      <c r="M8">
        <v>42.028346539483103</v>
      </c>
      <c r="O8">
        <v>51.332550962515398</v>
      </c>
      <c r="P8">
        <v>-5.0081592711796602E-2</v>
      </c>
      <c r="Q8">
        <v>0.75532595174888395</v>
      </c>
      <c r="R8">
        <v>0.72746395070291103</v>
      </c>
      <c r="S8" t="s">
        <v>6654</v>
      </c>
      <c r="T8" t="s">
        <v>13290</v>
      </c>
      <c r="U8" t="s">
        <v>13290</v>
      </c>
      <c r="V8" t="s">
        <v>13290</v>
      </c>
      <c r="W8" t="s">
        <v>13298</v>
      </c>
      <c r="X8">
        <v>1</v>
      </c>
      <c r="Y8" t="s">
        <v>19884</v>
      </c>
      <c r="Z8" t="s">
        <v>26338</v>
      </c>
      <c r="AA8">
        <v>0.84948608194813735</v>
      </c>
      <c r="AB8" t="str">
        <f>HYPERLINK("Melting_Curves/meltCurve_A1L188_C17orf89.pdf", "Melting_Curves/meltCurve_A1L188_C17orf89.pdf")</f>
        <v>Melting_Curves/meltCurve_A1L188_C17orf89.pdf</v>
      </c>
    </row>
    <row r="9" spans="1:28" x14ac:dyDescent="0.25">
      <c r="A9" t="s">
        <v>13</v>
      </c>
      <c r="B9">
        <v>0.99252571173614901</v>
      </c>
      <c r="C9">
        <v>0.96747029921245398</v>
      </c>
      <c r="D9">
        <v>0.57668144437503899</v>
      </c>
      <c r="E9">
        <v>0.21069349015202499</v>
      </c>
      <c r="F9">
        <v>0.12885107920588601</v>
      </c>
      <c r="G9">
        <v>8.1835130653593199E-2</v>
      </c>
      <c r="H9">
        <v>6.3233878887313494E-2</v>
      </c>
      <c r="I9">
        <v>5.5417612351059499E-2</v>
      </c>
      <c r="J9">
        <v>6.6114620683528594E-2</v>
      </c>
      <c r="K9">
        <v>5.9903041484086997E-2</v>
      </c>
      <c r="L9">
        <v>1364.70361607667</v>
      </c>
      <c r="M9">
        <v>29.389398641047201</v>
      </c>
      <c r="N9">
        <v>46.683279416579801</v>
      </c>
      <c r="O9">
        <v>46.221836118857802</v>
      </c>
      <c r="P9">
        <v>-0.147468794173956</v>
      </c>
      <c r="Q9">
        <v>7.2287210237632404E-2</v>
      </c>
      <c r="R9">
        <v>0.99658381993276601</v>
      </c>
      <c r="S9" t="s">
        <v>6655</v>
      </c>
      <c r="T9" t="s">
        <v>13290</v>
      </c>
      <c r="U9" t="s">
        <v>13290</v>
      </c>
      <c r="V9" t="s">
        <v>13290</v>
      </c>
      <c r="W9" t="s">
        <v>13299</v>
      </c>
      <c r="X9">
        <v>4</v>
      </c>
      <c r="Y9" t="s">
        <v>19885</v>
      </c>
      <c r="Z9" t="s">
        <v>26339</v>
      </c>
      <c r="AA9">
        <v>0.27714472331988899</v>
      </c>
      <c r="AB9" t="str">
        <f>HYPERLINK("Melting_Curves/meltCurve_A1X283_SH3PXD2B.pdf", "Melting_Curves/meltCurve_A1X283_SH3PXD2B.pdf")</f>
        <v>Melting_Curves/meltCurve_A1X283_SH3PXD2B.pdf</v>
      </c>
    </row>
    <row r="10" spans="1:28" x14ac:dyDescent="0.25">
      <c r="A10" t="s">
        <v>14</v>
      </c>
      <c r="B10">
        <v>0.99252571173614901</v>
      </c>
      <c r="C10">
        <v>1.03538806013124</v>
      </c>
      <c r="D10">
        <v>0.81698589387642995</v>
      </c>
      <c r="E10">
        <v>0.73489441044481796</v>
      </c>
      <c r="F10">
        <v>0.152773964331678</v>
      </c>
      <c r="G10">
        <v>9.1465839036735705E-2</v>
      </c>
      <c r="H10">
        <v>6.3595403348379403E-2</v>
      </c>
      <c r="I10">
        <v>6.44315610971294E-2</v>
      </c>
      <c r="J10">
        <v>7.1866350394804102E-2</v>
      </c>
      <c r="K10">
        <v>6.93845401408376E-2</v>
      </c>
      <c r="L10">
        <v>1903.6745694910901</v>
      </c>
      <c r="M10">
        <v>37.633952831395398</v>
      </c>
      <c r="N10">
        <v>50.767727587561403</v>
      </c>
      <c r="O10">
        <v>50.4417734868846</v>
      </c>
      <c r="P10">
        <v>-0.174643844041835</v>
      </c>
      <c r="Q10">
        <v>6.3683585081797098E-2</v>
      </c>
      <c r="R10">
        <v>0.98140404980898899</v>
      </c>
      <c r="S10" t="s">
        <v>6656</v>
      </c>
      <c r="T10" t="s">
        <v>13290</v>
      </c>
      <c r="U10" t="s">
        <v>13290</v>
      </c>
      <c r="V10" t="s">
        <v>13290</v>
      </c>
      <c r="W10" t="s">
        <v>13300</v>
      </c>
      <c r="X10">
        <v>47</v>
      </c>
      <c r="Y10" t="s">
        <v>19886</v>
      </c>
      <c r="Z10" t="s">
        <v>26340</v>
      </c>
      <c r="AA10">
        <v>0.39771736920228717</v>
      </c>
      <c r="AB10" t="str">
        <f>HYPERLINK("Melting_Curves/meltCurve_A2A274_ACO2.pdf", "Melting_Curves/meltCurve_A2A274_ACO2.pdf")</f>
        <v>Melting_Curves/meltCurve_A2A274_ACO2.pdf</v>
      </c>
    </row>
    <row r="11" spans="1:28" x14ac:dyDescent="0.25">
      <c r="A11" t="s">
        <v>15</v>
      </c>
      <c r="B11">
        <v>0.99252571173614901</v>
      </c>
      <c r="C11">
        <v>0.81776937377227898</v>
      </c>
      <c r="D11">
        <v>1.03389851342419</v>
      </c>
      <c r="E11">
        <v>0.64137407965920101</v>
      </c>
      <c r="F11">
        <v>0.224100633863384</v>
      </c>
      <c r="G11">
        <v>0.157230222783558</v>
      </c>
      <c r="H11">
        <v>9.4790259298945995E-2</v>
      </c>
      <c r="I11">
        <v>6.6389385892463501E-2</v>
      </c>
      <c r="J11">
        <v>0.14288417371753001</v>
      </c>
      <c r="K11">
        <v>0.17565634032222599</v>
      </c>
      <c r="L11">
        <v>1945.0026943963501</v>
      </c>
      <c r="M11">
        <v>38.798244567733001</v>
      </c>
      <c r="N11">
        <v>50.5127827268091</v>
      </c>
      <c r="O11">
        <v>49.998581468888297</v>
      </c>
      <c r="P11">
        <v>-0.16935563670621401</v>
      </c>
      <c r="Q11">
        <v>0.12702016777070799</v>
      </c>
      <c r="R11">
        <v>0.96781863303358895</v>
      </c>
      <c r="S11" t="s">
        <v>6657</v>
      </c>
      <c r="T11" t="s">
        <v>13290</v>
      </c>
      <c r="U11" t="s">
        <v>13290</v>
      </c>
      <c r="V11" t="s">
        <v>13290</v>
      </c>
      <c r="W11" t="s">
        <v>13301</v>
      </c>
      <c r="X11">
        <v>2</v>
      </c>
      <c r="Y11" t="s">
        <v>19887</v>
      </c>
      <c r="Z11" t="s">
        <v>26341</v>
      </c>
      <c r="AA11">
        <v>0.42504940939884001</v>
      </c>
      <c r="AB11" t="str">
        <f>HYPERLINK("Melting_Curves/meltCurve_A2A2F0_RALGAPB.pdf", "Melting_Curves/meltCurve_A2A2F0_RALGAPB.pdf")</f>
        <v>Melting_Curves/meltCurve_A2A2F0_RALGAPB.pdf</v>
      </c>
    </row>
    <row r="12" spans="1:28" x14ac:dyDescent="0.25">
      <c r="A12" t="s">
        <v>16</v>
      </c>
      <c r="B12">
        <v>0.99252571173614901</v>
      </c>
      <c r="C12">
        <v>0.67275276686060304</v>
      </c>
      <c r="D12">
        <v>0.67965358051144598</v>
      </c>
      <c r="E12">
        <v>0.57814500320967899</v>
      </c>
      <c r="F12">
        <v>0.31287717135745902</v>
      </c>
      <c r="G12">
        <v>0.17115946375340699</v>
      </c>
      <c r="H12">
        <v>7.6820154054343906E-2</v>
      </c>
      <c r="I12">
        <v>7.9147983184125095E-2</v>
      </c>
      <c r="J12">
        <v>5.3287655095822999E-2</v>
      </c>
      <c r="K12">
        <v>6.17153275073433E-2</v>
      </c>
      <c r="L12">
        <v>502.93400695484303</v>
      </c>
      <c r="M12">
        <v>10.222934030976599</v>
      </c>
      <c r="N12">
        <v>49.196665008967003</v>
      </c>
      <c r="O12">
        <v>47.425596773903003</v>
      </c>
      <c r="P12">
        <v>-5.3913417531308697E-2</v>
      </c>
      <c r="Q12">
        <v>0</v>
      </c>
      <c r="R12">
        <v>0.96023020217599997</v>
      </c>
      <c r="S12" t="s">
        <v>6658</v>
      </c>
      <c r="T12" t="s">
        <v>13290</v>
      </c>
      <c r="U12" t="s">
        <v>13290</v>
      </c>
      <c r="V12" t="s">
        <v>13290</v>
      </c>
      <c r="W12" t="s">
        <v>13302</v>
      </c>
      <c r="X12">
        <v>2</v>
      </c>
      <c r="Y12" t="s">
        <v>19888</v>
      </c>
      <c r="Z12" t="s">
        <v>26342</v>
      </c>
      <c r="AA12">
        <v>0.35321784697428238</v>
      </c>
      <c r="AB12" t="str">
        <f>HYPERLINK("Melting_Curves/meltCurve_A2A2Q9_AAR2.pdf", "Melting_Curves/meltCurve_A2A2Q9_AAR2.pdf")</f>
        <v>Melting_Curves/meltCurve_A2A2Q9_AAR2.pdf</v>
      </c>
    </row>
    <row r="13" spans="1:28" x14ac:dyDescent="0.25">
      <c r="A13" t="s">
        <v>17</v>
      </c>
      <c r="B13">
        <v>0.99252571173614901</v>
      </c>
      <c r="C13">
        <v>0.980778704091405</v>
      </c>
      <c r="D13">
        <v>0.87991842915876795</v>
      </c>
      <c r="E13">
        <v>0.79892168021976795</v>
      </c>
      <c r="F13">
        <v>0.69785259148938705</v>
      </c>
      <c r="G13">
        <v>0.64427017156718003</v>
      </c>
      <c r="H13">
        <v>0.45664834113553998</v>
      </c>
      <c r="I13">
        <v>0.41203510848973202</v>
      </c>
      <c r="J13">
        <v>0.48054723216408601</v>
      </c>
      <c r="K13">
        <v>0.42492283257242902</v>
      </c>
      <c r="L13">
        <v>577.98150370789403</v>
      </c>
      <c r="M13">
        <v>10.821401153486701</v>
      </c>
      <c r="N13">
        <v>61.137425023000503</v>
      </c>
      <c r="O13">
        <v>51.684066333320899</v>
      </c>
      <c r="P13">
        <v>-3.2850320273114103E-2</v>
      </c>
      <c r="Q13">
        <v>0.37264029604374399</v>
      </c>
      <c r="R13">
        <v>0.97534390157751605</v>
      </c>
      <c r="S13" t="s">
        <v>6659</v>
      </c>
      <c r="T13" t="s">
        <v>13290</v>
      </c>
      <c r="U13" t="s">
        <v>13290</v>
      </c>
      <c r="V13" t="s">
        <v>13290</v>
      </c>
      <c r="W13" t="s">
        <v>13303</v>
      </c>
      <c r="X13">
        <v>2</v>
      </c>
      <c r="Y13" t="s">
        <v>19889</v>
      </c>
      <c r="Z13" t="s">
        <v>26343</v>
      </c>
      <c r="AA13">
        <v>0.67219756871717184</v>
      </c>
      <c r="AB13" t="str">
        <f>HYPERLINK("Melting_Curves/meltCurve_A2A2V1_PRNP.pdf", "Melting_Curves/meltCurve_A2A2V1_PRNP.pdf")</f>
        <v>Melting_Curves/meltCurve_A2A2V1_PRNP.pdf</v>
      </c>
    </row>
    <row r="14" spans="1:28" x14ac:dyDescent="0.25">
      <c r="A14" t="s">
        <v>18</v>
      </c>
      <c r="B14">
        <v>0.99252571173614901</v>
      </c>
      <c r="C14">
        <v>0.99454375427137298</v>
      </c>
      <c r="D14">
        <v>0.88419495751329202</v>
      </c>
      <c r="E14">
        <v>0.75053203188120499</v>
      </c>
      <c r="F14">
        <v>0.47039457596379503</v>
      </c>
      <c r="G14">
        <v>0.37414263104603201</v>
      </c>
      <c r="H14">
        <v>0.360015038023075</v>
      </c>
      <c r="I14">
        <v>0.49052201434364101</v>
      </c>
      <c r="J14">
        <v>0.68029731721473696</v>
      </c>
      <c r="K14">
        <v>0.76483965689661904</v>
      </c>
      <c r="L14">
        <v>1656.52767154203</v>
      </c>
      <c r="M14">
        <v>33.937332636053803</v>
      </c>
      <c r="O14">
        <v>48.642825879681297</v>
      </c>
      <c r="P14">
        <v>-8.31471174934999E-2</v>
      </c>
      <c r="Q14">
        <v>0.52329850299810199</v>
      </c>
      <c r="R14">
        <v>0.71975021434369701</v>
      </c>
      <c r="S14" t="s">
        <v>6660</v>
      </c>
      <c r="T14" t="s">
        <v>13290</v>
      </c>
      <c r="U14" t="s">
        <v>13290</v>
      </c>
      <c r="V14" t="s">
        <v>13290</v>
      </c>
      <c r="W14" t="s">
        <v>13304</v>
      </c>
      <c r="X14">
        <v>2</v>
      </c>
      <c r="Y14" t="s">
        <v>19890</v>
      </c>
      <c r="Z14" t="s">
        <v>26344</v>
      </c>
      <c r="AA14">
        <v>0.66556094280436351</v>
      </c>
      <c r="AB14" t="str">
        <f>HYPERLINK("Melting_Curves/meltCurve_A2A2V4_VEGFA.pdf", "Melting_Curves/meltCurve_A2A2V4_VEGFA.pdf")</f>
        <v>Melting_Curves/meltCurve_A2A2V4_VEGFA.pdf</v>
      </c>
    </row>
    <row r="15" spans="1:28" x14ac:dyDescent="0.25">
      <c r="A15" t="s">
        <v>19</v>
      </c>
      <c r="B15">
        <v>0.99252571173614901</v>
      </c>
      <c r="C15">
        <v>1.32697879044376</v>
      </c>
      <c r="D15">
        <v>1.0304155482097499</v>
      </c>
      <c r="E15">
        <v>1.02478483441209</v>
      </c>
      <c r="F15">
        <v>1.1694165134633501</v>
      </c>
      <c r="G15">
        <v>1.272402212309</v>
      </c>
      <c r="H15">
        <v>1.0505487135471401</v>
      </c>
      <c r="I15">
        <v>1.25200610561787</v>
      </c>
      <c r="J15">
        <v>0.35861347543474997</v>
      </c>
      <c r="K15">
        <v>0.14266586460884501</v>
      </c>
      <c r="L15">
        <v>15000</v>
      </c>
      <c r="M15">
        <v>224.63472338702499</v>
      </c>
      <c r="N15">
        <v>66.875022887555502</v>
      </c>
      <c r="O15">
        <v>66.769770859683007</v>
      </c>
      <c r="P15">
        <v>-0.72114612645361098</v>
      </c>
      <c r="Q15">
        <v>0.142594384915813</v>
      </c>
      <c r="R15">
        <v>0.80311440611319496</v>
      </c>
      <c r="S15" t="s">
        <v>6661</v>
      </c>
      <c r="T15" t="s">
        <v>13290</v>
      </c>
      <c r="U15" t="s">
        <v>13290</v>
      </c>
      <c r="V15" t="s">
        <v>13290</v>
      </c>
      <c r="W15" t="s">
        <v>13305</v>
      </c>
      <c r="X15">
        <v>3</v>
      </c>
      <c r="Y15" t="s">
        <v>19891</v>
      </c>
      <c r="Z15" t="s">
        <v>26345</v>
      </c>
      <c r="AA15">
        <v>0.90795513232884895</v>
      </c>
      <c r="AB15" t="str">
        <f>HYPERLINK("Melting_Curves/meltCurve_A2A2Y4_5_FRMD3.pdf", "Melting_Curves/meltCurve_A2A2Y4_5_FRMD3.pdf")</f>
        <v>Melting_Curves/meltCurve_A2A2Y4_5_FRMD3.pdf</v>
      </c>
    </row>
    <row r="16" spans="1:28" x14ac:dyDescent="0.25">
      <c r="A16" t="s">
        <v>20</v>
      </c>
      <c r="B16">
        <v>0.99252571173614901</v>
      </c>
      <c r="C16">
        <v>0.88484008974282902</v>
      </c>
      <c r="D16">
        <v>0.86613545959435501</v>
      </c>
      <c r="E16">
        <v>0.886520626924305</v>
      </c>
      <c r="F16">
        <v>0.32956010970425598</v>
      </c>
      <c r="G16">
        <v>0.20546991234715001</v>
      </c>
      <c r="H16">
        <v>0.10873714055146801</v>
      </c>
      <c r="I16">
        <v>0.10588168981708899</v>
      </c>
      <c r="J16">
        <v>0.196776044955946</v>
      </c>
      <c r="K16">
        <v>0.152100169171038</v>
      </c>
      <c r="L16">
        <v>2135.58796424922</v>
      </c>
      <c r="M16">
        <v>41.357360099992398</v>
      </c>
      <c r="N16">
        <v>52.0783551240241</v>
      </c>
      <c r="O16">
        <v>51.517144072919102</v>
      </c>
      <c r="P16">
        <v>-0.17105260101229799</v>
      </c>
      <c r="Q16">
        <v>0.14770909170129301</v>
      </c>
      <c r="R16">
        <v>0.97114787585695195</v>
      </c>
      <c r="S16" t="s">
        <v>6662</v>
      </c>
      <c r="T16" t="s">
        <v>13290</v>
      </c>
      <c r="U16" t="s">
        <v>13290</v>
      </c>
      <c r="V16" t="s">
        <v>13290</v>
      </c>
      <c r="W16" t="s">
        <v>13306</v>
      </c>
      <c r="X16">
        <v>12</v>
      </c>
      <c r="Y16" t="s">
        <v>19892</v>
      </c>
      <c r="Z16" t="s">
        <v>26346</v>
      </c>
      <c r="AA16">
        <v>0.48116871765871622</v>
      </c>
      <c r="AB16" t="str">
        <f>HYPERLINK("Melting_Curves/meltCurve_A2AEA2_HLA_C.pdf", "Melting_Curves/meltCurve_A2AEA2_HLA_C.pdf")</f>
        <v>Melting_Curves/meltCurve_A2AEA2_HLA_C.pdf</v>
      </c>
    </row>
    <row r="17" spans="1:28" x14ac:dyDescent="0.25">
      <c r="A17" t="s">
        <v>21</v>
      </c>
      <c r="B17">
        <v>0.99252571173614901</v>
      </c>
      <c r="C17">
        <v>1.2094459182874</v>
      </c>
      <c r="D17">
        <v>0.97755923332330097</v>
      </c>
      <c r="E17">
        <v>0.87631754381537796</v>
      </c>
      <c r="F17">
        <v>0.83824707019211298</v>
      </c>
      <c r="G17">
        <v>0.67618760969508995</v>
      </c>
      <c r="H17">
        <v>0.67608321131417204</v>
      </c>
      <c r="I17">
        <v>0.44680321028970699</v>
      </c>
      <c r="J17">
        <v>0.37302673400781</v>
      </c>
      <c r="K17">
        <v>0.34379657031167499</v>
      </c>
      <c r="L17">
        <v>621.96265329607502</v>
      </c>
      <c r="M17">
        <v>10.2018193001234</v>
      </c>
      <c r="N17">
        <v>63.276706523391603</v>
      </c>
      <c r="O17">
        <v>58.762573484293398</v>
      </c>
      <c r="P17">
        <v>-3.6669289907019197E-2</v>
      </c>
      <c r="Q17">
        <v>0.155518713463768</v>
      </c>
      <c r="R17">
        <v>0.91508105563485798</v>
      </c>
      <c r="S17" t="s">
        <v>6663</v>
      </c>
      <c r="T17" t="s">
        <v>13290</v>
      </c>
      <c r="U17" t="s">
        <v>13290</v>
      </c>
      <c r="V17" t="s">
        <v>13290</v>
      </c>
      <c r="W17" t="s">
        <v>13307</v>
      </c>
      <c r="X17">
        <v>1</v>
      </c>
      <c r="Y17" t="s">
        <v>19893</v>
      </c>
      <c r="Z17" t="s">
        <v>26347</v>
      </c>
      <c r="AA17">
        <v>0.73653451485001808</v>
      </c>
      <c r="AB17" t="str">
        <f>HYPERLINK("Melting_Curves/meltCurve_A2BF36_HLA_DQB1.pdf", "Melting_Curves/meltCurve_A2BF36_HLA_DQB1.pdf")</f>
        <v>Melting_Curves/meltCurve_A2BF36_HLA_DQB1.pdf</v>
      </c>
    </row>
    <row r="18" spans="1:28" x14ac:dyDescent="0.25">
      <c r="A18" t="s">
        <v>22</v>
      </c>
      <c r="B18">
        <v>0.99252571173614901</v>
      </c>
      <c r="C18">
        <v>0.65217828841800995</v>
      </c>
      <c r="D18">
        <v>0.46067962453285899</v>
      </c>
      <c r="E18">
        <v>0.27804478083280398</v>
      </c>
      <c r="F18">
        <v>0.12883597801462901</v>
      </c>
      <c r="G18">
        <v>8.3896268788230796E-2</v>
      </c>
      <c r="H18">
        <v>6.0654766923206802E-2</v>
      </c>
      <c r="I18">
        <v>8.9143550877870001E-2</v>
      </c>
      <c r="J18">
        <v>0.128642888913926</v>
      </c>
      <c r="K18">
        <v>0.141259755831081</v>
      </c>
      <c r="L18">
        <v>807.53271591463204</v>
      </c>
      <c r="M18">
        <v>18.014123419340699</v>
      </c>
      <c r="N18">
        <v>45.372134488530001</v>
      </c>
      <c r="O18">
        <v>44.286283395571701</v>
      </c>
      <c r="P18">
        <v>-9.1812414083737803E-2</v>
      </c>
      <c r="Q18">
        <v>9.7190465457150294E-2</v>
      </c>
      <c r="R18">
        <v>0.97621100982634301</v>
      </c>
      <c r="S18" t="s">
        <v>6664</v>
      </c>
      <c r="T18" t="s">
        <v>13290</v>
      </c>
      <c r="U18" t="s">
        <v>13290</v>
      </c>
      <c r="V18" t="s">
        <v>13290</v>
      </c>
      <c r="W18" t="s">
        <v>13308</v>
      </c>
      <c r="X18">
        <v>3</v>
      </c>
      <c r="Y18" t="s">
        <v>19894</v>
      </c>
      <c r="Z18" t="s">
        <v>26348</v>
      </c>
      <c r="AA18">
        <v>0.26230422694903532</v>
      </c>
      <c r="AB18" t="str">
        <f>HYPERLINK("Melting_Curves/meltCurve_A2RRP1_NBAS.pdf", "Melting_Curves/meltCurve_A2RRP1_NBAS.pdf")</f>
        <v>Melting_Curves/meltCurve_A2RRP1_NBAS.pdf</v>
      </c>
    </row>
    <row r="19" spans="1:28" x14ac:dyDescent="0.25">
      <c r="A19" t="s">
        <v>23</v>
      </c>
      <c r="B19">
        <v>0.99252571173614901</v>
      </c>
      <c r="C19">
        <v>1.0057406847702299</v>
      </c>
      <c r="D19">
        <v>0.91774785935969905</v>
      </c>
      <c r="E19">
        <v>0.95486829190543099</v>
      </c>
      <c r="F19">
        <v>0.74708458112030895</v>
      </c>
      <c r="G19">
        <v>0.61012991317488097</v>
      </c>
      <c r="H19">
        <v>0.51766464685598701</v>
      </c>
      <c r="I19">
        <v>0.74400337583232201</v>
      </c>
      <c r="J19">
        <v>1.14052444589486</v>
      </c>
      <c r="K19">
        <v>0.80114718611131497</v>
      </c>
      <c r="L19">
        <v>12472.528315146899</v>
      </c>
      <c r="M19">
        <v>250</v>
      </c>
      <c r="O19">
        <v>49.8869208906832</v>
      </c>
      <c r="P19">
        <v>-0.30056431291414698</v>
      </c>
      <c r="Q19">
        <v>0.760092351947808</v>
      </c>
      <c r="R19">
        <v>0.301324469479541</v>
      </c>
      <c r="S19" t="s">
        <v>6665</v>
      </c>
      <c r="T19" t="s">
        <v>13290</v>
      </c>
      <c r="U19" t="s">
        <v>13290</v>
      </c>
      <c r="V19" t="s">
        <v>13290</v>
      </c>
      <c r="W19" t="s">
        <v>13309</v>
      </c>
      <c r="X19">
        <v>5</v>
      </c>
      <c r="Y19" t="s">
        <v>19895</v>
      </c>
      <c r="Z19" t="s">
        <v>26349</v>
      </c>
      <c r="AA19">
        <v>0.83920381776840658</v>
      </c>
      <c r="AB19" t="str">
        <f>HYPERLINK("Melting_Curves/meltCurve_A2RU67_KIAA1467.pdf", "Melting_Curves/meltCurve_A2RU67_KIAA1467.pdf")</f>
        <v>Melting_Curves/meltCurve_A2RU67_KIAA1467.pdf</v>
      </c>
    </row>
    <row r="20" spans="1:28" x14ac:dyDescent="0.25">
      <c r="A20" t="s">
        <v>24</v>
      </c>
      <c r="B20">
        <v>0.99252571173614901</v>
      </c>
      <c r="C20">
        <v>1.0842111123327201</v>
      </c>
      <c r="D20">
        <v>0.99245477228961998</v>
      </c>
      <c r="E20">
        <v>0.95989749877612296</v>
      </c>
      <c r="F20">
        <v>0.62580460422861695</v>
      </c>
      <c r="G20">
        <v>0.33174919292303101</v>
      </c>
      <c r="H20">
        <v>0.19169717793781299</v>
      </c>
      <c r="I20">
        <v>0.185666290666682</v>
      </c>
      <c r="J20">
        <v>0.20994519946856099</v>
      </c>
      <c r="K20">
        <v>0.23260498161790599</v>
      </c>
      <c r="L20">
        <v>1738.63580306723</v>
      </c>
      <c r="M20">
        <v>32.495956191289302</v>
      </c>
      <c r="N20">
        <v>54.378971425585398</v>
      </c>
      <c r="O20">
        <v>53.301755101747602</v>
      </c>
      <c r="P20">
        <v>-0.121362167280415</v>
      </c>
      <c r="Q20">
        <v>0.20374277640473201</v>
      </c>
      <c r="R20">
        <v>0.99246771233536701</v>
      </c>
      <c r="S20" t="s">
        <v>6666</v>
      </c>
      <c r="T20" t="s">
        <v>13290</v>
      </c>
      <c r="U20" t="s">
        <v>13290</v>
      </c>
      <c r="V20" t="s">
        <v>13290</v>
      </c>
      <c r="W20" t="s">
        <v>13310</v>
      </c>
      <c r="X20">
        <v>8</v>
      </c>
      <c r="Y20" t="s">
        <v>19896</v>
      </c>
      <c r="Z20" t="s">
        <v>26350</v>
      </c>
      <c r="AA20">
        <v>0.56658766290875384</v>
      </c>
      <c r="AB20" t="str">
        <f>HYPERLINK("Melting_Curves/meltCurve_A2RUC4_TYW5.pdf", "Melting_Curves/meltCurve_A2RUC4_TYW5.pdf")</f>
        <v>Melting_Curves/meltCurve_A2RUC4_TYW5.pdf</v>
      </c>
    </row>
    <row r="21" spans="1:28" x14ac:dyDescent="0.25">
      <c r="A21" t="s">
        <v>25</v>
      </c>
      <c r="B21">
        <v>0.99252571173614901</v>
      </c>
      <c r="C21">
        <v>0.93416703067804296</v>
      </c>
      <c r="D21">
        <v>0.86192268030889796</v>
      </c>
      <c r="E21">
        <v>0.73824750659932004</v>
      </c>
      <c r="F21">
        <v>0.184228120548181</v>
      </c>
      <c r="G21">
        <v>8.2294017704676106E-2</v>
      </c>
      <c r="H21">
        <v>5.9859859545662801E-2</v>
      </c>
      <c r="I21">
        <v>5.9999255647060303E-2</v>
      </c>
      <c r="J21">
        <v>7.0384170111432498E-2</v>
      </c>
      <c r="K21">
        <v>6.6629119637199599E-2</v>
      </c>
      <c r="L21">
        <v>1793.95738127916</v>
      </c>
      <c r="M21">
        <v>35.372794878596601</v>
      </c>
      <c r="N21">
        <v>50.898944308474299</v>
      </c>
      <c r="O21">
        <v>50.5544655019456</v>
      </c>
      <c r="P21">
        <v>-0.16446993038334701</v>
      </c>
      <c r="Q21">
        <v>5.9767665453386902E-2</v>
      </c>
      <c r="R21">
        <v>0.987876949940102</v>
      </c>
      <c r="S21" t="s">
        <v>6667</v>
      </c>
      <c r="T21" t="s">
        <v>13290</v>
      </c>
      <c r="U21" t="s">
        <v>13290</v>
      </c>
      <c r="V21" t="s">
        <v>13290</v>
      </c>
      <c r="W21" t="s">
        <v>13311</v>
      </c>
      <c r="X21">
        <v>26</v>
      </c>
      <c r="Y21" t="s">
        <v>19897</v>
      </c>
      <c r="Z21" t="s">
        <v>26351</v>
      </c>
      <c r="AA21">
        <v>0.39983361116532512</v>
      </c>
      <c r="AB21" t="str">
        <f>HYPERLINK("Melting_Curves/meltCurve_A3KN83_2_SBNO1.pdf", "Melting_Curves/meltCurve_A3KN83_2_SBNO1.pdf")</f>
        <v>Melting_Curves/meltCurve_A3KN83_2_SBNO1.pdf</v>
      </c>
    </row>
    <row r="22" spans="1:28" x14ac:dyDescent="0.25">
      <c r="A22" t="s">
        <v>26</v>
      </c>
      <c r="B22">
        <v>0.99252571173614901</v>
      </c>
      <c r="C22">
        <v>0.86777394861073798</v>
      </c>
      <c r="D22">
        <v>0.88603866085198102</v>
      </c>
      <c r="E22">
        <v>0.80753229248826797</v>
      </c>
      <c r="F22">
        <v>0.635729856097345</v>
      </c>
      <c r="G22">
        <v>0.54342636772551001</v>
      </c>
      <c r="H22">
        <v>0.44473610255451002</v>
      </c>
      <c r="I22">
        <v>0.50815685202354</v>
      </c>
      <c r="J22">
        <v>0.57820081847854299</v>
      </c>
      <c r="K22">
        <v>0.25607002649381999</v>
      </c>
      <c r="L22">
        <v>454.57735584287599</v>
      </c>
      <c r="M22">
        <v>8.5174190074861098</v>
      </c>
      <c r="N22">
        <v>60.557539567244298</v>
      </c>
      <c r="O22">
        <v>50.672324147914402</v>
      </c>
      <c r="P22">
        <v>-2.8682494372553501E-2</v>
      </c>
      <c r="Q22">
        <v>0.31805151938152199</v>
      </c>
      <c r="R22">
        <v>0.87658702884504203</v>
      </c>
      <c r="S22" t="s">
        <v>6668</v>
      </c>
      <c r="T22" t="s">
        <v>13290</v>
      </c>
      <c r="U22" t="s">
        <v>13290</v>
      </c>
      <c r="V22" t="s">
        <v>13290</v>
      </c>
      <c r="W22" t="s">
        <v>13312</v>
      </c>
      <c r="X22">
        <v>1</v>
      </c>
      <c r="Y22" t="s">
        <v>19898</v>
      </c>
      <c r="Z22" t="s">
        <v>26352</v>
      </c>
      <c r="AA22">
        <v>0.64711191270408586</v>
      </c>
      <c r="AB22" t="str">
        <f>HYPERLINK("Melting_Curves/meltCurve_A4D126_ISPD.pdf", "Melting_Curves/meltCurve_A4D126_ISPD.pdf")</f>
        <v>Melting_Curves/meltCurve_A4D126_ISPD.pdf</v>
      </c>
    </row>
    <row r="23" spans="1:28" x14ac:dyDescent="0.25">
      <c r="A23" t="s">
        <v>27</v>
      </c>
      <c r="B23">
        <v>0.99252571173614901</v>
      </c>
      <c r="C23">
        <v>1.0616698838188401</v>
      </c>
      <c r="D23">
        <v>0.85537601199990299</v>
      </c>
      <c r="E23">
        <v>0.62730612526719398</v>
      </c>
      <c r="F23">
        <v>0.41111865761357003</v>
      </c>
      <c r="G23">
        <v>0.237082899660152</v>
      </c>
      <c r="H23">
        <v>0.182319237036142</v>
      </c>
      <c r="I23">
        <v>0.156137424186746</v>
      </c>
      <c r="J23">
        <v>0.19847232765486</v>
      </c>
      <c r="K23">
        <v>0.37567140627256601</v>
      </c>
      <c r="L23">
        <v>1117.9770601805101</v>
      </c>
      <c r="M23">
        <v>22.446117504185199</v>
      </c>
      <c r="N23">
        <v>51.147406197498597</v>
      </c>
      <c r="O23">
        <v>49.4168707464381</v>
      </c>
      <c r="P23">
        <v>-8.8310076220564998E-2</v>
      </c>
      <c r="Q23">
        <v>0.22233007305277999</v>
      </c>
      <c r="R23">
        <v>0.96134292077565597</v>
      </c>
      <c r="S23" t="s">
        <v>6669</v>
      </c>
      <c r="T23" t="s">
        <v>13290</v>
      </c>
      <c r="U23" t="s">
        <v>13290</v>
      </c>
      <c r="V23" t="s">
        <v>13290</v>
      </c>
      <c r="W23" t="s">
        <v>13313</v>
      </c>
      <c r="X23">
        <v>4</v>
      </c>
      <c r="Y23" t="s">
        <v>19899</v>
      </c>
      <c r="Z23" t="s">
        <v>26353</v>
      </c>
      <c r="AA23">
        <v>0.48517077667374192</v>
      </c>
      <c r="AB23" t="str">
        <f>HYPERLINK("Melting_Curves/meltCurve_A4D161_2_FAM221A.pdf", "Melting_Curves/meltCurve_A4D161_2_FAM221A.pdf")</f>
        <v>Melting_Curves/meltCurve_A4D161_2_FAM221A.pdf</v>
      </c>
    </row>
    <row r="24" spans="1:28" x14ac:dyDescent="0.25">
      <c r="A24" t="s">
        <v>28</v>
      </c>
      <c r="B24">
        <v>0.99252571173614901</v>
      </c>
      <c r="C24">
        <v>0.99297592093018905</v>
      </c>
      <c r="D24">
        <v>0.69089240658026596</v>
      </c>
      <c r="E24">
        <v>0.20627061752654299</v>
      </c>
      <c r="F24">
        <v>8.4538404583857502E-2</v>
      </c>
      <c r="G24">
        <v>4.9033045059810001E-2</v>
      </c>
      <c r="H24">
        <v>3.5408798647837497E-2</v>
      </c>
      <c r="I24">
        <v>2.86496952794793E-2</v>
      </c>
      <c r="J24">
        <v>3.4691411255388702E-2</v>
      </c>
      <c r="K24">
        <v>4.7232915281405601E-2</v>
      </c>
      <c r="L24">
        <v>1508.5755231621399</v>
      </c>
      <c r="M24">
        <v>32.006865355307198</v>
      </c>
      <c r="N24">
        <v>47.261396159096698</v>
      </c>
      <c r="O24">
        <v>46.950028317359198</v>
      </c>
      <c r="P24">
        <v>-0.163327830472763</v>
      </c>
      <c r="Q24">
        <v>4.1679649327874102E-2</v>
      </c>
      <c r="R24">
        <v>0.99880176842559598</v>
      </c>
      <c r="S24" t="s">
        <v>6670</v>
      </c>
      <c r="T24" t="s">
        <v>13290</v>
      </c>
      <c r="U24" t="s">
        <v>13290</v>
      </c>
      <c r="V24" t="s">
        <v>13290</v>
      </c>
      <c r="W24" t="s">
        <v>13314</v>
      </c>
      <c r="X24">
        <v>3</v>
      </c>
      <c r="Y24" t="s">
        <v>19900</v>
      </c>
      <c r="Z24" t="s">
        <v>26354</v>
      </c>
      <c r="AA24">
        <v>0.2745381376423931</v>
      </c>
      <c r="AB24" t="str">
        <f>HYPERLINK("Melting_Curves/meltCurve_A4D1E9_GTPBP10.pdf", "Melting_Curves/meltCurve_A4D1E9_GTPBP10.pdf")</f>
        <v>Melting_Curves/meltCurve_A4D1E9_GTPBP10.pdf</v>
      </c>
    </row>
    <row r="25" spans="1:28" x14ac:dyDescent="0.25">
      <c r="A25" t="s">
        <v>29</v>
      </c>
      <c r="B25">
        <v>0.99252571173614901</v>
      </c>
      <c r="C25">
        <v>1.0089245538624501</v>
      </c>
      <c r="D25">
        <v>0.92825739627318105</v>
      </c>
      <c r="E25">
        <v>0.98648313174346103</v>
      </c>
      <c r="F25">
        <v>0.69540436956313201</v>
      </c>
      <c r="G25">
        <v>0.58681031264057104</v>
      </c>
      <c r="H25">
        <v>0.50768405059020405</v>
      </c>
      <c r="I25">
        <v>0.66408235162639395</v>
      </c>
      <c r="J25">
        <v>0.94779526030229</v>
      </c>
      <c r="K25">
        <v>0.71077359073822999</v>
      </c>
      <c r="L25">
        <v>4712.36921867601</v>
      </c>
      <c r="M25">
        <v>91.883470711316903</v>
      </c>
      <c r="O25">
        <v>51.262086454006599</v>
      </c>
      <c r="P25">
        <v>-0.14180430021138901</v>
      </c>
      <c r="Q25">
        <v>0.68354771411951798</v>
      </c>
      <c r="R25">
        <v>0.63810001450313103</v>
      </c>
      <c r="S25" t="s">
        <v>6671</v>
      </c>
      <c r="T25" t="s">
        <v>13290</v>
      </c>
      <c r="U25" t="s">
        <v>13290</v>
      </c>
      <c r="V25" t="s">
        <v>13290</v>
      </c>
      <c r="W25" t="s">
        <v>13315</v>
      </c>
      <c r="X25">
        <v>8</v>
      </c>
      <c r="Y25" t="s">
        <v>19901</v>
      </c>
      <c r="Z25" t="s">
        <v>26355</v>
      </c>
      <c r="AA25">
        <v>0.80281207148770528</v>
      </c>
      <c r="AB25" t="str">
        <f>HYPERLINK("Melting_Curves/meltCurve_A4D1S0_KLRG2.pdf", "Melting_Curves/meltCurve_A4D1S0_KLRG2.pdf")</f>
        <v>Melting_Curves/meltCurve_A4D1S0_KLRG2.pdf</v>
      </c>
    </row>
    <row r="26" spans="1:28" x14ac:dyDescent="0.25">
      <c r="A26" t="s">
        <v>30</v>
      </c>
      <c r="B26">
        <v>0.99252571173614901</v>
      </c>
      <c r="C26">
        <v>0.924722840169099</v>
      </c>
      <c r="D26">
        <v>0.87865787732520295</v>
      </c>
      <c r="E26">
        <v>0.71013910547009296</v>
      </c>
      <c r="F26">
        <v>0.541570394503466</v>
      </c>
      <c r="G26">
        <v>0.27689681326884502</v>
      </c>
      <c r="H26">
        <v>0.100393385110554</v>
      </c>
      <c r="I26">
        <v>0.10490994042841199</v>
      </c>
      <c r="J26">
        <v>9.5175439504479098E-2</v>
      </c>
      <c r="K26">
        <v>8.0154346226506704E-2</v>
      </c>
      <c r="L26">
        <v>745.69586969082104</v>
      </c>
      <c r="M26">
        <v>14.1251962667084</v>
      </c>
      <c r="N26">
        <v>53.019534126688498</v>
      </c>
      <c r="O26">
        <v>51.767578950724399</v>
      </c>
      <c r="P26">
        <v>-6.6215816042209996E-2</v>
      </c>
      <c r="Q26">
        <v>2.9423913110887899E-2</v>
      </c>
      <c r="R26">
        <v>0.99286878805750201</v>
      </c>
      <c r="S26" t="s">
        <v>6672</v>
      </c>
      <c r="T26" t="s">
        <v>13290</v>
      </c>
      <c r="U26" t="s">
        <v>13290</v>
      </c>
      <c r="V26" t="s">
        <v>13290</v>
      </c>
      <c r="W26" t="s">
        <v>13316</v>
      </c>
      <c r="X26">
        <v>4</v>
      </c>
      <c r="Y26" t="s">
        <v>19902</v>
      </c>
      <c r="Z26" t="s">
        <v>26356</v>
      </c>
      <c r="AA26">
        <v>0.46616894612167542</v>
      </c>
      <c r="AB26" t="str">
        <f>HYPERLINK("Melting_Curves/meltCurve_A4D1U4_LCHN.pdf", "Melting_Curves/meltCurve_A4D1U4_LCHN.pdf")</f>
        <v>Melting_Curves/meltCurve_A4D1U4_LCHN.pdf</v>
      </c>
    </row>
    <row r="27" spans="1:28" x14ac:dyDescent="0.25">
      <c r="A27" t="s">
        <v>31</v>
      </c>
      <c r="B27">
        <v>0.99252571173614901</v>
      </c>
      <c r="C27">
        <v>0.75344679946985404</v>
      </c>
      <c r="D27">
        <v>0.83298615005088905</v>
      </c>
      <c r="E27">
        <v>0.41103358166870102</v>
      </c>
      <c r="F27">
        <v>0.18951746611090101</v>
      </c>
      <c r="G27">
        <v>9.5592762313956706E-2</v>
      </c>
      <c r="H27">
        <v>9.0829982994850303E-2</v>
      </c>
      <c r="I27">
        <v>9.8123830276113003E-2</v>
      </c>
      <c r="J27">
        <v>0.117218180869389</v>
      </c>
      <c r="K27">
        <v>0.111195567779139</v>
      </c>
      <c r="L27">
        <v>907.51582950054103</v>
      </c>
      <c r="M27">
        <v>18.8377090204316</v>
      </c>
      <c r="N27">
        <v>48.647335414563202</v>
      </c>
      <c r="O27">
        <v>47.642418035749799</v>
      </c>
      <c r="P27">
        <v>-9.0599846923230906E-2</v>
      </c>
      <c r="Q27">
        <v>8.3493754855551702E-2</v>
      </c>
      <c r="R27">
        <v>0.96417904999921999</v>
      </c>
      <c r="S27" t="s">
        <v>6673</v>
      </c>
      <c r="T27" t="s">
        <v>13290</v>
      </c>
      <c r="U27" t="s">
        <v>13290</v>
      </c>
      <c r="V27" t="s">
        <v>13290</v>
      </c>
      <c r="W27" t="s">
        <v>13317</v>
      </c>
      <c r="X27">
        <v>8</v>
      </c>
      <c r="Y27" t="s">
        <v>19903</v>
      </c>
      <c r="Z27" t="s">
        <v>26357</v>
      </c>
      <c r="AA27">
        <v>0.347973913680235</v>
      </c>
      <c r="AB27" t="str">
        <f>HYPERLINK("Melting_Curves/meltCurve_A4D212_DKFZP586J0619.pdf", "Melting_Curves/meltCurve_A4D212_DKFZP586J0619.pdf")</f>
        <v>Melting_Curves/meltCurve_A4D212_DKFZP586J0619.pdf</v>
      </c>
    </row>
    <row r="28" spans="1:28" x14ac:dyDescent="0.25">
      <c r="A28" t="s">
        <v>32</v>
      </c>
      <c r="B28">
        <v>0.99252571173614901</v>
      </c>
      <c r="C28">
        <v>1.08245559809884</v>
      </c>
      <c r="D28">
        <v>0.86634165236158001</v>
      </c>
      <c r="E28">
        <v>0.81785374772283903</v>
      </c>
      <c r="F28">
        <v>0.50819124900732704</v>
      </c>
      <c r="G28">
        <v>0.414069747655123</v>
      </c>
      <c r="H28">
        <v>0.38868240709712498</v>
      </c>
      <c r="I28">
        <v>0.54405603141658498</v>
      </c>
      <c r="J28">
        <v>0.73970335376502605</v>
      </c>
      <c r="K28">
        <v>0.87519023223404802</v>
      </c>
      <c r="L28">
        <v>12413.585588112601</v>
      </c>
      <c r="M28">
        <v>250</v>
      </c>
      <c r="O28">
        <v>49.6511747228163</v>
      </c>
      <c r="P28">
        <v>-0.53080892038842498</v>
      </c>
      <c r="Q28">
        <v>0.57831550126250497</v>
      </c>
      <c r="R28">
        <v>0.61509491019741602</v>
      </c>
      <c r="S28" t="s">
        <v>6674</v>
      </c>
      <c r="T28" t="s">
        <v>13290</v>
      </c>
      <c r="U28" t="s">
        <v>13290</v>
      </c>
      <c r="V28" t="s">
        <v>13290</v>
      </c>
      <c r="W28" t="s">
        <v>13318</v>
      </c>
      <c r="X28">
        <v>3</v>
      </c>
      <c r="Y28" t="s">
        <v>19904</v>
      </c>
      <c r="Z28" t="s">
        <v>26358</v>
      </c>
      <c r="AA28">
        <v>0.71405513179638525</v>
      </c>
      <c r="AB28" t="str">
        <f>HYPERLINK("Melting_Curves/meltCurve_A4D2B0_MBLAC1.pdf", "Melting_Curves/meltCurve_A4D2B0_MBLAC1.pdf")</f>
        <v>Melting_Curves/meltCurve_A4D2B0_MBLAC1.pdf</v>
      </c>
    </row>
    <row r="29" spans="1:28" x14ac:dyDescent="0.25">
      <c r="A29" t="s">
        <v>33</v>
      </c>
      <c r="B29">
        <v>0.99252571173614901</v>
      </c>
      <c r="C29">
        <v>0.91559149433776199</v>
      </c>
      <c r="D29">
        <v>0.84034552984182798</v>
      </c>
      <c r="E29">
        <v>0.74446816640390601</v>
      </c>
      <c r="F29">
        <v>0.52188786668030096</v>
      </c>
      <c r="G29">
        <v>0.39564149851043201</v>
      </c>
      <c r="H29">
        <v>0.32157942569653403</v>
      </c>
      <c r="I29">
        <v>0.45760511543001597</v>
      </c>
      <c r="J29">
        <v>0.62414356969191398</v>
      </c>
      <c r="K29">
        <v>0.454695635769093</v>
      </c>
      <c r="L29">
        <v>975.56259871393297</v>
      </c>
      <c r="M29">
        <v>19.996757794603202</v>
      </c>
      <c r="N29">
        <v>54.871609651429701</v>
      </c>
      <c r="O29">
        <v>48.3060176691301</v>
      </c>
      <c r="P29">
        <v>-5.7379501809189402E-2</v>
      </c>
      <c r="Q29">
        <v>0.44557329782286698</v>
      </c>
      <c r="R29">
        <v>0.86989893027376597</v>
      </c>
      <c r="S29" t="s">
        <v>6675</v>
      </c>
      <c r="T29" t="s">
        <v>13290</v>
      </c>
      <c r="U29" t="s">
        <v>13290</v>
      </c>
      <c r="V29" t="s">
        <v>13290</v>
      </c>
      <c r="W29" t="s">
        <v>13319</v>
      </c>
      <c r="X29">
        <v>7</v>
      </c>
      <c r="Y29" t="s">
        <v>19905</v>
      </c>
      <c r="Z29" t="s">
        <v>26359</v>
      </c>
      <c r="AA29">
        <v>0.61573300106614637</v>
      </c>
      <c r="AB29" t="str">
        <f>HYPERLINK("Melting_Curves/meltCurve_A5PLL7_TMEM189.pdf", "Melting_Curves/meltCurve_A5PLL7_TMEM189.pdf")</f>
        <v>Melting_Curves/meltCurve_A5PLL7_TMEM189.pdf</v>
      </c>
    </row>
    <row r="30" spans="1:28" x14ac:dyDescent="0.25">
      <c r="A30" t="s">
        <v>34</v>
      </c>
      <c r="B30">
        <v>0.99252571173614901</v>
      </c>
      <c r="C30">
        <v>0.82115526006166994</v>
      </c>
      <c r="D30">
        <v>1.10779479643516</v>
      </c>
      <c r="E30">
        <v>0.67926467994347495</v>
      </c>
      <c r="F30">
        <v>0.18997321269883199</v>
      </c>
      <c r="G30">
        <v>0.105759678232969</v>
      </c>
      <c r="H30">
        <v>8.2539787641780701E-2</v>
      </c>
      <c r="I30">
        <v>8.8625232808556706E-2</v>
      </c>
      <c r="J30">
        <v>8.9100280484396097E-2</v>
      </c>
      <c r="K30">
        <v>9.2067583025960506E-2</v>
      </c>
      <c r="L30">
        <v>2274.7661315934301</v>
      </c>
      <c r="M30">
        <v>45.188750614179703</v>
      </c>
      <c r="N30">
        <v>50.572175029985601</v>
      </c>
      <c r="O30">
        <v>50.240928100675603</v>
      </c>
      <c r="P30">
        <v>-0.20373203352623401</v>
      </c>
      <c r="Q30">
        <v>9.3962719375904502E-2</v>
      </c>
      <c r="R30">
        <v>0.97077642545459297</v>
      </c>
      <c r="S30" t="s">
        <v>6676</v>
      </c>
      <c r="T30" t="s">
        <v>13290</v>
      </c>
      <c r="U30" t="s">
        <v>13290</v>
      </c>
      <c r="V30" t="s">
        <v>13290</v>
      </c>
      <c r="W30" t="s">
        <v>13320</v>
      </c>
      <c r="X30">
        <v>24</v>
      </c>
      <c r="Y30" t="s">
        <v>19906</v>
      </c>
      <c r="Z30" t="s">
        <v>26360</v>
      </c>
      <c r="AA30">
        <v>0.40868592737018178</v>
      </c>
      <c r="AB30" t="str">
        <f>HYPERLINK("Melting_Curves/meltCurve_A5YKK6_CNOT1.pdf", "Melting_Curves/meltCurve_A5YKK6_CNOT1.pdf")</f>
        <v>Melting_Curves/meltCurve_A5YKK6_CNOT1.pdf</v>
      </c>
    </row>
    <row r="31" spans="1:28" x14ac:dyDescent="0.25">
      <c r="A31" t="s">
        <v>35</v>
      </c>
      <c r="B31">
        <v>0.99252571173614901</v>
      </c>
      <c r="C31">
        <v>1.47899113584149</v>
      </c>
      <c r="D31">
        <v>1.06223252842947</v>
      </c>
      <c r="E31">
        <v>0.82820977142645402</v>
      </c>
      <c r="F31">
        <v>0.528885814992898</v>
      </c>
      <c r="G31">
        <v>0.65924443694270896</v>
      </c>
      <c r="H31">
        <v>0.56062297251541704</v>
      </c>
      <c r="I31">
        <v>0.77556460432440599</v>
      </c>
      <c r="J31">
        <v>1.2527294534200799</v>
      </c>
      <c r="K31">
        <v>1.1440621335933301</v>
      </c>
      <c r="L31">
        <v>12248.039934197501</v>
      </c>
      <c r="M31">
        <v>250</v>
      </c>
      <c r="O31">
        <v>48.9890249102382</v>
      </c>
      <c r="P31">
        <v>-0.229407399539378</v>
      </c>
      <c r="Q31">
        <v>0.82018488451321103</v>
      </c>
      <c r="R31">
        <v>0.19612155354348401</v>
      </c>
      <c r="S31" t="s">
        <v>6677</v>
      </c>
      <c r="T31" t="s">
        <v>13290</v>
      </c>
      <c r="U31" t="s">
        <v>13290</v>
      </c>
      <c r="V31" t="s">
        <v>13290</v>
      </c>
      <c r="W31" t="s">
        <v>13321</v>
      </c>
      <c r="X31">
        <v>5</v>
      </c>
      <c r="Y31" t="s">
        <v>19907</v>
      </c>
      <c r="Z31" t="s">
        <v>26361</v>
      </c>
      <c r="AA31">
        <v>0.87409788648765063</v>
      </c>
      <c r="AB31" t="str">
        <f>HYPERLINK("Melting_Curves/meltCurve_A5YM69_ARHGEF35.pdf", "Melting_Curves/meltCurve_A5YM69_ARHGEF35.pdf")</f>
        <v>Melting_Curves/meltCurve_A5YM69_ARHGEF35.pdf</v>
      </c>
    </row>
    <row r="32" spans="1:28" x14ac:dyDescent="0.25">
      <c r="A32" t="s">
        <v>36</v>
      </c>
      <c r="B32">
        <v>0.99252571173614901</v>
      </c>
      <c r="C32">
        <v>1.0169347069522401</v>
      </c>
      <c r="D32">
        <v>0.96721027510230195</v>
      </c>
      <c r="E32">
        <v>1.0525304392017001</v>
      </c>
      <c r="F32">
        <v>0.77044575973711704</v>
      </c>
      <c r="G32">
        <v>0.60851036955763405</v>
      </c>
      <c r="H32">
        <v>0.59183343588231496</v>
      </c>
      <c r="I32">
        <v>0.72370257785075198</v>
      </c>
      <c r="J32">
        <v>1.1759359973065999</v>
      </c>
      <c r="K32">
        <v>1.32847091994003</v>
      </c>
      <c r="L32">
        <v>15000</v>
      </c>
      <c r="M32">
        <v>223.68913543954901</v>
      </c>
      <c r="O32">
        <v>67.051982526496403</v>
      </c>
      <c r="P32">
        <v>0.273977946588365</v>
      </c>
      <c r="Q32">
        <v>1.32850528372055</v>
      </c>
      <c r="R32">
        <v>0.14888881544340199</v>
      </c>
      <c r="S32" t="s">
        <v>6678</v>
      </c>
      <c r="T32" t="s">
        <v>13290</v>
      </c>
      <c r="U32" t="s">
        <v>13290</v>
      </c>
      <c r="V32" t="s">
        <v>13290</v>
      </c>
      <c r="W32" t="s">
        <v>13322</v>
      </c>
      <c r="X32">
        <v>4</v>
      </c>
      <c r="Y32" t="s">
        <v>19908</v>
      </c>
      <c r="Z32" t="s">
        <v>26362</v>
      </c>
      <c r="AA32">
        <v>1.03217457298175</v>
      </c>
      <c r="AB32" t="str">
        <f>HYPERLINK("Melting_Curves/meltCurve_A6NC98_4_CCDC88B.pdf", "Melting_Curves/meltCurve_A6NC98_4_CCDC88B.pdf")</f>
        <v>Melting_Curves/meltCurve_A6NC98_4_CCDC88B.pdf</v>
      </c>
    </row>
    <row r="33" spans="1:28" x14ac:dyDescent="0.25">
      <c r="A33" t="s">
        <v>37</v>
      </c>
      <c r="B33">
        <v>0.99252571173614901</v>
      </c>
      <c r="C33">
        <v>0.84918668630507399</v>
      </c>
      <c r="D33">
        <v>0.65070586116199802</v>
      </c>
      <c r="E33">
        <v>0.44948360716213998</v>
      </c>
      <c r="F33">
        <v>0.49677012764698403</v>
      </c>
      <c r="G33">
        <v>0.23405020549095301</v>
      </c>
      <c r="H33">
        <v>0.21850463632603401</v>
      </c>
      <c r="I33">
        <v>0.20536641702139699</v>
      </c>
      <c r="J33">
        <v>0.19928307470873299</v>
      </c>
      <c r="K33">
        <v>0.200930458242772</v>
      </c>
      <c r="L33">
        <v>581.50119899613696</v>
      </c>
      <c r="M33">
        <v>12.1347122449219</v>
      </c>
      <c r="N33">
        <v>49.696560802415803</v>
      </c>
      <c r="O33">
        <v>46.674766405461099</v>
      </c>
      <c r="P33">
        <v>-5.3573102978284097E-2</v>
      </c>
      <c r="Q33">
        <v>0.17593928170540099</v>
      </c>
      <c r="R33">
        <v>0.96379632793505898</v>
      </c>
      <c r="S33" t="s">
        <v>6679</v>
      </c>
      <c r="T33" t="s">
        <v>13290</v>
      </c>
      <c r="U33" t="s">
        <v>13290</v>
      </c>
      <c r="V33" t="s">
        <v>13290</v>
      </c>
      <c r="W33" t="s">
        <v>13323</v>
      </c>
      <c r="X33">
        <v>1</v>
      </c>
      <c r="Y33" t="s">
        <v>19909</v>
      </c>
      <c r="Z33" t="s">
        <v>26363</v>
      </c>
      <c r="AA33">
        <v>0.42528563007179571</v>
      </c>
      <c r="AB33" t="str">
        <f>HYPERLINK("Melting_Curves/meltCurve_A6NCS9_SDCCAG8.pdf", "Melting_Curves/meltCurve_A6NCS9_SDCCAG8.pdf")</f>
        <v>Melting_Curves/meltCurve_A6NCS9_SDCCAG8.pdf</v>
      </c>
    </row>
    <row r="34" spans="1:28" x14ac:dyDescent="0.25">
      <c r="A34" t="s">
        <v>38</v>
      </c>
      <c r="B34">
        <v>0.99252571173614901</v>
      </c>
      <c r="C34">
        <v>1.08317087394269</v>
      </c>
      <c r="D34">
        <v>1.0001025209202501</v>
      </c>
      <c r="E34">
        <v>0.95350493626016697</v>
      </c>
      <c r="F34">
        <v>0.91059902650206903</v>
      </c>
      <c r="G34">
        <v>0.77025867755958599</v>
      </c>
      <c r="H34">
        <v>0.67121584519543598</v>
      </c>
      <c r="I34">
        <v>0.48303407605229998</v>
      </c>
      <c r="J34">
        <v>0.16262682580183899</v>
      </c>
      <c r="K34">
        <v>0.144421396817245</v>
      </c>
      <c r="L34">
        <v>1002.27529550472</v>
      </c>
      <c r="M34">
        <v>16.012367105813301</v>
      </c>
      <c r="N34">
        <v>62.593824625846501</v>
      </c>
      <c r="O34">
        <v>61.641940967460698</v>
      </c>
      <c r="P34">
        <v>-6.4946098349139794E-2</v>
      </c>
      <c r="Q34">
        <v>0</v>
      </c>
      <c r="R34">
        <v>0.97206664725333802</v>
      </c>
      <c r="S34" t="s">
        <v>6680</v>
      </c>
      <c r="T34" t="s">
        <v>13290</v>
      </c>
      <c r="U34" t="s">
        <v>13290</v>
      </c>
      <c r="V34" t="s">
        <v>13290</v>
      </c>
      <c r="W34" t="s">
        <v>13324</v>
      </c>
      <c r="X34">
        <v>14</v>
      </c>
      <c r="Y34" t="s">
        <v>19910</v>
      </c>
      <c r="Z34" t="s">
        <v>26364</v>
      </c>
      <c r="AA34">
        <v>0.74882662279312007</v>
      </c>
      <c r="AB34" t="str">
        <f>HYPERLINK("Melting_Curves/meltCurve_A6NDG6_PGP.pdf", "Melting_Curves/meltCurve_A6NDG6_PGP.pdf")</f>
        <v>Melting_Curves/meltCurve_A6NDG6_PGP.pdf</v>
      </c>
    </row>
    <row r="35" spans="1:28" x14ac:dyDescent="0.25">
      <c r="A35" t="s">
        <v>39</v>
      </c>
      <c r="B35">
        <v>0.99252571173614901</v>
      </c>
      <c r="C35">
        <v>0.88508568577423197</v>
      </c>
      <c r="D35">
        <v>0.87303111464148897</v>
      </c>
      <c r="E35">
        <v>0.78654587887761096</v>
      </c>
      <c r="F35">
        <v>0.61538796570731102</v>
      </c>
      <c r="G35">
        <v>0.47511083743230897</v>
      </c>
      <c r="H35">
        <v>0.31237833193529502</v>
      </c>
      <c r="I35">
        <v>0.182135297160051</v>
      </c>
      <c r="J35">
        <v>0.23585886656854099</v>
      </c>
      <c r="K35">
        <v>0.230295858327736</v>
      </c>
      <c r="L35">
        <v>579.677493386165</v>
      </c>
      <c r="M35">
        <v>10.686357234904101</v>
      </c>
      <c r="N35">
        <v>55.602896755590102</v>
      </c>
      <c r="O35">
        <v>52.448572474225401</v>
      </c>
      <c r="P35">
        <v>-4.51027475433535E-2</v>
      </c>
      <c r="Q35">
        <v>0.114877809790629</v>
      </c>
      <c r="R35">
        <v>0.98359440031117895</v>
      </c>
      <c r="S35" t="s">
        <v>6681</v>
      </c>
      <c r="T35" t="s">
        <v>13290</v>
      </c>
      <c r="U35" t="s">
        <v>13290</v>
      </c>
      <c r="V35" t="s">
        <v>13290</v>
      </c>
      <c r="W35" t="s">
        <v>13325</v>
      </c>
      <c r="X35">
        <v>5</v>
      </c>
      <c r="Z35" t="s">
        <v>26365</v>
      </c>
      <c r="AA35">
        <v>0.55987781504295042</v>
      </c>
      <c r="AB35" t="str">
        <f>HYPERLINK("Melting_Curves/meltCurve_A6NDJ8_.pdf", "Melting_Curves/meltCurve_A6NDJ8_.pdf")</f>
        <v>Melting_Curves/meltCurve_A6NDJ8_.pdf</v>
      </c>
    </row>
    <row r="36" spans="1:28" x14ac:dyDescent="0.25">
      <c r="A36" t="s">
        <v>40</v>
      </c>
      <c r="B36">
        <v>0.99252571173614901</v>
      </c>
      <c r="C36">
        <v>1.05533071729691</v>
      </c>
      <c r="D36">
        <v>0.87259195868805095</v>
      </c>
      <c r="E36">
        <v>0.540486178765897</v>
      </c>
      <c r="F36">
        <v>0.36367048644274302</v>
      </c>
      <c r="G36">
        <v>0.216078803808919</v>
      </c>
      <c r="H36">
        <v>0.16753001459947001</v>
      </c>
      <c r="I36">
        <v>0.20163017530459301</v>
      </c>
      <c r="J36">
        <v>0.222634133307127</v>
      </c>
      <c r="K36">
        <v>0.198112831321134</v>
      </c>
      <c r="L36">
        <v>1180.85456247662</v>
      </c>
      <c r="M36">
        <v>23.964947439430802</v>
      </c>
      <c r="N36">
        <v>50.332724574776002</v>
      </c>
      <c r="O36">
        <v>48.934986928866003</v>
      </c>
      <c r="P36">
        <v>-9.8199791064431996E-2</v>
      </c>
      <c r="Q36">
        <v>0.19794039647414599</v>
      </c>
      <c r="R36">
        <v>0.990128134542827</v>
      </c>
      <c r="S36" t="s">
        <v>6682</v>
      </c>
      <c r="T36" t="s">
        <v>13290</v>
      </c>
      <c r="U36" t="s">
        <v>13290</v>
      </c>
      <c r="V36" t="s">
        <v>13290</v>
      </c>
      <c r="W36" t="s">
        <v>13326</v>
      </c>
      <c r="X36">
        <v>2</v>
      </c>
      <c r="Y36" t="s">
        <v>19911</v>
      </c>
      <c r="Z36" t="s">
        <v>26366</v>
      </c>
      <c r="AA36">
        <v>0.45365461720186862</v>
      </c>
      <c r="AB36" t="str">
        <f>HYPERLINK("Melting_Curves/meltCurve_A6NDU8_C5orf51.pdf", "Melting_Curves/meltCurve_A6NDU8_C5orf51.pdf")</f>
        <v>Melting_Curves/meltCurve_A6NDU8_C5orf51.pdf</v>
      </c>
    </row>
    <row r="37" spans="1:28" x14ac:dyDescent="0.25">
      <c r="A37" t="s">
        <v>41</v>
      </c>
      <c r="B37">
        <v>0.99252571173614901</v>
      </c>
      <c r="C37">
        <v>0.98999021364365203</v>
      </c>
      <c r="D37">
        <v>0.97885597640663602</v>
      </c>
      <c r="E37">
        <v>0.88201144684905497</v>
      </c>
      <c r="F37">
        <v>0.68649799853789195</v>
      </c>
      <c r="G37">
        <v>0.37119225473844703</v>
      </c>
      <c r="H37">
        <v>0.223646250000788</v>
      </c>
      <c r="I37">
        <v>0.18679249879193399</v>
      </c>
      <c r="J37">
        <v>0.22926412540277599</v>
      </c>
      <c r="K37">
        <v>0.186676634796869</v>
      </c>
      <c r="L37">
        <v>1271.4099043869001</v>
      </c>
      <c r="M37">
        <v>23.5457741036724</v>
      </c>
      <c r="N37">
        <v>55.0799916227312</v>
      </c>
      <c r="O37">
        <v>53.612403707133701</v>
      </c>
      <c r="P37">
        <v>-8.9458807162461906E-2</v>
      </c>
      <c r="Q37">
        <v>0.18524321133082999</v>
      </c>
      <c r="R37">
        <v>0.99712967537905095</v>
      </c>
      <c r="S37" t="s">
        <v>6683</v>
      </c>
      <c r="T37" t="s">
        <v>13290</v>
      </c>
      <c r="U37" t="s">
        <v>13290</v>
      </c>
      <c r="V37" t="s">
        <v>13290</v>
      </c>
      <c r="W37" t="s">
        <v>13327</v>
      </c>
      <c r="X37">
        <v>7</v>
      </c>
      <c r="Y37" t="s">
        <v>19912</v>
      </c>
      <c r="Z37" t="s">
        <v>26367</v>
      </c>
      <c r="AA37">
        <v>0.57378877466530109</v>
      </c>
      <c r="AB37" t="str">
        <f>HYPERLINK("Melting_Curves/meltCurve_A6NED2_RCCD1.pdf", "Melting_Curves/meltCurve_A6NED2_RCCD1.pdf")</f>
        <v>Melting_Curves/meltCurve_A6NED2_RCCD1.pdf</v>
      </c>
    </row>
    <row r="38" spans="1:28" x14ac:dyDescent="0.25">
      <c r="A38" t="s">
        <v>42</v>
      </c>
      <c r="B38">
        <v>0.99252571173614901</v>
      </c>
      <c r="C38">
        <v>0.95742462838092401</v>
      </c>
      <c r="D38">
        <v>0.91123347323277903</v>
      </c>
      <c r="E38">
        <v>0.85474502943839203</v>
      </c>
      <c r="F38">
        <v>0.55840666058442401</v>
      </c>
      <c r="G38">
        <v>0.26660832475167401</v>
      </c>
      <c r="H38">
        <v>9.5636315506022002E-2</v>
      </c>
      <c r="I38">
        <v>9.0008900194974706E-2</v>
      </c>
      <c r="J38">
        <v>9.9171576943339598E-2</v>
      </c>
      <c r="K38">
        <v>0.10203152402924801</v>
      </c>
      <c r="L38">
        <v>1156.2493198863999</v>
      </c>
      <c r="M38">
        <v>21.693639197918898</v>
      </c>
      <c r="N38">
        <v>53.694210967639798</v>
      </c>
      <c r="O38">
        <v>52.8522998007765</v>
      </c>
      <c r="P38">
        <v>-9.5044678398990001E-2</v>
      </c>
      <c r="Q38">
        <v>7.3790940040975098E-2</v>
      </c>
      <c r="R38">
        <v>0.99482353142867397</v>
      </c>
      <c r="S38" t="s">
        <v>6684</v>
      </c>
      <c r="T38" t="s">
        <v>13290</v>
      </c>
      <c r="U38" t="s">
        <v>13290</v>
      </c>
      <c r="V38" t="s">
        <v>13290</v>
      </c>
      <c r="W38" t="s">
        <v>13328</v>
      </c>
      <c r="X38">
        <v>41</v>
      </c>
      <c r="Y38" t="s">
        <v>19913</v>
      </c>
      <c r="Z38" t="s">
        <v>26368</v>
      </c>
      <c r="AA38">
        <v>0.4954268420779967</v>
      </c>
      <c r="AB38" t="str">
        <f>HYPERLINK("Melting_Curves/meltCurve_A6NEM2_HCFC1.pdf", "Melting_Curves/meltCurve_A6NEM2_HCFC1.pdf")</f>
        <v>Melting_Curves/meltCurve_A6NEM2_HCFC1.pdf</v>
      </c>
    </row>
    <row r="39" spans="1:28" x14ac:dyDescent="0.25">
      <c r="A39" t="s">
        <v>43</v>
      </c>
      <c r="B39">
        <v>0.99252571173614901</v>
      </c>
      <c r="C39">
        <v>0.89982550106672599</v>
      </c>
      <c r="D39">
        <v>0.90247438231200805</v>
      </c>
      <c r="E39">
        <v>0.84211106104713995</v>
      </c>
      <c r="F39">
        <v>0.55849336357720603</v>
      </c>
      <c r="G39">
        <v>0.32485097899538401</v>
      </c>
      <c r="H39">
        <v>0.19029361733883801</v>
      </c>
      <c r="I39">
        <v>7.3739395104743602E-2</v>
      </c>
      <c r="J39">
        <v>4.13155731217731E-2</v>
      </c>
      <c r="K39">
        <v>2.9240326785249501E-2</v>
      </c>
      <c r="L39">
        <v>805.09747042982804</v>
      </c>
      <c r="M39">
        <v>14.859174826868101</v>
      </c>
      <c r="N39">
        <v>54.181842737356703</v>
      </c>
      <c r="O39">
        <v>53.228909582455799</v>
      </c>
      <c r="P39">
        <v>-6.9796341706164694E-2</v>
      </c>
      <c r="Q39">
        <v>0</v>
      </c>
      <c r="R39">
        <v>0.99243013963287796</v>
      </c>
      <c r="S39" t="s">
        <v>6685</v>
      </c>
      <c r="T39" t="s">
        <v>13290</v>
      </c>
      <c r="U39" t="s">
        <v>13290</v>
      </c>
      <c r="V39" t="s">
        <v>13290</v>
      </c>
      <c r="W39" t="s">
        <v>13329</v>
      </c>
      <c r="X39">
        <v>4</v>
      </c>
      <c r="Y39" t="s">
        <v>19914</v>
      </c>
      <c r="Z39" t="s">
        <v>26369</v>
      </c>
      <c r="AA39">
        <v>0.49327228364791142</v>
      </c>
      <c r="AB39" t="str">
        <f>HYPERLINK("Melting_Curves/meltCurve_A6NEM5_PIGK.pdf", "Melting_Curves/meltCurve_A6NEM5_PIGK.pdf")</f>
        <v>Melting_Curves/meltCurve_A6NEM5_PIGK.pdf</v>
      </c>
    </row>
    <row r="40" spans="1:28" x14ac:dyDescent="0.25">
      <c r="A40" t="s">
        <v>44</v>
      </c>
      <c r="B40">
        <v>0.99252571173614901</v>
      </c>
      <c r="C40">
        <v>0.90925587154132403</v>
      </c>
      <c r="D40">
        <v>0.85620371845013798</v>
      </c>
      <c r="E40">
        <v>0.84507617234150101</v>
      </c>
      <c r="F40">
        <v>0.626179113951568</v>
      </c>
      <c r="G40">
        <v>0.54294521158675502</v>
      </c>
      <c r="H40">
        <v>0.40126137230946002</v>
      </c>
      <c r="I40">
        <v>0.49849671973145099</v>
      </c>
      <c r="J40">
        <v>0.75957565411449601</v>
      </c>
      <c r="K40">
        <v>0.54477366601811905</v>
      </c>
      <c r="L40">
        <v>880.64584216081596</v>
      </c>
      <c r="M40">
        <v>17.833386400572198</v>
      </c>
      <c r="O40">
        <v>48.773478562504799</v>
      </c>
      <c r="P40">
        <v>-4.20014476484451E-2</v>
      </c>
      <c r="Q40">
        <v>0.54053552966082397</v>
      </c>
      <c r="R40">
        <v>0.75908176651302195</v>
      </c>
      <c r="S40" t="s">
        <v>6686</v>
      </c>
      <c r="T40" t="s">
        <v>13290</v>
      </c>
      <c r="U40" t="s">
        <v>13290</v>
      </c>
      <c r="V40" t="s">
        <v>13290</v>
      </c>
      <c r="W40" t="s">
        <v>13330</v>
      </c>
      <c r="X40">
        <v>3</v>
      </c>
      <c r="Y40" t="s">
        <v>19915</v>
      </c>
      <c r="Z40" t="s">
        <v>26370</v>
      </c>
      <c r="AA40">
        <v>0.69227396591742729</v>
      </c>
      <c r="AB40" t="str">
        <f>HYPERLINK("Melting_Curves/meltCurve_A6NEP9_TSPAN14.pdf", "Melting_Curves/meltCurve_A6NEP9_TSPAN14.pdf")</f>
        <v>Melting_Curves/meltCurve_A6NEP9_TSPAN14.pdf</v>
      </c>
    </row>
    <row r="41" spans="1:28" x14ac:dyDescent="0.25">
      <c r="A41" t="s">
        <v>45</v>
      </c>
      <c r="B41">
        <v>0.99252571173614901</v>
      </c>
      <c r="C41">
        <v>1.14341463842568</v>
      </c>
      <c r="D41">
        <v>0.82394728429656505</v>
      </c>
      <c r="E41">
        <v>0.38867421743534097</v>
      </c>
      <c r="F41">
        <v>3.66247368159588</v>
      </c>
      <c r="G41">
        <v>0.19522710613861899</v>
      </c>
      <c r="H41">
        <v>0.16364626599926499</v>
      </c>
      <c r="I41">
        <v>0.117682832090181</v>
      </c>
      <c r="J41">
        <v>0.13458999042539099</v>
      </c>
      <c r="K41">
        <v>6.24223728562288E-2</v>
      </c>
      <c r="L41">
        <v>14065.713343649601</v>
      </c>
      <c r="M41">
        <v>250</v>
      </c>
      <c r="N41">
        <v>56.324412573107502</v>
      </c>
      <c r="O41">
        <v>56.259244851107198</v>
      </c>
      <c r="P41">
        <v>-0.97808233726104099</v>
      </c>
      <c r="Q41">
        <v>0.11958109525013701</v>
      </c>
      <c r="R41">
        <v>0.29930917355280001</v>
      </c>
      <c r="S41" t="s">
        <v>6687</v>
      </c>
      <c r="T41" t="s">
        <v>13290</v>
      </c>
      <c r="U41" t="s">
        <v>13290</v>
      </c>
      <c r="V41" t="s">
        <v>13290</v>
      </c>
      <c r="W41" t="s">
        <v>13331</v>
      </c>
      <c r="X41">
        <v>1</v>
      </c>
      <c r="Y41" t="s">
        <v>19916</v>
      </c>
      <c r="Z41" t="s">
        <v>26371</v>
      </c>
      <c r="AA41">
        <v>0.59693881339887644</v>
      </c>
      <c r="AB41" t="str">
        <f>HYPERLINK("Melting_Curves/meltCurve_A6NFI3_ZNF316.pdf", "Melting_Curves/meltCurve_A6NFI3_ZNF316.pdf")</f>
        <v>Melting_Curves/meltCurve_A6NFI3_ZNF316.pdf</v>
      </c>
    </row>
    <row r="42" spans="1:28" x14ac:dyDescent="0.25">
      <c r="A42" t="s">
        <v>46</v>
      </c>
      <c r="B42">
        <v>0.99252571173614901</v>
      </c>
      <c r="C42">
        <v>0.94098227135231005</v>
      </c>
      <c r="D42">
        <v>1.0270760172223801</v>
      </c>
      <c r="E42">
        <v>0.90319530018060901</v>
      </c>
      <c r="F42">
        <v>0.65160124762161098</v>
      </c>
      <c r="G42">
        <v>0.52662511550778401</v>
      </c>
      <c r="H42">
        <v>0.50266817814658005</v>
      </c>
      <c r="I42">
        <v>0.85029002519362595</v>
      </c>
      <c r="J42">
        <v>1.2152303385621299</v>
      </c>
      <c r="K42">
        <v>1.1986279539037199</v>
      </c>
      <c r="L42">
        <v>13672.0273007331</v>
      </c>
      <c r="M42">
        <v>207.37756032451301</v>
      </c>
      <c r="O42">
        <v>65.922059391351794</v>
      </c>
      <c r="P42">
        <v>0.16436717380270799</v>
      </c>
      <c r="Q42">
        <v>1.20899893972729</v>
      </c>
      <c r="R42">
        <v>-9.8609139677588303E-2</v>
      </c>
      <c r="S42" t="s">
        <v>6688</v>
      </c>
      <c r="T42" t="s">
        <v>13290</v>
      </c>
      <c r="U42" t="s">
        <v>13290</v>
      </c>
      <c r="V42" t="s">
        <v>13290</v>
      </c>
      <c r="W42" t="s">
        <v>13332</v>
      </c>
      <c r="X42">
        <v>5</v>
      </c>
      <c r="Y42" t="s">
        <v>19917</v>
      </c>
      <c r="Z42" t="s">
        <v>26372</v>
      </c>
      <c r="AA42">
        <v>1.0283316631992649</v>
      </c>
      <c r="AB42" t="str">
        <f>HYPERLINK("Melting_Curves/meltCurve_A6NG32_CHMP1A.pdf", "Melting_Curves/meltCurve_A6NG32_CHMP1A.pdf")</f>
        <v>Melting_Curves/meltCurve_A6NG32_CHMP1A.pdf</v>
      </c>
    </row>
    <row r="43" spans="1:28" x14ac:dyDescent="0.25">
      <c r="A43" t="s">
        <v>47</v>
      </c>
      <c r="B43">
        <v>0.99252571173614901</v>
      </c>
      <c r="C43">
        <v>1.0543547182028601</v>
      </c>
      <c r="D43">
        <v>0.947365703338234</v>
      </c>
      <c r="E43">
        <v>0.82881959775695702</v>
      </c>
      <c r="F43">
        <v>0.64036398118523097</v>
      </c>
      <c r="G43">
        <v>0.46075838036518402</v>
      </c>
      <c r="H43">
        <v>0.45756966406995497</v>
      </c>
      <c r="I43">
        <v>0.55140080349614795</v>
      </c>
      <c r="J43">
        <v>0.80500561107019697</v>
      </c>
      <c r="K43">
        <v>0.90650349897407201</v>
      </c>
      <c r="L43">
        <v>2483.9772904135998</v>
      </c>
      <c r="M43">
        <v>50.0180615046702</v>
      </c>
      <c r="O43">
        <v>49.582416484054697</v>
      </c>
      <c r="P43">
        <v>-9.2021501157087196E-2</v>
      </c>
      <c r="Q43">
        <v>0.635120245205541</v>
      </c>
      <c r="R43">
        <v>0.60034598323085298</v>
      </c>
      <c r="S43" t="s">
        <v>6689</v>
      </c>
      <c r="T43" t="s">
        <v>13290</v>
      </c>
      <c r="U43" t="s">
        <v>13290</v>
      </c>
      <c r="V43" t="s">
        <v>13290</v>
      </c>
      <c r="W43" t="s">
        <v>13333</v>
      </c>
      <c r="X43">
        <v>9</v>
      </c>
      <c r="Y43" t="s">
        <v>19918</v>
      </c>
      <c r="Z43" t="s">
        <v>26373</v>
      </c>
      <c r="AA43">
        <v>0.753429820255334</v>
      </c>
      <c r="AB43" t="str">
        <f>HYPERLINK("Melting_Curves/meltCurve_A6NG79_PRCC.pdf", "Melting_Curves/meltCurve_A6NG79_PRCC.pdf")</f>
        <v>Melting_Curves/meltCurve_A6NG79_PRCC.pdf</v>
      </c>
    </row>
    <row r="44" spans="1:28" x14ac:dyDescent="0.25">
      <c r="A44" t="s">
        <v>48</v>
      </c>
      <c r="B44">
        <v>0.99252571173614901</v>
      </c>
      <c r="C44">
        <v>1.07443912686559</v>
      </c>
      <c r="D44">
        <v>0.985288817689562</v>
      </c>
      <c r="E44">
        <v>0.93851808129871395</v>
      </c>
      <c r="F44">
        <v>0.89505610396132296</v>
      </c>
      <c r="G44">
        <v>0.63205229566753696</v>
      </c>
      <c r="H44">
        <v>0.46223982360217802</v>
      </c>
      <c r="I44">
        <v>0.44444463575201498</v>
      </c>
      <c r="J44">
        <v>0.41006421634599799</v>
      </c>
      <c r="K44">
        <v>0.41230174592999003</v>
      </c>
      <c r="L44">
        <v>1513.44280408653</v>
      </c>
      <c r="M44">
        <v>27.112366402291599</v>
      </c>
      <c r="N44">
        <v>59.615556367862503</v>
      </c>
      <c r="O44">
        <v>55.520092291686602</v>
      </c>
      <c r="P44">
        <v>-7.1911350665736395E-2</v>
      </c>
      <c r="Q44">
        <v>0.41097192708624503</v>
      </c>
      <c r="R44">
        <v>0.98799511028911602</v>
      </c>
      <c r="S44" t="s">
        <v>6690</v>
      </c>
      <c r="T44" t="s">
        <v>13290</v>
      </c>
      <c r="U44" t="s">
        <v>13290</v>
      </c>
      <c r="V44" t="s">
        <v>13290</v>
      </c>
      <c r="W44" t="s">
        <v>13334</v>
      </c>
      <c r="X44">
        <v>1</v>
      </c>
      <c r="Y44" t="s">
        <v>19919</v>
      </c>
      <c r="Z44" t="s">
        <v>26374</v>
      </c>
      <c r="AA44">
        <v>0.72632046735247957</v>
      </c>
      <c r="AB44" t="str">
        <f>HYPERLINK("Melting_Curves/meltCurve_A6NGJ0_DYNLT3.pdf", "Melting_Curves/meltCurve_A6NGJ0_DYNLT3.pdf")</f>
        <v>Melting_Curves/meltCurve_A6NGJ0_DYNLT3.pdf</v>
      </c>
    </row>
    <row r="45" spans="1:28" x14ac:dyDescent="0.25">
      <c r="A45" t="s">
        <v>49</v>
      </c>
      <c r="B45">
        <v>0.99252571173614901</v>
      </c>
      <c r="C45">
        <v>0.958090590732532</v>
      </c>
      <c r="D45">
        <v>0.85095169375977797</v>
      </c>
      <c r="E45">
        <v>0.83943920003745298</v>
      </c>
      <c r="F45">
        <v>0.59605545731186005</v>
      </c>
      <c r="G45">
        <v>0.50791981742574699</v>
      </c>
      <c r="H45">
        <v>0.52810805579988496</v>
      </c>
      <c r="I45">
        <v>0.54445512404381102</v>
      </c>
      <c r="J45">
        <v>0.51256153674194105</v>
      </c>
      <c r="K45">
        <v>0.401793019447864</v>
      </c>
      <c r="L45">
        <v>747.32126936040299</v>
      </c>
      <c r="M45">
        <v>14.8121792448776</v>
      </c>
      <c r="N45">
        <v>61.479626558876603</v>
      </c>
      <c r="O45">
        <v>49.560332086305699</v>
      </c>
      <c r="P45">
        <v>-3.9985336413113103E-2</v>
      </c>
      <c r="Q45">
        <v>0.464906222305217</v>
      </c>
      <c r="R45">
        <v>0.94920021269050303</v>
      </c>
      <c r="S45" t="s">
        <v>6691</v>
      </c>
      <c r="T45" t="s">
        <v>13290</v>
      </c>
      <c r="U45" t="s">
        <v>13290</v>
      </c>
      <c r="V45" t="s">
        <v>13290</v>
      </c>
      <c r="W45" t="s">
        <v>13335</v>
      </c>
      <c r="X45">
        <v>9</v>
      </c>
      <c r="Y45" t="s">
        <v>19920</v>
      </c>
      <c r="Z45" t="s">
        <v>26375</v>
      </c>
      <c r="AA45">
        <v>0.66420562233766745</v>
      </c>
      <c r="AB45" t="str">
        <f>HYPERLINK("Melting_Curves/meltCurve_A6NHB5_ZMYM3.pdf", "Melting_Curves/meltCurve_A6NHB5_ZMYM3.pdf")</f>
        <v>Melting_Curves/meltCurve_A6NHB5_ZMYM3.pdf</v>
      </c>
    </row>
    <row r="46" spans="1:28" x14ac:dyDescent="0.25">
      <c r="A46" t="s">
        <v>50</v>
      </c>
      <c r="B46">
        <v>0.99252571173614901</v>
      </c>
      <c r="C46">
        <v>0.97085368296167496</v>
      </c>
      <c r="D46">
        <v>0.83156810927077596</v>
      </c>
      <c r="E46">
        <v>0.712673882895552</v>
      </c>
      <c r="F46">
        <v>0.553131528306672</v>
      </c>
      <c r="G46">
        <v>0.34277853435101502</v>
      </c>
      <c r="H46">
        <v>0.25875127312050999</v>
      </c>
      <c r="I46">
        <v>0.47395387403925898</v>
      </c>
      <c r="J46">
        <v>0.60151107149972705</v>
      </c>
      <c r="K46">
        <v>0.28837540722522398</v>
      </c>
      <c r="L46">
        <v>949.26119900680396</v>
      </c>
      <c r="M46">
        <v>19.241443234840801</v>
      </c>
      <c r="N46">
        <v>53.511922145941597</v>
      </c>
      <c r="O46">
        <v>48.8105861415577</v>
      </c>
      <c r="P46">
        <v>-6.0248875159265899E-2</v>
      </c>
      <c r="Q46">
        <v>0.38867954560919199</v>
      </c>
      <c r="R46">
        <v>0.85500604051982299</v>
      </c>
      <c r="S46" t="s">
        <v>6692</v>
      </c>
      <c r="T46" t="s">
        <v>13290</v>
      </c>
      <c r="U46" t="s">
        <v>13290</v>
      </c>
      <c r="V46" t="s">
        <v>13290</v>
      </c>
      <c r="W46" t="s">
        <v>13336</v>
      </c>
      <c r="X46">
        <v>3</v>
      </c>
      <c r="Y46" t="s">
        <v>19921</v>
      </c>
      <c r="Z46" t="s">
        <v>26376</v>
      </c>
      <c r="AA46">
        <v>0.58811184204822486</v>
      </c>
      <c r="AB46" t="str">
        <f>HYPERLINK("Melting_Curves/meltCurve_A6NHK2_SNRPE.pdf", "Melting_Curves/meltCurve_A6NHK2_SNRPE.pdf")</f>
        <v>Melting_Curves/meltCurve_A6NHK2_SNRPE.pdf</v>
      </c>
    </row>
    <row r="47" spans="1:28" x14ac:dyDescent="0.25">
      <c r="A47" t="s">
        <v>51</v>
      </c>
      <c r="B47">
        <v>0.99252571173614901</v>
      </c>
      <c r="C47">
        <v>0.96272759004219499</v>
      </c>
      <c r="D47">
        <v>1.1964219848223301</v>
      </c>
      <c r="E47">
        <v>3.1731626458647599</v>
      </c>
      <c r="F47">
        <v>1.3780095369590699</v>
      </c>
      <c r="G47">
        <v>1.26440357184858</v>
      </c>
      <c r="H47">
        <v>0.99612304352140502</v>
      </c>
      <c r="I47">
        <v>0.28299630620147798</v>
      </c>
      <c r="J47">
        <v>0.15714219085088299</v>
      </c>
      <c r="K47">
        <v>0.17358966291334299</v>
      </c>
      <c r="L47">
        <v>8894.2897171081295</v>
      </c>
      <c r="M47">
        <v>140.78033135760799</v>
      </c>
      <c r="N47">
        <v>63.359109610004502</v>
      </c>
      <c r="O47">
        <v>63.165750241383002</v>
      </c>
      <c r="P47">
        <v>-0.46510055896313801</v>
      </c>
      <c r="Q47">
        <v>0.16526904046638199</v>
      </c>
      <c r="R47">
        <v>0.27359557144943802</v>
      </c>
      <c r="S47" t="s">
        <v>6693</v>
      </c>
      <c r="T47" t="s">
        <v>13290</v>
      </c>
      <c r="U47" t="s">
        <v>13290</v>
      </c>
      <c r="V47" t="s">
        <v>13290</v>
      </c>
      <c r="W47" t="s">
        <v>13337</v>
      </c>
      <c r="X47">
        <v>8</v>
      </c>
      <c r="Y47" t="s">
        <v>19922</v>
      </c>
      <c r="Z47" t="s">
        <v>26377</v>
      </c>
      <c r="AA47">
        <v>0.81048799268007143</v>
      </c>
      <c r="AB47" t="str">
        <f>HYPERLINK("Melting_Curves/meltCurve_A6NHL2_2_TUBAL3.pdf", "Melting_Curves/meltCurve_A6NHL2_2_TUBAL3.pdf")</f>
        <v>Melting_Curves/meltCurve_A6NHL2_2_TUBAL3.pdf</v>
      </c>
    </row>
    <row r="48" spans="1:28" x14ac:dyDescent="0.25">
      <c r="A48" t="s">
        <v>52</v>
      </c>
      <c r="B48">
        <v>0.99252571173614901</v>
      </c>
      <c r="C48">
        <v>0.80619359562319703</v>
      </c>
      <c r="D48">
        <v>0.47285238745013602</v>
      </c>
      <c r="E48">
        <v>0.21207270599716099</v>
      </c>
      <c r="F48">
        <v>0.12716701813654599</v>
      </c>
      <c r="G48">
        <v>8.0111676371022497E-2</v>
      </c>
      <c r="H48">
        <v>6.6469866977884304E-2</v>
      </c>
      <c r="I48">
        <v>6.1909990778320503E-2</v>
      </c>
      <c r="J48">
        <v>7.4993129913929493E-2</v>
      </c>
      <c r="K48">
        <v>5.7733021348983803E-2</v>
      </c>
      <c r="L48">
        <v>1000.98959354823</v>
      </c>
      <c r="M48">
        <v>21.975249852286002</v>
      </c>
      <c r="N48">
        <v>45.8609616884536</v>
      </c>
      <c r="O48">
        <v>45.178598187283399</v>
      </c>
      <c r="P48">
        <v>-0.113207025510025</v>
      </c>
      <c r="Q48">
        <v>6.9058135697696296E-2</v>
      </c>
      <c r="R48">
        <v>0.997994346339246</v>
      </c>
      <c r="S48" t="s">
        <v>6694</v>
      </c>
      <c r="T48" t="s">
        <v>13290</v>
      </c>
      <c r="U48" t="s">
        <v>13290</v>
      </c>
      <c r="V48" t="s">
        <v>13290</v>
      </c>
      <c r="W48" t="s">
        <v>13338</v>
      </c>
      <c r="X48">
        <v>25</v>
      </c>
      <c r="Y48" t="s">
        <v>19923</v>
      </c>
      <c r="Z48" t="s">
        <v>26378</v>
      </c>
      <c r="AA48">
        <v>0.25327854873109967</v>
      </c>
      <c r="AB48" t="str">
        <f>HYPERLINK("Melting_Curves/meltCurve_A6NHR9_SMCHD1.pdf", "Melting_Curves/meltCurve_A6NHR9_SMCHD1.pdf")</f>
        <v>Melting_Curves/meltCurve_A6NHR9_SMCHD1.pdf</v>
      </c>
    </row>
    <row r="49" spans="1:28" x14ac:dyDescent="0.25">
      <c r="A49" t="s">
        <v>53</v>
      </c>
      <c r="B49">
        <v>0.99252571173614901</v>
      </c>
      <c r="C49">
        <v>1.0428710034405899</v>
      </c>
      <c r="D49">
        <v>0.93731832556367001</v>
      </c>
      <c r="E49">
        <v>0.68549841673436795</v>
      </c>
      <c r="F49">
        <v>0.40028016663257499</v>
      </c>
      <c r="G49">
        <v>0.330756966664562</v>
      </c>
      <c r="H49">
        <v>0.27774473904458602</v>
      </c>
      <c r="I49">
        <v>0.33138183516191799</v>
      </c>
      <c r="J49">
        <v>0.40146077157016902</v>
      </c>
      <c r="K49">
        <v>0.392557176682372</v>
      </c>
      <c r="L49">
        <v>1723.57741024963</v>
      </c>
      <c r="M49">
        <v>34.7133345711513</v>
      </c>
      <c r="N49">
        <v>51.383114382484202</v>
      </c>
      <c r="O49">
        <v>49.487830063542503</v>
      </c>
      <c r="P49">
        <v>-0.114903994828096</v>
      </c>
      <c r="Q49">
        <v>0.34476725544563702</v>
      </c>
      <c r="R49">
        <v>0.98381166782919405</v>
      </c>
      <c r="S49" t="s">
        <v>6695</v>
      </c>
      <c r="T49" t="s">
        <v>13290</v>
      </c>
      <c r="U49" t="s">
        <v>13290</v>
      </c>
      <c r="V49" t="s">
        <v>13290</v>
      </c>
      <c r="W49" t="s">
        <v>13339</v>
      </c>
      <c r="X49">
        <v>11</v>
      </c>
      <c r="Y49" t="s">
        <v>19924</v>
      </c>
      <c r="Z49" t="s">
        <v>26379</v>
      </c>
      <c r="AA49">
        <v>0.55856898583373749</v>
      </c>
      <c r="AB49" t="str">
        <f>HYPERLINK("Melting_Curves/meltCurve_A6NIH7_UNC119B.pdf", "Melting_Curves/meltCurve_A6NIH7_UNC119B.pdf")</f>
        <v>Melting_Curves/meltCurve_A6NIH7_UNC119B.pdf</v>
      </c>
    </row>
    <row r="50" spans="1:28" x14ac:dyDescent="0.25">
      <c r="A50" t="s">
        <v>54</v>
      </c>
      <c r="B50">
        <v>0.99252571173614901</v>
      </c>
      <c r="C50">
        <v>1.04264100218822</v>
      </c>
      <c r="D50">
        <v>1.0019208344950701</v>
      </c>
      <c r="E50">
        <v>0.81792319858928497</v>
      </c>
      <c r="F50">
        <v>0.60982959740553</v>
      </c>
      <c r="G50">
        <v>0.50998283552769996</v>
      </c>
      <c r="H50">
        <v>0.53819464651929405</v>
      </c>
      <c r="I50">
        <v>0.684356955076177</v>
      </c>
      <c r="J50">
        <v>1.12880401409661</v>
      </c>
      <c r="K50">
        <v>1.3127691348375099</v>
      </c>
      <c r="L50">
        <v>15000</v>
      </c>
      <c r="M50">
        <v>223.190004344898</v>
      </c>
      <c r="O50">
        <v>67.201916176045202</v>
      </c>
      <c r="P50">
        <v>0.25972886926774502</v>
      </c>
      <c r="Q50">
        <v>1.3128146778701399</v>
      </c>
      <c r="R50">
        <v>-0.105810369191295</v>
      </c>
      <c r="S50" t="s">
        <v>6696</v>
      </c>
      <c r="T50" t="s">
        <v>13290</v>
      </c>
      <c r="U50" t="s">
        <v>13290</v>
      </c>
      <c r="V50" t="s">
        <v>13290</v>
      </c>
      <c r="W50" t="s">
        <v>13340</v>
      </c>
      <c r="X50">
        <v>4</v>
      </c>
      <c r="Y50" t="s">
        <v>19925</v>
      </c>
      <c r="Z50" t="s">
        <v>26380</v>
      </c>
      <c r="AA50">
        <v>1.0290739774156441</v>
      </c>
      <c r="AB50" t="str">
        <f>HYPERLINK("Melting_Curves/meltCurve_A6NIZ0_NDEL1.pdf", "Melting_Curves/meltCurve_A6NIZ0_NDEL1.pdf")</f>
        <v>Melting_Curves/meltCurve_A6NIZ0_NDEL1.pdf</v>
      </c>
    </row>
    <row r="51" spans="1:28" x14ac:dyDescent="0.25">
      <c r="A51" t="s">
        <v>55</v>
      </c>
      <c r="B51">
        <v>0.99252571173614901</v>
      </c>
      <c r="C51">
        <v>0.95135345163823604</v>
      </c>
      <c r="D51">
        <v>0.60912597569809401</v>
      </c>
      <c r="E51">
        <v>0.28400385105850601</v>
      </c>
      <c r="F51">
        <v>0.17612329370537799</v>
      </c>
      <c r="G51">
        <v>0.11220357881406701</v>
      </c>
      <c r="H51">
        <v>8.3982014508376696E-2</v>
      </c>
      <c r="I51">
        <v>8.3470660663504698E-2</v>
      </c>
      <c r="J51">
        <v>0.10301099778346599</v>
      </c>
      <c r="K51">
        <v>9.6105712337440904E-2</v>
      </c>
      <c r="L51">
        <v>1143.89386714593</v>
      </c>
      <c r="M51">
        <v>24.472850375444001</v>
      </c>
      <c r="N51">
        <v>47.165338689514499</v>
      </c>
      <c r="O51">
        <v>46.432603366256799</v>
      </c>
      <c r="P51">
        <v>-0.118756722885367</v>
      </c>
      <c r="Q51">
        <v>9.8739560027970102E-2</v>
      </c>
      <c r="R51">
        <v>0.99633464651095505</v>
      </c>
      <c r="S51" t="s">
        <v>6697</v>
      </c>
      <c r="T51" t="s">
        <v>13290</v>
      </c>
      <c r="U51" t="s">
        <v>13290</v>
      </c>
      <c r="V51" t="s">
        <v>13290</v>
      </c>
      <c r="W51" t="s">
        <v>13341</v>
      </c>
      <c r="X51">
        <v>10</v>
      </c>
      <c r="Y51" t="s">
        <v>19926</v>
      </c>
      <c r="Z51" t="s">
        <v>26381</v>
      </c>
      <c r="AA51">
        <v>0.30975213060913898</v>
      </c>
      <c r="AB51" t="str">
        <f>HYPERLINK("Melting_Curves/meltCurve_A6NJ78_METTL15.pdf", "Melting_Curves/meltCurve_A6NJ78_METTL15.pdf")</f>
        <v>Melting_Curves/meltCurve_A6NJ78_METTL15.pdf</v>
      </c>
    </row>
    <row r="52" spans="1:28" x14ac:dyDescent="0.25">
      <c r="A52" t="s">
        <v>56</v>
      </c>
      <c r="B52">
        <v>0.99252571173614901</v>
      </c>
      <c r="C52">
        <v>0.91105867237071503</v>
      </c>
      <c r="D52">
        <v>0.62703155447330505</v>
      </c>
      <c r="E52">
        <v>0.22948436488859</v>
      </c>
      <c r="F52">
        <v>0.14044232264252901</v>
      </c>
      <c r="G52">
        <v>7.9920389985909696E-2</v>
      </c>
      <c r="H52">
        <v>5.1390201415213603E-2</v>
      </c>
      <c r="I52">
        <v>4.9959427224535301E-2</v>
      </c>
      <c r="J52">
        <v>6.5565029752971293E-2</v>
      </c>
      <c r="K52">
        <v>5.4720509987437903E-2</v>
      </c>
      <c r="L52">
        <v>1153.4421740560099</v>
      </c>
      <c r="M52">
        <v>24.667026563129902</v>
      </c>
      <c r="N52">
        <v>47.009082531670003</v>
      </c>
      <c r="O52">
        <v>46.456415982749498</v>
      </c>
      <c r="P52">
        <v>-0.12462771912378801</v>
      </c>
      <c r="Q52">
        <v>6.1147553781108997E-2</v>
      </c>
      <c r="R52">
        <v>0.99851028939770503</v>
      </c>
      <c r="S52" t="s">
        <v>6698</v>
      </c>
      <c r="T52" t="s">
        <v>13290</v>
      </c>
      <c r="U52" t="s">
        <v>13290</v>
      </c>
      <c r="V52" t="s">
        <v>13290</v>
      </c>
      <c r="W52" t="s">
        <v>13342</v>
      </c>
      <c r="X52">
        <v>2</v>
      </c>
      <c r="Y52" t="s">
        <v>19927</v>
      </c>
      <c r="Z52" t="s">
        <v>26382</v>
      </c>
      <c r="AA52">
        <v>0.28140140194792518</v>
      </c>
      <c r="AB52" t="str">
        <f>HYPERLINK("Melting_Curves/meltCurve_A6NJ97_C13orf23.pdf", "Melting_Curves/meltCurve_A6NJ97_C13orf23.pdf")</f>
        <v>Melting_Curves/meltCurve_A6NJ97_C13orf23.pdf</v>
      </c>
    </row>
    <row r="53" spans="1:28" x14ac:dyDescent="0.25">
      <c r="A53" t="s">
        <v>57</v>
      </c>
      <c r="B53">
        <v>0.99252571173614901</v>
      </c>
      <c r="C53">
        <v>1.0293712427889601</v>
      </c>
      <c r="D53">
        <v>0.96012246128727197</v>
      </c>
      <c r="E53">
        <v>0.94257729657190104</v>
      </c>
      <c r="F53">
        <v>0.68925266413368602</v>
      </c>
      <c r="G53">
        <v>0.48589717665517201</v>
      </c>
      <c r="H53">
        <v>0.20366944028521999</v>
      </c>
      <c r="I53">
        <v>0.159734912209058</v>
      </c>
      <c r="J53">
        <v>0.16168648661446799</v>
      </c>
      <c r="K53">
        <v>0.14885524269574599</v>
      </c>
      <c r="L53">
        <v>1121.61377999763</v>
      </c>
      <c r="M53">
        <v>20.313096808656699</v>
      </c>
      <c r="N53">
        <v>56.001232318244</v>
      </c>
      <c r="O53">
        <v>54.689505439208503</v>
      </c>
      <c r="P53">
        <v>-8.1355399223817904E-2</v>
      </c>
      <c r="Q53">
        <v>0.123885374176331</v>
      </c>
      <c r="R53">
        <v>0.99454406539933504</v>
      </c>
      <c r="S53" t="s">
        <v>6699</v>
      </c>
      <c r="T53" t="s">
        <v>13290</v>
      </c>
      <c r="U53" t="s">
        <v>13290</v>
      </c>
      <c r="V53" t="s">
        <v>13290</v>
      </c>
      <c r="W53" t="s">
        <v>13343</v>
      </c>
      <c r="X53">
        <v>7</v>
      </c>
      <c r="Y53" t="s">
        <v>19928</v>
      </c>
      <c r="Z53" t="s">
        <v>26383</v>
      </c>
      <c r="AA53">
        <v>0.57959158274130018</v>
      </c>
      <c r="AB53" t="str">
        <f>HYPERLINK("Melting_Curves/meltCurve_A6NK58_LIPT2.pdf", "Melting_Curves/meltCurve_A6NK58_LIPT2.pdf")</f>
        <v>Melting_Curves/meltCurve_A6NK58_LIPT2.pdf</v>
      </c>
    </row>
    <row r="54" spans="1:28" x14ac:dyDescent="0.25">
      <c r="A54" t="s">
        <v>58</v>
      </c>
      <c r="B54">
        <v>0.99252571173614901</v>
      </c>
      <c r="C54">
        <v>1.0098958238773501</v>
      </c>
      <c r="D54">
        <v>0.88487581738850896</v>
      </c>
      <c r="E54">
        <v>0.69701931421060803</v>
      </c>
      <c r="F54">
        <v>0.41914065104168902</v>
      </c>
      <c r="G54">
        <v>0.261404626680385</v>
      </c>
      <c r="H54">
        <v>0.16110174994710699</v>
      </c>
      <c r="I54">
        <v>0.165994018109106</v>
      </c>
      <c r="J54">
        <v>0.20303721277311501</v>
      </c>
      <c r="K54">
        <v>0.19764912582638799</v>
      </c>
      <c r="L54">
        <v>1031.49458352033</v>
      </c>
      <c r="M54">
        <v>20.282556293789099</v>
      </c>
      <c r="N54">
        <v>51.929978162182401</v>
      </c>
      <c r="O54">
        <v>50.369621828774697</v>
      </c>
      <c r="P54">
        <v>-8.3429550041795905E-2</v>
      </c>
      <c r="Q54">
        <v>0.17127111451774299</v>
      </c>
      <c r="R54">
        <v>0.99587191352788096</v>
      </c>
      <c r="S54" t="s">
        <v>6700</v>
      </c>
      <c r="T54" t="s">
        <v>13290</v>
      </c>
      <c r="U54" t="s">
        <v>13290</v>
      </c>
      <c r="V54" t="s">
        <v>13290</v>
      </c>
      <c r="W54" t="s">
        <v>13344</v>
      </c>
      <c r="X54">
        <v>2</v>
      </c>
      <c r="Y54" t="s">
        <v>19929</v>
      </c>
      <c r="Z54" t="s">
        <v>26384</v>
      </c>
      <c r="AA54">
        <v>0.48237460405804949</v>
      </c>
      <c r="AB54" t="str">
        <f>HYPERLINK("Melting_Curves/meltCurve_A6NK88_CDKN1C.pdf", "Melting_Curves/meltCurve_A6NK88_CDKN1C.pdf")</f>
        <v>Melting_Curves/meltCurve_A6NK88_CDKN1C.pdf</v>
      </c>
    </row>
    <row r="55" spans="1:28" x14ac:dyDescent="0.25">
      <c r="A55" t="s">
        <v>59</v>
      </c>
      <c r="B55">
        <v>0.99252571173614901</v>
      </c>
      <c r="C55">
        <v>0.83188394515709696</v>
      </c>
      <c r="D55">
        <v>0.66733632203858495</v>
      </c>
      <c r="E55">
        <v>0.50644050775731697</v>
      </c>
      <c r="F55">
        <v>0.27132513763784999</v>
      </c>
      <c r="G55">
        <v>0.193944768522502</v>
      </c>
      <c r="H55">
        <v>0.17370778099648701</v>
      </c>
      <c r="I55">
        <v>0.252038288525128</v>
      </c>
      <c r="J55">
        <v>0.47977740254639201</v>
      </c>
      <c r="K55">
        <v>0.73985172097272001</v>
      </c>
      <c r="L55">
        <v>1052.4214079835399</v>
      </c>
      <c r="M55">
        <v>23.078344381522001</v>
      </c>
      <c r="N55">
        <v>48.216063282762498</v>
      </c>
      <c r="O55">
        <v>45.263864135387003</v>
      </c>
      <c r="P55">
        <v>-8.1973280586151304E-2</v>
      </c>
      <c r="Q55">
        <v>0.356910722910244</v>
      </c>
      <c r="R55">
        <v>0.66149726555091504</v>
      </c>
      <c r="S55" t="s">
        <v>6701</v>
      </c>
      <c r="T55" t="s">
        <v>13290</v>
      </c>
      <c r="U55" t="s">
        <v>13290</v>
      </c>
      <c r="V55" t="s">
        <v>13290</v>
      </c>
      <c r="W55" t="s">
        <v>13345</v>
      </c>
      <c r="X55">
        <v>3</v>
      </c>
      <c r="Y55" t="s">
        <v>19930</v>
      </c>
      <c r="Z55" t="s">
        <v>26385</v>
      </c>
      <c r="AA55">
        <v>0.48434159240604069</v>
      </c>
      <c r="AB55" t="str">
        <f>HYPERLINK("Melting_Curves/meltCurve_A6NKD9_CCDC85C.pdf", "Melting_Curves/meltCurve_A6NKD9_CCDC85C.pdf")</f>
        <v>Melting_Curves/meltCurve_A6NKD9_CCDC85C.pdf</v>
      </c>
    </row>
    <row r="56" spans="1:28" x14ac:dyDescent="0.25">
      <c r="A56" t="s">
        <v>60</v>
      </c>
      <c r="B56">
        <v>0.99252571173614901</v>
      </c>
      <c r="C56">
        <v>0.91418124944213897</v>
      </c>
      <c r="D56">
        <v>0.87855120196636205</v>
      </c>
      <c r="E56">
        <v>0.69601572868402095</v>
      </c>
      <c r="F56">
        <v>0.44981160216432697</v>
      </c>
      <c r="G56">
        <v>0.23551185913755099</v>
      </c>
      <c r="H56">
        <v>0.13656554243128799</v>
      </c>
      <c r="I56">
        <v>0.12221466244347701</v>
      </c>
      <c r="J56">
        <v>0.11292234879127699</v>
      </c>
      <c r="K56">
        <v>0.109357330184956</v>
      </c>
      <c r="L56">
        <v>813.97382360888696</v>
      </c>
      <c r="M56">
        <v>15.769089197474599</v>
      </c>
      <c r="N56">
        <v>52.195132464306397</v>
      </c>
      <c r="O56">
        <v>50.809581751191601</v>
      </c>
      <c r="P56">
        <v>-7.1390793292733998E-2</v>
      </c>
      <c r="Q56">
        <v>7.9963315988582001E-2</v>
      </c>
      <c r="R56">
        <v>0.996640640067048</v>
      </c>
      <c r="S56" t="s">
        <v>6702</v>
      </c>
      <c r="T56" t="s">
        <v>13290</v>
      </c>
      <c r="U56" t="s">
        <v>13290</v>
      </c>
      <c r="V56" t="s">
        <v>13290</v>
      </c>
      <c r="W56" t="s">
        <v>13346</v>
      </c>
      <c r="X56">
        <v>2</v>
      </c>
      <c r="Y56" t="s">
        <v>19931</v>
      </c>
      <c r="Z56" t="s">
        <v>26386</v>
      </c>
      <c r="AA56">
        <v>0.45550631477094539</v>
      </c>
      <c r="AB56" t="str">
        <f>HYPERLINK("Melting_Curves/meltCurve_A6NKF9_GPR89C.pdf", "Melting_Curves/meltCurve_A6NKF9_GPR89C.pdf")</f>
        <v>Melting_Curves/meltCurve_A6NKF9_GPR89C.pdf</v>
      </c>
    </row>
    <row r="57" spans="1:28" x14ac:dyDescent="0.25">
      <c r="A57" t="s">
        <v>61</v>
      </c>
      <c r="B57">
        <v>0.99252571173614901</v>
      </c>
      <c r="C57">
        <v>0.959586045616735</v>
      </c>
      <c r="D57">
        <v>1.08860959575271</v>
      </c>
      <c r="E57">
        <v>1.1036084265346899</v>
      </c>
      <c r="F57">
        <v>0.95577697829297903</v>
      </c>
      <c r="G57">
        <v>0.59445082369516999</v>
      </c>
      <c r="H57">
        <v>0.41116356941388299</v>
      </c>
      <c r="I57">
        <v>0.23619849955160799</v>
      </c>
      <c r="J57">
        <v>0.23555074371935</v>
      </c>
      <c r="K57">
        <v>0.25372576207467001</v>
      </c>
      <c r="L57">
        <v>1772.44043677235</v>
      </c>
      <c r="M57">
        <v>31.134545717201799</v>
      </c>
      <c r="N57">
        <v>58.204911048229398</v>
      </c>
      <c r="O57">
        <v>56.695112144771997</v>
      </c>
      <c r="P57">
        <v>-0.103324160645487</v>
      </c>
      <c r="Q57">
        <v>0.24740296556066799</v>
      </c>
      <c r="R57">
        <v>0.97477516054867897</v>
      </c>
      <c r="S57" t="s">
        <v>6703</v>
      </c>
      <c r="T57" t="s">
        <v>13290</v>
      </c>
      <c r="U57" t="s">
        <v>13290</v>
      </c>
      <c r="V57" t="s">
        <v>13290</v>
      </c>
      <c r="W57" t="s">
        <v>13347</v>
      </c>
      <c r="X57">
        <v>13</v>
      </c>
      <c r="Y57" t="s">
        <v>19932</v>
      </c>
      <c r="Z57" t="s">
        <v>26387</v>
      </c>
      <c r="AA57">
        <v>0.67677185503971704</v>
      </c>
      <c r="AB57" t="str">
        <f>HYPERLINK("Melting_Curves/meltCurve_A6NMH6_SEPT8.pdf", "Melting_Curves/meltCurve_A6NMH6_SEPT8.pdf")</f>
        <v>Melting_Curves/meltCurve_A6NMH6_SEPT8.pdf</v>
      </c>
    </row>
    <row r="58" spans="1:28" x14ac:dyDescent="0.25">
      <c r="A58" t="s">
        <v>62</v>
      </c>
      <c r="B58">
        <v>0.99252571173614901</v>
      </c>
      <c r="C58">
        <v>0.86949621302268199</v>
      </c>
      <c r="D58">
        <v>0.55577677161599903</v>
      </c>
      <c r="E58">
        <v>0.20882946957909401</v>
      </c>
      <c r="F58">
        <v>0.143084703697757</v>
      </c>
      <c r="G58">
        <v>8.6461842158946201E-2</v>
      </c>
      <c r="H58">
        <v>6.2795459803790699E-2</v>
      </c>
      <c r="I58">
        <v>6.3087239234045606E-2</v>
      </c>
      <c r="J58">
        <v>5.9057107139271599E-2</v>
      </c>
      <c r="K58">
        <v>5.9987080811515797E-2</v>
      </c>
      <c r="L58">
        <v>1086.76178753563</v>
      </c>
      <c r="M58">
        <v>23.526761868967601</v>
      </c>
      <c r="N58">
        <v>46.479019665102399</v>
      </c>
      <c r="O58">
        <v>45.862705646363899</v>
      </c>
      <c r="P58">
        <v>-0.119593260769876</v>
      </c>
      <c r="Q58">
        <v>6.7482506186269803E-2</v>
      </c>
      <c r="R58">
        <v>0.99830660296148499</v>
      </c>
      <c r="S58" t="s">
        <v>6704</v>
      </c>
      <c r="T58" t="s">
        <v>13290</v>
      </c>
      <c r="U58" t="s">
        <v>13290</v>
      </c>
      <c r="V58" t="s">
        <v>13290</v>
      </c>
      <c r="W58" t="s">
        <v>13348</v>
      </c>
      <c r="X58">
        <v>8</v>
      </c>
      <c r="Y58" t="s">
        <v>19933</v>
      </c>
      <c r="Z58" t="s">
        <v>26388</v>
      </c>
      <c r="AA58">
        <v>0.26978228460108222</v>
      </c>
      <c r="AB58" t="str">
        <f>HYPERLINK("Melting_Curves/meltCurve_A6NML8_DIAPH2.pdf", "Melting_Curves/meltCurve_A6NML8_DIAPH2.pdf")</f>
        <v>Melting_Curves/meltCurve_A6NML8_DIAPH2.pdf</v>
      </c>
    </row>
    <row r="59" spans="1:28" x14ac:dyDescent="0.25">
      <c r="A59" t="s">
        <v>63</v>
      </c>
      <c r="B59">
        <v>0.99252571173614901</v>
      </c>
      <c r="C59">
        <v>0.84641176837223497</v>
      </c>
      <c r="D59">
        <v>0.82449195738970704</v>
      </c>
      <c r="E59">
        <v>0.55318777702697597</v>
      </c>
      <c r="F59">
        <v>0.21369432528871801</v>
      </c>
      <c r="G59">
        <v>0.14601546867468199</v>
      </c>
      <c r="H59">
        <v>0.131672776277241</v>
      </c>
      <c r="I59">
        <v>0.16536713981816401</v>
      </c>
      <c r="J59">
        <v>0.10316470261320999</v>
      </c>
      <c r="K59">
        <v>0.106432111463625</v>
      </c>
      <c r="L59">
        <v>943.33874153880402</v>
      </c>
      <c r="M59">
        <v>19.227675161692201</v>
      </c>
      <c r="N59">
        <v>49.679232814677199</v>
      </c>
      <c r="O59">
        <v>48.540066742197602</v>
      </c>
      <c r="P59">
        <v>-8.85039619052813E-2</v>
      </c>
      <c r="Q59">
        <v>0.10632467007948999</v>
      </c>
      <c r="R59">
        <v>0.98376389379703999</v>
      </c>
      <c r="S59" t="s">
        <v>6705</v>
      </c>
      <c r="T59" t="s">
        <v>13290</v>
      </c>
      <c r="U59" t="s">
        <v>13290</v>
      </c>
      <c r="V59" t="s">
        <v>13290</v>
      </c>
      <c r="W59" t="s">
        <v>13349</v>
      </c>
      <c r="X59">
        <v>12</v>
      </c>
      <c r="Y59" t="s">
        <v>19934</v>
      </c>
      <c r="Z59" t="s">
        <v>26389</v>
      </c>
      <c r="AA59">
        <v>0.38980768292633949</v>
      </c>
      <c r="AB59" t="str">
        <f>HYPERLINK("Melting_Curves/meltCurve_A6NMQ1_POLA1.pdf", "Melting_Curves/meltCurve_A6NMQ1_POLA1.pdf")</f>
        <v>Melting_Curves/meltCurve_A6NMQ1_POLA1.pdf</v>
      </c>
    </row>
    <row r="60" spans="1:28" x14ac:dyDescent="0.25">
      <c r="A60" t="s">
        <v>64</v>
      </c>
      <c r="B60">
        <v>0.99252571173614901</v>
      </c>
      <c r="C60">
        <v>0.92077445405564295</v>
      </c>
      <c r="D60">
        <v>0.91115860012180006</v>
      </c>
      <c r="E60">
        <v>0.87377800247133997</v>
      </c>
      <c r="F60">
        <v>0.73170997794617199</v>
      </c>
      <c r="G60">
        <v>0.68280324175642304</v>
      </c>
      <c r="H60">
        <v>0.609464454726661</v>
      </c>
      <c r="I60">
        <v>0.85924772890827705</v>
      </c>
      <c r="J60">
        <v>1.4359546715256</v>
      </c>
      <c r="K60">
        <v>1.1817236365497199</v>
      </c>
      <c r="L60">
        <v>2641.1280342415498</v>
      </c>
      <c r="M60">
        <v>63.631262243510797</v>
      </c>
      <c r="O60">
        <v>41.465830859040103</v>
      </c>
      <c r="P60">
        <v>-3.4254787348032001E-2</v>
      </c>
      <c r="Q60">
        <v>0.91071038448935704</v>
      </c>
      <c r="R60">
        <v>1.1137837270068901E-2</v>
      </c>
      <c r="S60" t="s">
        <v>6706</v>
      </c>
      <c r="T60" t="s">
        <v>13290</v>
      </c>
      <c r="U60" t="s">
        <v>13290</v>
      </c>
      <c r="V60" t="s">
        <v>13290</v>
      </c>
      <c r="W60" t="s">
        <v>13350</v>
      </c>
      <c r="X60">
        <v>7</v>
      </c>
      <c r="Y60" t="s">
        <v>19935</v>
      </c>
      <c r="Z60" t="s">
        <v>26390</v>
      </c>
      <c r="AA60">
        <v>0.91544811157246941</v>
      </c>
      <c r="AB60" t="str">
        <f>HYPERLINK("Melting_Curves/meltCurve_A6NNI4_CD9.pdf", "Melting_Curves/meltCurve_A6NNI4_CD9.pdf")</f>
        <v>Melting_Curves/meltCurve_A6NNI4_CD9.pdf</v>
      </c>
    </row>
    <row r="61" spans="1:28" x14ac:dyDescent="0.25">
      <c r="A61" t="s">
        <v>65</v>
      </c>
      <c r="B61">
        <v>0.99252571173614901</v>
      </c>
      <c r="C61">
        <v>1.0522892072046</v>
      </c>
      <c r="D61">
        <v>0.91202675931218702</v>
      </c>
      <c r="E61">
        <v>0.72599219629606404</v>
      </c>
      <c r="F61">
        <v>0.65971833007200298</v>
      </c>
      <c r="G61">
        <v>0.30384653955006102</v>
      </c>
      <c r="H61">
        <v>0.27108084969020702</v>
      </c>
      <c r="I61">
        <v>0.28391847851438001</v>
      </c>
      <c r="J61">
        <v>0.68158832782600398</v>
      </c>
      <c r="K61">
        <v>0.81482827185609696</v>
      </c>
      <c r="L61">
        <v>1368.4664655733</v>
      </c>
      <c r="M61">
        <v>27.629192308678501</v>
      </c>
      <c r="N61">
        <v>56.826904298385003</v>
      </c>
      <c r="O61">
        <v>49.272443807174596</v>
      </c>
      <c r="P61">
        <v>-7.2111232619973195E-2</v>
      </c>
      <c r="Q61">
        <v>0.485607178439525</v>
      </c>
      <c r="R61">
        <v>0.62616046079362997</v>
      </c>
      <c r="S61" t="s">
        <v>6707</v>
      </c>
      <c r="T61" t="s">
        <v>13290</v>
      </c>
      <c r="U61" t="s">
        <v>13290</v>
      </c>
      <c r="V61" t="s">
        <v>13290</v>
      </c>
      <c r="W61" t="s">
        <v>13351</v>
      </c>
      <c r="X61">
        <v>1</v>
      </c>
      <c r="Y61" t="s">
        <v>19936</v>
      </c>
      <c r="Z61" t="s">
        <v>26391</v>
      </c>
      <c r="AA61">
        <v>0.65274211027056195</v>
      </c>
      <c r="AB61" t="str">
        <f>HYPERLINK("Melting_Curves/meltCurve_A6PVM9_AIF1L.pdf", "Melting_Curves/meltCurve_A6PVM9_AIF1L.pdf")</f>
        <v>Melting_Curves/meltCurve_A6PVM9_AIF1L.pdf</v>
      </c>
    </row>
    <row r="62" spans="1:28" x14ac:dyDescent="0.25">
      <c r="A62" t="s">
        <v>66</v>
      </c>
      <c r="B62">
        <v>0.99252571173614901</v>
      </c>
      <c r="C62">
        <v>0.98268406554718901</v>
      </c>
      <c r="D62">
        <v>0.90173898548251397</v>
      </c>
      <c r="E62">
        <v>0.65736942185767999</v>
      </c>
      <c r="F62">
        <v>0.34017015314272903</v>
      </c>
      <c r="G62">
        <v>0.29284833666986798</v>
      </c>
      <c r="H62">
        <v>0.207744806562708</v>
      </c>
      <c r="I62">
        <v>0.15407727133159899</v>
      </c>
      <c r="J62">
        <v>6.4821240450206694E-2</v>
      </c>
      <c r="K62">
        <v>5.01881499070118E-2</v>
      </c>
      <c r="L62">
        <v>822.232337473641</v>
      </c>
      <c r="M62">
        <v>16.066157821744699</v>
      </c>
      <c r="N62">
        <v>51.786763767005397</v>
      </c>
      <c r="O62">
        <v>50.404718708880502</v>
      </c>
      <c r="P62">
        <v>-7.2833621987330302E-2</v>
      </c>
      <c r="Q62">
        <v>8.6060302774637998E-2</v>
      </c>
      <c r="R62">
        <v>0.98724379366544202</v>
      </c>
      <c r="S62" t="s">
        <v>6708</v>
      </c>
      <c r="T62" t="s">
        <v>13290</v>
      </c>
      <c r="U62" t="s">
        <v>13290</v>
      </c>
      <c r="V62" t="s">
        <v>13290</v>
      </c>
      <c r="W62" t="s">
        <v>13352</v>
      </c>
      <c r="X62">
        <v>2</v>
      </c>
      <c r="Y62" t="s">
        <v>19937</v>
      </c>
      <c r="Z62" t="s">
        <v>26392</v>
      </c>
      <c r="AA62">
        <v>0.44532247521044038</v>
      </c>
      <c r="AB62" t="str">
        <f>HYPERLINK("Melting_Curves/meltCurve_A6PW57_PIP5K1A.pdf", "Melting_Curves/meltCurve_A6PW57_PIP5K1A.pdf")</f>
        <v>Melting_Curves/meltCurve_A6PW57_PIP5K1A.pdf</v>
      </c>
    </row>
    <row r="63" spans="1:28" x14ac:dyDescent="0.25">
      <c r="A63" t="s">
        <v>67</v>
      </c>
      <c r="B63">
        <v>0.99252571173614901</v>
      </c>
      <c r="C63">
        <v>0.93893940270508203</v>
      </c>
      <c r="D63">
        <v>0.82049345292931897</v>
      </c>
      <c r="E63">
        <v>0.66721139303614696</v>
      </c>
      <c r="F63">
        <v>0.47670849248067398</v>
      </c>
      <c r="G63">
        <v>0.21957819909138601</v>
      </c>
      <c r="H63">
        <v>0.16341066193197301</v>
      </c>
      <c r="I63">
        <v>0.135522021869832</v>
      </c>
      <c r="J63">
        <v>0.133623972229656</v>
      </c>
      <c r="K63">
        <v>0.12778963694193099</v>
      </c>
      <c r="L63">
        <v>734.56516723217896</v>
      </c>
      <c r="M63">
        <v>14.3199855646393</v>
      </c>
      <c r="N63">
        <v>52.017076798429599</v>
      </c>
      <c r="O63">
        <v>50.327266588453703</v>
      </c>
      <c r="P63">
        <v>-6.4742484531921995E-2</v>
      </c>
      <c r="Q63">
        <v>8.9966429112135399E-2</v>
      </c>
      <c r="R63">
        <v>0.99396679247754205</v>
      </c>
      <c r="S63" t="s">
        <v>6709</v>
      </c>
      <c r="T63" t="s">
        <v>13290</v>
      </c>
      <c r="U63" t="s">
        <v>13290</v>
      </c>
      <c r="V63" t="s">
        <v>13290</v>
      </c>
      <c r="W63" t="s">
        <v>13353</v>
      </c>
      <c r="X63">
        <v>3</v>
      </c>
      <c r="Y63" t="s">
        <v>19938</v>
      </c>
      <c r="Z63" t="s">
        <v>26393</v>
      </c>
      <c r="AA63">
        <v>0.45506782416782099</v>
      </c>
      <c r="AB63" t="str">
        <f>HYPERLINK("Melting_Curves/meltCurve_A7KAX9_ARHGAP32.pdf", "Melting_Curves/meltCurve_A7KAX9_ARHGAP32.pdf")</f>
        <v>Melting_Curves/meltCurve_A7KAX9_ARHGAP32.pdf</v>
      </c>
    </row>
    <row r="64" spans="1:28" x14ac:dyDescent="0.25">
      <c r="A64" t="s">
        <v>68</v>
      </c>
      <c r="B64">
        <v>0.99252571173614901</v>
      </c>
      <c r="C64">
        <v>1.04380434994365</v>
      </c>
      <c r="D64">
        <v>0.92354283063820497</v>
      </c>
      <c r="E64">
        <v>0.89984534340953304</v>
      </c>
      <c r="F64">
        <v>0.57980681004582901</v>
      </c>
      <c r="G64">
        <v>0.41011160972278499</v>
      </c>
      <c r="H64">
        <v>0.270099653508866</v>
      </c>
      <c r="I64">
        <v>0.271392486853404</v>
      </c>
      <c r="J64">
        <v>0.28046350928882702</v>
      </c>
      <c r="K64">
        <v>0.28679566564117098</v>
      </c>
      <c r="L64">
        <v>1278.1136710513499</v>
      </c>
      <c r="M64">
        <v>24.215134195749201</v>
      </c>
      <c r="N64">
        <v>54.532739516471302</v>
      </c>
      <c r="O64">
        <v>52.425566675301702</v>
      </c>
      <c r="P64">
        <v>-8.4269097766690601E-2</v>
      </c>
      <c r="Q64">
        <v>0.27024317058946601</v>
      </c>
      <c r="R64">
        <v>0.99143453612501398</v>
      </c>
      <c r="S64" t="s">
        <v>6710</v>
      </c>
      <c r="T64" t="s">
        <v>13290</v>
      </c>
      <c r="U64" t="s">
        <v>13290</v>
      </c>
      <c r="V64" t="s">
        <v>13290</v>
      </c>
      <c r="W64" t="s">
        <v>13354</v>
      </c>
      <c r="X64">
        <v>7</v>
      </c>
      <c r="Y64" t="s">
        <v>19939</v>
      </c>
      <c r="Z64" t="s">
        <v>26394</v>
      </c>
      <c r="AA64">
        <v>0.58828120795183958</v>
      </c>
      <c r="AB64" t="str">
        <f>HYPERLINK("Melting_Curves/meltCurve_A7XYQ1_SOBP.pdf", "Melting_Curves/meltCurve_A7XYQ1_SOBP.pdf")</f>
        <v>Melting_Curves/meltCurve_A7XYQ1_SOBP.pdf</v>
      </c>
    </row>
    <row r="65" spans="1:28" x14ac:dyDescent="0.25">
      <c r="A65" t="s">
        <v>69</v>
      </c>
      <c r="B65">
        <v>0.99252571173614901</v>
      </c>
      <c r="C65">
        <v>1.0877456844425799</v>
      </c>
      <c r="D65">
        <v>0.88138402884057598</v>
      </c>
      <c r="E65">
        <v>0.65770517193051603</v>
      </c>
      <c r="F65">
        <v>0.56909676061381698</v>
      </c>
      <c r="G65">
        <v>0.22557126401011701</v>
      </c>
      <c r="H65">
        <v>0.13535265728795201</v>
      </c>
      <c r="I65">
        <v>0.134785074915766</v>
      </c>
      <c r="J65">
        <v>0.110298642062459</v>
      </c>
      <c r="K65">
        <v>9.7461817052174798E-2</v>
      </c>
      <c r="L65">
        <v>841.26162012022803</v>
      </c>
      <c r="M65">
        <v>16.091236272676699</v>
      </c>
      <c r="N65">
        <v>52.812872470865997</v>
      </c>
      <c r="O65">
        <v>51.493280077094603</v>
      </c>
      <c r="P65">
        <v>-7.2282082104637102E-2</v>
      </c>
      <c r="Q65">
        <v>7.4836519394856305E-2</v>
      </c>
      <c r="R65">
        <v>0.97791816566702605</v>
      </c>
      <c r="S65" t="s">
        <v>6711</v>
      </c>
      <c r="T65" t="s">
        <v>13290</v>
      </c>
      <c r="U65" t="s">
        <v>13290</v>
      </c>
      <c r="V65" t="s">
        <v>13290</v>
      </c>
      <c r="W65" t="s">
        <v>13355</v>
      </c>
      <c r="X65">
        <v>1</v>
      </c>
      <c r="Y65" t="s">
        <v>19940</v>
      </c>
      <c r="Z65" t="s">
        <v>26395</v>
      </c>
      <c r="AA65">
        <v>0.47195198585882148</v>
      </c>
      <c r="AB65" t="str">
        <f>HYPERLINK("Melting_Curves/meltCurve_A8K0B5_ZBTB8OS.pdf", "Melting_Curves/meltCurve_A8K0B5_ZBTB8OS.pdf")</f>
        <v>Melting_Curves/meltCurve_A8K0B5_ZBTB8OS.pdf</v>
      </c>
    </row>
    <row r="66" spans="1:28" x14ac:dyDescent="0.25">
      <c r="A66" t="s">
        <v>70</v>
      </c>
      <c r="B66">
        <v>0.99252571173614901</v>
      </c>
      <c r="C66">
        <v>0.99418161885289302</v>
      </c>
      <c r="D66">
        <v>0.92852342890971495</v>
      </c>
      <c r="E66">
        <v>0.79964211938382801</v>
      </c>
      <c r="F66">
        <v>0.29431049731000303</v>
      </c>
      <c r="G66">
        <v>0.190150929927864</v>
      </c>
      <c r="H66">
        <v>0.145036826945213</v>
      </c>
      <c r="I66">
        <v>0.25981860018803599</v>
      </c>
      <c r="J66">
        <v>0.395516892760223</v>
      </c>
      <c r="K66">
        <v>0.35613842785664201</v>
      </c>
      <c r="L66">
        <v>3077.61285145287</v>
      </c>
      <c r="M66">
        <v>61.086937314307498</v>
      </c>
      <c r="N66">
        <v>51.025304555348001</v>
      </c>
      <c r="O66">
        <v>50.326956029501297</v>
      </c>
      <c r="P66">
        <v>-0.221870406048259</v>
      </c>
      <c r="Q66">
        <v>0.268841491335996</v>
      </c>
      <c r="R66">
        <v>0.95432938416966395</v>
      </c>
      <c r="S66" t="s">
        <v>6712</v>
      </c>
      <c r="T66" t="s">
        <v>13290</v>
      </c>
      <c r="U66" t="s">
        <v>13290</v>
      </c>
      <c r="V66" t="s">
        <v>13290</v>
      </c>
      <c r="W66" t="s">
        <v>13356</v>
      </c>
      <c r="X66">
        <v>4</v>
      </c>
      <c r="Y66" t="s">
        <v>19941</v>
      </c>
      <c r="Z66" t="s">
        <v>26396</v>
      </c>
      <c r="AA66">
        <v>0.52293002768417607</v>
      </c>
      <c r="AB66" t="str">
        <f>HYPERLINK("Melting_Curves/meltCurve_A8K0M9_SELK.pdf", "Melting_Curves/meltCurve_A8K0M9_SELK.pdf")</f>
        <v>Melting_Curves/meltCurve_A8K0M9_SELK.pdf</v>
      </c>
    </row>
    <row r="67" spans="1:28" x14ac:dyDescent="0.25">
      <c r="A67" t="s">
        <v>71</v>
      </c>
      <c r="B67">
        <v>0.99252571173614901</v>
      </c>
      <c r="C67">
        <v>0.89415460418241199</v>
      </c>
      <c r="D67">
        <v>0.77737324802863506</v>
      </c>
      <c r="E67">
        <v>0.84416822594615404</v>
      </c>
      <c r="F67">
        <v>0.51837041897034097</v>
      </c>
      <c r="G67">
        <v>0.441753146328769</v>
      </c>
      <c r="H67">
        <v>0.12956467270968999</v>
      </c>
      <c r="I67">
        <v>0.130205096130703</v>
      </c>
      <c r="J67">
        <v>8.0003086960582601E-2</v>
      </c>
      <c r="K67">
        <v>7.7801556703348707E-2</v>
      </c>
      <c r="L67">
        <v>634.943414087213</v>
      </c>
      <c r="M67">
        <v>11.736576644975299</v>
      </c>
      <c r="N67">
        <v>54.099541186655699</v>
      </c>
      <c r="O67">
        <v>52.600592141524203</v>
      </c>
      <c r="P67">
        <v>-5.57962342839659E-2</v>
      </c>
      <c r="Q67">
        <v>0</v>
      </c>
      <c r="R67">
        <v>0.96661455153750697</v>
      </c>
      <c r="S67" t="s">
        <v>6713</v>
      </c>
      <c r="T67" t="s">
        <v>13290</v>
      </c>
      <c r="U67" t="s">
        <v>13290</v>
      </c>
      <c r="V67" t="s">
        <v>13290</v>
      </c>
      <c r="W67" t="s">
        <v>13357</v>
      </c>
      <c r="X67">
        <v>46</v>
      </c>
      <c r="Y67" t="s">
        <v>19942</v>
      </c>
      <c r="Z67" t="s">
        <v>26397</v>
      </c>
      <c r="AA67">
        <v>0.49636636487665442</v>
      </c>
      <c r="AB67" t="str">
        <f>HYPERLINK("Melting_Curves/meltCurve_A8K7Q2_HSPA8.pdf", "Melting_Curves/meltCurve_A8K7Q2_HSPA8.pdf")</f>
        <v>Melting_Curves/meltCurve_A8K7Q2_HSPA8.pdf</v>
      </c>
    </row>
    <row r="68" spans="1:28" x14ac:dyDescent="0.25">
      <c r="A68" t="s">
        <v>72</v>
      </c>
      <c r="B68">
        <v>0.99252571173614901</v>
      </c>
      <c r="C68">
        <v>1.0462741194960199</v>
      </c>
      <c r="D68">
        <v>0.88976638261502805</v>
      </c>
      <c r="E68">
        <v>0.74546882523547398</v>
      </c>
      <c r="F68">
        <v>0.46101274920093799</v>
      </c>
      <c r="G68">
        <v>0.207058898872931</v>
      </c>
      <c r="H68">
        <v>9.4489152579227798E-2</v>
      </c>
      <c r="I68">
        <v>6.9550581565024194E-2</v>
      </c>
      <c r="J68">
        <v>8.4682537757295798E-2</v>
      </c>
      <c r="K68">
        <v>6.6271152965408295E-2</v>
      </c>
      <c r="L68">
        <v>994.35419520771495</v>
      </c>
      <c r="M68">
        <v>19.046490400068201</v>
      </c>
      <c r="N68">
        <v>52.506962528446202</v>
      </c>
      <c r="O68">
        <v>51.641401401663103</v>
      </c>
      <c r="P68">
        <v>-8.74511932733089E-2</v>
      </c>
      <c r="Q68">
        <v>5.1599785617590301E-2</v>
      </c>
      <c r="R68">
        <v>0.99550526977049403</v>
      </c>
      <c r="S68" t="s">
        <v>6714</v>
      </c>
      <c r="T68" t="s">
        <v>13290</v>
      </c>
      <c r="U68" t="s">
        <v>13290</v>
      </c>
      <c r="V68" t="s">
        <v>13290</v>
      </c>
      <c r="W68" t="s">
        <v>13358</v>
      </c>
      <c r="X68">
        <v>3</v>
      </c>
      <c r="Y68" t="s">
        <v>19943</v>
      </c>
      <c r="Z68" t="s">
        <v>26398</v>
      </c>
      <c r="AA68">
        <v>0.45178034001537432</v>
      </c>
      <c r="AB68" t="str">
        <f>HYPERLINK("Melting_Curves/meltCurve_A8MPS7_YDJC.pdf", "Melting_Curves/meltCurve_A8MPS7_YDJC.pdf")</f>
        <v>Melting_Curves/meltCurve_A8MPS7_YDJC.pdf</v>
      </c>
    </row>
    <row r="69" spans="1:28" x14ac:dyDescent="0.25">
      <c r="A69" t="s">
        <v>73</v>
      </c>
      <c r="B69">
        <v>0.99252571173614901</v>
      </c>
      <c r="C69">
        <v>1.0005118888634299</v>
      </c>
      <c r="D69">
        <v>0.97306881779715804</v>
      </c>
      <c r="E69">
        <v>0.83532682830337202</v>
      </c>
      <c r="F69">
        <v>0.27250281783754998</v>
      </c>
      <c r="G69">
        <v>0.18748207396897601</v>
      </c>
      <c r="H69">
        <v>0.15998688804244299</v>
      </c>
      <c r="I69">
        <v>0.17824670097702799</v>
      </c>
      <c r="J69">
        <v>0.24879391954180799</v>
      </c>
      <c r="K69">
        <v>0.26223845230584802</v>
      </c>
      <c r="L69">
        <v>2752.4788513209801</v>
      </c>
      <c r="M69">
        <v>54.159087185443703</v>
      </c>
      <c r="N69">
        <v>51.328500610427703</v>
      </c>
      <c r="O69">
        <v>50.752958080296501</v>
      </c>
      <c r="P69">
        <v>-0.21156266482279501</v>
      </c>
      <c r="Q69">
        <v>0.20697155479118701</v>
      </c>
      <c r="R69">
        <v>0.99317704010991903</v>
      </c>
      <c r="S69" t="s">
        <v>6715</v>
      </c>
      <c r="T69" t="s">
        <v>13290</v>
      </c>
      <c r="U69" t="s">
        <v>13290</v>
      </c>
      <c r="V69" t="s">
        <v>13290</v>
      </c>
      <c r="W69" t="s">
        <v>13359</v>
      </c>
      <c r="X69">
        <v>43</v>
      </c>
      <c r="Y69" t="s">
        <v>19944</v>
      </c>
      <c r="Z69" t="s">
        <v>26399</v>
      </c>
      <c r="AA69">
        <v>0.49456010730762912</v>
      </c>
      <c r="AB69" t="str">
        <f>HYPERLINK("Melting_Curves/meltCurve_A8MQ02_MLLT4.pdf", "Melting_Curves/meltCurve_A8MQ02_MLLT4.pdf")</f>
        <v>Melting_Curves/meltCurve_A8MQ02_MLLT4.pdf</v>
      </c>
    </row>
    <row r="70" spans="1:28" x14ac:dyDescent="0.25">
      <c r="A70" t="s">
        <v>74</v>
      </c>
      <c r="B70">
        <v>0.99252571173614901</v>
      </c>
      <c r="C70">
        <v>1.1474687351633099</v>
      </c>
      <c r="D70">
        <v>0.99676800091170903</v>
      </c>
      <c r="E70">
        <v>0.85935449028441502</v>
      </c>
      <c r="F70">
        <v>0.28134069992886401</v>
      </c>
      <c r="G70">
        <v>0.108487511051685</v>
      </c>
      <c r="H70">
        <v>6.6343729429638995E-2</v>
      </c>
      <c r="I70">
        <v>6.7063485716712307E-2</v>
      </c>
      <c r="J70">
        <v>8.9699000330319495E-2</v>
      </c>
      <c r="K70">
        <v>0.111407048823568</v>
      </c>
      <c r="L70">
        <v>2202.2081149073401</v>
      </c>
      <c r="M70">
        <v>42.688622330824103</v>
      </c>
      <c r="N70">
        <v>51.812743036553599</v>
      </c>
      <c r="O70">
        <v>51.474876093092597</v>
      </c>
      <c r="P70">
        <v>-0.189784396182894</v>
      </c>
      <c r="Q70">
        <v>8.46165972981065E-2</v>
      </c>
      <c r="R70">
        <v>0.98788218648470905</v>
      </c>
      <c r="S70" t="s">
        <v>6716</v>
      </c>
      <c r="T70" t="s">
        <v>13290</v>
      </c>
      <c r="U70" t="s">
        <v>13290</v>
      </c>
      <c r="V70" t="s">
        <v>13290</v>
      </c>
      <c r="W70" t="s">
        <v>13360</v>
      </c>
      <c r="X70">
        <v>9</v>
      </c>
      <c r="Y70" t="s">
        <v>19945</v>
      </c>
      <c r="Z70" t="s">
        <v>26400</v>
      </c>
      <c r="AA70">
        <v>0.44105251351076541</v>
      </c>
      <c r="AB70" t="str">
        <f>HYPERLINK("Melting_Curves/meltCurve_A8MSH5_RTFDC1.pdf", "Melting_Curves/meltCurve_A8MSH5_RTFDC1.pdf")</f>
        <v>Melting_Curves/meltCurve_A8MSH5_RTFDC1.pdf</v>
      </c>
    </row>
    <row r="71" spans="1:28" x14ac:dyDescent="0.25">
      <c r="A71" t="s">
        <v>75</v>
      </c>
      <c r="B71">
        <v>0.99252571173614901</v>
      </c>
      <c r="C71">
        <v>1.02517125352244</v>
      </c>
      <c r="D71">
        <v>0.89862739026262795</v>
      </c>
      <c r="E71">
        <v>0.78047400605277795</v>
      </c>
      <c r="F71">
        <v>0.830273949804613</v>
      </c>
      <c r="G71">
        <v>0.75126145072139705</v>
      </c>
      <c r="H71">
        <v>0.61116071251418702</v>
      </c>
      <c r="I71">
        <v>0.67415011232384203</v>
      </c>
      <c r="J71">
        <v>0.82916764402348997</v>
      </c>
      <c r="K71">
        <v>0.57412371489216096</v>
      </c>
      <c r="L71">
        <v>655.26109373095403</v>
      </c>
      <c r="M71">
        <v>13.136671147245901</v>
      </c>
      <c r="O71">
        <v>48.766904160663103</v>
      </c>
      <c r="P71">
        <v>-2.24209830468203E-2</v>
      </c>
      <c r="Q71">
        <v>0.66712525444485804</v>
      </c>
      <c r="R71">
        <v>0.74437963429168497</v>
      </c>
      <c r="S71" t="s">
        <v>6717</v>
      </c>
      <c r="T71" t="s">
        <v>13290</v>
      </c>
      <c r="U71" t="s">
        <v>13290</v>
      </c>
      <c r="V71" t="s">
        <v>13290</v>
      </c>
      <c r="W71" t="s">
        <v>13361</v>
      </c>
      <c r="X71">
        <v>1</v>
      </c>
      <c r="Y71" t="s">
        <v>19946</v>
      </c>
      <c r="Z71" t="s">
        <v>26401</v>
      </c>
      <c r="AA71">
        <v>0.78677579727735003</v>
      </c>
      <c r="AB71" t="str">
        <f>HYPERLINK("Melting_Curves/meltCurve_A8MT72_RTN1.pdf", "Melting_Curves/meltCurve_A8MT72_RTN1.pdf")</f>
        <v>Melting_Curves/meltCurve_A8MT72_RTN1.pdf</v>
      </c>
    </row>
    <row r="72" spans="1:28" x14ac:dyDescent="0.25">
      <c r="A72" t="s">
        <v>76</v>
      </c>
      <c r="B72">
        <v>0.99252571173614901</v>
      </c>
      <c r="C72">
        <v>0.93402487965693803</v>
      </c>
      <c r="D72">
        <v>0.82059359111575403</v>
      </c>
      <c r="E72">
        <v>0.651819430076782</v>
      </c>
      <c r="F72">
        <v>0.258450293524354</v>
      </c>
      <c r="G72">
        <v>8.1567995595824699E-2</v>
      </c>
      <c r="H72">
        <v>4.3356832486434002E-2</v>
      </c>
      <c r="I72">
        <v>4.6368416737328798E-2</v>
      </c>
      <c r="J72">
        <v>6.8206564707354395E-2</v>
      </c>
      <c r="K72">
        <v>5.4274042760756001E-2</v>
      </c>
      <c r="L72">
        <v>1027.45479777182</v>
      </c>
      <c r="M72">
        <v>20.395690499864099</v>
      </c>
      <c r="N72">
        <v>50.5424210121394</v>
      </c>
      <c r="O72">
        <v>49.899291866557</v>
      </c>
      <c r="P72">
        <v>-9.8870147085942106E-2</v>
      </c>
      <c r="Q72">
        <v>3.2461934591941403E-2</v>
      </c>
      <c r="R72">
        <v>0.99205801224795298</v>
      </c>
      <c r="S72" t="s">
        <v>6718</v>
      </c>
      <c r="T72" t="s">
        <v>13290</v>
      </c>
      <c r="U72" t="s">
        <v>13290</v>
      </c>
      <c r="V72" t="s">
        <v>13290</v>
      </c>
      <c r="W72" t="s">
        <v>13362</v>
      </c>
      <c r="X72">
        <v>2</v>
      </c>
      <c r="Y72" t="s">
        <v>19947</v>
      </c>
      <c r="Z72" t="s">
        <v>26402</v>
      </c>
      <c r="AA72">
        <v>0.38005801393490501</v>
      </c>
      <c r="AB72" t="str">
        <f>HYPERLINK("Melting_Curves/meltCurve_A8MTF8_FAM3B.pdf", "Melting_Curves/meltCurve_A8MTF8_FAM3B.pdf")</f>
        <v>Melting_Curves/meltCurve_A8MTF8_FAM3B.pdf</v>
      </c>
    </row>
    <row r="73" spans="1:28" x14ac:dyDescent="0.25">
      <c r="A73" t="s">
        <v>77</v>
      </c>
      <c r="B73">
        <v>0.99252571173614901</v>
      </c>
      <c r="C73">
        <v>0.93015893670314298</v>
      </c>
      <c r="D73">
        <v>1.0448192301455099</v>
      </c>
      <c r="E73">
        <v>0.92062960698450602</v>
      </c>
      <c r="F73">
        <v>0.67687375636324398</v>
      </c>
      <c r="G73">
        <v>0.40925555522849799</v>
      </c>
      <c r="H73">
        <v>0.23158675706714399</v>
      </c>
      <c r="I73">
        <v>0.215787728185384</v>
      </c>
      <c r="J73">
        <v>0.29683372220918902</v>
      </c>
      <c r="K73">
        <v>0.23018502928819401</v>
      </c>
      <c r="L73">
        <v>1448.4591047379499</v>
      </c>
      <c r="M73">
        <v>26.8871038601701</v>
      </c>
      <c r="N73">
        <v>55.175436061312602</v>
      </c>
      <c r="O73">
        <v>53.576512063027103</v>
      </c>
      <c r="P73">
        <v>-9.5967411266265207E-2</v>
      </c>
      <c r="Q73">
        <v>0.23509068771764999</v>
      </c>
      <c r="R73">
        <v>0.98758809045292095</v>
      </c>
      <c r="S73" t="s">
        <v>6719</v>
      </c>
      <c r="T73" t="s">
        <v>13290</v>
      </c>
      <c r="U73" t="s">
        <v>13290</v>
      </c>
      <c r="V73" t="s">
        <v>13290</v>
      </c>
      <c r="W73" t="s">
        <v>13363</v>
      </c>
      <c r="X73">
        <v>2</v>
      </c>
      <c r="Y73" t="s">
        <v>19948</v>
      </c>
      <c r="Z73" t="s">
        <v>26403</v>
      </c>
      <c r="AA73">
        <v>0.59496444028332152</v>
      </c>
      <c r="AB73" t="str">
        <f>HYPERLINK("Melting_Curves/meltCurve_A8MTG8_ARMC8.pdf", "Melting_Curves/meltCurve_A8MTG8_ARMC8.pdf")</f>
        <v>Melting_Curves/meltCurve_A8MTG8_ARMC8.pdf</v>
      </c>
    </row>
    <row r="74" spans="1:28" x14ac:dyDescent="0.25">
      <c r="A74" t="s">
        <v>78</v>
      </c>
      <c r="B74">
        <v>0.99252571173614901</v>
      </c>
      <c r="C74">
        <v>1.00176054157971</v>
      </c>
      <c r="D74">
        <v>0.91091568525541</v>
      </c>
      <c r="E74">
        <v>0.97766730765612198</v>
      </c>
      <c r="F74">
        <v>0.58622449774619401</v>
      </c>
      <c r="G74">
        <v>0.468642224062982</v>
      </c>
      <c r="H74">
        <v>0.44112358355438203</v>
      </c>
      <c r="I74">
        <v>0.38454970447904802</v>
      </c>
      <c r="J74">
        <v>0.43737730290367999</v>
      </c>
      <c r="K74">
        <v>0.29970162290290903</v>
      </c>
      <c r="L74">
        <v>2286.1765550138098</v>
      </c>
      <c r="M74">
        <v>43.658208513626199</v>
      </c>
      <c r="N74">
        <v>54.3716741934035</v>
      </c>
      <c r="O74">
        <v>52.255829961190898</v>
      </c>
      <c r="P74">
        <v>-0.125287973117684</v>
      </c>
      <c r="Q74">
        <v>0.40015712822564198</v>
      </c>
      <c r="R74">
        <v>0.96687283684637204</v>
      </c>
      <c r="S74" t="s">
        <v>6720</v>
      </c>
      <c r="T74" t="s">
        <v>13290</v>
      </c>
      <c r="U74" t="s">
        <v>13290</v>
      </c>
      <c r="V74" t="s">
        <v>13290</v>
      </c>
      <c r="W74" t="s">
        <v>13364</v>
      </c>
      <c r="X74">
        <v>4</v>
      </c>
      <c r="Y74" t="s">
        <v>19949</v>
      </c>
      <c r="Z74" t="s">
        <v>26404</v>
      </c>
      <c r="AA74">
        <v>0.64921876835169434</v>
      </c>
      <c r="AB74" t="str">
        <f>HYPERLINK("Melting_Curves/meltCurve_A8MTT3_hCG_1988162.pdf", "Melting_Curves/meltCurve_A8MTT3_hCG_1988162.pdf")</f>
        <v>Melting_Curves/meltCurve_A8MTT3_hCG_1988162.pdf</v>
      </c>
    </row>
    <row r="75" spans="1:28" x14ac:dyDescent="0.25">
      <c r="A75" t="s">
        <v>79</v>
      </c>
      <c r="B75">
        <v>0.99252571173614901</v>
      </c>
      <c r="C75">
        <v>0.96654407660272101</v>
      </c>
      <c r="D75">
        <v>1.0412210666185799</v>
      </c>
      <c r="E75">
        <v>0.69739598138546199</v>
      </c>
      <c r="F75">
        <v>0.26642854941490801</v>
      </c>
      <c r="G75">
        <v>0.127722071353251</v>
      </c>
      <c r="H75">
        <v>0.10321144108753801</v>
      </c>
      <c r="I75">
        <v>5.8869137942915803E-2</v>
      </c>
      <c r="J75">
        <v>6.1966392877615802E-2</v>
      </c>
      <c r="K75">
        <v>4.62160998107203E-2</v>
      </c>
      <c r="L75">
        <v>1595.1208230084501</v>
      </c>
      <c r="M75">
        <v>31.3375346291512</v>
      </c>
      <c r="N75">
        <v>51.1513681762736</v>
      </c>
      <c r="O75">
        <v>50.695357769313503</v>
      </c>
      <c r="P75">
        <v>-0.14356349415394901</v>
      </c>
      <c r="Q75">
        <v>7.1022984595817198E-2</v>
      </c>
      <c r="R75">
        <v>0.99479542710147395</v>
      </c>
      <c r="S75" t="s">
        <v>6721</v>
      </c>
      <c r="T75" t="s">
        <v>13290</v>
      </c>
      <c r="U75" t="s">
        <v>13290</v>
      </c>
      <c r="V75" t="s">
        <v>13290</v>
      </c>
      <c r="W75" t="s">
        <v>13365</v>
      </c>
      <c r="X75">
        <v>3</v>
      </c>
      <c r="Y75" t="s">
        <v>19950</v>
      </c>
      <c r="Z75" t="s">
        <v>26405</v>
      </c>
      <c r="AA75">
        <v>0.41393377395586489</v>
      </c>
      <c r="AB75" t="str">
        <f>HYPERLINK("Melting_Curves/meltCurve_A8MTY9_DSCR3.pdf", "Melting_Curves/meltCurve_A8MTY9_DSCR3.pdf")</f>
        <v>Melting_Curves/meltCurve_A8MTY9_DSCR3.pdf</v>
      </c>
    </row>
    <row r="76" spans="1:28" x14ac:dyDescent="0.25">
      <c r="A76" t="s">
        <v>80</v>
      </c>
      <c r="B76">
        <v>0.99252571173614901</v>
      </c>
      <c r="C76">
        <v>0.81335936162565903</v>
      </c>
      <c r="D76">
        <v>0.84729576806679496</v>
      </c>
      <c r="E76">
        <v>0.60951003635915602</v>
      </c>
      <c r="F76">
        <v>0.41196074999419802</v>
      </c>
      <c r="G76">
        <v>0.21118777642559899</v>
      </c>
      <c r="H76">
        <v>8.70717503778171E-2</v>
      </c>
      <c r="I76">
        <v>7.9466245329676902E-2</v>
      </c>
      <c r="J76">
        <v>7.0856622813636999E-2</v>
      </c>
      <c r="K76">
        <v>5.7765514389847297E-2</v>
      </c>
      <c r="L76">
        <v>632.84503480015098</v>
      </c>
      <c r="M76">
        <v>12.350201979991899</v>
      </c>
      <c r="N76">
        <v>51.263017838753299</v>
      </c>
      <c r="O76">
        <v>49.953801561276798</v>
      </c>
      <c r="P76">
        <v>-6.1662914461038401E-2</v>
      </c>
      <c r="Q76">
        <v>2.56434986280269E-3</v>
      </c>
      <c r="R76">
        <v>0.98652414907277597</v>
      </c>
      <c r="S76" t="s">
        <v>6722</v>
      </c>
      <c r="T76" t="s">
        <v>13290</v>
      </c>
      <c r="U76" t="s">
        <v>13290</v>
      </c>
      <c r="V76" t="s">
        <v>13290</v>
      </c>
      <c r="W76" t="s">
        <v>13366</v>
      </c>
      <c r="X76">
        <v>1</v>
      </c>
      <c r="Y76" t="s">
        <v>19951</v>
      </c>
      <c r="Z76" t="s">
        <v>26406</v>
      </c>
      <c r="AA76">
        <v>0.40710148636825971</v>
      </c>
      <c r="AB76" t="str">
        <f>HYPERLINK("Melting_Curves/meltCurve_A8MU21_TMEM147.pdf", "Melting_Curves/meltCurve_A8MU21_TMEM147.pdf")</f>
        <v>Melting_Curves/meltCurve_A8MU21_TMEM147.pdf</v>
      </c>
    </row>
    <row r="77" spans="1:28" x14ac:dyDescent="0.25">
      <c r="A77" t="s">
        <v>81</v>
      </c>
      <c r="B77">
        <v>0.99252571173614901</v>
      </c>
      <c r="C77">
        <v>0.82078290789632502</v>
      </c>
      <c r="D77">
        <v>0.50328394604716098</v>
      </c>
      <c r="E77">
        <v>0.225268462984895</v>
      </c>
      <c r="F77">
        <v>0.13306852629958499</v>
      </c>
      <c r="G77">
        <v>7.9503626696662805E-2</v>
      </c>
      <c r="H77">
        <v>6.2042478591407102E-2</v>
      </c>
      <c r="I77">
        <v>7.1932300186225998E-2</v>
      </c>
      <c r="J77">
        <v>8.3463890178220701E-2</v>
      </c>
      <c r="K77">
        <v>8.5888035880556199E-2</v>
      </c>
      <c r="L77">
        <v>1006.4437839404</v>
      </c>
      <c r="M77">
        <v>21.999313237379901</v>
      </c>
      <c r="N77">
        <v>46.095833532919002</v>
      </c>
      <c r="O77">
        <v>45.375886035724797</v>
      </c>
      <c r="P77">
        <v>-0.11195995040835301</v>
      </c>
      <c r="Q77">
        <v>7.6304148899974902E-2</v>
      </c>
      <c r="R77">
        <v>0.99825177840900303</v>
      </c>
      <c r="S77" t="s">
        <v>6723</v>
      </c>
      <c r="T77" t="s">
        <v>13290</v>
      </c>
      <c r="U77" t="s">
        <v>13290</v>
      </c>
      <c r="V77" t="s">
        <v>13290</v>
      </c>
      <c r="W77" t="s">
        <v>13367</v>
      </c>
      <c r="X77">
        <v>22</v>
      </c>
      <c r="Y77" t="s">
        <v>19952</v>
      </c>
      <c r="Z77" t="s">
        <v>26407</v>
      </c>
      <c r="AA77">
        <v>0.26497741185906132</v>
      </c>
      <c r="AB77" t="str">
        <f>HYPERLINK("Melting_Curves/meltCurve_A8MU44_HOOK1.pdf", "Melting_Curves/meltCurve_A8MU44_HOOK1.pdf")</f>
        <v>Melting_Curves/meltCurve_A8MU44_HOOK1.pdf</v>
      </c>
    </row>
    <row r="78" spans="1:28" x14ac:dyDescent="0.25">
      <c r="A78" t="s">
        <v>82</v>
      </c>
      <c r="B78">
        <v>0.99252571173614901</v>
      </c>
      <c r="C78">
        <v>1.0974925379317899</v>
      </c>
      <c r="D78">
        <v>0.78860415435484299</v>
      </c>
      <c r="E78">
        <v>0.68193054082097104</v>
      </c>
      <c r="F78">
        <v>0.55712130493998802</v>
      </c>
      <c r="G78">
        <v>0.45681738152856599</v>
      </c>
      <c r="H78">
        <v>0.45073186966817003</v>
      </c>
      <c r="I78">
        <v>0.70734815564185904</v>
      </c>
      <c r="J78">
        <v>0.96510905573869599</v>
      </c>
      <c r="K78">
        <v>1.04343728361379</v>
      </c>
      <c r="L78">
        <v>11462.7012455315</v>
      </c>
      <c r="M78">
        <v>250</v>
      </c>
      <c r="O78">
        <v>45.847877506214203</v>
      </c>
      <c r="P78">
        <v>-0.41626493301206802</v>
      </c>
      <c r="Q78">
        <v>0.69464222614892002</v>
      </c>
      <c r="R78">
        <v>0.35523623772449298</v>
      </c>
      <c r="S78" t="s">
        <v>6724</v>
      </c>
      <c r="T78" t="s">
        <v>13290</v>
      </c>
      <c r="U78" t="s">
        <v>13290</v>
      </c>
      <c r="V78" t="s">
        <v>13290</v>
      </c>
      <c r="W78" t="s">
        <v>13368</v>
      </c>
      <c r="X78">
        <v>3</v>
      </c>
      <c r="Y78" t="s">
        <v>19953</v>
      </c>
      <c r="Z78" t="s">
        <v>26408</v>
      </c>
      <c r="AA78">
        <v>0.75421975699601917</v>
      </c>
      <c r="AB78" t="str">
        <f>HYPERLINK("Melting_Curves/meltCurve_A8MUA9_SUMO3.pdf", "Melting_Curves/meltCurve_A8MUA9_SUMO3.pdf")</f>
        <v>Melting_Curves/meltCurve_A8MUA9_SUMO3.pdf</v>
      </c>
    </row>
    <row r="79" spans="1:28" x14ac:dyDescent="0.25">
      <c r="A79" t="s">
        <v>83</v>
      </c>
      <c r="B79">
        <v>0.99252571173614901</v>
      </c>
      <c r="C79">
        <v>0.96743561535518197</v>
      </c>
      <c r="D79">
        <v>0.95594016840333396</v>
      </c>
      <c r="E79">
        <v>0.82169055818297199</v>
      </c>
      <c r="F79">
        <v>0.70858330700573802</v>
      </c>
      <c r="G79">
        <v>0.49155016682359298</v>
      </c>
      <c r="H79">
        <v>0.260372395169152</v>
      </c>
      <c r="I79">
        <v>7.7730286593984496E-2</v>
      </c>
      <c r="J79">
        <v>5.7269896971772802E-2</v>
      </c>
      <c r="K79">
        <v>5.0878357562524699E-2</v>
      </c>
      <c r="L79">
        <v>838.01827816947298</v>
      </c>
      <c r="M79">
        <v>14.929536255831399</v>
      </c>
      <c r="N79">
        <v>56.131565374659303</v>
      </c>
      <c r="O79">
        <v>55.153359871209801</v>
      </c>
      <c r="P79">
        <v>-6.7679796640704296E-2</v>
      </c>
      <c r="Q79">
        <v>0</v>
      </c>
      <c r="R79">
        <v>0.99330842957508803</v>
      </c>
      <c r="S79" t="s">
        <v>6725</v>
      </c>
      <c r="T79" t="s">
        <v>13290</v>
      </c>
      <c r="U79" t="s">
        <v>13290</v>
      </c>
      <c r="V79" t="s">
        <v>13290</v>
      </c>
      <c r="W79" t="s">
        <v>13369</v>
      </c>
      <c r="X79">
        <v>34</v>
      </c>
      <c r="Y79" t="s">
        <v>19954</v>
      </c>
      <c r="Z79" t="s">
        <v>26409</v>
      </c>
      <c r="AA79">
        <v>0.55529872493619481</v>
      </c>
      <c r="AB79" t="str">
        <f>HYPERLINK("Melting_Curves/meltCurve_A8MUB1_TUBA4A.pdf", "Melting_Curves/meltCurve_A8MUB1_TUBA4A.pdf")</f>
        <v>Melting_Curves/meltCurve_A8MUB1_TUBA4A.pdf</v>
      </c>
    </row>
    <row r="80" spans="1:28" x14ac:dyDescent="0.25">
      <c r="A80" t="s">
        <v>84</v>
      </c>
      <c r="B80">
        <v>0.99252571173614901</v>
      </c>
      <c r="C80">
        <v>0.99925246979284799</v>
      </c>
      <c r="D80">
        <v>0.91060555841951096</v>
      </c>
      <c r="E80">
        <v>0.840645935410124</v>
      </c>
      <c r="F80">
        <v>0.51269834926715396</v>
      </c>
      <c r="G80">
        <v>0.34558568409358598</v>
      </c>
      <c r="H80">
        <v>0.16479123120456701</v>
      </c>
      <c r="I80">
        <v>0.17133871975205101</v>
      </c>
      <c r="J80">
        <v>0.25389040909631899</v>
      </c>
      <c r="K80">
        <v>0.202751993336173</v>
      </c>
      <c r="L80">
        <v>1155.15179375345</v>
      </c>
      <c r="M80">
        <v>22.053847740112399</v>
      </c>
      <c r="N80">
        <v>53.534640193064597</v>
      </c>
      <c r="O80">
        <v>51.953738621945298</v>
      </c>
      <c r="P80">
        <v>-8.6021705644160104E-2</v>
      </c>
      <c r="Q80">
        <v>0.18942935205627301</v>
      </c>
      <c r="R80">
        <v>0.988773740144269</v>
      </c>
      <c r="S80" t="s">
        <v>6726</v>
      </c>
      <c r="T80" t="s">
        <v>13290</v>
      </c>
      <c r="U80" t="s">
        <v>13290</v>
      </c>
      <c r="V80" t="s">
        <v>13290</v>
      </c>
      <c r="W80" t="s">
        <v>13370</v>
      </c>
      <c r="X80">
        <v>4</v>
      </c>
      <c r="Y80" t="s">
        <v>19955</v>
      </c>
      <c r="Z80" t="s">
        <v>26410</v>
      </c>
      <c r="AA80">
        <v>0.53328118676314396</v>
      </c>
      <c r="AB80" t="str">
        <f>HYPERLINK("Melting_Curves/meltCurve_A8MVZ6_BICD1.pdf", "Melting_Curves/meltCurve_A8MVZ6_BICD1.pdf")</f>
        <v>Melting_Curves/meltCurve_A8MVZ6_BICD1.pdf</v>
      </c>
    </row>
    <row r="81" spans="1:28" x14ac:dyDescent="0.25">
      <c r="A81" t="s">
        <v>85</v>
      </c>
      <c r="B81">
        <v>0.99252571173614901</v>
      </c>
      <c r="C81">
        <v>0.98248601145834402</v>
      </c>
      <c r="D81">
        <v>1.02824693278596</v>
      </c>
      <c r="E81">
        <v>0.99088803484020105</v>
      </c>
      <c r="F81">
        <v>0.73975564911209901</v>
      </c>
      <c r="G81">
        <v>0.56357341713551901</v>
      </c>
      <c r="H81">
        <v>0.58392581194790705</v>
      </c>
      <c r="I81">
        <v>0.55562230540237001</v>
      </c>
      <c r="J81">
        <v>0.58498715222382502</v>
      </c>
      <c r="K81">
        <v>0.40275648069556003</v>
      </c>
      <c r="L81">
        <v>2346.5312990708298</v>
      </c>
      <c r="M81">
        <v>44.2963111156918</v>
      </c>
      <c r="O81">
        <v>52.865890436412002</v>
      </c>
      <c r="P81">
        <v>-9.7865494786824006E-2</v>
      </c>
      <c r="Q81">
        <v>0.53280629842605698</v>
      </c>
      <c r="R81">
        <v>0.95149702513101098</v>
      </c>
      <c r="S81" t="s">
        <v>6727</v>
      </c>
      <c r="T81" t="s">
        <v>13290</v>
      </c>
      <c r="U81" t="s">
        <v>13290</v>
      </c>
      <c r="V81" t="s">
        <v>13290</v>
      </c>
      <c r="W81" t="s">
        <v>13371</v>
      </c>
      <c r="X81">
        <v>14</v>
      </c>
      <c r="Y81" t="s">
        <v>19956</v>
      </c>
      <c r="Z81" t="s">
        <v>26411</v>
      </c>
      <c r="AA81">
        <v>0.73623680541703318</v>
      </c>
      <c r="AB81" t="str">
        <f>HYPERLINK("Melting_Curves/meltCurve_A8MW61_PLRG1.pdf", "Melting_Curves/meltCurve_A8MW61_PLRG1.pdf")</f>
        <v>Melting_Curves/meltCurve_A8MW61_PLRG1.pdf</v>
      </c>
    </row>
    <row r="82" spans="1:28" x14ac:dyDescent="0.25">
      <c r="A82" t="s">
        <v>86</v>
      </c>
      <c r="B82">
        <v>0.99252571173614901</v>
      </c>
      <c r="C82">
        <v>1.48591128113599</v>
      </c>
      <c r="D82">
        <v>1.3223925374883301</v>
      </c>
      <c r="E82">
        <v>1.6266971326381101</v>
      </c>
      <c r="F82">
        <v>1.16840702290486</v>
      </c>
      <c r="G82">
        <v>1.19077258946424</v>
      </c>
      <c r="H82">
        <v>1.5626433139496601</v>
      </c>
      <c r="I82">
        <v>2.9416315622792699</v>
      </c>
      <c r="J82">
        <v>4.5549047003509999</v>
      </c>
      <c r="K82">
        <v>4.89513359574274</v>
      </c>
      <c r="L82">
        <v>10573.106625179</v>
      </c>
      <c r="M82">
        <v>250</v>
      </c>
      <c r="O82">
        <v>42.289719434919498</v>
      </c>
      <c r="P82">
        <v>0.73895026942225805</v>
      </c>
      <c r="Q82">
        <v>1.5</v>
      </c>
      <c r="R82">
        <v>-0.22669654883708901</v>
      </c>
      <c r="S82" t="s">
        <v>6728</v>
      </c>
      <c r="T82" t="s">
        <v>13290</v>
      </c>
      <c r="U82" t="s">
        <v>13290</v>
      </c>
      <c r="V82" t="s">
        <v>13290</v>
      </c>
      <c r="W82" t="s">
        <v>13372</v>
      </c>
      <c r="X82">
        <v>2</v>
      </c>
      <c r="Y82" t="s">
        <v>19957</v>
      </c>
      <c r="Z82" t="s">
        <v>26412</v>
      </c>
      <c r="AA82">
        <v>1.4617557788796309</v>
      </c>
      <c r="AB82" t="str">
        <f>HYPERLINK("Melting_Curves/meltCurve_A8MWH4_MT1F.pdf", "Melting_Curves/meltCurve_A8MWH4_MT1F.pdf")</f>
        <v>Melting_Curves/meltCurve_A8MWH4_MT1F.pdf</v>
      </c>
    </row>
    <row r="83" spans="1:28" x14ac:dyDescent="0.25">
      <c r="A83" t="s">
        <v>87</v>
      </c>
      <c r="B83">
        <v>0.99252571173614901</v>
      </c>
      <c r="C83">
        <v>0.84480241032843795</v>
      </c>
      <c r="D83">
        <v>0.950555253413506</v>
      </c>
      <c r="E83">
        <v>1.07687364724646</v>
      </c>
      <c r="F83">
        <v>0.70557383306020605</v>
      </c>
      <c r="G83">
        <v>0.42995959744482398</v>
      </c>
      <c r="H83">
        <v>0.20426795830458599</v>
      </c>
      <c r="I83">
        <v>0.203569325279538</v>
      </c>
      <c r="J83">
        <v>0.315530583493078</v>
      </c>
      <c r="K83">
        <v>0.16620534840041801</v>
      </c>
      <c r="L83">
        <v>1737.0291755329399</v>
      </c>
      <c r="M83">
        <v>31.885682576132101</v>
      </c>
      <c r="N83">
        <v>55.483270336979999</v>
      </c>
      <c r="O83">
        <v>54.263843201037098</v>
      </c>
      <c r="P83">
        <v>-0.114640936641162</v>
      </c>
      <c r="Q83">
        <v>0.21960888135081</v>
      </c>
      <c r="R83">
        <v>0.95237139469467602</v>
      </c>
      <c r="S83" t="s">
        <v>6729</v>
      </c>
      <c r="T83" t="s">
        <v>13290</v>
      </c>
      <c r="U83" t="s">
        <v>13290</v>
      </c>
      <c r="V83" t="s">
        <v>13290</v>
      </c>
      <c r="W83" t="s">
        <v>13373</v>
      </c>
      <c r="X83">
        <v>1</v>
      </c>
      <c r="Y83" t="s">
        <v>19958</v>
      </c>
      <c r="Z83" t="s">
        <v>26413</v>
      </c>
      <c r="AA83">
        <v>0.60077583239474175</v>
      </c>
      <c r="AB83" t="str">
        <f>HYPERLINK("Melting_Curves/meltCurve_A8MWY0_KIAA1324L.pdf", "Melting_Curves/meltCurve_A8MWY0_KIAA1324L.pdf")</f>
        <v>Melting_Curves/meltCurve_A8MWY0_KIAA1324L.pdf</v>
      </c>
    </row>
    <row r="84" spans="1:28" x14ac:dyDescent="0.25">
      <c r="A84" t="s">
        <v>88</v>
      </c>
      <c r="B84">
        <v>0.99252571173614901</v>
      </c>
      <c r="C84">
        <v>0.95133981198484197</v>
      </c>
      <c r="D84">
        <v>0.98045715662086097</v>
      </c>
      <c r="E84">
        <v>0.67488515330698096</v>
      </c>
      <c r="F84">
        <v>0.285848032189021</v>
      </c>
      <c r="G84">
        <v>0.17939708140553001</v>
      </c>
      <c r="H84">
        <v>0.13077450640525701</v>
      </c>
      <c r="I84">
        <v>0.136377259450571</v>
      </c>
      <c r="J84">
        <v>0.20640533098363001</v>
      </c>
      <c r="K84">
        <v>0.228916438433308</v>
      </c>
      <c r="L84">
        <v>1753.22923088226</v>
      </c>
      <c r="M84">
        <v>34.895692751030801</v>
      </c>
      <c r="N84">
        <v>50.866296939499598</v>
      </c>
      <c r="O84">
        <v>50.077855829766797</v>
      </c>
      <c r="P84">
        <v>-0.14386342625847401</v>
      </c>
      <c r="Q84">
        <v>0.17418505410745999</v>
      </c>
      <c r="R84">
        <v>0.99212359845053399</v>
      </c>
      <c r="S84" t="s">
        <v>6730</v>
      </c>
      <c r="T84" t="s">
        <v>13290</v>
      </c>
      <c r="U84" t="s">
        <v>13290</v>
      </c>
      <c r="V84" t="s">
        <v>13290</v>
      </c>
      <c r="W84" t="s">
        <v>13374</v>
      </c>
      <c r="X84">
        <v>4</v>
      </c>
      <c r="Y84" t="s">
        <v>19959</v>
      </c>
      <c r="Z84" t="s">
        <v>26414</v>
      </c>
      <c r="AA84">
        <v>0.45989690766271479</v>
      </c>
      <c r="AB84" t="str">
        <f>HYPERLINK("Melting_Curves/meltCurve_A8MX75_ERCC2.pdf", "Melting_Curves/meltCurve_A8MX75_ERCC2.pdf")</f>
        <v>Melting_Curves/meltCurve_A8MX75_ERCC2.pdf</v>
      </c>
    </row>
    <row r="85" spans="1:28" x14ac:dyDescent="0.25">
      <c r="A85" t="s">
        <v>89</v>
      </c>
      <c r="B85">
        <v>0.99252571173614901</v>
      </c>
      <c r="C85">
        <v>1.1714622780048001</v>
      </c>
      <c r="D85">
        <v>1.0972674064780299</v>
      </c>
      <c r="E85">
        <v>0.99583271640417603</v>
      </c>
      <c r="F85">
        <v>0.76021709958191397</v>
      </c>
      <c r="G85">
        <v>0.59310765955857903</v>
      </c>
      <c r="H85">
        <v>0.56181753497798204</v>
      </c>
      <c r="I85">
        <v>0.70756537104303996</v>
      </c>
      <c r="J85">
        <v>1.2905503926825399</v>
      </c>
      <c r="K85">
        <v>1.04162337920538</v>
      </c>
      <c r="L85">
        <v>12583.9033829408</v>
      </c>
      <c r="M85">
        <v>250</v>
      </c>
      <c r="O85">
        <v>50.332382588453399</v>
      </c>
      <c r="P85">
        <v>-0.216295150505568</v>
      </c>
      <c r="Q85">
        <v>0.82581356191658795</v>
      </c>
      <c r="R85">
        <v>0.21286543939977601</v>
      </c>
      <c r="S85" t="s">
        <v>6731</v>
      </c>
      <c r="T85" t="s">
        <v>13290</v>
      </c>
      <c r="U85" t="s">
        <v>13290</v>
      </c>
      <c r="V85" t="s">
        <v>13290</v>
      </c>
      <c r="W85" t="s">
        <v>13375</v>
      </c>
      <c r="X85">
        <v>2</v>
      </c>
      <c r="Y85" t="s">
        <v>19960</v>
      </c>
      <c r="Z85" t="s">
        <v>26415</v>
      </c>
      <c r="AA85">
        <v>0.88583973945300765</v>
      </c>
      <c r="AB85" t="str">
        <f>HYPERLINK("Melting_Curves/meltCurve_A8MXN1_REEP6.pdf", "Melting_Curves/meltCurve_A8MXN1_REEP6.pdf")</f>
        <v>Melting_Curves/meltCurve_A8MXN1_REEP6.pdf</v>
      </c>
    </row>
    <row r="86" spans="1:28" x14ac:dyDescent="0.25">
      <c r="A86" t="s">
        <v>90</v>
      </c>
      <c r="B86">
        <v>0.99252571173614901</v>
      </c>
      <c r="C86">
        <v>0.90983321970231301</v>
      </c>
      <c r="D86">
        <v>0.62489963117462899</v>
      </c>
      <c r="E86">
        <v>0.48964098412823798</v>
      </c>
      <c r="F86">
        <v>0.40043409987433698</v>
      </c>
      <c r="G86">
        <v>0.35714051638432098</v>
      </c>
      <c r="H86">
        <v>0.31250992154792401</v>
      </c>
      <c r="I86">
        <v>0.35034440181995902</v>
      </c>
      <c r="J86">
        <v>0.50997493760625201</v>
      </c>
      <c r="K86">
        <v>0.55122897501438095</v>
      </c>
      <c r="L86">
        <v>1346.8421159904201</v>
      </c>
      <c r="M86">
        <v>29.782180116297098</v>
      </c>
      <c r="N86">
        <v>48.115395037978203</v>
      </c>
      <c r="O86">
        <v>45.020649464529903</v>
      </c>
      <c r="P86">
        <v>-9.6493376159266897E-2</v>
      </c>
      <c r="Q86">
        <v>0.41654147034217598</v>
      </c>
      <c r="R86">
        <v>0.90308358542149303</v>
      </c>
      <c r="S86" t="s">
        <v>6732</v>
      </c>
      <c r="T86" t="s">
        <v>13290</v>
      </c>
      <c r="U86" t="s">
        <v>13290</v>
      </c>
      <c r="V86" t="s">
        <v>13290</v>
      </c>
      <c r="W86" t="s">
        <v>13376</v>
      </c>
      <c r="X86">
        <v>17</v>
      </c>
      <c r="Y86" t="s">
        <v>19961</v>
      </c>
      <c r="Z86" t="s">
        <v>26416</v>
      </c>
      <c r="AA86">
        <v>0.52187857320799025</v>
      </c>
      <c r="AB86" t="str">
        <f>HYPERLINK("Melting_Curves/meltCurve_A8MXP9_MATR3.pdf", "Melting_Curves/meltCurve_A8MXP9_MATR3.pdf")</f>
        <v>Melting_Curves/meltCurve_A8MXP9_MATR3.pdf</v>
      </c>
    </row>
    <row r="87" spans="1:28" x14ac:dyDescent="0.25">
      <c r="A87" t="s">
        <v>91</v>
      </c>
      <c r="B87">
        <v>0.99252571173614901</v>
      </c>
      <c r="C87">
        <v>1.0072557851475299</v>
      </c>
      <c r="D87">
        <v>0.86278169813323102</v>
      </c>
      <c r="E87">
        <v>0.81516997082776099</v>
      </c>
      <c r="F87">
        <v>0.618925319286454</v>
      </c>
      <c r="G87">
        <v>0.54628987532339901</v>
      </c>
      <c r="H87">
        <v>0.37819684906475198</v>
      </c>
      <c r="I87">
        <v>0.39129127218842202</v>
      </c>
      <c r="J87">
        <v>0.52217096993777801</v>
      </c>
      <c r="K87">
        <v>0.38224399582518798</v>
      </c>
      <c r="L87">
        <v>800.51656015122296</v>
      </c>
      <c r="M87">
        <v>15.555378527973501</v>
      </c>
      <c r="N87">
        <v>57.436517958017497</v>
      </c>
      <c r="O87">
        <v>50.634360089051903</v>
      </c>
      <c r="P87">
        <v>-4.6020358541024299E-2</v>
      </c>
      <c r="Q87">
        <v>0.40084845274725101</v>
      </c>
      <c r="R87">
        <v>0.95549650821640997</v>
      </c>
      <c r="S87" t="s">
        <v>6733</v>
      </c>
      <c r="T87" t="s">
        <v>13290</v>
      </c>
      <c r="U87" t="s">
        <v>13290</v>
      </c>
      <c r="V87" t="s">
        <v>13290</v>
      </c>
      <c r="W87" t="s">
        <v>13377</v>
      </c>
      <c r="X87">
        <v>3</v>
      </c>
      <c r="Y87" t="s">
        <v>19962</v>
      </c>
      <c r="Z87" t="s">
        <v>26417</v>
      </c>
      <c r="AA87">
        <v>0.64263381757387916</v>
      </c>
      <c r="AB87" t="str">
        <f>HYPERLINK("Melting_Curves/meltCurve_A8MXQ1_PTTG1IP.pdf", "Melting_Curves/meltCurve_A8MXQ1_PTTG1IP.pdf")</f>
        <v>Melting_Curves/meltCurve_A8MXQ1_PTTG1IP.pdf</v>
      </c>
    </row>
    <row r="88" spans="1:28" x14ac:dyDescent="0.25">
      <c r="A88" t="s">
        <v>92</v>
      </c>
      <c r="B88">
        <v>0.99252571173614901</v>
      </c>
      <c r="C88">
        <v>1.0727863711565</v>
      </c>
      <c r="D88">
        <v>0.97532125955432503</v>
      </c>
      <c r="E88">
        <v>0.80308774965573804</v>
      </c>
      <c r="F88">
        <v>0.48335299444221402</v>
      </c>
      <c r="G88">
        <v>0.154145928785241</v>
      </c>
      <c r="H88">
        <v>5.8134256685510803E-2</v>
      </c>
      <c r="I88">
        <v>5.5604550618215301E-2</v>
      </c>
      <c r="J88">
        <v>6.1914554776855299E-2</v>
      </c>
      <c r="K88">
        <v>5.9252952092579601E-2</v>
      </c>
      <c r="L88">
        <v>1318.3167903769199</v>
      </c>
      <c r="M88">
        <v>25.056513695466499</v>
      </c>
      <c r="N88">
        <v>52.811801861000703</v>
      </c>
      <c r="O88">
        <v>52.282040810946697</v>
      </c>
      <c r="P88">
        <v>-0.114442489540089</v>
      </c>
      <c r="Q88">
        <v>4.4846009863685102E-2</v>
      </c>
      <c r="R88">
        <v>0.99533737851948501</v>
      </c>
      <c r="S88" t="s">
        <v>6734</v>
      </c>
      <c r="T88" t="s">
        <v>13290</v>
      </c>
      <c r="U88" t="s">
        <v>13290</v>
      </c>
      <c r="V88" t="s">
        <v>13290</v>
      </c>
      <c r="W88" t="s">
        <v>13378</v>
      </c>
      <c r="X88">
        <v>11</v>
      </c>
      <c r="Y88" t="s">
        <v>19963</v>
      </c>
      <c r="Z88" t="s">
        <v>26418</v>
      </c>
      <c r="AA88">
        <v>0.4551787675267685</v>
      </c>
      <c r="AB88" t="str">
        <f>HYPERLINK("Melting_Curves/meltCurve_A8MXV4_NUDT19.pdf", "Melting_Curves/meltCurve_A8MXV4_NUDT19.pdf")</f>
        <v>Melting_Curves/meltCurve_A8MXV4_NUDT19.pdf</v>
      </c>
    </row>
    <row r="89" spans="1:28" x14ac:dyDescent="0.25">
      <c r="A89" t="s">
        <v>93</v>
      </c>
      <c r="B89">
        <v>0.99252571173614901</v>
      </c>
      <c r="C89">
        <v>0.94599151507608803</v>
      </c>
      <c r="D89">
        <v>1.03586282551775</v>
      </c>
      <c r="E89">
        <v>0.79894680546677099</v>
      </c>
      <c r="F89">
        <v>0.38916597794934199</v>
      </c>
      <c r="G89">
        <v>0.218270654324213</v>
      </c>
      <c r="H89">
        <v>0.145653262440297</v>
      </c>
      <c r="I89">
        <v>0.13505867786890499</v>
      </c>
      <c r="J89">
        <v>0.14900581047268899</v>
      </c>
      <c r="K89">
        <v>0.164569065121313</v>
      </c>
      <c r="L89">
        <v>1586.6180506890901</v>
      </c>
      <c r="M89">
        <v>30.751178020969999</v>
      </c>
      <c r="N89">
        <v>52.201002876179899</v>
      </c>
      <c r="O89">
        <v>51.378649279395397</v>
      </c>
      <c r="P89">
        <v>-0.127180408422049</v>
      </c>
      <c r="Q89">
        <v>0.15004002683186601</v>
      </c>
      <c r="R89">
        <v>0.99497849556196905</v>
      </c>
      <c r="S89" t="s">
        <v>6735</v>
      </c>
      <c r="T89" t="s">
        <v>13290</v>
      </c>
      <c r="U89" t="s">
        <v>13290</v>
      </c>
      <c r="V89" t="s">
        <v>13290</v>
      </c>
      <c r="W89" t="s">
        <v>13379</v>
      </c>
      <c r="X89">
        <v>5</v>
      </c>
      <c r="Y89" t="s">
        <v>19964</v>
      </c>
      <c r="Z89" t="s">
        <v>26419</v>
      </c>
      <c r="AA89">
        <v>0.48369618846586637</v>
      </c>
      <c r="AB89" t="str">
        <f>HYPERLINK("Melting_Curves/meltCurve_A8MYT4_PIK3C3.pdf", "Melting_Curves/meltCurve_A8MYT4_PIK3C3.pdf")</f>
        <v>Melting_Curves/meltCurve_A8MYT4_PIK3C3.pdf</v>
      </c>
    </row>
    <row r="90" spans="1:28" x14ac:dyDescent="0.25">
      <c r="A90" t="s">
        <v>94</v>
      </c>
      <c r="B90">
        <v>0.99252571173614901</v>
      </c>
      <c r="C90">
        <v>0.93445462494169595</v>
      </c>
      <c r="D90">
        <v>0.880977907599796</v>
      </c>
      <c r="E90">
        <v>0.80712433750467405</v>
      </c>
      <c r="F90">
        <v>0.49183619541738199</v>
      </c>
      <c r="G90">
        <v>0.38035710228087</v>
      </c>
      <c r="H90">
        <v>0.251042795736658</v>
      </c>
      <c r="I90">
        <v>0.274678221340242</v>
      </c>
      <c r="J90">
        <v>0.35341155030228999</v>
      </c>
      <c r="K90">
        <v>0.29308045358040702</v>
      </c>
      <c r="L90">
        <v>1046.2356605345301</v>
      </c>
      <c r="M90">
        <v>20.416142022172501</v>
      </c>
      <c r="N90">
        <v>53.430078275711502</v>
      </c>
      <c r="O90">
        <v>50.761454987047998</v>
      </c>
      <c r="P90">
        <v>-7.2095382560572699E-2</v>
      </c>
      <c r="Q90">
        <v>0.28300714866112597</v>
      </c>
      <c r="R90">
        <v>0.97923350908552698</v>
      </c>
      <c r="S90" t="s">
        <v>6736</v>
      </c>
      <c r="T90" t="s">
        <v>13290</v>
      </c>
      <c r="U90" t="s">
        <v>13290</v>
      </c>
      <c r="V90" t="s">
        <v>13290</v>
      </c>
      <c r="W90" t="s">
        <v>13380</v>
      </c>
      <c r="X90">
        <v>2</v>
      </c>
      <c r="Y90" t="s">
        <v>19965</v>
      </c>
      <c r="Z90" t="s">
        <v>26420</v>
      </c>
      <c r="AA90">
        <v>0.56134546042419697</v>
      </c>
      <c r="AB90" t="str">
        <f>HYPERLINK("Melting_Curves/meltCurve_A8MZ54_STX1A.pdf", "Melting_Curves/meltCurve_A8MZ54_STX1A.pdf")</f>
        <v>Melting_Curves/meltCurve_A8MZ54_STX1A.pdf</v>
      </c>
    </row>
    <row r="91" spans="1:28" x14ac:dyDescent="0.25">
      <c r="A91" t="s">
        <v>95</v>
      </c>
      <c r="B91">
        <v>0.99252571173614901</v>
      </c>
      <c r="C91">
        <v>0.91678114002645805</v>
      </c>
      <c r="D91">
        <v>0.70528325868063602</v>
      </c>
      <c r="E91">
        <v>0.53657581724237102</v>
      </c>
      <c r="F91">
        <v>0.282485906520965</v>
      </c>
      <c r="G91">
        <v>0.200128408394738</v>
      </c>
      <c r="H91">
        <v>8.5103920331359606E-2</v>
      </c>
      <c r="I91">
        <v>0.14313377362742799</v>
      </c>
      <c r="J91">
        <v>0.13630490928823499</v>
      </c>
      <c r="K91">
        <v>0.17881413292704099</v>
      </c>
      <c r="L91">
        <v>787.48645271486305</v>
      </c>
      <c r="M91">
        <v>16.2045069173796</v>
      </c>
      <c r="N91">
        <v>49.447516273291299</v>
      </c>
      <c r="O91">
        <v>47.874731060988097</v>
      </c>
      <c r="P91">
        <v>-7.4330409267261102E-2</v>
      </c>
      <c r="Q91">
        <v>0.12165588841778099</v>
      </c>
      <c r="R91">
        <v>0.98860668433299803</v>
      </c>
      <c r="S91" t="s">
        <v>6737</v>
      </c>
      <c r="T91" t="s">
        <v>13290</v>
      </c>
      <c r="U91" t="s">
        <v>13290</v>
      </c>
      <c r="V91" t="s">
        <v>13290</v>
      </c>
      <c r="W91" t="s">
        <v>13381</v>
      </c>
      <c r="X91">
        <v>3</v>
      </c>
      <c r="Y91" t="s">
        <v>19966</v>
      </c>
      <c r="Z91" t="s">
        <v>26421</v>
      </c>
      <c r="AA91">
        <v>0.39229412841256223</v>
      </c>
      <c r="AB91" t="str">
        <f>HYPERLINK("Melting_Curves/meltCurve_A8MZI9_RUNX1.pdf", "Melting_Curves/meltCurve_A8MZI9_RUNX1.pdf")</f>
        <v>Melting_Curves/meltCurve_A8MZI9_RUNX1.pdf</v>
      </c>
    </row>
    <row r="92" spans="1:28" x14ac:dyDescent="0.25">
      <c r="A92" t="s">
        <v>96</v>
      </c>
      <c r="B92">
        <v>0.99252571173614901</v>
      </c>
      <c r="C92">
        <v>0.91266706134975295</v>
      </c>
      <c r="D92">
        <v>0.79058156957474002</v>
      </c>
      <c r="E92">
        <v>0.660341082075243</v>
      </c>
      <c r="F92">
        <v>0.54558550737801903</v>
      </c>
      <c r="G92">
        <v>0.28154887640658699</v>
      </c>
      <c r="H92">
        <v>0.17150030001845001</v>
      </c>
      <c r="I92">
        <v>0.18084330219362199</v>
      </c>
      <c r="J92">
        <v>0.28077787771795398</v>
      </c>
      <c r="K92">
        <v>0.24588618425466799</v>
      </c>
      <c r="L92">
        <v>685.99841964876498</v>
      </c>
      <c r="M92">
        <v>13.5541363188046</v>
      </c>
      <c r="N92">
        <v>52.355463012952498</v>
      </c>
      <c r="O92">
        <v>49.548159986342803</v>
      </c>
      <c r="P92">
        <v>-5.5975008957861103E-2</v>
      </c>
      <c r="Q92">
        <v>0.18163947913657999</v>
      </c>
      <c r="R92">
        <v>0.96723975213759805</v>
      </c>
      <c r="S92" t="s">
        <v>6738</v>
      </c>
      <c r="T92" t="s">
        <v>13290</v>
      </c>
      <c r="U92" t="s">
        <v>13290</v>
      </c>
      <c r="V92" t="s">
        <v>13290</v>
      </c>
      <c r="W92" t="s">
        <v>13382</v>
      </c>
      <c r="X92">
        <v>5</v>
      </c>
      <c r="Y92" t="s">
        <v>19967</v>
      </c>
      <c r="Z92" t="s">
        <v>26422</v>
      </c>
      <c r="AA92">
        <v>0.49374764723230358</v>
      </c>
      <c r="AB92" t="str">
        <f>HYPERLINK("Melting_Curves/meltCurve_A9UHW6_MIF4GD.pdf", "Melting_Curves/meltCurve_A9UHW6_MIF4GD.pdf")</f>
        <v>Melting_Curves/meltCurve_A9UHW6_MIF4GD.pdf</v>
      </c>
    </row>
    <row r="93" spans="1:28" x14ac:dyDescent="0.25">
      <c r="A93" t="s">
        <v>97</v>
      </c>
      <c r="B93">
        <v>0.99252571173614901</v>
      </c>
      <c r="C93">
        <v>1.12628644925272</v>
      </c>
      <c r="D93">
        <v>1.0678466815679499</v>
      </c>
      <c r="E93">
        <v>1.1406855909803499</v>
      </c>
      <c r="F93">
        <v>0.59736643169806902</v>
      </c>
      <c r="G93">
        <v>0.35488738929102098</v>
      </c>
      <c r="H93">
        <v>0.24538978500952499</v>
      </c>
      <c r="I93">
        <v>0.26990990875854298</v>
      </c>
      <c r="J93">
        <v>0.36232975048655702</v>
      </c>
      <c r="K93">
        <v>0.40029908310204898</v>
      </c>
      <c r="L93">
        <v>13278.8990628184</v>
      </c>
      <c r="M93">
        <v>250</v>
      </c>
      <c r="N93">
        <v>53.341485815012597</v>
      </c>
      <c r="O93">
        <v>53.112203707448401</v>
      </c>
      <c r="P93">
        <v>-0.79246960623743201</v>
      </c>
      <c r="Q93">
        <v>0.32656316853957701</v>
      </c>
      <c r="R93">
        <v>0.95568260786096904</v>
      </c>
      <c r="S93" t="s">
        <v>6739</v>
      </c>
      <c r="T93" t="s">
        <v>13290</v>
      </c>
      <c r="U93" t="s">
        <v>13290</v>
      </c>
      <c r="V93" t="s">
        <v>13290</v>
      </c>
      <c r="W93" t="s">
        <v>13383</v>
      </c>
      <c r="X93">
        <v>16</v>
      </c>
      <c r="Y93" t="s">
        <v>19968</v>
      </c>
      <c r="Z93" t="s">
        <v>26423</v>
      </c>
      <c r="AA93">
        <v>0.62104346373656794</v>
      </c>
      <c r="AB93" t="str">
        <f>HYPERLINK("Melting_Curves/meltCurve_A9Z1X7_SRRM1.pdf", "Melting_Curves/meltCurve_A9Z1X7_SRRM1.pdf")</f>
        <v>Melting_Curves/meltCurve_A9Z1X7_SRRM1.pdf</v>
      </c>
    </row>
    <row r="94" spans="1:28" x14ac:dyDescent="0.25">
      <c r="A94" t="s">
        <v>98</v>
      </c>
      <c r="B94">
        <v>0.99252571173614901</v>
      </c>
      <c r="C94">
        <v>0.97334006031962295</v>
      </c>
      <c r="D94">
        <v>1.3482762502189301</v>
      </c>
      <c r="E94">
        <v>2.29158279599464</v>
      </c>
      <c r="F94">
        <v>0.90712330583187895</v>
      </c>
      <c r="G94">
        <v>0.21062706446120599</v>
      </c>
      <c r="H94">
        <v>0.15642490160361</v>
      </c>
      <c r="I94">
        <v>0.13570422429467599</v>
      </c>
      <c r="J94">
        <v>0.15287051720050501</v>
      </c>
      <c r="K94">
        <v>0.15261210621699201</v>
      </c>
      <c r="L94">
        <v>4200.2415419826702</v>
      </c>
      <c r="M94">
        <v>76.7149182184681</v>
      </c>
      <c r="N94">
        <v>55.009707909356699</v>
      </c>
      <c r="O94">
        <v>54.714129801976902</v>
      </c>
      <c r="P94">
        <v>-0.29749354897465602</v>
      </c>
      <c r="Q94">
        <v>0.151294247652519</v>
      </c>
      <c r="R94">
        <v>0.61043256320091299</v>
      </c>
      <c r="S94" t="s">
        <v>6740</v>
      </c>
      <c r="T94" t="s">
        <v>13290</v>
      </c>
      <c r="U94" t="s">
        <v>13290</v>
      </c>
      <c r="V94" t="s">
        <v>13290</v>
      </c>
      <c r="W94" t="s">
        <v>13384</v>
      </c>
      <c r="X94">
        <v>18</v>
      </c>
      <c r="Y94" t="s">
        <v>19969</v>
      </c>
      <c r="Z94" t="s">
        <v>26424</v>
      </c>
      <c r="AA94">
        <v>0.56947927281899324</v>
      </c>
      <c r="AB94" t="str">
        <f>HYPERLINK("Melting_Curves/meltCurve_B0QY89_EIF3L.pdf", "Melting_Curves/meltCurve_B0QY89_EIF3L.pdf")</f>
        <v>Melting_Curves/meltCurve_B0QY89_EIF3L.pdf</v>
      </c>
    </row>
    <row r="95" spans="1:28" x14ac:dyDescent="0.25">
      <c r="A95" t="s">
        <v>99</v>
      </c>
      <c r="B95">
        <v>0.99252571173614901</v>
      </c>
      <c r="C95">
        <v>0.96115134073062602</v>
      </c>
      <c r="D95">
        <v>0.883398467784548</v>
      </c>
      <c r="E95">
        <v>0.740754513961278</v>
      </c>
      <c r="F95">
        <v>0.35185981030417801</v>
      </c>
      <c r="G95">
        <v>0.15227950746277399</v>
      </c>
      <c r="H95">
        <v>0.115209978714859</v>
      </c>
      <c r="I95">
        <v>0.13226966288884001</v>
      </c>
      <c r="J95">
        <v>0.17930604877533099</v>
      </c>
      <c r="K95">
        <v>0.15927403252998201</v>
      </c>
      <c r="L95">
        <v>1325.1062871333399</v>
      </c>
      <c r="M95">
        <v>26.014422315407099</v>
      </c>
      <c r="N95">
        <v>51.559324934583003</v>
      </c>
      <c r="O95">
        <v>50.639233965063198</v>
      </c>
      <c r="P95">
        <v>-0.111135351676855</v>
      </c>
      <c r="Q95">
        <v>0.13467317117737701</v>
      </c>
      <c r="R95">
        <v>0.991347100329523</v>
      </c>
      <c r="S95" t="s">
        <v>6741</v>
      </c>
      <c r="T95" t="s">
        <v>13290</v>
      </c>
      <c r="U95" t="s">
        <v>13290</v>
      </c>
      <c r="V95" t="s">
        <v>13290</v>
      </c>
      <c r="W95" t="s">
        <v>13385</v>
      </c>
      <c r="X95">
        <v>8</v>
      </c>
      <c r="Y95" t="s">
        <v>19970</v>
      </c>
      <c r="Z95" t="s">
        <v>26425</v>
      </c>
      <c r="AA95">
        <v>0.45737486705778219</v>
      </c>
      <c r="AB95" t="str">
        <f>HYPERLINK("Melting_Curves/meltCurve_B0QY95_SMCR7L.pdf", "Melting_Curves/meltCurve_B0QY95_SMCR7L.pdf")</f>
        <v>Melting_Curves/meltCurve_B0QY95_SMCR7L.pdf</v>
      </c>
    </row>
    <row r="96" spans="1:28" x14ac:dyDescent="0.25">
      <c r="A96" t="s">
        <v>100</v>
      </c>
      <c r="B96">
        <v>0.99252571173614901</v>
      </c>
      <c r="C96">
        <v>1.0234545220923701</v>
      </c>
      <c r="D96">
        <v>0.97617275699955897</v>
      </c>
      <c r="E96">
        <v>0.81417880179317004</v>
      </c>
      <c r="F96">
        <v>0.705434526566457</v>
      </c>
      <c r="G96">
        <v>0.41075524783661799</v>
      </c>
      <c r="H96">
        <v>0.17093478942852</v>
      </c>
      <c r="I96">
        <v>0.15168818720313901</v>
      </c>
      <c r="J96">
        <v>0.19061712505985201</v>
      </c>
      <c r="K96">
        <v>0.18766173790638799</v>
      </c>
      <c r="L96">
        <v>1070.4270915666</v>
      </c>
      <c r="M96">
        <v>19.7086333517545</v>
      </c>
      <c r="N96">
        <v>55.240261636503703</v>
      </c>
      <c r="O96">
        <v>53.762706875864197</v>
      </c>
      <c r="P96">
        <v>-7.8737018115622795E-2</v>
      </c>
      <c r="Q96">
        <v>0.14089033647343199</v>
      </c>
      <c r="R96">
        <v>0.98776215882468799</v>
      </c>
      <c r="S96" t="s">
        <v>6742</v>
      </c>
      <c r="T96" t="s">
        <v>13290</v>
      </c>
      <c r="U96" t="s">
        <v>13290</v>
      </c>
      <c r="V96" t="s">
        <v>13290</v>
      </c>
      <c r="W96" t="s">
        <v>13386</v>
      </c>
      <c r="X96">
        <v>7</v>
      </c>
      <c r="Y96" t="s">
        <v>19971</v>
      </c>
      <c r="Z96" t="s">
        <v>26426</v>
      </c>
      <c r="AA96">
        <v>0.56264474922746699</v>
      </c>
      <c r="AB96" t="str">
        <f>HYPERLINK("Melting_Curves/meltCurve_B0QYI3_TBC1D22A.pdf", "Melting_Curves/meltCurve_B0QYI3_TBC1D22A.pdf")</f>
        <v>Melting_Curves/meltCurve_B0QYI3_TBC1D22A.pdf</v>
      </c>
    </row>
    <row r="97" spans="1:28" x14ac:dyDescent="0.25">
      <c r="A97" t="s">
        <v>101</v>
      </c>
      <c r="B97">
        <v>0.99252571173614901</v>
      </c>
      <c r="C97">
        <v>1.0199087354224401</v>
      </c>
      <c r="D97">
        <v>0.96233058086447698</v>
      </c>
      <c r="E97">
        <v>0.81764846135991098</v>
      </c>
      <c r="F97">
        <v>0.76061332496756895</v>
      </c>
      <c r="G97">
        <v>0.69797988140469902</v>
      </c>
      <c r="H97">
        <v>0.62878736383494105</v>
      </c>
      <c r="I97">
        <v>0.70075682219716695</v>
      </c>
      <c r="J97">
        <v>0.94725400787110703</v>
      </c>
      <c r="K97">
        <v>1.0646239955022501</v>
      </c>
      <c r="L97">
        <v>2633.67167114515</v>
      </c>
      <c r="M97">
        <v>55.745353952255599</v>
      </c>
      <c r="O97">
        <v>47.184002717368998</v>
      </c>
      <c r="P97">
        <v>-5.89169312119735E-2</v>
      </c>
      <c r="Q97">
        <v>0.800526151852894</v>
      </c>
      <c r="R97">
        <v>0.34780941441104102</v>
      </c>
      <c r="S97" t="s">
        <v>6743</v>
      </c>
      <c r="T97" t="s">
        <v>13290</v>
      </c>
      <c r="U97" t="s">
        <v>13290</v>
      </c>
      <c r="V97" t="s">
        <v>13290</v>
      </c>
      <c r="W97" t="s">
        <v>13387</v>
      </c>
      <c r="X97">
        <v>9</v>
      </c>
      <c r="Y97" t="s">
        <v>19972</v>
      </c>
      <c r="Z97" t="s">
        <v>26427</v>
      </c>
      <c r="AA97">
        <v>0.84903121183988928</v>
      </c>
      <c r="AB97" t="str">
        <f>HYPERLINK("Melting_Curves/meltCurve_B0QYK0_EWSR1.pdf", "Melting_Curves/meltCurve_B0QYK0_EWSR1.pdf")</f>
        <v>Melting_Curves/meltCurve_B0QYK0_EWSR1.pdf</v>
      </c>
    </row>
    <row r="98" spans="1:28" x14ac:dyDescent="0.25">
      <c r="A98" t="s">
        <v>102</v>
      </c>
      <c r="B98">
        <v>0.99252571173614901</v>
      </c>
      <c r="C98">
        <v>0.98575925502761796</v>
      </c>
      <c r="D98">
        <v>0.79705434407622</v>
      </c>
      <c r="E98">
        <v>0.66754408193993797</v>
      </c>
      <c r="F98">
        <v>0.36071245097596799</v>
      </c>
      <c r="G98">
        <v>0.206251057584417</v>
      </c>
      <c r="H98">
        <v>0.153745472476225</v>
      </c>
      <c r="I98">
        <v>0.21293072292940499</v>
      </c>
      <c r="J98">
        <v>0.23327955988434301</v>
      </c>
      <c r="K98">
        <v>0.29064800151414799</v>
      </c>
      <c r="L98">
        <v>1023.99349060425</v>
      </c>
      <c r="M98">
        <v>20.6242610661185</v>
      </c>
      <c r="N98">
        <v>50.962030563733599</v>
      </c>
      <c r="O98">
        <v>49.190230122256203</v>
      </c>
      <c r="P98">
        <v>-8.32295208140965E-2</v>
      </c>
      <c r="Q98">
        <v>0.205991055924727</v>
      </c>
      <c r="R98">
        <v>0.97578059424665398</v>
      </c>
      <c r="S98" t="s">
        <v>6744</v>
      </c>
      <c r="T98" t="s">
        <v>13290</v>
      </c>
      <c r="U98" t="s">
        <v>13290</v>
      </c>
      <c r="V98" t="s">
        <v>13290</v>
      </c>
      <c r="W98" t="s">
        <v>13388</v>
      </c>
      <c r="X98">
        <v>2</v>
      </c>
      <c r="Y98" t="s">
        <v>19973</v>
      </c>
      <c r="Z98" t="s">
        <v>26428</v>
      </c>
      <c r="AA98">
        <v>0.47181189598560269</v>
      </c>
      <c r="AB98" t="str">
        <f>HYPERLINK("Melting_Curves/meltCurve_B0QYS6_TFEB.pdf", "Melting_Curves/meltCurve_B0QYS6_TFEB.pdf")</f>
        <v>Melting_Curves/meltCurve_B0QYS6_TFEB.pdf</v>
      </c>
    </row>
    <row r="99" spans="1:28" x14ac:dyDescent="0.25">
      <c r="A99" t="s">
        <v>103</v>
      </c>
      <c r="B99">
        <v>0.99252571173614901</v>
      </c>
      <c r="C99">
        <v>0.90008294798449195</v>
      </c>
      <c r="D99">
        <v>0.80251007967204402</v>
      </c>
      <c r="E99">
        <v>0.59734427967417403</v>
      </c>
      <c r="F99">
        <v>0.91454943589695603</v>
      </c>
      <c r="G99">
        <v>0.65230365306712601</v>
      </c>
      <c r="H99">
        <v>0.41700489254584699</v>
      </c>
      <c r="I99">
        <v>0.50401463699360405</v>
      </c>
      <c r="J99">
        <v>0.51114360470337095</v>
      </c>
      <c r="K99">
        <v>4.7218142499894603E-2</v>
      </c>
      <c r="L99">
        <v>373.53682732533099</v>
      </c>
      <c r="M99">
        <v>6.1684917795938601</v>
      </c>
      <c r="N99">
        <v>60.555618237944302</v>
      </c>
      <c r="O99">
        <v>55.119700264075497</v>
      </c>
      <c r="P99">
        <v>-2.8059766056803499E-2</v>
      </c>
      <c r="Q99">
        <v>0</v>
      </c>
      <c r="R99">
        <v>0.72874050377315003</v>
      </c>
      <c r="S99" t="s">
        <v>6745</v>
      </c>
      <c r="T99" t="s">
        <v>13290</v>
      </c>
      <c r="U99" t="s">
        <v>13290</v>
      </c>
      <c r="V99" t="s">
        <v>13290</v>
      </c>
      <c r="W99" t="s">
        <v>13389</v>
      </c>
      <c r="X99">
        <v>1</v>
      </c>
      <c r="Y99" t="s">
        <v>19974</v>
      </c>
      <c r="Z99" t="s">
        <v>26429</v>
      </c>
      <c r="AA99">
        <v>0.64598304321815248</v>
      </c>
      <c r="AB99" t="str">
        <f>HYPERLINK("Melting_Curves/meltCurve_B0QYW5_SLC25A17.pdf", "Melting_Curves/meltCurve_B0QYW5_SLC25A17.pdf")</f>
        <v>Melting_Curves/meltCurve_B0QYW5_SLC25A17.pdf</v>
      </c>
    </row>
    <row r="100" spans="1:28" x14ac:dyDescent="0.25">
      <c r="A100" t="s">
        <v>104</v>
      </c>
      <c r="B100">
        <v>0.99252571173614901</v>
      </c>
      <c r="C100">
        <v>0.86868377174010103</v>
      </c>
      <c r="D100">
        <v>0.666744278733577</v>
      </c>
      <c r="E100">
        <v>0.359501647037267</v>
      </c>
      <c r="F100">
        <v>0.179592958807784</v>
      </c>
      <c r="G100">
        <v>0.106195505800233</v>
      </c>
      <c r="H100">
        <v>8.6734139992081294E-2</v>
      </c>
      <c r="I100">
        <v>9.4204180806813406E-2</v>
      </c>
      <c r="J100">
        <v>0.13230044367973401</v>
      </c>
      <c r="K100">
        <v>0.131981938528378</v>
      </c>
      <c r="L100">
        <v>938.47890944694802</v>
      </c>
      <c r="M100">
        <v>19.895543312449298</v>
      </c>
      <c r="N100">
        <v>47.712526153672997</v>
      </c>
      <c r="O100">
        <v>46.701514482260599</v>
      </c>
      <c r="P100">
        <v>-9.5730853536219004E-2</v>
      </c>
      <c r="Q100">
        <v>0.10118015736354</v>
      </c>
      <c r="R100">
        <v>0.99630245970176101</v>
      </c>
      <c r="S100" t="s">
        <v>6746</v>
      </c>
      <c r="T100" t="s">
        <v>13290</v>
      </c>
      <c r="U100" t="s">
        <v>13290</v>
      </c>
      <c r="V100" t="s">
        <v>13290</v>
      </c>
      <c r="W100" t="s">
        <v>13390</v>
      </c>
      <c r="X100">
        <v>25</v>
      </c>
      <c r="Y100" t="s">
        <v>19975</v>
      </c>
      <c r="Z100" t="s">
        <v>26430</v>
      </c>
      <c r="AA100">
        <v>0.32923126987592588</v>
      </c>
      <c r="AB100" t="str">
        <f>HYPERLINK("Melting_Curves/meltCurve_B0UX83_BAG6.pdf", "Melting_Curves/meltCurve_B0UX83_BAG6.pdf")</f>
        <v>Melting_Curves/meltCurve_B0UX83_BAG6.pdf</v>
      </c>
    </row>
    <row r="101" spans="1:28" x14ac:dyDescent="0.25">
      <c r="A101" t="s">
        <v>105</v>
      </c>
      <c r="B101">
        <v>0.99252571173614901</v>
      </c>
      <c r="C101">
        <v>0.89357744908231296</v>
      </c>
      <c r="D101">
        <v>0.831892393798356</v>
      </c>
      <c r="E101">
        <v>0.66116482881704797</v>
      </c>
      <c r="F101">
        <v>0.271711217385816</v>
      </c>
      <c r="G101">
        <v>0.15652747798039099</v>
      </c>
      <c r="H101">
        <v>9.6022816248796605E-2</v>
      </c>
      <c r="I101">
        <v>8.6518524552232606E-2</v>
      </c>
      <c r="J101">
        <v>7.1241233617946695E-2</v>
      </c>
      <c r="K101">
        <v>6.1187266099590902E-2</v>
      </c>
      <c r="L101">
        <v>907.81461699598594</v>
      </c>
      <c r="M101">
        <v>18.008002555005099</v>
      </c>
      <c r="N101">
        <v>50.734012502669799</v>
      </c>
      <c r="O101">
        <v>49.802408437645802</v>
      </c>
      <c r="P101">
        <v>-8.5515829416308003E-2</v>
      </c>
      <c r="Q101">
        <v>5.4046253701656798E-2</v>
      </c>
      <c r="R101">
        <v>0.99107584091430001</v>
      </c>
      <c r="S101" t="s">
        <v>6747</v>
      </c>
      <c r="T101" t="s">
        <v>13290</v>
      </c>
      <c r="U101" t="s">
        <v>13290</v>
      </c>
      <c r="V101" t="s">
        <v>13290</v>
      </c>
      <c r="W101" t="s">
        <v>13391</v>
      </c>
      <c r="X101">
        <v>16</v>
      </c>
      <c r="Y101" t="s">
        <v>19976</v>
      </c>
      <c r="Z101" t="s">
        <v>26431</v>
      </c>
      <c r="AA101">
        <v>0.39838272227533722</v>
      </c>
      <c r="AB101" t="str">
        <f>HYPERLINK("Melting_Curves/meltCurve_B0UXB6_ABHD16A.pdf", "Melting_Curves/meltCurve_B0UXB6_ABHD16A.pdf")</f>
        <v>Melting_Curves/meltCurve_B0UXB6_ABHD16A.pdf</v>
      </c>
    </row>
    <row r="102" spans="1:28" x14ac:dyDescent="0.25">
      <c r="A102" t="s">
        <v>106</v>
      </c>
      <c r="B102">
        <v>0.99252571173614901</v>
      </c>
      <c r="C102">
        <v>0.87592808497187702</v>
      </c>
      <c r="D102">
        <v>0.81998894538549805</v>
      </c>
      <c r="E102">
        <v>0.58376128838888697</v>
      </c>
      <c r="F102">
        <v>0.296971629124336</v>
      </c>
      <c r="G102">
        <v>0.18564522823159299</v>
      </c>
      <c r="H102">
        <v>0.13240822129683599</v>
      </c>
      <c r="I102">
        <v>0.14656189069622</v>
      </c>
      <c r="J102">
        <v>0.196307225183111</v>
      </c>
      <c r="K102">
        <v>0.15723947327729501</v>
      </c>
      <c r="L102">
        <v>896.96095945387901</v>
      </c>
      <c r="M102">
        <v>18.197534199971699</v>
      </c>
      <c r="N102">
        <v>50.194951034922703</v>
      </c>
      <c r="O102">
        <v>48.706579868746999</v>
      </c>
      <c r="P102">
        <v>-8.0348507277491099E-2</v>
      </c>
      <c r="Q102">
        <v>0.139814001716108</v>
      </c>
      <c r="R102">
        <v>0.989279646802672</v>
      </c>
      <c r="S102" t="s">
        <v>6748</v>
      </c>
      <c r="T102" t="s">
        <v>13290</v>
      </c>
      <c r="U102" t="s">
        <v>13290</v>
      </c>
      <c r="V102" t="s">
        <v>13290</v>
      </c>
      <c r="W102" t="s">
        <v>13306</v>
      </c>
      <c r="X102">
        <v>12</v>
      </c>
      <c r="Y102" t="s">
        <v>19892</v>
      </c>
      <c r="Z102" t="s">
        <v>26432</v>
      </c>
      <c r="AA102">
        <v>0.42069957949524622</v>
      </c>
      <c r="AB102" t="str">
        <f>HYPERLINK("Melting_Curves/meltCurve_B0UY12_HLA_C.pdf", "Melting_Curves/meltCurve_B0UY12_HLA_C.pdf")</f>
        <v>Melting_Curves/meltCurve_B0UY12_HLA_C.pdf</v>
      </c>
    </row>
    <row r="103" spans="1:28" x14ac:dyDescent="0.25">
      <c r="A103" t="s">
        <v>107</v>
      </c>
      <c r="B103">
        <v>0.99252571173614901</v>
      </c>
      <c r="C103">
        <v>1.0125078088442701</v>
      </c>
      <c r="D103">
        <v>0.81449850489169595</v>
      </c>
      <c r="E103">
        <v>0.75337543333870305</v>
      </c>
      <c r="F103">
        <v>0.48105540629506899</v>
      </c>
      <c r="G103">
        <v>0.360646493357691</v>
      </c>
      <c r="H103">
        <v>0.33117932107078002</v>
      </c>
      <c r="I103">
        <v>0.45002577420401202</v>
      </c>
      <c r="J103">
        <v>0.64421825297949298</v>
      </c>
      <c r="K103">
        <v>0.71684611618702898</v>
      </c>
      <c r="L103">
        <v>1234.05046298406</v>
      </c>
      <c r="M103">
        <v>25.574494971599599</v>
      </c>
      <c r="N103">
        <v>59.977899441097499</v>
      </c>
      <c r="O103">
        <v>47.9610417277812</v>
      </c>
      <c r="P103">
        <v>-6.7104550962944404E-2</v>
      </c>
      <c r="Q103">
        <v>0.49662902389906699</v>
      </c>
      <c r="R103">
        <v>0.74316421071539096</v>
      </c>
      <c r="S103" t="s">
        <v>6749</v>
      </c>
      <c r="T103" t="s">
        <v>13290</v>
      </c>
      <c r="U103" t="s">
        <v>13290</v>
      </c>
      <c r="V103" t="s">
        <v>13290</v>
      </c>
      <c r="W103" t="s">
        <v>13392</v>
      </c>
      <c r="X103">
        <v>8</v>
      </c>
      <c r="Y103" t="s">
        <v>19977</v>
      </c>
      <c r="Z103" t="s">
        <v>26433</v>
      </c>
      <c r="AA103">
        <v>0.63934965770922503</v>
      </c>
      <c r="AB103" t="str">
        <f>HYPERLINK("Melting_Curves/meltCurve_B0UZY3_EHMT2.pdf", "Melting_Curves/meltCurve_B0UZY3_EHMT2.pdf")</f>
        <v>Melting_Curves/meltCurve_B0UZY3_EHMT2.pdf</v>
      </c>
    </row>
    <row r="104" spans="1:28" x14ac:dyDescent="0.25">
      <c r="A104" t="s">
        <v>108</v>
      </c>
      <c r="B104">
        <v>0.99252571173614901</v>
      </c>
      <c r="C104">
        <v>0.768535368432814</v>
      </c>
      <c r="D104">
        <v>1.02157704584251</v>
      </c>
      <c r="E104">
        <v>0.73467480853504896</v>
      </c>
      <c r="F104">
        <v>0.18787913044390001</v>
      </c>
      <c r="G104">
        <v>0.10901820326874299</v>
      </c>
      <c r="H104">
        <v>7.6656508871797299E-2</v>
      </c>
      <c r="I104">
        <v>7.8477371355667694E-2</v>
      </c>
      <c r="J104">
        <v>9.1508009885252206E-2</v>
      </c>
      <c r="K104">
        <v>8.7975771960998705E-2</v>
      </c>
      <c r="L104">
        <v>2195.7070869859099</v>
      </c>
      <c r="M104">
        <v>43.363327488462801</v>
      </c>
      <c r="N104">
        <v>50.859118618750699</v>
      </c>
      <c r="O104">
        <v>50.527786868024002</v>
      </c>
      <c r="P104">
        <v>-0.195900990936026</v>
      </c>
      <c r="Q104">
        <v>8.6930964102498801E-2</v>
      </c>
      <c r="R104">
        <v>0.96367651556903899</v>
      </c>
      <c r="S104" t="s">
        <v>6750</v>
      </c>
      <c r="T104" t="s">
        <v>13290</v>
      </c>
      <c r="U104" t="s">
        <v>13290</v>
      </c>
      <c r="V104" t="s">
        <v>13290</v>
      </c>
      <c r="W104" t="s">
        <v>13393</v>
      </c>
      <c r="X104">
        <v>48</v>
      </c>
      <c r="Y104" t="s">
        <v>19978</v>
      </c>
      <c r="Z104" t="s">
        <v>26434</v>
      </c>
      <c r="AA104">
        <v>0.41333365609321598</v>
      </c>
      <c r="AB104" t="str">
        <f>HYPERLINK("Melting_Curves/meltCurve_B0V043_VARS.pdf", "Melting_Curves/meltCurve_B0V043_VARS.pdf")</f>
        <v>Melting_Curves/meltCurve_B0V043_VARS.pdf</v>
      </c>
    </row>
    <row r="105" spans="1:28" x14ac:dyDescent="0.25">
      <c r="A105" t="s">
        <v>109</v>
      </c>
      <c r="B105">
        <v>0.99252571173614901</v>
      </c>
      <c r="C105">
        <v>0.97894444456469698</v>
      </c>
      <c r="D105">
        <v>1.0904879054646599</v>
      </c>
      <c r="E105">
        <v>2.3367756290178998</v>
      </c>
      <c r="F105">
        <v>1.29189217490562</v>
      </c>
      <c r="G105">
        <v>1.1368378626067599</v>
      </c>
      <c r="H105">
        <v>1.53412432905634</v>
      </c>
      <c r="I105">
        <v>2.8490102509166002</v>
      </c>
      <c r="J105">
        <v>2.0602010007541498</v>
      </c>
      <c r="K105">
        <v>1.1085687544192</v>
      </c>
      <c r="L105">
        <v>11569.4483376096</v>
      </c>
      <c r="M105">
        <v>250</v>
      </c>
      <c r="O105">
        <v>46.2748318931637</v>
      </c>
      <c r="P105">
        <v>0.675313097162628</v>
      </c>
      <c r="Q105">
        <v>1.5</v>
      </c>
      <c r="R105">
        <v>0.17729588376892799</v>
      </c>
      <c r="S105" t="s">
        <v>6751</v>
      </c>
      <c r="T105" t="s">
        <v>13290</v>
      </c>
      <c r="U105" t="s">
        <v>13290</v>
      </c>
      <c r="V105" t="s">
        <v>13290</v>
      </c>
      <c r="W105" t="s">
        <v>13394</v>
      </c>
      <c r="X105">
        <v>4</v>
      </c>
      <c r="Y105" t="s">
        <v>19979</v>
      </c>
      <c r="Z105" t="s">
        <v>26435</v>
      </c>
      <c r="AA105">
        <v>1.3953295024224821</v>
      </c>
      <c r="AB105" t="str">
        <f>HYPERLINK("Melting_Curves/meltCurve_B0V0T3_PSMB9.pdf", "Melting_Curves/meltCurve_B0V0T3_PSMB9.pdf")</f>
        <v>Melting_Curves/meltCurve_B0V0T3_PSMB9.pdf</v>
      </c>
    </row>
    <row r="106" spans="1:28" x14ac:dyDescent="0.25">
      <c r="A106" t="s">
        <v>110</v>
      </c>
      <c r="B106">
        <v>0.99252571173614901</v>
      </c>
      <c r="C106">
        <v>1.11817313548047</v>
      </c>
      <c r="D106">
        <v>1.04432559822414</v>
      </c>
      <c r="E106">
        <v>0.99057601662880701</v>
      </c>
      <c r="F106">
        <v>0.80009226162104496</v>
      </c>
      <c r="G106">
        <v>0.67592683887942095</v>
      </c>
      <c r="H106">
        <v>0.65583825480227098</v>
      </c>
      <c r="I106">
        <v>0.77346110478486696</v>
      </c>
      <c r="J106">
        <v>1.12451588396944</v>
      </c>
      <c r="K106">
        <v>1.2758244794701701</v>
      </c>
      <c r="L106">
        <v>15000</v>
      </c>
      <c r="M106">
        <v>223.35160750769401</v>
      </c>
      <c r="O106">
        <v>67.153296458747604</v>
      </c>
      <c r="P106">
        <v>0.22937680876050601</v>
      </c>
      <c r="Q106">
        <v>1.27585938961898</v>
      </c>
      <c r="R106">
        <v>0.15669057910280099</v>
      </c>
      <c r="S106" t="s">
        <v>6752</v>
      </c>
      <c r="T106" t="s">
        <v>13290</v>
      </c>
      <c r="U106" t="s">
        <v>13290</v>
      </c>
      <c r="V106" t="s">
        <v>13290</v>
      </c>
      <c r="W106" t="s">
        <v>13395</v>
      </c>
      <c r="X106">
        <v>3</v>
      </c>
      <c r="Y106" t="s">
        <v>19980</v>
      </c>
      <c r="Z106" t="s">
        <v>26436</v>
      </c>
      <c r="AA106">
        <v>1.026086404424668</v>
      </c>
      <c r="AB106" t="str">
        <f>HYPERLINK("Melting_Curves/meltCurve_B0YIW2_APOC3.pdf", "Melting_Curves/meltCurve_B0YIW2_APOC3.pdf")</f>
        <v>Melting_Curves/meltCurve_B0YIW2_APOC3.pdf</v>
      </c>
    </row>
    <row r="107" spans="1:28" x14ac:dyDescent="0.25">
      <c r="A107" t="s">
        <v>111</v>
      </c>
      <c r="B107">
        <v>0.99252571173614901</v>
      </c>
      <c r="C107">
        <v>0.99304029179507802</v>
      </c>
      <c r="D107">
        <v>0.95884649343969397</v>
      </c>
      <c r="E107">
        <v>0.96369320950511395</v>
      </c>
      <c r="F107">
        <v>0.91100633499804695</v>
      </c>
      <c r="G107">
        <v>0.591425896952118</v>
      </c>
      <c r="H107">
        <v>0.54572309654816298</v>
      </c>
      <c r="I107">
        <v>0.63742038013923896</v>
      </c>
      <c r="J107">
        <v>0.94603910007721304</v>
      </c>
      <c r="K107">
        <v>0.92967866153642598</v>
      </c>
      <c r="L107">
        <v>13337.7532190807</v>
      </c>
      <c r="M107">
        <v>250</v>
      </c>
      <c r="O107">
        <v>53.347601296167603</v>
      </c>
      <c r="P107">
        <v>-0.31625435817858</v>
      </c>
      <c r="Q107">
        <v>0.73005743058043304</v>
      </c>
      <c r="R107">
        <v>0.47684493332169597</v>
      </c>
      <c r="S107" t="s">
        <v>6753</v>
      </c>
      <c r="T107" t="s">
        <v>13290</v>
      </c>
      <c r="U107" t="s">
        <v>13290</v>
      </c>
      <c r="V107" t="s">
        <v>13290</v>
      </c>
      <c r="W107" t="s">
        <v>13396</v>
      </c>
      <c r="X107">
        <v>6</v>
      </c>
      <c r="Y107" t="s">
        <v>19981</v>
      </c>
      <c r="Z107" t="s">
        <v>26437</v>
      </c>
      <c r="AA107">
        <v>0.85021626269606954</v>
      </c>
      <c r="AB107" t="str">
        <f>HYPERLINK("Melting_Curves/meltCurve_B0YJC4_VIM.pdf", "Melting_Curves/meltCurve_B0YJC4_VIM.pdf")</f>
        <v>Melting_Curves/meltCurve_B0YJC4_VIM.pdf</v>
      </c>
    </row>
    <row r="108" spans="1:28" x14ac:dyDescent="0.25">
      <c r="A108" t="s">
        <v>112</v>
      </c>
      <c r="B108">
        <v>0.99252571173614901</v>
      </c>
      <c r="C108">
        <v>0.93683499773250101</v>
      </c>
      <c r="D108">
        <v>0.89685197823011298</v>
      </c>
      <c r="E108">
        <v>0.68326741623193799</v>
      </c>
      <c r="F108">
        <v>0.92794953819926596</v>
      </c>
      <c r="G108">
        <v>0.84746184746407704</v>
      </c>
      <c r="H108">
        <v>1.00696942428781</v>
      </c>
      <c r="I108">
        <v>1.37858539012894</v>
      </c>
      <c r="J108">
        <v>1.3539632403972099</v>
      </c>
      <c r="K108">
        <v>0.675206816853133</v>
      </c>
      <c r="L108">
        <v>15000</v>
      </c>
      <c r="M108">
        <v>243.84680525055799</v>
      </c>
      <c r="O108">
        <v>61.509878103922702</v>
      </c>
      <c r="P108">
        <v>0.134697891144445</v>
      </c>
      <c r="Q108">
        <v>1.1359091490781501</v>
      </c>
      <c r="R108">
        <v>9.1313626871214401E-2</v>
      </c>
      <c r="S108" t="s">
        <v>6754</v>
      </c>
      <c r="T108" t="s">
        <v>13290</v>
      </c>
      <c r="U108" t="s">
        <v>13290</v>
      </c>
      <c r="V108" t="s">
        <v>13290</v>
      </c>
      <c r="W108" t="s">
        <v>13397</v>
      </c>
      <c r="X108">
        <v>2</v>
      </c>
      <c r="Y108" t="s">
        <v>19982</v>
      </c>
      <c r="Z108" t="s">
        <v>26438</v>
      </c>
      <c r="AA108">
        <v>1.038428604145782</v>
      </c>
      <c r="AB108" t="str">
        <f>HYPERLINK("Melting_Curves/meltCurve_B1AH87_TSPO.pdf", "Melting_Curves/meltCurve_B1AH87_TSPO.pdf")</f>
        <v>Melting_Curves/meltCurve_B1AH87_TSPO.pdf</v>
      </c>
    </row>
    <row r="109" spans="1:28" x14ac:dyDescent="0.25">
      <c r="A109" t="s">
        <v>113</v>
      </c>
      <c r="B109">
        <v>0.99252571173614901</v>
      </c>
      <c r="C109">
        <v>1.0806988445543899</v>
      </c>
      <c r="D109">
        <v>1.2035365321947</v>
      </c>
      <c r="E109">
        <v>1.11272649518605</v>
      </c>
      <c r="F109">
        <v>1.00184152989784</v>
      </c>
      <c r="G109">
        <v>0.73112387550334501</v>
      </c>
      <c r="H109">
        <v>0.42730958033586702</v>
      </c>
      <c r="I109">
        <v>0.32601616822382901</v>
      </c>
      <c r="J109">
        <v>0.37842468731897</v>
      </c>
      <c r="K109">
        <v>0.29654323529335702</v>
      </c>
      <c r="L109">
        <v>2241.3320391755701</v>
      </c>
      <c r="M109">
        <v>38.982914035268799</v>
      </c>
      <c r="N109">
        <v>59.167240471469498</v>
      </c>
      <c r="O109">
        <v>57.344572351714397</v>
      </c>
      <c r="P109">
        <v>-0.11321579998291099</v>
      </c>
      <c r="Q109">
        <v>0.33383164488264699</v>
      </c>
      <c r="R109">
        <v>0.94469548454046404</v>
      </c>
      <c r="S109" t="s">
        <v>6755</v>
      </c>
      <c r="T109" t="s">
        <v>13290</v>
      </c>
      <c r="U109" t="s">
        <v>13290</v>
      </c>
      <c r="V109" t="s">
        <v>13290</v>
      </c>
      <c r="W109" t="s">
        <v>13398</v>
      </c>
      <c r="X109">
        <v>7</v>
      </c>
      <c r="Y109" t="s">
        <v>19983</v>
      </c>
      <c r="Z109" t="s">
        <v>26439</v>
      </c>
      <c r="AA109">
        <v>0.72506470946133961</v>
      </c>
      <c r="AB109" t="str">
        <f>HYPERLINK("Melting_Curves/meltCurve_B1AHD1_NHP2L1.pdf", "Melting_Curves/meltCurve_B1AHD1_NHP2L1.pdf")</f>
        <v>Melting_Curves/meltCurve_B1AHD1_NHP2L1.pdf</v>
      </c>
    </row>
    <row r="110" spans="1:28" x14ac:dyDescent="0.25">
      <c r="A110" t="s">
        <v>114</v>
      </c>
      <c r="B110">
        <v>0.99252571173614901</v>
      </c>
      <c r="C110">
        <v>1.05302034012949</v>
      </c>
      <c r="D110">
        <v>0.97991978061832297</v>
      </c>
      <c r="E110">
        <v>0.80882024833780897</v>
      </c>
      <c r="F110">
        <v>0.737741781799921</v>
      </c>
      <c r="G110">
        <v>0.46084267749925401</v>
      </c>
      <c r="H110">
        <v>0.17348210608563799</v>
      </c>
      <c r="I110">
        <v>9.4378152163949305E-2</v>
      </c>
      <c r="J110">
        <v>9.14866185289884E-2</v>
      </c>
      <c r="K110">
        <v>8.3641291494685396E-2</v>
      </c>
      <c r="L110">
        <v>947.05256557965697</v>
      </c>
      <c r="M110">
        <v>17.0049502653677</v>
      </c>
      <c r="N110">
        <v>55.873386417675597</v>
      </c>
      <c r="O110">
        <v>54.939674269522101</v>
      </c>
      <c r="P110">
        <v>-7.5315207383434293E-2</v>
      </c>
      <c r="Q110">
        <v>2.6745158279440299E-2</v>
      </c>
      <c r="R110">
        <v>0.98916748044636404</v>
      </c>
      <c r="S110" t="s">
        <v>6756</v>
      </c>
      <c r="T110" t="s">
        <v>13290</v>
      </c>
      <c r="U110" t="s">
        <v>13290</v>
      </c>
      <c r="V110" t="s">
        <v>13290</v>
      </c>
      <c r="W110" t="s">
        <v>13399</v>
      </c>
      <c r="X110">
        <v>20</v>
      </c>
      <c r="Y110" t="s">
        <v>19984</v>
      </c>
      <c r="Z110" t="s">
        <v>26440</v>
      </c>
      <c r="AA110">
        <v>0.55145258030002142</v>
      </c>
      <c r="AB110" t="str">
        <f>HYPERLINK("Melting_Curves/meltCurve_B1AK13_HMGCL.pdf", "Melting_Curves/meltCurve_B1AK13_HMGCL.pdf")</f>
        <v>Melting_Curves/meltCurve_B1AK13_HMGCL.pdf</v>
      </c>
    </row>
    <row r="111" spans="1:28" x14ac:dyDescent="0.25">
      <c r="A111" t="s">
        <v>115</v>
      </c>
      <c r="B111">
        <v>0.99252571173614901</v>
      </c>
      <c r="C111">
        <v>0.89570104270837902</v>
      </c>
      <c r="D111">
        <v>0.72622956831584196</v>
      </c>
      <c r="E111">
        <v>0.51571585121982</v>
      </c>
      <c r="F111">
        <v>0.29477665281565002</v>
      </c>
      <c r="G111">
        <v>0.151608293213293</v>
      </c>
      <c r="H111">
        <v>0.104002566467263</v>
      </c>
      <c r="I111">
        <v>0.103188190430006</v>
      </c>
      <c r="J111">
        <v>0.13415780804153199</v>
      </c>
      <c r="K111">
        <v>0.14412401523832799</v>
      </c>
      <c r="L111">
        <v>780.66982980156604</v>
      </c>
      <c r="M111">
        <v>16.025940565780498</v>
      </c>
      <c r="N111">
        <v>49.404689183347998</v>
      </c>
      <c r="O111">
        <v>47.973332733532999</v>
      </c>
      <c r="P111">
        <v>-7.5127014526535099E-2</v>
      </c>
      <c r="Q111">
        <v>0.10050523789745799</v>
      </c>
      <c r="R111">
        <v>0.99439342552961696</v>
      </c>
      <c r="S111" t="s">
        <v>6757</v>
      </c>
      <c r="T111" t="s">
        <v>13290</v>
      </c>
      <c r="U111" t="s">
        <v>13290</v>
      </c>
      <c r="V111" t="s">
        <v>13290</v>
      </c>
      <c r="W111" t="s">
        <v>13400</v>
      </c>
      <c r="X111">
        <v>2</v>
      </c>
      <c r="Y111" t="s">
        <v>19985</v>
      </c>
      <c r="Z111" t="s">
        <v>26441</v>
      </c>
      <c r="AA111">
        <v>0.38149430159660291</v>
      </c>
      <c r="AB111" t="str">
        <f>HYPERLINK("Melting_Curves/meltCurve_B1AK44_MAD2L2.pdf", "Melting_Curves/meltCurve_B1AK44_MAD2L2.pdf")</f>
        <v>Melting_Curves/meltCurve_B1AK44_MAD2L2.pdf</v>
      </c>
    </row>
    <row r="112" spans="1:28" x14ac:dyDescent="0.25">
      <c r="A112" t="s">
        <v>116</v>
      </c>
      <c r="B112">
        <v>0.99252571173614901</v>
      </c>
      <c r="C112">
        <v>1.0837825446827001</v>
      </c>
      <c r="D112">
        <v>0.99273519838036395</v>
      </c>
      <c r="E112">
        <v>1.0019730378221401</v>
      </c>
      <c r="F112">
        <v>0.84662608176263299</v>
      </c>
      <c r="G112">
        <v>0.78741992570489305</v>
      </c>
      <c r="H112">
        <v>0.77125418662280898</v>
      </c>
      <c r="I112">
        <v>1.15371784716195</v>
      </c>
      <c r="J112">
        <v>1.99322781401549</v>
      </c>
      <c r="K112">
        <v>2.0215118464664399</v>
      </c>
      <c r="L112">
        <v>15000</v>
      </c>
      <c r="M112">
        <v>233.56381603140599</v>
      </c>
      <c r="O112">
        <v>64.217562595446495</v>
      </c>
      <c r="P112">
        <v>0.454633800465648</v>
      </c>
      <c r="Q112">
        <v>1.5</v>
      </c>
      <c r="R112">
        <v>0.66334172823165605</v>
      </c>
      <c r="S112" t="s">
        <v>6758</v>
      </c>
      <c r="T112" t="s">
        <v>13290</v>
      </c>
      <c r="U112" t="s">
        <v>13290</v>
      </c>
      <c r="V112" t="s">
        <v>13290</v>
      </c>
      <c r="W112" t="s">
        <v>13401</v>
      </c>
      <c r="X112">
        <v>12</v>
      </c>
      <c r="Y112" t="s">
        <v>19986</v>
      </c>
      <c r="Z112" t="s">
        <v>26442</v>
      </c>
      <c r="AA112">
        <v>1.0962308226168911</v>
      </c>
      <c r="AB112" t="str">
        <f>HYPERLINK("Melting_Curves/meltCurve_B1AK53_ESPN.pdf", "Melting_Curves/meltCurve_B1AK53_ESPN.pdf")</f>
        <v>Melting_Curves/meltCurve_B1AK53_ESPN.pdf</v>
      </c>
    </row>
    <row r="113" spans="1:28" x14ac:dyDescent="0.25">
      <c r="A113" t="s">
        <v>117</v>
      </c>
      <c r="B113">
        <v>0.99252571173614901</v>
      </c>
      <c r="C113">
        <v>0.93752872582727098</v>
      </c>
      <c r="D113">
        <v>0.90171027460333397</v>
      </c>
      <c r="E113">
        <v>0.52337279578874096</v>
      </c>
      <c r="F113">
        <v>0.14581772083098901</v>
      </c>
      <c r="G113">
        <v>8.1425379009905499E-2</v>
      </c>
      <c r="H113">
        <v>6.08683772695379E-2</v>
      </c>
      <c r="I113">
        <v>5.2703124909290598E-2</v>
      </c>
      <c r="J113">
        <v>6.6523382273104295E-2</v>
      </c>
      <c r="K113">
        <v>6.3218315998159996E-2</v>
      </c>
      <c r="L113">
        <v>1444.7039047825799</v>
      </c>
      <c r="M113">
        <v>29.198749001204298</v>
      </c>
      <c r="N113">
        <v>49.6843384516933</v>
      </c>
      <c r="O113">
        <v>49.247941859820003</v>
      </c>
      <c r="P113">
        <v>-0.139771756211962</v>
      </c>
      <c r="Q113">
        <v>5.7025162828768503E-2</v>
      </c>
      <c r="R113">
        <v>0.99775673365074202</v>
      </c>
      <c r="S113" t="s">
        <v>6759</v>
      </c>
      <c r="T113" t="s">
        <v>13290</v>
      </c>
      <c r="U113" t="s">
        <v>13290</v>
      </c>
      <c r="V113" t="s">
        <v>13290</v>
      </c>
      <c r="W113" t="s">
        <v>13402</v>
      </c>
      <c r="X113">
        <v>18</v>
      </c>
      <c r="Y113" t="s">
        <v>19987</v>
      </c>
      <c r="Z113" t="s">
        <v>26443</v>
      </c>
      <c r="AA113">
        <v>0.36106342025817778</v>
      </c>
      <c r="AB113" t="str">
        <f>HYPERLINK("Melting_Curves/meltCurve_B1AKJ5_NRD1.pdf", "Melting_Curves/meltCurve_B1AKJ5_NRD1.pdf")</f>
        <v>Melting_Curves/meltCurve_B1AKJ5_NRD1.pdf</v>
      </c>
    </row>
    <row r="114" spans="1:28" x14ac:dyDescent="0.25">
      <c r="A114" t="s">
        <v>118</v>
      </c>
      <c r="B114">
        <v>0.99252571173614901</v>
      </c>
      <c r="C114">
        <v>0.81802105222971599</v>
      </c>
      <c r="D114">
        <v>0.37327000515181002</v>
      </c>
      <c r="E114">
        <v>0.154302996765283</v>
      </c>
      <c r="F114">
        <v>8.3641359272551494E-2</v>
      </c>
      <c r="G114">
        <v>4.8010110178903199E-2</v>
      </c>
      <c r="H114">
        <v>3.8074611798584401E-2</v>
      </c>
      <c r="I114">
        <v>4.1602570132874703E-2</v>
      </c>
      <c r="J114">
        <v>4.0543724891393101E-2</v>
      </c>
      <c r="K114">
        <v>3.6128621562963197E-2</v>
      </c>
      <c r="L114">
        <v>1232.66876094504</v>
      </c>
      <c r="M114">
        <v>27.356674971812001</v>
      </c>
      <c r="N114">
        <v>45.227006702015998</v>
      </c>
      <c r="O114">
        <v>44.820446590089702</v>
      </c>
      <c r="P114">
        <v>-0.14522591070841501</v>
      </c>
      <c r="Q114">
        <v>4.8271860725224602E-2</v>
      </c>
      <c r="R114">
        <v>0.99736836349700297</v>
      </c>
      <c r="S114" t="s">
        <v>6760</v>
      </c>
      <c r="T114" t="s">
        <v>13290</v>
      </c>
      <c r="U114" t="s">
        <v>13290</v>
      </c>
      <c r="V114" t="s">
        <v>13290</v>
      </c>
      <c r="W114" t="s">
        <v>13403</v>
      </c>
      <c r="X114">
        <v>6</v>
      </c>
      <c r="Y114" t="s">
        <v>19988</v>
      </c>
      <c r="Z114" t="s">
        <v>26444</v>
      </c>
      <c r="AA114">
        <v>0.21636485514994591</v>
      </c>
      <c r="AB114" t="str">
        <f>HYPERLINK("Melting_Curves/meltCurve_B1AKJ6_OSBPL9.pdf", "Melting_Curves/meltCurve_B1AKJ6_OSBPL9.pdf")</f>
        <v>Melting_Curves/meltCurve_B1AKJ6_OSBPL9.pdf</v>
      </c>
    </row>
    <row r="115" spans="1:28" x14ac:dyDescent="0.25">
      <c r="A115" t="s">
        <v>119</v>
      </c>
      <c r="B115">
        <v>0.99252571173614901</v>
      </c>
      <c r="C115">
        <v>0.81961405477300497</v>
      </c>
      <c r="D115">
        <v>0.79101916450079601</v>
      </c>
      <c r="E115">
        <v>0.59475578558781195</v>
      </c>
      <c r="F115">
        <v>0.377529653193036</v>
      </c>
      <c r="G115">
        <v>0.24966714303965201</v>
      </c>
      <c r="H115">
        <v>0.18965696864676701</v>
      </c>
      <c r="I115">
        <v>0.210520917395223</v>
      </c>
      <c r="J115">
        <v>0.33923669022532099</v>
      </c>
      <c r="K115">
        <v>0.52071573452000197</v>
      </c>
      <c r="L115">
        <v>857.57517563819499</v>
      </c>
      <c r="M115">
        <v>17.935600281506701</v>
      </c>
      <c r="N115">
        <v>50.302818969817203</v>
      </c>
      <c r="O115">
        <v>47.231621988900102</v>
      </c>
      <c r="P115">
        <v>-6.7014872408054205E-2</v>
      </c>
      <c r="Q115">
        <v>0.294127268029031</v>
      </c>
      <c r="R115">
        <v>0.86716663601510602</v>
      </c>
      <c r="S115" t="s">
        <v>6761</v>
      </c>
      <c r="T115" t="s">
        <v>13290</v>
      </c>
      <c r="U115" t="s">
        <v>13290</v>
      </c>
      <c r="V115" t="s">
        <v>13290</v>
      </c>
      <c r="W115" t="s">
        <v>13404</v>
      </c>
      <c r="X115">
        <v>4</v>
      </c>
      <c r="Y115" t="s">
        <v>19989</v>
      </c>
      <c r="Z115" t="s">
        <v>26445</v>
      </c>
      <c r="AA115">
        <v>0.49068026212473159</v>
      </c>
      <c r="AB115" t="str">
        <f>HYPERLINK("Melting_Curves/meltCurve_B1AKL4_EIF4ENIF1.pdf", "Melting_Curves/meltCurve_B1AKL4_EIF4ENIF1.pdf")</f>
        <v>Melting_Curves/meltCurve_B1AKL4_EIF4ENIF1.pdf</v>
      </c>
    </row>
    <row r="116" spans="1:28" x14ac:dyDescent="0.25">
      <c r="A116" t="s">
        <v>120</v>
      </c>
      <c r="B116">
        <v>0.99252571173614901</v>
      </c>
      <c r="C116">
        <v>1.03402422097791</v>
      </c>
      <c r="D116">
        <v>0.94903461890281104</v>
      </c>
      <c r="E116">
        <v>1.0444396487068299</v>
      </c>
      <c r="F116">
        <v>0.88332095422111401</v>
      </c>
      <c r="G116">
        <v>0.68407541380938497</v>
      </c>
      <c r="H116">
        <v>0.779835234710611</v>
      </c>
      <c r="I116">
        <v>0.79928622436611096</v>
      </c>
      <c r="J116">
        <v>0.91949181012182002</v>
      </c>
      <c r="K116">
        <v>0.50322049354131504</v>
      </c>
      <c r="L116">
        <v>13311.9770024543</v>
      </c>
      <c r="M116">
        <v>250</v>
      </c>
      <c r="O116">
        <v>53.2445005124261</v>
      </c>
      <c r="P116">
        <v>-0.30850389081194202</v>
      </c>
      <c r="Q116">
        <v>0.73718183122599501</v>
      </c>
      <c r="R116">
        <v>0.61002937077037001</v>
      </c>
      <c r="S116" t="s">
        <v>6762</v>
      </c>
      <c r="T116" t="s">
        <v>13290</v>
      </c>
      <c r="U116" t="s">
        <v>13290</v>
      </c>
      <c r="V116" t="s">
        <v>13290</v>
      </c>
      <c r="W116" t="s">
        <v>13405</v>
      </c>
      <c r="X116">
        <v>2</v>
      </c>
      <c r="Y116" t="s">
        <v>19990</v>
      </c>
      <c r="Z116" t="s">
        <v>26446</v>
      </c>
      <c r="AA116">
        <v>0.85326608882759813</v>
      </c>
      <c r="AB116" t="str">
        <f>HYPERLINK("Melting_Curves/meltCurve_B1AKN6_NFIA.pdf", "Melting_Curves/meltCurve_B1AKN6_NFIA.pdf")</f>
        <v>Melting_Curves/meltCurve_B1AKN6_NFIA.pdf</v>
      </c>
    </row>
    <row r="117" spans="1:28" x14ac:dyDescent="0.25">
      <c r="A117" t="s">
        <v>121</v>
      </c>
      <c r="B117">
        <v>0.99252571173614901</v>
      </c>
      <c r="C117">
        <v>0.86789067805112396</v>
      </c>
      <c r="D117">
        <v>0.84233868787773902</v>
      </c>
      <c r="E117">
        <v>0.84943377030761402</v>
      </c>
      <c r="F117">
        <v>0.59248145198019697</v>
      </c>
      <c r="G117">
        <v>0.30472815547014798</v>
      </c>
      <c r="H117">
        <v>0.14712995117933</v>
      </c>
      <c r="I117">
        <v>0.13097792659676699</v>
      </c>
      <c r="J117">
        <v>0.15042932652383501</v>
      </c>
      <c r="K117">
        <v>0.13626352796747801</v>
      </c>
      <c r="L117">
        <v>890.36959224930297</v>
      </c>
      <c r="M117">
        <v>16.691375618327001</v>
      </c>
      <c r="N117">
        <v>53.998652406929899</v>
      </c>
      <c r="O117">
        <v>52.595060046201098</v>
      </c>
      <c r="P117">
        <v>-7.2067425687712003E-2</v>
      </c>
      <c r="Q117">
        <v>9.1713244145489606E-2</v>
      </c>
      <c r="R117">
        <v>0.97267344742086803</v>
      </c>
      <c r="S117" t="s">
        <v>6763</v>
      </c>
      <c r="T117" t="s">
        <v>13290</v>
      </c>
      <c r="U117" t="s">
        <v>13290</v>
      </c>
      <c r="V117" t="s">
        <v>13290</v>
      </c>
      <c r="W117" t="s">
        <v>13406</v>
      </c>
      <c r="X117">
        <v>28</v>
      </c>
      <c r="Y117" t="s">
        <v>19991</v>
      </c>
      <c r="Z117" t="s">
        <v>26447</v>
      </c>
      <c r="AA117">
        <v>0.51225467216711018</v>
      </c>
      <c r="AB117" t="str">
        <f>HYPERLINK("Melting_Curves/meltCurve_B1AKY9_ATP1A2.pdf", "Melting_Curves/meltCurve_B1AKY9_ATP1A2.pdf")</f>
        <v>Melting_Curves/meltCurve_B1AKY9_ATP1A2.pdf</v>
      </c>
    </row>
    <row r="118" spans="1:28" x14ac:dyDescent="0.25">
      <c r="A118" t="s">
        <v>122</v>
      </c>
      <c r="B118">
        <v>0.99252571173614901</v>
      </c>
      <c r="C118">
        <v>1.0070255263947001</v>
      </c>
      <c r="D118">
        <v>0.93440495445428495</v>
      </c>
      <c r="E118">
        <v>0.57302209750380695</v>
      </c>
      <c r="F118">
        <v>0.33798273309138299</v>
      </c>
      <c r="G118">
        <v>0.124789647565409</v>
      </c>
      <c r="H118">
        <v>9.3462923236072401E-2</v>
      </c>
      <c r="I118">
        <v>9.0583937908429196E-2</v>
      </c>
      <c r="J118">
        <v>0.120637667847066</v>
      </c>
      <c r="K118">
        <v>0.117528519831267</v>
      </c>
      <c r="L118">
        <v>1176.7339106117299</v>
      </c>
      <c r="M118">
        <v>23.447556554817702</v>
      </c>
      <c r="N118">
        <v>50.664157505400603</v>
      </c>
      <c r="O118">
        <v>49.825017113968798</v>
      </c>
      <c r="P118">
        <v>-0.105968896297447</v>
      </c>
      <c r="Q118">
        <v>9.9298793996697707E-2</v>
      </c>
      <c r="R118">
        <v>0.99473351376040697</v>
      </c>
      <c r="S118" t="s">
        <v>6764</v>
      </c>
      <c r="T118" t="s">
        <v>13290</v>
      </c>
      <c r="U118" t="s">
        <v>13290</v>
      </c>
      <c r="V118" t="s">
        <v>13290</v>
      </c>
      <c r="W118" t="s">
        <v>13407</v>
      </c>
      <c r="X118">
        <v>4</v>
      </c>
      <c r="Y118" t="s">
        <v>19992</v>
      </c>
      <c r="Z118" t="s">
        <v>26448</v>
      </c>
      <c r="AA118">
        <v>0.41427718511179451</v>
      </c>
      <c r="AB118" t="str">
        <f>HYPERLINK("Melting_Curves/meltCurve_B1AL69_CDC37L1.pdf", "Melting_Curves/meltCurve_B1AL69_CDC37L1.pdf")</f>
        <v>Melting_Curves/meltCurve_B1AL69_CDC37L1.pdf</v>
      </c>
    </row>
    <row r="119" spans="1:28" x14ac:dyDescent="0.25">
      <c r="A119" t="s">
        <v>123</v>
      </c>
      <c r="B119">
        <v>0.99252571173614901</v>
      </c>
      <c r="C119">
        <v>0.95166418948396203</v>
      </c>
      <c r="D119">
        <v>0.92024033727801202</v>
      </c>
      <c r="E119">
        <v>0.72375857375864106</v>
      </c>
      <c r="F119">
        <v>0.68645076639191704</v>
      </c>
      <c r="G119">
        <v>0.59034197117690301</v>
      </c>
      <c r="H119">
        <v>0.52957537404342403</v>
      </c>
      <c r="I119">
        <v>0.562485875004331</v>
      </c>
      <c r="J119">
        <v>0.28115888881645201</v>
      </c>
      <c r="K119">
        <v>0.18094758163159999</v>
      </c>
      <c r="L119">
        <v>402.39262303164003</v>
      </c>
      <c r="M119">
        <v>6.6738930500469298</v>
      </c>
      <c r="N119">
        <v>60.293537972800003</v>
      </c>
      <c r="O119">
        <v>55.571209847527101</v>
      </c>
      <c r="P119">
        <v>-3.00903214397607E-2</v>
      </c>
      <c r="Q119">
        <v>0</v>
      </c>
      <c r="R119">
        <v>0.92505534975733295</v>
      </c>
      <c r="S119" t="s">
        <v>6765</v>
      </c>
      <c r="T119" t="s">
        <v>13290</v>
      </c>
      <c r="U119" t="s">
        <v>13290</v>
      </c>
      <c r="V119" t="s">
        <v>13290</v>
      </c>
      <c r="W119" t="s">
        <v>13408</v>
      </c>
      <c r="X119">
        <v>5</v>
      </c>
      <c r="Y119" t="s">
        <v>19993</v>
      </c>
      <c r="Z119" t="s">
        <v>26449</v>
      </c>
      <c r="AA119">
        <v>0.64639517753766851</v>
      </c>
      <c r="AB119" t="str">
        <f>HYPERLINK("Melting_Curves/meltCurve_B1ALB4_SMG7.pdf", "Melting_Curves/meltCurve_B1ALB4_SMG7.pdf")</f>
        <v>Melting_Curves/meltCurve_B1ALB4_SMG7.pdf</v>
      </c>
    </row>
    <row r="120" spans="1:28" x14ac:dyDescent="0.25">
      <c r="A120" t="s">
        <v>124</v>
      </c>
      <c r="B120">
        <v>0.99252571173614901</v>
      </c>
      <c r="C120">
        <v>1.0442560592852601</v>
      </c>
      <c r="D120">
        <v>0.90045790983222196</v>
      </c>
      <c r="E120">
        <v>0.63937152031573596</v>
      </c>
      <c r="F120">
        <v>0.23677151520477199</v>
      </c>
      <c r="G120">
        <v>0.12588574465088601</v>
      </c>
      <c r="H120">
        <v>8.9199374302624299E-2</v>
      </c>
      <c r="I120">
        <v>7.5359247347283595E-2</v>
      </c>
      <c r="J120">
        <v>0.105987166555955</v>
      </c>
      <c r="K120">
        <v>0.10884436471261701</v>
      </c>
      <c r="L120">
        <v>1410.4854889810699</v>
      </c>
      <c r="M120">
        <v>28.084656415866</v>
      </c>
      <c r="N120">
        <v>50.585720755156899</v>
      </c>
      <c r="O120">
        <v>49.970076107874597</v>
      </c>
      <c r="P120">
        <v>-0.12768306000067101</v>
      </c>
      <c r="Q120">
        <v>9.1279211073841099E-2</v>
      </c>
      <c r="R120">
        <v>0.99662196157694205</v>
      </c>
      <c r="S120" t="s">
        <v>6766</v>
      </c>
      <c r="T120" t="s">
        <v>13290</v>
      </c>
      <c r="U120" t="s">
        <v>13290</v>
      </c>
      <c r="V120" t="s">
        <v>13290</v>
      </c>
      <c r="W120" t="s">
        <v>13409</v>
      </c>
      <c r="X120">
        <v>5</v>
      </c>
      <c r="Y120" t="s">
        <v>19994</v>
      </c>
      <c r="Z120" t="s">
        <v>26450</v>
      </c>
      <c r="AA120">
        <v>0.40737386050075441</v>
      </c>
      <c r="AB120" t="str">
        <f>HYPERLINK("Melting_Curves/meltCurve_B1ALH6_PHYH.pdf", "Melting_Curves/meltCurve_B1ALH6_PHYH.pdf")</f>
        <v>Melting_Curves/meltCurve_B1ALH6_PHYH.pdf</v>
      </c>
    </row>
    <row r="121" spans="1:28" x14ac:dyDescent="0.25">
      <c r="A121" t="s">
        <v>125</v>
      </c>
      <c r="B121">
        <v>0.99252571173614901</v>
      </c>
      <c r="C121">
        <v>0.92451526550520002</v>
      </c>
      <c r="D121">
        <v>1.1372923576805201</v>
      </c>
      <c r="E121">
        <v>0.80091901264224796</v>
      </c>
      <c r="F121">
        <v>0.32432520222994399</v>
      </c>
      <c r="G121">
        <v>0.19777084320652399</v>
      </c>
      <c r="H121">
        <v>0.13733514829107701</v>
      </c>
      <c r="I121">
        <v>0.13605957700413099</v>
      </c>
      <c r="J121">
        <v>0.16487458066390601</v>
      </c>
      <c r="K121">
        <v>0.145176981390541</v>
      </c>
      <c r="L121">
        <v>1990.86625798825</v>
      </c>
      <c r="M121">
        <v>38.832778767332002</v>
      </c>
      <c r="N121">
        <v>51.751956378440397</v>
      </c>
      <c r="O121">
        <v>51.132282457954403</v>
      </c>
      <c r="P121">
        <v>-0.16093962065961401</v>
      </c>
      <c r="Q121">
        <v>0.15234590400338899</v>
      </c>
      <c r="R121">
        <v>0.98110178177169105</v>
      </c>
      <c r="S121" t="s">
        <v>6767</v>
      </c>
      <c r="T121" t="s">
        <v>13290</v>
      </c>
      <c r="U121" t="s">
        <v>13290</v>
      </c>
      <c r="V121" t="s">
        <v>13290</v>
      </c>
      <c r="W121" t="s">
        <v>13410</v>
      </c>
      <c r="X121">
        <v>9</v>
      </c>
      <c r="Y121" t="s">
        <v>19995</v>
      </c>
      <c r="Z121" t="s">
        <v>26451</v>
      </c>
      <c r="AA121">
        <v>0.47390350702733841</v>
      </c>
      <c r="AB121" t="str">
        <f>HYPERLINK("Melting_Curves/meltCurve_B1ALK7_ARHGEF7.pdf", "Melting_Curves/meltCurve_B1ALK7_ARHGEF7.pdf")</f>
        <v>Melting_Curves/meltCurve_B1ALK7_ARHGEF7.pdf</v>
      </c>
    </row>
    <row r="122" spans="1:28" x14ac:dyDescent="0.25">
      <c r="A122" t="s">
        <v>126</v>
      </c>
      <c r="B122">
        <v>0.99252571173614901</v>
      </c>
      <c r="C122">
        <v>0.99609506505262801</v>
      </c>
      <c r="D122">
        <v>0.94706625031375102</v>
      </c>
      <c r="E122">
        <v>0.99496450391797098</v>
      </c>
      <c r="F122">
        <v>0.67052764124506004</v>
      </c>
      <c r="G122">
        <v>0.44566825851432201</v>
      </c>
      <c r="H122">
        <v>0.31098873791909798</v>
      </c>
      <c r="I122">
        <v>0.326210413573574</v>
      </c>
      <c r="J122">
        <v>0.45902926170756703</v>
      </c>
      <c r="K122">
        <v>0.43606669877211401</v>
      </c>
      <c r="L122">
        <v>2409.1387775716498</v>
      </c>
      <c r="M122">
        <v>45.394912881659003</v>
      </c>
      <c r="N122">
        <v>54.884402834775898</v>
      </c>
      <c r="O122">
        <v>52.967995317552401</v>
      </c>
      <c r="P122">
        <v>-0.13102870996062799</v>
      </c>
      <c r="Q122">
        <v>0.38844959747108898</v>
      </c>
      <c r="R122">
        <v>0.972775370226172</v>
      </c>
      <c r="S122" t="s">
        <v>6768</v>
      </c>
      <c r="T122" t="s">
        <v>13290</v>
      </c>
      <c r="U122" t="s">
        <v>13290</v>
      </c>
      <c r="V122" t="s">
        <v>13290</v>
      </c>
      <c r="W122" t="s">
        <v>13411</v>
      </c>
      <c r="X122">
        <v>3</v>
      </c>
      <c r="Y122" t="s">
        <v>19996</v>
      </c>
      <c r="Z122" t="s">
        <v>26452</v>
      </c>
      <c r="AA122">
        <v>0.65663369417366135</v>
      </c>
      <c r="AB122" t="str">
        <f>HYPERLINK("Melting_Curves/meltCurve_B1ALM5_TMEM9.pdf", "Melting_Curves/meltCurve_B1ALM5_TMEM9.pdf")</f>
        <v>Melting_Curves/meltCurve_B1ALM5_TMEM9.pdf</v>
      </c>
    </row>
    <row r="123" spans="1:28" x14ac:dyDescent="0.25">
      <c r="A123" t="s">
        <v>127</v>
      </c>
      <c r="B123">
        <v>0.99252571173614901</v>
      </c>
      <c r="C123">
        <v>0.88770811873898103</v>
      </c>
      <c r="D123">
        <v>0.77701110671203799</v>
      </c>
      <c r="E123">
        <v>0.57578476878735796</v>
      </c>
      <c r="F123">
        <v>0.26341247652516597</v>
      </c>
      <c r="G123">
        <v>0.166090058718844</v>
      </c>
      <c r="H123">
        <v>0.15061799548764501</v>
      </c>
      <c r="I123">
        <v>0.16869438435672399</v>
      </c>
      <c r="J123">
        <v>0.235892500416615</v>
      </c>
      <c r="K123">
        <v>0.23047318424393601</v>
      </c>
      <c r="L123">
        <v>948.61813054847096</v>
      </c>
      <c r="M123">
        <v>19.5090571793015</v>
      </c>
      <c r="N123">
        <v>49.722405877331802</v>
      </c>
      <c r="O123">
        <v>48.122244310422801</v>
      </c>
      <c r="P123">
        <v>-8.3618323055686603E-2</v>
      </c>
      <c r="Q123">
        <v>0.174997103841111</v>
      </c>
      <c r="R123">
        <v>0.97906814137838005</v>
      </c>
      <c r="S123" t="s">
        <v>6769</v>
      </c>
      <c r="T123" t="s">
        <v>13290</v>
      </c>
      <c r="U123" t="s">
        <v>13290</v>
      </c>
      <c r="V123" t="s">
        <v>13290</v>
      </c>
      <c r="W123" t="s">
        <v>13412</v>
      </c>
      <c r="X123">
        <v>3</v>
      </c>
      <c r="Y123" t="s">
        <v>19997</v>
      </c>
      <c r="Z123" t="s">
        <v>26453</v>
      </c>
      <c r="AA123">
        <v>0.4243860572111236</v>
      </c>
      <c r="AB123" t="str">
        <f>HYPERLINK("Melting_Curves/meltCurve_B1AMF0_UBE2J2.pdf", "Melting_Curves/meltCurve_B1AMF0_UBE2J2.pdf")</f>
        <v>Melting_Curves/meltCurve_B1AMF0_UBE2J2.pdf</v>
      </c>
    </row>
    <row r="124" spans="1:28" x14ac:dyDescent="0.25">
      <c r="A124" t="s">
        <v>128</v>
      </c>
      <c r="B124">
        <v>0.99252571173614901</v>
      </c>
      <c r="C124">
        <v>0.932247641650231</v>
      </c>
      <c r="D124">
        <v>0.96754228248462404</v>
      </c>
      <c r="E124">
        <v>0.95501625593931005</v>
      </c>
      <c r="F124">
        <v>0.81459142510919003</v>
      </c>
      <c r="G124">
        <v>0.62003340314139399</v>
      </c>
      <c r="H124">
        <v>0.51490320321371996</v>
      </c>
      <c r="I124">
        <v>0.396226145982636</v>
      </c>
      <c r="J124">
        <v>0.222141002222152</v>
      </c>
      <c r="K124">
        <v>0.20630337853783901</v>
      </c>
      <c r="L124">
        <v>637.410303043005</v>
      </c>
      <c r="M124">
        <v>10.5220444632852</v>
      </c>
      <c r="N124">
        <v>60.578563221789302</v>
      </c>
      <c r="O124">
        <v>58.513177040815599</v>
      </c>
      <c r="P124">
        <v>-4.49738684792097E-2</v>
      </c>
      <c r="Q124">
        <v>0</v>
      </c>
      <c r="R124">
        <v>0.98762838332906699</v>
      </c>
      <c r="S124" t="s">
        <v>6770</v>
      </c>
      <c r="T124" t="s">
        <v>13290</v>
      </c>
      <c r="U124" t="s">
        <v>13290</v>
      </c>
      <c r="V124" t="s">
        <v>13290</v>
      </c>
      <c r="W124" t="s">
        <v>13413</v>
      </c>
      <c r="X124">
        <v>11</v>
      </c>
      <c r="Y124" t="s">
        <v>19998</v>
      </c>
      <c r="Z124" t="s">
        <v>26454</v>
      </c>
      <c r="AA124">
        <v>0.67966641333286826</v>
      </c>
      <c r="AB124" t="str">
        <f>HYPERLINK("Melting_Curves/meltCurve_B1AMS2_SEPT6.pdf", "Melting_Curves/meltCurve_B1AMS2_SEPT6.pdf")</f>
        <v>Melting_Curves/meltCurve_B1AMS2_SEPT6.pdf</v>
      </c>
    </row>
    <row r="125" spans="1:28" x14ac:dyDescent="0.25">
      <c r="A125" t="s">
        <v>129</v>
      </c>
      <c r="B125">
        <v>0.99252571173614901</v>
      </c>
      <c r="C125">
        <v>0.97417498506605305</v>
      </c>
      <c r="D125">
        <v>0.86444223511732199</v>
      </c>
      <c r="E125">
        <v>0.81270122866545202</v>
      </c>
      <c r="F125">
        <v>0.669703471384819</v>
      </c>
      <c r="G125">
        <v>0.51920331625765304</v>
      </c>
      <c r="H125">
        <v>0.45578707717966099</v>
      </c>
      <c r="I125">
        <v>0.61614931592563604</v>
      </c>
      <c r="J125">
        <v>0.98706468341725795</v>
      </c>
      <c r="K125">
        <v>0.86020203926898198</v>
      </c>
      <c r="L125">
        <v>1211.2511231435501</v>
      </c>
      <c r="M125">
        <v>25.751327848339901</v>
      </c>
      <c r="O125">
        <v>46.755536156421996</v>
      </c>
      <c r="P125">
        <v>-4.2906737910572701E-2</v>
      </c>
      <c r="Q125">
        <v>0.68838824505491103</v>
      </c>
      <c r="R125">
        <v>0.393903197549479</v>
      </c>
      <c r="S125" t="s">
        <v>6771</v>
      </c>
      <c r="T125" t="s">
        <v>13290</v>
      </c>
      <c r="U125" t="s">
        <v>13290</v>
      </c>
      <c r="V125" t="s">
        <v>13290</v>
      </c>
      <c r="W125" t="s">
        <v>13414</v>
      </c>
      <c r="X125">
        <v>5</v>
      </c>
      <c r="Y125" t="s">
        <v>19999</v>
      </c>
      <c r="Z125" t="s">
        <v>26455</v>
      </c>
      <c r="AA125">
        <v>0.76408122625269259</v>
      </c>
      <c r="AB125" t="str">
        <f>HYPERLINK("Melting_Curves/meltCurve_B1AMW1_CD58.pdf", "Melting_Curves/meltCurve_B1AMW1_CD58.pdf")</f>
        <v>Melting_Curves/meltCurve_B1AMW1_CD58.pdf</v>
      </c>
    </row>
    <row r="126" spans="1:28" x14ac:dyDescent="0.25">
      <c r="A126" t="s">
        <v>130</v>
      </c>
      <c r="B126">
        <v>0.99252571173614901</v>
      </c>
      <c r="C126">
        <v>0.96933625978169702</v>
      </c>
      <c r="D126">
        <v>0.476708081979479</v>
      </c>
      <c r="E126">
        <v>0.32552190954543497</v>
      </c>
      <c r="F126">
        <v>0.31777225862436698</v>
      </c>
      <c r="G126">
        <v>0.25752264892886401</v>
      </c>
      <c r="H126">
        <v>0.17437631690626701</v>
      </c>
      <c r="I126">
        <v>0.22201259850463501</v>
      </c>
      <c r="J126">
        <v>0.26752581826266197</v>
      </c>
      <c r="K126">
        <v>0.24167283036624801</v>
      </c>
      <c r="L126">
        <v>2264.9735467963001</v>
      </c>
      <c r="M126">
        <v>50.054469881925499</v>
      </c>
      <c r="N126">
        <v>45.908087807633301</v>
      </c>
      <c r="O126">
        <v>45.178123958906397</v>
      </c>
      <c r="P126">
        <v>-0.20608459911174801</v>
      </c>
      <c r="Q126">
        <v>0.25596992340658398</v>
      </c>
      <c r="R126">
        <v>0.98094137546100801</v>
      </c>
      <c r="S126" t="s">
        <v>6772</v>
      </c>
      <c r="T126" t="s">
        <v>13290</v>
      </c>
      <c r="U126" t="s">
        <v>13290</v>
      </c>
      <c r="V126" t="s">
        <v>13290</v>
      </c>
      <c r="W126" t="s">
        <v>13415</v>
      </c>
      <c r="X126">
        <v>3</v>
      </c>
      <c r="Y126" t="s">
        <v>20000</v>
      </c>
      <c r="Z126" t="s">
        <v>26456</v>
      </c>
      <c r="AA126">
        <v>0.38768509854922562</v>
      </c>
      <c r="AB126" t="str">
        <f>HYPERLINK("Melting_Curves/meltCurve_B1AN89_EIF4G3.pdf", "Melting_Curves/meltCurve_B1AN89_EIF4G3.pdf")</f>
        <v>Melting_Curves/meltCurve_B1AN89_EIF4G3.pdf</v>
      </c>
    </row>
    <row r="127" spans="1:28" x14ac:dyDescent="0.25">
      <c r="A127" t="s">
        <v>131</v>
      </c>
      <c r="B127">
        <v>0.99252571173614901</v>
      </c>
      <c r="C127">
        <v>1.08926399859594</v>
      </c>
      <c r="D127">
        <v>1.0124727417116199</v>
      </c>
      <c r="E127">
        <v>1.0337811852233301</v>
      </c>
      <c r="F127">
        <v>1.03837076378159</v>
      </c>
      <c r="G127">
        <v>0.92344864032389695</v>
      </c>
      <c r="H127">
        <v>0.99288982260680403</v>
      </c>
      <c r="I127">
        <v>1.7030130976781099</v>
      </c>
      <c r="J127">
        <v>2.2016183780002399</v>
      </c>
      <c r="K127">
        <v>1.8158357068599</v>
      </c>
      <c r="L127">
        <v>15000</v>
      </c>
      <c r="M127">
        <v>241.98696047827499</v>
      </c>
      <c r="O127">
        <v>61.9825773175113</v>
      </c>
      <c r="P127">
        <v>0.488014074587028</v>
      </c>
      <c r="Q127">
        <v>1.5</v>
      </c>
      <c r="R127">
        <v>0.64563370847829304</v>
      </c>
      <c r="S127" t="s">
        <v>6773</v>
      </c>
      <c r="T127" t="s">
        <v>13290</v>
      </c>
      <c r="U127" t="s">
        <v>13290</v>
      </c>
      <c r="V127" t="s">
        <v>13290</v>
      </c>
      <c r="W127" t="s">
        <v>13416</v>
      </c>
      <c r="X127">
        <v>1</v>
      </c>
      <c r="Y127" t="s">
        <v>20001</v>
      </c>
      <c r="Z127" t="s">
        <v>26457</v>
      </c>
      <c r="AA127">
        <v>1.1334950931378951</v>
      </c>
      <c r="AB127" t="str">
        <f>HYPERLINK("Melting_Curves/meltCurve_B1AN99_PRSS3.pdf", "Melting_Curves/meltCurve_B1AN99_PRSS3.pdf")</f>
        <v>Melting_Curves/meltCurve_B1AN99_PRSS3.pdf</v>
      </c>
    </row>
    <row r="128" spans="1:28" x14ac:dyDescent="0.25">
      <c r="A128" t="s">
        <v>132</v>
      </c>
      <c r="B128">
        <v>0.99252571173614901</v>
      </c>
      <c r="C128">
        <v>1.1126391160261599</v>
      </c>
      <c r="D128">
        <v>0.80913689306738601</v>
      </c>
      <c r="E128">
        <v>0.29116966783410098</v>
      </c>
      <c r="F128">
        <v>0.12431772107990099</v>
      </c>
      <c r="G128">
        <v>6.8838770826610704E-2</v>
      </c>
      <c r="H128">
        <v>5.0198778703059298E-2</v>
      </c>
      <c r="I128">
        <v>5.6076320233373798E-2</v>
      </c>
      <c r="J128">
        <v>5.96205932964506E-2</v>
      </c>
      <c r="K128">
        <v>6.5403864682662696E-2</v>
      </c>
      <c r="L128">
        <v>1682.2541832526099</v>
      </c>
      <c r="M128">
        <v>35.066330286474297</v>
      </c>
      <c r="N128">
        <v>48.164299052559699</v>
      </c>
      <c r="O128">
        <v>47.818273039329199</v>
      </c>
      <c r="P128">
        <v>-0.17144330420897799</v>
      </c>
      <c r="Q128">
        <v>6.4847223720123401E-2</v>
      </c>
      <c r="R128">
        <v>0.989316607113363</v>
      </c>
      <c r="S128" t="s">
        <v>6774</v>
      </c>
      <c r="T128" t="s">
        <v>13290</v>
      </c>
      <c r="U128" t="s">
        <v>13290</v>
      </c>
      <c r="V128" t="s">
        <v>13290</v>
      </c>
      <c r="W128" t="s">
        <v>13417</v>
      </c>
      <c r="X128">
        <v>10</v>
      </c>
      <c r="Y128" t="s">
        <v>20002</v>
      </c>
      <c r="Z128" t="s">
        <v>26458</v>
      </c>
      <c r="AA128">
        <v>0.31746643485893228</v>
      </c>
      <c r="AB128" t="str">
        <f>HYPERLINK("Melting_Curves/meltCurve_B1ANH0_GUK1.pdf", "Melting_Curves/meltCurve_B1ANH0_GUK1.pdf")</f>
        <v>Melting_Curves/meltCurve_B1ANH0_GUK1.pdf</v>
      </c>
    </row>
    <row r="129" spans="1:28" x14ac:dyDescent="0.25">
      <c r="A129" t="s">
        <v>133</v>
      </c>
      <c r="B129">
        <v>0.99252571173614901</v>
      </c>
      <c r="C129">
        <v>1.05209604306434</v>
      </c>
      <c r="D129">
        <v>0.78803573471545596</v>
      </c>
      <c r="E129">
        <v>0.62321874824301304</v>
      </c>
      <c r="F129">
        <v>0.380555966334583</v>
      </c>
      <c r="G129">
        <v>0.27617072297496398</v>
      </c>
      <c r="H129">
        <v>0.25298241899407697</v>
      </c>
      <c r="I129">
        <v>0.38950870137238502</v>
      </c>
      <c r="J129">
        <v>0.63577366955703496</v>
      </c>
      <c r="K129">
        <v>0.85446130815459398</v>
      </c>
      <c r="L129">
        <v>1541.55610962727</v>
      </c>
      <c r="M129">
        <v>32.772466556720502</v>
      </c>
      <c r="N129">
        <v>51.526044308713097</v>
      </c>
      <c r="O129">
        <v>46.864044833557202</v>
      </c>
      <c r="P129">
        <v>-9.2447927459231097E-2</v>
      </c>
      <c r="Q129">
        <v>0.47120685860004902</v>
      </c>
      <c r="R129">
        <v>0.62486481114911097</v>
      </c>
      <c r="S129" t="s">
        <v>6775</v>
      </c>
      <c r="T129" t="s">
        <v>13290</v>
      </c>
      <c r="U129" t="s">
        <v>13290</v>
      </c>
      <c r="V129" t="s">
        <v>13290</v>
      </c>
      <c r="W129" t="s">
        <v>13418</v>
      </c>
      <c r="X129">
        <v>3</v>
      </c>
      <c r="Y129" t="s">
        <v>20003</v>
      </c>
      <c r="Z129" t="s">
        <v>26459</v>
      </c>
      <c r="AA129">
        <v>0.59789076038123856</v>
      </c>
      <c r="AB129" t="str">
        <f>HYPERLINK("Melting_Curves/meltCurve_B1AQP1_USF1.pdf", "Melting_Curves/meltCurve_B1AQP1_USF1.pdf")</f>
        <v>Melting_Curves/meltCurve_B1AQP1_USF1.pdf</v>
      </c>
    </row>
    <row r="130" spans="1:28" x14ac:dyDescent="0.25">
      <c r="A130" t="s">
        <v>134</v>
      </c>
      <c r="B130">
        <v>0.99252571173614901</v>
      </c>
      <c r="C130">
        <v>0.81989127564290698</v>
      </c>
      <c r="D130">
        <v>0.51493335482701297</v>
      </c>
      <c r="E130">
        <v>0.298104544056918</v>
      </c>
      <c r="F130">
        <v>0.17542737272067199</v>
      </c>
      <c r="G130">
        <v>0.10725391497323999</v>
      </c>
      <c r="H130">
        <v>6.8785484187808804E-2</v>
      </c>
      <c r="I130">
        <v>5.4042309547280003E-2</v>
      </c>
      <c r="J130">
        <v>6.5535785651670703E-2</v>
      </c>
      <c r="K130">
        <v>6.5580259206383204E-2</v>
      </c>
      <c r="L130">
        <v>820.12224995075303</v>
      </c>
      <c r="M130">
        <v>17.743010099431601</v>
      </c>
      <c r="N130">
        <v>46.590389517751298</v>
      </c>
      <c r="O130">
        <v>45.647118392598003</v>
      </c>
      <c r="P130">
        <v>-9.0824036540823896E-2</v>
      </c>
      <c r="Q130">
        <v>6.5403437898283096E-2</v>
      </c>
      <c r="R130">
        <v>0.99497506116560996</v>
      </c>
      <c r="S130" t="s">
        <v>6776</v>
      </c>
      <c r="T130" t="s">
        <v>13290</v>
      </c>
      <c r="U130" t="s">
        <v>13290</v>
      </c>
      <c r="V130" t="s">
        <v>13290</v>
      </c>
      <c r="W130" t="s">
        <v>13419</v>
      </c>
      <c r="X130">
        <v>4</v>
      </c>
      <c r="Y130" t="s">
        <v>20004</v>
      </c>
      <c r="Z130" t="s">
        <v>26460</v>
      </c>
      <c r="AA130">
        <v>0.27788703213040161</v>
      </c>
      <c r="AB130" t="str">
        <f>HYPERLINK("Melting_Curves/meltCurve_B1AT46_GMEB1.pdf", "Melting_Curves/meltCurve_B1AT46_GMEB1.pdf")</f>
        <v>Melting_Curves/meltCurve_B1AT46_GMEB1.pdf</v>
      </c>
    </row>
    <row r="131" spans="1:28" x14ac:dyDescent="0.25">
      <c r="A131" t="s">
        <v>135</v>
      </c>
      <c r="B131">
        <v>0.99252571173614901</v>
      </c>
      <c r="C131">
        <v>1.0596368921653401</v>
      </c>
      <c r="D131">
        <v>0.96100446354829705</v>
      </c>
      <c r="E131">
        <v>0.97210158014730297</v>
      </c>
      <c r="F131">
        <v>0.63129726503467098</v>
      </c>
      <c r="G131">
        <v>0.49669902850807601</v>
      </c>
      <c r="H131">
        <v>0.39792187930014999</v>
      </c>
      <c r="I131">
        <v>0.48992752238506299</v>
      </c>
      <c r="J131">
        <v>0.60579763148499999</v>
      </c>
      <c r="K131">
        <v>0.431812597622732</v>
      </c>
      <c r="L131">
        <v>2737.0087756074499</v>
      </c>
      <c r="M131">
        <v>52.3537608230274</v>
      </c>
      <c r="N131">
        <v>55.871057721714102</v>
      </c>
      <c r="O131">
        <v>52.203015944506802</v>
      </c>
      <c r="P131">
        <v>-0.129690250441373</v>
      </c>
      <c r="Q131">
        <v>0.482733067909485</v>
      </c>
      <c r="R131">
        <v>0.95125915207728096</v>
      </c>
      <c r="S131" t="s">
        <v>6777</v>
      </c>
      <c r="T131" t="s">
        <v>13290</v>
      </c>
      <c r="U131" t="s">
        <v>13290</v>
      </c>
      <c r="V131" t="s">
        <v>13290</v>
      </c>
      <c r="W131" t="s">
        <v>13420</v>
      </c>
      <c r="X131">
        <v>1</v>
      </c>
      <c r="Y131" t="s">
        <v>20005</v>
      </c>
      <c r="Z131" t="s">
        <v>26461</v>
      </c>
      <c r="AA131">
        <v>0.69553997325366412</v>
      </c>
      <c r="AB131" t="str">
        <f>HYPERLINK("Melting_Curves/meltCurve_B1AVQ7_MUC1.pdf", "Melting_Curves/meltCurve_B1AVQ7_MUC1.pdf")</f>
        <v>Melting_Curves/meltCurve_B1AVQ7_MUC1.pdf</v>
      </c>
    </row>
    <row r="132" spans="1:28" x14ac:dyDescent="0.25">
      <c r="A132" t="s">
        <v>136</v>
      </c>
      <c r="B132">
        <v>0.99252571173614901</v>
      </c>
      <c r="C132">
        <v>1.08571044376443</v>
      </c>
      <c r="D132">
        <v>0.97860805482380997</v>
      </c>
      <c r="E132">
        <v>0.81915515653980397</v>
      </c>
      <c r="F132">
        <v>0.78982941300424203</v>
      </c>
      <c r="G132">
        <v>0.73335017027420601</v>
      </c>
      <c r="H132">
        <v>0.77566210619626796</v>
      </c>
      <c r="I132">
        <v>1.04500471417235</v>
      </c>
      <c r="J132">
        <v>1.58109896367383</v>
      </c>
      <c r="K132">
        <v>1.7034055233111001</v>
      </c>
      <c r="L132">
        <v>15000</v>
      </c>
      <c r="M132">
        <v>232.06625315107601</v>
      </c>
      <c r="O132">
        <v>64.631899626511995</v>
      </c>
      <c r="P132">
        <v>0.44882288098761203</v>
      </c>
      <c r="Q132">
        <v>1.5</v>
      </c>
      <c r="R132">
        <v>0.74967429626035498</v>
      </c>
      <c r="S132" t="s">
        <v>6778</v>
      </c>
      <c r="T132" t="s">
        <v>13290</v>
      </c>
      <c r="U132" t="s">
        <v>13290</v>
      </c>
      <c r="V132" t="s">
        <v>13290</v>
      </c>
      <c r="W132" t="s">
        <v>13421</v>
      </c>
      <c r="X132">
        <v>26</v>
      </c>
      <c r="Y132" t="s">
        <v>20006</v>
      </c>
      <c r="Z132" t="s">
        <v>26462</v>
      </c>
      <c r="AA132">
        <v>1.0893222770689719</v>
      </c>
      <c r="AB132" t="str">
        <f>HYPERLINK("Melting_Curves/meltCurve_B1AVU8_PSAP.pdf", "Melting_Curves/meltCurve_B1AVU8_PSAP.pdf")</f>
        <v>Melting_Curves/meltCurve_B1AVU8_PSAP.pdf</v>
      </c>
    </row>
    <row r="133" spans="1:28" x14ac:dyDescent="0.25">
      <c r="A133" t="s">
        <v>137</v>
      </c>
      <c r="B133">
        <v>0.99252571173614901</v>
      </c>
      <c r="C133">
        <v>0.84662858429294896</v>
      </c>
      <c r="D133">
        <v>0.82814983357522298</v>
      </c>
      <c r="E133">
        <v>0.402698709236952</v>
      </c>
      <c r="F133">
        <v>0.15367840738698299</v>
      </c>
      <c r="G133">
        <v>9.8150580223520606E-2</v>
      </c>
      <c r="H133">
        <v>7.0030795963141504E-2</v>
      </c>
      <c r="I133">
        <v>6.0273483674277803E-2</v>
      </c>
      <c r="J133">
        <v>6.7795308111935196E-2</v>
      </c>
      <c r="K133">
        <v>6.9878093183044998E-2</v>
      </c>
      <c r="L133">
        <v>1076.2455307863199</v>
      </c>
      <c r="M133">
        <v>22.2183470057956</v>
      </c>
      <c r="N133">
        <v>48.7183953901881</v>
      </c>
      <c r="O133">
        <v>48.052230754092598</v>
      </c>
      <c r="P133">
        <v>-0.10869398418039</v>
      </c>
      <c r="Q133">
        <v>5.9718534412249398E-2</v>
      </c>
      <c r="R133">
        <v>0.989629708841537</v>
      </c>
      <c r="S133" t="s">
        <v>6779</v>
      </c>
      <c r="T133" t="s">
        <v>13290</v>
      </c>
      <c r="U133" t="s">
        <v>13290</v>
      </c>
      <c r="V133" t="s">
        <v>13290</v>
      </c>
      <c r="W133" t="s">
        <v>13422</v>
      </c>
      <c r="X133">
        <v>6</v>
      </c>
      <c r="Y133" t="s">
        <v>20007</v>
      </c>
      <c r="Z133" t="s">
        <v>26463</v>
      </c>
      <c r="AA133">
        <v>0.3348778687257602</v>
      </c>
      <c r="AB133" t="str">
        <f>HYPERLINK("Melting_Curves/meltCurve_B1AZV3_TAP1.pdf", "Melting_Curves/meltCurve_B1AZV3_TAP1.pdf")</f>
        <v>Melting_Curves/meltCurve_B1AZV3_TAP1.pdf</v>
      </c>
    </row>
    <row r="134" spans="1:28" x14ac:dyDescent="0.25">
      <c r="A134" t="s">
        <v>138</v>
      </c>
      <c r="B134">
        <v>0.99252571173614901</v>
      </c>
      <c r="C134">
        <v>0.87716445489245298</v>
      </c>
      <c r="D134">
        <v>0.81435152253832799</v>
      </c>
      <c r="E134">
        <v>0.812111038780156</v>
      </c>
      <c r="F134">
        <v>0.59304679473919897</v>
      </c>
      <c r="G134">
        <v>0.30153133487966</v>
      </c>
      <c r="H134">
        <v>0.104708548160096</v>
      </c>
      <c r="I134">
        <v>0.10664020304704799</v>
      </c>
      <c r="J134">
        <v>9.5839759866441707E-2</v>
      </c>
      <c r="K134">
        <v>7.5715981294576407E-2</v>
      </c>
      <c r="L134">
        <v>720.20487067530098</v>
      </c>
      <c r="M134">
        <v>13.4025502611647</v>
      </c>
      <c r="N134">
        <v>53.774692697937702</v>
      </c>
      <c r="O134">
        <v>52.582386804207601</v>
      </c>
      <c r="P134">
        <v>-6.3429041603514397E-2</v>
      </c>
      <c r="Q134">
        <v>4.7484432265663696E-3</v>
      </c>
      <c r="R134">
        <v>0.97597730459866106</v>
      </c>
      <c r="S134" t="s">
        <v>6780</v>
      </c>
      <c r="T134" t="s">
        <v>13290</v>
      </c>
      <c r="U134" t="s">
        <v>13290</v>
      </c>
      <c r="V134" t="s">
        <v>13290</v>
      </c>
      <c r="W134" t="s">
        <v>13423</v>
      </c>
      <c r="X134">
        <v>16</v>
      </c>
      <c r="Y134" t="s">
        <v>20008</v>
      </c>
      <c r="Z134" t="s">
        <v>26464</v>
      </c>
      <c r="AA134">
        <v>0.48416589965079809</v>
      </c>
      <c r="AB134" t="str">
        <f>HYPERLINK("Melting_Curves/meltCurve_B2RCS5_ACTN2.pdf", "Melting_Curves/meltCurve_B2RCS5_ACTN2.pdf")</f>
        <v>Melting_Curves/meltCurve_B2RCS5_ACTN2.pdf</v>
      </c>
    </row>
    <row r="135" spans="1:28" x14ac:dyDescent="0.25">
      <c r="A135" t="s">
        <v>139</v>
      </c>
      <c r="B135">
        <v>0.99252571173614901</v>
      </c>
      <c r="C135">
        <v>1.05904096437364</v>
      </c>
      <c r="D135">
        <v>0.81019889273555401</v>
      </c>
      <c r="E135">
        <v>0.52888120422705098</v>
      </c>
      <c r="F135">
        <v>0.29516876826899002</v>
      </c>
      <c r="G135">
        <v>0.192685792766597</v>
      </c>
      <c r="H135">
        <v>0.16805033282829801</v>
      </c>
      <c r="I135">
        <v>0.18410897818854699</v>
      </c>
      <c r="J135">
        <v>0.200835052506048</v>
      </c>
      <c r="K135">
        <v>0.220138949931033</v>
      </c>
      <c r="L135">
        <v>1190.08690793085</v>
      </c>
      <c r="M135">
        <v>24.3826660501215</v>
      </c>
      <c r="N135">
        <v>49.775598416264202</v>
      </c>
      <c r="O135">
        <v>48.483984970385997</v>
      </c>
      <c r="P135">
        <v>-0.102011432054833</v>
      </c>
      <c r="Q135">
        <v>0.18862921837638</v>
      </c>
      <c r="R135">
        <v>0.98986069517639996</v>
      </c>
      <c r="S135" t="s">
        <v>6781</v>
      </c>
      <c r="T135" t="s">
        <v>13290</v>
      </c>
      <c r="U135" t="s">
        <v>13290</v>
      </c>
      <c r="V135" t="s">
        <v>13290</v>
      </c>
      <c r="W135" t="s">
        <v>13424</v>
      </c>
      <c r="X135">
        <v>4</v>
      </c>
      <c r="Y135" t="s">
        <v>20009</v>
      </c>
      <c r="Z135" t="s">
        <v>26465</v>
      </c>
      <c r="AA135">
        <v>0.43443107742874132</v>
      </c>
      <c r="AB135" t="str">
        <f>HYPERLINK("Melting_Curves/meltCurve_B3KPJ4_PHC2.pdf", "Melting_Curves/meltCurve_B3KPJ4_PHC2.pdf")</f>
        <v>Melting_Curves/meltCurve_B3KPJ4_PHC2.pdf</v>
      </c>
    </row>
    <row r="136" spans="1:28" x14ac:dyDescent="0.25">
      <c r="A136" t="s">
        <v>140</v>
      </c>
      <c r="B136">
        <v>0.99252571173614901</v>
      </c>
      <c r="C136">
        <v>0.87241938448244605</v>
      </c>
      <c r="D136">
        <v>1.13986735919406</v>
      </c>
      <c r="E136">
        <v>1.00865279336698</v>
      </c>
      <c r="F136">
        <v>0.70172115130333801</v>
      </c>
      <c r="G136">
        <v>0.405470061627284</v>
      </c>
      <c r="H136">
        <v>0.26408089604273499</v>
      </c>
      <c r="I136">
        <v>0.20135371633205701</v>
      </c>
      <c r="J136">
        <v>0.22888210026220801</v>
      </c>
      <c r="K136">
        <v>0.23035962592488701</v>
      </c>
      <c r="L136">
        <v>1678.1821645197199</v>
      </c>
      <c r="M136">
        <v>30.909703435750998</v>
      </c>
      <c r="N136">
        <v>55.360951561533099</v>
      </c>
      <c r="O136">
        <v>54.067319631699</v>
      </c>
      <c r="P136">
        <v>-0.110828206119137</v>
      </c>
      <c r="Q136">
        <v>0.22456075765560701</v>
      </c>
      <c r="R136">
        <v>0.96759975077906601</v>
      </c>
      <c r="S136" t="s">
        <v>6782</v>
      </c>
      <c r="T136" t="s">
        <v>13290</v>
      </c>
      <c r="U136" t="s">
        <v>13290</v>
      </c>
      <c r="V136" t="s">
        <v>13290</v>
      </c>
      <c r="W136" t="s">
        <v>13425</v>
      </c>
      <c r="X136">
        <v>11</v>
      </c>
      <c r="Y136" t="s">
        <v>20010</v>
      </c>
      <c r="Z136" t="s">
        <v>26466</v>
      </c>
      <c r="AA136">
        <v>0.5988318797857537</v>
      </c>
      <c r="AB136" t="str">
        <f>HYPERLINK("Melting_Curves/meltCurve_B3KS98_EIF3S3.pdf", "Melting_Curves/meltCurve_B3KS98_EIF3S3.pdf")</f>
        <v>Melting_Curves/meltCurve_B3KS98_EIF3S3.pdf</v>
      </c>
    </row>
    <row r="137" spans="1:28" x14ac:dyDescent="0.25">
      <c r="A137" t="s">
        <v>141</v>
      </c>
      <c r="B137">
        <v>0.99252571173614901</v>
      </c>
      <c r="C137">
        <v>0.871046528453022</v>
      </c>
      <c r="D137">
        <v>0.86918854821992497</v>
      </c>
      <c r="E137">
        <v>0.65255277564184</v>
      </c>
      <c r="F137">
        <v>0.18528805106261301</v>
      </c>
      <c r="G137">
        <v>0.120125550666883</v>
      </c>
      <c r="H137">
        <v>7.7037248011075199E-2</v>
      </c>
      <c r="I137">
        <v>7.8050314066805196E-2</v>
      </c>
      <c r="J137">
        <v>7.3203407073438503E-2</v>
      </c>
      <c r="K137">
        <v>7.5495881091292794E-2</v>
      </c>
      <c r="L137">
        <v>1268.7979687664499</v>
      </c>
      <c r="M137">
        <v>25.3069084696407</v>
      </c>
      <c r="N137">
        <v>50.420855450274303</v>
      </c>
      <c r="O137">
        <v>49.826508725483201</v>
      </c>
      <c r="P137">
        <v>-0.118530483129114</v>
      </c>
      <c r="Q137">
        <v>6.6518187781643798E-2</v>
      </c>
      <c r="R137">
        <v>0.984248335398762</v>
      </c>
      <c r="S137" t="s">
        <v>6783</v>
      </c>
      <c r="T137" t="s">
        <v>13290</v>
      </c>
      <c r="U137" t="s">
        <v>13290</v>
      </c>
      <c r="V137" t="s">
        <v>13290</v>
      </c>
      <c r="W137" t="s">
        <v>13426</v>
      </c>
      <c r="X137">
        <v>13</v>
      </c>
      <c r="Y137" t="s">
        <v>20011</v>
      </c>
      <c r="Z137" t="s">
        <v>26467</v>
      </c>
      <c r="AA137">
        <v>0.39007678632328169</v>
      </c>
      <c r="AB137" t="str">
        <f>HYPERLINK("Melting_Curves/meltCurve_B3KSH1_EIF3F.pdf", "Melting_Curves/meltCurve_B3KSH1_EIF3F.pdf")</f>
        <v>Melting_Curves/meltCurve_B3KSH1_EIF3F.pdf</v>
      </c>
    </row>
    <row r="138" spans="1:28" x14ac:dyDescent="0.25">
      <c r="A138" t="s">
        <v>142</v>
      </c>
      <c r="B138">
        <v>0.99252571173614901</v>
      </c>
      <c r="C138">
        <v>1.1068473681522299</v>
      </c>
      <c r="D138">
        <v>0.95159685448415698</v>
      </c>
      <c r="E138">
        <v>0.80769247347696704</v>
      </c>
      <c r="F138">
        <v>0.43026357743535898</v>
      </c>
      <c r="G138">
        <v>0.14849349812604101</v>
      </c>
      <c r="H138">
        <v>0.10703602342838001</v>
      </c>
      <c r="I138">
        <v>0.115048588032055</v>
      </c>
      <c r="J138">
        <v>0.132289063707594</v>
      </c>
      <c r="K138">
        <v>0.134563250029932</v>
      </c>
      <c r="L138">
        <v>1505.17275635228</v>
      </c>
      <c r="M138">
        <v>28.9856256337575</v>
      </c>
      <c r="N138">
        <v>52.391716526337497</v>
      </c>
      <c r="O138">
        <v>51.682969708471802</v>
      </c>
      <c r="P138">
        <v>-0.124353669826458</v>
      </c>
      <c r="Q138">
        <v>0.11308891326137401</v>
      </c>
      <c r="R138">
        <v>0.99039887144643202</v>
      </c>
      <c r="S138" t="s">
        <v>6784</v>
      </c>
      <c r="T138" t="s">
        <v>13290</v>
      </c>
      <c r="U138" t="s">
        <v>13290</v>
      </c>
      <c r="V138" t="s">
        <v>13290</v>
      </c>
      <c r="W138" t="s">
        <v>13427</v>
      </c>
      <c r="X138">
        <v>19</v>
      </c>
      <c r="Y138" t="s">
        <v>20012</v>
      </c>
      <c r="Z138" t="s">
        <v>26468</v>
      </c>
      <c r="AA138">
        <v>0.47179154490492231</v>
      </c>
      <c r="AB138" t="str">
        <f>HYPERLINK("Melting_Curves/meltCurve_B3KSI9_LZTFL1.pdf", "Melting_Curves/meltCurve_B3KSI9_LZTFL1.pdf")</f>
        <v>Melting_Curves/meltCurve_B3KSI9_LZTFL1.pdf</v>
      </c>
    </row>
    <row r="139" spans="1:28" x14ac:dyDescent="0.25">
      <c r="A139" t="s">
        <v>143</v>
      </c>
      <c r="B139">
        <v>0.99252571173614901</v>
      </c>
      <c r="C139">
        <v>1.07708796196217</v>
      </c>
      <c r="D139">
        <v>0.96529760013322397</v>
      </c>
      <c r="E139">
        <v>0.95236522422570202</v>
      </c>
      <c r="F139">
        <v>0.74213651508143297</v>
      </c>
      <c r="G139">
        <v>0.59755717500565197</v>
      </c>
      <c r="H139">
        <v>0.54184668377111</v>
      </c>
      <c r="I139">
        <v>0.52706221368645001</v>
      </c>
      <c r="J139">
        <v>0.77184186396599996</v>
      </c>
      <c r="K139">
        <v>1.0759982409751201</v>
      </c>
      <c r="L139">
        <v>2850.2800802061001</v>
      </c>
      <c r="M139">
        <v>55.765681073255301</v>
      </c>
      <c r="O139">
        <v>51.046131882988</v>
      </c>
      <c r="P139">
        <v>-8.0809121266405506E-2</v>
      </c>
      <c r="Q139">
        <v>0.70411981769100895</v>
      </c>
      <c r="R139">
        <v>0.47870510749402201</v>
      </c>
      <c r="S139" t="s">
        <v>6785</v>
      </c>
      <c r="T139" t="s">
        <v>13290</v>
      </c>
      <c r="U139" t="s">
        <v>13290</v>
      </c>
      <c r="V139" t="s">
        <v>13290</v>
      </c>
      <c r="W139" t="s">
        <v>13428</v>
      </c>
      <c r="X139">
        <v>1</v>
      </c>
      <c r="Y139" t="s">
        <v>20013</v>
      </c>
      <c r="Z139" t="s">
        <v>26469</v>
      </c>
      <c r="AA139">
        <v>0.81424678649782478</v>
      </c>
      <c r="AB139" t="str">
        <f>HYPERLINK("Melting_Curves/meltCurve_B3KSJ7_DCLRE1C.pdf", "Melting_Curves/meltCurve_B3KSJ7_DCLRE1C.pdf")</f>
        <v>Melting_Curves/meltCurve_B3KSJ7_DCLRE1C.pdf</v>
      </c>
    </row>
    <row r="140" spans="1:28" x14ac:dyDescent="0.25">
      <c r="A140" t="s">
        <v>144</v>
      </c>
      <c r="B140">
        <v>0.99252571173614901</v>
      </c>
      <c r="C140">
        <v>1.11253500645635</v>
      </c>
      <c r="D140">
        <v>0.99940890164450902</v>
      </c>
      <c r="E140">
        <v>0.90017397566921498</v>
      </c>
      <c r="F140">
        <v>0.89682139830520302</v>
      </c>
      <c r="G140">
        <v>0.63543233678125</v>
      </c>
      <c r="H140">
        <v>0.47343284901357002</v>
      </c>
      <c r="I140">
        <v>0.41478316199189202</v>
      </c>
      <c r="J140">
        <v>0.28912357972846198</v>
      </c>
      <c r="K140">
        <v>0.216103839122925</v>
      </c>
      <c r="L140">
        <v>815.997835279436</v>
      </c>
      <c r="M140">
        <v>13.868301817671901</v>
      </c>
      <c r="N140">
        <v>60.491473735236902</v>
      </c>
      <c r="O140">
        <v>57.656140400240801</v>
      </c>
      <c r="P140">
        <v>-5.0659234014184901E-2</v>
      </c>
      <c r="Q140">
        <v>0.15767194934644199</v>
      </c>
      <c r="R140">
        <v>0.97502456015251204</v>
      </c>
      <c r="S140" t="s">
        <v>6786</v>
      </c>
      <c r="T140" t="s">
        <v>13290</v>
      </c>
      <c r="U140" t="s">
        <v>13290</v>
      </c>
      <c r="V140" t="s">
        <v>13290</v>
      </c>
      <c r="W140" t="s">
        <v>13429</v>
      </c>
      <c r="X140">
        <v>1</v>
      </c>
      <c r="Y140" t="s">
        <v>20014</v>
      </c>
      <c r="Z140" t="s">
        <v>26470</v>
      </c>
      <c r="AA140">
        <v>0.69550849211676657</v>
      </c>
      <c r="AB140" t="str">
        <f>HYPERLINK("Melting_Curves/meltCurve_B3KUE5_PLTP.pdf", "Melting_Curves/meltCurve_B3KUE5_PLTP.pdf")</f>
        <v>Melting_Curves/meltCurve_B3KUE5_PLTP.pdf</v>
      </c>
    </row>
    <row r="141" spans="1:28" x14ac:dyDescent="0.25">
      <c r="A141" t="s">
        <v>145</v>
      </c>
      <c r="B141">
        <v>0.99252571173614901</v>
      </c>
      <c r="C141">
        <v>1.1038055997785801</v>
      </c>
      <c r="D141">
        <v>1.07223576313186</v>
      </c>
      <c r="E141">
        <v>0.97587208337059805</v>
      </c>
      <c r="F141">
        <v>1.28773289726575</v>
      </c>
      <c r="G141">
        <v>0.95220772468839798</v>
      </c>
      <c r="H141">
        <v>3.3348142815356301</v>
      </c>
      <c r="I141">
        <v>1.4489937967653701</v>
      </c>
      <c r="J141">
        <v>1.8076112086625</v>
      </c>
      <c r="K141">
        <v>2.0711059500017499</v>
      </c>
      <c r="L141">
        <v>14577.625401405199</v>
      </c>
      <c r="M141">
        <v>250</v>
      </c>
      <c r="O141">
        <v>58.306768986431102</v>
      </c>
      <c r="P141">
        <v>0.53595834535122</v>
      </c>
      <c r="Q141">
        <v>1.5</v>
      </c>
      <c r="R141">
        <v>0.22274090746668199</v>
      </c>
      <c r="S141" t="s">
        <v>6787</v>
      </c>
      <c r="T141" t="s">
        <v>13290</v>
      </c>
      <c r="U141" t="s">
        <v>13290</v>
      </c>
      <c r="V141" t="s">
        <v>13290</v>
      </c>
      <c r="W141" t="s">
        <v>13430</v>
      </c>
      <c r="X141">
        <v>12</v>
      </c>
      <c r="Y141" t="s">
        <v>20015</v>
      </c>
      <c r="Z141" t="s">
        <v>26471</v>
      </c>
      <c r="AA141">
        <v>1.19477380622825</v>
      </c>
      <c r="AB141" t="str">
        <f>HYPERLINK("Melting_Curves/meltCurve_B3KUK2_SOD2.pdf", "Melting_Curves/meltCurve_B3KUK2_SOD2.pdf")</f>
        <v>Melting_Curves/meltCurve_B3KUK2_SOD2.pdf</v>
      </c>
    </row>
    <row r="142" spans="1:28" x14ac:dyDescent="0.25">
      <c r="A142" t="s">
        <v>146</v>
      </c>
      <c r="B142">
        <v>0.99252571173614901</v>
      </c>
      <c r="C142">
        <v>0.87639550852519699</v>
      </c>
      <c r="D142">
        <v>0.93933968032389403</v>
      </c>
      <c r="E142">
        <v>0.70524664578858898</v>
      </c>
      <c r="F142">
        <v>0.51894980320572304</v>
      </c>
      <c r="G142">
        <v>0.35751073952562001</v>
      </c>
      <c r="H142">
        <v>0.24187171379580999</v>
      </c>
      <c r="I142">
        <v>0.116026905773916</v>
      </c>
      <c r="J142">
        <v>9.2495449100197705E-2</v>
      </c>
      <c r="K142">
        <v>6.5185631221411106E-2</v>
      </c>
      <c r="L142">
        <v>611.82695031628805</v>
      </c>
      <c r="M142">
        <v>11.3746083545812</v>
      </c>
      <c r="N142">
        <v>53.788836152691502</v>
      </c>
      <c r="O142">
        <v>52.206789993396001</v>
      </c>
      <c r="P142">
        <v>-5.4485159163305402E-2</v>
      </c>
      <c r="Q142">
        <v>0</v>
      </c>
      <c r="R142">
        <v>0.99044614250942897</v>
      </c>
      <c r="S142" t="s">
        <v>6788</v>
      </c>
      <c r="T142" t="s">
        <v>13290</v>
      </c>
      <c r="U142" t="s">
        <v>13290</v>
      </c>
      <c r="V142" t="s">
        <v>13290</v>
      </c>
      <c r="W142" t="s">
        <v>13431</v>
      </c>
      <c r="X142">
        <v>1</v>
      </c>
      <c r="Y142" t="s">
        <v>20016</v>
      </c>
      <c r="Z142" t="s">
        <v>26472</v>
      </c>
      <c r="AA142">
        <v>0.48762614446819952</v>
      </c>
      <c r="AB142" t="str">
        <f>HYPERLINK("Melting_Curves/meltCurve_B3KV61_UXS1.pdf", "Melting_Curves/meltCurve_B3KV61_UXS1.pdf")</f>
        <v>Melting_Curves/meltCurve_B3KV61_UXS1.pdf</v>
      </c>
    </row>
    <row r="143" spans="1:28" x14ac:dyDescent="0.25">
      <c r="A143" t="s">
        <v>147</v>
      </c>
      <c r="B143">
        <v>0.99252571173614901</v>
      </c>
      <c r="C143">
        <v>1.00565529842312</v>
      </c>
      <c r="D143">
        <v>0.84532183730872501</v>
      </c>
      <c r="E143">
        <v>0.67873856255924703</v>
      </c>
      <c r="F143">
        <v>0.447872917749574</v>
      </c>
      <c r="G143">
        <v>0.34232081624215399</v>
      </c>
      <c r="H143">
        <v>0.25365478968859601</v>
      </c>
      <c r="I143">
        <v>0.237280667420566</v>
      </c>
      <c r="J143">
        <v>0.27441584170128003</v>
      </c>
      <c r="K143">
        <v>0.25698149521123398</v>
      </c>
      <c r="L143">
        <v>890.34997484595601</v>
      </c>
      <c r="M143">
        <v>17.709275808492301</v>
      </c>
      <c r="N143">
        <v>52.233502289067502</v>
      </c>
      <c r="O143">
        <v>49.648001346081102</v>
      </c>
      <c r="P143">
        <v>-6.7550384487633397E-2</v>
      </c>
      <c r="Q143">
        <v>0.24252945403155801</v>
      </c>
      <c r="R143">
        <v>0.99497208524804803</v>
      </c>
      <c r="S143" t="s">
        <v>6789</v>
      </c>
      <c r="T143" t="s">
        <v>13290</v>
      </c>
      <c r="U143" t="s">
        <v>13290</v>
      </c>
      <c r="V143" t="s">
        <v>13290</v>
      </c>
      <c r="W143" t="s">
        <v>13432</v>
      </c>
      <c r="X143">
        <v>7</v>
      </c>
      <c r="Y143" t="s">
        <v>20017</v>
      </c>
      <c r="Z143" t="s">
        <v>26473</v>
      </c>
      <c r="AA143">
        <v>0.51525613736958287</v>
      </c>
      <c r="AB143" t="str">
        <f>HYPERLINK("Melting_Curves/meltCurve_B3KVH8_PHF23.pdf", "Melting_Curves/meltCurve_B3KVH8_PHF23.pdf")</f>
        <v>Melting_Curves/meltCurve_B3KVH8_PHF23.pdf</v>
      </c>
    </row>
    <row r="144" spans="1:28" x14ac:dyDescent="0.25">
      <c r="A144" t="s">
        <v>148</v>
      </c>
      <c r="B144">
        <v>0.99252571173614901</v>
      </c>
      <c r="C144">
        <v>0.92139668055672796</v>
      </c>
      <c r="D144">
        <v>0.63041957010858796</v>
      </c>
      <c r="E144">
        <v>0.41881354083598799</v>
      </c>
      <c r="F144">
        <v>0.23170767074593901</v>
      </c>
      <c r="G144">
        <v>0.133319800933143</v>
      </c>
      <c r="H144">
        <v>0.10581367654747</v>
      </c>
      <c r="I144">
        <v>9.6177306632304602E-2</v>
      </c>
      <c r="J144">
        <v>0.106599468765025</v>
      </c>
      <c r="K144">
        <v>0.113272403884215</v>
      </c>
      <c r="L144">
        <v>835.55411793565497</v>
      </c>
      <c r="M144">
        <v>17.565468794011199</v>
      </c>
      <c r="N144">
        <v>48.160691232356697</v>
      </c>
      <c r="O144">
        <v>46.964340257041698</v>
      </c>
      <c r="P144">
        <v>-8.4420131072334204E-2</v>
      </c>
      <c r="Q144">
        <v>9.7201704655089399E-2</v>
      </c>
      <c r="R144">
        <v>0.99475390669777597</v>
      </c>
      <c r="S144" t="s">
        <v>6790</v>
      </c>
      <c r="T144" t="s">
        <v>13290</v>
      </c>
      <c r="U144" t="s">
        <v>13290</v>
      </c>
      <c r="V144" t="s">
        <v>13290</v>
      </c>
      <c r="W144" t="s">
        <v>13433</v>
      </c>
      <c r="X144">
        <v>8</v>
      </c>
      <c r="Y144" t="s">
        <v>20018</v>
      </c>
      <c r="Z144" t="s">
        <v>26474</v>
      </c>
      <c r="AA144">
        <v>0.34206619721320641</v>
      </c>
      <c r="AB144" t="str">
        <f>HYPERLINK("Melting_Curves/meltCurve_B3KVZ3_CENPH.pdf", "Melting_Curves/meltCurve_B3KVZ3_CENPH.pdf")</f>
        <v>Melting_Curves/meltCurve_B3KVZ3_CENPH.pdf</v>
      </c>
    </row>
    <row r="145" spans="1:28" x14ac:dyDescent="0.25">
      <c r="A145" t="s">
        <v>149</v>
      </c>
      <c r="B145">
        <v>0.99252571173614901</v>
      </c>
      <c r="C145">
        <v>0.93746925824846605</v>
      </c>
      <c r="D145">
        <v>0.44391593704018301</v>
      </c>
      <c r="E145">
        <v>0.209186899744013</v>
      </c>
      <c r="F145">
        <v>0.103392349883801</v>
      </c>
      <c r="G145">
        <v>6.6459734851666799E-2</v>
      </c>
      <c r="H145">
        <v>2.88943536222298E-2</v>
      </c>
      <c r="I145">
        <v>3.43698568724249E-2</v>
      </c>
      <c r="J145">
        <v>3.4422181655873303E-2</v>
      </c>
      <c r="K145">
        <v>3.3518130031624398E-2</v>
      </c>
      <c r="L145">
        <v>1306.4681910996201</v>
      </c>
      <c r="M145">
        <v>28.531411304310101</v>
      </c>
      <c r="N145">
        <v>45.968371670188098</v>
      </c>
      <c r="O145">
        <v>45.567343657501098</v>
      </c>
      <c r="P145">
        <v>-0.14835553854076799</v>
      </c>
      <c r="Q145">
        <v>5.2256631664953E-2</v>
      </c>
      <c r="R145">
        <v>0.99013560808631795</v>
      </c>
      <c r="S145" t="s">
        <v>6791</v>
      </c>
      <c r="T145" t="s">
        <v>13290</v>
      </c>
      <c r="U145" t="s">
        <v>13290</v>
      </c>
      <c r="V145" t="s">
        <v>13290</v>
      </c>
      <c r="W145" t="s">
        <v>13434</v>
      </c>
      <c r="X145">
        <v>2</v>
      </c>
      <c r="Y145" t="s">
        <v>20019</v>
      </c>
      <c r="Z145" t="s">
        <v>26475</v>
      </c>
      <c r="AA145">
        <v>0.24171249780327059</v>
      </c>
      <c r="AB145" t="str">
        <f>HYPERLINK("Melting_Curves/meltCurve_B3KWW1_DDX58.pdf", "Melting_Curves/meltCurve_B3KWW1_DDX58.pdf")</f>
        <v>Melting_Curves/meltCurve_B3KWW1_DDX58.pdf</v>
      </c>
    </row>
    <row r="146" spans="1:28" x14ac:dyDescent="0.25">
      <c r="A146" t="s">
        <v>150</v>
      </c>
      <c r="B146">
        <v>0.99252571173614901</v>
      </c>
      <c r="C146">
        <v>0.82105492837205296</v>
      </c>
      <c r="D146">
        <v>0.80241035582388898</v>
      </c>
      <c r="E146">
        <v>0.35508611944381202</v>
      </c>
      <c r="F146">
        <v>0.19260209550666299</v>
      </c>
      <c r="G146">
        <v>9.4185356132136897E-2</v>
      </c>
      <c r="H146">
        <v>6.5628295598700995E-2</v>
      </c>
      <c r="I146">
        <v>6.3311254000276304E-2</v>
      </c>
      <c r="J146">
        <v>6.1687249767165303E-2</v>
      </c>
      <c r="K146">
        <v>6.4273500925301305E-2</v>
      </c>
      <c r="L146">
        <v>941.25353234117301</v>
      </c>
      <c r="M146">
        <v>19.558276410909201</v>
      </c>
      <c r="N146">
        <v>48.412326913644499</v>
      </c>
      <c r="O146">
        <v>47.630945380800902</v>
      </c>
      <c r="P146">
        <v>-9.7044793466062207E-2</v>
      </c>
      <c r="Q146">
        <v>5.4687474699193397E-2</v>
      </c>
      <c r="R146">
        <v>0.98627056347818098</v>
      </c>
      <c r="S146" t="s">
        <v>6792</v>
      </c>
      <c r="T146" t="s">
        <v>13290</v>
      </c>
      <c r="U146" t="s">
        <v>13290</v>
      </c>
      <c r="V146" t="s">
        <v>13290</v>
      </c>
      <c r="W146" t="s">
        <v>13435</v>
      </c>
      <c r="X146">
        <v>13</v>
      </c>
      <c r="Y146" t="s">
        <v>20020</v>
      </c>
      <c r="Z146" t="s">
        <v>26476</v>
      </c>
      <c r="AA146">
        <v>0.32477459139118181</v>
      </c>
      <c r="AB146" t="str">
        <f>HYPERLINK("Melting_Curves/meltCurve_B3KXW5_AP1G1.pdf", "Melting_Curves/meltCurve_B3KXW5_AP1G1.pdf")</f>
        <v>Melting_Curves/meltCurve_B3KXW5_AP1G1.pdf</v>
      </c>
    </row>
    <row r="147" spans="1:28" x14ac:dyDescent="0.25">
      <c r="A147" t="s">
        <v>151</v>
      </c>
      <c r="B147">
        <v>0.99252571173614901</v>
      </c>
      <c r="C147">
        <v>0.88651751054783801</v>
      </c>
      <c r="D147">
        <v>0.87816465602806304</v>
      </c>
      <c r="E147">
        <v>0.71703668438912205</v>
      </c>
      <c r="F147">
        <v>0.46340353042076199</v>
      </c>
      <c r="G147">
        <v>0.22955244799909899</v>
      </c>
      <c r="H147">
        <v>0.112595842121374</v>
      </c>
      <c r="I147">
        <v>0.115855474335884</v>
      </c>
      <c r="J147">
        <v>0.19529105164961999</v>
      </c>
      <c r="K147">
        <v>0.17006922137220501</v>
      </c>
      <c r="L147">
        <v>907.52959234822299</v>
      </c>
      <c r="M147">
        <v>17.6691849591706</v>
      </c>
      <c r="N147">
        <v>52.200593883372598</v>
      </c>
      <c r="O147">
        <v>50.717924878641199</v>
      </c>
      <c r="P147">
        <v>-7.6340843384347795E-2</v>
      </c>
      <c r="Q147">
        <v>0.12352637640146499</v>
      </c>
      <c r="R147">
        <v>0.98205103168208896</v>
      </c>
      <c r="S147" t="s">
        <v>6793</v>
      </c>
      <c r="T147" t="s">
        <v>13290</v>
      </c>
      <c r="U147" t="s">
        <v>13290</v>
      </c>
      <c r="V147" t="s">
        <v>13290</v>
      </c>
      <c r="W147" t="s">
        <v>13436</v>
      </c>
      <c r="X147">
        <v>6</v>
      </c>
      <c r="Y147" t="s">
        <v>20021</v>
      </c>
      <c r="Z147" t="s">
        <v>26477</v>
      </c>
      <c r="AA147">
        <v>0.47067759267331699</v>
      </c>
      <c r="AB147" t="str">
        <f>HYPERLINK("Melting_Curves/meltCurve_B3KXX3_SLC12A6.pdf", "Melting_Curves/meltCurve_B3KXX3_SLC12A6.pdf")</f>
        <v>Melting_Curves/meltCurve_B3KXX3_SLC12A6.pdf</v>
      </c>
    </row>
    <row r="148" spans="1:28" x14ac:dyDescent="0.25">
      <c r="A148" t="s">
        <v>152</v>
      </c>
      <c r="B148">
        <v>0.99252571173614901</v>
      </c>
      <c r="C148">
        <v>0.93278106606547195</v>
      </c>
      <c r="D148">
        <v>0.96638450751106098</v>
      </c>
      <c r="E148">
        <v>0.87831505886198302</v>
      </c>
      <c r="F148">
        <v>0.69157521586822801</v>
      </c>
      <c r="G148">
        <v>0.43975049089562701</v>
      </c>
      <c r="H148">
        <v>0.30720412442418699</v>
      </c>
      <c r="I148">
        <v>0.30784313862475499</v>
      </c>
      <c r="J148">
        <v>0.37061854350803197</v>
      </c>
      <c r="K148">
        <v>0.26831985873360997</v>
      </c>
      <c r="L148">
        <v>1174.76253117734</v>
      </c>
      <c r="M148">
        <v>21.9618826696756</v>
      </c>
      <c r="N148">
        <v>55.752393384985602</v>
      </c>
      <c r="O148">
        <v>53.053402390091698</v>
      </c>
      <c r="P148">
        <v>-7.2978407124873801E-2</v>
      </c>
      <c r="Q148">
        <v>0.294839018742593</v>
      </c>
      <c r="R148">
        <v>0.98583110383358197</v>
      </c>
      <c r="S148" t="s">
        <v>6794</v>
      </c>
      <c r="T148" t="s">
        <v>13290</v>
      </c>
      <c r="U148" t="s">
        <v>13290</v>
      </c>
      <c r="V148" t="s">
        <v>13290</v>
      </c>
      <c r="W148" t="s">
        <v>13437</v>
      </c>
      <c r="X148">
        <v>2</v>
      </c>
      <c r="Y148" t="s">
        <v>20022</v>
      </c>
      <c r="Z148" t="s">
        <v>26478</v>
      </c>
      <c r="AA148">
        <v>0.62017543960055765</v>
      </c>
      <c r="AB148" t="str">
        <f>HYPERLINK("Melting_Curves/meltCurve_B3KY94_CDIPT.pdf", "Melting_Curves/meltCurve_B3KY94_CDIPT.pdf")</f>
        <v>Melting_Curves/meltCurve_B3KY94_CDIPT.pdf</v>
      </c>
    </row>
    <row r="149" spans="1:28" x14ac:dyDescent="0.25">
      <c r="A149" t="s">
        <v>153</v>
      </c>
      <c r="B149">
        <v>0.99252571173614901</v>
      </c>
      <c r="C149">
        <v>1.23109058554197</v>
      </c>
      <c r="D149">
        <v>0.92968703373850403</v>
      </c>
      <c r="E149">
        <v>1.3875420523572699</v>
      </c>
      <c r="F149">
        <v>1.0944520265150699</v>
      </c>
      <c r="G149">
        <v>1.0760459066764201</v>
      </c>
      <c r="H149">
        <v>1.31974925566318</v>
      </c>
      <c r="I149">
        <v>1.68321105926728</v>
      </c>
      <c r="J149">
        <v>2.2896487689372602</v>
      </c>
      <c r="K149">
        <v>2.36718972903101</v>
      </c>
      <c r="L149">
        <v>15000</v>
      </c>
      <c r="M149">
        <v>247.283731743359</v>
      </c>
      <c r="O149">
        <v>60.655074268912202</v>
      </c>
      <c r="P149">
        <v>0.50961036465452403</v>
      </c>
      <c r="Q149">
        <v>1.5</v>
      </c>
      <c r="R149">
        <v>0.32377462539145302</v>
      </c>
      <c r="S149" t="s">
        <v>6795</v>
      </c>
      <c r="T149" t="s">
        <v>13290</v>
      </c>
      <c r="U149" t="s">
        <v>13290</v>
      </c>
      <c r="V149" t="s">
        <v>13290</v>
      </c>
      <c r="W149" t="s">
        <v>13438</v>
      </c>
      <c r="X149">
        <v>13</v>
      </c>
      <c r="Y149" t="s">
        <v>20023</v>
      </c>
      <c r="Z149" t="s">
        <v>26479</v>
      </c>
      <c r="AA149">
        <v>1.1556278432194409</v>
      </c>
      <c r="AB149" t="str">
        <f>HYPERLINK("Melting_Curves/meltCurve_B3V0L1_ARL6IP4.pdf", "Melting_Curves/meltCurve_B3V0L1_ARL6IP4.pdf")</f>
        <v>Melting_Curves/meltCurve_B3V0L1_ARL6IP4.pdf</v>
      </c>
    </row>
    <row r="150" spans="1:28" x14ac:dyDescent="0.25">
      <c r="A150" t="s">
        <v>154</v>
      </c>
      <c r="B150">
        <v>0.99252571173614901</v>
      </c>
      <c r="C150">
        <v>1.0248899939749001</v>
      </c>
      <c r="D150">
        <v>0.81518917227753995</v>
      </c>
      <c r="E150">
        <v>0.39706490354331903</v>
      </c>
      <c r="F150">
        <v>0.18445394712454399</v>
      </c>
      <c r="G150">
        <v>0.112741264991172</v>
      </c>
      <c r="H150">
        <v>8.5158178514869703E-2</v>
      </c>
      <c r="I150">
        <v>9.2000120111893804E-2</v>
      </c>
      <c r="J150">
        <v>0.109237316977638</v>
      </c>
      <c r="K150">
        <v>0.12013303417481599</v>
      </c>
      <c r="L150">
        <v>1357.3769715231399</v>
      </c>
      <c r="M150">
        <v>28.074597267691399</v>
      </c>
      <c r="N150">
        <v>48.749572774885102</v>
      </c>
      <c r="O150">
        <v>48.105627114796597</v>
      </c>
      <c r="P150">
        <v>-0.130871161455063</v>
      </c>
      <c r="Q150">
        <v>0.103020355794819</v>
      </c>
      <c r="R150">
        <v>0.99726301072600398</v>
      </c>
      <c r="S150" t="s">
        <v>6796</v>
      </c>
      <c r="T150" t="s">
        <v>13290</v>
      </c>
      <c r="U150" t="s">
        <v>13290</v>
      </c>
      <c r="V150" t="s">
        <v>13290</v>
      </c>
      <c r="W150" t="s">
        <v>13439</v>
      </c>
      <c r="X150">
        <v>18</v>
      </c>
      <c r="Y150" t="s">
        <v>20024</v>
      </c>
      <c r="Z150" t="s">
        <v>26480</v>
      </c>
      <c r="AA150">
        <v>0.35886655519114441</v>
      </c>
      <c r="AB150" t="str">
        <f>HYPERLINK("Melting_Curves/meltCurve_B4DDF4_CNN2.pdf", "Melting_Curves/meltCurve_B4DDF4_CNN2.pdf")</f>
        <v>Melting_Curves/meltCurve_B4DDF4_CNN2.pdf</v>
      </c>
    </row>
    <row r="151" spans="1:28" x14ac:dyDescent="0.25">
      <c r="A151" t="s">
        <v>155</v>
      </c>
      <c r="B151">
        <v>0.99252571173614901</v>
      </c>
      <c r="C151">
        <v>0.86955749911366498</v>
      </c>
      <c r="D151">
        <v>0.71502122778500699</v>
      </c>
      <c r="E151">
        <v>0.42618064288296698</v>
      </c>
      <c r="F151">
        <v>0.21839201012297901</v>
      </c>
      <c r="G151">
        <v>0.109706772636311</v>
      </c>
      <c r="H151">
        <v>7.1613786690029699E-2</v>
      </c>
      <c r="I151">
        <v>7.4945240396811594E-2</v>
      </c>
      <c r="J151">
        <v>9.2650387179810806E-2</v>
      </c>
      <c r="K151">
        <v>7.8369330133072096E-2</v>
      </c>
      <c r="L151">
        <v>823.97276526656105</v>
      </c>
      <c r="M151">
        <v>17.115464035002098</v>
      </c>
      <c r="N151">
        <v>48.5300219767716</v>
      </c>
      <c r="O151">
        <v>47.499239563704201</v>
      </c>
      <c r="P151">
        <v>-8.43277234663172E-2</v>
      </c>
      <c r="Q151">
        <v>6.3943583340011004E-2</v>
      </c>
      <c r="R151">
        <v>0.99787249441822201</v>
      </c>
      <c r="S151" t="s">
        <v>6797</v>
      </c>
      <c r="T151" t="s">
        <v>13290</v>
      </c>
      <c r="U151" t="s">
        <v>13290</v>
      </c>
      <c r="V151" t="s">
        <v>13290</v>
      </c>
      <c r="W151" t="s">
        <v>13440</v>
      </c>
      <c r="X151">
        <v>7</v>
      </c>
      <c r="Y151" t="s">
        <v>20025</v>
      </c>
      <c r="Z151" t="s">
        <v>26481</v>
      </c>
      <c r="AA151">
        <v>0.3363411702070021</v>
      </c>
      <c r="AB151" t="str">
        <f>HYPERLINK("Melting_Curves/meltCurve_B4DDS3_CLPTM1.pdf", "Melting_Curves/meltCurve_B4DDS3_CLPTM1.pdf")</f>
        <v>Melting_Curves/meltCurve_B4DDS3_CLPTM1.pdf</v>
      </c>
    </row>
    <row r="152" spans="1:28" x14ac:dyDescent="0.25">
      <c r="A152" t="s">
        <v>156</v>
      </c>
      <c r="B152">
        <v>0.99252571173614901</v>
      </c>
      <c r="C152">
        <v>1.02903160805636</v>
      </c>
      <c r="D152">
        <v>0.78768828096683297</v>
      </c>
      <c r="E152">
        <v>0.51734066609434304</v>
      </c>
      <c r="F152">
        <v>0.30789752850455798</v>
      </c>
      <c r="G152">
        <v>0.17511852507730699</v>
      </c>
      <c r="H152">
        <v>0.15248587429701599</v>
      </c>
      <c r="I152">
        <v>0.16139741725941401</v>
      </c>
      <c r="J152">
        <v>0.18299745324928801</v>
      </c>
      <c r="K152">
        <v>0.145139023560339</v>
      </c>
      <c r="L152">
        <v>1033.4081671762599</v>
      </c>
      <c r="M152">
        <v>21.132068081930498</v>
      </c>
      <c r="N152">
        <v>49.770042333131002</v>
      </c>
      <c r="O152">
        <v>48.470773336872199</v>
      </c>
      <c r="P152">
        <v>-9.2202221109731697E-2</v>
      </c>
      <c r="Q152">
        <v>0.154082762928446</v>
      </c>
      <c r="R152">
        <v>0.99291037346015398</v>
      </c>
      <c r="S152" t="s">
        <v>6798</v>
      </c>
      <c r="T152" t="s">
        <v>13290</v>
      </c>
      <c r="U152" t="s">
        <v>13290</v>
      </c>
      <c r="V152" t="s">
        <v>13290</v>
      </c>
      <c r="W152" t="s">
        <v>13441</v>
      </c>
      <c r="X152">
        <v>3</v>
      </c>
      <c r="Y152" t="s">
        <v>20026</v>
      </c>
      <c r="Z152" t="s">
        <v>26482</v>
      </c>
      <c r="AA152">
        <v>0.4157009597297836</v>
      </c>
      <c r="AB152" t="str">
        <f>HYPERLINK("Melting_Curves/meltCurve_B4DDV3_SIRT6.pdf", "Melting_Curves/meltCurve_B4DDV3_SIRT6.pdf")</f>
        <v>Melting_Curves/meltCurve_B4DDV3_SIRT6.pdf</v>
      </c>
    </row>
    <row r="153" spans="1:28" x14ac:dyDescent="0.25">
      <c r="A153" t="s">
        <v>157</v>
      </c>
      <c r="B153">
        <v>0.99252571173614901</v>
      </c>
      <c r="C153">
        <v>0.85154305155092402</v>
      </c>
      <c r="D153">
        <v>1.02089910714947</v>
      </c>
      <c r="E153">
        <v>1.05090454329718</v>
      </c>
      <c r="F153">
        <v>0.923108599945344</v>
      </c>
      <c r="G153">
        <v>0.55148690994641603</v>
      </c>
      <c r="H153">
        <v>0.12188864285355699</v>
      </c>
      <c r="I153">
        <v>9.1954118816596694E-2</v>
      </c>
      <c r="J153">
        <v>0.116251058997345</v>
      </c>
      <c r="K153">
        <v>0.11700692605770301</v>
      </c>
      <c r="L153">
        <v>2473.6922970002402</v>
      </c>
      <c r="M153">
        <v>43.590465515783002</v>
      </c>
      <c r="N153">
        <v>57.038764116645197</v>
      </c>
      <c r="O153">
        <v>56.629448838819499</v>
      </c>
      <c r="P153">
        <v>-0.17329352137968199</v>
      </c>
      <c r="Q153">
        <v>9.9482124448929996E-2</v>
      </c>
      <c r="R153">
        <v>0.98329675233065805</v>
      </c>
      <c r="S153" t="s">
        <v>6799</v>
      </c>
      <c r="T153" t="s">
        <v>13290</v>
      </c>
      <c r="U153" t="s">
        <v>13290</v>
      </c>
      <c r="V153" t="s">
        <v>13290</v>
      </c>
      <c r="W153" t="s">
        <v>13442</v>
      </c>
      <c r="X153">
        <v>16</v>
      </c>
      <c r="Y153" t="s">
        <v>20027</v>
      </c>
      <c r="Z153" t="s">
        <v>26483</v>
      </c>
      <c r="AA153">
        <v>0.60518005483425363</v>
      </c>
      <c r="AB153" t="str">
        <f>HYPERLINK("Melting_Curves/meltCurve_B4DDY8_HARS2.pdf", "Melting_Curves/meltCurve_B4DDY8_HARS2.pdf")</f>
        <v>Melting_Curves/meltCurve_B4DDY8_HARS2.pdf</v>
      </c>
    </row>
    <row r="154" spans="1:28" x14ac:dyDescent="0.25">
      <c r="A154" t="s">
        <v>158</v>
      </c>
      <c r="B154">
        <v>0.99252571173614901</v>
      </c>
      <c r="C154">
        <v>0.80344346215370399</v>
      </c>
      <c r="D154">
        <v>0.75161944907922995</v>
      </c>
      <c r="E154">
        <v>0.62915973579398399</v>
      </c>
      <c r="F154">
        <v>0.59758844402951705</v>
      </c>
      <c r="G154">
        <v>0.44500256125333998</v>
      </c>
      <c r="H154">
        <v>0.315690000274928</v>
      </c>
      <c r="I154">
        <v>0.21473826831031101</v>
      </c>
      <c r="J154">
        <v>0.174177991905372</v>
      </c>
      <c r="K154">
        <v>0.11925537813371399</v>
      </c>
      <c r="L154">
        <v>397.796578859112</v>
      </c>
      <c r="M154">
        <v>7.3646974729079604</v>
      </c>
      <c r="N154">
        <v>54.013974030825999</v>
      </c>
      <c r="O154">
        <v>50.459912615601198</v>
      </c>
      <c r="P154">
        <v>-3.6543978955600499E-2</v>
      </c>
      <c r="Q154">
        <v>0</v>
      </c>
      <c r="R154">
        <v>0.97625506765801695</v>
      </c>
      <c r="S154" t="s">
        <v>6800</v>
      </c>
      <c r="T154" t="s">
        <v>13290</v>
      </c>
      <c r="U154" t="s">
        <v>13290</v>
      </c>
      <c r="V154" t="s">
        <v>13290</v>
      </c>
      <c r="W154" t="s">
        <v>13443</v>
      </c>
      <c r="X154">
        <v>1</v>
      </c>
      <c r="Y154" t="s">
        <v>20028</v>
      </c>
      <c r="Z154" t="s">
        <v>26484</v>
      </c>
      <c r="AA154">
        <v>0.50220310858541095</v>
      </c>
      <c r="AB154" t="str">
        <f>HYPERLINK("Melting_Curves/meltCurve_B4DE11_SLC35A2.pdf", "Melting_Curves/meltCurve_B4DE11_SLC35A2.pdf")</f>
        <v>Melting_Curves/meltCurve_B4DE11_SLC35A2.pdf</v>
      </c>
    </row>
    <row r="155" spans="1:28" x14ac:dyDescent="0.25">
      <c r="A155" t="s">
        <v>159</v>
      </c>
      <c r="B155">
        <v>0.99252571173614901</v>
      </c>
      <c r="C155">
        <v>0.96251096952931703</v>
      </c>
      <c r="D155">
        <v>0.72656540237850298</v>
      </c>
      <c r="E155">
        <v>0.80420032320309398</v>
      </c>
      <c r="F155">
        <v>0.62223363829516598</v>
      </c>
      <c r="G155">
        <v>0.36010979637715901</v>
      </c>
      <c r="H155">
        <v>0.29321639431469498</v>
      </c>
      <c r="I155">
        <v>0.252713277417907</v>
      </c>
      <c r="J155">
        <v>0.22947687849034601</v>
      </c>
      <c r="K155">
        <v>8.5899737118262598E-2</v>
      </c>
      <c r="L155">
        <v>484.14935774299499</v>
      </c>
      <c r="M155">
        <v>8.7848350921953404</v>
      </c>
      <c r="N155">
        <v>55.1119460415593</v>
      </c>
      <c r="O155">
        <v>52.479953344680297</v>
      </c>
      <c r="P155">
        <v>-4.1881811471115901E-2</v>
      </c>
      <c r="Q155">
        <v>0</v>
      </c>
      <c r="R155">
        <v>0.96137489841091195</v>
      </c>
      <c r="S155" t="s">
        <v>6801</v>
      </c>
      <c r="T155" t="s">
        <v>13290</v>
      </c>
      <c r="U155" t="s">
        <v>13290</v>
      </c>
      <c r="V155" t="s">
        <v>13290</v>
      </c>
      <c r="W155" t="s">
        <v>13444</v>
      </c>
      <c r="X155">
        <v>1</v>
      </c>
      <c r="Y155" t="s">
        <v>20029</v>
      </c>
      <c r="Z155" t="s">
        <v>26485</v>
      </c>
      <c r="AA155">
        <v>0.52991581001194343</v>
      </c>
      <c r="AB155" t="str">
        <f>HYPERLINK("Melting_Curves/meltCurve_B4DE60_REEP2.pdf", "Melting_Curves/meltCurve_B4DE60_REEP2.pdf")</f>
        <v>Melting_Curves/meltCurve_B4DE60_REEP2.pdf</v>
      </c>
    </row>
    <row r="156" spans="1:28" x14ac:dyDescent="0.25">
      <c r="A156" t="s">
        <v>160</v>
      </c>
      <c r="B156">
        <v>0.99252571173614901</v>
      </c>
      <c r="C156">
        <v>1.0416757126409399</v>
      </c>
      <c r="D156">
        <v>0.93840083357582604</v>
      </c>
      <c r="E156">
        <v>0.65123331802432904</v>
      </c>
      <c r="F156">
        <v>0.50860019076559604</v>
      </c>
      <c r="G156">
        <v>0.22090326189068299</v>
      </c>
      <c r="H156">
        <v>7.64344335123502E-2</v>
      </c>
      <c r="I156">
        <v>4.4424813371919197E-2</v>
      </c>
      <c r="J156">
        <v>6.1477941097336203E-2</v>
      </c>
      <c r="K156">
        <v>6.3381427593307296E-2</v>
      </c>
      <c r="L156">
        <v>886.02190045437703</v>
      </c>
      <c r="M156">
        <v>16.9304176469421</v>
      </c>
      <c r="N156">
        <v>52.489769807287502</v>
      </c>
      <c r="O156">
        <v>51.619381710048899</v>
      </c>
      <c r="P156">
        <v>-7.9981878564450798E-2</v>
      </c>
      <c r="Q156">
        <v>2.4629887836622899E-2</v>
      </c>
      <c r="R156">
        <v>0.98948315534044096</v>
      </c>
      <c r="S156" t="s">
        <v>6802</v>
      </c>
      <c r="T156" t="s">
        <v>13290</v>
      </c>
      <c r="U156" t="s">
        <v>13290</v>
      </c>
      <c r="V156" t="s">
        <v>13290</v>
      </c>
      <c r="W156" t="s">
        <v>13445</v>
      </c>
      <c r="X156">
        <v>2</v>
      </c>
      <c r="Y156" t="s">
        <v>20030</v>
      </c>
      <c r="Z156" t="s">
        <v>26486</v>
      </c>
      <c r="AA156">
        <v>0.44347171475532648</v>
      </c>
      <c r="AB156" t="str">
        <f>HYPERLINK("Melting_Curves/meltCurve_B4DEX5_PRNPIP.pdf", "Melting_Curves/meltCurve_B4DEX5_PRNPIP.pdf")</f>
        <v>Melting_Curves/meltCurve_B4DEX5_PRNPIP.pdf</v>
      </c>
    </row>
    <row r="157" spans="1:28" x14ac:dyDescent="0.25">
      <c r="A157" t="s">
        <v>161</v>
      </c>
      <c r="B157">
        <v>0.99252571173614901</v>
      </c>
      <c r="C157">
        <v>1.03398993969011</v>
      </c>
      <c r="D157">
        <v>0.916285940109833</v>
      </c>
      <c r="E157">
        <v>0.79749743258871997</v>
      </c>
      <c r="F157">
        <v>0.75696555096134499</v>
      </c>
      <c r="G157">
        <v>0.52882648003182398</v>
      </c>
      <c r="H157">
        <v>0.37174699370090802</v>
      </c>
      <c r="I157">
        <v>0.28391563136533998</v>
      </c>
      <c r="J157">
        <v>0.225834018951549</v>
      </c>
      <c r="K157">
        <v>0.13644933309613699</v>
      </c>
      <c r="L157">
        <v>589.634364484147</v>
      </c>
      <c r="M157">
        <v>10.211546917860099</v>
      </c>
      <c r="N157">
        <v>57.880066426161598</v>
      </c>
      <c r="O157">
        <v>55.658893307141703</v>
      </c>
      <c r="P157">
        <v>-4.5334816472353497E-2</v>
      </c>
      <c r="Q157">
        <v>1.2038681733113E-2</v>
      </c>
      <c r="R157">
        <v>0.99026308407282604</v>
      </c>
      <c r="S157" t="s">
        <v>6803</v>
      </c>
      <c r="T157" t="s">
        <v>13290</v>
      </c>
      <c r="U157" t="s">
        <v>13290</v>
      </c>
      <c r="V157" t="s">
        <v>13290</v>
      </c>
      <c r="W157" t="s">
        <v>13446</v>
      </c>
      <c r="X157">
        <v>2</v>
      </c>
      <c r="Y157" t="s">
        <v>20031</v>
      </c>
      <c r="Z157" t="s">
        <v>26487</v>
      </c>
      <c r="AA157">
        <v>0.60804362207453011</v>
      </c>
      <c r="AB157" t="str">
        <f>HYPERLINK("Melting_Curves/meltCurve_B4DFI9_HUS1.pdf", "Melting_Curves/meltCurve_B4DFI9_HUS1.pdf")</f>
        <v>Melting_Curves/meltCurve_B4DFI9_HUS1.pdf</v>
      </c>
    </row>
    <row r="158" spans="1:28" x14ac:dyDescent="0.25">
      <c r="A158" t="s">
        <v>162</v>
      </c>
      <c r="B158">
        <v>0.99252571173614901</v>
      </c>
      <c r="C158">
        <v>1.0149674446622501</v>
      </c>
      <c r="D158">
        <v>0.97108983297700402</v>
      </c>
      <c r="E158">
        <v>0.74118815805046201</v>
      </c>
      <c r="F158">
        <v>0.59270735139834596</v>
      </c>
      <c r="G158">
        <v>0.334577961450853</v>
      </c>
      <c r="H158">
        <v>0.17611910648002799</v>
      </c>
      <c r="I158">
        <v>0.18311522361528701</v>
      </c>
      <c r="J158">
        <v>0.12802510017527999</v>
      </c>
      <c r="K158">
        <v>0.106439730260017</v>
      </c>
      <c r="L158">
        <v>865.917021946869</v>
      </c>
      <c r="M158">
        <v>16.238772239899799</v>
      </c>
      <c r="N158">
        <v>54.036709152413401</v>
      </c>
      <c r="O158">
        <v>52.535050745034397</v>
      </c>
      <c r="P158">
        <v>-6.9832242757844498E-2</v>
      </c>
      <c r="Q158">
        <v>9.6392536973491802E-2</v>
      </c>
      <c r="R158">
        <v>0.99382887469075398</v>
      </c>
      <c r="S158" t="s">
        <v>6804</v>
      </c>
      <c r="T158" t="s">
        <v>13290</v>
      </c>
      <c r="U158" t="s">
        <v>13290</v>
      </c>
      <c r="V158" t="s">
        <v>13290</v>
      </c>
      <c r="W158" t="s">
        <v>13447</v>
      </c>
      <c r="X158">
        <v>3</v>
      </c>
      <c r="Y158" t="s">
        <v>20032</v>
      </c>
      <c r="Z158" t="s">
        <v>26488</v>
      </c>
      <c r="AA158">
        <v>0.51487866946504568</v>
      </c>
      <c r="AB158" t="str">
        <f>HYPERLINK("Melting_Curves/meltCurve_B4DFQ4_COMMD1.pdf", "Melting_Curves/meltCurve_B4DFQ4_COMMD1.pdf")</f>
        <v>Melting_Curves/meltCurve_B4DFQ4_COMMD1.pdf</v>
      </c>
    </row>
    <row r="159" spans="1:28" x14ac:dyDescent="0.25">
      <c r="A159" t="s">
        <v>163</v>
      </c>
      <c r="B159">
        <v>0.99252571173614901</v>
      </c>
      <c r="C159">
        <v>0.94747270231783798</v>
      </c>
      <c r="D159">
        <v>0.99399512412934998</v>
      </c>
      <c r="E159">
        <v>0.89356838858982002</v>
      </c>
      <c r="F159">
        <v>1.0902716220857001</v>
      </c>
      <c r="G159">
        <v>1.09189961028448</v>
      </c>
      <c r="H159">
        <v>0.94737342426703597</v>
      </c>
      <c r="I159">
        <v>1.0053416123344601</v>
      </c>
      <c r="J159">
        <v>1.1902372768760301</v>
      </c>
      <c r="K159">
        <v>1.09370643533681</v>
      </c>
      <c r="L159">
        <v>15000</v>
      </c>
      <c r="M159">
        <v>231.236105058297</v>
      </c>
      <c r="O159">
        <v>64.8639257044875</v>
      </c>
      <c r="P159">
        <v>0.12653919690609999</v>
      </c>
      <c r="Q159">
        <v>1.1419817571994899</v>
      </c>
      <c r="R159">
        <v>0.47277960323127199</v>
      </c>
      <c r="S159" t="s">
        <v>6805</v>
      </c>
      <c r="T159" t="s">
        <v>13290</v>
      </c>
      <c r="U159" t="s">
        <v>13290</v>
      </c>
      <c r="V159" t="s">
        <v>13290</v>
      </c>
      <c r="W159" t="s">
        <v>13448</v>
      </c>
      <c r="X159">
        <v>4</v>
      </c>
      <c r="Y159" t="s">
        <v>20033</v>
      </c>
      <c r="Z159" t="s">
        <v>26489</v>
      </c>
      <c r="AA159">
        <v>1.024265842788799</v>
      </c>
      <c r="AB159" t="str">
        <f>HYPERLINK("Melting_Curves/meltCurve_B4DFR2_DYNLRB1.pdf", "Melting_Curves/meltCurve_B4DFR2_DYNLRB1.pdf")</f>
        <v>Melting_Curves/meltCurve_B4DFR2_DYNLRB1.pdf</v>
      </c>
    </row>
    <row r="160" spans="1:28" x14ac:dyDescent="0.25">
      <c r="A160" t="s">
        <v>164</v>
      </c>
      <c r="B160">
        <v>0.99252571173614901</v>
      </c>
      <c r="C160">
        <v>0.86914786752793305</v>
      </c>
      <c r="D160">
        <v>0.84068348404980098</v>
      </c>
      <c r="E160">
        <v>0.67368139821539996</v>
      </c>
      <c r="F160">
        <v>0.27299240652155299</v>
      </c>
      <c r="G160">
        <v>0.111562559142974</v>
      </c>
      <c r="H160">
        <v>5.4420408998485298E-2</v>
      </c>
      <c r="I160">
        <v>5.5219162426731402E-2</v>
      </c>
      <c r="J160">
        <v>5.2825121767142602E-2</v>
      </c>
      <c r="K160">
        <v>5.0695683868626898E-2</v>
      </c>
      <c r="L160">
        <v>958.47482858246894</v>
      </c>
      <c r="M160">
        <v>18.9389675843932</v>
      </c>
      <c r="N160">
        <v>50.767475549229999</v>
      </c>
      <c r="O160">
        <v>50.054500174698099</v>
      </c>
      <c r="P160">
        <v>-9.1873885766830601E-2</v>
      </c>
      <c r="Q160">
        <v>2.8771602979139301E-2</v>
      </c>
      <c r="R160">
        <v>0.98736353043576996</v>
      </c>
      <c r="S160" t="s">
        <v>6806</v>
      </c>
      <c r="T160" t="s">
        <v>13290</v>
      </c>
      <c r="U160" t="s">
        <v>13290</v>
      </c>
      <c r="V160" t="s">
        <v>13290</v>
      </c>
      <c r="W160" t="s">
        <v>13449</v>
      </c>
      <c r="X160">
        <v>33</v>
      </c>
      <c r="Y160" t="s">
        <v>20034</v>
      </c>
      <c r="Z160" t="s">
        <v>26490</v>
      </c>
      <c r="AA160">
        <v>0.38717579464348351</v>
      </c>
      <c r="AB160" t="str">
        <f>HYPERLINK("Melting_Curves/meltCurve_B4DGU4_CTNNB1.pdf", "Melting_Curves/meltCurve_B4DGU4_CTNNB1.pdf")</f>
        <v>Melting_Curves/meltCurve_B4DGU4_CTNNB1.pdf</v>
      </c>
    </row>
    <row r="161" spans="1:28" x14ac:dyDescent="0.25">
      <c r="A161" t="s">
        <v>165</v>
      </c>
      <c r="B161">
        <v>0.99252571173614901</v>
      </c>
      <c r="C161">
        <v>1.05126080080322</v>
      </c>
      <c r="D161">
        <v>0.93033022317596004</v>
      </c>
      <c r="E161">
        <v>0.56957378502245803</v>
      </c>
      <c r="F161">
        <v>0.21833995635776199</v>
      </c>
      <c r="G161">
        <v>0.102651139447547</v>
      </c>
      <c r="H161">
        <v>8.0960351073045597E-2</v>
      </c>
      <c r="I161">
        <v>9.1220484332415003E-2</v>
      </c>
      <c r="J161">
        <v>0.110251591052535</v>
      </c>
      <c r="K161">
        <v>0.11761050918844999</v>
      </c>
      <c r="L161">
        <v>1543.1410344096701</v>
      </c>
      <c r="M161">
        <v>31.0006454140877</v>
      </c>
      <c r="N161">
        <v>50.129227850329201</v>
      </c>
      <c r="O161">
        <v>49.571956842245697</v>
      </c>
      <c r="P161">
        <v>-0.14106926362511399</v>
      </c>
      <c r="Q161">
        <v>9.7691240146360103E-2</v>
      </c>
      <c r="R161">
        <v>0.99696053471111301</v>
      </c>
      <c r="S161" t="s">
        <v>6807</v>
      </c>
      <c r="T161" t="s">
        <v>13290</v>
      </c>
      <c r="U161" t="s">
        <v>13290</v>
      </c>
      <c r="V161" t="s">
        <v>13290</v>
      </c>
      <c r="W161" t="s">
        <v>13450</v>
      </c>
      <c r="X161">
        <v>5</v>
      </c>
      <c r="Y161" t="s">
        <v>20035</v>
      </c>
      <c r="Z161" t="s">
        <v>26491</v>
      </c>
      <c r="AA161">
        <v>0.39697785689650561</v>
      </c>
      <c r="AB161" t="str">
        <f>HYPERLINK("Melting_Curves/meltCurve_B4DGX2_PIP4K2A.pdf", "Melting_Curves/meltCurve_B4DGX2_PIP4K2A.pdf")</f>
        <v>Melting_Curves/meltCurve_B4DGX2_PIP4K2A.pdf</v>
      </c>
    </row>
    <row r="162" spans="1:28" x14ac:dyDescent="0.25">
      <c r="A162" t="s">
        <v>166</v>
      </c>
      <c r="B162">
        <v>0.99252571173614901</v>
      </c>
      <c r="C162">
        <v>0.87848571586288104</v>
      </c>
      <c r="D162">
        <v>0.77872006852022502</v>
      </c>
      <c r="E162">
        <v>0.425711129512446</v>
      </c>
      <c r="F162">
        <v>0.12704148832079801</v>
      </c>
      <c r="G162">
        <v>6.9155522211105894E-2</v>
      </c>
      <c r="H162">
        <v>5.1097621379928702E-2</v>
      </c>
      <c r="I162">
        <v>5.5961070551735999E-2</v>
      </c>
      <c r="J162">
        <v>6.0845004456785E-2</v>
      </c>
      <c r="K162">
        <v>5.62458868887123E-2</v>
      </c>
      <c r="L162">
        <v>1031.17185907209</v>
      </c>
      <c r="M162">
        <v>21.300185173589501</v>
      </c>
      <c r="N162">
        <v>48.615685659404498</v>
      </c>
      <c r="O162">
        <v>47.990749296058503</v>
      </c>
      <c r="P162">
        <v>-0.106212649933198</v>
      </c>
      <c r="Q162">
        <v>4.2807213252674503E-2</v>
      </c>
      <c r="R162">
        <v>0.99489867108575403</v>
      </c>
      <c r="S162" t="s">
        <v>6808</v>
      </c>
      <c r="T162" t="s">
        <v>13290</v>
      </c>
      <c r="U162" t="s">
        <v>13290</v>
      </c>
      <c r="V162" t="s">
        <v>13290</v>
      </c>
      <c r="W162" t="s">
        <v>13451</v>
      </c>
      <c r="X162">
        <v>22</v>
      </c>
      <c r="Y162" t="s">
        <v>20036</v>
      </c>
      <c r="Z162" t="s">
        <v>26492</v>
      </c>
      <c r="AA162">
        <v>0.32302338705553418</v>
      </c>
      <c r="AB162" t="str">
        <f>HYPERLINK("Melting_Curves/meltCurve_B4DH53_MAP1S.pdf", "Melting_Curves/meltCurve_B4DH53_MAP1S.pdf")</f>
        <v>Melting_Curves/meltCurve_B4DH53_MAP1S.pdf</v>
      </c>
    </row>
    <row r="163" spans="1:28" x14ac:dyDescent="0.25">
      <c r="A163" t="s">
        <v>167</v>
      </c>
      <c r="B163">
        <v>0.99252571173614901</v>
      </c>
      <c r="C163">
        <v>0.96680340810621901</v>
      </c>
      <c r="D163">
        <v>0.78142519397455901</v>
      </c>
      <c r="E163">
        <v>0.50776863371624104</v>
      </c>
      <c r="F163">
        <v>0.33380451012409801</v>
      </c>
      <c r="G163">
        <v>0.223340278590755</v>
      </c>
      <c r="H163">
        <v>0.20244998839209699</v>
      </c>
      <c r="I163">
        <v>0.23417866539712001</v>
      </c>
      <c r="J163">
        <v>0.34084193275682001</v>
      </c>
      <c r="K163">
        <v>0.42016977885604101</v>
      </c>
      <c r="L163">
        <v>1198.55791205424</v>
      </c>
      <c r="M163">
        <v>25.112913683650898</v>
      </c>
      <c r="N163">
        <v>49.3725054404403</v>
      </c>
      <c r="O163">
        <v>47.427207504964102</v>
      </c>
      <c r="P163">
        <v>-9.4846474857693805E-2</v>
      </c>
      <c r="Q163">
        <v>0.28351698992176499</v>
      </c>
      <c r="R163">
        <v>0.95476425618542404</v>
      </c>
      <c r="S163" t="s">
        <v>6809</v>
      </c>
      <c r="T163" t="s">
        <v>13290</v>
      </c>
      <c r="U163" t="s">
        <v>13290</v>
      </c>
      <c r="V163" t="s">
        <v>13290</v>
      </c>
      <c r="W163" t="s">
        <v>13452</v>
      </c>
      <c r="X163">
        <v>7</v>
      </c>
      <c r="Y163" t="s">
        <v>20037</v>
      </c>
      <c r="Z163" t="s">
        <v>26493</v>
      </c>
      <c r="AA163">
        <v>0.47433219733355592</v>
      </c>
      <c r="AB163" t="str">
        <f>HYPERLINK("Melting_Curves/meltCurve_B4DHE8_MSI2.pdf", "Melting_Curves/meltCurve_B4DHE8_MSI2.pdf")</f>
        <v>Melting_Curves/meltCurve_B4DHE8_MSI2.pdf</v>
      </c>
    </row>
    <row r="164" spans="1:28" x14ac:dyDescent="0.25">
      <c r="A164" t="s">
        <v>168</v>
      </c>
      <c r="B164">
        <v>0.99252571173614901</v>
      </c>
      <c r="C164">
        <v>0.92986332603867605</v>
      </c>
      <c r="D164">
        <v>0.78323687536967201</v>
      </c>
      <c r="E164">
        <v>0.35190316203472799</v>
      </c>
      <c r="F164">
        <v>0.11482565110884101</v>
      </c>
      <c r="G164">
        <v>8.1411490331029998E-2</v>
      </c>
      <c r="H164">
        <v>1.63787657652683E-2</v>
      </c>
      <c r="I164">
        <v>4.2998391065163302E-2</v>
      </c>
      <c r="J164">
        <v>2.4300447262117501E-2</v>
      </c>
      <c r="K164">
        <v>0</v>
      </c>
      <c r="L164">
        <v>1143.76445323753</v>
      </c>
      <c r="M164">
        <v>23.699186400408301</v>
      </c>
      <c r="N164">
        <v>48.359370738191799</v>
      </c>
      <c r="O164">
        <v>47.922072034575201</v>
      </c>
      <c r="P164">
        <v>-0.120748563202295</v>
      </c>
      <c r="Q164">
        <v>2.33546352046714E-2</v>
      </c>
      <c r="R164">
        <v>0.99808311163115204</v>
      </c>
      <c r="S164" t="s">
        <v>6810</v>
      </c>
      <c r="T164" t="s">
        <v>13290</v>
      </c>
      <c r="U164" t="s">
        <v>13290</v>
      </c>
      <c r="V164" t="s">
        <v>13290</v>
      </c>
      <c r="W164" t="s">
        <v>13453</v>
      </c>
      <c r="X164">
        <v>1</v>
      </c>
      <c r="Y164" t="s">
        <v>20038</v>
      </c>
      <c r="Z164" t="s">
        <v>26494</v>
      </c>
      <c r="AA164">
        <v>0.30197418015712579</v>
      </c>
      <c r="AB164" t="str">
        <f>HYPERLINK("Melting_Curves/meltCurve_B4DHL3_LRRC28.pdf", "Melting_Curves/meltCurve_B4DHL3_LRRC28.pdf")</f>
        <v>Melting_Curves/meltCurve_B4DHL3_LRRC28.pdf</v>
      </c>
    </row>
    <row r="165" spans="1:28" x14ac:dyDescent="0.25">
      <c r="A165" t="s">
        <v>169</v>
      </c>
      <c r="B165">
        <v>0.99252571173614901</v>
      </c>
      <c r="C165">
        <v>1.16472559099731</v>
      </c>
      <c r="D165">
        <v>1.1117125159554799</v>
      </c>
      <c r="E165">
        <v>1.19262225274936</v>
      </c>
      <c r="F165">
        <v>0.88943520013045896</v>
      </c>
      <c r="G165">
        <v>0.81004552874520697</v>
      </c>
      <c r="H165">
        <v>1.0363709172981399</v>
      </c>
      <c r="I165">
        <v>1.72930642170391</v>
      </c>
      <c r="J165">
        <v>2.6992033517145502</v>
      </c>
      <c r="K165">
        <v>2.8700979491916399</v>
      </c>
      <c r="L165">
        <v>15000</v>
      </c>
      <c r="M165">
        <v>244.17078529294301</v>
      </c>
      <c r="O165">
        <v>61.428278066073901</v>
      </c>
      <c r="P165">
        <v>0.49686143557833801</v>
      </c>
      <c r="Q165">
        <v>1.5</v>
      </c>
      <c r="R165">
        <v>0.30439181914277502</v>
      </c>
      <c r="S165" t="s">
        <v>6811</v>
      </c>
      <c r="T165" t="s">
        <v>13290</v>
      </c>
      <c r="U165" t="s">
        <v>13290</v>
      </c>
      <c r="V165" t="s">
        <v>13290</v>
      </c>
      <c r="W165" t="s">
        <v>13454</v>
      </c>
      <c r="X165">
        <v>2</v>
      </c>
      <c r="Y165" t="s">
        <v>20039</v>
      </c>
      <c r="Z165" t="s">
        <v>26495</v>
      </c>
      <c r="AA165">
        <v>1.14273664081468</v>
      </c>
      <c r="AB165" t="str">
        <f>HYPERLINK("Melting_Curves/meltCurve_B4DIG7_PIP5K1B.pdf", "Melting_Curves/meltCurve_B4DIG7_PIP5K1B.pdf")</f>
        <v>Melting_Curves/meltCurve_B4DIG7_PIP5K1B.pdf</v>
      </c>
    </row>
    <row r="166" spans="1:28" x14ac:dyDescent="0.25">
      <c r="A166" t="s">
        <v>170</v>
      </c>
      <c r="B166">
        <v>0.99252571173614901</v>
      </c>
      <c r="C166">
        <v>0.921582114498394</v>
      </c>
      <c r="D166">
        <v>0.80283332313462097</v>
      </c>
      <c r="E166">
        <v>1.11904631506815</v>
      </c>
      <c r="F166">
        <v>0.48054529656747702</v>
      </c>
      <c r="G166">
        <v>0.26104906476481698</v>
      </c>
      <c r="H166">
        <v>0.30966305405662098</v>
      </c>
      <c r="I166">
        <v>0.23294974942883001</v>
      </c>
      <c r="J166">
        <v>0.40858524826726</v>
      </c>
      <c r="K166">
        <v>0.40893273956286802</v>
      </c>
      <c r="L166">
        <v>13236.109858915601</v>
      </c>
      <c r="M166">
        <v>250</v>
      </c>
      <c r="N166">
        <v>53.166755815832602</v>
      </c>
      <c r="O166">
        <v>52.9410514106942</v>
      </c>
      <c r="P166">
        <v>-0.79777887341977205</v>
      </c>
      <c r="Q166">
        <v>0.32423596402653398</v>
      </c>
      <c r="R166">
        <v>0.912962307362853</v>
      </c>
      <c r="S166" t="s">
        <v>6812</v>
      </c>
      <c r="T166" t="s">
        <v>13290</v>
      </c>
      <c r="U166" t="s">
        <v>13290</v>
      </c>
      <c r="V166" t="s">
        <v>13290</v>
      </c>
      <c r="W166" t="s">
        <v>13455</v>
      </c>
      <c r="X166">
        <v>1</v>
      </c>
      <c r="Y166" t="s">
        <v>20040</v>
      </c>
      <c r="Z166" t="s">
        <v>26496</v>
      </c>
      <c r="AA166">
        <v>0.61587830831715695</v>
      </c>
      <c r="AB166" t="str">
        <f>HYPERLINK("Melting_Curves/meltCurve_B4DIP4_EIF2AK1.pdf", "Melting_Curves/meltCurve_B4DIP4_EIF2AK1.pdf")</f>
        <v>Melting_Curves/meltCurve_B4DIP4_EIF2AK1.pdf</v>
      </c>
    </row>
    <row r="167" spans="1:28" x14ac:dyDescent="0.25">
      <c r="A167" t="s">
        <v>171</v>
      </c>
      <c r="B167">
        <v>0.99252571173614901</v>
      </c>
      <c r="C167">
        <v>0.97130884625417002</v>
      </c>
      <c r="D167">
        <v>0.912618006361262</v>
      </c>
      <c r="E167">
        <v>0.856258459800188</v>
      </c>
      <c r="F167">
        <v>0.75127138900907098</v>
      </c>
      <c r="G167">
        <v>0.57235238610320405</v>
      </c>
      <c r="H167">
        <v>0.35693571193763401</v>
      </c>
      <c r="I167">
        <v>0.177631730604972</v>
      </c>
      <c r="J167">
        <v>0.10156619518059901</v>
      </c>
      <c r="K167">
        <v>7.1966038572593094E-2</v>
      </c>
      <c r="L167">
        <v>759.75636887989299</v>
      </c>
      <c r="M167">
        <v>13.208972200155699</v>
      </c>
      <c r="N167">
        <v>57.518204863057399</v>
      </c>
      <c r="O167">
        <v>56.2478281424427</v>
      </c>
      <c r="P167">
        <v>-5.8718557451839098E-2</v>
      </c>
      <c r="Q167">
        <v>0</v>
      </c>
      <c r="R167">
        <v>0.99345384814527304</v>
      </c>
      <c r="S167" t="s">
        <v>6813</v>
      </c>
      <c r="T167" t="s">
        <v>13290</v>
      </c>
      <c r="U167" t="s">
        <v>13290</v>
      </c>
      <c r="V167" t="s">
        <v>13290</v>
      </c>
      <c r="W167" t="s">
        <v>13456</v>
      </c>
      <c r="X167">
        <v>11</v>
      </c>
      <c r="Y167" t="s">
        <v>20041</v>
      </c>
      <c r="Z167" t="s">
        <v>26497</v>
      </c>
      <c r="AA167">
        <v>0.59895704531563965</v>
      </c>
      <c r="AB167" t="str">
        <f>HYPERLINK("Melting_Curves/meltCurve_B4DJA5_RAB5A.pdf", "Melting_Curves/meltCurve_B4DJA5_RAB5A.pdf")</f>
        <v>Melting_Curves/meltCurve_B4DJA5_RAB5A.pdf</v>
      </c>
    </row>
    <row r="168" spans="1:28" x14ac:dyDescent="0.25">
      <c r="A168" t="s">
        <v>172</v>
      </c>
      <c r="B168">
        <v>0.99252571173614901</v>
      </c>
      <c r="C168">
        <v>0.78170816796842302</v>
      </c>
      <c r="D168">
        <v>0.60374238638167099</v>
      </c>
      <c r="E168">
        <v>0.25735006525950599</v>
      </c>
      <c r="F168">
        <v>0.15610437260947899</v>
      </c>
      <c r="G168">
        <v>6.5558549544337805E-2</v>
      </c>
      <c r="H168">
        <v>4.5844205715632899E-2</v>
      </c>
      <c r="I168">
        <v>6.1715049712878597E-2</v>
      </c>
      <c r="J168">
        <v>3.6033228554958399E-2</v>
      </c>
      <c r="K168">
        <v>3.6252104268988401E-2</v>
      </c>
      <c r="L168">
        <v>820.45875526110103</v>
      </c>
      <c r="M168">
        <v>17.611677632208401</v>
      </c>
      <c r="N168">
        <v>46.790777206947403</v>
      </c>
      <c r="O168">
        <v>45.997887576483599</v>
      </c>
      <c r="P168">
        <v>-9.2175767388918903E-2</v>
      </c>
      <c r="Q168">
        <v>3.7079216795833501E-2</v>
      </c>
      <c r="R168">
        <v>0.99438147528284804</v>
      </c>
      <c r="S168" t="s">
        <v>6814</v>
      </c>
      <c r="T168" t="s">
        <v>13290</v>
      </c>
      <c r="U168" t="s">
        <v>13290</v>
      </c>
      <c r="V168" t="s">
        <v>13290</v>
      </c>
      <c r="W168" t="s">
        <v>13457</v>
      </c>
      <c r="X168">
        <v>4</v>
      </c>
      <c r="Y168" t="s">
        <v>20042</v>
      </c>
      <c r="Z168" t="s">
        <v>26498</v>
      </c>
      <c r="AA168">
        <v>0.26753650958852521</v>
      </c>
      <c r="AB168" t="str">
        <f>HYPERLINK("Melting_Curves/meltCurve_B4DJC5_DHRS13.pdf", "Melting_Curves/meltCurve_B4DJC5_DHRS13.pdf")</f>
        <v>Melting_Curves/meltCurve_B4DJC5_DHRS13.pdf</v>
      </c>
    </row>
    <row r="169" spans="1:28" x14ac:dyDescent="0.25">
      <c r="A169" t="s">
        <v>173</v>
      </c>
      <c r="B169">
        <v>0.99252571173614901</v>
      </c>
      <c r="C169">
        <v>1.0694052304427299</v>
      </c>
      <c r="D169">
        <v>1.1343502432702099</v>
      </c>
      <c r="E169">
        <v>1.1741510817454299</v>
      </c>
      <c r="F169">
        <v>1.12455766365097</v>
      </c>
      <c r="G169">
        <v>0.90425991495800595</v>
      </c>
      <c r="H169">
        <v>0.84720261319829404</v>
      </c>
      <c r="I169">
        <v>0.92658194498110802</v>
      </c>
      <c r="J169">
        <v>1.0826965779550299</v>
      </c>
      <c r="K169">
        <v>0.65990091874521595</v>
      </c>
      <c r="L169">
        <v>15000</v>
      </c>
      <c r="M169">
        <v>213.62278112426</v>
      </c>
      <c r="Q169">
        <v>0</v>
      </c>
      <c r="R169">
        <v>0.50313198835795903</v>
      </c>
      <c r="S169" t="s">
        <v>6815</v>
      </c>
      <c r="T169" t="s">
        <v>13290</v>
      </c>
      <c r="U169" t="s">
        <v>13290</v>
      </c>
      <c r="V169" t="s">
        <v>13290</v>
      </c>
      <c r="W169" t="s">
        <v>13458</v>
      </c>
      <c r="X169">
        <v>10</v>
      </c>
      <c r="Y169" t="s">
        <v>20043</v>
      </c>
      <c r="Z169" t="s">
        <v>26499</v>
      </c>
      <c r="AA169">
        <v>0.99552031542160535</v>
      </c>
      <c r="AB169" t="str">
        <f>HYPERLINK("Melting_Curves/meltCurve_B4DJP7_SNRPD3.pdf", "Melting_Curves/meltCurve_B4DJP7_SNRPD3.pdf")</f>
        <v>Melting_Curves/meltCurve_B4DJP7_SNRPD3.pdf</v>
      </c>
    </row>
    <row r="170" spans="1:28" x14ac:dyDescent="0.25">
      <c r="A170" t="s">
        <v>174</v>
      </c>
      <c r="B170">
        <v>0.99252571173614901</v>
      </c>
      <c r="C170">
        <v>0.80149751720173701</v>
      </c>
      <c r="D170">
        <v>1.1135159935515599</v>
      </c>
      <c r="E170">
        <v>0.76211690212495398</v>
      </c>
      <c r="F170">
        <v>0.35292064077608098</v>
      </c>
      <c r="G170">
        <v>0.13501229093253</v>
      </c>
      <c r="H170">
        <v>6.8526999657830295E-2</v>
      </c>
      <c r="I170">
        <v>6.6871017830210405E-2</v>
      </c>
      <c r="J170">
        <v>7.0000200928823295E-2</v>
      </c>
      <c r="K170">
        <v>6.8474711994072401E-2</v>
      </c>
      <c r="L170">
        <v>1552.7658644957601</v>
      </c>
      <c r="M170">
        <v>30.056501003882399</v>
      </c>
      <c r="N170">
        <v>51.9136492204224</v>
      </c>
      <c r="O170">
        <v>51.434493791115202</v>
      </c>
      <c r="P170">
        <v>-0.13617193533002001</v>
      </c>
      <c r="Q170">
        <v>6.7903576697153897E-2</v>
      </c>
      <c r="R170">
        <v>0.96454138430784198</v>
      </c>
      <c r="S170" t="s">
        <v>6816</v>
      </c>
      <c r="T170" t="s">
        <v>13290</v>
      </c>
      <c r="U170" t="s">
        <v>13290</v>
      </c>
      <c r="V170" t="s">
        <v>13290</v>
      </c>
      <c r="W170" t="s">
        <v>13459</v>
      </c>
      <c r="X170">
        <v>25</v>
      </c>
      <c r="Y170" t="s">
        <v>20044</v>
      </c>
      <c r="Z170" t="s">
        <v>26500</v>
      </c>
      <c r="AA170">
        <v>0.43612857992247062</v>
      </c>
      <c r="AB170" t="str">
        <f>HYPERLINK("Melting_Curves/meltCurve_B4DJV2_CS.pdf", "Melting_Curves/meltCurve_B4DJV2_CS.pdf")</f>
        <v>Melting_Curves/meltCurve_B4DJV2_CS.pdf</v>
      </c>
    </row>
    <row r="171" spans="1:28" x14ac:dyDescent="0.25">
      <c r="A171" t="s">
        <v>175</v>
      </c>
      <c r="B171">
        <v>0.99252571173614901</v>
      </c>
      <c r="C171">
        <v>1.0078530701620101</v>
      </c>
      <c r="D171">
        <v>0.84151320307352495</v>
      </c>
      <c r="E171">
        <v>0.80327848226166698</v>
      </c>
      <c r="F171">
        <v>0.56803708977619505</v>
      </c>
      <c r="G171">
        <v>0.67500224568161704</v>
      </c>
      <c r="H171">
        <v>0.69580868354025105</v>
      </c>
      <c r="I171">
        <v>3.7402407472194499</v>
      </c>
      <c r="J171">
        <v>0.80926265523538898</v>
      </c>
      <c r="K171">
        <v>0.52680745227632497</v>
      </c>
      <c r="L171">
        <v>5230.1632228625704</v>
      </c>
      <c r="M171">
        <v>84.952043550729201</v>
      </c>
      <c r="O171">
        <v>61.531975386112997</v>
      </c>
      <c r="P171">
        <v>0.17257704628988099</v>
      </c>
      <c r="Q171">
        <v>1.5</v>
      </c>
      <c r="R171">
        <v>0.13500759981795499</v>
      </c>
      <c r="S171" t="s">
        <v>6817</v>
      </c>
      <c r="T171" t="s">
        <v>13290</v>
      </c>
      <c r="U171" t="s">
        <v>13290</v>
      </c>
      <c r="V171" t="s">
        <v>13290</v>
      </c>
      <c r="W171" t="s">
        <v>13460</v>
      </c>
      <c r="X171">
        <v>5</v>
      </c>
      <c r="Y171" t="s">
        <v>20045</v>
      </c>
      <c r="Z171" t="s">
        <v>26501</v>
      </c>
      <c r="AA171">
        <v>1.140097465092065</v>
      </c>
      <c r="AB171" t="str">
        <f>HYPERLINK("Melting_Curves/meltCurve_B4DJV5_PWP1.pdf", "Melting_Curves/meltCurve_B4DJV5_PWP1.pdf")</f>
        <v>Melting_Curves/meltCurve_B4DJV5_PWP1.pdf</v>
      </c>
    </row>
    <row r="172" spans="1:28" x14ac:dyDescent="0.25">
      <c r="A172" t="s">
        <v>176</v>
      </c>
      <c r="B172">
        <v>0.99252571173614901</v>
      </c>
      <c r="C172">
        <v>0.78489944161085001</v>
      </c>
      <c r="D172">
        <v>0.32156836945834899</v>
      </c>
      <c r="E172">
        <v>0.15702561596235301</v>
      </c>
      <c r="F172">
        <v>9.6407777267289996E-2</v>
      </c>
      <c r="G172">
        <v>5.0179724383888201E-2</v>
      </c>
      <c r="H172">
        <v>3.6113709358266799E-2</v>
      </c>
      <c r="I172">
        <v>7.3065534282213407E-2</v>
      </c>
      <c r="J172">
        <v>0.11023833604328</v>
      </c>
      <c r="K172">
        <v>0.12994228371699701</v>
      </c>
      <c r="L172">
        <v>1384.85248676892</v>
      </c>
      <c r="M172">
        <v>31.106800581917</v>
      </c>
      <c r="N172">
        <v>44.790891903003804</v>
      </c>
      <c r="O172">
        <v>44.336508707758902</v>
      </c>
      <c r="P172">
        <v>-0.160326310382295</v>
      </c>
      <c r="Q172">
        <v>8.5953098691524496E-2</v>
      </c>
      <c r="R172">
        <v>0.99190828440354695</v>
      </c>
      <c r="S172" t="s">
        <v>6818</v>
      </c>
      <c r="T172" t="s">
        <v>13290</v>
      </c>
      <c r="U172" t="s">
        <v>13290</v>
      </c>
      <c r="V172" t="s">
        <v>13290</v>
      </c>
      <c r="W172" t="s">
        <v>13461</v>
      </c>
      <c r="X172">
        <v>2</v>
      </c>
      <c r="Y172" t="s">
        <v>20046</v>
      </c>
      <c r="Z172" t="s">
        <v>26502</v>
      </c>
      <c r="AA172">
        <v>0.22930307291527699</v>
      </c>
      <c r="AB172" t="str">
        <f>HYPERLINK("Melting_Curves/meltCurve_B4DK80_TOP3A.pdf", "Melting_Curves/meltCurve_B4DK80_TOP3A.pdf")</f>
        <v>Melting_Curves/meltCurve_B4DK80_TOP3A.pdf</v>
      </c>
    </row>
    <row r="173" spans="1:28" x14ac:dyDescent="0.25">
      <c r="A173" t="s">
        <v>177</v>
      </c>
      <c r="B173">
        <v>0.99252571173614901</v>
      </c>
      <c r="C173">
        <v>0.90884832717233499</v>
      </c>
      <c r="D173">
        <v>0.68954325443465203</v>
      </c>
      <c r="E173">
        <v>0.61513830034517003</v>
      </c>
      <c r="F173">
        <v>0.47074870133931301</v>
      </c>
      <c r="G173">
        <v>0.29992630327769199</v>
      </c>
      <c r="H173">
        <v>0.28107818356727099</v>
      </c>
      <c r="I173">
        <v>0.41892707594642797</v>
      </c>
      <c r="J173">
        <v>0.55966148854107101</v>
      </c>
      <c r="K173">
        <v>0.67197571083852103</v>
      </c>
      <c r="L173">
        <v>1013.32935280346</v>
      </c>
      <c r="M173">
        <v>22.066616663324002</v>
      </c>
      <c r="N173">
        <v>51.401015216689302</v>
      </c>
      <c r="O173">
        <v>45.549226167073897</v>
      </c>
      <c r="P173">
        <v>-6.6319819907492E-2</v>
      </c>
      <c r="Q173">
        <v>0.45243075530660198</v>
      </c>
      <c r="R173">
        <v>0.75596055764032799</v>
      </c>
      <c r="S173" t="s">
        <v>6819</v>
      </c>
      <c r="T173" t="s">
        <v>13290</v>
      </c>
      <c r="U173" t="s">
        <v>13290</v>
      </c>
      <c r="V173" t="s">
        <v>13290</v>
      </c>
      <c r="W173" t="s">
        <v>13462</v>
      </c>
      <c r="X173">
        <v>2</v>
      </c>
      <c r="Y173" t="s">
        <v>20047</v>
      </c>
      <c r="Z173" t="s">
        <v>26503</v>
      </c>
      <c r="AA173">
        <v>0.56729383702446734</v>
      </c>
      <c r="AB173" t="str">
        <f>HYPERLINK("Melting_Curves/meltCurve_B4DKF9_ZNF286A.pdf", "Melting_Curves/meltCurve_B4DKF9_ZNF286A.pdf")</f>
        <v>Melting_Curves/meltCurve_B4DKF9_ZNF286A.pdf</v>
      </c>
    </row>
    <row r="174" spans="1:28" x14ac:dyDescent="0.25">
      <c r="A174" t="s">
        <v>178</v>
      </c>
      <c r="B174">
        <v>0.99252571173614901</v>
      </c>
      <c r="C174">
        <v>0.98379675836123603</v>
      </c>
      <c r="D174">
        <v>0.90003505531501204</v>
      </c>
      <c r="E174">
        <v>0.87686924612510897</v>
      </c>
      <c r="F174">
        <v>0.63673973384898597</v>
      </c>
      <c r="G174">
        <v>0.50907826692906</v>
      </c>
      <c r="H174">
        <v>0.44911222853656801</v>
      </c>
      <c r="I174">
        <v>0.52701946614416195</v>
      </c>
      <c r="J174">
        <v>0.74969886469589397</v>
      </c>
      <c r="K174">
        <v>0.53620745146891202</v>
      </c>
      <c r="L174">
        <v>1710.3398053093899</v>
      </c>
      <c r="M174">
        <v>33.697558315443899</v>
      </c>
      <c r="O174">
        <v>50.577850914592403</v>
      </c>
      <c r="P174">
        <v>-7.4431634124127705E-2</v>
      </c>
      <c r="Q174">
        <v>0.55313359385693905</v>
      </c>
      <c r="R174">
        <v>0.84395806921179195</v>
      </c>
      <c r="S174" t="s">
        <v>6820</v>
      </c>
      <c r="T174" t="s">
        <v>13290</v>
      </c>
      <c r="U174" t="s">
        <v>13290</v>
      </c>
      <c r="V174" t="s">
        <v>13290</v>
      </c>
      <c r="W174" t="s">
        <v>13463</v>
      </c>
      <c r="X174">
        <v>23</v>
      </c>
      <c r="Y174" t="s">
        <v>20048</v>
      </c>
      <c r="Z174" t="s">
        <v>26504</v>
      </c>
      <c r="AA174">
        <v>0.71555908643144595</v>
      </c>
      <c r="AB174" t="str">
        <f>HYPERLINK("Melting_Curves/meltCurve_B4DKL4_LSR.pdf", "Melting_Curves/meltCurve_B4DKL4_LSR.pdf")</f>
        <v>Melting_Curves/meltCurve_B4DKL4_LSR.pdf</v>
      </c>
    </row>
    <row r="175" spans="1:28" x14ac:dyDescent="0.25">
      <c r="A175" t="s">
        <v>179</v>
      </c>
      <c r="B175">
        <v>0.99252571173614901</v>
      </c>
      <c r="C175">
        <v>0.99071375626328695</v>
      </c>
      <c r="D175">
        <v>0.941127861428391</v>
      </c>
      <c r="E175">
        <v>0.64999951225526498</v>
      </c>
      <c r="F175">
        <v>0.34281623864918698</v>
      </c>
      <c r="G175">
        <v>0.15911761041039599</v>
      </c>
      <c r="H175">
        <v>0.103391146731175</v>
      </c>
      <c r="I175">
        <v>9.6214680861262197E-2</v>
      </c>
      <c r="J175">
        <v>0.12141868712258801</v>
      </c>
      <c r="K175">
        <v>0.111418703164381</v>
      </c>
      <c r="L175">
        <v>1193.63325535935</v>
      </c>
      <c r="M175">
        <v>23.5419640745958</v>
      </c>
      <c r="N175">
        <v>51.1946795582001</v>
      </c>
      <c r="O175">
        <v>50.340761974240003</v>
      </c>
      <c r="P175">
        <v>-0.105071899352632</v>
      </c>
      <c r="Q175">
        <v>0.101296679962808</v>
      </c>
      <c r="R175">
        <v>0.99882837817991099</v>
      </c>
      <c r="S175" t="s">
        <v>6821</v>
      </c>
      <c r="T175" t="s">
        <v>13290</v>
      </c>
      <c r="U175" t="s">
        <v>13290</v>
      </c>
      <c r="V175" t="s">
        <v>13290</v>
      </c>
      <c r="W175" t="s">
        <v>13464</v>
      </c>
      <c r="X175">
        <v>7</v>
      </c>
      <c r="Y175" t="s">
        <v>20049</v>
      </c>
      <c r="Z175" t="s">
        <v>26505</v>
      </c>
      <c r="AA175">
        <v>0.43101569095622971</v>
      </c>
      <c r="AB175" t="str">
        <f>HYPERLINK("Melting_Curves/meltCurve_B4DL54_CHURC1_FNTB.pdf", "Melting_Curves/meltCurve_B4DL54_CHURC1_FNTB.pdf")</f>
        <v>Melting_Curves/meltCurve_B4DL54_CHURC1_FNTB.pdf</v>
      </c>
    </row>
    <row r="176" spans="1:28" x14ac:dyDescent="0.25">
      <c r="A176" t="s">
        <v>180</v>
      </c>
      <c r="B176">
        <v>0.99252571173614901</v>
      </c>
      <c r="C176">
        <v>1.1846827127728501</v>
      </c>
      <c r="D176">
        <v>0.97665979119355595</v>
      </c>
      <c r="E176">
        <v>1.19363170342985</v>
      </c>
      <c r="F176">
        <v>0.878472694837102</v>
      </c>
      <c r="G176">
        <v>0.68048821362205503</v>
      </c>
      <c r="H176">
        <v>0.69923028651514396</v>
      </c>
      <c r="I176">
        <v>1.2256079414430501</v>
      </c>
      <c r="J176">
        <v>1.68508935410644</v>
      </c>
      <c r="K176">
        <v>0.68564337102097395</v>
      </c>
      <c r="L176">
        <v>1442.92735622948</v>
      </c>
      <c r="M176">
        <v>22.740751176210701</v>
      </c>
      <c r="O176">
        <v>62.966609694971403</v>
      </c>
      <c r="P176">
        <v>1.3568444919708701E-2</v>
      </c>
      <c r="Q176">
        <v>1.1502751504661599</v>
      </c>
      <c r="R176">
        <v>4.1419906549723703E-2</v>
      </c>
      <c r="S176" t="s">
        <v>6822</v>
      </c>
      <c r="T176" t="s">
        <v>13290</v>
      </c>
      <c r="U176" t="s">
        <v>13290</v>
      </c>
      <c r="V176" t="s">
        <v>13290</v>
      </c>
      <c r="W176" t="s">
        <v>13465</v>
      </c>
      <c r="X176">
        <v>2</v>
      </c>
      <c r="Y176" t="s">
        <v>20050</v>
      </c>
      <c r="Z176" t="s">
        <v>26506</v>
      </c>
      <c r="AA176">
        <v>1.0328658563291051</v>
      </c>
      <c r="AB176" t="str">
        <f>HYPERLINK("Melting_Curves/meltCurve_B4DLH2_C2orf18.pdf", "Melting_Curves/meltCurve_B4DLH2_C2orf18.pdf")</f>
        <v>Melting_Curves/meltCurve_B4DLH2_C2orf18.pdf</v>
      </c>
    </row>
    <row r="177" spans="1:28" x14ac:dyDescent="0.25">
      <c r="A177" t="s">
        <v>181</v>
      </c>
      <c r="B177">
        <v>0.99252571173614901</v>
      </c>
      <c r="C177">
        <v>0.98186651041635997</v>
      </c>
      <c r="D177">
        <v>0.92306211815027495</v>
      </c>
      <c r="E177">
        <v>0.96371160418718904</v>
      </c>
      <c r="F177">
        <v>0.760591413076534</v>
      </c>
      <c r="G177">
        <v>0.617050376569517</v>
      </c>
      <c r="H177">
        <v>0.60092559051906203</v>
      </c>
      <c r="I177">
        <v>0.84721266837591902</v>
      </c>
      <c r="J177">
        <v>1.2672889119164801</v>
      </c>
      <c r="K177">
        <v>0.99294528315344999</v>
      </c>
      <c r="L177">
        <v>1306.8428146935</v>
      </c>
      <c r="M177">
        <v>27.824531647285799</v>
      </c>
      <c r="O177">
        <v>46.726696965552698</v>
      </c>
      <c r="P177">
        <v>-2.1310831416550699E-2</v>
      </c>
      <c r="Q177">
        <v>0.85684919718593</v>
      </c>
      <c r="R177">
        <v>7.4920706263519293E-2</v>
      </c>
      <c r="S177" t="s">
        <v>6823</v>
      </c>
      <c r="T177" t="s">
        <v>13290</v>
      </c>
      <c r="U177" t="s">
        <v>13290</v>
      </c>
      <c r="V177" t="s">
        <v>13290</v>
      </c>
      <c r="W177" t="s">
        <v>13466</v>
      </c>
      <c r="X177">
        <v>23</v>
      </c>
      <c r="Y177" t="s">
        <v>20051</v>
      </c>
      <c r="Z177" t="s">
        <v>26507</v>
      </c>
      <c r="AA177">
        <v>0.89110604488061373</v>
      </c>
      <c r="AB177" t="str">
        <f>HYPERLINK("Melting_Curves/meltCurve_B4DLN1_SLC25A10.pdf", "Melting_Curves/meltCurve_B4DLN1_SLC25A10.pdf")</f>
        <v>Melting_Curves/meltCurve_B4DLN1_SLC25A10.pdf</v>
      </c>
    </row>
    <row r="178" spans="1:28" x14ac:dyDescent="0.25">
      <c r="A178" t="s">
        <v>182</v>
      </c>
      <c r="B178">
        <v>0.99252571173614901</v>
      </c>
      <c r="C178">
        <v>1.0445137442755399</v>
      </c>
      <c r="D178">
        <v>0.964974516149124</v>
      </c>
      <c r="E178">
        <v>0.80175811825749599</v>
      </c>
      <c r="F178">
        <v>0.30538486388966801</v>
      </c>
      <c r="G178">
        <v>0.11760685422523701</v>
      </c>
      <c r="H178">
        <v>7.7655861390188402E-2</v>
      </c>
      <c r="I178">
        <v>7.1455996416805403E-2</v>
      </c>
      <c r="J178">
        <v>8.1776472267141298E-2</v>
      </c>
      <c r="K178">
        <v>7.9796411301785303E-2</v>
      </c>
      <c r="L178">
        <v>1737.94978894056</v>
      </c>
      <c r="M178">
        <v>33.764771315792899</v>
      </c>
      <c r="N178">
        <v>51.726790713579</v>
      </c>
      <c r="O178">
        <v>51.292738972875</v>
      </c>
      <c r="P178">
        <v>-0.15197467661832001</v>
      </c>
      <c r="Q178">
        <v>7.65327588430504E-2</v>
      </c>
      <c r="R178">
        <v>0.99848747109942104</v>
      </c>
      <c r="S178" t="s">
        <v>6824</v>
      </c>
      <c r="T178" t="s">
        <v>13290</v>
      </c>
      <c r="U178" t="s">
        <v>13290</v>
      </c>
      <c r="V178" t="s">
        <v>13290</v>
      </c>
      <c r="W178" t="s">
        <v>13467</v>
      </c>
      <c r="X178">
        <v>8</v>
      </c>
      <c r="Y178" t="s">
        <v>20052</v>
      </c>
      <c r="Z178" t="s">
        <v>26508</v>
      </c>
      <c r="AA178">
        <v>0.43429370996839889</v>
      </c>
      <c r="AB178" t="str">
        <f>HYPERLINK("Melting_Curves/meltCurve_B4DLR8_NQO1.pdf", "Melting_Curves/meltCurve_B4DLR8_NQO1.pdf")</f>
        <v>Melting_Curves/meltCurve_B4DLR8_NQO1.pdf</v>
      </c>
    </row>
    <row r="179" spans="1:28" x14ac:dyDescent="0.25">
      <c r="A179" t="s">
        <v>183</v>
      </c>
      <c r="B179">
        <v>0.99252571173614901</v>
      </c>
      <c r="C179">
        <v>0.88412249277898602</v>
      </c>
      <c r="D179">
        <v>0.28635728475508498</v>
      </c>
      <c r="E179">
        <v>0.30013831434385502</v>
      </c>
      <c r="F179">
        <v>0.11586749150788</v>
      </c>
      <c r="G179">
        <v>4.9582319165842603E-2</v>
      </c>
      <c r="H179">
        <v>3.0549450436069901E-2</v>
      </c>
      <c r="I179">
        <v>2.8788733349784199E-2</v>
      </c>
      <c r="J179">
        <v>2.5444334696412801E-2</v>
      </c>
      <c r="K179">
        <v>1.9240036918250401E-2</v>
      </c>
      <c r="S179" t="s">
        <v>6825</v>
      </c>
      <c r="T179" t="s">
        <v>13290</v>
      </c>
      <c r="U179" t="s">
        <v>13291</v>
      </c>
      <c r="V179" t="s">
        <v>13290</v>
      </c>
      <c r="W179" t="s">
        <v>13468</v>
      </c>
      <c r="X179">
        <v>3</v>
      </c>
      <c r="Y179" t="s">
        <v>20053</v>
      </c>
      <c r="Z179" t="s">
        <v>26509</v>
      </c>
      <c r="AB179" t="str">
        <f>HYPERLINK("Melting_Curves/meltCurve_B4DLT4_RPS6KB1.pdf", "Melting_Curves/meltCurve_B4DLT4_RPS6KB1.pdf")</f>
        <v>Melting_Curves/meltCurve_B4DLT4_RPS6KB1.pdf</v>
      </c>
    </row>
    <row r="180" spans="1:28" x14ac:dyDescent="0.25">
      <c r="A180" t="s">
        <v>184</v>
      </c>
      <c r="B180">
        <v>0.99252571173614901</v>
      </c>
      <c r="C180">
        <v>0.96753085792817894</v>
      </c>
      <c r="D180">
        <v>0.87452613718662198</v>
      </c>
      <c r="E180">
        <v>0.65799105807696101</v>
      </c>
      <c r="F180">
        <v>0.20226326514638901</v>
      </c>
      <c r="G180">
        <v>6.5487230993930695E-2</v>
      </c>
      <c r="H180">
        <v>4.6557522646142498E-2</v>
      </c>
      <c r="I180">
        <v>4.7269362874896997E-2</v>
      </c>
      <c r="J180">
        <v>3.8278313244559603E-2</v>
      </c>
      <c r="K180">
        <v>3.42835838449266E-2</v>
      </c>
      <c r="L180">
        <v>1337.8435706371999</v>
      </c>
      <c r="M180">
        <v>26.525009936377799</v>
      </c>
      <c r="N180">
        <v>50.562640851281003</v>
      </c>
      <c r="O180">
        <v>50.153004213385699</v>
      </c>
      <c r="P180">
        <v>-0.128006979593183</v>
      </c>
      <c r="Q180">
        <v>3.1877281951304098E-2</v>
      </c>
      <c r="R180">
        <v>0.99634667970618596</v>
      </c>
      <c r="S180" t="s">
        <v>6826</v>
      </c>
      <c r="T180" t="s">
        <v>13290</v>
      </c>
      <c r="U180" t="s">
        <v>13290</v>
      </c>
      <c r="V180" t="s">
        <v>13290</v>
      </c>
      <c r="W180" t="s">
        <v>13469</v>
      </c>
      <c r="X180">
        <v>6</v>
      </c>
      <c r="Y180" t="s">
        <v>20054</v>
      </c>
      <c r="Z180" t="s">
        <v>26510</v>
      </c>
      <c r="AA180">
        <v>0.37641232404225372</v>
      </c>
      <c r="AB180" t="str">
        <f>HYPERLINK("Melting_Curves/meltCurve_B4DLU3_PGS1.pdf", "Melting_Curves/meltCurve_B4DLU3_PGS1.pdf")</f>
        <v>Melting_Curves/meltCurve_B4DLU3_PGS1.pdf</v>
      </c>
    </row>
    <row r="181" spans="1:28" x14ac:dyDescent="0.25">
      <c r="A181" t="s">
        <v>185</v>
      </c>
      <c r="B181">
        <v>0.99252571173614901</v>
      </c>
      <c r="C181">
        <v>1.0115260252646701</v>
      </c>
      <c r="D181">
        <v>0.928312952149983</v>
      </c>
      <c r="E181">
        <v>0.69542620083612505</v>
      </c>
      <c r="F181">
        <v>0.36296494842141702</v>
      </c>
      <c r="G181">
        <v>0.20586236183689899</v>
      </c>
      <c r="H181">
        <v>0.12022777723564</v>
      </c>
      <c r="I181">
        <v>0.117386077724245</v>
      </c>
      <c r="J181">
        <v>0.12781353942601101</v>
      </c>
      <c r="K181">
        <v>0.117464185866443</v>
      </c>
      <c r="L181">
        <v>1159.2617190338101</v>
      </c>
      <c r="M181">
        <v>22.7195569056232</v>
      </c>
      <c r="N181">
        <v>51.612173037379002</v>
      </c>
      <c r="O181">
        <v>50.6344502462088</v>
      </c>
      <c r="P181">
        <v>-9.9398349513066503E-2</v>
      </c>
      <c r="Q181">
        <v>0.113911696309694</v>
      </c>
      <c r="R181">
        <v>0.99919209569105105</v>
      </c>
      <c r="S181" t="s">
        <v>6827</v>
      </c>
      <c r="T181" t="s">
        <v>13290</v>
      </c>
      <c r="U181" t="s">
        <v>13290</v>
      </c>
      <c r="V181" t="s">
        <v>13290</v>
      </c>
      <c r="W181" t="s">
        <v>13470</v>
      </c>
      <c r="X181">
        <v>3</v>
      </c>
      <c r="Y181" t="s">
        <v>20055</v>
      </c>
      <c r="Z181" t="s">
        <v>26511</v>
      </c>
      <c r="AA181">
        <v>0.44919387586761461</v>
      </c>
      <c r="AB181" t="str">
        <f>HYPERLINK("Melting_Curves/meltCurve_B4DLZ9_RNF220.pdf", "Melting_Curves/meltCurve_B4DLZ9_RNF220.pdf")</f>
        <v>Melting_Curves/meltCurve_B4DLZ9_RNF220.pdf</v>
      </c>
    </row>
    <row r="182" spans="1:28" x14ac:dyDescent="0.25">
      <c r="A182" t="s">
        <v>186</v>
      </c>
      <c r="B182">
        <v>0.99252571173614901</v>
      </c>
      <c r="C182">
        <v>0.85475536754769499</v>
      </c>
      <c r="D182">
        <v>0.897781451374419</v>
      </c>
      <c r="E182">
        <v>0.494886386926919</v>
      </c>
      <c r="F182">
        <v>0.17184778389559799</v>
      </c>
      <c r="G182">
        <v>0.126605135568963</v>
      </c>
      <c r="H182">
        <v>6.6258922619077398E-2</v>
      </c>
      <c r="I182">
        <v>6.7761519886816501E-2</v>
      </c>
      <c r="J182">
        <v>8.7425065890359893E-2</v>
      </c>
      <c r="K182">
        <v>0.103492281811967</v>
      </c>
      <c r="L182">
        <v>1260.3829461743201</v>
      </c>
      <c r="M182">
        <v>25.6250243030916</v>
      </c>
      <c r="N182">
        <v>49.5181683867267</v>
      </c>
      <c r="O182">
        <v>48.889016905883899</v>
      </c>
      <c r="P182">
        <v>-0.12068034247458199</v>
      </c>
      <c r="Q182">
        <v>7.9045341438541694E-2</v>
      </c>
      <c r="R182">
        <v>0.98622387725273197</v>
      </c>
      <c r="S182" t="s">
        <v>6828</v>
      </c>
      <c r="T182" t="s">
        <v>13290</v>
      </c>
      <c r="U182" t="s">
        <v>13290</v>
      </c>
      <c r="V182" t="s">
        <v>13290</v>
      </c>
      <c r="W182" t="s">
        <v>13471</v>
      </c>
      <c r="X182">
        <v>2</v>
      </c>
      <c r="Y182" t="s">
        <v>20056</v>
      </c>
      <c r="Z182" t="s">
        <v>26512</v>
      </c>
      <c r="AA182">
        <v>0.3687982172817994</v>
      </c>
      <c r="AB182" t="str">
        <f>HYPERLINK("Melting_Curves/meltCurve_B4DMU4_FAM45A.pdf", "Melting_Curves/meltCurve_B4DMU4_FAM45A.pdf")</f>
        <v>Melting_Curves/meltCurve_B4DMU4_FAM45A.pdf</v>
      </c>
    </row>
    <row r="183" spans="1:28" x14ac:dyDescent="0.25">
      <c r="A183" t="s">
        <v>187</v>
      </c>
      <c r="B183">
        <v>0.99252571173614901</v>
      </c>
      <c r="C183">
        <v>1.11403192404903</v>
      </c>
      <c r="D183">
        <v>0.46951852090200502</v>
      </c>
      <c r="E183">
        <v>0.35416979912607299</v>
      </c>
      <c r="F183">
        <v>0.14484315446502899</v>
      </c>
      <c r="G183">
        <v>8.5221029027970699E-2</v>
      </c>
      <c r="H183">
        <v>5.7848467205215498E-2</v>
      </c>
      <c r="I183">
        <v>5.9738218107585103E-2</v>
      </c>
      <c r="J183">
        <v>6.4965495615330895E-2</v>
      </c>
      <c r="K183">
        <v>6.9005435200783199E-2</v>
      </c>
      <c r="L183">
        <v>1210.0046331165199</v>
      </c>
      <c r="M183">
        <v>25.979540048569302</v>
      </c>
      <c r="N183">
        <v>46.896994682615201</v>
      </c>
      <c r="O183">
        <v>46.301961362399602</v>
      </c>
      <c r="P183">
        <v>-0.128825314089895</v>
      </c>
      <c r="Q183">
        <v>8.1616450881273603E-2</v>
      </c>
      <c r="R183">
        <v>0.94591835511758904</v>
      </c>
      <c r="S183" t="s">
        <v>6829</v>
      </c>
      <c r="T183" t="s">
        <v>13290</v>
      </c>
      <c r="U183" t="s">
        <v>13290</v>
      </c>
      <c r="V183" t="s">
        <v>13290</v>
      </c>
      <c r="W183" t="s">
        <v>13472</v>
      </c>
      <c r="X183">
        <v>12</v>
      </c>
      <c r="Y183" t="s">
        <v>20057</v>
      </c>
      <c r="Z183" t="s">
        <v>26513</v>
      </c>
      <c r="AA183">
        <v>0.2905077522504721</v>
      </c>
      <c r="AB183" t="str">
        <f>HYPERLINK("Melting_Curves/meltCurve_B4DP21_PTGES3.pdf", "Melting_Curves/meltCurve_B4DP21_PTGES3.pdf")</f>
        <v>Melting_Curves/meltCurve_B4DP21_PTGES3.pdf</v>
      </c>
    </row>
    <row r="184" spans="1:28" x14ac:dyDescent="0.25">
      <c r="A184" t="s">
        <v>188</v>
      </c>
      <c r="B184">
        <v>0.99252571173614901</v>
      </c>
      <c r="C184">
        <v>0.99729408995584701</v>
      </c>
      <c r="D184">
        <v>0.95082226224355104</v>
      </c>
      <c r="E184">
        <v>0.80828144070408803</v>
      </c>
      <c r="F184">
        <v>0.76910845665557304</v>
      </c>
      <c r="G184">
        <v>0.48310478110673599</v>
      </c>
      <c r="H184">
        <v>0.39051003604624901</v>
      </c>
      <c r="I184">
        <v>0.322477431186385</v>
      </c>
      <c r="J184">
        <v>0.36131500799660399</v>
      </c>
      <c r="K184">
        <v>0.19670458675623401</v>
      </c>
      <c r="L184">
        <v>715.75912783898002</v>
      </c>
      <c r="M184">
        <v>12.957512707514301</v>
      </c>
      <c r="N184">
        <v>57.644425937676402</v>
      </c>
      <c r="O184">
        <v>53.972886795656002</v>
      </c>
      <c r="P184">
        <v>-4.7493165578877498E-2</v>
      </c>
      <c r="Q184">
        <v>0.208834372226371</v>
      </c>
      <c r="R184">
        <v>0.97702373222901495</v>
      </c>
      <c r="S184" t="s">
        <v>6830</v>
      </c>
      <c r="T184" t="s">
        <v>13290</v>
      </c>
      <c r="U184" t="s">
        <v>13290</v>
      </c>
      <c r="V184" t="s">
        <v>13290</v>
      </c>
      <c r="W184" t="s">
        <v>13473</v>
      </c>
      <c r="X184">
        <v>1</v>
      </c>
      <c r="Y184" t="s">
        <v>20058</v>
      </c>
      <c r="Z184" t="s">
        <v>26514</v>
      </c>
      <c r="AA184">
        <v>0.6277904007409647</v>
      </c>
      <c r="AB184" t="str">
        <f>HYPERLINK("Melting_Curves/meltCurve_B4DPV4_SLC25A16.pdf", "Melting_Curves/meltCurve_B4DPV4_SLC25A16.pdf")</f>
        <v>Melting_Curves/meltCurve_B4DPV4_SLC25A16.pdf</v>
      </c>
    </row>
    <row r="185" spans="1:28" x14ac:dyDescent="0.25">
      <c r="A185" t="s">
        <v>189</v>
      </c>
      <c r="B185">
        <v>0.99252571173614901</v>
      </c>
      <c r="C185">
        <v>0.95110537046015198</v>
      </c>
      <c r="D185">
        <v>0.75908568278696997</v>
      </c>
      <c r="E185">
        <v>0.559274595357382</v>
      </c>
      <c r="F185">
        <v>0.31865191032826201</v>
      </c>
      <c r="G185">
        <v>0.190688465201552</v>
      </c>
      <c r="H185">
        <v>0.15726894547626499</v>
      </c>
      <c r="I185">
        <v>0.174520058725816</v>
      </c>
      <c r="J185">
        <v>0.21373686334655201</v>
      </c>
      <c r="K185">
        <v>0.28209541523142201</v>
      </c>
      <c r="L185">
        <v>945.89924272146004</v>
      </c>
      <c r="M185">
        <v>19.467759628844501</v>
      </c>
      <c r="N185">
        <v>49.833798603059698</v>
      </c>
      <c r="O185">
        <v>48.084013840530297</v>
      </c>
      <c r="P185">
        <v>-8.1718962168472201E-2</v>
      </c>
      <c r="Q185">
        <v>0.19266853364949901</v>
      </c>
      <c r="R185">
        <v>0.98287447902661595</v>
      </c>
      <c r="S185" t="s">
        <v>6831</v>
      </c>
      <c r="T185" t="s">
        <v>13290</v>
      </c>
      <c r="U185" t="s">
        <v>13290</v>
      </c>
      <c r="V185" t="s">
        <v>13290</v>
      </c>
      <c r="W185" t="s">
        <v>13474</v>
      </c>
      <c r="X185">
        <v>8</v>
      </c>
      <c r="Y185" t="s">
        <v>20059</v>
      </c>
      <c r="Z185" t="s">
        <v>26515</v>
      </c>
      <c r="AA185">
        <v>0.43579201506719117</v>
      </c>
      <c r="AB185" t="str">
        <f>HYPERLINK("Melting_Curves/meltCurve_B4DPY8_TOX4.pdf", "Melting_Curves/meltCurve_B4DPY8_TOX4.pdf")</f>
        <v>Melting_Curves/meltCurve_B4DPY8_TOX4.pdf</v>
      </c>
    </row>
    <row r="186" spans="1:28" x14ac:dyDescent="0.25">
      <c r="A186" t="s">
        <v>190</v>
      </c>
      <c r="B186">
        <v>0.99252571173614901</v>
      </c>
      <c r="C186">
        <v>1.0797420600732199</v>
      </c>
      <c r="D186">
        <v>1.0143676377213</v>
      </c>
      <c r="E186">
        <v>0.71933162799689898</v>
      </c>
      <c r="F186">
        <v>0.60685245537441901</v>
      </c>
      <c r="G186">
        <v>0.43271707733059001</v>
      </c>
      <c r="H186">
        <v>0.38968782575229199</v>
      </c>
      <c r="I186">
        <v>0.39409746877360802</v>
      </c>
      <c r="J186">
        <v>0.60808745759600102</v>
      </c>
      <c r="K186">
        <v>0.75406918450497995</v>
      </c>
      <c r="L186">
        <v>2196.7408910650802</v>
      </c>
      <c r="M186">
        <v>44.548455780741698</v>
      </c>
      <c r="O186">
        <v>49.212194626019603</v>
      </c>
      <c r="P186">
        <v>-0.10718301269680899</v>
      </c>
      <c r="Q186">
        <v>0.52638483603662301</v>
      </c>
      <c r="R186">
        <v>0.81079177212030695</v>
      </c>
      <c r="S186" t="s">
        <v>6832</v>
      </c>
      <c r="T186" t="s">
        <v>13290</v>
      </c>
      <c r="U186" t="s">
        <v>13290</v>
      </c>
      <c r="V186" t="s">
        <v>13290</v>
      </c>
      <c r="W186" t="s">
        <v>13475</v>
      </c>
      <c r="X186">
        <v>5</v>
      </c>
      <c r="Y186" t="s">
        <v>20060</v>
      </c>
      <c r="Z186" t="s">
        <v>26516</v>
      </c>
      <c r="AA186">
        <v>0.67468336772500481</v>
      </c>
      <c r="AB186" t="str">
        <f>HYPERLINK("Melting_Curves/meltCurve_B4DQI6_TRA2A.pdf", "Melting_Curves/meltCurve_B4DQI6_TRA2A.pdf")</f>
        <v>Melting_Curves/meltCurve_B4DQI6_TRA2A.pdf</v>
      </c>
    </row>
    <row r="187" spans="1:28" x14ac:dyDescent="0.25">
      <c r="A187" t="s">
        <v>191</v>
      </c>
      <c r="B187">
        <v>0.99252571173614901</v>
      </c>
      <c r="C187">
        <v>0.95304044462251203</v>
      </c>
      <c r="D187">
        <v>0.99633848975570105</v>
      </c>
      <c r="E187">
        <v>1.0114303312692601</v>
      </c>
      <c r="F187">
        <v>0.72783913716097104</v>
      </c>
      <c r="G187">
        <v>0.131854949894183</v>
      </c>
      <c r="H187">
        <v>7.5850653973024706E-2</v>
      </c>
      <c r="I187">
        <v>7.0184589749355306E-2</v>
      </c>
      <c r="J187">
        <v>7.4783896271088501E-2</v>
      </c>
      <c r="K187">
        <v>7.38540265682745E-2</v>
      </c>
      <c r="L187">
        <v>3044.7134272035501</v>
      </c>
      <c r="M187">
        <v>56.348460219855198</v>
      </c>
      <c r="N187">
        <v>54.1869159398547</v>
      </c>
      <c r="O187">
        <v>53.965730224786</v>
      </c>
      <c r="P187">
        <v>-0.24181016781147299</v>
      </c>
      <c r="Q187">
        <v>7.3660202370416303E-2</v>
      </c>
      <c r="R187">
        <v>0.99861002153895195</v>
      </c>
      <c r="S187" t="s">
        <v>6833</v>
      </c>
      <c r="T187" t="s">
        <v>13290</v>
      </c>
      <c r="U187" t="s">
        <v>13290</v>
      </c>
      <c r="V187" t="s">
        <v>13290</v>
      </c>
      <c r="W187" t="s">
        <v>13476</v>
      </c>
      <c r="X187">
        <v>38</v>
      </c>
      <c r="Y187" t="s">
        <v>20061</v>
      </c>
      <c r="Z187" t="s">
        <v>26517</v>
      </c>
      <c r="AA187">
        <v>0.50872759317104521</v>
      </c>
      <c r="AB187" t="str">
        <f>HYPERLINK("Melting_Curves/meltCurve_B4DQJ8_PGD.pdf", "Melting_Curves/meltCurve_B4DQJ8_PGD.pdf")</f>
        <v>Melting_Curves/meltCurve_B4DQJ8_PGD.pdf</v>
      </c>
    </row>
    <row r="188" spans="1:28" x14ac:dyDescent="0.25">
      <c r="A188" t="s">
        <v>192</v>
      </c>
      <c r="B188">
        <v>0.99252571173614901</v>
      </c>
      <c r="C188">
        <v>0.90494071458552805</v>
      </c>
      <c r="D188">
        <v>0.91930900489219702</v>
      </c>
      <c r="E188">
        <v>0.816633920289903</v>
      </c>
      <c r="F188">
        <v>0.48794518398600001</v>
      </c>
      <c r="G188">
        <v>0.26763200508518298</v>
      </c>
      <c r="H188">
        <v>0.18115700540344201</v>
      </c>
      <c r="I188">
        <v>0.187947808229252</v>
      </c>
      <c r="J188">
        <v>0.12943303324178801</v>
      </c>
      <c r="K188">
        <v>7.3596596336664002E-2</v>
      </c>
      <c r="L188">
        <v>964.28565209501198</v>
      </c>
      <c r="M188">
        <v>18.3501003467962</v>
      </c>
      <c r="N188">
        <v>53.246928664917199</v>
      </c>
      <c r="O188">
        <v>51.937185002893102</v>
      </c>
      <c r="P188">
        <v>-7.8894507667285299E-2</v>
      </c>
      <c r="Q188">
        <v>0.10684493624725699</v>
      </c>
      <c r="R188">
        <v>0.989218642994669</v>
      </c>
      <c r="S188" t="s">
        <v>6834</v>
      </c>
      <c r="T188" t="s">
        <v>13290</v>
      </c>
      <c r="U188" t="s">
        <v>13290</v>
      </c>
      <c r="V188" t="s">
        <v>13290</v>
      </c>
      <c r="W188" t="s">
        <v>13477</v>
      </c>
      <c r="X188">
        <v>1</v>
      </c>
      <c r="Y188" t="s">
        <v>20062</v>
      </c>
      <c r="Z188" t="s">
        <v>26518</v>
      </c>
      <c r="AA188">
        <v>0.49473941152396139</v>
      </c>
      <c r="AB188" t="str">
        <f>HYPERLINK("Melting_Curves/meltCurve_B4DQL0_MTMR8.pdf", "Melting_Curves/meltCurve_B4DQL0_MTMR8.pdf")</f>
        <v>Melting_Curves/meltCurve_B4DQL0_MTMR8.pdf</v>
      </c>
    </row>
    <row r="189" spans="1:28" x14ac:dyDescent="0.25">
      <c r="A189" t="s">
        <v>193</v>
      </c>
      <c r="B189">
        <v>0.99252571173614901</v>
      </c>
      <c r="C189">
        <v>1.01993339744673</v>
      </c>
      <c r="D189">
        <v>0.96593027197300496</v>
      </c>
      <c r="E189">
        <v>0.75098946254841603</v>
      </c>
      <c r="F189">
        <v>0.66455619650749598</v>
      </c>
      <c r="G189">
        <v>0.54347479332574899</v>
      </c>
      <c r="H189">
        <v>0.610303480801064</v>
      </c>
      <c r="I189">
        <v>0.71204706134616502</v>
      </c>
      <c r="J189">
        <v>1.08309764210944</v>
      </c>
      <c r="K189">
        <v>1.0057586957554401</v>
      </c>
      <c r="L189">
        <v>11581.128502425099</v>
      </c>
      <c r="M189">
        <v>250</v>
      </c>
      <c r="O189">
        <v>46.321549624219003</v>
      </c>
      <c r="P189">
        <v>-0.31414194807113399</v>
      </c>
      <c r="Q189">
        <v>0.76717533126963899</v>
      </c>
      <c r="R189">
        <v>0.30518808884798498</v>
      </c>
      <c r="S189" t="s">
        <v>6835</v>
      </c>
      <c r="T189" t="s">
        <v>13290</v>
      </c>
      <c r="U189" t="s">
        <v>13290</v>
      </c>
      <c r="V189" t="s">
        <v>13290</v>
      </c>
      <c r="W189" t="s">
        <v>13478</v>
      </c>
      <c r="X189">
        <v>9</v>
      </c>
      <c r="Y189" t="s">
        <v>20063</v>
      </c>
      <c r="Z189" t="s">
        <v>26519</v>
      </c>
      <c r="AA189">
        <v>0.81627768894237818</v>
      </c>
      <c r="AB189" t="str">
        <f>HYPERLINK("Melting_Curves/meltCurve_B4DR52_HIST2H2BF.pdf", "Melting_Curves/meltCurve_B4DR52_HIST2H2BF.pdf")</f>
        <v>Melting_Curves/meltCurve_B4DR52_HIST2H2BF.pdf</v>
      </c>
    </row>
    <row r="190" spans="1:28" x14ac:dyDescent="0.25">
      <c r="A190" t="s">
        <v>194</v>
      </c>
      <c r="B190">
        <v>0.99252571173614901</v>
      </c>
      <c r="C190">
        <v>0.92519303460177604</v>
      </c>
      <c r="D190">
        <v>0.96284432767875106</v>
      </c>
      <c r="E190">
        <v>0.89277385133006804</v>
      </c>
      <c r="F190">
        <v>0.805448633097681</v>
      </c>
      <c r="G190">
        <v>0.64890132585914495</v>
      </c>
      <c r="H190">
        <v>0.60369098948347799</v>
      </c>
      <c r="I190">
        <v>0.69472284919405203</v>
      </c>
      <c r="J190">
        <v>0.92701535884444797</v>
      </c>
      <c r="K190">
        <v>0.52107943810423996</v>
      </c>
      <c r="L190">
        <v>1208.0811632069399</v>
      </c>
      <c r="M190">
        <v>23.637476196680101</v>
      </c>
      <c r="O190">
        <v>50.747145727850999</v>
      </c>
      <c r="P190">
        <v>-3.7588726139292601E-2</v>
      </c>
      <c r="Q190">
        <v>0.67720951024766396</v>
      </c>
      <c r="R190">
        <v>0.594859401361581</v>
      </c>
      <c r="S190" t="s">
        <v>6836</v>
      </c>
      <c r="T190" t="s">
        <v>13290</v>
      </c>
      <c r="U190" t="s">
        <v>13290</v>
      </c>
      <c r="V190" t="s">
        <v>13290</v>
      </c>
      <c r="W190" t="s">
        <v>13479</v>
      </c>
      <c r="X190">
        <v>13</v>
      </c>
      <c r="Y190" t="s">
        <v>20064</v>
      </c>
      <c r="Z190" t="s">
        <v>26520</v>
      </c>
      <c r="AA190">
        <v>0.79999318339230285</v>
      </c>
      <c r="AB190" t="str">
        <f>HYPERLINK("Melting_Curves/meltCurve_B4DR61_SEC61A1.pdf", "Melting_Curves/meltCurve_B4DR61_SEC61A1.pdf")</f>
        <v>Melting_Curves/meltCurve_B4DR61_SEC61A1.pdf</v>
      </c>
    </row>
    <row r="191" spans="1:28" x14ac:dyDescent="0.25">
      <c r="A191" t="s">
        <v>195</v>
      </c>
      <c r="B191">
        <v>0.99252571173614901</v>
      </c>
      <c r="C191">
        <v>0.98401845673324895</v>
      </c>
      <c r="D191">
        <v>0.98685490282727395</v>
      </c>
      <c r="E191">
        <v>0.87907790725519697</v>
      </c>
      <c r="F191">
        <v>0.53375890729458397</v>
      </c>
      <c r="G191">
        <v>0.15452959450163001</v>
      </c>
      <c r="H191">
        <v>7.8678405983337293E-2</v>
      </c>
      <c r="I191">
        <v>6.4686833340206307E-2</v>
      </c>
      <c r="J191">
        <v>6.83880127114075E-2</v>
      </c>
      <c r="K191">
        <v>6.2454249955064302E-2</v>
      </c>
      <c r="L191">
        <v>1588.72791690802</v>
      </c>
      <c r="M191">
        <v>29.915986546324898</v>
      </c>
      <c r="N191">
        <v>53.3269557776078</v>
      </c>
      <c r="O191">
        <v>52.870716104182399</v>
      </c>
      <c r="P191">
        <v>-0.13322464872225301</v>
      </c>
      <c r="Q191">
        <v>5.8211077374815998E-2</v>
      </c>
      <c r="R191">
        <v>0.99911707831458696</v>
      </c>
      <c r="S191" t="s">
        <v>6837</v>
      </c>
      <c r="T191" t="s">
        <v>13290</v>
      </c>
      <c r="U191" t="s">
        <v>13290</v>
      </c>
      <c r="V191" t="s">
        <v>13290</v>
      </c>
      <c r="W191" t="s">
        <v>13480</v>
      </c>
      <c r="X191">
        <v>5</v>
      </c>
      <c r="Y191" t="s">
        <v>20065</v>
      </c>
      <c r="Z191" t="s">
        <v>26521</v>
      </c>
      <c r="AA191">
        <v>0.47580743842405421</v>
      </c>
      <c r="AB191" t="str">
        <f>HYPERLINK("Melting_Curves/meltCurve_B4DRL9_CHM.pdf", "Melting_Curves/meltCurve_B4DRL9_CHM.pdf")</f>
        <v>Melting_Curves/meltCurve_B4DRL9_CHM.pdf</v>
      </c>
    </row>
    <row r="192" spans="1:28" x14ac:dyDescent="0.25">
      <c r="A192" t="s">
        <v>196</v>
      </c>
      <c r="B192">
        <v>0.99252571173614901</v>
      </c>
      <c r="C192">
        <v>0.85034257705806704</v>
      </c>
      <c r="D192">
        <v>0.77426397203064601</v>
      </c>
      <c r="E192">
        <v>0.70584824908543597</v>
      </c>
      <c r="F192">
        <v>0.62168575522111502</v>
      </c>
      <c r="G192">
        <v>0.44530189028373202</v>
      </c>
      <c r="H192">
        <v>0.33138214558394802</v>
      </c>
      <c r="I192">
        <v>0.278942231176112</v>
      </c>
      <c r="J192">
        <v>0.29767011772528201</v>
      </c>
      <c r="K192">
        <v>0.191200061151308</v>
      </c>
      <c r="L192">
        <v>395.45387857656101</v>
      </c>
      <c r="M192">
        <v>7.21689278690289</v>
      </c>
      <c r="N192">
        <v>55.538736968405701</v>
      </c>
      <c r="O192">
        <v>51.057312073806997</v>
      </c>
      <c r="P192">
        <v>-3.37666762755559E-2</v>
      </c>
      <c r="Q192">
        <v>4.6025656592323098E-2</v>
      </c>
      <c r="R192">
        <v>0.98243510935144496</v>
      </c>
      <c r="S192" t="s">
        <v>6838</v>
      </c>
      <c r="T192" t="s">
        <v>13290</v>
      </c>
      <c r="U192" t="s">
        <v>13290</v>
      </c>
      <c r="V192" t="s">
        <v>13290</v>
      </c>
      <c r="W192" t="s">
        <v>13481</v>
      </c>
      <c r="X192">
        <v>6</v>
      </c>
      <c r="Y192" t="s">
        <v>20066</v>
      </c>
      <c r="Z192" t="s">
        <v>26522</v>
      </c>
      <c r="AA192">
        <v>0.54402536539580026</v>
      </c>
      <c r="AB192" t="str">
        <f>HYPERLINK("Melting_Curves/meltCurve_B4DRN8_ZDHHC20.pdf", "Melting_Curves/meltCurve_B4DRN8_ZDHHC20.pdf")</f>
        <v>Melting_Curves/meltCurve_B4DRN8_ZDHHC20.pdf</v>
      </c>
    </row>
    <row r="193" spans="1:28" x14ac:dyDescent="0.25">
      <c r="A193" t="s">
        <v>197</v>
      </c>
      <c r="B193">
        <v>0.99252571173614901</v>
      </c>
      <c r="C193">
        <v>1.08321768042839</v>
      </c>
      <c r="D193">
        <v>0.89992505004883705</v>
      </c>
      <c r="E193">
        <v>0.90054324569341704</v>
      </c>
      <c r="F193">
        <v>0.45545356245017998</v>
      </c>
      <c r="G193">
        <v>0.36570653143854398</v>
      </c>
      <c r="H193">
        <v>0.20864755830204701</v>
      </c>
      <c r="I193">
        <v>0.187448128923902</v>
      </c>
      <c r="J193">
        <v>0.138090642825279</v>
      </c>
      <c r="K193">
        <v>7.72866539961308E-2</v>
      </c>
      <c r="L193">
        <v>1038.44801330734</v>
      </c>
      <c r="M193">
        <v>19.598969291944599</v>
      </c>
      <c r="N193">
        <v>53.784439729186097</v>
      </c>
      <c r="O193">
        <v>52.442462974601398</v>
      </c>
      <c r="P193">
        <v>-8.1625669802546805E-2</v>
      </c>
      <c r="Q193">
        <v>0.12638258547265899</v>
      </c>
      <c r="R193">
        <v>0.97564505974184401</v>
      </c>
      <c r="S193" t="s">
        <v>6839</v>
      </c>
      <c r="T193" t="s">
        <v>13290</v>
      </c>
      <c r="U193" t="s">
        <v>13290</v>
      </c>
      <c r="V193" t="s">
        <v>13290</v>
      </c>
      <c r="W193" t="s">
        <v>13482</v>
      </c>
      <c r="X193">
        <v>3</v>
      </c>
      <c r="Y193" t="s">
        <v>20067</v>
      </c>
      <c r="Z193" t="s">
        <v>26523</v>
      </c>
      <c r="AA193">
        <v>0.51694607762205658</v>
      </c>
      <c r="AB193" t="str">
        <f>HYPERLINK("Melting_Curves/meltCurve_B4DRS7_SH2D3A.pdf", "Melting_Curves/meltCurve_B4DRS7_SH2D3A.pdf")</f>
        <v>Melting_Curves/meltCurve_B4DRS7_SH2D3A.pdf</v>
      </c>
    </row>
    <row r="194" spans="1:28" x14ac:dyDescent="0.25">
      <c r="A194" t="s">
        <v>198</v>
      </c>
      <c r="B194">
        <v>0.99252571173614901</v>
      </c>
      <c r="C194">
        <v>0.97024987315078903</v>
      </c>
      <c r="D194">
        <v>0.94670935273132395</v>
      </c>
      <c r="E194">
        <v>0.72915870154231499</v>
      </c>
      <c r="F194">
        <v>0.36174012215005202</v>
      </c>
      <c r="G194">
        <v>0.12202916000073</v>
      </c>
      <c r="H194">
        <v>0.162773657051655</v>
      </c>
      <c r="I194">
        <v>0.26675328747841598</v>
      </c>
      <c r="J194">
        <v>0.21935127965837301</v>
      </c>
      <c r="K194">
        <v>0.21205624990093899</v>
      </c>
      <c r="L194">
        <v>1653.90355020469</v>
      </c>
      <c r="M194">
        <v>32.660340820845803</v>
      </c>
      <c r="N194">
        <v>51.422788527448198</v>
      </c>
      <c r="O194">
        <v>50.450792961451597</v>
      </c>
      <c r="P194">
        <v>-0.13012590170418301</v>
      </c>
      <c r="Q194">
        <v>0.195976012144223</v>
      </c>
      <c r="R194">
        <v>0.98466829588440696</v>
      </c>
      <c r="S194" t="s">
        <v>6840</v>
      </c>
      <c r="T194" t="s">
        <v>13290</v>
      </c>
      <c r="U194" t="s">
        <v>13290</v>
      </c>
      <c r="V194" t="s">
        <v>13290</v>
      </c>
      <c r="W194" t="s">
        <v>13483</v>
      </c>
      <c r="X194">
        <v>4</v>
      </c>
      <c r="Y194" t="s">
        <v>20068</v>
      </c>
      <c r="Z194" t="s">
        <v>26524</v>
      </c>
      <c r="AA194">
        <v>0.48535873114909928</v>
      </c>
      <c r="AB194" t="str">
        <f>HYPERLINK("Melting_Curves/meltCurve_B4DSD4_C9orf41.pdf", "Melting_Curves/meltCurve_B4DSD4_C9orf41.pdf")</f>
        <v>Melting_Curves/meltCurve_B4DSD4_C9orf41.pdf</v>
      </c>
    </row>
    <row r="195" spans="1:28" x14ac:dyDescent="0.25">
      <c r="A195" t="s">
        <v>199</v>
      </c>
      <c r="B195">
        <v>0.99252571173614901</v>
      </c>
      <c r="C195">
        <v>1.0602240481412799</v>
      </c>
      <c r="D195">
        <v>0.73624897375569198</v>
      </c>
      <c r="E195">
        <v>0.22898256793423499</v>
      </c>
      <c r="F195">
        <v>0.12916446805691001</v>
      </c>
      <c r="G195">
        <v>7.0995409012437796E-2</v>
      </c>
      <c r="H195">
        <v>6.9624560534065405E-2</v>
      </c>
      <c r="I195">
        <v>7.7878313404551494E-2</v>
      </c>
      <c r="J195">
        <v>0.101585402962567</v>
      </c>
      <c r="K195">
        <v>9.0399369356080395E-2</v>
      </c>
      <c r="L195">
        <v>1756.4559769898201</v>
      </c>
      <c r="M195">
        <v>37.192936428575102</v>
      </c>
      <c r="N195">
        <v>47.472982885819</v>
      </c>
      <c r="O195">
        <v>47.089622664526097</v>
      </c>
      <c r="P195">
        <v>-0.18005790848272199</v>
      </c>
      <c r="Q195">
        <v>8.81241107182755E-2</v>
      </c>
      <c r="R195">
        <v>0.99412898691395601</v>
      </c>
      <c r="S195" t="s">
        <v>6841</v>
      </c>
      <c r="T195" t="s">
        <v>13290</v>
      </c>
      <c r="U195" t="s">
        <v>13290</v>
      </c>
      <c r="V195" t="s">
        <v>13290</v>
      </c>
      <c r="W195" t="s">
        <v>13484</v>
      </c>
      <c r="X195">
        <v>7</v>
      </c>
      <c r="Y195" t="s">
        <v>20069</v>
      </c>
      <c r="Z195" t="s">
        <v>26525</v>
      </c>
      <c r="AA195">
        <v>0.31123048572343082</v>
      </c>
      <c r="AB195" t="str">
        <f>HYPERLINK("Melting_Curves/meltCurve_B4DSS8_PTBP2.pdf", "Melting_Curves/meltCurve_B4DSS8_PTBP2.pdf")</f>
        <v>Melting_Curves/meltCurve_B4DSS8_PTBP2.pdf</v>
      </c>
    </row>
    <row r="196" spans="1:28" x14ac:dyDescent="0.25">
      <c r="A196" t="s">
        <v>200</v>
      </c>
      <c r="B196">
        <v>0.99252571173614901</v>
      </c>
      <c r="C196">
        <v>0.96029981152802901</v>
      </c>
      <c r="D196">
        <v>0.88774067021925296</v>
      </c>
      <c r="E196">
        <v>0.689803119750657</v>
      </c>
      <c r="F196">
        <v>0.18756354927347901</v>
      </c>
      <c r="G196">
        <v>0.116463845481506</v>
      </c>
      <c r="H196">
        <v>8.1781224763043503E-2</v>
      </c>
      <c r="I196">
        <v>8.3628868256138897E-2</v>
      </c>
      <c r="J196">
        <v>0.10124607367593599</v>
      </c>
      <c r="K196">
        <v>9.1818773219823693E-2</v>
      </c>
      <c r="L196">
        <v>1682.3712634869801</v>
      </c>
      <c r="M196">
        <v>33.391718238418598</v>
      </c>
      <c r="N196">
        <v>50.669782959018299</v>
      </c>
      <c r="O196">
        <v>50.203239673701297</v>
      </c>
      <c r="P196">
        <v>-0.15196110219810699</v>
      </c>
      <c r="Q196">
        <v>8.6132206056231994E-2</v>
      </c>
      <c r="R196">
        <v>0.99368302473708503</v>
      </c>
      <c r="S196" t="s">
        <v>6842</v>
      </c>
      <c r="T196" t="s">
        <v>13290</v>
      </c>
      <c r="U196" t="s">
        <v>13290</v>
      </c>
      <c r="V196" t="s">
        <v>13290</v>
      </c>
      <c r="W196" t="s">
        <v>13485</v>
      </c>
      <c r="X196">
        <v>31</v>
      </c>
      <c r="Y196" t="s">
        <v>20070</v>
      </c>
      <c r="Z196" t="s">
        <v>26526</v>
      </c>
      <c r="AA196">
        <v>0.40700105994471142</v>
      </c>
      <c r="AB196" t="str">
        <f>HYPERLINK("Melting_Curves/meltCurve_B4DT77_ANXA7.pdf", "Melting_Curves/meltCurve_B4DT77_ANXA7.pdf")</f>
        <v>Melting_Curves/meltCurve_B4DT77_ANXA7.pdf</v>
      </c>
    </row>
    <row r="197" spans="1:28" x14ac:dyDescent="0.25">
      <c r="A197" t="s">
        <v>201</v>
      </c>
      <c r="B197">
        <v>0.99252571173614901</v>
      </c>
      <c r="C197">
        <v>0.92188492821150803</v>
      </c>
      <c r="D197">
        <v>0.92221747988023295</v>
      </c>
      <c r="E197">
        <v>0.99462504365665605</v>
      </c>
      <c r="F197">
        <v>0.73292726435091904</v>
      </c>
      <c r="G197">
        <v>0.44964137731070802</v>
      </c>
      <c r="H197">
        <v>0.191556785847006</v>
      </c>
      <c r="I197">
        <v>0.137358280743199</v>
      </c>
      <c r="J197">
        <v>0.15885580966245</v>
      </c>
      <c r="K197">
        <v>0.186973310010417</v>
      </c>
      <c r="L197">
        <v>1420.4485255480699</v>
      </c>
      <c r="M197">
        <v>25.7618729322094</v>
      </c>
      <c r="N197">
        <v>55.889116077668803</v>
      </c>
      <c r="O197">
        <v>54.808609051709396</v>
      </c>
      <c r="P197">
        <v>-0.10030819684015101</v>
      </c>
      <c r="Q197">
        <v>0.146383940392083</v>
      </c>
      <c r="R197">
        <v>0.98630872899088895</v>
      </c>
      <c r="S197" t="s">
        <v>6843</v>
      </c>
      <c r="T197" t="s">
        <v>13290</v>
      </c>
      <c r="U197" t="s">
        <v>13290</v>
      </c>
      <c r="V197" t="s">
        <v>13290</v>
      </c>
      <c r="W197" t="s">
        <v>13486</v>
      </c>
      <c r="X197">
        <v>2</v>
      </c>
      <c r="Y197" t="s">
        <v>20071</v>
      </c>
      <c r="Z197" t="s">
        <v>26527</v>
      </c>
      <c r="AA197">
        <v>0.58459612179731946</v>
      </c>
      <c r="AB197" t="str">
        <f>HYPERLINK("Melting_Curves/meltCurve_B4DTA3_SLC25A46.pdf", "Melting_Curves/meltCurve_B4DTA3_SLC25A46.pdf")</f>
        <v>Melting_Curves/meltCurve_B4DTA3_SLC25A46.pdf</v>
      </c>
    </row>
    <row r="198" spans="1:28" x14ac:dyDescent="0.25">
      <c r="A198" t="s">
        <v>202</v>
      </c>
      <c r="B198">
        <v>0.99252571173614901</v>
      </c>
      <c r="C198">
        <v>1.0327879331771801</v>
      </c>
      <c r="D198">
        <v>0.76744128790989297</v>
      </c>
      <c r="E198">
        <v>0.82726250314438798</v>
      </c>
      <c r="F198">
        <v>1.09931855347008</v>
      </c>
      <c r="G198">
        <v>0.91303390776440096</v>
      </c>
      <c r="H198">
        <v>0.70892222639487701</v>
      </c>
      <c r="I198">
        <v>0.64107481329238103</v>
      </c>
      <c r="J198">
        <v>0.69825196862624594</v>
      </c>
      <c r="K198">
        <v>0.66456240637859099</v>
      </c>
      <c r="L198">
        <v>329.71195934123199</v>
      </c>
      <c r="M198">
        <v>4.15889850074843</v>
      </c>
      <c r="O198">
        <v>65.873804527745406</v>
      </c>
      <c r="P198">
        <v>-1.5962483502984199E-2</v>
      </c>
      <c r="Q198">
        <v>0</v>
      </c>
      <c r="R198">
        <v>0.53945621221596796</v>
      </c>
      <c r="S198" t="s">
        <v>6844</v>
      </c>
      <c r="T198" t="s">
        <v>13290</v>
      </c>
      <c r="U198" t="s">
        <v>13290</v>
      </c>
      <c r="V198" t="s">
        <v>13290</v>
      </c>
      <c r="W198" t="s">
        <v>13487</v>
      </c>
      <c r="X198">
        <v>24</v>
      </c>
      <c r="Y198" t="s">
        <v>20072</v>
      </c>
      <c r="Z198" t="s">
        <v>26528</v>
      </c>
      <c r="AA198">
        <v>0.84353696739933226</v>
      </c>
      <c r="AB198" t="str">
        <f>HYPERLINK("Melting_Curves/meltCurve_B4DTC3_HNRNPD.pdf", "Melting_Curves/meltCurve_B4DTC3_HNRNPD.pdf")</f>
        <v>Melting_Curves/meltCurve_B4DTC3_HNRNPD.pdf</v>
      </c>
    </row>
    <row r="199" spans="1:28" x14ac:dyDescent="0.25">
      <c r="A199" t="s">
        <v>203</v>
      </c>
      <c r="B199">
        <v>0.99252571173614901</v>
      </c>
      <c r="C199">
        <v>0.91317860166763298</v>
      </c>
      <c r="D199">
        <v>0.91441832249793498</v>
      </c>
      <c r="E199">
        <v>0.91260277070217699</v>
      </c>
      <c r="F199">
        <v>0.43367891649925799</v>
      </c>
      <c r="G199">
        <v>0.24211506715810699</v>
      </c>
      <c r="H199">
        <v>0.158736035462169</v>
      </c>
      <c r="I199">
        <v>0.15536128934051499</v>
      </c>
      <c r="J199">
        <v>0.21511462990556901</v>
      </c>
      <c r="K199">
        <v>0.160108230060999</v>
      </c>
      <c r="L199">
        <v>1925.3323931237501</v>
      </c>
      <c r="M199">
        <v>36.910200023208603</v>
      </c>
      <c r="N199">
        <v>52.782972815158999</v>
      </c>
      <c r="O199">
        <v>52.010219700387402</v>
      </c>
      <c r="P199">
        <v>-0.146196149959164</v>
      </c>
      <c r="Q199">
        <v>0.175981742587311</v>
      </c>
      <c r="R199">
        <v>0.98578112241154403</v>
      </c>
      <c r="S199" t="s">
        <v>6845</v>
      </c>
      <c r="T199" t="s">
        <v>13290</v>
      </c>
      <c r="U199" t="s">
        <v>13290</v>
      </c>
      <c r="V199" t="s">
        <v>13290</v>
      </c>
      <c r="W199" t="s">
        <v>13488</v>
      </c>
      <c r="X199">
        <v>1</v>
      </c>
      <c r="Y199" t="s">
        <v>20073</v>
      </c>
      <c r="Z199" t="s">
        <v>26529</v>
      </c>
      <c r="AA199">
        <v>0.51354539465001448</v>
      </c>
      <c r="AB199" t="str">
        <f>HYPERLINK("Melting_Curves/meltCurve_B4DTZ6_SLC9A1.pdf", "Melting_Curves/meltCurve_B4DTZ6_SLC9A1.pdf")</f>
        <v>Melting_Curves/meltCurve_B4DTZ6_SLC9A1.pdf</v>
      </c>
    </row>
    <row r="200" spans="1:28" x14ac:dyDescent="0.25">
      <c r="A200" t="s">
        <v>204</v>
      </c>
      <c r="B200">
        <v>0.99252571173614901</v>
      </c>
      <c r="C200">
        <v>0.89898627461389202</v>
      </c>
      <c r="D200">
        <v>0.83279260396024002</v>
      </c>
      <c r="E200">
        <v>0.69191282891862405</v>
      </c>
      <c r="F200">
        <v>0.68001158556926999</v>
      </c>
      <c r="G200">
        <v>0.44014296037252898</v>
      </c>
      <c r="H200">
        <v>0.33292843635438502</v>
      </c>
      <c r="I200">
        <v>0.38785392266582402</v>
      </c>
      <c r="J200">
        <v>0.56259134955449996</v>
      </c>
      <c r="K200">
        <v>0.28992331853393899</v>
      </c>
      <c r="L200">
        <v>579.822355327845</v>
      </c>
      <c r="M200">
        <v>11.466529106987201</v>
      </c>
      <c r="N200">
        <v>56.408146713815803</v>
      </c>
      <c r="O200">
        <v>49.101858757035302</v>
      </c>
      <c r="P200">
        <v>-3.8104454424089697E-2</v>
      </c>
      <c r="Q200">
        <v>0.347505463364079</v>
      </c>
      <c r="R200">
        <v>0.88721435137564297</v>
      </c>
      <c r="S200" t="s">
        <v>6846</v>
      </c>
      <c r="T200" t="s">
        <v>13290</v>
      </c>
      <c r="U200" t="s">
        <v>13290</v>
      </c>
      <c r="V200" t="s">
        <v>13290</v>
      </c>
      <c r="W200" t="s">
        <v>13489</v>
      </c>
      <c r="X200">
        <v>1</v>
      </c>
      <c r="Y200" t="s">
        <v>20074</v>
      </c>
      <c r="Z200" t="s">
        <v>26530</v>
      </c>
      <c r="AA200">
        <v>0.60067361142369891</v>
      </c>
      <c r="AB200" t="str">
        <f>HYPERLINK("Melting_Curves/meltCurve_B4DUB9_SLC35F2.pdf", "Melting_Curves/meltCurve_B4DUB9_SLC35F2.pdf")</f>
        <v>Melting_Curves/meltCurve_B4DUB9_SLC35F2.pdf</v>
      </c>
    </row>
    <row r="201" spans="1:28" x14ac:dyDescent="0.25">
      <c r="A201" t="s">
        <v>205</v>
      </c>
      <c r="B201">
        <v>0.99252571173614901</v>
      </c>
      <c r="C201">
        <v>1.01429467173821</v>
      </c>
      <c r="D201">
        <v>0.889641180491762</v>
      </c>
      <c r="E201">
        <v>0.62987483323801896</v>
      </c>
      <c r="F201">
        <v>0.48410652327868903</v>
      </c>
      <c r="G201">
        <v>0.14836219344051399</v>
      </c>
      <c r="H201">
        <v>8.1258221511421494E-2</v>
      </c>
      <c r="I201">
        <v>5.1768339892228302E-2</v>
      </c>
      <c r="J201">
        <v>3.41419399022201E-2</v>
      </c>
      <c r="K201">
        <v>2.9126399664592701E-2</v>
      </c>
      <c r="L201">
        <v>845.68701469672703</v>
      </c>
      <c r="M201">
        <v>16.288961323169701</v>
      </c>
      <c r="N201">
        <v>51.946376117666098</v>
      </c>
      <c r="O201">
        <v>51.1542235529948</v>
      </c>
      <c r="P201">
        <v>-7.9257572012243899E-2</v>
      </c>
      <c r="Q201">
        <v>4.46368740867572E-3</v>
      </c>
      <c r="R201">
        <v>0.99105964898679799</v>
      </c>
      <c r="S201" t="s">
        <v>6847</v>
      </c>
      <c r="T201" t="s">
        <v>13290</v>
      </c>
      <c r="U201" t="s">
        <v>13290</v>
      </c>
      <c r="V201" t="s">
        <v>13290</v>
      </c>
      <c r="W201" t="s">
        <v>13490</v>
      </c>
      <c r="X201">
        <v>2</v>
      </c>
      <c r="Y201" t="s">
        <v>20075</v>
      </c>
      <c r="Z201" t="s">
        <v>26531</v>
      </c>
      <c r="AA201">
        <v>0.41954371813018398</v>
      </c>
      <c r="AB201" t="str">
        <f>HYPERLINK("Melting_Curves/meltCurve_B4DUE3_MYLK.pdf", "Melting_Curves/meltCurve_B4DUE3_MYLK.pdf")</f>
        <v>Melting_Curves/meltCurve_B4DUE3_MYLK.pdf</v>
      </c>
    </row>
    <row r="202" spans="1:28" x14ac:dyDescent="0.25">
      <c r="A202" t="s">
        <v>206</v>
      </c>
      <c r="B202">
        <v>0.99252571173614901</v>
      </c>
      <c r="C202">
        <v>0.86498801823985005</v>
      </c>
      <c r="D202">
        <v>0.74897364836111402</v>
      </c>
      <c r="E202">
        <v>0.67007210479559598</v>
      </c>
      <c r="F202">
        <v>0.56134357282948999</v>
      </c>
      <c r="G202">
        <v>0.44487988521184602</v>
      </c>
      <c r="H202">
        <v>0.38896564698476599</v>
      </c>
      <c r="I202">
        <v>0.52063395854196104</v>
      </c>
      <c r="J202">
        <v>0.70676822372293602</v>
      </c>
      <c r="K202">
        <v>0.52591551681086601</v>
      </c>
      <c r="L202">
        <v>815.98414694173596</v>
      </c>
      <c r="M202">
        <v>17.779759480298701</v>
      </c>
      <c r="O202">
        <v>45.325232870930499</v>
      </c>
      <c r="P202">
        <v>-4.7101865472745599E-2</v>
      </c>
      <c r="Q202">
        <v>0.51972523566283202</v>
      </c>
      <c r="R202">
        <v>0.800627261438288</v>
      </c>
      <c r="S202" t="s">
        <v>6848</v>
      </c>
      <c r="T202" t="s">
        <v>13290</v>
      </c>
      <c r="U202" t="s">
        <v>13290</v>
      </c>
      <c r="V202" t="s">
        <v>13290</v>
      </c>
      <c r="W202" t="s">
        <v>13491</v>
      </c>
      <c r="X202">
        <v>1</v>
      </c>
      <c r="Y202" t="s">
        <v>20076</v>
      </c>
      <c r="Z202" t="s">
        <v>26532</v>
      </c>
      <c r="AA202">
        <v>0.62385685894712783</v>
      </c>
      <c r="AB202" t="str">
        <f>HYPERLINK("Melting_Curves/meltCurve_B4DUE9_SERINC3.pdf", "Melting_Curves/meltCurve_B4DUE9_SERINC3.pdf")</f>
        <v>Melting_Curves/meltCurve_B4DUE9_SERINC3.pdf</v>
      </c>
    </row>
    <row r="203" spans="1:28" x14ac:dyDescent="0.25">
      <c r="A203" t="s">
        <v>207</v>
      </c>
      <c r="B203">
        <v>0.99252571173614901</v>
      </c>
      <c r="C203">
        <v>1.03843856978954</v>
      </c>
      <c r="D203">
        <v>0.90150862641322904</v>
      </c>
      <c r="E203">
        <v>0.61297996924967402</v>
      </c>
      <c r="F203">
        <v>0.18725921640375801</v>
      </c>
      <c r="G203">
        <v>0.12736596541099099</v>
      </c>
      <c r="H203">
        <v>9.21366342135959E-2</v>
      </c>
      <c r="I203">
        <v>9.9893065693878694E-2</v>
      </c>
      <c r="J203">
        <v>0.112158264658978</v>
      </c>
      <c r="K203">
        <v>0.10407267399826001</v>
      </c>
      <c r="L203">
        <v>1581.1120539885301</v>
      </c>
      <c r="M203">
        <v>31.6787363258026</v>
      </c>
      <c r="N203">
        <v>50.263002445852102</v>
      </c>
      <c r="O203">
        <v>49.713183834575901</v>
      </c>
      <c r="P203">
        <v>-0.14345296512941899</v>
      </c>
      <c r="Q203">
        <v>9.9526064017832899E-2</v>
      </c>
      <c r="R203">
        <v>0.99676625360274096</v>
      </c>
      <c r="S203" t="s">
        <v>6849</v>
      </c>
      <c r="T203" t="s">
        <v>13290</v>
      </c>
      <c r="U203" t="s">
        <v>13290</v>
      </c>
      <c r="V203" t="s">
        <v>13290</v>
      </c>
      <c r="W203" t="s">
        <v>13485</v>
      </c>
      <c r="X203">
        <v>37</v>
      </c>
      <c r="Y203" t="s">
        <v>20077</v>
      </c>
      <c r="Z203" t="s">
        <v>26533</v>
      </c>
      <c r="AA203">
        <v>0.4019883503901337</v>
      </c>
      <c r="AB203" t="str">
        <f>HYPERLINK("Melting_Curves/meltCurve_B4DVE7_ANXA11.pdf", "Melting_Curves/meltCurve_B4DVE7_ANXA11.pdf")</f>
        <v>Melting_Curves/meltCurve_B4DVE7_ANXA11.pdf</v>
      </c>
    </row>
    <row r="204" spans="1:28" x14ac:dyDescent="0.25">
      <c r="A204" t="s">
        <v>208</v>
      </c>
      <c r="B204">
        <v>0.99252571173614901</v>
      </c>
      <c r="C204">
        <v>0.86450149019025502</v>
      </c>
      <c r="D204">
        <v>0.98363028480094805</v>
      </c>
      <c r="E204">
        <v>0.29618083989843702</v>
      </c>
      <c r="F204">
        <v>0.17213760472140299</v>
      </c>
      <c r="G204">
        <v>9.0632783134691794E-2</v>
      </c>
      <c r="H204">
        <v>6.94745922051207E-2</v>
      </c>
      <c r="I204">
        <v>8.5750190148219205E-2</v>
      </c>
      <c r="J204">
        <v>0.12678773426489301</v>
      </c>
      <c r="K204">
        <v>0.15694531469532499</v>
      </c>
      <c r="L204">
        <v>3103.0176258953402</v>
      </c>
      <c r="M204">
        <v>63.9072311247307</v>
      </c>
      <c r="N204">
        <v>48.756557298700997</v>
      </c>
      <c r="O204">
        <v>48.507572076107103</v>
      </c>
      <c r="P204">
        <v>-0.29113714815049802</v>
      </c>
      <c r="Q204">
        <v>0.11607207725636599</v>
      </c>
      <c r="R204">
        <v>0.98096243913785497</v>
      </c>
      <c r="S204" t="s">
        <v>6850</v>
      </c>
      <c r="T204" t="s">
        <v>13290</v>
      </c>
      <c r="U204" t="s">
        <v>13290</v>
      </c>
      <c r="V204" t="s">
        <v>13290</v>
      </c>
      <c r="W204" t="s">
        <v>13492</v>
      </c>
      <c r="X204">
        <v>16</v>
      </c>
      <c r="Y204" t="s">
        <v>20078</v>
      </c>
      <c r="Z204" t="s">
        <v>26534</v>
      </c>
      <c r="AA204">
        <v>0.36929614680383788</v>
      </c>
      <c r="AB204" t="str">
        <f>HYPERLINK("Melting_Curves/meltCurve_B4DVY1_EIF3D.pdf", "Melting_Curves/meltCurve_B4DVY1_EIF3D.pdf")</f>
        <v>Melting_Curves/meltCurve_B4DVY1_EIF3D.pdf</v>
      </c>
    </row>
    <row r="205" spans="1:28" x14ac:dyDescent="0.25">
      <c r="A205" t="s">
        <v>209</v>
      </c>
      <c r="B205">
        <v>0.99252571173614901</v>
      </c>
      <c r="C205">
        <v>1.01388307801674</v>
      </c>
      <c r="D205">
        <v>0.90870256889523104</v>
      </c>
      <c r="E205">
        <v>0.67266893954150198</v>
      </c>
      <c r="F205">
        <v>0.31695698086570601</v>
      </c>
      <c r="G205">
        <v>0.18524678676838199</v>
      </c>
      <c r="H205">
        <v>0.130787536484128</v>
      </c>
      <c r="I205">
        <v>0.14279047713847901</v>
      </c>
      <c r="J205">
        <v>0.16475956210759701</v>
      </c>
      <c r="K205">
        <v>0.15333282818482899</v>
      </c>
      <c r="L205">
        <v>1298.52533420396</v>
      </c>
      <c r="M205">
        <v>25.7511150638617</v>
      </c>
      <c r="N205">
        <v>51.095188938342503</v>
      </c>
      <c r="O205">
        <v>50.124836188687297</v>
      </c>
      <c r="P205">
        <v>-0.110051915749229</v>
      </c>
      <c r="Q205">
        <v>0.14314110304718999</v>
      </c>
      <c r="R205">
        <v>0.99820862406737698</v>
      </c>
      <c r="S205" t="s">
        <v>6851</v>
      </c>
      <c r="T205" t="s">
        <v>13290</v>
      </c>
      <c r="U205" t="s">
        <v>13290</v>
      </c>
      <c r="V205" t="s">
        <v>13290</v>
      </c>
      <c r="W205" t="s">
        <v>13493</v>
      </c>
      <c r="X205">
        <v>2</v>
      </c>
      <c r="Y205" t="s">
        <v>20079</v>
      </c>
      <c r="Z205" t="s">
        <v>26535</v>
      </c>
      <c r="AA205">
        <v>0.44817921905851749</v>
      </c>
      <c r="AB205" t="str">
        <f>HYPERLINK("Melting_Curves/meltCurve_B4DW83_NDUFAF6.pdf", "Melting_Curves/meltCurve_B4DW83_NDUFAF6.pdf")</f>
        <v>Melting_Curves/meltCurve_B4DW83_NDUFAF6.pdf</v>
      </c>
    </row>
    <row r="206" spans="1:28" x14ac:dyDescent="0.25">
      <c r="A206" t="s">
        <v>210</v>
      </c>
      <c r="B206">
        <v>0.99252571173614901</v>
      </c>
      <c r="C206">
        <v>0.85389101150995195</v>
      </c>
      <c r="D206">
        <v>1.1684571912949799</v>
      </c>
      <c r="E206">
        <v>1.2661381846404201</v>
      </c>
      <c r="F206">
        <v>0.54966348097248297</v>
      </c>
      <c r="G206">
        <v>0.28983386412750101</v>
      </c>
      <c r="H206">
        <v>0.13992027416736699</v>
      </c>
      <c r="I206">
        <v>0.113574208651031</v>
      </c>
      <c r="J206">
        <v>0.113564451116862</v>
      </c>
      <c r="K206">
        <v>0.104900443493315</v>
      </c>
      <c r="L206">
        <v>6036.5310144917703</v>
      </c>
      <c r="M206">
        <v>113.590195478881</v>
      </c>
      <c r="N206">
        <v>53.313386822925402</v>
      </c>
      <c r="O206">
        <v>53.126597447207601</v>
      </c>
      <c r="P206">
        <v>-0.45318696889825699</v>
      </c>
      <c r="Q206">
        <v>0.152170457145586</v>
      </c>
      <c r="R206">
        <v>0.927458436724243</v>
      </c>
      <c r="S206" t="s">
        <v>6852</v>
      </c>
      <c r="T206" t="s">
        <v>13290</v>
      </c>
      <c r="U206" t="s">
        <v>13290</v>
      </c>
      <c r="V206" t="s">
        <v>13290</v>
      </c>
      <c r="W206" t="s">
        <v>13494</v>
      </c>
      <c r="X206">
        <v>17</v>
      </c>
      <c r="Y206" t="s">
        <v>20080</v>
      </c>
      <c r="Z206" t="s">
        <v>26536</v>
      </c>
      <c r="AA206">
        <v>0.52398973622083667</v>
      </c>
      <c r="AB206" t="str">
        <f>HYPERLINK("Melting_Curves/meltCurve_B4DWI1_HACL1.pdf", "Melting_Curves/meltCurve_B4DWI1_HACL1.pdf")</f>
        <v>Melting_Curves/meltCurve_B4DWI1_HACL1.pdf</v>
      </c>
    </row>
    <row r="207" spans="1:28" x14ac:dyDescent="0.25">
      <c r="A207" t="s">
        <v>211</v>
      </c>
      <c r="B207">
        <v>0.99252571173614901</v>
      </c>
      <c r="C207">
        <v>1.0051369415075699</v>
      </c>
      <c r="D207">
        <v>0.66224372084073502</v>
      </c>
      <c r="E207">
        <v>0.40831920893231399</v>
      </c>
      <c r="F207">
        <v>0.25791244678661102</v>
      </c>
      <c r="G207">
        <v>0.113367503133624</v>
      </c>
      <c r="H207">
        <v>2.85327879792249E-2</v>
      </c>
      <c r="I207">
        <v>7.9488170435759106E-2</v>
      </c>
      <c r="J207">
        <v>0</v>
      </c>
      <c r="K207">
        <v>3.0620939798277201E-2</v>
      </c>
      <c r="L207">
        <v>823.85673616694703</v>
      </c>
      <c r="M207">
        <v>16.978223467782399</v>
      </c>
      <c r="N207">
        <v>48.689865085546501</v>
      </c>
      <c r="O207">
        <v>47.866147598310697</v>
      </c>
      <c r="P207">
        <v>-8.6193908604119698E-2</v>
      </c>
      <c r="Q207">
        <v>2.8045752508394198E-2</v>
      </c>
      <c r="R207">
        <v>0.98519017600452097</v>
      </c>
      <c r="S207" t="s">
        <v>6853</v>
      </c>
      <c r="T207" t="s">
        <v>13290</v>
      </c>
      <c r="U207" t="s">
        <v>13290</v>
      </c>
      <c r="V207" t="s">
        <v>13290</v>
      </c>
      <c r="W207" t="s">
        <v>13495</v>
      </c>
      <c r="X207">
        <v>1</v>
      </c>
      <c r="Y207" t="s">
        <v>20081</v>
      </c>
      <c r="Z207" t="s">
        <v>26537</v>
      </c>
      <c r="AA207">
        <v>0.32336216833452031</v>
      </c>
      <c r="AB207" t="str">
        <f>HYPERLINK("Melting_Curves/meltCurve_B4DXN4_CNKSR1.pdf", "Melting_Curves/meltCurve_B4DXN4_CNKSR1.pdf")</f>
        <v>Melting_Curves/meltCurve_B4DXN4_CNKSR1.pdf</v>
      </c>
    </row>
    <row r="208" spans="1:28" x14ac:dyDescent="0.25">
      <c r="A208" t="s">
        <v>212</v>
      </c>
      <c r="B208">
        <v>0.99252571173614901</v>
      </c>
      <c r="C208">
        <v>0.94245384557107004</v>
      </c>
      <c r="D208">
        <v>0.54739240204464201</v>
      </c>
      <c r="E208">
        <v>0.24634183023408601</v>
      </c>
      <c r="F208">
        <v>0.17180862180291201</v>
      </c>
      <c r="G208">
        <v>0.11934117221146499</v>
      </c>
      <c r="H208">
        <v>9.8717140057625496E-2</v>
      </c>
      <c r="I208">
        <v>0.11010073905725901</v>
      </c>
      <c r="J208">
        <v>0.101637248907501</v>
      </c>
      <c r="K208">
        <v>9.5163862260360499E-2</v>
      </c>
      <c r="L208">
        <v>1279.69201332578</v>
      </c>
      <c r="M208">
        <v>27.7311650332339</v>
      </c>
      <c r="N208">
        <v>46.5756301141721</v>
      </c>
      <c r="O208">
        <v>45.908381930157802</v>
      </c>
      <c r="P208">
        <v>-0.13398471984632301</v>
      </c>
      <c r="Q208">
        <v>0.11277195391341401</v>
      </c>
      <c r="R208">
        <v>0.99572099424698601</v>
      </c>
      <c r="S208" t="s">
        <v>6854</v>
      </c>
      <c r="T208" t="s">
        <v>13290</v>
      </c>
      <c r="U208" t="s">
        <v>13290</v>
      </c>
      <c r="V208" t="s">
        <v>13290</v>
      </c>
      <c r="W208" t="s">
        <v>13496</v>
      </c>
      <c r="X208">
        <v>18</v>
      </c>
      <c r="Y208" t="s">
        <v>20082</v>
      </c>
      <c r="Z208" t="s">
        <v>26538</v>
      </c>
      <c r="AA208">
        <v>0.30097172714875498</v>
      </c>
      <c r="AB208" t="str">
        <f>HYPERLINK("Melting_Curves/meltCurve_B4DXZ6_FXR1.pdf", "Melting_Curves/meltCurve_B4DXZ6_FXR1.pdf")</f>
        <v>Melting_Curves/meltCurve_B4DXZ6_FXR1.pdf</v>
      </c>
    </row>
    <row r="209" spans="1:28" x14ac:dyDescent="0.25">
      <c r="A209" t="s">
        <v>213</v>
      </c>
      <c r="B209">
        <v>0.99252571173614901</v>
      </c>
      <c r="C209">
        <v>0.92573765801036101</v>
      </c>
      <c r="D209">
        <v>0.81952468581430304</v>
      </c>
      <c r="E209">
        <v>0.71176967690184401</v>
      </c>
      <c r="F209">
        <v>0.72876827339045902</v>
      </c>
      <c r="G209">
        <v>0.31077273852362802</v>
      </c>
      <c r="H209">
        <v>0.159748426884709</v>
      </c>
      <c r="I209">
        <v>0.13837996569560601</v>
      </c>
      <c r="J209">
        <v>0.176119487496088</v>
      </c>
      <c r="K209">
        <v>0.221110054327918</v>
      </c>
      <c r="L209">
        <v>692.30881754886502</v>
      </c>
      <c r="M209">
        <v>12.989572276827399</v>
      </c>
      <c r="N209">
        <v>54.199762935437597</v>
      </c>
      <c r="O209">
        <v>52.081531014783401</v>
      </c>
      <c r="P209">
        <v>-5.6298365389398398E-2</v>
      </c>
      <c r="Q209">
        <v>9.7249558282069506E-2</v>
      </c>
      <c r="R209">
        <v>0.94266117922092996</v>
      </c>
      <c r="S209" t="s">
        <v>6855</v>
      </c>
      <c r="T209" t="s">
        <v>13290</v>
      </c>
      <c r="U209" t="s">
        <v>13290</v>
      </c>
      <c r="V209" t="s">
        <v>13290</v>
      </c>
      <c r="W209" t="s">
        <v>13497</v>
      </c>
      <c r="X209">
        <v>8</v>
      </c>
      <c r="Y209" t="s">
        <v>20083</v>
      </c>
      <c r="Z209" t="s">
        <v>26539</v>
      </c>
      <c r="AA209">
        <v>0.52036343567296739</v>
      </c>
      <c r="AB209" t="str">
        <f>HYPERLINK("Melting_Curves/meltCurve_B4DYB4_NUP35.pdf", "Melting_Curves/meltCurve_B4DYB4_NUP35.pdf")</f>
        <v>Melting_Curves/meltCurve_B4DYB4_NUP35.pdf</v>
      </c>
    </row>
    <row r="210" spans="1:28" x14ac:dyDescent="0.25">
      <c r="A210" t="s">
        <v>214</v>
      </c>
      <c r="B210">
        <v>0.99252571173614901</v>
      </c>
      <c r="C210">
        <v>0.96961272035395896</v>
      </c>
      <c r="D210">
        <v>0.89130922942986202</v>
      </c>
      <c r="E210">
        <v>0.82508346901464702</v>
      </c>
      <c r="F210">
        <v>0.43119114642854101</v>
      </c>
      <c r="G210">
        <v>0.23955753334202901</v>
      </c>
      <c r="H210">
        <v>0.18047824451757999</v>
      </c>
      <c r="I210">
        <v>0.29256835423828098</v>
      </c>
      <c r="J210">
        <v>0.42086887899380299</v>
      </c>
      <c r="K210">
        <v>0.41709025142580503</v>
      </c>
      <c r="L210">
        <v>1961.0134571157901</v>
      </c>
      <c r="M210">
        <v>38.523372662236198</v>
      </c>
      <c r="N210">
        <v>52.213930513534201</v>
      </c>
      <c r="O210">
        <v>50.767930893467501</v>
      </c>
      <c r="P210">
        <v>-0.13094969260448899</v>
      </c>
      <c r="Q210">
        <v>0.30971489949008102</v>
      </c>
      <c r="R210">
        <v>0.93543475632370099</v>
      </c>
      <c r="S210" t="s">
        <v>6856</v>
      </c>
      <c r="T210" t="s">
        <v>13290</v>
      </c>
      <c r="U210" t="s">
        <v>13290</v>
      </c>
      <c r="V210" t="s">
        <v>13290</v>
      </c>
      <c r="W210" t="s">
        <v>13498</v>
      </c>
      <c r="X210">
        <v>7</v>
      </c>
      <c r="Y210" t="s">
        <v>20084</v>
      </c>
      <c r="Z210" t="s">
        <v>26540</v>
      </c>
      <c r="AA210">
        <v>0.56324232343847536</v>
      </c>
      <c r="AB210" t="str">
        <f>HYPERLINK("Melting_Curves/meltCurve_B4DYR1_JAG1.pdf", "Melting_Curves/meltCurve_B4DYR1_JAG1.pdf")</f>
        <v>Melting_Curves/meltCurve_B4DYR1_JAG1.pdf</v>
      </c>
    </row>
    <row r="211" spans="1:28" x14ac:dyDescent="0.25">
      <c r="A211" t="s">
        <v>215</v>
      </c>
      <c r="B211">
        <v>0.99252571173614901</v>
      </c>
      <c r="C211">
        <v>0.88545604334070305</v>
      </c>
      <c r="D211">
        <v>0.73495758424888502</v>
      </c>
      <c r="E211">
        <v>0.57380202323296003</v>
      </c>
      <c r="F211">
        <v>0.53463603243375901</v>
      </c>
      <c r="G211">
        <v>0.45012384805378802</v>
      </c>
      <c r="H211">
        <v>0.33762743539585399</v>
      </c>
      <c r="I211">
        <v>0.32753321361047999</v>
      </c>
      <c r="J211">
        <v>0.28908761754142498</v>
      </c>
      <c r="K211">
        <v>0.13145693769289599</v>
      </c>
      <c r="L211">
        <v>394.71393924587699</v>
      </c>
      <c r="M211">
        <v>7.5308768896765503</v>
      </c>
      <c r="N211">
        <v>53.9923999946989</v>
      </c>
      <c r="O211">
        <v>49.099216530096101</v>
      </c>
      <c r="P211">
        <v>-3.4602802426375902E-2</v>
      </c>
      <c r="Q211">
        <v>9.8873596454732607E-2</v>
      </c>
      <c r="R211">
        <v>0.96472420337903197</v>
      </c>
      <c r="S211" t="s">
        <v>6857</v>
      </c>
      <c r="T211" t="s">
        <v>13290</v>
      </c>
      <c r="U211" t="s">
        <v>13290</v>
      </c>
      <c r="V211" t="s">
        <v>13290</v>
      </c>
      <c r="W211" t="s">
        <v>13499</v>
      </c>
      <c r="X211">
        <v>4</v>
      </c>
      <c r="Y211" t="s">
        <v>20085</v>
      </c>
      <c r="Z211" t="s">
        <v>26541</v>
      </c>
      <c r="AA211">
        <v>0.51369632805209564</v>
      </c>
      <c r="AB211" t="str">
        <f>HYPERLINK("Melting_Curves/meltCurve_B4DYR7_SYPL2.pdf", "Melting_Curves/meltCurve_B4DYR7_SYPL2.pdf")</f>
        <v>Melting_Curves/meltCurve_B4DYR7_SYPL2.pdf</v>
      </c>
    </row>
    <row r="212" spans="1:28" x14ac:dyDescent="0.25">
      <c r="A212" t="s">
        <v>216</v>
      </c>
      <c r="B212">
        <v>0.99252571173614901</v>
      </c>
      <c r="C212">
        <v>0.97579879008915604</v>
      </c>
      <c r="D212">
        <v>0.85343169744606995</v>
      </c>
      <c r="E212">
        <v>0.67988683894986901</v>
      </c>
      <c r="F212">
        <v>0.36017546066246597</v>
      </c>
      <c r="G212">
        <v>0.18705702152526499</v>
      </c>
      <c r="H212">
        <v>0.13850772097779199</v>
      </c>
      <c r="I212">
        <v>0.133000764311339</v>
      </c>
      <c r="J212">
        <v>0.203680300705575</v>
      </c>
      <c r="K212">
        <v>0.237940638193886</v>
      </c>
      <c r="L212">
        <v>1119.1818872056001</v>
      </c>
      <c r="M212">
        <v>22.256230588036999</v>
      </c>
      <c r="N212">
        <v>51.2091137258695</v>
      </c>
      <c r="O212">
        <v>49.885534961707499</v>
      </c>
      <c r="P212">
        <v>-9.3111721738119602E-2</v>
      </c>
      <c r="Q212">
        <v>0.165208317062915</v>
      </c>
      <c r="R212">
        <v>0.98678136564240504</v>
      </c>
      <c r="S212" t="s">
        <v>6858</v>
      </c>
      <c r="T212" t="s">
        <v>13290</v>
      </c>
      <c r="U212" t="s">
        <v>13290</v>
      </c>
      <c r="V212" t="s">
        <v>13290</v>
      </c>
      <c r="W212" t="s">
        <v>13500</v>
      </c>
      <c r="X212">
        <v>6</v>
      </c>
      <c r="Y212" t="s">
        <v>20086</v>
      </c>
      <c r="Z212" t="s">
        <v>26542</v>
      </c>
      <c r="AA212">
        <v>0.46086260826699738</v>
      </c>
      <c r="AB212" t="str">
        <f>HYPERLINK("Melting_Curves/meltCurve_B4DZH6_HDAC6.pdf", "Melting_Curves/meltCurve_B4DZH6_HDAC6.pdf")</f>
        <v>Melting_Curves/meltCurve_B4DZH6_HDAC6.pdf</v>
      </c>
    </row>
    <row r="213" spans="1:28" x14ac:dyDescent="0.25">
      <c r="A213" t="s">
        <v>217</v>
      </c>
      <c r="B213">
        <v>0.99252571173614901</v>
      </c>
      <c r="C213">
        <v>1.01445488666123</v>
      </c>
      <c r="D213">
        <v>0.96540815455572004</v>
      </c>
      <c r="E213">
        <v>1.0486578914332001</v>
      </c>
      <c r="F213">
        <v>0.79347724597354596</v>
      </c>
      <c r="G213">
        <v>0.55733453186395399</v>
      </c>
      <c r="H213">
        <v>0.54287386341233101</v>
      </c>
      <c r="I213">
        <v>0.77097054760555195</v>
      </c>
      <c r="J213">
        <v>1.2433250436297001</v>
      </c>
      <c r="K213">
        <v>1.1109933390870499</v>
      </c>
      <c r="L213">
        <v>4889.2356432095903</v>
      </c>
      <c r="M213">
        <v>95.164556268357202</v>
      </c>
      <c r="O213">
        <v>51.353975698433899</v>
      </c>
      <c r="P213">
        <v>-7.5939477023610702E-2</v>
      </c>
      <c r="Q213">
        <v>0.83608210844502795</v>
      </c>
      <c r="R213">
        <v>0.13895060518050301</v>
      </c>
      <c r="S213" t="s">
        <v>6859</v>
      </c>
      <c r="T213" t="s">
        <v>13290</v>
      </c>
      <c r="U213" t="s">
        <v>13290</v>
      </c>
      <c r="V213" t="s">
        <v>13290</v>
      </c>
      <c r="W213" t="s">
        <v>13501</v>
      </c>
      <c r="X213">
        <v>2</v>
      </c>
      <c r="Y213" t="s">
        <v>20087</v>
      </c>
      <c r="Z213" t="s">
        <v>26543</v>
      </c>
      <c r="AA213">
        <v>0.89834543060289673</v>
      </c>
      <c r="AB213" t="str">
        <f>HYPERLINK("Melting_Curves/meltCurve_B4E0E3_TMEM134.pdf", "Melting_Curves/meltCurve_B4E0E3_TMEM134.pdf")</f>
        <v>Melting_Curves/meltCurve_B4E0E3_TMEM134.pdf</v>
      </c>
    </row>
    <row r="214" spans="1:28" x14ac:dyDescent="0.25">
      <c r="A214" t="s">
        <v>218</v>
      </c>
      <c r="B214">
        <v>0.99252571173614901</v>
      </c>
      <c r="C214">
        <v>0.75725162866412299</v>
      </c>
      <c r="D214">
        <v>0.35598726524706698</v>
      </c>
      <c r="E214">
        <v>0.226381953065972</v>
      </c>
      <c r="F214">
        <v>0.15337282320048301</v>
      </c>
      <c r="G214">
        <v>7.8510081687033606E-2</v>
      </c>
      <c r="H214">
        <v>3.5622065317726E-2</v>
      </c>
      <c r="I214">
        <v>2.16608289157573E-2</v>
      </c>
      <c r="J214">
        <v>4.1950966330474702E-2</v>
      </c>
      <c r="K214">
        <v>0</v>
      </c>
      <c r="L214">
        <v>915.28646476230006</v>
      </c>
      <c r="M214">
        <v>20.332206274010701</v>
      </c>
      <c r="N214">
        <v>45.234564208787504</v>
      </c>
      <c r="O214">
        <v>44.5879087719794</v>
      </c>
      <c r="P214">
        <v>-0.108683919134232</v>
      </c>
      <c r="Q214">
        <v>4.66670768777461E-2</v>
      </c>
      <c r="R214">
        <v>0.98196414477141303</v>
      </c>
      <c r="S214" t="s">
        <v>6860</v>
      </c>
      <c r="T214" t="s">
        <v>13290</v>
      </c>
      <c r="U214" t="s">
        <v>13290</v>
      </c>
      <c r="V214" t="s">
        <v>13290</v>
      </c>
      <c r="W214" t="s">
        <v>13502</v>
      </c>
      <c r="X214">
        <v>2</v>
      </c>
      <c r="Y214" t="s">
        <v>20088</v>
      </c>
      <c r="Z214" t="s">
        <v>26544</v>
      </c>
      <c r="AA214">
        <v>0.22158359927796531</v>
      </c>
      <c r="AB214" t="str">
        <f>HYPERLINK("Melting_Curves/meltCurve_B4E0T2_PEX5.pdf", "Melting_Curves/meltCurve_B4E0T2_PEX5.pdf")</f>
        <v>Melting_Curves/meltCurve_B4E0T2_PEX5.pdf</v>
      </c>
    </row>
    <row r="215" spans="1:28" x14ac:dyDescent="0.25">
      <c r="A215" t="s">
        <v>219</v>
      </c>
      <c r="B215">
        <v>0.99252571173614901</v>
      </c>
      <c r="C215">
        <v>0.92300899576927098</v>
      </c>
      <c r="D215">
        <v>0.78723285296732504</v>
      </c>
      <c r="E215">
        <v>0.75392715560083901</v>
      </c>
      <c r="F215">
        <v>0.51431797703184001</v>
      </c>
      <c r="G215">
        <v>0.36471500670603701</v>
      </c>
      <c r="H215">
        <v>0.319421198633496</v>
      </c>
      <c r="I215">
        <v>0.46232173370052199</v>
      </c>
      <c r="J215">
        <v>0.69135211606276603</v>
      </c>
      <c r="K215">
        <v>0.56044939349598399</v>
      </c>
      <c r="L215">
        <v>937.24454698075397</v>
      </c>
      <c r="M215">
        <v>19.608339511424099</v>
      </c>
      <c r="N215">
        <v>57.073439235615297</v>
      </c>
      <c r="O215">
        <v>47.309461770640297</v>
      </c>
      <c r="P215">
        <v>-5.39509207754321E-2</v>
      </c>
      <c r="Q215">
        <v>0.47934430276110201</v>
      </c>
      <c r="R215">
        <v>0.76302410793082498</v>
      </c>
      <c r="S215" t="s">
        <v>6861</v>
      </c>
      <c r="T215" t="s">
        <v>13290</v>
      </c>
      <c r="U215" t="s">
        <v>13290</v>
      </c>
      <c r="V215" t="s">
        <v>13290</v>
      </c>
      <c r="W215" t="s">
        <v>13503</v>
      </c>
      <c r="X215">
        <v>11</v>
      </c>
      <c r="Y215" t="s">
        <v>20089</v>
      </c>
      <c r="Z215" t="s">
        <v>26545</v>
      </c>
      <c r="AA215">
        <v>0.62243794481186221</v>
      </c>
      <c r="AB215" t="str">
        <f>HYPERLINK("Melting_Curves/meltCurve_B4E1J0_PBXIP1.pdf", "Melting_Curves/meltCurve_B4E1J0_PBXIP1.pdf")</f>
        <v>Melting_Curves/meltCurve_B4E1J0_PBXIP1.pdf</v>
      </c>
    </row>
    <row r="216" spans="1:28" x14ac:dyDescent="0.25">
      <c r="A216" t="s">
        <v>220</v>
      </c>
      <c r="B216">
        <v>0.99252571173614901</v>
      </c>
      <c r="C216">
        <v>0.47015595875291299</v>
      </c>
      <c r="D216">
        <v>0.24487559997116801</v>
      </c>
      <c r="E216">
        <v>0.15529728344000901</v>
      </c>
      <c r="F216">
        <v>7.7477939724058101E-2</v>
      </c>
      <c r="G216">
        <v>5.3161228771465598E-2</v>
      </c>
      <c r="H216">
        <v>4.4760798632372298E-2</v>
      </c>
      <c r="I216">
        <v>5.02674624486786E-2</v>
      </c>
      <c r="J216">
        <v>5.4769130949338003E-2</v>
      </c>
      <c r="K216">
        <v>5.6678099873718198E-2</v>
      </c>
      <c r="L216">
        <v>1282.12530488368</v>
      </c>
      <c r="M216">
        <v>29.895067355331602</v>
      </c>
      <c r="N216">
        <v>43.112473412649798</v>
      </c>
      <c r="O216">
        <v>42.6970062312514</v>
      </c>
      <c r="P216">
        <v>-0.162402443991223</v>
      </c>
      <c r="Q216">
        <v>7.2214911415558303E-2</v>
      </c>
      <c r="R216">
        <v>0.97243580001663099</v>
      </c>
      <c r="S216" t="s">
        <v>6862</v>
      </c>
      <c r="T216" t="s">
        <v>13290</v>
      </c>
      <c r="U216" t="s">
        <v>13290</v>
      </c>
      <c r="V216" t="s">
        <v>13290</v>
      </c>
      <c r="W216" t="s">
        <v>13504</v>
      </c>
      <c r="X216">
        <v>4</v>
      </c>
      <c r="Y216" t="s">
        <v>20090</v>
      </c>
      <c r="Z216" t="s">
        <v>26546</v>
      </c>
      <c r="AA216">
        <v>0.1704466852396718</v>
      </c>
      <c r="AB216" t="str">
        <f>HYPERLINK("Melting_Curves/meltCurve_B4E1N1_ARMC6.pdf", "Melting_Curves/meltCurve_B4E1N1_ARMC6.pdf")</f>
        <v>Melting_Curves/meltCurve_B4E1N1_ARMC6.pdf</v>
      </c>
    </row>
    <row r="217" spans="1:28" x14ac:dyDescent="0.25">
      <c r="A217" t="s">
        <v>221</v>
      </c>
      <c r="B217">
        <v>0.99252571173614901</v>
      </c>
      <c r="C217">
        <v>0.964875463591233</v>
      </c>
      <c r="D217">
        <v>0.91441129034638302</v>
      </c>
      <c r="E217">
        <v>0.85061407126202104</v>
      </c>
      <c r="F217">
        <v>0.63215319101255596</v>
      </c>
      <c r="G217">
        <v>0.35084413028059203</v>
      </c>
      <c r="H217">
        <v>0.17245391871752899</v>
      </c>
      <c r="I217">
        <v>0.17765305053230501</v>
      </c>
      <c r="J217">
        <v>0.23351299811003301</v>
      </c>
      <c r="K217">
        <v>0.27225024957096</v>
      </c>
      <c r="L217">
        <v>1207.4636343637401</v>
      </c>
      <c r="M217">
        <v>22.708457356068401</v>
      </c>
      <c r="N217">
        <v>54.396763059896998</v>
      </c>
      <c r="O217">
        <v>52.765224515724</v>
      </c>
      <c r="P217">
        <v>-8.60659650500879E-2</v>
      </c>
      <c r="Q217">
        <v>0.200086476570533</v>
      </c>
      <c r="R217">
        <v>0.98298956932950499</v>
      </c>
      <c r="S217" t="s">
        <v>6863</v>
      </c>
      <c r="T217" t="s">
        <v>13290</v>
      </c>
      <c r="U217" t="s">
        <v>13290</v>
      </c>
      <c r="V217" t="s">
        <v>13290</v>
      </c>
      <c r="W217" t="s">
        <v>13505</v>
      </c>
      <c r="X217">
        <v>10</v>
      </c>
      <c r="Y217" t="s">
        <v>20091</v>
      </c>
      <c r="Z217" t="s">
        <v>26547</v>
      </c>
      <c r="AA217">
        <v>0.56011033731746951</v>
      </c>
      <c r="AB217" t="str">
        <f>HYPERLINK("Melting_Curves/meltCurve_B4E1Q4_RIOK3.pdf", "Melting_Curves/meltCurve_B4E1Q4_RIOK3.pdf")</f>
        <v>Melting_Curves/meltCurve_B4E1Q4_RIOK3.pdf</v>
      </c>
    </row>
    <row r="218" spans="1:28" x14ac:dyDescent="0.25">
      <c r="A218" t="s">
        <v>222</v>
      </c>
      <c r="B218">
        <v>0.99252571173614901</v>
      </c>
      <c r="C218">
        <v>1.0551305686033099</v>
      </c>
      <c r="D218">
        <v>0.95836586123702905</v>
      </c>
      <c r="E218">
        <v>0.99540805211462302</v>
      </c>
      <c r="F218">
        <v>0.88678128687269697</v>
      </c>
      <c r="G218">
        <v>0.76089664214819697</v>
      </c>
      <c r="H218">
        <v>0.87104722116490396</v>
      </c>
      <c r="I218">
        <v>1.2169661469744999</v>
      </c>
      <c r="J218">
        <v>1.9088334772539799</v>
      </c>
      <c r="K218">
        <v>1.69354646001173</v>
      </c>
      <c r="L218">
        <v>15000</v>
      </c>
      <c r="M218">
        <v>234.109510945811</v>
      </c>
      <c r="O218">
        <v>64.067902787709997</v>
      </c>
      <c r="P218">
        <v>0.45676052514987198</v>
      </c>
      <c r="Q218">
        <v>1.5</v>
      </c>
      <c r="R218">
        <v>0.76614530972698203</v>
      </c>
      <c r="S218" t="s">
        <v>6864</v>
      </c>
      <c r="T218" t="s">
        <v>13290</v>
      </c>
      <c r="U218" t="s">
        <v>13290</v>
      </c>
      <c r="V218" t="s">
        <v>13290</v>
      </c>
      <c r="W218" t="s">
        <v>13506</v>
      </c>
      <c r="X218">
        <v>3</v>
      </c>
      <c r="Y218" t="s">
        <v>20092</v>
      </c>
      <c r="Z218" t="s">
        <v>26548</v>
      </c>
      <c r="AA218">
        <v>1.0987262429488049</v>
      </c>
      <c r="AB218" t="str">
        <f>HYPERLINK("Melting_Curves/meltCurve_B4E1S6_SDC4.pdf", "Melting_Curves/meltCurve_B4E1S6_SDC4.pdf")</f>
        <v>Melting_Curves/meltCurve_B4E1S6_SDC4.pdf</v>
      </c>
    </row>
    <row r="219" spans="1:28" x14ac:dyDescent="0.25">
      <c r="A219" t="s">
        <v>223</v>
      </c>
      <c r="B219">
        <v>0.99252571173614901</v>
      </c>
      <c r="C219">
        <v>1.0378958443072499</v>
      </c>
      <c r="D219">
        <v>0.96338285488146302</v>
      </c>
      <c r="E219">
        <v>0.86602950602772</v>
      </c>
      <c r="F219">
        <v>0.71250253933920105</v>
      </c>
      <c r="G219">
        <v>0.59306312241042403</v>
      </c>
      <c r="H219">
        <v>0.553599650011529</v>
      </c>
      <c r="I219">
        <v>0.57463898804517699</v>
      </c>
      <c r="J219">
        <v>0.92977942521809898</v>
      </c>
      <c r="K219">
        <v>0.87480182402151796</v>
      </c>
      <c r="L219">
        <v>2489.8041591493302</v>
      </c>
      <c r="M219">
        <v>50.059170695650003</v>
      </c>
      <c r="O219">
        <v>49.6580428466211</v>
      </c>
      <c r="P219">
        <v>-7.4418070261607697E-2</v>
      </c>
      <c r="Q219">
        <v>0.70471324100453103</v>
      </c>
      <c r="R219">
        <v>0.56364769278368498</v>
      </c>
      <c r="S219" t="s">
        <v>6865</v>
      </c>
      <c r="T219" t="s">
        <v>13290</v>
      </c>
      <c r="U219" t="s">
        <v>13290</v>
      </c>
      <c r="V219" t="s">
        <v>13290</v>
      </c>
      <c r="W219" t="s">
        <v>13507</v>
      </c>
      <c r="X219">
        <v>1</v>
      </c>
      <c r="Y219" t="s">
        <v>20093</v>
      </c>
      <c r="Z219" t="s">
        <v>26549</v>
      </c>
      <c r="AA219">
        <v>0.80120200000802233</v>
      </c>
      <c r="AB219" t="str">
        <f>HYPERLINK("Melting_Curves/meltCurve_B4E1Y1_NET1.pdf", "Melting_Curves/meltCurve_B4E1Y1_NET1.pdf")</f>
        <v>Melting_Curves/meltCurve_B4E1Y1_NET1.pdf</v>
      </c>
    </row>
    <row r="220" spans="1:28" x14ac:dyDescent="0.25">
      <c r="A220" t="s">
        <v>224</v>
      </c>
      <c r="B220">
        <v>0.99252571173614901</v>
      </c>
      <c r="C220">
        <v>1.0837068256102</v>
      </c>
      <c r="D220">
        <v>0.97896169928063803</v>
      </c>
      <c r="E220">
        <v>1.0312215974764301</v>
      </c>
      <c r="F220">
        <v>0.81311327795908594</v>
      </c>
      <c r="G220">
        <v>0.55657521010598099</v>
      </c>
      <c r="H220">
        <v>0.55173456151580502</v>
      </c>
      <c r="I220">
        <v>0.98530479247514202</v>
      </c>
      <c r="J220">
        <v>1.39330370738707</v>
      </c>
      <c r="K220">
        <v>1.78350240211538</v>
      </c>
      <c r="L220">
        <v>15000</v>
      </c>
      <c r="M220">
        <v>224.851982834393</v>
      </c>
      <c r="O220">
        <v>66.705279981090897</v>
      </c>
      <c r="P220">
        <v>0.421353450632449</v>
      </c>
      <c r="Q220">
        <v>1.5</v>
      </c>
      <c r="R220">
        <v>0.56782917138591804</v>
      </c>
      <c r="S220" t="s">
        <v>6866</v>
      </c>
      <c r="T220" t="s">
        <v>13290</v>
      </c>
      <c r="U220" t="s">
        <v>13290</v>
      </c>
      <c r="V220" t="s">
        <v>13290</v>
      </c>
      <c r="W220" t="s">
        <v>13508</v>
      </c>
      <c r="X220">
        <v>9</v>
      </c>
      <c r="Y220" t="s">
        <v>20094</v>
      </c>
      <c r="Z220" t="s">
        <v>26550</v>
      </c>
      <c r="AA220">
        <v>1.054751898964037</v>
      </c>
      <c r="AB220" t="str">
        <f>HYPERLINK("Melting_Curves/meltCurve_B4E241_SFRS3.pdf", "Melting_Curves/meltCurve_B4E241_SFRS3.pdf")</f>
        <v>Melting_Curves/meltCurve_B4E241_SFRS3.pdf</v>
      </c>
    </row>
    <row r="221" spans="1:28" x14ac:dyDescent="0.25">
      <c r="A221" t="s">
        <v>225</v>
      </c>
      <c r="B221">
        <v>0.99252571173614901</v>
      </c>
      <c r="C221">
        <v>1.0012053982203499</v>
      </c>
      <c r="D221">
        <v>0.95996662094737695</v>
      </c>
      <c r="E221">
        <v>0.82530824993545504</v>
      </c>
      <c r="F221">
        <v>0.758468737747094</v>
      </c>
      <c r="G221">
        <v>0.61040635233348195</v>
      </c>
      <c r="H221">
        <v>0.60596702640702904</v>
      </c>
      <c r="I221">
        <v>0.66705897065245101</v>
      </c>
      <c r="J221">
        <v>0.88124614759871001</v>
      </c>
      <c r="K221">
        <v>0.66128002491335502</v>
      </c>
      <c r="L221">
        <v>1441.64340675725</v>
      </c>
      <c r="M221">
        <v>29.271665636766102</v>
      </c>
      <c r="O221">
        <v>49.022314992640503</v>
      </c>
      <c r="P221">
        <v>-4.6265422824440502E-2</v>
      </c>
      <c r="Q221">
        <v>0.69007265231457504</v>
      </c>
      <c r="R221">
        <v>0.75730976644286596</v>
      </c>
      <c r="S221" t="s">
        <v>6867</v>
      </c>
      <c r="T221" t="s">
        <v>13290</v>
      </c>
      <c r="U221" t="s">
        <v>13290</v>
      </c>
      <c r="V221" t="s">
        <v>13290</v>
      </c>
      <c r="W221" t="s">
        <v>13509</v>
      </c>
      <c r="X221">
        <v>7</v>
      </c>
      <c r="Y221" t="s">
        <v>20095</v>
      </c>
      <c r="Z221" t="s">
        <v>26551</v>
      </c>
      <c r="AA221">
        <v>0.78763061393322531</v>
      </c>
      <c r="AB221" t="str">
        <f>HYPERLINK("Melting_Curves/meltCurve_B4E2S7_LAMP2.pdf", "Melting_Curves/meltCurve_B4E2S7_LAMP2.pdf")</f>
        <v>Melting_Curves/meltCurve_B4E2S7_LAMP2.pdf</v>
      </c>
    </row>
    <row r="222" spans="1:28" x14ac:dyDescent="0.25">
      <c r="A222" t="s">
        <v>226</v>
      </c>
      <c r="B222">
        <v>0.99252571173614901</v>
      </c>
      <c r="C222">
        <v>0.86817780125020305</v>
      </c>
      <c r="D222">
        <v>1.07327203395602</v>
      </c>
      <c r="E222">
        <v>1.02396894025762</v>
      </c>
      <c r="F222">
        <v>0.20875676809522201</v>
      </c>
      <c r="G222">
        <v>0.115561953254029</v>
      </c>
      <c r="H222">
        <v>7.1031585753945095E-2</v>
      </c>
      <c r="I222">
        <v>7.9338502962524704E-2</v>
      </c>
      <c r="J222">
        <v>8.2928536931621E-2</v>
      </c>
      <c r="K222">
        <v>8.0756430896366804E-2</v>
      </c>
      <c r="L222">
        <v>13200.900295171001</v>
      </c>
      <c r="M222">
        <v>250</v>
      </c>
      <c r="N222">
        <v>52.843457457184101</v>
      </c>
      <c r="O222">
        <v>52.8002220850585</v>
      </c>
      <c r="P222">
        <v>-1.08199900886085</v>
      </c>
      <c r="Q222">
        <v>8.5923393386358196E-2</v>
      </c>
      <c r="R222">
        <v>0.98713242581926197</v>
      </c>
      <c r="S222" t="s">
        <v>6868</v>
      </c>
      <c r="T222" t="s">
        <v>13290</v>
      </c>
      <c r="U222" t="s">
        <v>13290</v>
      </c>
      <c r="V222" t="s">
        <v>13290</v>
      </c>
      <c r="W222" t="s">
        <v>13510</v>
      </c>
      <c r="X222">
        <v>21</v>
      </c>
      <c r="Y222" t="s">
        <v>20096</v>
      </c>
      <c r="Z222" t="s">
        <v>26552</v>
      </c>
      <c r="AA222">
        <v>0.47612384439600541</v>
      </c>
      <c r="AB222" t="str">
        <f>HYPERLINK("Melting_Curves/meltCurve_B4E2W0_HADHB.pdf", "Melting_Curves/meltCurve_B4E2W0_HADHB.pdf")</f>
        <v>Melting_Curves/meltCurve_B4E2W0_HADHB.pdf</v>
      </c>
    </row>
    <row r="223" spans="1:28" x14ac:dyDescent="0.25">
      <c r="A223" t="s">
        <v>227</v>
      </c>
      <c r="B223">
        <v>0.99252571173614901</v>
      </c>
      <c r="C223">
        <v>0.95199746877777502</v>
      </c>
      <c r="D223">
        <v>0.74514898724471201</v>
      </c>
      <c r="E223">
        <v>0.30517817953404702</v>
      </c>
      <c r="F223">
        <v>0.19311563524339501</v>
      </c>
      <c r="G223">
        <v>0.101220191230437</v>
      </c>
      <c r="H223">
        <v>6.4708271559592995E-2</v>
      </c>
      <c r="I223">
        <v>6.2346214323696698E-2</v>
      </c>
      <c r="J223">
        <v>7.5839611627707304E-2</v>
      </c>
      <c r="K223">
        <v>8.0160202127951399E-2</v>
      </c>
      <c r="L223">
        <v>1183.9330936290301</v>
      </c>
      <c r="M223">
        <v>24.828223116452101</v>
      </c>
      <c r="N223">
        <v>48.012523674624298</v>
      </c>
      <c r="O223">
        <v>47.378854664694998</v>
      </c>
      <c r="P223">
        <v>-0.120804048539116</v>
      </c>
      <c r="Q223">
        <v>7.7907697056156897E-2</v>
      </c>
      <c r="R223">
        <v>0.99693222126343795</v>
      </c>
      <c r="S223" t="s">
        <v>6869</v>
      </c>
      <c r="T223" t="s">
        <v>13290</v>
      </c>
      <c r="U223" t="s">
        <v>13290</v>
      </c>
      <c r="V223" t="s">
        <v>13290</v>
      </c>
      <c r="W223" t="s">
        <v>13511</v>
      </c>
      <c r="X223">
        <v>17</v>
      </c>
      <c r="Y223" t="s">
        <v>20097</v>
      </c>
      <c r="Z223" t="s">
        <v>26553</v>
      </c>
      <c r="AA223">
        <v>0.32239921510399272</v>
      </c>
      <c r="AB223" t="str">
        <f>HYPERLINK("Melting_Curves/meltCurve_B4E2X3_METTL13.pdf", "Melting_Curves/meltCurve_B4E2X3_METTL13.pdf")</f>
        <v>Melting_Curves/meltCurve_B4E2X3_METTL13.pdf</v>
      </c>
    </row>
    <row r="224" spans="1:28" x14ac:dyDescent="0.25">
      <c r="A224" t="s">
        <v>228</v>
      </c>
      <c r="B224">
        <v>0.99252571173614901</v>
      </c>
      <c r="C224">
        <v>0.65384930815585796</v>
      </c>
      <c r="D224">
        <v>0.26842698084632599</v>
      </c>
      <c r="E224">
        <v>0.17481776774090399</v>
      </c>
      <c r="F224">
        <v>0.121503646807161</v>
      </c>
      <c r="G224">
        <v>6.9457662008413995E-2</v>
      </c>
      <c r="H224">
        <v>5.3963894651714299E-2</v>
      </c>
      <c r="I224">
        <v>5.4648953129353202E-2</v>
      </c>
      <c r="J224">
        <v>6.7007913915371295E-2</v>
      </c>
      <c r="K224">
        <v>6.9241226115857202E-2</v>
      </c>
      <c r="L224">
        <v>1202.9305786196401</v>
      </c>
      <c r="M224">
        <v>27.442667290597502</v>
      </c>
      <c r="N224">
        <v>44.110037932376599</v>
      </c>
      <c r="O224">
        <v>43.603546782666399</v>
      </c>
      <c r="P224">
        <v>-0.14494223420802599</v>
      </c>
      <c r="Q224">
        <v>7.8816172082285293E-2</v>
      </c>
      <c r="R224">
        <v>0.98925459452980602</v>
      </c>
      <c r="S224" t="s">
        <v>6870</v>
      </c>
      <c r="T224" t="s">
        <v>13290</v>
      </c>
      <c r="U224" t="s">
        <v>13290</v>
      </c>
      <c r="V224" t="s">
        <v>13290</v>
      </c>
      <c r="W224" t="s">
        <v>13512</v>
      </c>
      <c r="X224">
        <v>9</v>
      </c>
      <c r="Y224" t="s">
        <v>20098</v>
      </c>
      <c r="Z224" t="s">
        <v>26554</v>
      </c>
      <c r="AA224">
        <v>0.20520655101448951</v>
      </c>
      <c r="AB224" t="str">
        <f>HYPERLINK("Melting_Curves/meltCurve_B4E3L3_USP28.pdf", "Melting_Curves/meltCurve_B4E3L3_USP28.pdf")</f>
        <v>Melting_Curves/meltCurve_B4E3L3_USP28.pdf</v>
      </c>
    </row>
    <row r="225" spans="1:28" x14ac:dyDescent="0.25">
      <c r="A225" t="s">
        <v>229</v>
      </c>
      <c r="B225">
        <v>0.99252571173614901</v>
      </c>
      <c r="C225">
        <v>1.0266184763235799</v>
      </c>
      <c r="D225">
        <v>1.0383686645094701</v>
      </c>
      <c r="E225">
        <v>1.04264580275375</v>
      </c>
      <c r="F225">
        <v>0.86661194214169102</v>
      </c>
      <c r="G225">
        <v>0.851520268281586</v>
      </c>
      <c r="H225">
        <v>0.89711604369499598</v>
      </c>
      <c r="I225">
        <v>1.2101482287880501</v>
      </c>
      <c r="J225">
        <v>1.62761892300887</v>
      </c>
      <c r="K225">
        <v>1.7015376871648999</v>
      </c>
      <c r="L225">
        <v>15000</v>
      </c>
      <c r="M225">
        <v>234.05355006672499</v>
      </c>
      <c r="O225">
        <v>64.083218823487499</v>
      </c>
      <c r="P225">
        <v>0.456542201679068</v>
      </c>
      <c r="Q225">
        <v>1.5</v>
      </c>
      <c r="R225">
        <v>0.86535646184366799</v>
      </c>
      <c r="S225" t="s">
        <v>6871</v>
      </c>
      <c r="T225" t="s">
        <v>13290</v>
      </c>
      <c r="U225" t="s">
        <v>13290</v>
      </c>
      <c r="V225" t="s">
        <v>13290</v>
      </c>
      <c r="W225" t="s">
        <v>13513</v>
      </c>
      <c r="X225">
        <v>3</v>
      </c>
      <c r="Y225" t="s">
        <v>20099</v>
      </c>
      <c r="Z225" t="s">
        <v>26555</v>
      </c>
      <c r="AA225">
        <v>1.0984708737601749</v>
      </c>
      <c r="AB225" t="str">
        <f>HYPERLINK("Melting_Curves/meltCurve_B5MBW9_CHCHD10.pdf", "Melting_Curves/meltCurve_B5MBW9_CHCHD10.pdf")</f>
        <v>Melting_Curves/meltCurve_B5MBW9_CHCHD10.pdf</v>
      </c>
    </row>
    <row r="226" spans="1:28" x14ac:dyDescent="0.25">
      <c r="A226" t="s">
        <v>230</v>
      </c>
      <c r="B226">
        <v>0.99252571173614901</v>
      </c>
      <c r="C226">
        <v>0.97687117924431499</v>
      </c>
      <c r="D226">
        <v>0.75558505370266504</v>
      </c>
      <c r="E226">
        <v>0.60068252548101198</v>
      </c>
      <c r="F226">
        <v>0.43993299385248202</v>
      </c>
      <c r="G226">
        <v>0.35329902745315001</v>
      </c>
      <c r="H226">
        <v>0.30013250429469801</v>
      </c>
      <c r="I226">
        <v>0.31664579074599902</v>
      </c>
      <c r="J226">
        <v>0.46314404767156397</v>
      </c>
      <c r="K226">
        <v>0.69060174715604405</v>
      </c>
      <c r="L226">
        <v>1154.0485561595001</v>
      </c>
      <c r="M226">
        <v>24.536453768053399</v>
      </c>
      <c r="N226">
        <v>50.980841379416503</v>
      </c>
      <c r="O226">
        <v>46.724973598718798</v>
      </c>
      <c r="P226">
        <v>-7.5464015640765394E-2</v>
      </c>
      <c r="Q226">
        <v>0.42518149673188099</v>
      </c>
      <c r="R226">
        <v>0.81591182816617003</v>
      </c>
      <c r="S226" t="s">
        <v>6872</v>
      </c>
      <c r="T226" t="s">
        <v>13290</v>
      </c>
      <c r="U226" t="s">
        <v>13290</v>
      </c>
      <c r="V226" t="s">
        <v>13290</v>
      </c>
      <c r="W226" t="s">
        <v>13514</v>
      </c>
      <c r="X226">
        <v>5</v>
      </c>
      <c r="Y226" t="s">
        <v>20100</v>
      </c>
      <c r="Z226" t="s">
        <v>26556</v>
      </c>
      <c r="AA226">
        <v>0.56530289882521034</v>
      </c>
      <c r="AB226" t="str">
        <f>HYPERLINK("Melting_Curves/meltCurve_B5MBX0_CDCA5.pdf", "Melting_Curves/meltCurve_B5MBX0_CDCA5.pdf")</f>
        <v>Melting_Curves/meltCurve_B5MBX0_CDCA5.pdf</v>
      </c>
    </row>
    <row r="227" spans="1:28" x14ac:dyDescent="0.25">
      <c r="A227" t="s">
        <v>231</v>
      </c>
      <c r="B227">
        <v>0.99252571173614901</v>
      </c>
      <c r="C227">
        <v>0.96186729076750999</v>
      </c>
      <c r="D227">
        <v>0.92783091649043203</v>
      </c>
      <c r="E227">
        <v>0.66900360006039705</v>
      </c>
      <c r="F227">
        <v>0.378242163134139</v>
      </c>
      <c r="G227">
        <v>0.20037536338429299</v>
      </c>
      <c r="H227">
        <v>0.145132334474636</v>
      </c>
      <c r="I227">
        <v>0.10154565677866199</v>
      </c>
      <c r="J227">
        <v>0.11598751642933799</v>
      </c>
      <c r="K227">
        <v>9.9182408313645498E-2</v>
      </c>
      <c r="L227">
        <v>1028.7892573105401</v>
      </c>
      <c r="M227">
        <v>20.161182224785801</v>
      </c>
      <c r="N227">
        <v>51.600173735499801</v>
      </c>
      <c r="O227">
        <v>50.5341484509159</v>
      </c>
      <c r="P227">
        <v>-8.9756047093632899E-2</v>
      </c>
      <c r="Q227">
        <v>0.100131662517551</v>
      </c>
      <c r="R227">
        <v>0.99914211042668999</v>
      </c>
      <c r="S227" t="s">
        <v>6873</v>
      </c>
      <c r="T227" t="s">
        <v>13290</v>
      </c>
      <c r="U227" t="s">
        <v>13290</v>
      </c>
      <c r="V227" t="s">
        <v>13290</v>
      </c>
      <c r="W227" t="s">
        <v>13515</v>
      </c>
      <c r="X227">
        <v>1</v>
      </c>
      <c r="Y227" t="s">
        <v>20101</v>
      </c>
      <c r="Z227" t="s">
        <v>26557</v>
      </c>
      <c r="AA227">
        <v>0.44323430885537057</v>
      </c>
      <c r="AB227" t="str">
        <f>HYPERLINK("Melting_Curves/meltCurve_B5MBX2_TCN2.pdf", "Melting_Curves/meltCurve_B5MBX2_TCN2.pdf")</f>
        <v>Melting_Curves/meltCurve_B5MBX2_TCN2.pdf</v>
      </c>
    </row>
    <row r="228" spans="1:28" x14ac:dyDescent="0.25">
      <c r="A228" t="s">
        <v>232</v>
      </c>
      <c r="B228">
        <v>0.99252571173614901</v>
      </c>
      <c r="C228">
        <v>0.83487091756254905</v>
      </c>
      <c r="D228">
        <v>0.80121752519070799</v>
      </c>
      <c r="E228">
        <v>0.58281678540409498</v>
      </c>
      <c r="F228">
        <v>0.31054069281792701</v>
      </c>
      <c r="G228">
        <v>0.10112344351309201</v>
      </c>
      <c r="H228">
        <v>6.2986786615509396E-2</v>
      </c>
      <c r="I228">
        <v>6.3920072378060603E-3</v>
      </c>
      <c r="J228">
        <v>1.8482236467492801E-2</v>
      </c>
      <c r="K228">
        <v>2.7749020713390801E-2</v>
      </c>
      <c r="L228">
        <v>753.97578714287295</v>
      </c>
      <c r="M228">
        <v>15.0270445715683</v>
      </c>
      <c r="N228">
        <v>50.174586666795499</v>
      </c>
      <c r="O228">
        <v>49.311180240647403</v>
      </c>
      <c r="P228">
        <v>-7.6192413285129698E-2</v>
      </c>
      <c r="Q228">
        <v>0</v>
      </c>
      <c r="R228">
        <v>0.98995188164581505</v>
      </c>
      <c r="S228" t="s">
        <v>6874</v>
      </c>
      <c r="T228" t="s">
        <v>13290</v>
      </c>
      <c r="U228" t="s">
        <v>13290</v>
      </c>
      <c r="V228" t="s">
        <v>13290</v>
      </c>
      <c r="W228" t="s">
        <v>13516</v>
      </c>
      <c r="X228">
        <v>1</v>
      </c>
      <c r="Y228" t="s">
        <v>20102</v>
      </c>
      <c r="Z228" t="s">
        <v>26558</v>
      </c>
      <c r="AA228">
        <v>0.3627914879587546</v>
      </c>
      <c r="AB228" t="str">
        <f>HYPERLINK("Melting_Curves/meltCurve_B5MC02_STEAP2.pdf", "Melting_Curves/meltCurve_B5MC02_STEAP2.pdf")</f>
        <v>Melting_Curves/meltCurve_B5MC02_STEAP2.pdf</v>
      </c>
    </row>
    <row r="229" spans="1:28" x14ac:dyDescent="0.25">
      <c r="A229" t="s">
        <v>233</v>
      </c>
      <c r="B229">
        <v>0.99252571173614901</v>
      </c>
      <c r="C229">
        <v>0.78926077543583695</v>
      </c>
      <c r="D229">
        <v>0.61139676171048796</v>
      </c>
      <c r="E229">
        <v>0.12983905907319601</v>
      </c>
      <c r="F229">
        <v>0.35492876227228498</v>
      </c>
      <c r="G229">
        <v>0.13849946781111599</v>
      </c>
      <c r="H229">
        <v>0.101212045097826</v>
      </c>
      <c r="I229">
        <v>0.109641736423403</v>
      </c>
      <c r="J229">
        <v>9.01395923773958E-2</v>
      </c>
      <c r="K229">
        <v>8.9873276586756104E-2</v>
      </c>
      <c r="L229">
        <v>940.57005259309699</v>
      </c>
      <c r="M229">
        <v>20.4975532228238</v>
      </c>
      <c r="N229">
        <v>46.494284529800197</v>
      </c>
      <c r="O229">
        <v>45.456887529424598</v>
      </c>
      <c r="P229">
        <v>-9.9493232202356105E-2</v>
      </c>
      <c r="Q229">
        <v>0.11745191414624299</v>
      </c>
      <c r="R229">
        <v>0.936312696816057</v>
      </c>
      <c r="S229" t="s">
        <v>6875</v>
      </c>
      <c r="T229" t="s">
        <v>13290</v>
      </c>
      <c r="U229" t="s">
        <v>13290</v>
      </c>
      <c r="V229" t="s">
        <v>13290</v>
      </c>
      <c r="W229" t="s">
        <v>13517</v>
      </c>
      <c r="X229">
        <v>3</v>
      </c>
      <c r="Y229" t="s">
        <v>20103</v>
      </c>
      <c r="Z229" t="s">
        <v>26559</v>
      </c>
      <c r="AA229">
        <v>0.30363508651800752</v>
      </c>
      <c r="AB229" t="str">
        <f>HYPERLINK("Melting_Curves/meltCurve_B5MC51_LIMK2.pdf", "Melting_Curves/meltCurve_B5MC51_LIMK2.pdf")</f>
        <v>Melting_Curves/meltCurve_B5MC51_LIMK2.pdf</v>
      </c>
    </row>
    <row r="230" spans="1:28" x14ac:dyDescent="0.25">
      <c r="A230" t="s">
        <v>234</v>
      </c>
      <c r="B230">
        <v>0.99252571173614901</v>
      </c>
      <c r="C230">
        <v>0.96494040646734602</v>
      </c>
      <c r="D230">
        <v>0.843709293187202</v>
      </c>
      <c r="E230">
        <v>0.86947623340890801</v>
      </c>
      <c r="F230">
        <v>0.75338944928190399</v>
      </c>
      <c r="G230">
        <v>0.475464964606925</v>
      </c>
      <c r="H230">
        <v>0.160355522920167</v>
      </c>
      <c r="I230">
        <v>0.167009048964016</v>
      </c>
      <c r="J230">
        <v>0.203856469006437</v>
      </c>
      <c r="K230">
        <v>0.13274111159687099</v>
      </c>
      <c r="L230">
        <v>1004.44286622523</v>
      </c>
      <c r="M230">
        <v>18.178345907795698</v>
      </c>
      <c r="N230">
        <v>56.019239005582897</v>
      </c>
      <c r="O230">
        <v>54.599257809794899</v>
      </c>
      <c r="P230">
        <v>-7.4097113950830198E-2</v>
      </c>
      <c r="Q230">
        <v>0.10982980931738601</v>
      </c>
      <c r="R230">
        <v>0.97060761762430703</v>
      </c>
      <c r="S230" t="s">
        <v>6876</v>
      </c>
      <c r="T230" t="s">
        <v>13290</v>
      </c>
      <c r="U230" t="s">
        <v>13290</v>
      </c>
      <c r="V230" t="s">
        <v>13290</v>
      </c>
      <c r="W230" t="s">
        <v>13518</v>
      </c>
      <c r="X230">
        <v>2</v>
      </c>
      <c r="Y230" t="s">
        <v>20104</v>
      </c>
      <c r="Z230" t="s">
        <v>26560</v>
      </c>
      <c r="AA230">
        <v>0.57592588432083502</v>
      </c>
      <c r="AB230" t="str">
        <f>HYPERLINK("Melting_Curves/meltCurve_B5MC53_MPV17.pdf", "Melting_Curves/meltCurve_B5MC53_MPV17.pdf")</f>
        <v>Melting_Curves/meltCurve_B5MC53_MPV17.pdf</v>
      </c>
    </row>
    <row r="231" spans="1:28" x14ac:dyDescent="0.25">
      <c r="A231" t="s">
        <v>235</v>
      </c>
      <c r="B231">
        <v>0.99252571173614901</v>
      </c>
      <c r="C231">
        <v>0.83537794926713405</v>
      </c>
      <c r="D231">
        <v>0.77676108267541899</v>
      </c>
      <c r="E231">
        <v>0.70853736497630904</v>
      </c>
      <c r="F231">
        <v>0.55479380139755696</v>
      </c>
      <c r="G231">
        <v>0.42710446256333801</v>
      </c>
      <c r="H231">
        <v>0.31609134316665599</v>
      </c>
      <c r="I231">
        <v>0.35050776551372298</v>
      </c>
      <c r="J231">
        <v>0.48672523481170799</v>
      </c>
      <c r="K231">
        <v>0.33271848357577199</v>
      </c>
      <c r="L231">
        <v>555.51282544599701</v>
      </c>
      <c r="M231">
        <v>11.278034549980999</v>
      </c>
      <c r="N231">
        <v>54.546139081164696</v>
      </c>
      <c r="O231">
        <v>47.783748628471699</v>
      </c>
      <c r="P231">
        <v>-3.9396963941448003E-2</v>
      </c>
      <c r="Q231">
        <v>0.33252273810035199</v>
      </c>
      <c r="R231">
        <v>0.93439104489005598</v>
      </c>
      <c r="S231" t="s">
        <v>6877</v>
      </c>
      <c r="T231" t="s">
        <v>13290</v>
      </c>
      <c r="U231" t="s">
        <v>13290</v>
      </c>
      <c r="V231" t="s">
        <v>13290</v>
      </c>
      <c r="W231" t="s">
        <v>13519</v>
      </c>
      <c r="X231">
        <v>23</v>
      </c>
      <c r="Y231" t="s">
        <v>20105</v>
      </c>
      <c r="Z231" t="s">
        <v>26561</v>
      </c>
      <c r="AA231">
        <v>0.56515480937504603</v>
      </c>
      <c r="AB231" t="str">
        <f>HYPERLINK("Melting_Curves/meltCurve_B5MCA4_EPCAM.pdf", "Melting_Curves/meltCurve_B5MCA4_EPCAM.pdf")</f>
        <v>Melting_Curves/meltCurve_B5MCA4_EPCAM.pdf</v>
      </c>
    </row>
    <row r="232" spans="1:28" x14ac:dyDescent="0.25">
      <c r="A232" t="s">
        <v>236</v>
      </c>
      <c r="B232">
        <v>0.99252571173614901</v>
      </c>
      <c r="C232">
        <v>0.73160209970899004</v>
      </c>
      <c r="D232">
        <v>0.34321808764704298</v>
      </c>
      <c r="E232">
        <v>0.193174653173278</v>
      </c>
      <c r="F232">
        <v>0.162983159860114</v>
      </c>
      <c r="G232">
        <v>6.2040032328178299E-2</v>
      </c>
      <c r="H232">
        <v>5.0070567003832001E-2</v>
      </c>
      <c r="I232">
        <v>5.5404947143672403E-2</v>
      </c>
      <c r="J232">
        <v>7.7911120352895796E-2</v>
      </c>
      <c r="K232">
        <v>7.7165771421661797E-2</v>
      </c>
      <c r="L232">
        <v>1077.1867598507599</v>
      </c>
      <c r="M232">
        <v>24.195118327133699</v>
      </c>
      <c r="N232">
        <v>44.845158067634202</v>
      </c>
      <c r="O232">
        <v>44.220051879757399</v>
      </c>
      <c r="P232">
        <v>-0.125811365240344</v>
      </c>
      <c r="Q232">
        <v>8.0260928087255198E-2</v>
      </c>
      <c r="R232">
        <v>0.98835107460664695</v>
      </c>
      <c r="S232" t="s">
        <v>6878</v>
      </c>
      <c r="T232" t="s">
        <v>13290</v>
      </c>
      <c r="U232" t="s">
        <v>13290</v>
      </c>
      <c r="V232" t="s">
        <v>13290</v>
      </c>
      <c r="W232" t="s">
        <v>13520</v>
      </c>
      <c r="X232">
        <v>10</v>
      </c>
      <c r="Y232" t="s">
        <v>20106</v>
      </c>
      <c r="Z232" t="s">
        <v>26562</v>
      </c>
      <c r="AA232">
        <v>0.2293680546449576</v>
      </c>
      <c r="AB232" t="str">
        <f>HYPERLINK("Melting_Curves/meltCurve_B5MCF9_PES1.pdf", "Melting_Curves/meltCurve_B5MCF9_PES1.pdf")</f>
        <v>Melting_Curves/meltCurve_B5MCF9_PES1.pdf</v>
      </c>
    </row>
    <row r="233" spans="1:28" x14ac:dyDescent="0.25">
      <c r="A233" t="s">
        <v>237</v>
      </c>
      <c r="B233">
        <v>0.99252571173614901</v>
      </c>
      <c r="C233">
        <v>1.08494452237038</v>
      </c>
      <c r="D233">
        <v>0.87063430164646705</v>
      </c>
      <c r="E233">
        <v>0.61637577531122201</v>
      </c>
      <c r="F233">
        <v>0.30426468803899098</v>
      </c>
      <c r="G233">
        <v>0.18888184108196701</v>
      </c>
      <c r="H233">
        <v>0.142578050277785</v>
      </c>
      <c r="I233">
        <v>0.142352858958366</v>
      </c>
      <c r="J233">
        <v>0.19285050869794601</v>
      </c>
      <c r="K233">
        <v>0.15017822044645199</v>
      </c>
      <c r="L233">
        <v>1244.6086299628801</v>
      </c>
      <c r="M233">
        <v>24.943754353701301</v>
      </c>
      <c r="N233">
        <v>50.640114666301301</v>
      </c>
      <c r="O233">
        <v>49.579219514468001</v>
      </c>
      <c r="P233">
        <v>-0.106493472871938</v>
      </c>
      <c r="Q233">
        <v>0.15332848265548499</v>
      </c>
      <c r="R233">
        <v>0.98988053564404999</v>
      </c>
      <c r="S233" t="s">
        <v>6879</v>
      </c>
      <c r="T233" t="s">
        <v>13290</v>
      </c>
      <c r="U233" t="s">
        <v>13290</v>
      </c>
      <c r="V233" t="s">
        <v>13290</v>
      </c>
      <c r="W233" t="s">
        <v>13521</v>
      </c>
      <c r="X233">
        <v>7</v>
      </c>
      <c r="Y233" t="s">
        <v>20107</v>
      </c>
      <c r="Z233" t="s">
        <v>26563</v>
      </c>
      <c r="AA233">
        <v>0.44022812947101497</v>
      </c>
      <c r="AB233" t="str">
        <f>HYPERLINK("Melting_Curves/meltCurve_B5MCT7_PPM1F.pdf", "Melting_Curves/meltCurve_B5MCT7_PPM1F.pdf")</f>
        <v>Melting_Curves/meltCurve_B5MCT7_PPM1F.pdf</v>
      </c>
    </row>
    <row r="234" spans="1:28" x14ac:dyDescent="0.25">
      <c r="A234" t="s">
        <v>238</v>
      </c>
      <c r="B234">
        <v>0.99252571173614901</v>
      </c>
      <c r="C234">
        <v>0.83523638547146395</v>
      </c>
      <c r="D234">
        <v>0.80137771977043004</v>
      </c>
      <c r="E234">
        <v>0.743095924247136</v>
      </c>
      <c r="F234">
        <v>0.69660633698599495</v>
      </c>
      <c r="G234">
        <v>0.60154961261523499</v>
      </c>
      <c r="H234">
        <v>0.45639966444360203</v>
      </c>
      <c r="I234">
        <v>0.56598294818032302</v>
      </c>
      <c r="J234">
        <v>0.54426553172393699</v>
      </c>
      <c r="K234">
        <v>0.136653541052461</v>
      </c>
      <c r="L234">
        <v>299.87855473450298</v>
      </c>
      <c r="M234">
        <v>4.8969217592045604</v>
      </c>
      <c r="N234">
        <v>61.238181149919598</v>
      </c>
      <c r="O234">
        <v>53.183683062198703</v>
      </c>
      <c r="P234">
        <v>-2.3170371390826099E-2</v>
      </c>
      <c r="Q234">
        <v>0</v>
      </c>
      <c r="R234">
        <v>0.81405029374985705</v>
      </c>
      <c r="S234" t="s">
        <v>6880</v>
      </c>
      <c r="T234" t="s">
        <v>13290</v>
      </c>
      <c r="U234" t="s">
        <v>13290</v>
      </c>
      <c r="V234" t="s">
        <v>13290</v>
      </c>
      <c r="W234" t="s">
        <v>13522</v>
      </c>
      <c r="X234">
        <v>2</v>
      </c>
      <c r="Y234" t="s">
        <v>20108</v>
      </c>
      <c r="Z234" t="s">
        <v>26564</v>
      </c>
      <c r="AA234">
        <v>0.63943920500532236</v>
      </c>
      <c r="AB234" t="str">
        <f>HYPERLINK("Melting_Curves/meltCurve_B5MDE0_RFT1.pdf", "Melting_Curves/meltCurve_B5MDE0_RFT1.pdf")</f>
        <v>Melting_Curves/meltCurve_B5MDE0_RFT1.pdf</v>
      </c>
    </row>
    <row r="235" spans="1:28" x14ac:dyDescent="0.25">
      <c r="A235" t="s">
        <v>239</v>
      </c>
      <c r="B235">
        <v>0.99252571173614901</v>
      </c>
      <c r="C235">
        <v>1.0465274085070799</v>
      </c>
      <c r="D235">
        <v>0.88481942986877005</v>
      </c>
      <c r="E235">
        <v>0.65717637476482005</v>
      </c>
      <c r="F235">
        <v>0.280871226036216</v>
      </c>
      <c r="G235">
        <v>0.15690228269847201</v>
      </c>
      <c r="H235">
        <v>0.124085261999152</v>
      </c>
      <c r="I235">
        <v>0.136926414796288</v>
      </c>
      <c r="J235">
        <v>0.16357598645123</v>
      </c>
      <c r="K235">
        <v>0.149920679197111</v>
      </c>
      <c r="L235">
        <v>1360.63868318543</v>
      </c>
      <c r="M235">
        <v>27.111628397716299</v>
      </c>
      <c r="N235">
        <v>50.784956068007602</v>
      </c>
      <c r="O235">
        <v>49.915875713406798</v>
      </c>
      <c r="P235">
        <v>-0.117221325040843</v>
      </c>
      <c r="Q235">
        <v>0.136732301247452</v>
      </c>
      <c r="R235">
        <v>0.99467050686158098</v>
      </c>
      <c r="S235" t="s">
        <v>6881</v>
      </c>
      <c r="T235" t="s">
        <v>13290</v>
      </c>
      <c r="U235" t="s">
        <v>13290</v>
      </c>
      <c r="V235" t="s">
        <v>13290</v>
      </c>
      <c r="W235" t="s">
        <v>13523</v>
      </c>
      <c r="X235">
        <v>9</v>
      </c>
      <c r="Y235" t="s">
        <v>20109</v>
      </c>
      <c r="Z235" t="s">
        <v>26565</v>
      </c>
      <c r="AA235">
        <v>0.43642464505209427</v>
      </c>
      <c r="AB235" t="str">
        <f>HYPERLINK("Melting_Curves/meltCurve_B5MDU6_C2orf43.pdf", "Melting_Curves/meltCurve_B5MDU6_C2orf43.pdf")</f>
        <v>Melting_Curves/meltCurve_B5MDU6_C2orf43.pdf</v>
      </c>
    </row>
    <row r="236" spans="1:28" x14ac:dyDescent="0.25">
      <c r="A236" t="s">
        <v>240</v>
      </c>
      <c r="B236">
        <v>0.99252571173614901</v>
      </c>
      <c r="C236">
        <v>0.97673573046794604</v>
      </c>
      <c r="D236">
        <v>0.48059506683542103</v>
      </c>
      <c r="E236">
        <v>0.18680333149161599</v>
      </c>
      <c r="F236">
        <v>8.2853837049540593E-2</v>
      </c>
      <c r="G236">
        <v>5.0681802561959699E-2</v>
      </c>
      <c r="H236">
        <v>6.0575717662580401E-2</v>
      </c>
      <c r="I236">
        <v>3.9504413783112501E-2</v>
      </c>
      <c r="J236">
        <v>6.3148110908708394E-2</v>
      </c>
      <c r="K236">
        <v>7.0594246229684895E-2</v>
      </c>
      <c r="L236">
        <v>1626.3098672207</v>
      </c>
      <c r="M236">
        <v>35.456150933274898</v>
      </c>
      <c r="N236">
        <v>46.055558520840101</v>
      </c>
      <c r="O236">
        <v>45.723027948172003</v>
      </c>
      <c r="P236">
        <v>-0.180844647075347</v>
      </c>
      <c r="Q236">
        <v>6.7159119553231506E-2</v>
      </c>
      <c r="R236">
        <v>0.993860888745557</v>
      </c>
      <c r="S236" t="s">
        <v>6882</v>
      </c>
      <c r="T236" t="s">
        <v>13290</v>
      </c>
      <c r="U236" t="s">
        <v>13290</v>
      </c>
      <c r="V236" t="s">
        <v>13290</v>
      </c>
      <c r="W236" t="s">
        <v>13524</v>
      </c>
      <c r="X236">
        <v>2</v>
      </c>
      <c r="Y236" t="s">
        <v>20110</v>
      </c>
      <c r="Z236" t="s">
        <v>26566</v>
      </c>
      <c r="AA236">
        <v>0.2535633944746527</v>
      </c>
      <c r="AB236" t="str">
        <f>HYPERLINK("Melting_Curves/meltCurve_B5ME25_METTL8.pdf", "Melting_Curves/meltCurve_B5ME25_METTL8.pdf")</f>
        <v>Melting_Curves/meltCurve_B5ME25_METTL8.pdf</v>
      </c>
    </row>
    <row r="237" spans="1:28" x14ac:dyDescent="0.25">
      <c r="A237" t="s">
        <v>241</v>
      </c>
      <c r="B237">
        <v>0.99252571173614901</v>
      </c>
      <c r="C237">
        <v>0.99051369764903496</v>
      </c>
      <c r="D237">
        <v>0.94834872086817701</v>
      </c>
      <c r="E237">
        <v>1.25017479053814</v>
      </c>
      <c r="F237">
        <v>0.96106197707494401</v>
      </c>
      <c r="G237">
        <v>0.74220742769775505</v>
      </c>
      <c r="H237">
        <v>0.81633376374228095</v>
      </c>
      <c r="I237">
        <v>0.87480635082682401</v>
      </c>
      <c r="J237">
        <v>1.3290104592245899</v>
      </c>
      <c r="K237">
        <v>1.02202456056335</v>
      </c>
      <c r="L237">
        <v>1726.23194221635</v>
      </c>
      <c r="M237">
        <v>25.751886884886201</v>
      </c>
      <c r="O237">
        <v>66.6329124149743</v>
      </c>
      <c r="P237">
        <v>1.5698490041956999E-2</v>
      </c>
      <c r="Q237">
        <v>1.16247720102351</v>
      </c>
      <c r="R237">
        <v>7.5120115961157002E-2</v>
      </c>
      <c r="S237" t="s">
        <v>6883</v>
      </c>
      <c r="T237" t="s">
        <v>13290</v>
      </c>
      <c r="U237" t="s">
        <v>13290</v>
      </c>
      <c r="V237" t="s">
        <v>13290</v>
      </c>
      <c r="W237" t="s">
        <v>13525</v>
      </c>
      <c r="X237">
        <v>2</v>
      </c>
      <c r="Y237" t="s">
        <v>20111</v>
      </c>
      <c r="Z237" t="s">
        <v>26567</v>
      </c>
      <c r="AA237">
        <v>1.0191247980909479</v>
      </c>
      <c r="AB237" t="str">
        <f>HYPERLINK("Melting_Curves/meltCurve_B5MEC7_PPP1R12C.pdf", "Melting_Curves/meltCurve_B5MEC7_PPP1R12C.pdf")</f>
        <v>Melting_Curves/meltCurve_B5MEC7_PPP1R12C.pdf</v>
      </c>
    </row>
    <row r="238" spans="1:28" x14ac:dyDescent="0.25">
      <c r="A238" t="s">
        <v>242</v>
      </c>
      <c r="B238">
        <v>0.99252571173614901</v>
      </c>
      <c r="C238">
        <v>0.90667308036404004</v>
      </c>
      <c r="D238">
        <v>0.606140431638719</v>
      </c>
      <c r="E238">
        <v>0.32989813338669999</v>
      </c>
      <c r="F238">
        <v>0.22221978248919699</v>
      </c>
      <c r="G238">
        <v>0.13384285909145999</v>
      </c>
      <c r="H238">
        <v>0.105938538371525</v>
      </c>
      <c r="I238">
        <v>0.12652439700458001</v>
      </c>
      <c r="J238">
        <v>0.16380022724626001</v>
      </c>
      <c r="K238">
        <v>0.16272653423043701</v>
      </c>
      <c r="L238">
        <v>1020.34462922915</v>
      </c>
      <c r="M238">
        <v>21.9042065993671</v>
      </c>
      <c r="N238">
        <v>47.2886768577035</v>
      </c>
      <c r="O238">
        <v>46.199100604560797</v>
      </c>
      <c r="P238">
        <v>-0.101991597910013</v>
      </c>
      <c r="Q238">
        <v>0.13956031464288501</v>
      </c>
      <c r="R238">
        <v>0.99468122536498604</v>
      </c>
      <c r="S238" t="s">
        <v>6884</v>
      </c>
      <c r="T238" t="s">
        <v>13290</v>
      </c>
      <c r="U238" t="s">
        <v>13290</v>
      </c>
      <c r="V238" t="s">
        <v>13290</v>
      </c>
      <c r="W238" t="s">
        <v>13526</v>
      </c>
      <c r="X238">
        <v>10</v>
      </c>
      <c r="Y238" t="s">
        <v>20112</v>
      </c>
      <c r="Z238" t="s">
        <v>26568</v>
      </c>
      <c r="AA238">
        <v>0.3388041342146742</v>
      </c>
      <c r="AB238" t="str">
        <f>HYPERLINK("Melting_Curves/meltCurve_B7WP27_CWC22.pdf", "Melting_Curves/meltCurve_B7WP27_CWC22.pdf")</f>
        <v>Melting_Curves/meltCurve_B7WP27_CWC22.pdf</v>
      </c>
    </row>
    <row r="239" spans="1:28" x14ac:dyDescent="0.25">
      <c r="A239" t="s">
        <v>243</v>
      </c>
      <c r="B239">
        <v>0.99252571173614901</v>
      </c>
      <c r="C239">
        <v>0.92782876964885097</v>
      </c>
      <c r="D239">
        <v>0.96284598306550895</v>
      </c>
      <c r="E239">
        <v>0.75913964474307705</v>
      </c>
      <c r="F239">
        <v>0.41441861310321398</v>
      </c>
      <c r="G239">
        <v>0.18255678490785801</v>
      </c>
      <c r="H239">
        <v>0.118543515289981</v>
      </c>
      <c r="I239">
        <v>0.11318686649316199</v>
      </c>
      <c r="J239">
        <v>0.147089869004698</v>
      </c>
      <c r="K239">
        <v>0.14252015925498601</v>
      </c>
      <c r="L239">
        <v>1295.77956591985</v>
      </c>
      <c r="M239">
        <v>25.123577742600901</v>
      </c>
      <c r="N239">
        <v>52.152038814913197</v>
      </c>
      <c r="O239">
        <v>51.252803099549801</v>
      </c>
      <c r="P239">
        <v>-0.10770595970981101</v>
      </c>
      <c r="Q239">
        <v>0.121118968777196</v>
      </c>
      <c r="R239">
        <v>0.99506522647092899</v>
      </c>
      <c r="S239" t="s">
        <v>6885</v>
      </c>
      <c r="T239" t="s">
        <v>13290</v>
      </c>
      <c r="U239" t="s">
        <v>13290</v>
      </c>
      <c r="V239" t="s">
        <v>13290</v>
      </c>
      <c r="W239" t="s">
        <v>13527</v>
      </c>
      <c r="X239">
        <v>15</v>
      </c>
      <c r="Y239" t="s">
        <v>20113</v>
      </c>
      <c r="Z239" t="s">
        <v>26569</v>
      </c>
      <c r="AA239">
        <v>0.4681695270987774</v>
      </c>
      <c r="AB239" t="str">
        <f>HYPERLINK("Melting_Curves/meltCurve_B7WPE2_EML3.pdf", "Melting_Curves/meltCurve_B7WPE2_EML3.pdf")</f>
        <v>Melting_Curves/meltCurve_B7WPE2_EML3.pdf</v>
      </c>
    </row>
    <row r="240" spans="1:28" x14ac:dyDescent="0.25">
      <c r="A240" t="s">
        <v>244</v>
      </c>
      <c r="B240">
        <v>0.99252571173614901</v>
      </c>
      <c r="C240">
        <v>0.81235163641066299</v>
      </c>
      <c r="D240">
        <v>0.46993336698167498</v>
      </c>
      <c r="E240">
        <v>0.239867223712394</v>
      </c>
      <c r="F240">
        <v>0.12489034628330201</v>
      </c>
      <c r="G240">
        <v>8.3135389907384796E-2</v>
      </c>
      <c r="H240">
        <v>7.7137358978456499E-2</v>
      </c>
      <c r="I240">
        <v>4.6133604443085598E-2</v>
      </c>
      <c r="J240">
        <v>5.2017630052880501E-2</v>
      </c>
      <c r="K240">
        <v>3.5994707955440998E-2</v>
      </c>
      <c r="L240">
        <v>934.68482613147398</v>
      </c>
      <c r="M240">
        <v>20.443160214637999</v>
      </c>
      <c r="N240">
        <v>45.9979472239892</v>
      </c>
      <c r="O240">
        <v>45.290402696577203</v>
      </c>
      <c r="P240">
        <v>-0.10631727061784101</v>
      </c>
      <c r="Q240">
        <v>5.7873986278695402E-2</v>
      </c>
      <c r="R240">
        <v>0.995952626715633</v>
      </c>
      <c r="S240" t="s">
        <v>6886</v>
      </c>
      <c r="T240" t="s">
        <v>13290</v>
      </c>
      <c r="U240" t="s">
        <v>13290</v>
      </c>
      <c r="V240" t="s">
        <v>13290</v>
      </c>
      <c r="W240" t="s">
        <v>13528</v>
      </c>
      <c r="X240">
        <v>4</v>
      </c>
      <c r="Y240" t="s">
        <v>20114</v>
      </c>
      <c r="Z240" t="s">
        <v>26570</v>
      </c>
      <c r="AA240">
        <v>0.25168312575476592</v>
      </c>
      <c r="AB240" t="str">
        <f>HYPERLINK("Melting_Curves/meltCurve_B7WPL0_RIC8B.pdf", "Melting_Curves/meltCurve_B7WPL0_RIC8B.pdf")</f>
        <v>Melting_Curves/meltCurve_B7WPL0_RIC8B.pdf</v>
      </c>
    </row>
    <row r="241" spans="1:28" x14ac:dyDescent="0.25">
      <c r="A241" t="s">
        <v>245</v>
      </c>
      <c r="B241">
        <v>0.99252571173614901</v>
      </c>
      <c r="C241">
        <v>0.91333921614749203</v>
      </c>
      <c r="D241">
        <v>0.75837211808132998</v>
      </c>
      <c r="E241">
        <v>0.488350783147254</v>
      </c>
      <c r="F241">
        <v>0.32881874429621</v>
      </c>
      <c r="G241">
        <v>0.175234321444589</v>
      </c>
      <c r="H241">
        <v>0.14943725560179599</v>
      </c>
      <c r="I241">
        <v>0.166194349199284</v>
      </c>
      <c r="J241">
        <v>0.225172633024977</v>
      </c>
      <c r="K241">
        <v>0.24419953503161099</v>
      </c>
      <c r="L241">
        <v>917.25725473970897</v>
      </c>
      <c r="M241">
        <v>19.0495922844452</v>
      </c>
      <c r="N241">
        <v>49.340456780819402</v>
      </c>
      <c r="O241">
        <v>47.6298353949486</v>
      </c>
      <c r="P241">
        <v>-8.1581911062734602E-2</v>
      </c>
      <c r="Q241">
        <v>0.18411319637085599</v>
      </c>
      <c r="R241">
        <v>0.987743679877924</v>
      </c>
      <c r="S241" t="s">
        <v>6887</v>
      </c>
      <c r="T241" t="s">
        <v>13290</v>
      </c>
      <c r="U241" t="s">
        <v>13290</v>
      </c>
      <c r="V241" t="s">
        <v>13290</v>
      </c>
      <c r="W241" t="s">
        <v>13529</v>
      </c>
      <c r="X241">
        <v>3</v>
      </c>
      <c r="Y241" t="s">
        <v>20115</v>
      </c>
      <c r="Z241" t="s">
        <v>26571</v>
      </c>
      <c r="AA241">
        <v>0.41859597937504811</v>
      </c>
      <c r="AB241" t="str">
        <f>HYPERLINK("Melting_Curves/meltCurve_B7Z202_DTNB.pdf", "Melting_Curves/meltCurve_B7Z202_DTNB.pdf")</f>
        <v>Melting_Curves/meltCurve_B7Z202_DTNB.pdf</v>
      </c>
    </row>
    <row r="242" spans="1:28" x14ac:dyDescent="0.25">
      <c r="A242" t="s">
        <v>246</v>
      </c>
      <c r="B242">
        <v>0.99252571173614901</v>
      </c>
      <c r="C242">
        <v>1.00737935475808</v>
      </c>
      <c r="D242">
        <v>1.0349234010102999</v>
      </c>
      <c r="E242">
        <v>1.0041587905976901</v>
      </c>
      <c r="F242">
        <v>0.69533770575228004</v>
      </c>
      <c r="G242">
        <v>0.24877919166939999</v>
      </c>
      <c r="H242">
        <v>9.9175420808602505E-2</v>
      </c>
      <c r="I242">
        <v>9.3282271463741795E-2</v>
      </c>
      <c r="J242">
        <v>0.119852891847488</v>
      </c>
      <c r="K242">
        <v>9.1252573801402101E-2</v>
      </c>
      <c r="L242">
        <v>2040.33183928536</v>
      </c>
      <c r="M242">
        <v>37.6284391103476</v>
      </c>
      <c r="N242">
        <v>54.5400680116513</v>
      </c>
      <c r="O242">
        <v>54.070667223046698</v>
      </c>
      <c r="P242">
        <v>-0.156892568737901</v>
      </c>
      <c r="Q242">
        <v>9.8207259060884899E-2</v>
      </c>
      <c r="R242">
        <v>0.99811017051763296</v>
      </c>
      <c r="S242" t="s">
        <v>6888</v>
      </c>
      <c r="T242" t="s">
        <v>13290</v>
      </c>
      <c r="U242" t="s">
        <v>13290</v>
      </c>
      <c r="V242" t="s">
        <v>13290</v>
      </c>
      <c r="W242" t="s">
        <v>13530</v>
      </c>
      <c r="X242">
        <v>28</v>
      </c>
      <c r="Y242" t="s">
        <v>20116</v>
      </c>
      <c r="Z242" t="s">
        <v>26572</v>
      </c>
      <c r="AA242">
        <v>0.52956008342734451</v>
      </c>
      <c r="AB242" t="str">
        <f>HYPERLINK("Melting_Curves/meltCurve_B7Z254_PDIA6.pdf", "Melting_Curves/meltCurve_B7Z254_PDIA6.pdf")</f>
        <v>Melting_Curves/meltCurve_B7Z254_PDIA6.pdf</v>
      </c>
    </row>
    <row r="243" spans="1:28" x14ac:dyDescent="0.25">
      <c r="A243" t="s">
        <v>247</v>
      </c>
      <c r="B243">
        <v>0.99252571173614901</v>
      </c>
      <c r="C243">
        <v>0.97797334812905701</v>
      </c>
      <c r="D243">
        <v>0.92827275257206698</v>
      </c>
      <c r="E243">
        <v>0.95605950370236403</v>
      </c>
      <c r="F243">
        <v>0.35011891118701499</v>
      </c>
      <c r="G243">
        <v>0.231843466526965</v>
      </c>
      <c r="H243">
        <v>0.19121543498341101</v>
      </c>
      <c r="I243">
        <v>0.19027159064105401</v>
      </c>
      <c r="J243">
        <v>0.255948330398168</v>
      </c>
      <c r="K243">
        <v>0.16981134938870701</v>
      </c>
      <c r="L243">
        <v>3126.2499936843801</v>
      </c>
      <c r="M243">
        <v>60.261399659880396</v>
      </c>
      <c r="N243">
        <v>52.341415362126</v>
      </c>
      <c r="O243">
        <v>51.821120238553199</v>
      </c>
      <c r="P243">
        <v>-0.23063133726346599</v>
      </c>
      <c r="Q243">
        <v>0.20668503006467401</v>
      </c>
      <c r="R243">
        <v>0.99207971386228999</v>
      </c>
      <c r="S243" t="s">
        <v>6889</v>
      </c>
      <c r="T243" t="s">
        <v>13290</v>
      </c>
      <c r="U243" t="s">
        <v>13290</v>
      </c>
      <c r="V243" t="s">
        <v>13290</v>
      </c>
      <c r="W243" t="s">
        <v>13477</v>
      </c>
      <c r="X243">
        <v>3</v>
      </c>
      <c r="Y243" t="s">
        <v>20117</v>
      </c>
      <c r="Z243" t="s">
        <v>26573</v>
      </c>
      <c r="AA243">
        <v>0.52203644983781894</v>
      </c>
      <c r="AB243" t="str">
        <f>HYPERLINK("Melting_Curves/meltCurve_B7Z291_MTMR9.pdf", "Melting_Curves/meltCurve_B7Z291_MTMR9.pdf")</f>
        <v>Melting_Curves/meltCurve_B7Z291_MTMR9.pdf</v>
      </c>
    </row>
    <row r="244" spans="1:28" x14ac:dyDescent="0.25">
      <c r="A244" t="s">
        <v>248</v>
      </c>
      <c r="B244">
        <v>0.99252571173614901</v>
      </c>
      <c r="C244">
        <v>0.96593830982306905</v>
      </c>
      <c r="D244">
        <v>0.64393706431803399</v>
      </c>
      <c r="E244">
        <v>0.34265138766417802</v>
      </c>
      <c r="F244">
        <v>0.113317444009975</v>
      </c>
      <c r="G244">
        <v>5.13552771867683E-2</v>
      </c>
      <c r="H244">
        <v>3.71855759315603E-2</v>
      </c>
      <c r="I244">
        <v>3.6028527046177899E-2</v>
      </c>
      <c r="J244">
        <v>3.7520835227012099E-2</v>
      </c>
      <c r="K244">
        <v>3.0369620301256402E-2</v>
      </c>
      <c r="L244">
        <v>1027.45487966522</v>
      </c>
      <c r="M244">
        <v>21.599516951232602</v>
      </c>
      <c r="N244">
        <v>47.708976070249498</v>
      </c>
      <c r="O244">
        <v>47.166328572325703</v>
      </c>
      <c r="P244">
        <v>-0.11095942361198199</v>
      </c>
      <c r="Q244">
        <v>3.0826258254260299E-2</v>
      </c>
      <c r="R244">
        <v>0.99621888775329204</v>
      </c>
      <c r="S244" t="s">
        <v>6890</v>
      </c>
      <c r="T244" t="s">
        <v>13290</v>
      </c>
      <c r="U244" t="s">
        <v>13290</v>
      </c>
      <c r="V244" t="s">
        <v>13290</v>
      </c>
      <c r="W244" t="s">
        <v>13531</v>
      </c>
      <c r="X244">
        <v>3</v>
      </c>
      <c r="Y244" t="s">
        <v>20118</v>
      </c>
      <c r="Z244" t="s">
        <v>26574</v>
      </c>
      <c r="AA244">
        <v>0.28711254077648862</v>
      </c>
      <c r="AB244" t="str">
        <f>HYPERLINK("Melting_Curves/meltCurve_B7Z2Y5_RPS6KA5.pdf", "Melting_Curves/meltCurve_B7Z2Y5_RPS6KA5.pdf")</f>
        <v>Melting_Curves/meltCurve_B7Z2Y5_RPS6KA5.pdf</v>
      </c>
    </row>
    <row r="245" spans="1:28" x14ac:dyDescent="0.25">
      <c r="A245" t="s">
        <v>249</v>
      </c>
      <c r="B245">
        <v>0.99252571173614901</v>
      </c>
      <c r="C245">
        <v>0.97010795817249795</v>
      </c>
      <c r="D245">
        <v>0.87123923991003804</v>
      </c>
      <c r="E245">
        <v>1.08884729059934</v>
      </c>
      <c r="F245">
        <v>0.61580842324847096</v>
      </c>
      <c r="G245">
        <v>0.56140159871263595</v>
      </c>
      <c r="H245">
        <v>0.43786015076801499</v>
      </c>
      <c r="I245">
        <v>0.640053347534974</v>
      </c>
      <c r="J245">
        <v>0.82841093331723403</v>
      </c>
      <c r="K245">
        <v>0.77154509100526703</v>
      </c>
      <c r="L245">
        <v>6568.4021303168602</v>
      </c>
      <c r="M245">
        <v>127.39681476719601</v>
      </c>
      <c r="O245">
        <v>51.545903820244298</v>
      </c>
      <c r="P245">
        <v>-0.22146425397226199</v>
      </c>
      <c r="Q245">
        <v>0.64157424428724596</v>
      </c>
      <c r="R245">
        <v>0.68242977585727504</v>
      </c>
      <c r="S245" t="s">
        <v>6891</v>
      </c>
      <c r="T245" t="s">
        <v>13290</v>
      </c>
      <c r="U245" t="s">
        <v>13290</v>
      </c>
      <c r="V245" t="s">
        <v>13290</v>
      </c>
      <c r="W245" t="s">
        <v>13532</v>
      </c>
      <c r="X245">
        <v>2</v>
      </c>
      <c r="Y245" t="s">
        <v>20119</v>
      </c>
      <c r="Z245" t="s">
        <v>26575</v>
      </c>
      <c r="AA245">
        <v>0.77979594758158943</v>
      </c>
      <c r="AB245" t="str">
        <f>HYPERLINK("Melting_Curves/meltCurve_B7Z317_TSPAN5.pdf", "Melting_Curves/meltCurve_B7Z317_TSPAN5.pdf")</f>
        <v>Melting_Curves/meltCurve_B7Z317_TSPAN5.pdf</v>
      </c>
    </row>
    <row r="246" spans="1:28" x14ac:dyDescent="0.25">
      <c r="A246" t="s">
        <v>250</v>
      </c>
      <c r="B246">
        <v>0.99252571173614901</v>
      </c>
      <c r="C246">
        <v>0.99313275938489198</v>
      </c>
      <c r="D246">
        <v>0.88539189158652098</v>
      </c>
      <c r="E246">
        <v>0.54571275019332599</v>
      </c>
      <c r="F246">
        <v>0.22485257875188899</v>
      </c>
      <c r="G246">
        <v>0.13119168382346399</v>
      </c>
      <c r="H246">
        <v>0.10309063927687701</v>
      </c>
      <c r="I246">
        <v>0.102463893176823</v>
      </c>
      <c r="J246">
        <v>0.136429875153667</v>
      </c>
      <c r="K246">
        <v>0.12096662006596499</v>
      </c>
      <c r="L246">
        <v>1328.9809204625401</v>
      </c>
      <c r="M246">
        <v>26.86998326546</v>
      </c>
      <c r="N246">
        <v>49.929162709416303</v>
      </c>
      <c r="O246">
        <v>49.188172643001103</v>
      </c>
      <c r="P246">
        <v>-0.121323852177584</v>
      </c>
      <c r="Q246">
        <v>0.111627533165231</v>
      </c>
      <c r="R246">
        <v>0.99905500811849701</v>
      </c>
      <c r="S246" t="s">
        <v>6892</v>
      </c>
      <c r="T246" t="s">
        <v>13290</v>
      </c>
      <c r="U246" t="s">
        <v>13290</v>
      </c>
      <c r="V246" t="s">
        <v>13290</v>
      </c>
      <c r="W246" t="s">
        <v>13533</v>
      </c>
      <c r="X246">
        <v>5</v>
      </c>
      <c r="Y246" t="s">
        <v>20120</v>
      </c>
      <c r="Z246" t="s">
        <v>26576</v>
      </c>
      <c r="AA246">
        <v>0.39857133947063261</v>
      </c>
      <c r="AB246" t="str">
        <f>HYPERLINK("Melting_Curves/meltCurve_B7Z3D5_MTMR1.pdf", "Melting_Curves/meltCurve_B7Z3D5_MTMR1.pdf")</f>
        <v>Melting_Curves/meltCurve_B7Z3D5_MTMR1.pdf</v>
      </c>
    </row>
    <row r="247" spans="1:28" x14ac:dyDescent="0.25">
      <c r="A247" t="s">
        <v>251</v>
      </c>
      <c r="B247">
        <v>0.99252571173614901</v>
      </c>
      <c r="C247">
        <v>0.96694141177022397</v>
      </c>
      <c r="D247">
        <v>1.0430786066395801</v>
      </c>
      <c r="E247">
        <v>0.96750178051398095</v>
      </c>
      <c r="F247">
        <v>0.971398935072876</v>
      </c>
      <c r="G247">
        <v>0.75609656619981003</v>
      </c>
      <c r="H247">
        <v>0.66655370948086601</v>
      </c>
      <c r="I247">
        <v>0.90144871537805205</v>
      </c>
      <c r="J247">
        <v>1.4102463496962701</v>
      </c>
      <c r="K247">
        <v>1.40106763947409</v>
      </c>
      <c r="L247">
        <v>15000</v>
      </c>
      <c r="M247">
        <v>227.68445192553401</v>
      </c>
      <c r="O247">
        <v>65.875568698268196</v>
      </c>
      <c r="P247">
        <v>0.353204484903406</v>
      </c>
      <c r="Q247">
        <v>1.4087682940849799</v>
      </c>
      <c r="R247">
        <v>0.63901049841805202</v>
      </c>
      <c r="S247" t="s">
        <v>6893</v>
      </c>
      <c r="T247" t="s">
        <v>13290</v>
      </c>
      <c r="U247" t="s">
        <v>13290</v>
      </c>
      <c r="V247" t="s">
        <v>13290</v>
      </c>
      <c r="W247" t="s">
        <v>13534</v>
      </c>
      <c r="X247">
        <v>7</v>
      </c>
      <c r="Y247" t="s">
        <v>20121</v>
      </c>
      <c r="Z247" t="s">
        <v>26577</v>
      </c>
      <c r="AA247">
        <v>1.056071661386224</v>
      </c>
      <c r="AB247" t="str">
        <f>HYPERLINK("Melting_Curves/meltCurve_B7Z3I9_ALAD.pdf", "Melting_Curves/meltCurve_B7Z3I9_ALAD.pdf")</f>
        <v>Melting_Curves/meltCurve_B7Z3I9_ALAD.pdf</v>
      </c>
    </row>
    <row r="248" spans="1:28" x14ac:dyDescent="0.25">
      <c r="A248" t="s">
        <v>252</v>
      </c>
      <c r="B248">
        <v>0.99252571173614901</v>
      </c>
      <c r="C248">
        <v>1.2291134953646199</v>
      </c>
      <c r="D248">
        <v>1.2514875318688301</v>
      </c>
      <c r="E248">
        <v>1.32205603033324</v>
      </c>
      <c r="F248">
        <v>0.77123346235353096</v>
      </c>
      <c r="G248">
        <v>0.62105542168706496</v>
      </c>
      <c r="H248">
        <v>0.24579046128111601</v>
      </c>
      <c r="I248">
        <v>6.6360907064758404E-2</v>
      </c>
      <c r="J248">
        <v>4.2858745667688602E-2</v>
      </c>
      <c r="K248">
        <v>3.1096524006255899E-2</v>
      </c>
      <c r="L248">
        <v>1466.9509738291599</v>
      </c>
      <c r="M248">
        <v>25.432409235915401</v>
      </c>
      <c r="N248">
        <v>57.750688596962299</v>
      </c>
      <c r="O248">
        <v>57.327302773736697</v>
      </c>
      <c r="P248">
        <v>-0.109219745029766</v>
      </c>
      <c r="Q248">
        <v>1.5241580474503E-2</v>
      </c>
      <c r="R248">
        <v>0.90244617938819505</v>
      </c>
      <c r="S248" t="s">
        <v>6894</v>
      </c>
      <c r="T248" t="s">
        <v>13290</v>
      </c>
      <c r="U248" t="s">
        <v>13290</v>
      </c>
      <c r="V248" t="s">
        <v>13290</v>
      </c>
      <c r="W248" t="s">
        <v>13535</v>
      </c>
      <c r="X248">
        <v>44</v>
      </c>
      <c r="Y248" t="s">
        <v>20122</v>
      </c>
      <c r="Z248" t="s">
        <v>26578</v>
      </c>
      <c r="AA248">
        <v>0.60407161543760279</v>
      </c>
      <c r="AB248" t="str">
        <f>HYPERLINK("Melting_Curves/meltCurve_B7Z463_NPEPPS.pdf", "Melting_Curves/meltCurve_B7Z463_NPEPPS.pdf")</f>
        <v>Melting_Curves/meltCurve_B7Z463_NPEPPS.pdf</v>
      </c>
    </row>
    <row r="249" spans="1:28" x14ac:dyDescent="0.25">
      <c r="A249" t="s">
        <v>253</v>
      </c>
      <c r="B249">
        <v>0.99252571173614901</v>
      </c>
      <c r="C249">
        <v>1.0240722424430599</v>
      </c>
      <c r="D249">
        <v>0.83386782702523798</v>
      </c>
      <c r="E249">
        <v>0.57195582922758104</v>
      </c>
      <c r="F249">
        <v>0.38935659826964197</v>
      </c>
      <c r="G249">
        <v>0.19198573013643899</v>
      </c>
      <c r="H249">
        <v>0.11157222072911301</v>
      </c>
      <c r="I249">
        <v>0.128767786801988</v>
      </c>
      <c r="J249">
        <v>0.18227740867002001</v>
      </c>
      <c r="K249">
        <v>0.18326541071015001</v>
      </c>
      <c r="L249">
        <v>965.15638123496103</v>
      </c>
      <c r="M249">
        <v>19.3653227587446</v>
      </c>
      <c r="N249">
        <v>50.7170253946746</v>
      </c>
      <c r="O249">
        <v>49.317078102841997</v>
      </c>
      <c r="P249">
        <v>-8.4194984378604898E-2</v>
      </c>
      <c r="Q249">
        <v>0.14236447942845501</v>
      </c>
      <c r="R249">
        <v>0.98835053018472796</v>
      </c>
      <c r="S249" t="s">
        <v>6895</v>
      </c>
      <c r="T249" t="s">
        <v>13290</v>
      </c>
      <c r="U249" t="s">
        <v>13290</v>
      </c>
      <c r="V249" t="s">
        <v>13290</v>
      </c>
      <c r="W249" t="s">
        <v>13536</v>
      </c>
      <c r="X249">
        <v>9</v>
      </c>
      <c r="Y249" t="s">
        <v>20123</v>
      </c>
      <c r="Z249" t="s">
        <v>26579</v>
      </c>
      <c r="AA249">
        <v>0.436377852434637</v>
      </c>
      <c r="AB249" t="str">
        <f>HYPERLINK("Melting_Curves/meltCurve_B7Z493_FGD4.pdf", "Melting_Curves/meltCurve_B7Z493_FGD4.pdf")</f>
        <v>Melting_Curves/meltCurve_B7Z493_FGD4.pdf</v>
      </c>
    </row>
    <row r="250" spans="1:28" x14ac:dyDescent="0.25">
      <c r="A250" t="s">
        <v>254</v>
      </c>
      <c r="B250">
        <v>0.99252571173614901</v>
      </c>
      <c r="C250">
        <v>1.07964378246367</v>
      </c>
      <c r="D250">
        <v>1.00811801069901</v>
      </c>
      <c r="E250">
        <v>0.97868274354011997</v>
      </c>
      <c r="F250">
        <v>0.86929763883468003</v>
      </c>
      <c r="G250">
        <v>0.75702541081072805</v>
      </c>
      <c r="H250">
        <v>0.74506338116525095</v>
      </c>
      <c r="I250">
        <v>1.01521045638886</v>
      </c>
      <c r="J250">
        <v>1.38507793167825</v>
      </c>
      <c r="K250">
        <v>1.3375410870070099</v>
      </c>
      <c r="L250">
        <v>15000</v>
      </c>
      <c r="M250">
        <v>231.26754912480101</v>
      </c>
      <c r="O250">
        <v>64.855094056043399</v>
      </c>
      <c r="P250">
        <v>0.322161264453803</v>
      </c>
      <c r="Q250">
        <v>1.3613788219157701</v>
      </c>
      <c r="R250">
        <v>0.63407800000123704</v>
      </c>
      <c r="S250" t="s">
        <v>6896</v>
      </c>
      <c r="T250" t="s">
        <v>13290</v>
      </c>
      <c r="U250" t="s">
        <v>13290</v>
      </c>
      <c r="V250" t="s">
        <v>13290</v>
      </c>
      <c r="W250" t="s">
        <v>13537</v>
      </c>
      <c r="X250">
        <v>11</v>
      </c>
      <c r="Y250" t="s">
        <v>20124</v>
      </c>
      <c r="Z250" t="s">
        <v>26580</v>
      </c>
      <c r="AA250">
        <v>1.061868857175631</v>
      </c>
      <c r="AB250" t="str">
        <f>HYPERLINK("Melting_Curves/meltCurve_B7Z4K6_DNASE2.pdf", "Melting_Curves/meltCurve_B7Z4K6_DNASE2.pdf")</f>
        <v>Melting_Curves/meltCurve_B7Z4K6_DNASE2.pdf</v>
      </c>
    </row>
    <row r="251" spans="1:28" x14ac:dyDescent="0.25">
      <c r="A251" t="s">
        <v>255</v>
      </c>
      <c r="B251">
        <v>0.99252571173614901</v>
      </c>
      <c r="C251">
        <v>1.0078816150779299</v>
      </c>
      <c r="D251">
        <v>1.0763723013914901</v>
      </c>
      <c r="E251">
        <v>1.4538519103791501</v>
      </c>
      <c r="F251">
        <v>0.68013205149545997</v>
      </c>
      <c r="G251">
        <v>0.51173882370033497</v>
      </c>
      <c r="H251">
        <v>0.50017911597206899</v>
      </c>
      <c r="I251">
        <v>0.39496032868059999</v>
      </c>
      <c r="J251">
        <v>0.51597903339692397</v>
      </c>
      <c r="K251">
        <v>0.60046227101370997</v>
      </c>
      <c r="L251">
        <v>13268.056048266</v>
      </c>
      <c r="M251">
        <v>250</v>
      </c>
      <c r="O251">
        <v>53.068828064014497</v>
      </c>
      <c r="P251">
        <v>-0.58336517574337898</v>
      </c>
      <c r="Q251">
        <v>0.50466390253828097</v>
      </c>
      <c r="R251">
        <v>0.77755902809930899</v>
      </c>
      <c r="S251" t="s">
        <v>6897</v>
      </c>
      <c r="T251" t="s">
        <v>13290</v>
      </c>
      <c r="U251" t="s">
        <v>13290</v>
      </c>
      <c r="V251" t="s">
        <v>13290</v>
      </c>
      <c r="W251" t="s">
        <v>13538</v>
      </c>
      <c r="X251">
        <v>1</v>
      </c>
      <c r="Y251" t="s">
        <v>20125</v>
      </c>
      <c r="Z251" t="s">
        <v>26581</v>
      </c>
      <c r="AA251">
        <v>0.72054818916637531</v>
      </c>
      <c r="AB251" t="str">
        <f>HYPERLINK("Melting_Curves/meltCurve_B7Z4R5_P2RX4.pdf", "Melting_Curves/meltCurve_B7Z4R5_P2RX4.pdf")</f>
        <v>Melting_Curves/meltCurve_B7Z4R5_P2RX4.pdf</v>
      </c>
    </row>
    <row r="252" spans="1:28" x14ac:dyDescent="0.25">
      <c r="A252" t="s">
        <v>256</v>
      </c>
      <c r="B252">
        <v>0.99252571173614901</v>
      </c>
      <c r="C252">
        <v>0.98377884687462003</v>
      </c>
      <c r="D252">
        <v>0.88969734158053704</v>
      </c>
      <c r="E252">
        <v>0.75716702532009394</v>
      </c>
      <c r="F252">
        <v>0.73887607179304704</v>
      </c>
      <c r="G252">
        <v>0.56839146855316003</v>
      </c>
      <c r="H252">
        <v>0.45101829942842098</v>
      </c>
      <c r="I252">
        <v>0.27971162206060601</v>
      </c>
      <c r="J252">
        <v>0.21655353227400601</v>
      </c>
      <c r="K252">
        <v>0.149855546647575</v>
      </c>
      <c r="L252">
        <v>525.81297303882798</v>
      </c>
      <c r="M252">
        <v>9.0388870654014202</v>
      </c>
      <c r="N252">
        <v>58.172313604600099</v>
      </c>
      <c r="O252">
        <v>55.536808802926998</v>
      </c>
      <c r="P252">
        <v>-4.0717792755850198E-2</v>
      </c>
      <c r="Q252">
        <v>0</v>
      </c>
      <c r="R252">
        <v>0.98698443331391605</v>
      </c>
      <c r="S252" t="s">
        <v>6898</v>
      </c>
      <c r="T252" t="s">
        <v>13290</v>
      </c>
      <c r="U252" t="s">
        <v>13290</v>
      </c>
      <c r="V252" t="s">
        <v>13290</v>
      </c>
      <c r="W252" t="s">
        <v>13539</v>
      </c>
      <c r="X252">
        <v>4</v>
      </c>
      <c r="Y252" t="s">
        <v>20126</v>
      </c>
      <c r="Z252" t="s">
        <v>26582</v>
      </c>
      <c r="AA252">
        <v>0.61191299574965752</v>
      </c>
      <c r="AB252" t="str">
        <f>HYPERLINK("Melting_Curves/meltCurve_B7Z4W5_CCBL1.pdf", "Melting_Curves/meltCurve_B7Z4W5_CCBL1.pdf")</f>
        <v>Melting_Curves/meltCurve_B7Z4W5_CCBL1.pdf</v>
      </c>
    </row>
    <row r="253" spans="1:28" x14ac:dyDescent="0.25">
      <c r="A253" t="s">
        <v>257</v>
      </c>
      <c r="B253">
        <v>0.99252571173614901</v>
      </c>
      <c r="C253">
        <v>0.94696762375974997</v>
      </c>
      <c r="D253">
        <v>0.92265829706582003</v>
      </c>
      <c r="E253">
        <v>0.890927992015627</v>
      </c>
      <c r="F253">
        <v>0.76647560919017199</v>
      </c>
      <c r="G253">
        <v>0.71949467546429602</v>
      </c>
      <c r="H253">
        <v>0.61629890327992998</v>
      </c>
      <c r="I253">
        <v>0.44639091435561201</v>
      </c>
      <c r="J253">
        <v>0.47178135360799101</v>
      </c>
      <c r="K253">
        <v>0.33413355793792598</v>
      </c>
      <c r="L253">
        <v>428.550600854376</v>
      </c>
      <c r="M253">
        <v>6.6977023528916</v>
      </c>
      <c r="N253">
        <v>63.984718607735402</v>
      </c>
      <c r="O253">
        <v>59.004408144343799</v>
      </c>
      <c r="P253">
        <v>-2.84397920471945E-2</v>
      </c>
      <c r="Q253">
        <v>0</v>
      </c>
      <c r="R253">
        <v>0.98231086510924703</v>
      </c>
      <c r="S253" t="s">
        <v>6899</v>
      </c>
      <c r="T253" t="s">
        <v>13290</v>
      </c>
      <c r="U253" t="s">
        <v>13290</v>
      </c>
      <c r="V253" t="s">
        <v>13290</v>
      </c>
      <c r="W253" t="s">
        <v>13540</v>
      </c>
      <c r="X253">
        <v>16</v>
      </c>
      <c r="Y253" t="s">
        <v>20127</v>
      </c>
      <c r="Z253" t="s">
        <v>26583</v>
      </c>
      <c r="AA253">
        <v>0.720153638763259</v>
      </c>
      <c r="AB253" t="str">
        <f>HYPERLINK("Melting_Curves/meltCurve_B7Z5W1_F11R.pdf", "Melting_Curves/meltCurve_B7Z5W1_F11R.pdf")</f>
        <v>Melting_Curves/meltCurve_B7Z5W1_F11R.pdf</v>
      </c>
    </row>
    <row r="254" spans="1:28" x14ac:dyDescent="0.25">
      <c r="A254" t="s">
        <v>258</v>
      </c>
      <c r="B254">
        <v>0.99252571173614901</v>
      </c>
      <c r="C254">
        <v>0.86650270250377204</v>
      </c>
      <c r="D254">
        <v>0.69189793758380802</v>
      </c>
      <c r="E254">
        <v>0.25307091844825702</v>
      </c>
      <c r="F254">
        <v>0.15589279932623001</v>
      </c>
      <c r="G254">
        <v>5.90470644292816E-2</v>
      </c>
      <c r="H254">
        <v>4.4215007229085598E-2</v>
      </c>
      <c r="I254">
        <v>4.3183868611157701E-2</v>
      </c>
      <c r="J254">
        <v>3.3967496195030498E-2</v>
      </c>
      <c r="K254">
        <v>3.6023205386294499E-2</v>
      </c>
      <c r="L254">
        <v>1018.64612904569</v>
      </c>
      <c r="M254">
        <v>21.557830553859599</v>
      </c>
      <c r="N254">
        <v>47.428191070409497</v>
      </c>
      <c r="O254">
        <v>46.850837043496099</v>
      </c>
      <c r="P254">
        <v>-0.110605591251107</v>
      </c>
      <c r="Q254">
        <v>3.8523072653589001E-2</v>
      </c>
      <c r="R254">
        <v>0.99550099419253002</v>
      </c>
      <c r="S254" t="s">
        <v>6900</v>
      </c>
      <c r="T254" t="s">
        <v>13290</v>
      </c>
      <c r="U254" t="s">
        <v>13290</v>
      </c>
      <c r="V254" t="s">
        <v>13290</v>
      </c>
      <c r="W254" t="s">
        <v>13541</v>
      </c>
      <c r="X254">
        <v>1</v>
      </c>
      <c r="Y254" t="s">
        <v>20128</v>
      </c>
      <c r="Z254" t="s">
        <v>26584</v>
      </c>
      <c r="AA254">
        <v>0.28276614831592112</v>
      </c>
      <c r="AB254" t="str">
        <f>HYPERLINK("Melting_Curves/meltCurve_B7Z662_SLC27A1.pdf", "Melting_Curves/meltCurve_B7Z662_SLC27A1.pdf")</f>
        <v>Melting_Curves/meltCurve_B7Z662_SLC27A1.pdf</v>
      </c>
    </row>
    <row r="255" spans="1:28" x14ac:dyDescent="0.25">
      <c r="A255" t="s">
        <v>259</v>
      </c>
      <c r="B255">
        <v>0.99252571173614901</v>
      </c>
      <c r="C255">
        <v>0.90341683978706</v>
      </c>
      <c r="D255">
        <v>0.76034473561701199</v>
      </c>
      <c r="E255">
        <v>0.63894114705367999</v>
      </c>
      <c r="F255">
        <v>0.328098468474398</v>
      </c>
      <c r="G255">
        <v>0.14678643327625901</v>
      </c>
      <c r="H255">
        <v>9.9131088602727305E-2</v>
      </c>
      <c r="I255">
        <v>0.10428468736862299</v>
      </c>
      <c r="J255">
        <v>0.102265513291402</v>
      </c>
      <c r="K255">
        <v>0.109772130847721</v>
      </c>
      <c r="L255">
        <v>773.50966355974003</v>
      </c>
      <c r="M255">
        <v>15.452275842244999</v>
      </c>
      <c r="N255">
        <v>50.536428072712603</v>
      </c>
      <c r="O255">
        <v>49.242081630429198</v>
      </c>
      <c r="P255">
        <v>-7.31187408504584E-2</v>
      </c>
      <c r="Q255">
        <v>6.8048018217014505E-2</v>
      </c>
      <c r="R255">
        <v>0.98915451036227398</v>
      </c>
      <c r="S255" t="s">
        <v>6901</v>
      </c>
      <c r="T255" t="s">
        <v>13290</v>
      </c>
      <c r="U255" t="s">
        <v>13290</v>
      </c>
      <c r="V255" t="s">
        <v>13290</v>
      </c>
      <c r="W255" t="s">
        <v>13542</v>
      </c>
      <c r="X255">
        <v>5</v>
      </c>
      <c r="Y255" t="s">
        <v>20129</v>
      </c>
      <c r="Z255" t="s">
        <v>26585</v>
      </c>
      <c r="AA255">
        <v>0.40154148052644711</v>
      </c>
      <c r="AB255" t="str">
        <f>HYPERLINK("Melting_Curves/meltCurve_B7Z683_ABR.pdf", "Melting_Curves/meltCurve_B7Z683_ABR.pdf")</f>
        <v>Melting_Curves/meltCurve_B7Z683_ABR.pdf</v>
      </c>
    </row>
    <row r="256" spans="1:28" x14ac:dyDescent="0.25">
      <c r="A256" t="s">
        <v>260</v>
      </c>
      <c r="B256">
        <v>0.99252571173614901</v>
      </c>
      <c r="C256">
        <v>1.08292513618981</v>
      </c>
      <c r="D256">
        <v>0.98123468717208095</v>
      </c>
      <c r="E256">
        <v>0.73756154483410996</v>
      </c>
      <c r="F256">
        <v>0.31492590000748999</v>
      </c>
      <c r="G256">
        <v>0.14295336992186899</v>
      </c>
      <c r="H256">
        <v>0.115070513414562</v>
      </c>
      <c r="I256">
        <v>0.116155551727912</v>
      </c>
      <c r="J256">
        <v>0.16328696112287999</v>
      </c>
      <c r="K256">
        <v>0.26987521759841998</v>
      </c>
      <c r="L256">
        <v>1795.67479175433</v>
      </c>
      <c r="M256">
        <v>35.373622624915399</v>
      </c>
      <c r="N256">
        <v>51.320773360666799</v>
      </c>
      <c r="O256">
        <v>50.601686945150703</v>
      </c>
      <c r="P256">
        <v>-0.14687943612448401</v>
      </c>
      <c r="Q256">
        <v>0.15956336670791499</v>
      </c>
      <c r="R256">
        <v>0.98321845315413803</v>
      </c>
      <c r="S256" t="s">
        <v>6902</v>
      </c>
      <c r="T256" t="s">
        <v>13290</v>
      </c>
      <c r="U256" t="s">
        <v>13290</v>
      </c>
      <c r="V256" t="s">
        <v>13290</v>
      </c>
      <c r="W256" t="s">
        <v>13543</v>
      </c>
      <c r="X256">
        <v>1</v>
      </c>
      <c r="Y256" t="s">
        <v>20130</v>
      </c>
      <c r="Z256" t="s">
        <v>26586</v>
      </c>
      <c r="AA256">
        <v>0.46486495208751671</v>
      </c>
      <c r="AB256" t="str">
        <f>HYPERLINK("Melting_Curves/meltCurve_B7Z6B6_ZNF346.pdf", "Melting_Curves/meltCurve_B7Z6B6_ZNF346.pdf")</f>
        <v>Melting_Curves/meltCurve_B7Z6B6_ZNF346.pdf</v>
      </c>
    </row>
    <row r="257" spans="1:28" x14ac:dyDescent="0.25">
      <c r="A257" t="s">
        <v>261</v>
      </c>
      <c r="B257">
        <v>0.99252571173614901</v>
      </c>
      <c r="C257">
        <v>0.98438961770869104</v>
      </c>
      <c r="D257">
        <v>1.06909394278095</v>
      </c>
      <c r="E257">
        <v>1.07441971205294</v>
      </c>
      <c r="F257">
        <v>0.99854303934316002</v>
      </c>
      <c r="G257">
        <v>0.744561192952092</v>
      </c>
      <c r="H257">
        <v>0.40352554534164498</v>
      </c>
      <c r="I257">
        <v>0.25513645509239202</v>
      </c>
      <c r="J257">
        <v>0.1143493412796</v>
      </c>
      <c r="K257">
        <v>8.8361531622989403E-2</v>
      </c>
      <c r="L257">
        <v>1454.85190359795</v>
      </c>
      <c r="M257">
        <v>24.493372070552098</v>
      </c>
      <c r="N257">
        <v>59.812295108273602</v>
      </c>
      <c r="O257">
        <v>59.006068175096502</v>
      </c>
      <c r="P257">
        <v>-9.5675458787468901E-2</v>
      </c>
      <c r="Q257">
        <v>7.80604038334856E-2</v>
      </c>
      <c r="R257">
        <v>0.98870843883820303</v>
      </c>
      <c r="S257" t="s">
        <v>6903</v>
      </c>
      <c r="T257" t="s">
        <v>13290</v>
      </c>
      <c r="U257" t="s">
        <v>13290</v>
      </c>
      <c r="V257" t="s">
        <v>13290</v>
      </c>
      <c r="W257" t="s">
        <v>13544</v>
      </c>
      <c r="X257">
        <v>23</v>
      </c>
      <c r="Y257" t="s">
        <v>20131</v>
      </c>
      <c r="Z257" t="s">
        <v>26587</v>
      </c>
      <c r="AA257">
        <v>0.6816436662500398</v>
      </c>
      <c r="AB257" t="str">
        <f>HYPERLINK("Melting_Curves/meltCurve_B7Z6B8_DECR1.pdf", "Melting_Curves/meltCurve_B7Z6B8_DECR1.pdf")</f>
        <v>Melting_Curves/meltCurve_B7Z6B8_DECR1.pdf</v>
      </c>
    </row>
    <row r="258" spans="1:28" x14ac:dyDescent="0.25">
      <c r="A258" t="s">
        <v>262</v>
      </c>
      <c r="B258">
        <v>0.99252571173614901</v>
      </c>
      <c r="C258">
        <v>0.87400151996737996</v>
      </c>
      <c r="D258">
        <v>0.81148467569614202</v>
      </c>
      <c r="E258">
        <v>0.65616469039260805</v>
      </c>
      <c r="F258">
        <v>0.572018879534549</v>
      </c>
      <c r="G258">
        <v>0.44478487894755903</v>
      </c>
      <c r="H258">
        <v>0.34113388651020898</v>
      </c>
      <c r="I258">
        <v>0.345625554161198</v>
      </c>
      <c r="J258">
        <v>0.25608034771840099</v>
      </c>
      <c r="K258">
        <v>0.19274670318012399</v>
      </c>
      <c r="L258">
        <v>427.305904854728</v>
      </c>
      <c r="M258">
        <v>8.0075648728037603</v>
      </c>
      <c r="N258">
        <v>55.061327167803903</v>
      </c>
      <c r="O258">
        <v>50.343243933075101</v>
      </c>
      <c r="P258">
        <v>-3.5452987020930103E-2</v>
      </c>
      <c r="Q258">
        <v>0.10943764118657399</v>
      </c>
      <c r="R258">
        <v>0.989185656547662</v>
      </c>
      <c r="S258" t="s">
        <v>6904</v>
      </c>
      <c r="T258" t="s">
        <v>13290</v>
      </c>
      <c r="U258" t="s">
        <v>13290</v>
      </c>
      <c r="V258" t="s">
        <v>13290</v>
      </c>
      <c r="W258" t="s">
        <v>13545</v>
      </c>
      <c r="X258">
        <v>3</v>
      </c>
      <c r="Y258" t="s">
        <v>20132</v>
      </c>
      <c r="Z258" t="s">
        <v>26588</v>
      </c>
      <c r="AA258">
        <v>0.54025246969849305</v>
      </c>
      <c r="AB258" t="str">
        <f>HYPERLINK("Melting_Curves/meltCurve_B7Z6M4_TNFAIP1.pdf", "Melting_Curves/meltCurve_B7Z6M4_TNFAIP1.pdf")</f>
        <v>Melting_Curves/meltCurve_B7Z6M4_TNFAIP1.pdf</v>
      </c>
    </row>
    <row r="259" spans="1:28" x14ac:dyDescent="0.25">
      <c r="A259" t="s">
        <v>263</v>
      </c>
      <c r="B259">
        <v>0.99252571173614901</v>
      </c>
      <c r="C259">
        <v>0.893662654926341</v>
      </c>
      <c r="D259">
        <v>0.74691942402882305</v>
      </c>
      <c r="E259">
        <v>0.49353317093198201</v>
      </c>
      <c r="F259">
        <v>0.30414100874696198</v>
      </c>
      <c r="G259">
        <v>0.126379311745107</v>
      </c>
      <c r="H259">
        <v>9.6025564803042293E-2</v>
      </c>
      <c r="I259">
        <v>0.11530620414022801</v>
      </c>
      <c r="J259">
        <v>0.16034277269677599</v>
      </c>
      <c r="K259">
        <v>0.15373467616012801</v>
      </c>
      <c r="L259">
        <v>833.13292814759302</v>
      </c>
      <c r="M259">
        <v>17.151776114346099</v>
      </c>
      <c r="N259">
        <v>49.3080300996291</v>
      </c>
      <c r="O259">
        <v>47.9282771031301</v>
      </c>
      <c r="P259">
        <v>-7.9392236387199902E-2</v>
      </c>
      <c r="Q259">
        <v>0.11265028805522399</v>
      </c>
      <c r="R259">
        <v>0.99107836178223796</v>
      </c>
      <c r="S259" t="s">
        <v>6905</v>
      </c>
      <c r="T259" t="s">
        <v>13290</v>
      </c>
      <c r="U259" t="s">
        <v>13290</v>
      </c>
      <c r="V259" t="s">
        <v>13290</v>
      </c>
      <c r="W259" t="s">
        <v>13546</v>
      </c>
      <c r="X259">
        <v>2</v>
      </c>
      <c r="Y259" t="s">
        <v>20133</v>
      </c>
      <c r="Z259" t="s">
        <v>26589</v>
      </c>
      <c r="AA259">
        <v>0.38335654755946358</v>
      </c>
      <c r="AB259" t="str">
        <f>HYPERLINK("Melting_Curves/meltCurve_B7Z755_MLLT3.pdf", "Melting_Curves/meltCurve_B7Z755_MLLT3.pdf")</f>
        <v>Melting_Curves/meltCurve_B7Z755_MLLT3.pdf</v>
      </c>
    </row>
    <row r="260" spans="1:28" x14ac:dyDescent="0.25">
      <c r="A260" t="s">
        <v>264</v>
      </c>
      <c r="B260">
        <v>0.99252571173614901</v>
      </c>
      <c r="C260">
        <v>1.0786692386723</v>
      </c>
      <c r="D260">
        <v>0.97457095858476395</v>
      </c>
      <c r="E260">
        <v>0.96542699421079503</v>
      </c>
      <c r="F260">
        <v>0.84427798336013304</v>
      </c>
      <c r="G260">
        <v>0.59251032508169299</v>
      </c>
      <c r="H260">
        <v>0.34023763743796898</v>
      </c>
      <c r="I260">
        <v>0.25345646992636001</v>
      </c>
      <c r="J260">
        <v>0.22727179149642099</v>
      </c>
      <c r="K260">
        <v>0.224945836395162</v>
      </c>
      <c r="L260">
        <v>1280.5033974580299</v>
      </c>
      <c r="M260">
        <v>22.629896707835002</v>
      </c>
      <c r="N260">
        <v>57.949283033010801</v>
      </c>
      <c r="O260">
        <v>56.148287068800698</v>
      </c>
      <c r="P260">
        <v>-7.9948380824402004E-2</v>
      </c>
      <c r="Q260">
        <v>0.206558457869333</v>
      </c>
      <c r="R260">
        <v>0.99399043962102396</v>
      </c>
      <c r="S260" t="s">
        <v>6906</v>
      </c>
      <c r="T260" t="s">
        <v>13290</v>
      </c>
      <c r="U260" t="s">
        <v>13290</v>
      </c>
      <c r="V260" t="s">
        <v>13290</v>
      </c>
      <c r="W260" t="s">
        <v>13547</v>
      </c>
      <c r="X260">
        <v>15</v>
      </c>
      <c r="Y260" t="s">
        <v>20134</v>
      </c>
      <c r="Z260" t="s">
        <v>26590</v>
      </c>
      <c r="AA260">
        <v>0.65359245399658739</v>
      </c>
      <c r="AB260" t="str">
        <f>HYPERLINK("Melting_Curves/meltCurve_B7Z7F3_RANBP3.pdf", "Melting_Curves/meltCurve_B7Z7F3_RANBP3.pdf")</f>
        <v>Melting_Curves/meltCurve_B7Z7F3_RANBP3.pdf</v>
      </c>
    </row>
    <row r="261" spans="1:28" x14ac:dyDescent="0.25">
      <c r="A261" t="s">
        <v>265</v>
      </c>
      <c r="B261">
        <v>0.99252571173614901</v>
      </c>
      <c r="C261">
        <v>0.96161697836527205</v>
      </c>
      <c r="D261">
        <v>0.75825542418675995</v>
      </c>
      <c r="E261">
        <v>0.53458678340082</v>
      </c>
      <c r="F261">
        <v>0.24210351247294401</v>
      </c>
      <c r="G261">
        <v>0.15226651752074999</v>
      </c>
      <c r="H261">
        <v>0.116514595613598</v>
      </c>
      <c r="I261">
        <v>0.11619492675969099</v>
      </c>
      <c r="J261">
        <v>0.13431844320846201</v>
      </c>
      <c r="K261">
        <v>0.15599417448515601</v>
      </c>
      <c r="L261">
        <v>960.65718897331396</v>
      </c>
      <c r="M261">
        <v>19.673131705703401</v>
      </c>
      <c r="N261">
        <v>49.507785912609698</v>
      </c>
      <c r="O261">
        <v>48.334788330243697</v>
      </c>
      <c r="P261">
        <v>-8.9759170290707499E-2</v>
      </c>
      <c r="Q261">
        <v>0.11791598231024999</v>
      </c>
      <c r="R261">
        <v>0.99466731097285499</v>
      </c>
      <c r="S261" t="s">
        <v>6907</v>
      </c>
      <c r="T261" t="s">
        <v>13290</v>
      </c>
      <c r="U261" t="s">
        <v>13290</v>
      </c>
      <c r="V261" t="s">
        <v>13290</v>
      </c>
      <c r="W261" t="s">
        <v>13548</v>
      </c>
      <c r="X261">
        <v>3</v>
      </c>
      <c r="Y261" t="s">
        <v>20135</v>
      </c>
      <c r="Z261" t="s">
        <v>26591</v>
      </c>
      <c r="AA261">
        <v>0.39037106587842002</v>
      </c>
      <c r="AB261" t="str">
        <f>HYPERLINK("Melting_Curves/meltCurve_B7Z7H3_ZKSCAN4.pdf", "Melting_Curves/meltCurve_B7Z7H3_ZKSCAN4.pdf")</f>
        <v>Melting_Curves/meltCurve_B7Z7H3_ZKSCAN4.pdf</v>
      </c>
    </row>
    <row r="262" spans="1:28" x14ac:dyDescent="0.25">
      <c r="A262" t="s">
        <v>266</v>
      </c>
      <c r="B262">
        <v>0.99252571173614901</v>
      </c>
      <c r="C262">
        <v>0.89133404555232099</v>
      </c>
      <c r="D262">
        <v>0.82183704206364305</v>
      </c>
      <c r="E262">
        <v>0.680991853794917</v>
      </c>
      <c r="F262">
        <v>0.39061071162866801</v>
      </c>
      <c r="G262">
        <v>0.18582857782137999</v>
      </c>
      <c r="H262">
        <v>0.12660161866144401</v>
      </c>
      <c r="I262">
        <v>0.13806011382017799</v>
      </c>
      <c r="J262">
        <v>0.17776972337827099</v>
      </c>
      <c r="K262">
        <v>5.7760981870065099E-2</v>
      </c>
      <c r="L262">
        <v>783.54594655991002</v>
      </c>
      <c r="M262">
        <v>15.420370442846201</v>
      </c>
      <c r="N262">
        <v>51.425982285817497</v>
      </c>
      <c r="O262">
        <v>49.980858508870497</v>
      </c>
      <c r="P262">
        <v>-7.0656669795493995E-2</v>
      </c>
      <c r="Q262">
        <v>8.4026960103340695E-2</v>
      </c>
      <c r="R262">
        <v>0.98553856145906704</v>
      </c>
      <c r="S262" t="s">
        <v>6908</v>
      </c>
      <c r="T262" t="s">
        <v>13290</v>
      </c>
      <c r="U262" t="s">
        <v>13290</v>
      </c>
      <c r="V262" t="s">
        <v>13290</v>
      </c>
      <c r="W262" t="s">
        <v>13549</v>
      </c>
      <c r="X262">
        <v>2</v>
      </c>
      <c r="Y262" t="s">
        <v>20136</v>
      </c>
      <c r="Z262" t="s">
        <v>26592</v>
      </c>
      <c r="AA262">
        <v>0.43447376342572203</v>
      </c>
      <c r="AB262" t="str">
        <f>HYPERLINK("Melting_Curves/meltCurve_B7Z7J3_AMN1.pdf", "Melting_Curves/meltCurve_B7Z7J3_AMN1.pdf")</f>
        <v>Melting_Curves/meltCurve_B7Z7J3_AMN1.pdf</v>
      </c>
    </row>
    <row r="263" spans="1:28" x14ac:dyDescent="0.25">
      <c r="A263" t="s">
        <v>267</v>
      </c>
      <c r="B263">
        <v>0.99252571173614901</v>
      </c>
      <c r="C263">
        <v>0.79987372247101296</v>
      </c>
      <c r="D263">
        <v>0.74239397882067604</v>
      </c>
      <c r="E263">
        <v>0.28384435085826498</v>
      </c>
      <c r="F263">
        <v>0.160138807078409</v>
      </c>
      <c r="G263">
        <v>9.1452428528926794E-2</v>
      </c>
      <c r="H263">
        <v>6.9757009000527295E-2</v>
      </c>
      <c r="I263">
        <v>7.4308652913631701E-2</v>
      </c>
      <c r="J263">
        <v>8.9344897084790598E-2</v>
      </c>
      <c r="K263">
        <v>9.4305835650574904E-2</v>
      </c>
      <c r="L263">
        <v>977.76784349100296</v>
      </c>
      <c r="M263">
        <v>20.6879333518831</v>
      </c>
      <c r="N263">
        <v>47.625679107296797</v>
      </c>
      <c r="O263">
        <v>46.827754385591298</v>
      </c>
      <c r="P263">
        <v>-0.10239423082106799</v>
      </c>
      <c r="Q263">
        <v>7.2936813126751099E-2</v>
      </c>
      <c r="R263">
        <v>0.98381791236443905</v>
      </c>
      <c r="S263" t="s">
        <v>6909</v>
      </c>
      <c r="T263" t="s">
        <v>13290</v>
      </c>
      <c r="U263" t="s">
        <v>13290</v>
      </c>
      <c r="V263" t="s">
        <v>13290</v>
      </c>
      <c r="W263" t="s">
        <v>13512</v>
      </c>
      <c r="X263">
        <v>44</v>
      </c>
      <c r="Y263" t="s">
        <v>20137</v>
      </c>
      <c r="Z263" t="s">
        <v>26593</v>
      </c>
      <c r="AA263">
        <v>0.30985034187124733</v>
      </c>
      <c r="AB263" t="str">
        <f>HYPERLINK("Melting_Curves/meltCurve_B7Z815_USP7.pdf", "Melting_Curves/meltCurve_B7Z815_USP7.pdf")</f>
        <v>Melting_Curves/meltCurve_B7Z815_USP7.pdf</v>
      </c>
    </row>
    <row r="264" spans="1:28" x14ac:dyDescent="0.25">
      <c r="A264" t="s">
        <v>268</v>
      </c>
      <c r="B264">
        <v>0.99252571173614901</v>
      </c>
      <c r="C264">
        <v>0.86685744898391304</v>
      </c>
      <c r="D264">
        <v>0.81585010708476502</v>
      </c>
      <c r="E264">
        <v>0.57122428479452503</v>
      </c>
      <c r="F264">
        <v>0.239047571422358</v>
      </c>
      <c r="G264">
        <v>0.15279784874763699</v>
      </c>
      <c r="H264">
        <v>0.124721918601643</v>
      </c>
      <c r="I264">
        <v>0.15641738741478101</v>
      </c>
      <c r="J264">
        <v>0.210038887080298</v>
      </c>
      <c r="K264">
        <v>0.16157687256581299</v>
      </c>
      <c r="L264">
        <v>999.22254781702702</v>
      </c>
      <c r="M264">
        <v>20.4079054980681</v>
      </c>
      <c r="N264">
        <v>49.790468114484</v>
      </c>
      <c r="O264">
        <v>48.499671617906699</v>
      </c>
      <c r="P264">
        <v>-9.0062705942275598E-2</v>
      </c>
      <c r="Q264">
        <v>0.143884720292214</v>
      </c>
      <c r="R264">
        <v>0.98160167904463003</v>
      </c>
      <c r="S264" t="s">
        <v>6910</v>
      </c>
      <c r="T264" t="s">
        <v>13290</v>
      </c>
      <c r="U264" t="s">
        <v>13290</v>
      </c>
      <c r="V264" t="s">
        <v>13290</v>
      </c>
      <c r="W264" t="s">
        <v>13550</v>
      </c>
      <c r="X264">
        <v>13</v>
      </c>
      <c r="Y264" t="s">
        <v>20138</v>
      </c>
      <c r="Z264" t="s">
        <v>26594</v>
      </c>
      <c r="AA264">
        <v>0.41116253177909301</v>
      </c>
      <c r="AB264" t="str">
        <f>HYPERLINK("Melting_Curves/meltCurve_B7Z817_DHCR24.pdf", "Melting_Curves/meltCurve_B7Z817_DHCR24.pdf")</f>
        <v>Melting_Curves/meltCurve_B7Z817_DHCR24.pdf</v>
      </c>
    </row>
    <row r="265" spans="1:28" x14ac:dyDescent="0.25">
      <c r="A265" t="s">
        <v>269</v>
      </c>
      <c r="B265">
        <v>0.99252571173614901</v>
      </c>
      <c r="C265">
        <v>0.89872555122007503</v>
      </c>
      <c r="D265">
        <v>0.84972725542011396</v>
      </c>
      <c r="E265">
        <v>0.64208291835094999</v>
      </c>
      <c r="F265">
        <v>0.326440794808807</v>
      </c>
      <c r="G265">
        <v>0.124046186065844</v>
      </c>
      <c r="H265">
        <v>9.9778766295044702E-2</v>
      </c>
      <c r="I265">
        <v>0.124903833075395</v>
      </c>
      <c r="J265">
        <v>0.14692025336610401</v>
      </c>
      <c r="K265">
        <v>0.128418136181184</v>
      </c>
      <c r="L265">
        <v>1002.62770327608</v>
      </c>
      <c r="M265">
        <v>19.982828524399299</v>
      </c>
      <c r="N265">
        <v>50.764636226360899</v>
      </c>
      <c r="O265">
        <v>49.6800937172871</v>
      </c>
      <c r="P265">
        <v>-9.0137614630089305E-2</v>
      </c>
      <c r="Q265">
        <v>0.103650718966974</v>
      </c>
      <c r="R265">
        <v>0.98892238905913499</v>
      </c>
      <c r="S265" t="s">
        <v>6911</v>
      </c>
      <c r="T265" t="s">
        <v>13290</v>
      </c>
      <c r="U265" t="s">
        <v>13290</v>
      </c>
      <c r="V265" t="s">
        <v>13290</v>
      </c>
      <c r="W265" t="s">
        <v>13551</v>
      </c>
      <c r="X265">
        <v>6</v>
      </c>
      <c r="Y265" t="s">
        <v>20139</v>
      </c>
      <c r="Z265" t="s">
        <v>26595</v>
      </c>
      <c r="AA265">
        <v>0.42013782080339729</v>
      </c>
      <c r="AB265" t="str">
        <f>HYPERLINK("Melting_Curves/meltCurve_B7Z9I3_ATP6AP2.pdf", "Melting_Curves/meltCurve_B7Z9I3_ATP6AP2.pdf")</f>
        <v>Melting_Curves/meltCurve_B7Z9I3_ATP6AP2.pdf</v>
      </c>
    </row>
    <row r="266" spans="1:28" x14ac:dyDescent="0.25">
      <c r="A266" t="s">
        <v>270</v>
      </c>
      <c r="B266">
        <v>0.99252571173614901</v>
      </c>
      <c r="C266">
        <v>1.0442827548546201</v>
      </c>
      <c r="D266">
        <v>0.71939209416521199</v>
      </c>
      <c r="E266">
        <v>0.44034106939434198</v>
      </c>
      <c r="F266">
        <v>0.29558825973564501</v>
      </c>
      <c r="G266">
        <v>0.21545354041168199</v>
      </c>
      <c r="H266">
        <v>0.20413570075443099</v>
      </c>
      <c r="I266">
        <v>0.21904614924968999</v>
      </c>
      <c r="J266">
        <v>0.244372280792411</v>
      </c>
      <c r="K266">
        <v>0.231960018986828</v>
      </c>
      <c r="L266">
        <v>1218.9399599205401</v>
      </c>
      <c r="M266">
        <v>25.6638045110222</v>
      </c>
      <c r="N266">
        <v>48.6332524080456</v>
      </c>
      <c r="O266">
        <v>47.210881337065601</v>
      </c>
      <c r="P266">
        <v>-0.10524719059580501</v>
      </c>
      <c r="Q266">
        <v>0.225562405256092</v>
      </c>
      <c r="R266">
        <v>0.98720287578483701</v>
      </c>
      <c r="S266" t="s">
        <v>6912</v>
      </c>
      <c r="T266" t="s">
        <v>13290</v>
      </c>
      <c r="U266" t="s">
        <v>13290</v>
      </c>
      <c r="V266" t="s">
        <v>13290</v>
      </c>
      <c r="W266" t="s">
        <v>13552</v>
      </c>
      <c r="X266">
        <v>6</v>
      </c>
      <c r="Y266" t="s">
        <v>20140</v>
      </c>
      <c r="Z266" t="s">
        <v>26596</v>
      </c>
      <c r="AA266">
        <v>0.42556771452831199</v>
      </c>
      <c r="AB266" t="str">
        <f>HYPERLINK("Melting_Curves/meltCurve_B7Z9J4_CALB1.pdf", "Melting_Curves/meltCurve_B7Z9J4_CALB1.pdf")</f>
        <v>Melting_Curves/meltCurve_B7Z9J4_CALB1.pdf</v>
      </c>
    </row>
    <row r="267" spans="1:28" x14ac:dyDescent="0.25">
      <c r="A267" t="s">
        <v>271</v>
      </c>
      <c r="B267">
        <v>0.99252571173614901</v>
      </c>
      <c r="C267">
        <v>0.86968956192042701</v>
      </c>
      <c r="D267">
        <v>0.84767460465921995</v>
      </c>
      <c r="E267">
        <v>0.92952949587213396</v>
      </c>
      <c r="F267">
        <v>0.68778043414601697</v>
      </c>
      <c r="G267">
        <v>0.52095655489867898</v>
      </c>
      <c r="H267">
        <v>0.365975650337165</v>
      </c>
      <c r="I267">
        <v>0.48538064094917799</v>
      </c>
      <c r="J267">
        <v>0.71893513643797302</v>
      </c>
      <c r="K267">
        <v>0.47291769514790699</v>
      </c>
      <c r="L267">
        <v>1669.82994495099</v>
      </c>
      <c r="M267">
        <v>32.056637788605201</v>
      </c>
      <c r="O267">
        <v>51.888541745648503</v>
      </c>
      <c r="P267">
        <v>-7.6097442296693005E-2</v>
      </c>
      <c r="Q267">
        <v>0.507301387935019</v>
      </c>
      <c r="R267">
        <v>0.75212218175652201</v>
      </c>
      <c r="S267" t="s">
        <v>6913</v>
      </c>
      <c r="T267" t="s">
        <v>13290</v>
      </c>
      <c r="U267" t="s">
        <v>13290</v>
      </c>
      <c r="V267" t="s">
        <v>13290</v>
      </c>
      <c r="W267" t="s">
        <v>13553</v>
      </c>
      <c r="X267">
        <v>18</v>
      </c>
      <c r="Y267" t="s">
        <v>20141</v>
      </c>
      <c r="Z267" t="s">
        <v>26597</v>
      </c>
      <c r="AA267">
        <v>0.70862200192824942</v>
      </c>
      <c r="AB267" t="str">
        <f>HYPERLINK("Melting_Curves/meltCurve_B7Z9S8_ATP1B1.pdf", "Melting_Curves/meltCurve_B7Z9S8_ATP1B1.pdf")</f>
        <v>Melting_Curves/meltCurve_B7Z9S8_ATP1B1.pdf</v>
      </c>
    </row>
    <row r="268" spans="1:28" x14ac:dyDescent="0.25">
      <c r="A268" t="s">
        <v>272</v>
      </c>
      <c r="B268">
        <v>0.99252571173614901</v>
      </c>
      <c r="C268">
        <v>0.91238421594238905</v>
      </c>
      <c r="D268">
        <v>0.82091969434773104</v>
      </c>
      <c r="E268">
        <v>0.78655545242601399</v>
      </c>
      <c r="F268">
        <v>0.53922320516366395</v>
      </c>
      <c r="G268">
        <v>0.35089030039475699</v>
      </c>
      <c r="H268">
        <v>0.25424789705072798</v>
      </c>
      <c r="I268">
        <v>0.24704800513931</v>
      </c>
      <c r="J268">
        <v>0.31730199136701298</v>
      </c>
      <c r="K268">
        <v>0.27660941813318601</v>
      </c>
      <c r="L268">
        <v>761.72799993016702</v>
      </c>
      <c r="M268">
        <v>14.8253052709166</v>
      </c>
      <c r="N268">
        <v>53.707026172732</v>
      </c>
      <c r="O268">
        <v>50.472584592708998</v>
      </c>
      <c r="P268">
        <v>-5.6038220143173903E-2</v>
      </c>
      <c r="Q268">
        <v>0.2369547589089</v>
      </c>
      <c r="R268">
        <v>0.97474656220804201</v>
      </c>
      <c r="S268" t="s">
        <v>6914</v>
      </c>
      <c r="T268" t="s">
        <v>13290</v>
      </c>
      <c r="U268" t="s">
        <v>13290</v>
      </c>
      <c r="V268" t="s">
        <v>13290</v>
      </c>
      <c r="W268" t="s">
        <v>13554</v>
      </c>
      <c r="X268">
        <v>4</v>
      </c>
      <c r="Y268" t="s">
        <v>20142</v>
      </c>
      <c r="Z268" t="s">
        <v>26598</v>
      </c>
      <c r="AA268">
        <v>0.54415677330377321</v>
      </c>
      <c r="AB268" t="str">
        <f>HYPERLINK("Melting_Curves/meltCurve_B7ZAA0_PMS1.pdf", "Melting_Curves/meltCurve_B7ZAA0_PMS1.pdf")</f>
        <v>Melting_Curves/meltCurve_B7ZAA0_PMS1.pdf</v>
      </c>
    </row>
    <row r="269" spans="1:28" x14ac:dyDescent="0.25">
      <c r="A269" t="s">
        <v>273</v>
      </c>
      <c r="B269">
        <v>0.99252571173614901</v>
      </c>
      <c r="C269">
        <v>1.06483744342511</v>
      </c>
      <c r="D269">
        <v>0.97684596901064802</v>
      </c>
      <c r="E269">
        <v>0.82670546415021295</v>
      </c>
      <c r="F269">
        <v>0.750625680419577</v>
      </c>
      <c r="G269">
        <v>0.46256804309868699</v>
      </c>
      <c r="H269">
        <v>9.4318514894061206E-2</v>
      </c>
      <c r="I269">
        <v>6.9177564052930296E-2</v>
      </c>
      <c r="J269">
        <v>7.5841020178675403E-2</v>
      </c>
      <c r="K269">
        <v>6.5367380905062195E-2</v>
      </c>
      <c r="L269">
        <v>1111.13630569158</v>
      </c>
      <c r="M269">
        <v>19.9545692487353</v>
      </c>
      <c r="N269">
        <v>55.790886873725199</v>
      </c>
      <c r="O269">
        <v>55.133101149491203</v>
      </c>
      <c r="P269">
        <v>-8.8778853502135893E-2</v>
      </c>
      <c r="Q269">
        <v>1.88724655023625E-2</v>
      </c>
      <c r="R269">
        <v>0.98504512881497996</v>
      </c>
      <c r="S269" t="s">
        <v>6915</v>
      </c>
      <c r="T269" t="s">
        <v>13290</v>
      </c>
      <c r="U269" t="s">
        <v>13290</v>
      </c>
      <c r="V269" t="s">
        <v>13290</v>
      </c>
      <c r="W269" t="s">
        <v>13555</v>
      </c>
      <c r="X269">
        <v>7</v>
      </c>
      <c r="Y269" t="s">
        <v>20143</v>
      </c>
      <c r="Z269" t="s">
        <v>26599</v>
      </c>
      <c r="AA269">
        <v>0.54461642617278339</v>
      </c>
      <c r="AB269" t="str">
        <f>HYPERLINK("Melting_Curves/meltCurve_B7ZAX5_GALK2.pdf", "Melting_Curves/meltCurve_B7ZAX5_GALK2.pdf")</f>
        <v>Melting_Curves/meltCurve_B7ZAX5_GALK2.pdf</v>
      </c>
    </row>
    <row r="270" spans="1:28" x14ac:dyDescent="0.25">
      <c r="A270" t="s">
        <v>274</v>
      </c>
      <c r="B270">
        <v>0.99252571173614901</v>
      </c>
      <c r="C270">
        <v>0.63957190479263804</v>
      </c>
      <c r="D270">
        <v>0.54930085953711905</v>
      </c>
      <c r="E270">
        <v>0.26536390200530602</v>
      </c>
      <c r="F270">
        <v>0.29051216746833403</v>
      </c>
      <c r="G270">
        <v>0.17747725803738901</v>
      </c>
      <c r="H270">
        <v>0.149542915718759</v>
      </c>
      <c r="I270">
        <v>0.18514033845289299</v>
      </c>
      <c r="J270">
        <v>0.18358781222456799</v>
      </c>
      <c r="K270">
        <v>0.269870202308165</v>
      </c>
      <c r="L270">
        <v>806.37503490492895</v>
      </c>
      <c r="M270">
        <v>18.108106136974101</v>
      </c>
      <c r="N270">
        <v>45.784701643710498</v>
      </c>
      <c r="O270">
        <v>43.998721694702198</v>
      </c>
      <c r="P270">
        <v>-8.2783819052409502E-2</v>
      </c>
      <c r="Q270">
        <v>0.19545255955504801</v>
      </c>
      <c r="R270">
        <v>0.94983149145021595</v>
      </c>
      <c r="S270" t="s">
        <v>6916</v>
      </c>
      <c r="T270" t="s">
        <v>13290</v>
      </c>
      <c r="U270" t="s">
        <v>13290</v>
      </c>
      <c r="V270" t="s">
        <v>13290</v>
      </c>
      <c r="W270" t="s">
        <v>13556</v>
      </c>
      <c r="X270">
        <v>2</v>
      </c>
      <c r="Y270" t="s">
        <v>20144</v>
      </c>
      <c r="Z270" t="s">
        <v>26600</v>
      </c>
      <c r="AA270">
        <v>0.33509890371955231</v>
      </c>
      <c r="AB270" t="str">
        <f>HYPERLINK("Melting_Curves/meltCurve_B7ZBM3_FOXP4.pdf", "Melting_Curves/meltCurve_B7ZBM3_FOXP4.pdf")</f>
        <v>Melting_Curves/meltCurve_B7ZBM3_FOXP4.pdf</v>
      </c>
    </row>
    <row r="271" spans="1:28" x14ac:dyDescent="0.25">
      <c r="A271" t="s">
        <v>275</v>
      </c>
      <c r="B271">
        <v>0.99252571173614901</v>
      </c>
      <c r="C271">
        <v>1.01328652525706</v>
      </c>
      <c r="D271">
        <v>0.801699379880628</v>
      </c>
      <c r="E271">
        <v>0.36215892692442198</v>
      </c>
      <c r="F271">
        <v>0.145756875960451</v>
      </c>
      <c r="G271">
        <v>9.3409944668359196E-2</v>
      </c>
      <c r="H271">
        <v>6.8726513998285901E-2</v>
      </c>
      <c r="I271">
        <v>6.5626564246188498E-2</v>
      </c>
      <c r="J271">
        <v>7.8453928381101795E-2</v>
      </c>
      <c r="K271">
        <v>8.0533155076367796E-2</v>
      </c>
      <c r="L271">
        <v>1370.0677340408399</v>
      </c>
      <c r="M271">
        <v>28.420246762228999</v>
      </c>
      <c r="N271">
        <v>48.4876072217656</v>
      </c>
      <c r="O271">
        <v>47.970668836178397</v>
      </c>
      <c r="P271">
        <v>-0.13689908050577601</v>
      </c>
      <c r="Q271">
        <v>7.5717035173384406E-2</v>
      </c>
      <c r="R271">
        <v>0.998576010110104</v>
      </c>
      <c r="S271" t="s">
        <v>6917</v>
      </c>
      <c r="T271" t="s">
        <v>13290</v>
      </c>
      <c r="U271" t="s">
        <v>13290</v>
      </c>
      <c r="V271" t="s">
        <v>13290</v>
      </c>
      <c r="W271" t="s">
        <v>13557</v>
      </c>
      <c r="X271">
        <v>16</v>
      </c>
      <c r="Y271" t="s">
        <v>20145</v>
      </c>
      <c r="Z271" t="s">
        <v>26601</v>
      </c>
      <c r="AA271">
        <v>0.33482331383776331</v>
      </c>
      <c r="AB271" t="str">
        <f>HYPERLINK("Melting_Curves/meltCurve_B7ZC38_SH3GLB2.pdf", "Melting_Curves/meltCurve_B7ZC38_SH3GLB2.pdf")</f>
        <v>Melting_Curves/meltCurve_B7ZC38_SH3GLB2.pdf</v>
      </c>
    </row>
    <row r="272" spans="1:28" x14ac:dyDescent="0.25">
      <c r="A272" t="s">
        <v>276</v>
      </c>
      <c r="B272">
        <v>0.99252571173614901</v>
      </c>
      <c r="C272">
        <v>0.95423194788316801</v>
      </c>
      <c r="D272">
        <v>0.94741403753602804</v>
      </c>
      <c r="E272">
        <v>0.62590257255093096</v>
      </c>
      <c r="F272">
        <v>0.225733985145356</v>
      </c>
      <c r="G272">
        <v>0.12543369106944099</v>
      </c>
      <c r="H272">
        <v>8.7867464912827598E-2</v>
      </c>
      <c r="I272">
        <v>8.3017035793610403E-2</v>
      </c>
      <c r="J272">
        <v>0.102424633284039</v>
      </c>
      <c r="K272">
        <v>9.9042503347358798E-2</v>
      </c>
      <c r="L272">
        <v>1513.2048419264299</v>
      </c>
      <c r="M272">
        <v>30.163133487964298</v>
      </c>
      <c r="N272">
        <v>50.5095096220032</v>
      </c>
      <c r="O272">
        <v>49.948397580910402</v>
      </c>
      <c r="P272">
        <v>-0.13702311867474401</v>
      </c>
      <c r="Q272">
        <v>9.2396357825970707E-2</v>
      </c>
      <c r="R272">
        <v>0.99859307583079804</v>
      </c>
      <c r="S272" t="s">
        <v>6918</v>
      </c>
      <c r="T272" t="s">
        <v>13290</v>
      </c>
      <c r="U272" t="s">
        <v>13290</v>
      </c>
      <c r="V272" t="s">
        <v>13290</v>
      </c>
      <c r="W272" t="s">
        <v>13558</v>
      </c>
      <c r="X272">
        <v>9</v>
      </c>
      <c r="Y272" t="s">
        <v>20146</v>
      </c>
      <c r="Z272" t="s">
        <v>26602</v>
      </c>
      <c r="AA272">
        <v>0.40556182509262961</v>
      </c>
      <c r="AB272" t="str">
        <f>HYPERLINK("Melting_Curves/meltCurve_B7ZKK9_PPP2R5E.pdf", "Melting_Curves/meltCurve_B7ZKK9_PPP2R5E.pdf")</f>
        <v>Melting_Curves/meltCurve_B7ZKK9_PPP2R5E.pdf</v>
      </c>
    </row>
    <row r="273" spans="1:28" x14ac:dyDescent="0.25">
      <c r="A273" t="s">
        <v>277</v>
      </c>
      <c r="B273">
        <v>0.99252571173614901</v>
      </c>
      <c r="C273">
        <v>0.68594501660045604</v>
      </c>
      <c r="D273">
        <v>1.36693704318284</v>
      </c>
      <c r="E273">
        <v>0.85982828975454795</v>
      </c>
      <c r="F273">
        <v>0.33509934574850597</v>
      </c>
      <c r="G273">
        <v>0.107903233292554</v>
      </c>
      <c r="H273">
        <v>0.133745230939709</v>
      </c>
      <c r="I273">
        <v>0.1932642873482</v>
      </c>
      <c r="J273">
        <v>6.0382703182105403E-2</v>
      </c>
      <c r="K273">
        <v>0.101615445068074</v>
      </c>
      <c r="L273">
        <v>2303.7716694032101</v>
      </c>
      <c r="M273">
        <v>44.502777861816099</v>
      </c>
      <c r="N273">
        <v>52.080094741951498</v>
      </c>
      <c r="O273">
        <v>51.662716610552401</v>
      </c>
      <c r="P273">
        <v>-0.19007092921702201</v>
      </c>
      <c r="Q273">
        <v>0.117397381238334</v>
      </c>
      <c r="R273">
        <v>0.87116968227318403</v>
      </c>
      <c r="S273" t="s">
        <v>6919</v>
      </c>
      <c r="T273" t="s">
        <v>13290</v>
      </c>
      <c r="U273" t="s">
        <v>13290</v>
      </c>
      <c r="V273" t="s">
        <v>13290</v>
      </c>
      <c r="W273" t="s">
        <v>13559</v>
      </c>
      <c r="X273">
        <v>1</v>
      </c>
      <c r="Y273" t="s">
        <v>20147</v>
      </c>
      <c r="Z273" t="s">
        <v>26603</v>
      </c>
      <c r="AA273">
        <v>0.46612839130387479</v>
      </c>
      <c r="AB273" t="str">
        <f>HYPERLINK("Melting_Curves/meltCurve_B7ZKP8_UBXN2A.pdf", "Melting_Curves/meltCurve_B7ZKP8_UBXN2A.pdf")</f>
        <v>Melting_Curves/meltCurve_B7ZKP8_UBXN2A.pdf</v>
      </c>
    </row>
    <row r="274" spans="1:28" x14ac:dyDescent="0.25">
      <c r="A274" t="s">
        <v>278</v>
      </c>
      <c r="B274">
        <v>0.99252571173614901</v>
      </c>
      <c r="C274">
        <v>0.94019972667882101</v>
      </c>
      <c r="D274">
        <v>0.90440758217475203</v>
      </c>
      <c r="E274">
        <v>0.803934586137943</v>
      </c>
      <c r="F274">
        <v>0.66753805074897998</v>
      </c>
      <c r="G274">
        <v>0.54714932924187798</v>
      </c>
      <c r="H274">
        <v>0.41876551038239801</v>
      </c>
      <c r="I274">
        <v>0.52082147719462402</v>
      </c>
      <c r="J274">
        <v>0.69442924733487299</v>
      </c>
      <c r="K274">
        <v>0.42811900639595202</v>
      </c>
      <c r="L274">
        <v>879.489644334746</v>
      </c>
      <c r="M274">
        <v>17.467248188509899</v>
      </c>
      <c r="O274">
        <v>49.704755700299401</v>
      </c>
      <c r="P274">
        <v>-4.3401428721806502E-2</v>
      </c>
      <c r="Q274">
        <v>0.50601559617169001</v>
      </c>
      <c r="R274">
        <v>0.86431737406895304</v>
      </c>
      <c r="S274" t="s">
        <v>6920</v>
      </c>
      <c r="T274" t="s">
        <v>13290</v>
      </c>
      <c r="U274" t="s">
        <v>13290</v>
      </c>
      <c r="V274" t="s">
        <v>13290</v>
      </c>
      <c r="W274" t="s">
        <v>13560</v>
      </c>
      <c r="X274">
        <v>7</v>
      </c>
      <c r="Y274" t="s">
        <v>20148</v>
      </c>
      <c r="Z274" t="s">
        <v>26604</v>
      </c>
      <c r="AA274">
        <v>0.68532126329929499</v>
      </c>
      <c r="AB274" t="str">
        <f>HYPERLINK("Melting_Curves/meltCurve_B7ZKQ9_SCARB1.pdf", "Melting_Curves/meltCurve_B7ZKQ9_SCARB1.pdf")</f>
        <v>Melting_Curves/meltCurve_B7ZKQ9_SCARB1.pdf</v>
      </c>
    </row>
    <row r="275" spans="1:28" x14ac:dyDescent="0.25">
      <c r="A275" t="s">
        <v>279</v>
      </c>
      <c r="B275">
        <v>0.99252571173614901</v>
      </c>
      <c r="C275">
        <v>0.87610252385683596</v>
      </c>
      <c r="D275">
        <v>0.81891420479434596</v>
      </c>
      <c r="E275">
        <v>0.83689058166554797</v>
      </c>
      <c r="F275">
        <v>0.53769068909611095</v>
      </c>
      <c r="G275">
        <v>0.32573066690027602</v>
      </c>
      <c r="H275">
        <v>0.134961741115178</v>
      </c>
      <c r="I275">
        <v>0.106588736405536</v>
      </c>
      <c r="J275">
        <v>0.139296376257594</v>
      </c>
      <c r="K275">
        <v>0.13633886878116799</v>
      </c>
      <c r="L275">
        <v>772.71432582303396</v>
      </c>
      <c r="M275">
        <v>14.547034445764</v>
      </c>
      <c r="N275">
        <v>53.647544504045101</v>
      </c>
      <c r="O275">
        <v>52.1448053512676</v>
      </c>
      <c r="P275">
        <v>-6.5089266288499995E-2</v>
      </c>
      <c r="Q275">
        <v>6.68390257499345E-2</v>
      </c>
      <c r="R275">
        <v>0.97305439870767296</v>
      </c>
      <c r="S275" t="s">
        <v>6921</v>
      </c>
      <c r="T275" t="s">
        <v>13290</v>
      </c>
      <c r="U275" t="s">
        <v>13290</v>
      </c>
      <c r="V275" t="s">
        <v>13290</v>
      </c>
      <c r="W275" t="s">
        <v>13561</v>
      </c>
      <c r="X275">
        <v>10</v>
      </c>
      <c r="Y275" t="s">
        <v>20149</v>
      </c>
      <c r="Z275" t="s">
        <v>26605</v>
      </c>
      <c r="AA275">
        <v>0.49571704204686401</v>
      </c>
      <c r="AB275" t="str">
        <f>HYPERLINK("Melting_Curves/meltCurve_B7ZL82_SMPD3.pdf", "Melting_Curves/meltCurve_B7ZL82_SMPD3.pdf")</f>
        <v>Melting_Curves/meltCurve_B7ZL82_SMPD3.pdf</v>
      </c>
    </row>
    <row r="276" spans="1:28" x14ac:dyDescent="0.25">
      <c r="A276" t="s">
        <v>280</v>
      </c>
      <c r="B276">
        <v>0.99252571173614901</v>
      </c>
      <c r="C276">
        <v>0.93330657845429699</v>
      </c>
      <c r="D276">
        <v>0.85888162895494002</v>
      </c>
      <c r="E276">
        <v>0.82206904106560497</v>
      </c>
      <c r="F276">
        <v>0.79811250918732102</v>
      </c>
      <c r="G276">
        <v>0.63279206358769302</v>
      </c>
      <c r="H276">
        <v>0.38572604436365598</v>
      </c>
      <c r="I276">
        <v>0.19460747720248001</v>
      </c>
      <c r="J276">
        <v>0.21150090335954499</v>
      </c>
      <c r="K276">
        <v>0.19216377610705099</v>
      </c>
      <c r="L276">
        <v>607.54211773344502</v>
      </c>
      <c r="M276">
        <v>10.3998444184699</v>
      </c>
      <c r="N276">
        <v>58.418380259065998</v>
      </c>
      <c r="O276">
        <v>56.382236710891398</v>
      </c>
      <c r="P276">
        <v>-4.6132409205903002E-2</v>
      </c>
      <c r="Q276">
        <v>0</v>
      </c>
      <c r="R276">
        <v>0.96968913295502102</v>
      </c>
      <c r="S276" t="s">
        <v>6922</v>
      </c>
      <c r="T276" t="s">
        <v>13290</v>
      </c>
      <c r="U276" t="s">
        <v>13290</v>
      </c>
      <c r="V276" t="s">
        <v>13290</v>
      </c>
      <c r="W276" t="s">
        <v>13562</v>
      </c>
      <c r="X276">
        <v>3</v>
      </c>
      <c r="Y276" t="s">
        <v>20150</v>
      </c>
      <c r="Z276" t="s">
        <v>26606</v>
      </c>
      <c r="AA276">
        <v>0.6221456810289635</v>
      </c>
      <c r="AB276" t="str">
        <f>HYPERLINK("Melting_Curves/meltCurve_B7ZL88_COX18.pdf", "Melting_Curves/meltCurve_B7ZL88_COX18.pdf")</f>
        <v>Melting_Curves/meltCurve_B7ZL88_COX18.pdf</v>
      </c>
    </row>
    <row r="277" spans="1:28" x14ac:dyDescent="0.25">
      <c r="A277" t="s">
        <v>281</v>
      </c>
      <c r="B277">
        <v>0.99252571173614901</v>
      </c>
      <c r="C277">
        <v>0.97354382229381597</v>
      </c>
      <c r="D277">
        <v>0.69302696105881001</v>
      </c>
      <c r="E277">
        <v>0.25537627864175</v>
      </c>
      <c r="F277">
        <v>0.14673194620763</v>
      </c>
      <c r="G277">
        <v>8.93686424262993E-2</v>
      </c>
      <c r="H277">
        <v>7.0186132942308493E-2</v>
      </c>
      <c r="I277">
        <v>7.7626829182599097E-2</v>
      </c>
      <c r="J277">
        <v>5.9465900745105903E-2</v>
      </c>
      <c r="K277">
        <v>6.0372154821155703E-2</v>
      </c>
      <c r="L277">
        <v>1328.1658827395399</v>
      </c>
      <c r="M277">
        <v>28.140025110202998</v>
      </c>
      <c r="N277">
        <v>47.471094609743702</v>
      </c>
      <c r="O277">
        <v>46.9620145422411</v>
      </c>
      <c r="P277">
        <v>-0.13862577515207999</v>
      </c>
      <c r="Q277">
        <v>7.4614432603627698E-2</v>
      </c>
      <c r="R277">
        <v>0.99814265882559905</v>
      </c>
      <c r="S277" t="s">
        <v>6923</v>
      </c>
      <c r="T277" t="s">
        <v>13290</v>
      </c>
      <c r="U277" t="s">
        <v>13290</v>
      </c>
      <c r="V277" t="s">
        <v>13290</v>
      </c>
      <c r="W277" t="s">
        <v>13563</v>
      </c>
      <c r="X277">
        <v>19</v>
      </c>
      <c r="Y277" t="s">
        <v>20151</v>
      </c>
      <c r="Z277" t="s">
        <v>26607</v>
      </c>
      <c r="AA277">
        <v>0.30302590849773658</v>
      </c>
      <c r="AB277" t="str">
        <f>HYPERLINK("Melting_Curves/meltCurve_B7ZLX3_CLASP1.pdf", "Melting_Curves/meltCurve_B7ZLX3_CLASP1.pdf")</f>
        <v>Melting_Curves/meltCurve_B7ZLX3_CLASP1.pdf</v>
      </c>
    </row>
    <row r="278" spans="1:28" x14ac:dyDescent="0.25">
      <c r="A278" t="s">
        <v>282</v>
      </c>
      <c r="B278">
        <v>0.99252571173614901</v>
      </c>
      <c r="C278">
        <v>0.93122398703453202</v>
      </c>
      <c r="D278">
        <v>0.89952168579685998</v>
      </c>
      <c r="E278">
        <v>0.583587241029212</v>
      </c>
      <c r="F278">
        <v>0.323299647092815</v>
      </c>
      <c r="G278">
        <v>0.172666763012917</v>
      </c>
      <c r="H278">
        <v>0.14629203576534799</v>
      </c>
      <c r="I278">
        <v>0.174053890083261</v>
      </c>
      <c r="J278">
        <v>0.24529229814053299</v>
      </c>
      <c r="K278">
        <v>0.20243023403921401</v>
      </c>
      <c r="L278">
        <v>1230.58380837193</v>
      </c>
      <c r="M278">
        <v>24.851755275288799</v>
      </c>
      <c r="N278">
        <v>50.437939224144401</v>
      </c>
      <c r="O278">
        <v>49.199696089899902</v>
      </c>
      <c r="P278">
        <v>-0.103249559011564</v>
      </c>
      <c r="Q278">
        <v>0.18238741231241801</v>
      </c>
      <c r="R278">
        <v>0.99003937560436295</v>
      </c>
      <c r="S278" t="s">
        <v>6924</v>
      </c>
      <c r="T278" t="s">
        <v>13290</v>
      </c>
      <c r="U278" t="s">
        <v>13290</v>
      </c>
      <c r="V278" t="s">
        <v>13290</v>
      </c>
      <c r="W278" t="s">
        <v>13564</v>
      </c>
      <c r="X278">
        <v>4</v>
      </c>
      <c r="Y278" t="s">
        <v>20152</v>
      </c>
      <c r="Z278" t="s">
        <v>26608</v>
      </c>
      <c r="AA278">
        <v>0.44912334743212529</v>
      </c>
      <c r="AB278" t="str">
        <f>HYPERLINK("Melting_Curves/meltCurve_B7ZLZ2_EDEM3.pdf", "Melting_Curves/meltCurve_B7ZLZ2_EDEM3.pdf")</f>
        <v>Melting_Curves/meltCurve_B7ZLZ2_EDEM3.pdf</v>
      </c>
    </row>
    <row r="279" spans="1:28" x14ac:dyDescent="0.25">
      <c r="A279" t="s">
        <v>283</v>
      </c>
      <c r="B279">
        <v>0.99252571173614901</v>
      </c>
      <c r="C279">
        <v>1.0165365340113499</v>
      </c>
      <c r="D279">
        <v>0.92571181585455797</v>
      </c>
      <c r="E279">
        <v>0.86572606214812498</v>
      </c>
      <c r="F279">
        <v>0.70022307066984202</v>
      </c>
      <c r="G279">
        <v>0.49061265763134099</v>
      </c>
      <c r="H279">
        <v>0.46731098268322802</v>
      </c>
      <c r="I279">
        <v>0.47660228720376402</v>
      </c>
      <c r="J279">
        <v>0.67349225358075504</v>
      </c>
      <c r="K279">
        <v>0.74480728612550995</v>
      </c>
      <c r="L279">
        <v>1574.9592261901701</v>
      </c>
      <c r="M279">
        <v>30.968793028546798</v>
      </c>
      <c r="O279">
        <v>50.645689512538503</v>
      </c>
      <c r="P279">
        <v>-6.5212638838931705E-2</v>
      </c>
      <c r="Q279">
        <v>0.573413152549616</v>
      </c>
      <c r="R279">
        <v>0.81144640857762296</v>
      </c>
      <c r="S279" t="s">
        <v>6925</v>
      </c>
      <c r="T279" t="s">
        <v>13290</v>
      </c>
      <c r="U279" t="s">
        <v>13290</v>
      </c>
      <c r="V279" t="s">
        <v>13290</v>
      </c>
      <c r="W279" t="s">
        <v>13565</v>
      </c>
      <c r="X279">
        <v>2</v>
      </c>
      <c r="Y279" t="s">
        <v>20153</v>
      </c>
      <c r="Z279" t="s">
        <v>26609</v>
      </c>
      <c r="AA279">
        <v>0.7302958781061949</v>
      </c>
      <c r="AB279" t="str">
        <f>HYPERLINK("Melting_Curves/meltCurve_B8X2Z3_RLTPR.pdf", "Melting_Curves/meltCurve_B8X2Z3_RLTPR.pdf")</f>
        <v>Melting_Curves/meltCurve_B8X2Z3_RLTPR.pdf</v>
      </c>
    </row>
    <row r="280" spans="1:28" x14ac:dyDescent="0.25">
      <c r="A280" t="s">
        <v>284</v>
      </c>
      <c r="B280">
        <v>0.99252571173614901</v>
      </c>
      <c r="C280">
        <v>0.94299271895859804</v>
      </c>
      <c r="D280">
        <v>0.85839001844589102</v>
      </c>
      <c r="E280">
        <v>0.70460614931256405</v>
      </c>
      <c r="F280">
        <v>0.49192187513668301</v>
      </c>
      <c r="G280">
        <v>0.291459914705194</v>
      </c>
      <c r="H280">
        <v>0.187876099724436</v>
      </c>
      <c r="I280">
        <v>0.18859650103158601</v>
      </c>
      <c r="J280">
        <v>0.291525443731875</v>
      </c>
      <c r="K280">
        <v>0.25868193029164199</v>
      </c>
      <c r="L280">
        <v>889.30866100909702</v>
      </c>
      <c r="M280">
        <v>17.510031414813199</v>
      </c>
      <c r="N280">
        <v>52.448337806637603</v>
      </c>
      <c r="O280">
        <v>50.1399677223895</v>
      </c>
      <c r="P280">
        <v>-6.8738273734615801E-2</v>
      </c>
      <c r="Q280">
        <v>0.21271504054776499</v>
      </c>
      <c r="R280">
        <v>0.98245610495939295</v>
      </c>
      <c r="S280" t="s">
        <v>6926</v>
      </c>
      <c r="T280" t="s">
        <v>13290</v>
      </c>
      <c r="U280" t="s">
        <v>13290</v>
      </c>
      <c r="V280" t="s">
        <v>13290</v>
      </c>
      <c r="W280" t="s">
        <v>13566</v>
      </c>
      <c r="X280">
        <v>1</v>
      </c>
      <c r="Y280" t="s">
        <v>20154</v>
      </c>
      <c r="Z280" t="s">
        <v>26610</v>
      </c>
      <c r="AA280">
        <v>0.50981720480159654</v>
      </c>
      <c r="AB280" t="str">
        <f>HYPERLINK("Melting_Curves/meltCurve_B8ZZ99_CCDC115.pdf", "Melting_Curves/meltCurve_B8ZZ99_CCDC115.pdf")</f>
        <v>Melting_Curves/meltCurve_B8ZZ99_CCDC115.pdf</v>
      </c>
    </row>
    <row r="281" spans="1:28" x14ac:dyDescent="0.25">
      <c r="A281" t="s">
        <v>285</v>
      </c>
      <c r="B281">
        <v>0.99252571173614901</v>
      </c>
      <c r="C281">
        <v>0.92906571829636198</v>
      </c>
      <c r="D281">
        <v>0.81865969286086404</v>
      </c>
      <c r="E281">
        <v>0.55055453295692003</v>
      </c>
      <c r="F281">
        <v>0.46564915881552499</v>
      </c>
      <c r="G281">
        <v>0.215816609869913</v>
      </c>
      <c r="H281">
        <v>0.13523799942234399</v>
      </c>
      <c r="I281">
        <v>9.8068422866593202E-2</v>
      </c>
      <c r="J281">
        <v>5.1094896120172199E-2</v>
      </c>
      <c r="K281">
        <v>9.7620883238060993E-2</v>
      </c>
      <c r="L281">
        <v>652.91900785115797</v>
      </c>
      <c r="M281">
        <v>12.791237626388099</v>
      </c>
      <c r="N281">
        <v>51.3309223307715</v>
      </c>
      <c r="O281">
        <v>49.8449004367477</v>
      </c>
      <c r="P281">
        <v>-6.1955196179741601E-2</v>
      </c>
      <c r="Q281">
        <v>3.4473350156564699E-2</v>
      </c>
      <c r="R281">
        <v>0.99083360149801003</v>
      </c>
      <c r="S281" t="s">
        <v>6927</v>
      </c>
      <c r="T281" t="s">
        <v>13290</v>
      </c>
      <c r="U281" t="s">
        <v>13290</v>
      </c>
      <c r="V281" t="s">
        <v>13290</v>
      </c>
      <c r="W281" t="s">
        <v>13567</v>
      </c>
      <c r="X281">
        <v>2</v>
      </c>
      <c r="Y281" t="s">
        <v>20155</v>
      </c>
      <c r="Z281" t="s">
        <v>26611</v>
      </c>
      <c r="AA281">
        <v>0.41853669491645101</v>
      </c>
      <c r="AB281" t="str">
        <f>HYPERLINK("Melting_Curves/meltCurve_B8ZZC7_PIGQ.pdf", "Melting_Curves/meltCurve_B8ZZC7_PIGQ.pdf")</f>
        <v>Melting_Curves/meltCurve_B8ZZC7_PIGQ.pdf</v>
      </c>
    </row>
    <row r="282" spans="1:28" x14ac:dyDescent="0.25">
      <c r="A282" t="s">
        <v>286</v>
      </c>
      <c r="B282">
        <v>0.99252571173614901</v>
      </c>
      <c r="C282">
        <v>1.5685966249206</v>
      </c>
      <c r="D282">
        <v>1.2710266504261101</v>
      </c>
      <c r="E282">
        <v>2.1822293592064801</v>
      </c>
      <c r="F282">
        <v>1.6488369815474599</v>
      </c>
      <c r="G282">
        <v>1.5776232287015599</v>
      </c>
      <c r="H282">
        <v>1.29336784803524</v>
      </c>
      <c r="I282">
        <v>1.8212022993041701</v>
      </c>
      <c r="J282">
        <v>2.6692009544478799</v>
      </c>
      <c r="K282">
        <v>2.4818958847039001</v>
      </c>
      <c r="L282">
        <v>10305.8938235896</v>
      </c>
      <c r="M282">
        <v>250</v>
      </c>
      <c r="O282">
        <v>41.220937498821897</v>
      </c>
      <c r="P282">
        <v>0.75810988576718996</v>
      </c>
      <c r="Q282">
        <v>1.5</v>
      </c>
      <c r="R282">
        <v>-0.13955010717487401</v>
      </c>
      <c r="S282" t="s">
        <v>6928</v>
      </c>
      <c r="T282" t="s">
        <v>13290</v>
      </c>
      <c r="U282" t="s">
        <v>13290</v>
      </c>
      <c r="V282" t="s">
        <v>13290</v>
      </c>
      <c r="W282" t="s">
        <v>13568</v>
      </c>
      <c r="X282">
        <v>2</v>
      </c>
      <c r="Y282" t="s">
        <v>20156</v>
      </c>
      <c r="Z282" t="s">
        <v>26612</v>
      </c>
      <c r="AA282">
        <v>1.4795696797856801</v>
      </c>
      <c r="AB282" t="str">
        <f>HYPERLINK("Melting_Curves/meltCurve_B8ZZF8_LSM5.pdf", "Melting_Curves/meltCurve_B8ZZF8_LSM5.pdf")</f>
        <v>Melting_Curves/meltCurve_B8ZZF8_LSM5.pdf</v>
      </c>
    </row>
    <row r="283" spans="1:28" x14ac:dyDescent="0.25">
      <c r="A283" t="s">
        <v>287</v>
      </c>
      <c r="B283">
        <v>0.99252571173614901</v>
      </c>
      <c r="C283">
        <v>1.2792205400715999</v>
      </c>
      <c r="D283">
        <v>0.88571761000048899</v>
      </c>
      <c r="E283">
        <v>0.82354946283391695</v>
      </c>
      <c r="F283">
        <v>0.49731118752246301</v>
      </c>
      <c r="G283">
        <v>0.29858214703180302</v>
      </c>
      <c r="H283">
        <v>3.8651986985470899E-2</v>
      </c>
      <c r="I283">
        <v>0.26404570440424902</v>
      </c>
      <c r="J283">
        <v>0.44411537201794898</v>
      </c>
      <c r="K283">
        <v>0.47564024233714203</v>
      </c>
      <c r="L283">
        <v>1663.69259274056</v>
      </c>
      <c r="M283">
        <v>32.432491086059002</v>
      </c>
      <c r="N283">
        <v>52.8029060017086</v>
      </c>
      <c r="O283">
        <v>51.103255012886898</v>
      </c>
      <c r="P283">
        <v>-0.11079172503672401</v>
      </c>
      <c r="Q283">
        <v>0.301713778262304</v>
      </c>
      <c r="R283">
        <v>0.83771632891896397</v>
      </c>
      <c r="S283" t="s">
        <v>6929</v>
      </c>
      <c r="T283" t="s">
        <v>13290</v>
      </c>
      <c r="U283" t="s">
        <v>13290</v>
      </c>
      <c r="V283" t="s">
        <v>13290</v>
      </c>
      <c r="W283" t="s">
        <v>13569</v>
      </c>
      <c r="X283">
        <v>1</v>
      </c>
      <c r="Y283" t="s">
        <v>20157</v>
      </c>
      <c r="Z283" t="s">
        <v>26613</v>
      </c>
      <c r="AA283">
        <v>0.56844161208077237</v>
      </c>
      <c r="AB283" t="str">
        <f>HYPERLINK("Melting_Curves/meltCurve_B8ZZI5_STK16.pdf", "Melting_Curves/meltCurve_B8ZZI5_STK16.pdf")</f>
        <v>Melting_Curves/meltCurve_B8ZZI5_STK16.pdf</v>
      </c>
    </row>
    <row r="284" spans="1:28" x14ac:dyDescent="0.25">
      <c r="A284" t="s">
        <v>288</v>
      </c>
      <c r="B284">
        <v>0.99252571173614901</v>
      </c>
      <c r="C284">
        <v>1.0682223691100501</v>
      </c>
      <c r="D284">
        <v>0.87214090547795298</v>
      </c>
      <c r="E284">
        <v>0.56926170243110796</v>
      </c>
      <c r="F284">
        <v>0.41022882784526399</v>
      </c>
      <c r="G284">
        <v>0.29137259369279001</v>
      </c>
      <c r="H284">
        <v>0.27167085146143299</v>
      </c>
      <c r="I284">
        <v>0.29238734426273699</v>
      </c>
      <c r="J284">
        <v>0.35689941677785197</v>
      </c>
      <c r="K284">
        <v>0.35022424445801198</v>
      </c>
      <c r="L284">
        <v>1365.7123213144</v>
      </c>
      <c r="M284">
        <v>28.028029053072299</v>
      </c>
      <c r="N284">
        <v>50.519209607559297</v>
      </c>
      <c r="O284">
        <v>48.480660749885402</v>
      </c>
      <c r="P284">
        <v>-9.8998755127237006E-2</v>
      </c>
      <c r="Q284">
        <v>0.31504538148697397</v>
      </c>
      <c r="R284">
        <v>0.98226218193723203</v>
      </c>
      <c r="S284" t="s">
        <v>6930</v>
      </c>
      <c r="T284" t="s">
        <v>13290</v>
      </c>
      <c r="U284" t="s">
        <v>13290</v>
      </c>
      <c r="V284" t="s">
        <v>13290</v>
      </c>
      <c r="W284" t="s">
        <v>13570</v>
      </c>
      <c r="X284">
        <v>5</v>
      </c>
      <c r="Y284" t="s">
        <v>20158</v>
      </c>
      <c r="Z284" t="s">
        <v>26614</v>
      </c>
      <c r="AA284">
        <v>0.51907301928329064</v>
      </c>
      <c r="AB284" t="str">
        <f>HYPERLINK("Melting_Curves/meltCurve_B8ZZN6_SUMO1.pdf", "Melting_Curves/meltCurve_B8ZZN6_SUMO1.pdf")</f>
        <v>Melting_Curves/meltCurve_B8ZZN6_SUMO1.pdf</v>
      </c>
    </row>
    <row r="285" spans="1:28" x14ac:dyDescent="0.25">
      <c r="A285" t="s">
        <v>289</v>
      </c>
      <c r="B285">
        <v>0.99252571173614901</v>
      </c>
      <c r="C285">
        <v>1.25622161630602</v>
      </c>
      <c r="D285">
        <v>1.0782307855292601</v>
      </c>
      <c r="E285">
        <v>1.03154611396243</v>
      </c>
      <c r="F285">
        <v>1.1930359802145201</v>
      </c>
      <c r="G285">
        <v>1.1886595959706401</v>
      </c>
      <c r="H285">
        <v>1.6319118992589601</v>
      </c>
      <c r="I285">
        <v>2.7974642894654198</v>
      </c>
      <c r="J285">
        <v>4.3281319546231902</v>
      </c>
      <c r="K285">
        <v>4.3455861919518597</v>
      </c>
      <c r="L285">
        <v>14228.4534964507</v>
      </c>
      <c r="M285">
        <v>250</v>
      </c>
      <c r="O285">
        <v>56.910171824390503</v>
      </c>
      <c r="P285">
        <v>0.54911097620574001</v>
      </c>
      <c r="Q285">
        <v>1.5</v>
      </c>
      <c r="R285">
        <v>-9.4789576799229697E-2</v>
      </c>
      <c r="S285" t="s">
        <v>6931</v>
      </c>
      <c r="T285" t="s">
        <v>13290</v>
      </c>
      <c r="U285" t="s">
        <v>13290</v>
      </c>
      <c r="V285" t="s">
        <v>13290</v>
      </c>
      <c r="W285" t="s">
        <v>13571</v>
      </c>
      <c r="X285">
        <v>10</v>
      </c>
      <c r="Y285" t="s">
        <v>20159</v>
      </c>
      <c r="Z285" t="s">
        <v>26615</v>
      </c>
      <c r="AA285">
        <v>1.218053158807735</v>
      </c>
      <c r="AB285" t="str">
        <f>HYPERLINK("Melting_Curves/meltCurve_B8ZZQ6_PTMA.pdf", "Melting_Curves/meltCurve_B8ZZQ6_PTMA.pdf")</f>
        <v>Melting_Curves/meltCurve_B8ZZQ6_PTMA.pdf</v>
      </c>
    </row>
    <row r="286" spans="1:28" x14ac:dyDescent="0.25">
      <c r="A286" t="s">
        <v>290</v>
      </c>
      <c r="B286">
        <v>0.99252571173614901</v>
      </c>
      <c r="C286">
        <v>0.59325218092363996</v>
      </c>
      <c r="D286">
        <v>0.32335775856785798</v>
      </c>
      <c r="E286">
        <v>0.22414090727077901</v>
      </c>
      <c r="F286">
        <v>0.14930391857924499</v>
      </c>
      <c r="G286">
        <v>8.5788608665294197E-2</v>
      </c>
      <c r="H286">
        <v>6.1180399787307799E-2</v>
      </c>
      <c r="I286">
        <v>6.6354462285299703E-2</v>
      </c>
      <c r="J286">
        <v>7.9686288122535198E-2</v>
      </c>
      <c r="K286">
        <v>7.76173443038954E-2</v>
      </c>
      <c r="L286">
        <v>955.96385673936197</v>
      </c>
      <c r="M286">
        <v>21.813944032798101</v>
      </c>
      <c r="N286">
        <v>44.224067850303001</v>
      </c>
      <c r="O286">
        <v>43.460224385670799</v>
      </c>
      <c r="P286">
        <v>-0.11423653533051401</v>
      </c>
      <c r="Q286">
        <v>8.96409761792933E-2</v>
      </c>
      <c r="R286">
        <v>0.97607421048146703</v>
      </c>
      <c r="S286" t="s">
        <v>6932</v>
      </c>
      <c r="T286" t="s">
        <v>13290</v>
      </c>
      <c r="U286" t="s">
        <v>13290</v>
      </c>
      <c r="V286" t="s">
        <v>13290</v>
      </c>
      <c r="W286" t="s">
        <v>13572</v>
      </c>
      <c r="X286">
        <v>5</v>
      </c>
      <c r="Y286" t="s">
        <v>20160</v>
      </c>
      <c r="Z286" t="s">
        <v>26616</v>
      </c>
      <c r="AA286">
        <v>0.22058829260002191</v>
      </c>
      <c r="AB286" t="str">
        <f>HYPERLINK("Melting_Curves/meltCurve_B8ZZS2_NAB1.pdf", "Melting_Curves/meltCurve_B8ZZS2_NAB1.pdf")</f>
        <v>Melting_Curves/meltCurve_B8ZZS2_NAB1.pdf</v>
      </c>
    </row>
    <row r="287" spans="1:28" x14ac:dyDescent="0.25">
      <c r="A287" t="s">
        <v>291</v>
      </c>
      <c r="B287">
        <v>0.99252571173614901</v>
      </c>
      <c r="C287">
        <v>1.18245571222984</v>
      </c>
      <c r="D287">
        <v>0.97735646830679801</v>
      </c>
      <c r="E287">
        <v>1.13711531794113</v>
      </c>
      <c r="F287">
        <v>0.79054359427224397</v>
      </c>
      <c r="G287">
        <v>0.523352095799965</v>
      </c>
      <c r="H287">
        <v>0.50399621350504897</v>
      </c>
      <c r="I287">
        <v>0.694212051624292</v>
      </c>
      <c r="J287">
        <v>1.1582786123892399</v>
      </c>
      <c r="K287">
        <v>1.33852127184764</v>
      </c>
      <c r="L287">
        <v>15000</v>
      </c>
      <c r="M287">
        <v>223.41651462757</v>
      </c>
      <c r="O287">
        <v>67.133792818869793</v>
      </c>
      <c r="P287">
        <v>0.28167809638209401</v>
      </c>
      <c r="Q287">
        <v>1.3385626007853999</v>
      </c>
      <c r="R287">
        <v>0.11996629889698</v>
      </c>
      <c r="S287" t="s">
        <v>6933</v>
      </c>
      <c r="T287" t="s">
        <v>13290</v>
      </c>
      <c r="U287" t="s">
        <v>13290</v>
      </c>
      <c r="V287" t="s">
        <v>13290</v>
      </c>
      <c r="W287" t="s">
        <v>13573</v>
      </c>
      <c r="X287">
        <v>3</v>
      </c>
      <c r="Y287" t="s">
        <v>20161</v>
      </c>
      <c r="Z287" t="s">
        <v>26617</v>
      </c>
      <c r="AA287">
        <v>1.0322360855557211</v>
      </c>
      <c r="AB287" t="str">
        <f>HYPERLINK("Melting_Curves/meltCurve_B8ZZU6_ATF2.pdf", "Melting_Curves/meltCurve_B8ZZU6_ATF2.pdf")</f>
        <v>Melting_Curves/meltCurve_B8ZZU6_ATF2.pdf</v>
      </c>
    </row>
    <row r="288" spans="1:28" x14ac:dyDescent="0.25">
      <c r="A288" t="s">
        <v>292</v>
      </c>
      <c r="B288">
        <v>0.99252571173614901</v>
      </c>
      <c r="C288">
        <v>0.87756489209335198</v>
      </c>
      <c r="D288">
        <v>0.77928716497334305</v>
      </c>
      <c r="E288">
        <v>0.41408892343920101</v>
      </c>
      <c r="F288">
        <v>0.167479909923888</v>
      </c>
      <c r="G288">
        <v>0.11446640317916</v>
      </c>
      <c r="H288">
        <v>8.2321053549569506E-2</v>
      </c>
      <c r="I288">
        <v>8.5470481909296597E-2</v>
      </c>
      <c r="J288">
        <v>9.28421907717909E-2</v>
      </c>
      <c r="K288">
        <v>3.3584396927891599E-2</v>
      </c>
      <c r="L288">
        <v>974.34820644995705</v>
      </c>
      <c r="M288">
        <v>20.167533923950199</v>
      </c>
      <c r="N288">
        <v>48.6454942256319</v>
      </c>
      <c r="O288">
        <v>47.845219579692902</v>
      </c>
      <c r="P288">
        <v>-9.8591938654378805E-2</v>
      </c>
      <c r="Q288">
        <v>6.4436058059514495E-2</v>
      </c>
      <c r="R288">
        <v>0.99504100064585199</v>
      </c>
      <c r="S288" t="s">
        <v>6934</v>
      </c>
      <c r="T288" t="s">
        <v>13290</v>
      </c>
      <c r="U288" t="s">
        <v>13290</v>
      </c>
      <c r="V288" t="s">
        <v>13290</v>
      </c>
      <c r="W288" t="s">
        <v>13574</v>
      </c>
      <c r="X288">
        <v>1</v>
      </c>
      <c r="Y288" t="s">
        <v>20162</v>
      </c>
      <c r="Z288" t="s">
        <v>26618</v>
      </c>
      <c r="AA288">
        <v>0.3366620110167215</v>
      </c>
      <c r="AB288" t="str">
        <f>HYPERLINK("Melting_Curves/meltCurve_B8ZZV9_COQ10B.pdf", "Melting_Curves/meltCurve_B8ZZV9_COQ10B.pdf")</f>
        <v>Melting_Curves/meltCurve_B8ZZV9_COQ10B.pdf</v>
      </c>
    </row>
    <row r="289" spans="1:28" x14ac:dyDescent="0.25">
      <c r="A289" t="s">
        <v>293</v>
      </c>
      <c r="B289">
        <v>0.99252571173614901</v>
      </c>
      <c r="C289">
        <v>1.15483246584079</v>
      </c>
      <c r="D289">
        <v>0.378030843811065</v>
      </c>
      <c r="E289">
        <v>0.75008520514480503</v>
      </c>
      <c r="F289">
        <v>0.31743818888748998</v>
      </c>
      <c r="G289">
        <v>0.152766555612769</v>
      </c>
      <c r="H289">
        <v>9.3113945471281795E-2</v>
      </c>
      <c r="I289">
        <v>9.5561607257186598E-2</v>
      </c>
      <c r="J289">
        <v>0.12682185924577399</v>
      </c>
      <c r="K289">
        <v>0.13364991372186399</v>
      </c>
      <c r="L289">
        <v>671.41717695074499</v>
      </c>
      <c r="M289">
        <v>13.6038366177954</v>
      </c>
      <c r="N289">
        <v>49.950424121934901</v>
      </c>
      <c r="O289">
        <v>48.325124640880603</v>
      </c>
      <c r="P289">
        <v>-6.5118591681751298E-2</v>
      </c>
      <c r="Q289">
        <v>7.4849717851292505E-2</v>
      </c>
      <c r="R289">
        <v>0.81437162354039205</v>
      </c>
      <c r="S289" t="s">
        <v>6935</v>
      </c>
      <c r="T289" t="s">
        <v>13290</v>
      </c>
      <c r="U289" t="s">
        <v>13290</v>
      </c>
      <c r="V289" t="s">
        <v>13290</v>
      </c>
      <c r="W289" t="s">
        <v>13575</v>
      </c>
      <c r="X289">
        <v>12</v>
      </c>
      <c r="Y289" t="s">
        <v>20163</v>
      </c>
      <c r="Z289" t="s">
        <v>26619</v>
      </c>
      <c r="AA289">
        <v>0.39022528498399728</v>
      </c>
      <c r="AB289" t="str">
        <f>HYPERLINK("Melting_Curves/meltCurve_B8ZZY2_AGFG1.pdf", "Melting_Curves/meltCurve_B8ZZY2_AGFG1.pdf")</f>
        <v>Melting_Curves/meltCurve_B8ZZY2_AGFG1.pdf</v>
      </c>
    </row>
    <row r="290" spans="1:28" x14ac:dyDescent="0.25">
      <c r="A290" t="s">
        <v>294</v>
      </c>
      <c r="B290">
        <v>0.99252571173614901</v>
      </c>
      <c r="C290">
        <v>1.2053706756828699</v>
      </c>
      <c r="D290">
        <v>1.39656085231408</v>
      </c>
      <c r="E290">
        <v>1.3033359849014401</v>
      </c>
      <c r="F290">
        <v>0.28182497543443402</v>
      </c>
      <c r="G290">
        <v>0.11559786734107499</v>
      </c>
      <c r="H290">
        <v>8.0650670473487604E-2</v>
      </c>
      <c r="I290">
        <v>8.5918473256620706E-2</v>
      </c>
      <c r="J290">
        <v>0.120963775141122</v>
      </c>
      <c r="K290">
        <v>0.12586533428878899</v>
      </c>
      <c r="L290">
        <v>13225.196437552</v>
      </c>
      <c r="M290">
        <v>250</v>
      </c>
      <c r="N290">
        <v>52.951142019575997</v>
      </c>
      <c r="O290">
        <v>52.897390458458801</v>
      </c>
      <c r="P290">
        <v>-1.0565273422306101</v>
      </c>
      <c r="Q290">
        <v>0.105799202001352</v>
      </c>
      <c r="R290">
        <v>0.90110569135711605</v>
      </c>
      <c r="S290" t="s">
        <v>6936</v>
      </c>
      <c r="T290" t="s">
        <v>13290</v>
      </c>
      <c r="U290" t="s">
        <v>13290</v>
      </c>
      <c r="V290" t="s">
        <v>13290</v>
      </c>
      <c r="W290" t="s">
        <v>13576</v>
      </c>
      <c r="X290">
        <v>17</v>
      </c>
      <c r="Y290" t="s">
        <v>20164</v>
      </c>
      <c r="Z290" t="s">
        <v>26620</v>
      </c>
      <c r="AA290">
        <v>0.49041198340807529</v>
      </c>
      <c r="AB290" t="str">
        <f>HYPERLINK("Melting_Curves/meltCurve_B9A018_USP39.pdf", "Melting_Curves/meltCurve_B9A018_USP39.pdf")</f>
        <v>Melting_Curves/meltCurve_B9A018_USP39.pdf</v>
      </c>
    </row>
    <row r="291" spans="1:28" x14ac:dyDescent="0.25">
      <c r="A291" t="s">
        <v>295</v>
      </c>
      <c r="B291">
        <v>0.99252571173614901</v>
      </c>
      <c r="C291">
        <v>0.83733212000050905</v>
      </c>
      <c r="D291">
        <v>0.74566836091348798</v>
      </c>
      <c r="E291">
        <v>0.58462340733729001</v>
      </c>
      <c r="F291">
        <v>0.31506871775720102</v>
      </c>
      <c r="G291">
        <v>0.220623718122266</v>
      </c>
      <c r="H291">
        <v>0.141760878170202</v>
      </c>
      <c r="I291">
        <v>0.18209589112590799</v>
      </c>
      <c r="J291">
        <v>0.20790839601345101</v>
      </c>
      <c r="K291">
        <v>0.17632384536843401</v>
      </c>
      <c r="L291">
        <v>710.70845617715599</v>
      </c>
      <c r="M291">
        <v>14.574010340349201</v>
      </c>
      <c r="N291">
        <v>49.980182711674601</v>
      </c>
      <c r="O291">
        <v>47.874937785670099</v>
      </c>
      <c r="P291">
        <v>-6.4762108803303006E-2</v>
      </c>
      <c r="Q291">
        <v>0.149134489200478</v>
      </c>
      <c r="R291">
        <v>0.98413922008907595</v>
      </c>
      <c r="S291" t="s">
        <v>6937</v>
      </c>
      <c r="T291" t="s">
        <v>13290</v>
      </c>
      <c r="U291" t="s">
        <v>13290</v>
      </c>
      <c r="V291" t="s">
        <v>13290</v>
      </c>
      <c r="W291" t="s">
        <v>13577</v>
      </c>
      <c r="X291">
        <v>1</v>
      </c>
      <c r="Y291" t="s">
        <v>20165</v>
      </c>
      <c r="Z291" t="s">
        <v>26621</v>
      </c>
      <c r="AA291">
        <v>0.42011922305077598</v>
      </c>
      <c r="AB291" t="str">
        <f>HYPERLINK("Melting_Curves/meltCurve_B9A054_RHBDD1.pdf", "Melting_Curves/meltCurve_B9A054_RHBDD1.pdf")</f>
        <v>Melting_Curves/meltCurve_B9A054_RHBDD1.pdf</v>
      </c>
    </row>
    <row r="292" spans="1:28" x14ac:dyDescent="0.25">
      <c r="A292" t="s">
        <v>296</v>
      </c>
      <c r="B292">
        <v>0.99252571173614901</v>
      </c>
      <c r="C292">
        <v>1.14818863713066</v>
      </c>
      <c r="D292">
        <v>1.07614538610842</v>
      </c>
      <c r="E292">
        <v>1.03238929510911</v>
      </c>
      <c r="F292">
        <v>0.40026424712957298</v>
      </c>
      <c r="G292">
        <v>0.35195429290865099</v>
      </c>
      <c r="H292">
        <v>0.403647036841013</v>
      </c>
      <c r="I292">
        <v>0.56605714759212999</v>
      </c>
      <c r="J292">
        <v>0.899478882141866</v>
      </c>
      <c r="K292">
        <v>1.0082640896299699</v>
      </c>
      <c r="L292">
        <v>6250.4701646735602</v>
      </c>
      <c r="M292">
        <v>122.52968262902699</v>
      </c>
      <c r="O292">
        <v>50.998303064698703</v>
      </c>
      <c r="P292">
        <v>-0.23728185408535901</v>
      </c>
      <c r="Q292">
        <v>0.60496197081243197</v>
      </c>
      <c r="R292">
        <v>0.53090437480141195</v>
      </c>
      <c r="S292" t="s">
        <v>6938</v>
      </c>
      <c r="T292" t="s">
        <v>13290</v>
      </c>
      <c r="U292" t="s">
        <v>13290</v>
      </c>
      <c r="V292" t="s">
        <v>13290</v>
      </c>
      <c r="W292" t="s">
        <v>13578</v>
      </c>
      <c r="X292">
        <v>2</v>
      </c>
      <c r="Y292" t="s">
        <v>20166</v>
      </c>
      <c r="Z292" t="s">
        <v>26622</v>
      </c>
      <c r="AA292">
        <v>0.75011308623364503</v>
      </c>
      <c r="AB292" t="str">
        <f>HYPERLINK("Melting_Curves/meltCurve_B9A057_COA5.pdf", "Melting_Curves/meltCurve_B9A057_COA5.pdf")</f>
        <v>Melting_Curves/meltCurve_B9A057_COA5.pdf</v>
      </c>
    </row>
    <row r="293" spans="1:28" x14ac:dyDescent="0.25">
      <c r="A293" t="s">
        <v>297</v>
      </c>
      <c r="B293">
        <v>0.99252571173614901</v>
      </c>
      <c r="C293">
        <v>0.87412874984758404</v>
      </c>
      <c r="D293">
        <v>0.85878001771508905</v>
      </c>
      <c r="E293">
        <v>0.81950892304477496</v>
      </c>
      <c r="F293">
        <v>0.60458005140856197</v>
      </c>
      <c r="G293">
        <v>0.36991159425792902</v>
      </c>
      <c r="H293">
        <v>0.27647617843816602</v>
      </c>
      <c r="I293">
        <v>0.28153457058584203</v>
      </c>
      <c r="J293">
        <v>0.36556469223945398</v>
      </c>
      <c r="K293">
        <v>0.307349542901243</v>
      </c>
      <c r="L293">
        <v>831.46197255960794</v>
      </c>
      <c r="M293">
        <v>16.026992462721299</v>
      </c>
      <c r="N293">
        <v>54.597951184417298</v>
      </c>
      <c r="O293">
        <v>51.091347150167103</v>
      </c>
      <c r="P293">
        <v>-5.6866959612011402E-2</v>
      </c>
      <c r="Q293">
        <v>0.27492760904152003</v>
      </c>
      <c r="R293">
        <v>0.95837649274460202</v>
      </c>
      <c r="S293" t="s">
        <v>6939</v>
      </c>
      <c r="T293" t="s">
        <v>13290</v>
      </c>
      <c r="U293" t="s">
        <v>13290</v>
      </c>
      <c r="V293" t="s">
        <v>13290</v>
      </c>
      <c r="W293" t="s">
        <v>13579</v>
      </c>
      <c r="X293">
        <v>40</v>
      </c>
      <c r="Y293" t="s">
        <v>20167</v>
      </c>
      <c r="Z293" t="s">
        <v>26623</v>
      </c>
      <c r="AA293">
        <v>0.57669205470873852</v>
      </c>
      <c r="AB293" t="str">
        <f>HYPERLINK("Melting_Curves/meltCurve_B9A067_IMMT.pdf", "Melting_Curves/meltCurve_B9A067_IMMT.pdf")</f>
        <v>Melting_Curves/meltCurve_B9A067_IMMT.pdf</v>
      </c>
    </row>
    <row r="294" spans="1:28" x14ac:dyDescent="0.25">
      <c r="A294" t="s">
        <v>298</v>
      </c>
      <c r="B294">
        <v>0.99252571173614901</v>
      </c>
      <c r="C294">
        <v>1.0437291361626999</v>
      </c>
      <c r="D294">
        <v>1.0734317361228201</v>
      </c>
      <c r="E294">
        <v>1.08683554934495</v>
      </c>
      <c r="F294">
        <v>1.1993865913598001</v>
      </c>
      <c r="G294">
        <v>0.93587127695371297</v>
      </c>
      <c r="H294">
        <v>0.41463497511583802</v>
      </c>
      <c r="I294">
        <v>0.153343986518446</v>
      </c>
      <c r="J294">
        <v>0.124625099367276</v>
      </c>
      <c r="K294">
        <v>0.118088787614261</v>
      </c>
      <c r="L294">
        <v>3008.2985853123701</v>
      </c>
      <c r="M294">
        <v>50.170505307048899</v>
      </c>
      <c r="N294">
        <v>60.287481923335498</v>
      </c>
      <c r="O294">
        <v>59.866467891877598</v>
      </c>
      <c r="P294">
        <v>-0.18462212635262301</v>
      </c>
      <c r="Q294">
        <v>0.118791890870282</v>
      </c>
      <c r="R294">
        <v>0.96996125952159296</v>
      </c>
      <c r="S294" t="s">
        <v>6940</v>
      </c>
      <c r="T294" t="s">
        <v>13290</v>
      </c>
      <c r="U294" t="s">
        <v>13290</v>
      </c>
      <c r="V294" t="s">
        <v>13290</v>
      </c>
      <c r="W294" t="s">
        <v>13580</v>
      </c>
      <c r="X294">
        <v>1</v>
      </c>
      <c r="Y294" t="s">
        <v>20168</v>
      </c>
      <c r="Z294" t="s">
        <v>26624</v>
      </c>
      <c r="AA294">
        <v>0.7074101177877784</v>
      </c>
      <c r="AB294" t="str">
        <f>HYPERLINK("Melting_Curves/meltCurve_B9ZVT1_RBM12B.pdf", "Melting_Curves/meltCurve_B9ZVT1_RBM12B.pdf")</f>
        <v>Melting_Curves/meltCurve_B9ZVT1_RBM12B.pdf</v>
      </c>
    </row>
    <row r="295" spans="1:28" x14ac:dyDescent="0.25">
      <c r="A295" t="s">
        <v>299</v>
      </c>
      <c r="B295">
        <v>0.99252571173614901</v>
      </c>
      <c r="C295">
        <v>0.96473533780114895</v>
      </c>
      <c r="D295">
        <v>0.87413958915457002</v>
      </c>
      <c r="E295">
        <v>0.85609758020847504</v>
      </c>
      <c r="F295">
        <v>0.70504334978741701</v>
      </c>
      <c r="G295">
        <v>0.65287961449766796</v>
      </c>
      <c r="H295">
        <v>0.56537812768661799</v>
      </c>
      <c r="I295">
        <v>0.75092571775539196</v>
      </c>
      <c r="J295">
        <v>1.3298720451616499</v>
      </c>
      <c r="K295">
        <v>1.1747547292579399</v>
      </c>
      <c r="L295">
        <v>2210.1978480088501</v>
      </c>
      <c r="M295">
        <v>50.460906854326502</v>
      </c>
      <c r="O295">
        <v>43.731574367599102</v>
      </c>
      <c r="P295">
        <v>-3.9759667055769901E-2</v>
      </c>
      <c r="Q295">
        <v>0.86217041904958003</v>
      </c>
      <c r="R295">
        <v>4.2630000621448901E-2</v>
      </c>
      <c r="S295" t="s">
        <v>6941</v>
      </c>
      <c r="T295" t="s">
        <v>13290</v>
      </c>
      <c r="U295" t="s">
        <v>13290</v>
      </c>
      <c r="V295" t="s">
        <v>13290</v>
      </c>
      <c r="W295" t="s">
        <v>13581</v>
      </c>
      <c r="X295">
        <v>3</v>
      </c>
      <c r="Y295" t="s">
        <v>20169</v>
      </c>
      <c r="Z295" t="s">
        <v>26625</v>
      </c>
      <c r="AA295">
        <v>0.87991765614738193</v>
      </c>
      <c r="AB295" t="str">
        <f>HYPERLINK("Melting_Curves/meltCurve_C0H5Y7_BAK1.pdf", "Melting_Curves/meltCurve_C0H5Y7_BAK1.pdf")</f>
        <v>Melting_Curves/meltCurve_C0H5Y7_BAK1.pdf</v>
      </c>
    </row>
    <row r="296" spans="1:28" x14ac:dyDescent="0.25">
      <c r="A296" t="s">
        <v>300</v>
      </c>
      <c r="B296">
        <v>0.99252571173614901</v>
      </c>
      <c r="C296">
        <v>1.0124397613320999</v>
      </c>
      <c r="D296">
        <v>0.89534502901871704</v>
      </c>
      <c r="E296">
        <v>0.88817893651425694</v>
      </c>
      <c r="F296">
        <v>0.53184615240722999</v>
      </c>
      <c r="G296">
        <v>0.132358023881818</v>
      </c>
      <c r="H296">
        <v>8.4578764270508894E-2</v>
      </c>
      <c r="I296">
        <v>0.10636055714407</v>
      </c>
      <c r="J296">
        <v>9.5840608788331796E-2</v>
      </c>
      <c r="K296">
        <v>0.131495361301671</v>
      </c>
      <c r="L296">
        <v>1778.97046196271</v>
      </c>
      <c r="M296">
        <v>33.623839211612101</v>
      </c>
      <c r="N296">
        <v>53.237002216357602</v>
      </c>
      <c r="O296">
        <v>52.7219159212774</v>
      </c>
      <c r="P296">
        <v>-0.14448329010306701</v>
      </c>
      <c r="Q296">
        <v>9.3809093108462305E-2</v>
      </c>
      <c r="R296">
        <v>0.99036382569133397</v>
      </c>
      <c r="S296" t="s">
        <v>6942</v>
      </c>
      <c r="T296" t="s">
        <v>13290</v>
      </c>
      <c r="U296" t="s">
        <v>13290</v>
      </c>
      <c r="V296" t="s">
        <v>13290</v>
      </c>
      <c r="W296" t="s">
        <v>13582</v>
      </c>
      <c r="X296">
        <v>2</v>
      </c>
      <c r="Y296" t="s">
        <v>20170</v>
      </c>
      <c r="Z296" t="s">
        <v>26626</v>
      </c>
      <c r="AA296">
        <v>0.4883980608552328</v>
      </c>
      <c r="AB296" t="str">
        <f>HYPERLINK("Melting_Curves/meltCurve_C1IDX9_ATG12.pdf", "Melting_Curves/meltCurve_C1IDX9_ATG12.pdf")</f>
        <v>Melting_Curves/meltCurve_C1IDX9_ATG12.pdf</v>
      </c>
    </row>
    <row r="297" spans="1:28" x14ac:dyDescent="0.25">
      <c r="A297" t="s">
        <v>301</v>
      </c>
      <c r="B297">
        <v>0.99252571173614901</v>
      </c>
      <c r="C297">
        <v>0.96961231224427802</v>
      </c>
      <c r="D297">
        <v>0.94077576998174395</v>
      </c>
      <c r="E297">
        <v>0.89278402037261995</v>
      </c>
      <c r="F297">
        <v>0.601402198771817</v>
      </c>
      <c r="G297">
        <v>0.36087358261434199</v>
      </c>
      <c r="H297">
        <v>0.241638824323473</v>
      </c>
      <c r="I297">
        <v>0.23492164410986399</v>
      </c>
      <c r="J297">
        <v>0.36111052223374202</v>
      </c>
      <c r="K297">
        <v>0.31706642283581399</v>
      </c>
      <c r="L297">
        <v>1528.76992795517</v>
      </c>
      <c r="M297">
        <v>29.030598019051599</v>
      </c>
      <c r="N297">
        <v>54.236665471085203</v>
      </c>
      <c r="O297">
        <v>52.412665123974598</v>
      </c>
      <c r="P297">
        <v>-9.9019547182334799E-2</v>
      </c>
      <c r="Q297">
        <v>0.28491455296092499</v>
      </c>
      <c r="R297">
        <v>0.98280726855306999</v>
      </c>
      <c r="S297" t="s">
        <v>6943</v>
      </c>
      <c r="T297" t="s">
        <v>13290</v>
      </c>
      <c r="U297" t="s">
        <v>13290</v>
      </c>
      <c r="V297" t="s">
        <v>13290</v>
      </c>
      <c r="W297" t="s">
        <v>13583</v>
      </c>
      <c r="X297">
        <v>3</v>
      </c>
      <c r="Y297" t="s">
        <v>20171</v>
      </c>
      <c r="Z297" t="s">
        <v>26627</v>
      </c>
      <c r="AA297">
        <v>0.59161809919139685</v>
      </c>
      <c r="AB297" t="str">
        <f>HYPERLINK("Melting_Curves/meltCurve_C1P671_KREMEN1.pdf", "Melting_Curves/meltCurve_C1P671_KREMEN1.pdf")</f>
        <v>Melting_Curves/meltCurve_C1P671_KREMEN1.pdf</v>
      </c>
    </row>
    <row r="298" spans="1:28" x14ac:dyDescent="0.25">
      <c r="A298" t="s">
        <v>302</v>
      </c>
      <c r="B298">
        <v>0.99252571173614901</v>
      </c>
      <c r="C298">
        <v>0.88527068307257895</v>
      </c>
      <c r="D298">
        <v>0.98725868896935698</v>
      </c>
      <c r="E298">
        <v>0.67446118596670102</v>
      </c>
      <c r="F298">
        <v>0.38501634725595701</v>
      </c>
      <c r="G298">
        <v>0.23142031951772901</v>
      </c>
      <c r="H298">
        <v>0.20460454126897301</v>
      </c>
      <c r="I298">
        <v>0.245779532055098</v>
      </c>
      <c r="J298">
        <v>0.36616767415761903</v>
      </c>
      <c r="K298">
        <v>0.45638332031272899</v>
      </c>
      <c r="L298">
        <v>1888.19982326643</v>
      </c>
      <c r="M298">
        <v>37.906157087366303</v>
      </c>
      <c r="N298">
        <v>51.071295568133799</v>
      </c>
      <c r="O298">
        <v>49.6744547743222</v>
      </c>
      <c r="P298">
        <v>-0.13285959177963699</v>
      </c>
      <c r="Q298">
        <v>0.30357373687630401</v>
      </c>
      <c r="R298">
        <v>0.93260378948860101</v>
      </c>
      <c r="S298" t="s">
        <v>6944</v>
      </c>
      <c r="T298" t="s">
        <v>13290</v>
      </c>
      <c r="U298" t="s">
        <v>13290</v>
      </c>
      <c r="V298" t="s">
        <v>13290</v>
      </c>
      <c r="W298" t="s">
        <v>13584</v>
      </c>
      <c r="X298">
        <v>7</v>
      </c>
      <c r="Y298" t="s">
        <v>20172</v>
      </c>
      <c r="Z298" t="s">
        <v>26628</v>
      </c>
      <c r="AA298">
        <v>0.53403696634734943</v>
      </c>
      <c r="AB298" t="str">
        <f>HYPERLINK("Melting_Curves/meltCurve_C4AMC7_WASH3P.pdf", "Melting_Curves/meltCurve_C4AMC7_WASH3P.pdf")</f>
        <v>Melting_Curves/meltCurve_C4AMC7_WASH3P.pdf</v>
      </c>
    </row>
    <row r="299" spans="1:28" x14ac:dyDescent="0.25">
      <c r="A299" t="s">
        <v>303</v>
      </c>
      <c r="B299">
        <v>0.99252571173614901</v>
      </c>
      <c r="C299">
        <v>1.1464716077820301</v>
      </c>
      <c r="D299">
        <v>1.0777022649335399</v>
      </c>
      <c r="E299">
        <v>0.88591041335376697</v>
      </c>
      <c r="F299">
        <v>0.73434039893510406</v>
      </c>
      <c r="G299">
        <v>0.43354492498134001</v>
      </c>
      <c r="H299">
        <v>0.31870934934611</v>
      </c>
      <c r="I299">
        <v>0.44960857723945302</v>
      </c>
      <c r="J299">
        <v>0.59551553355315001</v>
      </c>
      <c r="K299">
        <v>0.29103234338821699</v>
      </c>
      <c r="L299">
        <v>1848.5411793137</v>
      </c>
      <c r="M299">
        <v>34.762596605542903</v>
      </c>
      <c r="N299">
        <v>55.885138347725601</v>
      </c>
      <c r="O299">
        <v>53.001102586395199</v>
      </c>
      <c r="P299">
        <v>-9.7188475519321402E-2</v>
      </c>
      <c r="Q299">
        <v>0.40728504929521903</v>
      </c>
      <c r="R299">
        <v>0.89715204288850603</v>
      </c>
      <c r="S299" t="s">
        <v>6945</v>
      </c>
      <c r="T299" t="s">
        <v>13290</v>
      </c>
      <c r="U299" t="s">
        <v>13290</v>
      </c>
      <c r="V299" t="s">
        <v>13290</v>
      </c>
      <c r="W299" t="s">
        <v>13585</v>
      </c>
      <c r="X299">
        <v>7</v>
      </c>
      <c r="Y299" t="s">
        <v>20173</v>
      </c>
      <c r="Z299" t="s">
        <v>26629</v>
      </c>
      <c r="AA299">
        <v>0.67048907507046096</v>
      </c>
      <c r="AB299" t="str">
        <f>HYPERLINK("Melting_Curves/meltCurve_C6G496_MAZ.pdf", "Melting_Curves/meltCurve_C6G496_MAZ.pdf")</f>
        <v>Melting_Curves/meltCurve_C6G496_MAZ.pdf</v>
      </c>
    </row>
    <row r="300" spans="1:28" x14ac:dyDescent="0.25">
      <c r="A300" t="s">
        <v>304</v>
      </c>
      <c r="B300">
        <v>0.99252571173614901</v>
      </c>
      <c r="C300">
        <v>0.91558585615435695</v>
      </c>
      <c r="D300">
        <v>0.828881307670151</v>
      </c>
      <c r="E300">
        <v>0.88761643581931904</v>
      </c>
      <c r="F300">
        <v>0.92221083489956601</v>
      </c>
      <c r="G300">
        <v>0.98358571529432304</v>
      </c>
      <c r="H300">
        <v>0.70667686598084001</v>
      </c>
      <c r="I300">
        <v>0.714402285366042</v>
      </c>
      <c r="J300">
        <v>0.94672513387901003</v>
      </c>
      <c r="K300">
        <v>0.95399518181233001</v>
      </c>
      <c r="L300">
        <v>10700.399171225899</v>
      </c>
      <c r="M300">
        <v>250</v>
      </c>
      <c r="O300">
        <v>42.798874228363204</v>
      </c>
      <c r="P300">
        <v>-0.19274503872367399</v>
      </c>
      <c r="Q300">
        <v>0.86801172019367401</v>
      </c>
      <c r="R300">
        <v>0.15327620342946499</v>
      </c>
      <c r="S300" t="s">
        <v>6946</v>
      </c>
      <c r="T300" t="s">
        <v>13290</v>
      </c>
      <c r="U300" t="s">
        <v>13290</v>
      </c>
      <c r="V300" t="s">
        <v>13290</v>
      </c>
      <c r="W300" t="s">
        <v>13586</v>
      </c>
      <c r="X300">
        <v>2</v>
      </c>
      <c r="Y300" t="s">
        <v>20174</v>
      </c>
      <c r="Z300" t="s">
        <v>26630</v>
      </c>
      <c r="AA300">
        <v>0.88034756556454086</v>
      </c>
      <c r="AB300" t="str">
        <f>HYPERLINK("Melting_Curves/meltCurve_C6GKU9_MED30S.pdf", "Melting_Curves/meltCurve_C6GKU9_MED30S.pdf")</f>
        <v>Melting_Curves/meltCurve_C6GKU9_MED30S.pdf</v>
      </c>
    </row>
    <row r="301" spans="1:28" x14ac:dyDescent="0.25">
      <c r="A301" t="s">
        <v>305</v>
      </c>
      <c r="B301">
        <v>0.99252571173614901</v>
      </c>
      <c r="C301">
        <v>0.96528515830336503</v>
      </c>
      <c r="D301">
        <v>1.00757154855228</v>
      </c>
      <c r="E301">
        <v>0.72199213822929398</v>
      </c>
      <c r="F301">
        <v>0.248410214392179</v>
      </c>
      <c r="G301">
        <v>0.17244005762012399</v>
      </c>
      <c r="H301">
        <v>0.14754084971699699</v>
      </c>
      <c r="I301">
        <v>0.14868445586329401</v>
      </c>
      <c r="J301">
        <v>0.21032995235147101</v>
      </c>
      <c r="K301">
        <v>0.193848325224107</v>
      </c>
      <c r="L301">
        <v>2261.6478999795099</v>
      </c>
      <c r="M301">
        <v>44.905499811738203</v>
      </c>
      <c r="N301">
        <v>50.849901673605899</v>
      </c>
      <c r="O301">
        <v>50.265032393112399</v>
      </c>
      <c r="P301">
        <v>-0.18442009746103499</v>
      </c>
      <c r="Q301">
        <v>0.174277529356719</v>
      </c>
      <c r="R301">
        <v>0.99649861807642004</v>
      </c>
      <c r="S301" t="s">
        <v>6947</v>
      </c>
      <c r="T301" t="s">
        <v>13290</v>
      </c>
      <c r="U301" t="s">
        <v>13290</v>
      </c>
      <c r="V301" t="s">
        <v>13290</v>
      </c>
      <c r="W301" t="s">
        <v>13587</v>
      </c>
      <c r="X301">
        <v>1</v>
      </c>
      <c r="Y301" t="s">
        <v>20175</v>
      </c>
      <c r="Z301" t="s">
        <v>26631</v>
      </c>
      <c r="AA301">
        <v>0.46183116131986002</v>
      </c>
      <c r="AB301" t="str">
        <f>HYPERLINK("Melting_Curves/meltCurve_C9IY40_MRPL2.pdf", "Melting_Curves/meltCurve_C9IY40_MRPL2.pdf")</f>
        <v>Melting_Curves/meltCurve_C9IY40_MRPL2.pdf</v>
      </c>
    </row>
    <row r="302" spans="1:28" x14ac:dyDescent="0.25">
      <c r="A302" t="s">
        <v>306</v>
      </c>
      <c r="B302">
        <v>0.99252571173614901</v>
      </c>
      <c r="C302">
        <v>0.85230898995833404</v>
      </c>
      <c r="D302">
        <v>0.80441288668436095</v>
      </c>
      <c r="E302">
        <v>0.70696845939408604</v>
      </c>
      <c r="F302">
        <v>0.56042517048227403</v>
      </c>
      <c r="G302">
        <v>0.30930072614693499</v>
      </c>
      <c r="H302">
        <v>0.21704792151980601</v>
      </c>
      <c r="I302">
        <v>0.18761346862928299</v>
      </c>
      <c r="J302">
        <v>0.23941673422186699</v>
      </c>
      <c r="K302">
        <v>0.147007034041508</v>
      </c>
      <c r="L302">
        <v>555.86950965121503</v>
      </c>
      <c r="M302">
        <v>10.652518400208001</v>
      </c>
      <c r="N302">
        <v>53.253237695671203</v>
      </c>
      <c r="O302">
        <v>50.443837933612102</v>
      </c>
      <c r="P302">
        <v>-4.7720598191108202E-2</v>
      </c>
      <c r="Q302">
        <v>9.6442433078988393E-2</v>
      </c>
      <c r="R302">
        <v>0.978363534470717</v>
      </c>
      <c r="S302" t="s">
        <v>6948</v>
      </c>
      <c r="T302" t="s">
        <v>13290</v>
      </c>
      <c r="U302" t="s">
        <v>13290</v>
      </c>
      <c r="V302" t="s">
        <v>13290</v>
      </c>
      <c r="W302" t="s">
        <v>13588</v>
      </c>
      <c r="X302">
        <v>1</v>
      </c>
      <c r="Y302" t="s">
        <v>20176</v>
      </c>
      <c r="Z302" t="s">
        <v>26632</v>
      </c>
      <c r="AA302">
        <v>0.49480911276349021</v>
      </c>
      <c r="AB302" t="str">
        <f>HYPERLINK("Melting_Curves/meltCurve_C9IYB5_TRABD2A.pdf", "Melting_Curves/meltCurve_C9IYB5_TRABD2A.pdf")</f>
        <v>Melting_Curves/meltCurve_C9IYB5_TRABD2A.pdf</v>
      </c>
    </row>
    <row r="303" spans="1:28" x14ac:dyDescent="0.25">
      <c r="A303" t="s">
        <v>307</v>
      </c>
      <c r="B303">
        <v>0.99252571173614901</v>
      </c>
      <c r="C303">
        <v>1.0685900283491001</v>
      </c>
      <c r="D303">
        <v>0.93320636491634101</v>
      </c>
      <c r="E303">
        <v>0.83321235185123799</v>
      </c>
      <c r="F303">
        <v>0.671939328469629</v>
      </c>
      <c r="G303">
        <v>0.46737264243742399</v>
      </c>
      <c r="H303">
        <v>0.56232614980654405</v>
      </c>
      <c r="I303">
        <v>0.68437459389052702</v>
      </c>
      <c r="J303">
        <v>1.2212354093612301</v>
      </c>
      <c r="K303">
        <v>1.1572089119417901</v>
      </c>
      <c r="L303">
        <v>2410.80069043701</v>
      </c>
      <c r="M303">
        <v>51.526394953764303</v>
      </c>
      <c r="O303">
        <v>46.717349127459002</v>
      </c>
      <c r="P303">
        <v>-5.5763699458000998E-2</v>
      </c>
      <c r="Q303">
        <v>0.79776334737920795</v>
      </c>
      <c r="R303">
        <v>0.14675247291693899</v>
      </c>
      <c r="S303" t="s">
        <v>6949</v>
      </c>
      <c r="T303" t="s">
        <v>13290</v>
      </c>
      <c r="U303" t="s">
        <v>13290</v>
      </c>
      <c r="V303" t="s">
        <v>13290</v>
      </c>
      <c r="W303" t="s">
        <v>13589</v>
      </c>
      <c r="X303">
        <v>6</v>
      </c>
      <c r="Y303" t="s">
        <v>20177</v>
      </c>
      <c r="Z303" t="s">
        <v>26633</v>
      </c>
      <c r="AA303">
        <v>0.84391421107383802</v>
      </c>
      <c r="AB303" t="str">
        <f>HYPERLINK("Melting_Curves/meltCurve_C9IZG4_CUTA.pdf", "Melting_Curves/meltCurve_C9IZG4_CUTA.pdf")</f>
        <v>Melting_Curves/meltCurve_C9IZG4_CUTA.pdf</v>
      </c>
    </row>
    <row r="304" spans="1:28" x14ac:dyDescent="0.25">
      <c r="A304" t="s">
        <v>308</v>
      </c>
      <c r="B304">
        <v>0.99252571173614901</v>
      </c>
      <c r="C304">
        <v>0.95484397899428097</v>
      </c>
      <c r="D304">
        <v>0.85269871922857599</v>
      </c>
      <c r="E304">
        <v>0.767154582441257</v>
      </c>
      <c r="F304">
        <v>0.51772160831344005</v>
      </c>
      <c r="G304">
        <v>0.44969511241932503</v>
      </c>
      <c r="H304">
        <v>0.56931342305931398</v>
      </c>
      <c r="I304">
        <v>0.65067418860787196</v>
      </c>
      <c r="J304">
        <v>0.83654981712943999</v>
      </c>
      <c r="K304">
        <v>0.79147600118666295</v>
      </c>
      <c r="L304">
        <v>1352.1277871462401</v>
      </c>
      <c r="M304">
        <v>28.913423599971502</v>
      </c>
      <c r="O304">
        <v>46.542716865649098</v>
      </c>
      <c r="P304">
        <v>-5.5450201549222602E-2</v>
      </c>
      <c r="Q304">
        <v>0.64296395997299005</v>
      </c>
      <c r="R304">
        <v>0.58612655262838897</v>
      </c>
      <c r="S304" t="s">
        <v>6950</v>
      </c>
      <c r="T304" t="s">
        <v>13290</v>
      </c>
      <c r="U304" t="s">
        <v>13290</v>
      </c>
      <c r="V304" t="s">
        <v>13290</v>
      </c>
      <c r="W304" t="s">
        <v>13590</v>
      </c>
      <c r="X304">
        <v>1</v>
      </c>
      <c r="Y304" t="s">
        <v>20178</v>
      </c>
      <c r="Z304" t="s">
        <v>26634</v>
      </c>
      <c r="AA304">
        <v>0.72579648162034072</v>
      </c>
      <c r="AB304" t="str">
        <f>HYPERLINK("Melting_Curves/meltCurve_C9IZW8_NDUFB2.pdf", "Melting_Curves/meltCurve_C9IZW8_NDUFB2.pdf")</f>
        <v>Melting_Curves/meltCurve_C9IZW8_NDUFB2.pdf</v>
      </c>
    </row>
    <row r="305" spans="1:28" x14ac:dyDescent="0.25">
      <c r="A305" t="s">
        <v>309</v>
      </c>
      <c r="B305">
        <v>0.99252571173614901</v>
      </c>
      <c r="C305">
        <v>0.98373830099955095</v>
      </c>
      <c r="D305">
        <v>0.79913556998209001</v>
      </c>
      <c r="E305">
        <v>0.29190530379830598</v>
      </c>
      <c r="F305">
        <v>0.128168663016969</v>
      </c>
      <c r="G305">
        <v>6.7385347542577995E-2</v>
      </c>
      <c r="H305">
        <v>5.38530913472543E-2</v>
      </c>
      <c r="I305">
        <v>6.0962110001314199E-2</v>
      </c>
      <c r="J305">
        <v>7.2926535771027395E-2</v>
      </c>
      <c r="K305">
        <v>7.5950108108450196E-2</v>
      </c>
      <c r="L305">
        <v>1515.5909507935201</v>
      </c>
      <c r="M305">
        <v>31.6677348122716</v>
      </c>
      <c r="N305">
        <v>48.0814717524919</v>
      </c>
      <c r="O305">
        <v>47.669525269673599</v>
      </c>
      <c r="P305">
        <v>-0.15476958074806799</v>
      </c>
      <c r="Q305">
        <v>6.8104785137106397E-2</v>
      </c>
      <c r="R305">
        <v>0.99926678640606303</v>
      </c>
      <c r="S305" t="s">
        <v>6951</v>
      </c>
      <c r="T305" t="s">
        <v>13290</v>
      </c>
      <c r="U305" t="s">
        <v>13290</v>
      </c>
      <c r="V305" t="s">
        <v>13290</v>
      </c>
      <c r="W305" t="s">
        <v>13591</v>
      </c>
      <c r="X305">
        <v>6</v>
      </c>
      <c r="Y305" t="s">
        <v>20179</v>
      </c>
      <c r="Z305" t="s">
        <v>26635</v>
      </c>
      <c r="AA305">
        <v>0.31723833195983592</v>
      </c>
      <c r="AB305" t="str">
        <f>HYPERLINK("Melting_Curves/meltCurve_C9J0I9_ZC3HC1.pdf", "Melting_Curves/meltCurve_C9J0I9_ZC3HC1.pdf")</f>
        <v>Melting_Curves/meltCurve_C9J0I9_ZC3HC1.pdf</v>
      </c>
    </row>
    <row r="306" spans="1:28" x14ac:dyDescent="0.25">
      <c r="A306" t="s">
        <v>310</v>
      </c>
      <c r="B306">
        <v>0.99252571173614901</v>
      </c>
      <c r="C306">
        <v>0.96129813546730103</v>
      </c>
      <c r="D306">
        <v>0.77209483641869903</v>
      </c>
      <c r="E306">
        <v>0.86786571468762896</v>
      </c>
      <c r="F306">
        <v>0.74171186262331301</v>
      </c>
      <c r="G306">
        <v>0.786982875281659</v>
      </c>
      <c r="H306">
        <v>0.75331088183386496</v>
      </c>
      <c r="I306">
        <v>1.21423158090573</v>
      </c>
      <c r="J306">
        <v>1.89349846811272</v>
      </c>
      <c r="K306">
        <v>1.85461917725943</v>
      </c>
      <c r="L306">
        <v>15000</v>
      </c>
      <c r="M306">
        <v>234.08719585316899</v>
      </c>
      <c r="O306">
        <v>64.074009369069202</v>
      </c>
      <c r="P306">
        <v>0.45667345970899398</v>
      </c>
      <c r="Q306">
        <v>1.5</v>
      </c>
      <c r="R306">
        <v>0.69998414350182603</v>
      </c>
      <c r="S306" t="s">
        <v>6952</v>
      </c>
      <c r="T306" t="s">
        <v>13290</v>
      </c>
      <c r="U306" t="s">
        <v>13290</v>
      </c>
      <c r="V306" t="s">
        <v>13290</v>
      </c>
      <c r="W306" t="s">
        <v>13592</v>
      </c>
      <c r="X306">
        <v>2</v>
      </c>
      <c r="Y306" t="s">
        <v>20180</v>
      </c>
      <c r="Z306" t="s">
        <v>26636</v>
      </c>
      <c r="AA306">
        <v>1.098624425965594</v>
      </c>
      <c r="AB306" t="str">
        <f>HYPERLINK("Melting_Curves/meltCurve_C9J0J0_CCDC126.pdf", "Melting_Curves/meltCurve_C9J0J0_CCDC126.pdf")</f>
        <v>Melting_Curves/meltCurve_C9J0J0_CCDC126.pdf</v>
      </c>
    </row>
    <row r="307" spans="1:28" x14ac:dyDescent="0.25">
      <c r="A307" t="s">
        <v>311</v>
      </c>
      <c r="B307">
        <v>0.99252571173614901</v>
      </c>
      <c r="C307">
        <v>0.882673229595488</v>
      </c>
      <c r="D307">
        <v>0.57417660813659399</v>
      </c>
      <c r="E307">
        <v>0.271739605871682</v>
      </c>
      <c r="F307">
        <v>9.4703653402006996E-2</v>
      </c>
      <c r="G307">
        <v>5.5182183755382898E-2</v>
      </c>
      <c r="H307">
        <v>5.6697862648900199E-2</v>
      </c>
      <c r="I307">
        <v>6.2263782368970698E-2</v>
      </c>
      <c r="J307">
        <v>0.134311646998752</v>
      </c>
      <c r="K307">
        <v>6.23745307309264E-2</v>
      </c>
      <c r="L307">
        <v>1070.5455452045401</v>
      </c>
      <c r="M307">
        <v>23.044674119220801</v>
      </c>
      <c r="N307">
        <v>46.7579206520276</v>
      </c>
      <c r="O307">
        <v>46.109669750285498</v>
      </c>
      <c r="P307">
        <v>-0.11628923648534099</v>
      </c>
      <c r="Q307">
        <v>6.9293636307722603E-2</v>
      </c>
      <c r="R307">
        <v>0.99418568807295704</v>
      </c>
      <c r="S307" t="s">
        <v>6953</v>
      </c>
      <c r="T307" t="s">
        <v>13290</v>
      </c>
      <c r="U307" t="s">
        <v>13290</v>
      </c>
      <c r="V307" t="s">
        <v>13290</v>
      </c>
      <c r="W307" t="s">
        <v>13593</v>
      </c>
      <c r="X307">
        <v>12</v>
      </c>
      <c r="Y307" t="s">
        <v>20181</v>
      </c>
      <c r="Z307" t="s">
        <v>26637</v>
      </c>
      <c r="AA307">
        <v>0.27969833444742581</v>
      </c>
      <c r="AB307" t="str">
        <f>HYPERLINK("Melting_Curves/meltCurve_C9J0J7_PFN2.pdf", "Melting_Curves/meltCurve_C9J0J7_PFN2.pdf")</f>
        <v>Melting_Curves/meltCurve_C9J0J7_PFN2.pdf</v>
      </c>
    </row>
    <row r="308" spans="1:28" x14ac:dyDescent="0.25">
      <c r="A308" t="s">
        <v>312</v>
      </c>
      <c r="B308">
        <v>0.99252571173614901</v>
      </c>
      <c r="C308">
        <v>0.98914826791824395</v>
      </c>
      <c r="D308">
        <v>0.91538128051428602</v>
      </c>
      <c r="E308">
        <v>0.81953240874409405</v>
      </c>
      <c r="F308">
        <v>0.527845009482109</v>
      </c>
      <c r="G308">
        <v>0.23493162217611099</v>
      </c>
      <c r="H308">
        <v>0.13173412198720399</v>
      </c>
      <c r="I308">
        <v>0.10996087309785001</v>
      </c>
      <c r="J308">
        <v>0.11575605546989599</v>
      </c>
      <c r="K308">
        <v>0.11282703808884099</v>
      </c>
      <c r="L308">
        <v>1132.54045189464</v>
      </c>
      <c r="M308">
        <v>21.466240858200599</v>
      </c>
      <c r="N308">
        <v>53.280948099071097</v>
      </c>
      <c r="O308">
        <v>52.307667415932102</v>
      </c>
      <c r="P308">
        <v>-9.2872143608416002E-2</v>
      </c>
      <c r="Q308">
        <v>9.4800639438692505E-2</v>
      </c>
      <c r="R308">
        <v>0.99735458092286899</v>
      </c>
      <c r="S308" t="s">
        <v>6954</v>
      </c>
      <c r="T308" t="s">
        <v>13290</v>
      </c>
      <c r="U308" t="s">
        <v>13290</v>
      </c>
      <c r="V308" t="s">
        <v>13290</v>
      </c>
      <c r="W308" t="s">
        <v>13594</v>
      </c>
      <c r="X308">
        <v>13</v>
      </c>
      <c r="Y308" t="s">
        <v>20182</v>
      </c>
      <c r="Z308" t="s">
        <v>26638</v>
      </c>
      <c r="AA308">
        <v>0.49080080898710249</v>
      </c>
      <c r="AB308" t="str">
        <f>HYPERLINK("Melting_Curves/meltCurve_C9J0K6_SRI.pdf", "Melting_Curves/meltCurve_C9J0K6_SRI.pdf")</f>
        <v>Melting_Curves/meltCurve_C9J0K6_SRI.pdf</v>
      </c>
    </row>
    <row r="309" spans="1:28" x14ac:dyDescent="0.25">
      <c r="A309" t="s">
        <v>313</v>
      </c>
      <c r="B309">
        <v>0.99252571173614901</v>
      </c>
      <c r="C309">
        <v>0.61319192194443894</v>
      </c>
      <c r="D309">
        <v>0.28475348423936803</v>
      </c>
      <c r="E309">
        <v>0.149756209746672</v>
      </c>
      <c r="F309">
        <v>1.9677136905517801E-2</v>
      </c>
      <c r="G309">
        <v>3.0177372450977999E-2</v>
      </c>
      <c r="H309">
        <v>1.5602206740687401E-2</v>
      </c>
      <c r="I309">
        <v>2.3047715835098698E-2</v>
      </c>
      <c r="J309">
        <v>0</v>
      </c>
      <c r="K309">
        <v>0</v>
      </c>
      <c r="L309">
        <v>1014.57284608468</v>
      </c>
      <c r="M309">
        <v>23.032297457662398</v>
      </c>
      <c r="N309">
        <v>44.121585876703698</v>
      </c>
      <c r="O309">
        <v>43.721972971517701</v>
      </c>
      <c r="P309">
        <v>-0.12928480490017799</v>
      </c>
      <c r="Q309">
        <v>1.83382202953438E-2</v>
      </c>
      <c r="R309">
        <v>0.98711419003672696</v>
      </c>
      <c r="S309" t="s">
        <v>6955</v>
      </c>
      <c r="T309" t="s">
        <v>13290</v>
      </c>
      <c r="U309" t="s">
        <v>13290</v>
      </c>
      <c r="V309" t="s">
        <v>13290</v>
      </c>
      <c r="W309" t="s">
        <v>13595</v>
      </c>
      <c r="X309">
        <v>3</v>
      </c>
      <c r="Y309" t="s">
        <v>20183</v>
      </c>
      <c r="Z309" t="s">
        <v>26639</v>
      </c>
      <c r="AA309">
        <v>0.16444983254431431</v>
      </c>
      <c r="AB309" t="str">
        <f>HYPERLINK("Melting_Curves/meltCurve_C9J167_PMS2.pdf", "Melting_Curves/meltCurve_C9J167_PMS2.pdf")</f>
        <v>Melting_Curves/meltCurve_C9J167_PMS2.pdf</v>
      </c>
    </row>
    <row r="310" spans="1:28" x14ac:dyDescent="0.25">
      <c r="A310" t="s">
        <v>314</v>
      </c>
      <c r="B310">
        <v>0.99252571173614901</v>
      </c>
      <c r="C310">
        <v>0.87266290691700299</v>
      </c>
      <c r="D310">
        <v>0.71443604258004501</v>
      </c>
      <c r="E310">
        <v>0.64870920502076002</v>
      </c>
      <c r="F310">
        <v>0.34582130598973099</v>
      </c>
      <c r="G310">
        <v>0.20669043846424401</v>
      </c>
      <c r="H310">
        <v>0.16860429266725899</v>
      </c>
      <c r="I310">
        <v>0.23821384270172399</v>
      </c>
      <c r="J310">
        <v>0.35697520281675499</v>
      </c>
      <c r="K310">
        <v>0.36050860465263301</v>
      </c>
      <c r="L310">
        <v>814.27635432214504</v>
      </c>
      <c r="M310">
        <v>16.935480008513402</v>
      </c>
      <c r="N310">
        <v>50.191966775842197</v>
      </c>
      <c r="O310">
        <v>47.425709264202602</v>
      </c>
      <c r="P310">
        <v>-6.6537405556319207E-2</v>
      </c>
      <c r="Q310">
        <v>0.254727776063644</v>
      </c>
      <c r="R310">
        <v>0.92195064744605204</v>
      </c>
      <c r="S310" t="s">
        <v>6956</v>
      </c>
      <c r="T310" t="s">
        <v>13290</v>
      </c>
      <c r="U310" t="s">
        <v>13290</v>
      </c>
      <c r="V310" t="s">
        <v>13290</v>
      </c>
      <c r="W310" t="s">
        <v>13596</v>
      </c>
      <c r="X310">
        <v>3</v>
      </c>
      <c r="Y310" t="s">
        <v>20184</v>
      </c>
      <c r="Z310" t="s">
        <v>26640</v>
      </c>
      <c r="AA310">
        <v>0.47044414880687763</v>
      </c>
      <c r="AB310" t="str">
        <f>HYPERLINK("Melting_Curves/meltCurve_C9J1G2_DNAJB2.pdf", "Melting_Curves/meltCurve_C9J1G2_DNAJB2.pdf")</f>
        <v>Melting_Curves/meltCurve_C9J1G2_DNAJB2.pdf</v>
      </c>
    </row>
    <row r="311" spans="1:28" x14ac:dyDescent="0.25">
      <c r="A311" t="s">
        <v>315</v>
      </c>
      <c r="B311">
        <v>0.99252571173614901</v>
      </c>
      <c r="C311">
        <v>1.1084861750816699</v>
      </c>
      <c r="D311">
        <v>0.91328207685931595</v>
      </c>
      <c r="E311">
        <v>1.0888595430210299</v>
      </c>
      <c r="F311">
        <v>0.90208979316388904</v>
      </c>
      <c r="G311">
        <v>0.77700553936901295</v>
      </c>
      <c r="H311">
        <v>0.729460122215568</v>
      </c>
      <c r="I311">
        <v>1.0996831614678999</v>
      </c>
      <c r="J311">
        <v>1.7271203051702599</v>
      </c>
      <c r="K311">
        <v>1.8091933455865801</v>
      </c>
      <c r="L311">
        <v>15000</v>
      </c>
      <c r="M311">
        <v>232.98613380049801</v>
      </c>
      <c r="O311">
        <v>64.3767835872967</v>
      </c>
      <c r="P311">
        <v>0.45238782011209999</v>
      </c>
      <c r="Q311">
        <v>1.5</v>
      </c>
      <c r="R311">
        <v>0.74870315993072201</v>
      </c>
      <c r="S311" t="s">
        <v>6957</v>
      </c>
      <c r="T311" t="s">
        <v>13290</v>
      </c>
      <c r="U311" t="s">
        <v>13290</v>
      </c>
      <c r="V311" t="s">
        <v>13290</v>
      </c>
      <c r="W311" t="s">
        <v>13597</v>
      </c>
      <c r="X311">
        <v>3</v>
      </c>
      <c r="Y311" t="s">
        <v>20185</v>
      </c>
      <c r="Z311" t="s">
        <v>26641</v>
      </c>
      <c r="AA311">
        <v>1.093576387146854</v>
      </c>
      <c r="AB311" t="str">
        <f>HYPERLINK("Melting_Curves/meltCurve_C9J1K8_MEGF9.pdf", "Melting_Curves/meltCurve_C9J1K8_MEGF9.pdf")</f>
        <v>Melting_Curves/meltCurve_C9J1K8_MEGF9.pdf</v>
      </c>
    </row>
    <row r="312" spans="1:28" x14ac:dyDescent="0.25">
      <c r="A312" t="s">
        <v>316</v>
      </c>
      <c r="B312">
        <v>0.99252571173614901</v>
      </c>
      <c r="C312">
        <v>1.1009208500109799</v>
      </c>
      <c r="D312">
        <v>0.96642857245198299</v>
      </c>
      <c r="E312">
        <v>0.87743795563698501</v>
      </c>
      <c r="F312">
        <v>0.51993120152504801</v>
      </c>
      <c r="G312">
        <v>0.23309247055486901</v>
      </c>
      <c r="H312">
        <v>0.12997921866746501</v>
      </c>
      <c r="I312">
        <v>0.119134843667749</v>
      </c>
      <c r="J312">
        <v>0.114011017058594</v>
      </c>
      <c r="K312">
        <v>0.108717893775202</v>
      </c>
      <c r="L312">
        <v>1437.1951383149301</v>
      </c>
      <c r="M312">
        <v>27.162137973040899</v>
      </c>
      <c r="N312">
        <v>53.396235987283198</v>
      </c>
      <c r="O312">
        <v>52.627407572636699</v>
      </c>
      <c r="P312">
        <v>-0.11493832151550699</v>
      </c>
      <c r="Q312">
        <v>0.1092237105167</v>
      </c>
      <c r="R312">
        <v>0.99321630012557705</v>
      </c>
      <c r="S312" t="s">
        <v>6958</v>
      </c>
      <c r="T312" t="s">
        <v>13290</v>
      </c>
      <c r="U312" t="s">
        <v>13290</v>
      </c>
      <c r="V312" t="s">
        <v>13290</v>
      </c>
      <c r="W312" t="s">
        <v>13598</v>
      </c>
      <c r="X312">
        <v>5</v>
      </c>
      <c r="Y312" t="s">
        <v>20186</v>
      </c>
      <c r="Z312" t="s">
        <v>26642</v>
      </c>
      <c r="AA312">
        <v>0.49960412195205939</v>
      </c>
      <c r="AB312" t="str">
        <f>HYPERLINK("Melting_Curves/meltCurve_C9J212_UBE2F.pdf", "Melting_Curves/meltCurve_C9J212_UBE2F.pdf")</f>
        <v>Melting_Curves/meltCurve_C9J212_UBE2F.pdf</v>
      </c>
    </row>
    <row r="313" spans="1:28" x14ac:dyDescent="0.25">
      <c r="A313" t="s">
        <v>317</v>
      </c>
      <c r="B313">
        <v>0.99252571173614901</v>
      </c>
      <c r="C313">
        <v>0.89716976152716399</v>
      </c>
      <c r="D313">
        <v>0.83668258624161596</v>
      </c>
      <c r="E313">
        <v>0.86157507541355605</v>
      </c>
      <c r="F313">
        <v>0.55800569780298304</v>
      </c>
      <c r="G313">
        <v>0.32536295526730102</v>
      </c>
      <c r="H313">
        <v>0.18660366264504999</v>
      </c>
      <c r="I313">
        <v>0.127485863214537</v>
      </c>
      <c r="J313">
        <v>0.233334876316802</v>
      </c>
      <c r="K313">
        <v>0.19271739964471099</v>
      </c>
      <c r="L313">
        <v>963.12542134859405</v>
      </c>
      <c r="M313">
        <v>18.2409758829677</v>
      </c>
      <c r="N313">
        <v>53.887425905876</v>
      </c>
      <c r="O313">
        <v>52.177791169142502</v>
      </c>
      <c r="P313">
        <v>-7.3945399115527694E-2</v>
      </c>
      <c r="Q313">
        <v>0.15396479301836999</v>
      </c>
      <c r="R313">
        <v>0.96842395362854505</v>
      </c>
      <c r="S313" t="s">
        <v>6959</v>
      </c>
      <c r="T313" t="s">
        <v>13290</v>
      </c>
      <c r="U313" t="s">
        <v>13290</v>
      </c>
      <c r="V313" t="s">
        <v>13290</v>
      </c>
      <c r="W313" t="s">
        <v>13599</v>
      </c>
      <c r="X313">
        <v>2</v>
      </c>
      <c r="Y313" t="s">
        <v>20187</v>
      </c>
      <c r="Z313" t="s">
        <v>26643</v>
      </c>
      <c r="AA313">
        <v>0.52854868813457268</v>
      </c>
      <c r="AB313" t="str">
        <f>HYPERLINK("Melting_Curves/meltCurve_C9J240_SLC4A10.pdf", "Melting_Curves/meltCurve_C9J240_SLC4A10.pdf")</f>
        <v>Melting_Curves/meltCurve_C9J240_SLC4A10.pdf</v>
      </c>
    </row>
    <row r="314" spans="1:28" x14ac:dyDescent="0.25">
      <c r="A314" t="s">
        <v>318</v>
      </c>
      <c r="B314">
        <v>0.99252571173614901</v>
      </c>
      <c r="C314">
        <v>1.06365592033918</v>
      </c>
      <c r="D314">
        <v>0.823581786623374</v>
      </c>
      <c r="E314">
        <v>0.32464471855537702</v>
      </c>
      <c r="F314">
        <v>0.129653407719624</v>
      </c>
      <c r="G314">
        <v>7.1721097373682499E-2</v>
      </c>
      <c r="H314">
        <v>5.1610334468940401E-2</v>
      </c>
      <c r="I314">
        <v>2.5822906257595899E-2</v>
      </c>
      <c r="J314">
        <v>3.0423186245320401E-2</v>
      </c>
      <c r="K314">
        <v>4.5283379576330197E-2</v>
      </c>
      <c r="L314">
        <v>1521.6792252502</v>
      </c>
      <c r="M314">
        <v>31.527930649740799</v>
      </c>
      <c r="N314">
        <v>48.419303291136004</v>
      </c>
      <c r="O314">
        <v>48.071559449203399</v>
      </c>
      <c r="P314">
        <v>-0.156102633156423</v>
      </c>
      <c r="Q314">
        <v>4.7948189026082E-2</v>
      </c>
      <c r="R314">
        <v>0.99453992114607703</v>
      </c>
      <c r="S314" t="s">
        <v>6960</v>
      </c>
      <c r="T314" t="s">
        <v>13290</v>
      </c>
      <c r="U314" t="s">
        <v>13290</v>
      </c>
      <c r="V314" t="s">
        <v>13290</v>
      </c>
      <c r="W314" t="s">
        <v>13600</v>
      </c>
      <c r="X314">
        <v>5</v>
      </c>
      <c r="Y314" t="s">
        <v>20188</v>
      </c>
      <c r="Z314" t="s">
        <v>26644</v>
      </c>
      <c r="AA314">
        <v>0.31540487937088402</v>
      </c>
      <c r="AB314" t="str">
        <f>HYPERLINK("Melting_Curves/meltCurve_C9J2P0_UBE2E1.pdf", "Melting_Curves/meltCurve_C9J2P0_UBE2E1.pdf")</f>
        <v>Melting_Curves/meltCurve_C9J2P0_UBE2E1.pdf</v>
      </c>
    </row>
    <row r="315" spans="1:28" x14ac:dyDescent="0.25">
      <c r="A315" t="s">
        <v>319</v>
      </c>
      <c r="B315">
        <v>0.99252571173614901</v>
      </c>
      <c r="C315">
        <v>0.99740763407761701</v>
      </c>
      <c r="D315">
        <v>0.89070607507636301</v>
      </c>
      <c r="E315">
        <v>0.74756514863262902</v>
      </c>
      <c r="F315">
        <v>0.45714181256396003</v>
      </c>
      <c r="G315">
        <v>0.193317625671028</v>
      </c>
      <c r="H315">
        <v>0.12258088630160099</v>
      </c>
      <c r="I315">
        <v>0.13926965898868901</v>
      </c>
      <c r="J315">
        <v>0.17489970673885699</v>
      </c>
      <c r="K315">
        <v>0.165233786483092</v>
      </c>
      <c r="L315">
        <v>1128.2933611215401</v>
      </c>
      <c r="M315">
        <v>21.893406677609299</v>
      </c>
      <c r="N315">
        <v>52.282266891642003</v>
      </c>
      <c r="O315">
        <v>51.111578223572501</v>
      </c>
      <c r="P315">
        <v>-9.2714285238848698E-2</v>
      </c>
      <c r="Q315">
        <v>0.134229701400503</v>
      </c>
      <c r="R315">
        <v>0.99272705553358298</v>
      </c>
      <c r="S315" t="s">
        <v>6961</v>
      </c>
      <c r="T315" t="s">
        <v>13290</v>
      </c>
      <c r="U315" t="s">
        <v>13290</v>
      </c>
      <c r="V315" t="s">
        <v>13290</v>
      </c>
      <c r="W315" t="s">
        <v>13601</v>
      </c>
      <c r="X315">
        <v>11</v>
      </c>
      <c r="Y315" t="s">
        <v>20189</v>
      </c>
      <c r="Z315" t="s">
        <v>26645</v>
      </c>
      <c r="AA315">
        <v>0.47728483775130021</v>
      </c>
      <c r="AB315" t="str">
        <f>HYPERLINK("Melting_Curves/meltCurve_C9J2U4_TAMM41.pdf", "Melting_Curves/meltCurve_C9J2U4_TAMM41.pdf")</f>
        <v>Melting_Curves/meltCurve_C9J2U4_TAMM41.pdf</v>
      </c>
    </row>
    <row r="316" spans="1:28" x14ac:dyDescent="0.25">
      <c r="A316" t="s">
        <v>320</v>
      </c>
      <c r="B316">
        <v>0.99252571173614901</v>
      </c>
      <c r="C316">
        <v>0.91988128543684</v>
      </c>
      <c r="D316">
        <v>0.86839031353131702</v>
      </c>
      <c r="E316">
        <v>0.70195671191681297</v>
      </c>
      <c r="F316">
        <v>0.80051802937930905</v>
      </c>
      <c r="G316">
        <v>0.79675885492778897</v>
      </c>
      <c r="H316">
        <v>0.68050738693037904</v>
      </c>
      <c r="I316">
        <v>0.85426167212652704</v>
      </c>
      <c r="J316">
        <v>0.82768180712262196</v>
      </c>
      <c r="K316">
        <v>0.62370032307976297</v>
      </c>
      <c r="L316">
        <v>1159.9025789868599</v>
      </c>
      <c r="M316">
        <v>25.938875960297</v>
      </c>
      <c r="O316">
        <v>44.453522988453003</v>
      </c>
      <c r="P316">
        <v>-3.5746349862629097E-2</v>
      </c>
      <c r="Q316">
        <v>0.75495734918090596</v>
      </c>
      <c r="R316">
        <v>0.58184157535634995</v>
      </c>
      <c r="S316" t="s">
        <v>6962</v>
      </c>
      <c r="T316" t="s">
        <v>13290</v>
      </c>
      <c r="U316" t="s">
        <v>13290</v>
      </c>
      <c r="V316" t="s">
        <v>13290</v>
      </c>
      <c r="W316" t="s">
        <v>13602</v>
      </c>
      <c r="X316">
        <v>8</v>
      </c>
      <c r="Y316" t="s">
        <v>20190</v>
      </c>
      <c r="Z316" t="s">
        <v>26646</v>
      </c>
      <c r="AA316">
        <v>0.79578957861928756</v>
      </c>
      <c r="AB316" t="str">
        <f>HYPERLINK("Melting_Curves/meltCurve_C9J2V2_IKBKG.pdf", "Melting_Curves/meltCurve_C9J2V2_IKBKG.pdf")</f>
        <v>Melting_Curves/meltCurve_C9J2V2_IKBKG.pdf</v>
      </c>
    </row>
    <row r="317" spans="1:28" x14ac:dyDescent="0.25">
      <c r="A317" t="s">
        <v>321</v>
      </c>
      <c r="B317">
        <v>0.99252571173614901</v>
      </c>
      <c r="C317">
        <v>0.86488316979523605</v>
      </c>
      <c r="D317">
        <v>1.0233652061427001</v>
      </c>
      <c r="E317">
        <v>1.15680772960296</v>
      </c>
      <c r="F317">
        <v>0.93340378549959302</v>
      </c>
      <c r="G317">
        <v>0.558068190252487</v>
      </c>
      <c r="H317">
        <v>0.59585519250333396</v>
      </c>
      <c r="I317">
        <v>0.25146353327920201</v>
      </c>
      <c r="J317">
        <v>0.19310596749125</v>
      </c>
      <c r="K317">
        <v>0.16715112691839801</v>
      </c>
      <c r="L317">
        <v>1034.40777783422</v>
      </c>
      <c r="M317">
        <v>17.447424119521799</v>
      </c>
      <c r="N317">
        <v>60.092565598723397</v>
      </c>
      <c r="O317">
        <v>58.5247392208611</v>
      </c>
      <c r="P317">
        <v>-6.6763379593529404E-2</v>
      </c>
      <c r="Q317">
        <v>0.10425942467307001</v>
      </c>
      <c r="R317">
        <v>0.91853995648307996</v>
      </c>
      <c r="S317" t="s">
        <v>6963</v>
      </c>
      <c r="T317" t="s">
        <v>13290</v>
      </c>
      <c r="U317" t="s">
        <v>13290</v>
      </c>
      <c r="V317" t="s">
        <v>13290</v>
      </c>
      <c r="W317" t="s">
        <v>13603</v>
      </c>
      <c r="X317">
        <v>12</v>
      </c>
      <c r="Y317" t="s">
        <v>20191</v>
      </c>
      <c r="Z317" t="s">
        <v>26647</v>
      </c>
      <c r="AA317">
        <v>0.68910039503731269</v>
      </c>
      <c r="AB317" t="str">
        <f>HYPERLINK("Melting_Curves/meltCurve_C9J2Y9_POLR2B.pdf", "Melting_Curves/meltCurve_C9J2Y9_POLR2B.pdf")</f>
        <v>Melting_Curves/meltCurve_C9J2Y9_POLR2B.pdf</v>
      </c>
    </row>
    <row r="318" spans="1:28" x14ac:dyDescent="0.25">
      <c r="A318" t="s">
        <v>322</v>
      </c>
      <c r="B318">
        <v>0.99252571173614901</v>
      </c>
      <c r="C318">
        <v>1.0031886465791899</v>
      </c>
      <c r="D318">
        <v>0.89417978629876205</v>
      </c>
      <c r="E318">
        <v>0.60049022723906198</v>
      </c>
      <c r="F318">
        <v>0.56971377249341104</v>
      </c>
      <c r="G318">
        <v>0.28934661647541798</v>
      </c>
      <c r="H318">
        <v>0.228361440294404</v>
      </c>
      <c r="I318">
        <v>0.17536519459164299</v>
      </c>
      <c r="J318">
        <v>0.16122119547664299</v>
      </c>
      <c r="K318">
        <v>0.120733204130045</v>
      </c>
      <c r="L318">
        <v>697.62174108780403</v>
      </c>
      <c r="M318">
        <v>13.418728437420199</v>
      </c>
      <c r="N318">
        <v>52.952865885934301</v>
      </c>
      <c r="O318">
        <v>50.874773248401702</v>
      </c>
      <c r="P318">
        <v>-5.88020496709276E-2</v>
      </c>
      <c r="Q318">
        <v>0.108388274032257</v>
      </c>
      <c r="R318">
        <v>0.98193276603481705</v>
      </c>
      <c r="S318" t="s">
        <v>6964</v>
      </c>
      <c r="T318" t="s">
        <v>13290</v>
      </c>
      <c r="U318" t="s">
        <v>13290</v>
      </c>
      <c r="V318" t="s">
        <v>13290</v>
      </c>
      <c r="W318" t="s">
        <v>13604</v>
      </c>
      <c r="X318">
        <v>1</v>
      </c>
      <c r="Y318" t="s">
        <v>20192</v>
      </c>
      <c r="Z318" t="s">
        <v>26648</v>
      </c>
      <c r="AA318">
        <v>0.48818557082595748</v>
      </c>
      <c r="AB318" t="str">
        <f>HYPERLINK("Melting_Curves/meltCurve_C9J3D7_CROT.pdf", "Melting_Curves/meltCurve_C9J3D7_CROT.pdf")</f>
        <v>Melting_Curves/meltCurve_C9J3D7_CROT.pdf</v>
      </c>
    </row>
    <row r="319" spans="1:28" x14ac:dyDescent="0.25">
      <c r="A319" t="s">
        <v>323</v>
      </c>
      <c r="B319">
        <v>0.99252571173614901</v>
      </c>
      <c r="C319">
        <v>1.0698018879485001</v>
      </c>
      <c r="D319">
        <v>0.96198280874582698</v>
      </c>
      <c r="E319">
        <v>1.3213004748097701</v>
      </c>
      <c r="F319">
        <v>0.534133781292355</v>
      </c>
      <c r="G319">
        <v>0.38588691997736801</v>
      </c>
      <c r="H319">
        <v>0.34201004729370699</v>
      </c>
      <c r="I319">
        <v>0.55610570191053699</v>
      </c>
      <c r="J319">
        <v>0.294151605180479</v>
      </c>
      <c r="K319">
        <v>0.29592911295930902</v>
      </c>
      <c r="L319">
        <v>13242.9163383306</v>
      </c>
      <c r="M319">
        <v>250</v>
      </c>
      <c r="N319">
        <v>53.266710985241303</v>
      </c>
      <c r="O319">
        <v>52.968292467329</v>
      </c>
      <c r="P319">
        <v>-0.73768606529227199</v>
      </c>
      <c r="Q319">
        <v>0.37481665969751499</v>
      </c>
      <c r="R319">
        <v>0.87722970980758497</v>
      </c>
      <c r="S319" t="s">
        <v>6965</v>
      </c>
      <c r="T319" t="s">
        <v>13290</v>
      </c>
      <c r="U319" t="s">
        <v>13290</v>
      </c>
      <c r="V319" t="s">
        <v>13290</v>
      </c>
      <c r="W319" t="s">
        <v>13605</v>
      </c>
      <c r="X319">
        <v>1</v>
      </c>
      <c r="Y319" t="s">
        <v>20193</v>
      </c>
      <c r="Z319" t="s">
        <v>26649</v>
      </c>
      <c r="AA319">
        <v>0.64519708201768711</v>
      </c>
      <c r="AB319" t="str">
        <f>HYPERLINK("Melting_Curves/meltCurve_C9J4K0_C2orf49.pdf", "Melting_Curves/meltCurve_C9J4K0_C2orf49.pdf")</f>
        <v>Melting_Curves/meltCurve_C9J4K0_C2orf49.pdf</v>
      </c>
    </row>
    <row r="320" spans="1:28" x14ac:dyDescent="0.25">
      <c r="A320" t="s">
        <v>324</v>
      </c>
      <c r="B320">
        <v>0.99252571173614901</v>
      </c>
      <c r="C320">
        <v>1.1651815154087</v>
      </c>
      <c r="D320">
        <v>1.07603733054803</v>
      </c>
      <c r="E320">
        <v>1.0901705312372401</v>
      </c>
      <c r="F320">
        <v>0.898765242021624</v>
      </c>
      <c r="G320">
        <v>0.77427885551607001</v>
      </c>
      <c r="H320">
        <v>0.84874006867468499</v>
      </c>
      <c r="I320">
        <v>1.1380931683548801</v>
      </c>
      <c r="J320">
        <v>1.69088402632452</v>
      </c>
      <c r="K320">
        <v>1.68748147574533</v>
      </c>
      <c r="L320">
        <v>15000</v>
      </c>
      <c r="M320">
        <v>233.412025316723</v>
      </c>
      <c r="O320">
        <v>64.259315316869802</v>
      </c>
      <c r="P320">
        <v>0.45404311210515502</v>
      </c>
      <c r="Q320">
        <v>1.5</v>
      </c>
      <c r="R320">
        <v>0.78331166090654702</v>
      </c>
      <c r="S320" t="s">
        <v>6966</v>
      </c>
      <c r="T320" t="s">
        <v>13290</v>
      </c>
      <c r="U320" t="s">
        <v>13290</v>
      </c>
      <c r="V320" t="s">
        <v>13290</v>
      </c>
      <c r="W320" t="s">
        <v>13606</v>
      </c>
      <c r="X320">
        <v>5</v>
      </c>
      <c r="Y320" t="s">
        <v>20194</v>
      </c>
      <c r="Z320" t="s">
        <v>26650</v>
      </c>
      <c r="AA320">
        <v>1.0955346209272581</v>
      </c>
      <c r="AB320" t="str">
        <f>HYPERLINK("Melting_Curves/meltCurve_C9J4T6_IL8.pdf", "Melting_Curves/meltCurve_C9J4T6_IL8.pdf")</f>
        <v>Melting_Curves/meltCurve_C9J4T6_IL8.pdf</v>
      </c>
    </row>
    <row r="321" spans="1:28" x14ac:dyDescent="0.25">
      <c r="A321" t="s">
        <v>325</v>
      </c>
      <c r="B321">
        <v>0.99252571173614901</v>
      </c>
      <c r="C321">
        <v>1.05339088447296</v>
      </c>
      <c r="D321">
        <v>1.0797321881528701</v>
      </c>
      <c r="E321">
        <v>1.0197044424536901</v>
      </c>
      <c r="F321">
        <v>0.67471942909621396</v>
      </c>
      <c r="G321">
        <v>0.54855016678240898</v>
      </c>
      <c r="H321">
        <v>0.29112718397208198</v>
      </c>
      <c r="I321">
        <v>0.23176976263481</v>
      </c>
      <c r="J321">
        <v>0.32997865975366503</v>
      </c>
      <c r="K321">
        <v>0.35391527591539101</v>
      </c>
      <c r="L321">
        <v>1443.8604384770199</v>
      </c>
      <c r="M321">
        <v>26.5649658793571</v>
      </c>
      <c r="N321">
        <v>56.2749737093269</v>
      </c>
      <c r="O321">
        <v>54.046864533625097</v>
      </c>
      <c r="P321">
        <v>-8.6227925061692703E-2</v>
      </c>
      <c r="Q321">
        <v>0.29827893165348801</v>
      </c>
      <c r="R321">
        <v>0.96459410813343505</v>
      </c>
      <c r="S321" t="s">
        <v>6967</v>
      </c>
      <c r="T321" t="s">
        <v>13290</v>
      </c>
      <c r="U321" t="s">
        <v>13290</v>
      </c>
      <c r="V321" t="s">
        <v>13290</v>
      </c>
      <c r="W321" t="s">
        <v>13607</v>
      </c>
      <c r="X321">
        <v>2</v>
      </c>
      <c r="Y321" t="s">
        <v>20195</v>
      </c>
      <c r="Z321" t="s">
        <v>26651</v>
      </c>
      <c r="AA321">
        <v>0.63980076435362987</v>
      </c>
      <c r="AB321" t="str">
        <f>HYPERLINK("Melting_Curves/meltCurve_C9J4Z3_RPL37A.pdf", "Melting_Curves/meltCurve_C9J4Z3_RPL37A.pdf")</f>
        <v>Melting_Curves/meltCurve_C9J4Z3_RPL37A.pdf</v>
      </c>
    </row>
    <row r="322" spans="1:28" x14ac:dyDescent="0.25">
      <c r="A322" t="s">
        <v>326</v>
      </c>
      <c r="B322">
        <v>0.99252571173614901</v>
      </c>
      <c r="C322">
        <v>0.95983941042099996</v>
      </c>
      <c r="D322">
        <v>0.83094552129161603</v>
      </c>
      <c r="E322">
        <v>0.65796135839120395</v>
      </c>
      <c r="F322">
        <v>0.42284928297687702</v>
      </c>
      <c r="G322">
        <v>0.21796334894087299</v>
      </c>
      <c r="H322">
        <v>0.12571440264262099</v>
      </c>
      <c r="I322">
        <v>0.103607313572711</v>
      </c>
      <c r="J322">
        <v>0.10005928858790999</v>
      </c>
      <c r="K322">
        <v>9.2326210625666899E-2</v>
      </c>
      <c r="L322">
        <v>778.03601481266605</v>
      </c>
      <c r="M322">
        <v>15.186911370756601</v>
      </c>
      <c r="N322">
        <v>51.700228557897198</v>
      </c>
      <c r="O322">
        <v>50.367063545239503</v>
      </c>
      <c r="P322">
        <v>-7.05320516811897E-2</v>
      </c>
      <c r="Q322">
        <v>6.4417956174268404E-2</v>
      </c>
      <c r="R322">
        <v>0.99823536885705699</v>
      </c>
      <c r="S322" t="s">
        <v>6968</v>
      </c>
      <c r="T322" t="s">
        <v>13290</v>
      </c>
      <c r="U322" t="s">
        <v>13290</v>
      </c>
      <c r="V322" t="s">
        <v>13290</v>
      </c>
      <c r="W322" t="s">
        <v>13608</v>
      </c>
      <c r="X322">
        <v>13</v>
      </c>
      <c r="Y322" t="s">
        <v>20196</v>
      </c>
      <c r="Z322" t="s">
        <v>26652</v>
      </c>
      <c r="AA322">
        <v>0.43568855774583842</v>
      </c>
      <c r="AB322" t="str">
        <f>HYPERLINK("Melting_Curves/meltCurve_C9J5C3_PDCD10.pdf", "Melting_Curves/meltCurve_C9J5C3_PDCD10.pdf")</f>
        <v>Melting_Curves/meltCurve_C9J5C3_PDCD10.pdf</v>
      </c>
    </row>
    <row r="323" spans="1:28" x14ac:dyDescent="0.25">
      <c r="A323" t="s">
        <v>327</v>
      </c>
      <c r="B323">
        <v>0.99252571173614901</v>
      </c>
      <c r="C323">
        <v>0.85564425969336499</v>
      </c>
      <c r="D323">
        <v>0.82497257335614904</v>
      </c>
      <c r="E323">
        <v>0.42878224187226299</v>
      </c>
      <c r="F323">
        <v>0.23004474434122299</v>
      </c>
      <c r="G323">
        <v>0.14384622678314499</v>
      </c>
      <c r="H323">
        <v>0.12537050622920101</v>
      </c>
      <c r="I323">
        <v>0.13264564032742701</v>
      </c>
      <c r="J323">
        <v>0.19469316081528701</v>
      </c>
      <c r="K323">
        <v>0.17782694779108599</v>
      </c>
      <c r="L323">
        <v>1100.95115938098</v>
      </c>
      <c r="M323">
        <v>22.865096247565301</v>
      </c>
      <c r="N323">
        <v>48.893976810118303</v>
      </c>
      <c r="O323">
        <v>47.786098197937001</v>
      </c>
      <c r="P323">
        <v>-0.102046558147333</v>
      </c>
      <c r="Q323">
        <v>0.14694199276924499</v>
      </c>
      <c r="R323">
        <v>0.98504481575240999</v>
      </c>
      <c r="S323" t="s">
        <v>6969</v>
      </c>
      <c r="T323" t="s">
        <v>13290</v>
      </c>
      <c r="U323" t="s">
        <v>13290</v>
      </c>
      <c r="V323" t="s">
        <v>13290</v>
      </c>
      <c r="W323" t="s">
        <v>13609</v>
      </c>
      <c r="X323">
        <v>6</v>
      </c>
      <c r="Y323" t="s">
        <v>20197</v>
      </c>
      <c r="Z323" t="s">
        <v>26653</v>
      </c>
      <c r="AA323">
        <v>0.38779154364633028</v>
      </c>
      <c r="AB323" t="str">
        <f>HYPERLINK("Melting_Curves/meltCurve_C9J5X1_IGF1R.pdf", "Melting_Curves/meltCurve_C9J5X1_IGF1R.pdf")</f>
        <v>Melting_Curves/meltCurve_C9J5X1_IGF1R.pdf</v>
      </c>
    </row>
    <row r="324" spans="1:28" x14ac:dyDescent="0.25">
      <c r="A324" t="s">
        <v>328</v>
      </c>
      <c r="B324">
        <v>0.99252571173614901</v>
      </c>
      <c r="C324">
        <v>0.94932411043146103</v>
      </c>
      <c r="D324">
        <v>0.90508601393856902</v>
      </c>
      <c r="E324">
        <v>0.74901975073100002</v>
      </c>
      <c r="F324">
        <v>0.52965822662488804</v>
      </c>
      <c r="G324">
        <v>0.26746572067228602</v>
      </c>
      <c r="H324">
        <v>0.12602808608325999</v>
      </c>
      <c r="I324">
        <v>0.120405731692939</v>
      </c>
      <c r="J324">
        <v>0.139923461050147</v>
      </c>
      <c r="K324">
        <v>9.6746187356510693E-2</v>
      </c>
      <c r="L324">
        <v>882.87596681753803</v>
      </c>
      <c r="M324">
        <v>16.793834366319899</v>
      </c>
      <c r="N324">
        <v>53.1250667652007</v>
      </c>
      <c r="O324">
        <v>51.842987450735698</v>
      </c>
      <c r="P324">
        <v>-7.44877780468189E-2</v>
      </c>
      <c r="Q324">
        <v>8.0277115811786398E-2</v>
      </c>
      <c r="R324">
        <v>0.99557959268104901</v>
      </c>
      <c r="S324" t="s">
        <v>6970</v>
      </c>
      <c r="T324" t="s">
        <v>13290</v>
      </c>
      <c r="U324" t="s">
        <v>13290</v>
      </c>
      <c r="V324" t="s">
        <v>13290</v>
      </c>
      <c r="W324" t="s">
        <v>13610</v>
      </c>
      <c r="X324">
        <v>1</v>
      </c>
      <c r="Y324" t="s">
        <v>20198</v>
      </c>
      <c r="Z324" t="s">
        <v>26654</v>
      </c>
      <c r="AA324">
        <v>0.48265426901512898</v>
      </c>
      <c r="AB324" t="str">
        <f>HYPERLINK("Melting_Curves/meltCurve_C9J652_ARHGAP31.pdf", "Melting_Curves/meltCurve_C9J652_ARHGAP31.pdf")</f>
        <v>Melting_Curves/meltCurve_C9J652_ARHGAP31.pdf</v>
      </c>
    </row>
    <row r="325" spans="1:28" x14ac:dyDescent="0.25">
      <c r="A325" t="s">
        <v>329</v>
      </c>
      <c r="B325">
        <v>0.99252571173614901</v>
      </c>
      <c r="C325">
        <v>0.97662204301692102</v>
      </c>
      <c r="D325">
        <v>0.90883470440296399</v>
      </c>
      <c r="E325">
        <v>0.74481673031068796</v>
      </c>
      <c r="F325">
        <v>0.35339488539245301</v>
      </c>
      <c r="G325">
        <v>0.102238161547657</v>
      </c>
      <c r="H325">
        <v>6.9073342796397902E-2</v>
      </c>
      <c r="I325">
        <v>6.3103280913016896E-2</v>
      </c>
      <c r="J325">
        <v>7.0719019306719297E-2</v>
      </c>
      <c r="K325">
        <v>6.9646989502474596E-2</v>
      </c>
      <c r="L325">
        <v>1287.67954042925</v>
      </c>
      <c r="M325">
        <v>25.033517643979199</v>
      </c>
      <c r="N325">
        <v>51.678877468290601</v>
      </c>
      <c r="O325">
        <v>51.1133453031347</v>
      </c>
      <c r="P325">
        <v>-0.115706419547038</v>
      </c>
      <c r="Q325">
        <v>5.5016858818767903E-2</v>
      </c>
      <c r="R325">
        <v>0.99737627456081401</v>
      </c>
      <c r="S325" t="s">
        <v>6971</v>
      </c>
      <c r="T325" t="s">
        <v>13290</v>
      </c>
      <c r="U325" t="s">
        <v>13290</v>
      </c>
      <c r="V325" t="s">
        <v>13290</v>
      </c>
      <c r="W325" t="s">
        <v>13593</v>
      </c>
      <c r="X325">
        <v>15</v>
      </c>
      <c r="Y325" t="s">
        <v>20181</v>
      </c>
      <c r="Z325" t="s">
        <v>26655</v>
      </c>
      <c r="AA325">
        <v>0.4238693018009741</v>
      </c>
      <c r="AB325" t="str">
        <f>HYPERLINK("Melting_Curves/meltCurve_C9J712_PFN2.pdf", "Melting_Curves/meltCurve_C9J712_PFN2.pdf")</f>
        <v>Melting_Curves/meltCurve_C9J712_PFN2.pdf</v>
      </c>
    </row>
    <row r="326" spans="1:28" x14ac:dyDescent="0.25">
      <c r="A326" t="s">
        <v>330</v>
      </c>
      <c r="B326">
        <v>0.99252571173614901</v>
      </c>
      <c r="C326">
        <v>0.94727734311592904</v>
      </c>
      <c r="D326">
        <v>0.89839453382619205</v>
      </c>
      <c r="E326">
        <v>0.79348612401833196</v>
      </c>
      <c r="F326">
        <v>0.81699900984024498</v>
      </c>
      <c r="G326">
        <v>0.62734316929299505</v>
      </c>
      <c r="H326">
        <v>0.29590480247837597</v>
      </c>
      <c r="I326">
        <v>0.23069901700454401</v>
      </c>
      <c r="J326">
        <v>0.19743088675179599</v>
      </c>
      <c r="K326">
        <v>0.15828705827440401</v>
      </c>
      <c r="L326">
        <v>649.63435914512195</v>
      </c>
      <c r="M326">
        <v>11.184730940211301</v>
      </c>
      <c r="N326">
        <v>58.082241131816303</v>
      </c>
      <c r="O326">
        <v>56.318347666501602</v>
      </c>
      <c r="P326">
        <v>-4.9665297182623303E-2</v>
      </c>
      <c r="Q326">
        <v>0</v>
      </c>
      <c r="R326">
        <v>0.97172447002880402</v>
      </c>
      <c r="S326" t="s">
        <v>6972</v>
      </c>
      <c r="T326" t="s">
        <v>13290</v>
      </c>
      <c r="U326" t="s">
        <v>13290</v>
      </c>
      <c r="V326" t="s">
        <v>13290</v>
      </c>
      <c r="W326" t="s">
        <v>13611</v>
      </c>
      <c r="X326">
        <v>2</v>
      </c>
      <c r="Y326" t="s">
        <v>20199</v>
      </c>
      <c r="Z326" t="s">
        <v>26656</v>
      </c>
      <c r="AA326">
        <v>0.6141990097718214</v>
      </c>
      <c r="AB326" t="str">
        <f>HYPERLINK("Melting_Curves/meltCurve_C9J8B8_HDAC10.pdf", "Melting_Curves/meltCurve_C9J8B8_HDAC10.pdf")</f>
        <v>Melting_Curves/meltCurve_C9J8B8_HDAC10.pdf</v>
      </c>
    </row>
    <row r="327" spans="1:28" x14ac:dyDescent="0.25">
      <c r="A327" t="s">
        <v>331</v>
      </c>
      <c r="B327">
        <v>0.99252571173614901</v>
      </c>
      <c r="C327">
        <v>0.93626648720934402</v>
      </c>
      <c r="D327">
        <v>1.1091365461135401</v>
      </c>
      <c r="E327">
        <v>1.1323160294649799</v>
      </c>
      <c r="F327">
        <v>1.03372884218774</v>
      </c>
      <c r="G327">
        <v>0.802335769649131</v>
      </c>
      <c r="H327">
        <v>0.45738602087056501</v>
      </c>
      <c r="I327">
        <v>0.16376894149405399</v>
      </c>
      <c r="J327">
        <v>0.192932182029556</v>
      </c>
      <c r="K327">
        <v>0.167155292710335</v>
      </c>
      <c r="L327">
        <v>1925.9932341850499</v>
      </c>
      <c r="M327">
        <v>32.450546111302202</v>
      </c>
      <c r="N327">
        <v>60.011749101477001</v>
      </c>
      <c r="O327">
        <v>59.127614267756201</v>
      </c>
      <c r="P327">
        <v>-0.116612747162653</v>
      </c>
      <c r="Q327">
        <v>0.15009131009020599</v>
      </c>
      <c r="R327">
        <v>0.97082685511877598</v>
      </c>
      <c r="S327" t="s">
        <v>6973</v>
      </c>
      <c r="T327" t="s">
        <v>13290</v>
      </c>
      <c r="U327" t="s">
        <v>13290</v>
      </c>
      <c r="V327" t="s">
        <v>13290</v>
      </c>
      <c r="W327" t="s">
        <v>13612</v>
      </c>
      <c r="X327">
        <v>6</v>
      </c>
      <c r="Y327" t="s">
        <v>20200</v>
      </c>
      <c r="Z327" t="s">
        <v>26657</v>
      </c>
      <c r="AA327">
        <v>0.70309509651249702</v>
      </c>
      <c r="AB327" t="str">
        <f>HYPERLINK("Melting_Curves/meltCurve_C9J8Q5_ALDH5A1.pdf", "Melting_Curves/meltCurve_C9J8Q5_ALDH5A1.pdf")</f>
        <v>Melting_Curves/meltCurve_C9J8Q5_ALDH5A1.pdf</v>
      </c>
    </row>
    <row r="328" spans="1:28" x14ac:dyDescent="0.25">
      <c r="A328" t="s">
        <v>332</v>
      </c>
      <c r="B328">
        <v>0.99252571173614901</v>
      </c>
      <c r="C328">
        <v>0.98798520433972903</v>
      </c>
      <c r="D328">
        <v>0.83228166297631601</v>
      </c>
      <c r="E328">
        <v>0.82637680499673904</v>
      </c>
      <c r="F328">
        <v>0.51775745898830505</v>
      </c>
      <c r="G328">
        <v>0.36183182464354102</v>
      </c>
      <c r="H328">
        <v>0.28810998023470402</v>
      </c>
      <c r="I328">
        <v>0.46060246565343399</v>
      </c>
      <c r="J328">
        <v>0.71172663849692996</v>
      </c>
      <c r="K328">
        <v>0.65143827683061395</v>
      </c>
      <c r="L328">
        <v>1726.6870876277901</v>
      </c>
      <c r="M328">
        <v>34.557525447455198</v>
      </c>
      <c r="N328">
        <v>56.5587537001893</v>
      </c>
      <c r="O328">
        <v>49.7991503761357</v>
      </c>
      <c r="P328">
        <v>-8.8286760883446294E-2</v>
      </c>
      <c r="Q328">
        <v>0.49109896480853299</v>
      </c>
      <c r="R328">
        <v>0.71777688834187903</v>
      </c>
      <c r="S328" t="s">
        <v>6974</v>
      </c>
      <c r="T328" t="s">
        <v>13290</v>
      </c>
      <c r="U328" t="s">
        <v>13290</v>
      </c>
      <c r="V328" t="s">
        <v>13290</v>
      </c>
      <c r="W328" t="s">
        <v>13613</v>
      </c>
      <c r="X328">
        <v>1</v>
      </c>
      <c r="Y328" t="s">
        <v>20201</v>
      </c>
      <c r="Z328" t="s">
        <v>26658</v>
      </c>
      <c r="AA328">
        <v>0.6625116823522621</v>
      </c>
      <c r="AB328" t="str">
        <f>HYPERLINK("Melting_Curves/meltCurve_C9J976_SYNPR.pdf", "Melting_Curves/meltCurve_C9J976_SYNPR.pdf")</f>
        <v>Melting_Curves/meltCurve_C9J976_SYNPR.pdf</v>
      </c>
    </row>
    <row r="329" spans="1:28" x14ac:dyDescent="0.25">
      <c r="A329" t="s">
        <v>333</v>
      </c>
      <c r="B329">
        <v>0.99252571173614901</v>
      </c>
      <c r="C329">
        <v>0.98398828070365096</v>
      </c>
      <c r="D329">
        <v>0.88027987564768095</v>
      </c>
      <c r="E329">
        <v>0.70875771610127503</v>
      </c>
      <c r="F329">
        <v>0.54005516124801001</v>
      </c>
      <c r="G329">
        <v>0.26409920046656499</v>
      </c>
      <c r="H329">
        <v>9.8674422938715506E-2</v>
      </c>
      <c r="I329">
        <v>8.9325833991249506E-2</v>
      </c>
      <c r="J329">
        <v>9.1981258843696803E-2</v>
      </c>
      <c r="K329">
        <v>9.02296560325902E-2</v>
      </c>
      <c r="L329">
        <v>809.98658622515995</v>
      </c>
      <c r="M329">
        <v>15.3776231538794</v>
      </c>
      <c r="N329">
        <v>52.9673751008118</v>
      </c>
      <c r="O329">
        <v>51.8064138863134</v>
      </c>
      <c r="P329">
        <v>-7.11748945015451E-2</v>
      </c>
      <c r="Q329">
        <v>4.0949804583438602E-2</v>
      </c>
      <c r="R329">
        <v>0.99377070893617003</v>
      </c>
      <c r="S329" t="s">
        <v>6975</v>
      </c>
      <c r="T329" t="s">
        <v>13290</v>
      </c>
      <c r="U329" t="s">
        <v>13290</v>
      </c>
      <c r="V329" t="s">
        <v>13290</v>
      </c>
      <c r="W329" t="s">
        <v>13614</v>
      </c>
      <c r="X329">
        <v>16</v>
      </c>
      <c r="Y329" t="s">
        <v>20202</v>
      </c>
      <c r="Z329" t="s">
        <v>26659</v>
      </c>
      <c r="AA329">
        <v>0.46625925729634438</v>
      </c>
      <c r="AB329" t="str">
        <f>HYPERLINK("Melting_Curves/meltCurve_C9J9K3_RPSA.pdf", "Melting_Curves/meltCurve_C9J9K3_RPSA.pdf")</f>
        <v>Melting_Curves/meltCurve_C9J9K3_RPSA.pdf</v>
      </c>
    </row>
    <row r="330" spans="1:28" x14ac:dyDescent="0.25">
      <c r="A330" t="s">
        <v>334</v>
      </c>
      <c r="B330">
        <v>0.99252571173614901</v>
      </c>
      <c r="C330">
        <v>0.86821564157598896</v>
      </c>
      <c r="D330">
        <v>0.81519241979148604</v>
      </c>
      <c r="E330">
        <v>0.81378763586103997</v>
      </c>
      <c r="F330">
        <v>0.72234401633122103</v>
      </c>
      <c r="G330">
        <v>0.59693682540038895</v>
      </c>
      <c r="H330">
        <v>0.34834671979144499</v>
      </c>
      <c r="I330">
        <v>0.28385733819966702</v>
      </c>
      <c r="J330">
        <v>0.32154862607240597</v>
      </c>
      <c r="K330">
        <v>0.24229135830429899</v>
      </c>
      <c r="L330">
        <v>425.19948254059199</v>
      </c>
      <c r="M330">
        <v>7.2965614454290098</v>
      </c>
      <c r="N330">
        <v>58.273961042665398</v>
      </c>
      <c r="O330">
        <v>54.375402951625503</v>
      </c>
      <c r="P330">
        <v>-3.3600556162653297E-2</v>
      </c>
      <c r="Q330">
        <v>0</v>
      </c>
      <c r="R330">
        <v>0.96242779810525203</v>
      </c>
      <c r="S330" t="s">
        <v>6976</v>
      </c>
      <c r="T330" t="s">
        <v>13290</v>
      </c>
      <c r="U330" t="s">
        <v>13290</v>
      </c>
      <c r="V330" t="s">
        <v>13290</v>
      </c>
      <c r="W330" t="s">
        <v>13615</v>
      </c>
      <c r="X330">
        <v>1</v>
      </c>
      <c r="Y330" t="s">
        <v>20203</v>
      </c>
      <c r="Z330" t="s">
        <v>26660</v>
      </c>
      <c r="AA330">
        <v>0.60655372088391801</v>
      </c>
      <c r="AB330" t="str">
        <f>HYPERLINK("Melting_Curves/meltCurve_C9JA07_COA1.pdf", "Melting_Curves/meltCurve_C9JA07_COA1.pdf")</f>
        <v>Melting_Curves/meltCurve_C9JA07_COA1.pdf</v>
      </c>
    </row>
    <row r="331" spans="1:28" x14ac:dyDescent="0.25">
      <c r="A331" t="s">
        <v>335</v>
      </c>
      <c r="B331">
        <v>0.99252571173614901</v>
      </c>
      <c r="C331">
        <v>1.17962570985703</v>
      </c>
      <c r="D331">
        <v>0.53716264155275095</v>
      </c>
      <c r="E331">
        <v>0.58165205741097703</v>
      </c>
      <c r="F331">
        <v>0.2949568537826</v>
      </c>
      <c r="G331">
        <v>0.154399311087352</v>
      </c>
      <c r="H331">
        <v>4.8492368885401198E-2</v>
      </c>
      <c r="I331">
        <v>4.7570060099612801E-2</v>
      </c>
      <c r="J331">
        <v>5.0349935891945002E-2</v>
      </c>
      <c r="K331">
        <v>5.0161149751748998E-2</v>
      </c>
      <c r="L331">
        <v>762.21723823999105</v>
      </c>
      <c r="M331">
        <v>15.3979978742166</v>
      </c>
      <c r="N331">
        <v>49.693150006983799</v>
      </c>
      <c r="O331">
        <v>48.688695382023496</v>
      </c>
      <c r="P331">
        <v>-7.67862116841624E-2</v>
      </c>
      <c r="Q331">
        <v>2.8892064425755499E-2</v>
      </c>
      <c r="R331">
        <v>0.91681010222345305</v>
      </c>
      <c r="S331" t="s">
        <v>6977</v>
      </c>
      <c r="T331" t="s">
        <v>13290</v>
      </c>
      <c r="U331" t="s">
        <v>13290</v>
      </c>
      <c r="V331" t="s">
        <v>13290</v>
      </c>
      <c r="W331" t="s">
        <v>13616</v>
      </c>
      <c r="X331">
        <v>22</v>
      </c>
      <c r="Y331" t="s">
        <v>20204</v>
      </c>
      <c r="Z331" t="s">
        <v>26661</v>
      </c>
      <c r="AA331">
        <v>0.35888133629929653</v>
      </c>
      <c r="AB331" t="str">
        <f>HYPERLINK("Melting_Curves/meltCurve_C9JA08_NMD3.pdf", "Melting_Curves/meltCurve_C9JA08_NMD3.pdf")</f>
        <v>Melting_Curves/meltCurve_C9JA08_NMD3.pdf</v>
      </c>
    </row>
    <row r="332" spans="1:28" x14ac:dyDescent="0.25">
      <c r="A332" t="s">
        <v>336</v>
      </c>
      <c r="B332">
        <v>0.99252571173614901</v>
      </c>
      <c r="C332">
        <v>0.94785241685890997</v>
      </c>
      <c r="D332">
        <v>0.92062821198566802</v>
      </c>
      <c r="E332">
        <v>0.980628748436701</v>
      </c>
      <c r="F332">
        <v>0.69907634956030495</v>
      </c>
      <c r="G332">
        <v>0.54503959600034602</v>
      </c>
      <c r="H332">
        <v>0.43885318293229197</v>
      </c>
      <c r="I332">
        <v>0.39814392530246201</v>
      </c>
      <c r="J332">
        <v>0.39722742025725699</v>
      </c>
      <c r="K332">
        <v>0.25961264649569599</v>
      </c>
      <c r="L332">
        <v>894.72198410039096</v>
      </c>
      <c r="M332">
        <v>16.326516515504299</v>
      </c>
      <c r="N332">
        <v>58.295024229843897</v>
      </c>
      <c r="O332">
        <v>53.999383598638801</v>
      </c>
      <c r="P332">
        <v>-5.2004780133218402E-2</v>
      </c>
      <c r="Q332">
        <v>0.31203376185132098</v>
      </c>
      <c r="R332">
        <v>0.96905180079892705</v>
      </c>
      <c r="S332" t="s">
        <v>6978</v>
      </c>
      <c r="T332" t="s">
        <v>13290</v>
      </c>
      <c r="U332" t="s">
        <v>13290</v>
      </c>
      <c r="V332" t="s">
        <v>13290</v>
      </c>
      <c r="W332" t="s">
        <v>13617</v>
      </c>
      <c r="X332">
        <v>7</v>
      </c>
      <c r="Y332" t="s">
        <v>20205</v>
      </c>
      <c r="Z332" t="s">
        <v>26662</v>
      </c>
      <c r="AA332">
        <v>0.66365395912748748</v>
      </c>
      <c r="AB332" t="str">
        <f>HYPERLINK("Melting_Curves/meltCurve_C9JA28_SSR3.pdf", "Melting_Curves/meltCurve_C9JA28_SSR3.pdf")</f>
        <v>Melting_Curves/meltCurve_C9JA28_SSR3.pdf</v>
      </c>
    </row>
    <row r="333" spans="1:28" x14ac:dyDescent="0.25">
      <c r="A333" t="s">
        <v>337</v>
      </c>
      <c r="B333">
        <v>0.99252571173614901</v>
      </c>
      <c r="C333">
        <v>0.72800244609673104</v>
      </c>
      <c r="D333">
        <v>0.48674990953276498</v>
      </c>
      <c r="E333">
        <v>0.29946188444084398</v>
      </c>
      <c r="F333">
        <v>0.14989291213119799</v>
      </c>
      <c r="G333">
        <v>6.4570872033949206E-2</v>
      </c>
      <c r="H333">
        <v>7.4139922804535602E-2</v>
      </c>
      <c r="I333">
        <v>6.6527563827534497E-2</v>
      </c>
      <c r="J333">
        <v>0.110909627239253</v>
      </c>
      <c r="K333">
        <v>0.13750561648255999</v>
      </c>
      <c r="L333">
        <v>812.62471518652501</v>
      </c>
      <c r="M333">
        <v>17.871404415390298</v>
      </c>
      <c r="N333">
        <v>45.963052171619204</v>
      </c>
      <c r="O333">
        <v>44.912813839824203</v>
      </c>
      <c r="P333">
        <v>-9.0816394399450398E-2</v>
      </c>
      <c r="Q333">
        <v>8.7120019966782494E-2</v>
      </c>
      <c r="R333">
        <v>0.98501286062821203</v>
      </c>
      <c r="S333" t="s">
        <v>6979</v>
      </c>
      <c r="T333" t="s">
        <v>13290</v>
      </c>
      <c r="U333" t="s">
        <v>13290</v>
      </c>
      <c r="V333" t="s">
        <v>13290</v>
      </c>
      <c r="W333" t="s">
        <v>13618</v>
      </c>
      <c r="X333">
        <v>2</v>
      </c>
      <c r="Y333" t="s">
        <v>20206</v>
      </c>
      <c r="Z333" t="s">
        <v>26663</v>
      </c>
      <c r="AA333">
        <v>0.27264632944314032</v>
      </c>
      <c r="AB333" t="str">
        <f>HYPERLINK("Melting_Curves/meltCurve_C9JA69_BBX.pdf", "Melting_Curves/meltCurve_C9JA69_BBX.pdf")</f>
        <v>Melting_Curves/meltCurve_C9JA69_BBX.pdf</v>
      </c>
    </row>
    <row r="334" spans="1:28" x14ac:dyDescent="0.25">
      <c r="A334" t="s">
        <v>338</v>
      </c>
      <c r="B334">
        <v>0.99252571173614901</v>
      </c>
      <c r="C334">
        <v>1.0641173111453299</v>
      </c>
      <c r="D334">
        <v>0.86010342233204096</v>
      </c>
      <c r="E334">
        <v>0.76563152894178099</v>
      </c>
      <c r="F334">
        <v>0.467068963093768</v>
      </c>
      <c r="G334">
        <v>0.31069182533530199</v>
      </c>
      <c r="H334">
        <v>0.31094248103806099</v>
      </c>
      <c r="I334">
        <v>0.68107308251750698</v>
      </c>
      <c r="J334">
        <v>1.3485539727799001</v>
      </c>
      <c r="K334">
        <v>1.9101578134844801</v>
      </c>
      <c r="L334">
        <v>11432.674074312001</v>
      </c>
      <c r="M334">
        <v>250</v>
      </c>
      <c r="O334">
        <v>45.7277698473264</v>
      </c>
      <c r="P334">
        <v>-0.23545405582871001</v>
      </c>
      <c r="Q334">
        <v>0.82773137825167797</v>
      </c>
      <c r="R334">
        <v>2.7806577362393E-2</v>
      </c>
      <c r="S334" t="s">
        <v>6980</v>
      </c>
      <c r="T334" t="s">
        <v>13290</v>
      </c>
      <c r="U334" t="s">
        <v>13290</v>
      </c>
      <c r="V334" t="s">
        <v>13290</v>
      </c>
      <c r="W334" t="s">
        <v>13619</v>
      </c>
      <c r="X334">
        <v>16</v>
      </c>
      <c r="Y334" t="s">
        <v>20207</v>
      </c>
      <c r="Z334" t="s">
        <v>26664</v>
      </c>
      <c r="AA334">
        <v>0.86065250904876778</v>
      </c>
      <c r="AB334" t="str">
        <f>HYPERLINK("Melting_Curves/meltCurve_C9JAB2_SRSF7.pdf", "Melting_Curves/meltCurve_C9JAB2_SRSF7.pdf")</f>
        <v>Melting_Curves/meltCurve_C9JAB2_SRSF7.pdf</v>
      </c>
    </row>
    <row r="335" spans="1:28" x14ac:dyDescent="0.25">
      <c r="A335" t="s">
        <v>339</v>
      </c>
      <c r="B335">
        <v>0.99252571173614901</v>
      </c>
      <c r="C335">
        <v>0.96571879332345301</v>
      </c>
      <c r="D335">
        <v>0.69233253938523198</v>
      </c>
      <c r="E335">
        <v>0.38784304488268201</v>
      </c>
      <c r="F335">
        <v>0.27018806537196099</v>
      </c>
      <c r="G335">
        <v>0.19002018777495899</v>
      </c>
      <c r="H335">
        <v>0.1345964927579</v>
      </c>
      <c r="I335">
        <v>0.11105639208118</v>
      </c>
      <c r="J335">
        <v>0.11046631747584799</v>
      </c>
      <c r="K335">
        <v>0.10124818146984101</v>
      </c>
      <c r="L335">
        <v>915.58230972264096</v>
      </c>
      <c r="M335">
        <v>19.155182035361602</v>
      </c>
      <c r="N335">
        <v>48.487753600287498</v>
      </c>
      <c r="O335">
        <v>47.286352494571801</v>
      </c>
      <c r="P335">
        <v>-8.9200440176785994E-2</v>
      </c>
      <c r="Q335">
        <v>0.119235581979481</v>
      </c>
      <c r="R335">
        <v>0.99324205326290604</v>
      </c>
      <c r="S335" t="s">
        <v>6981</v>
      </c>
      <c r="T335" t="s">
        <v>13290</v>
      </c>
      <c r="U335" t="s">
        <v>13290</v>
      </c>
      <c r="V335" t="s">
        <v>13290</v>
      </c>
      <c r="W335" t="s">
        <v>13620</v>
      </c>
      <c r="X335">
        <v>4</v>
      </c>
      <c r="Y335" t="s">
        <v>20208</v>
      </c>
      <c r="Z335" t="s">
        <v>26665</v>
      </c>
      <c r="AA335">
        <v>0.36196626579322838</v>
      </c>
      <c r="AB335" t="str">
        <f>HYPERLINK("Melting_Curves/meltCurve_C9JAB9_NCK1.pdf", "Melting_Curves/meltCurve_C9JAB9_NCK1.pdf")</f>
        <v>Melting_Curves/meltCurve_C9JAB9_NCK1.pdf</v>
      </c>
    </row>
    <row r="336" spans="1:28" x14ac:dyDescent="0.25">
      <c r="A336" t="s">
        <v>340</v>
      </c>
      <c r="B336">
        <v>0.99252571173614901</v>
      </c>
      <c r="C336">
        <v>1.04981240819833</v>
      </c>
      <c r="D336">
        <v>0.97020039332052599</v>
      </c>
      <c r="E336">
        <v>0.71162223894320997</v>
      </c>
      <c r="F336">
        <v>0.68121218659690297</v>
      </c>
      <c r="G336">
        <v>0.56459436182295097</v>
      </c>
      <c r="H336">
        <v>0.43005203959235999</v>
      </c>
      <c r="I336">
        <v>0.48047724518650098</v>
      </c>
      <c r="J336">
        <v>0.63821299769349704</v>
      </c>
      <c r="K336">
        <v>0.61688711353424797</v>
      </c>
      <c r="L336">
        <v>1328.17893351516</v>
      </c>
      <c r="M336">
        <v>26.950416549892999</v>
      </c>
      <c r="O336">
        <v>49.013381540320502</v>
      </c>
      <c r="P336">
        <v>-6.1570262032576498E-2</v>
      </c>
      <c r="Q336">
        <v>0.55210544819656104</v>
      </c>
      <c r="R336">
        <v>0.89726212252610105</v>
      </c>
      <c r="S336" t="s">
        <v>6982</v>
      </c>
      <c r="T336" t="s">
        <v>13290</v>
      </c>
      <c r="U336" t="s">
        <v>13290</v>
      </c>
      <c r="V336" t="s">
        <v>13290</v>
      </c>
      <c r="W336" t="s">
        <v>13621</v>
      </c>
      <c r="X336">
        <v>6</v>
      </c>
      <c r="Y336" t="s">
        <v>20209</v>
      </c>
      <c r="Z336" t="s">
        <v>26666</v>
      </c>
      <c r="AA336">
        <v>0.69409909673473857</v>
      </c>
      <c r="AB336" t="str">
        <f>HYPERLINK("Melting_Curves/meltCurve_C9JAX1_FXN.pdf", "Melting_Curves/meltCurve_C9JAX1_FXN.pdf")</f>
        <v>Melting_Curves/meltCurve_C9JAX1_FXN.pdf</v>
      </c>
    </row>
    <row r="337" spans="1:28" x14ac:dyDescent="0.25">
      <c r="A337" t="s">
        <v>341</v>
      </c>
      <c r="B337">
        <v>0.99252571173614901</v>
      </c>
      <c r="C337">
        <v>1.0712493147648401</v>
      </c>
      <c r="D337">
        <v>0.92801923059599101</v>
      </c>
      <c r="E337">
        <v>0.70612663753303095</v>
      </c>
      <c r="F337">
        <v>0.42244951911198098</v>
      </c>
      <c r="G337">
        <v>0.26126842280511697</v>
      </c>
      <c r="H337">
        <v>0.17585286405605699</v>
      </c>
      <c r="I337">
        <v>0.16051369547831101</v>
      </c>
      <c r="J337">
        <v>0.201686215828975</v>
      </c>
      <c r="K337">
        <v>0.228035144171403</v>
      </c>
      <c r="L337">
        <v>1186.2685956678299</v>
      </c>
      <c r="M337">
        <v>23.283847024505</v>
      </c>
      <c r="N337">
        <v>51.996692572454499</v>
      </c>
      <c r="O337">
        <v>50.576775295192199</v>
      </c>
      <c r="P337">
        <v>-9.3530310135151701E-2</v>
      </c>
      <c r="Q337">
        <v>0.18735450890668301</v>
      </c>
      <c r="R337">
        <v>0.99123037871326802</v>
      </c>
      <c r="S337" t="s">
        <v>6983</v>
      </c>
      <c r="T337" t="s">
        <v>13290</v>
      </c>
      <c r="U337" t="s">
        <v>13290</v>
      </c>
      <c r="V337" t="s">
        <v>13290</v>
      </c>
      <c r="W337" t="s">
        <v>13622</v>
      </c>
      <c r="X337">
        <v>10</v>
      </c>
      <c r="Y337" t="s">
        <v>20210</v>
      </c>
      <c r="Z337" t="s">
        <v>26667</v>
      </c>
      <c r="AA337">
        <v>0.49235353870244242</v>
      </c>
      <c r="AB337" t="str">
        <f>HYPERLINK("Melting_Curves/meltCurve_C9JB13_BSDC1.pdf", "Melting_Curves/meltCurve_C9JB13_BSDC1.pdf")</f>
        <v>Melting_Curves/meltCurve_C9JB13_BSDC1.pdf</v>
      </c>
    </row>
    <row r="338" spans="1:28" x14ac:dyDescent="0.25">
      <c r="A338" t="s">
        <v>342</v>
      </c>
      <c r="B338">
        <v>0.99252571173614901</v>
      </c>
      <c r="C338">
        <v>1.1131865255581901</v>
      </c>
      <c r="D338">
        <v>1.0372605996252</v>
      </c>
      <c r="E338">
        <v>1.2210804280043299</v>
      </c>
      <c r="F338">
        <v>0.79879218918207995</v>
      </c>
      <c r="G338">
        <v>0.683216747536741</v>
      </c>
      <c r="H338">
        <v>0.60394996484211905</v>
      </c>
      <c r="I338">
        <v>1.0083720904923199</v>
      </c>
      <c r="J338">
        <v>0.82627263789788696</v>
      </c>
      <c r="K338">
        <v>0.693967296064393</v>
      </c>
      <c r="L338">
        <v>13207.912702752499</v>
      </c>
      <c r="M338">
        <v>250</v>
      </c>
      <c r="O338">
        <v>52.828277085013603</v>
      </c>
      <c r="P338">
        <v>-0.28020541184731101</v>
      </c>
      <c r="Q338">
        <v>0.76315572605743298</v>
      </c>
      <c r="R338">
        <v>0.56948969246459802</v>
      </c>
      <c r="S338" t="s">
        <v>6984</v>
      </c>
      <c r="T338" t="s">
        <v>13290</v>
      </c>
      <c r="U338" t="s">
        <v>13290</v>
      </c>
      <c r="V338" t="s">
        <v>13290</v>
      </c>
      <c r="W338" t="s">
        <v>13623</v>
      </c>
      <c r="X338">
        <v>5</v>
      </c>
      <c r="Y338" t="s">
        <v>20211</v>
      </c>
      <c r="Z338" t="s">
        <v>26668</v>
      </c>
      <c r="AA338">
        <v>0.86448111995045929</v>
      </c>
      <c r="AB338" t="str">
        <f>HYPERLINK("Melting_Curves/meltCurve_C9JB55_TF.pdf", "Melting_Curves/meltCurve_C9JB55_TF.pdf")</f>
        <v>Melting_Curves/meltCurve_C9JB55_TF.pdf</v>
      </c>
    </row>
    <row r="339" spans="1:28" x14ac:dyDescent="0.25">
      <c r="A339" t="s">
        <v>343</v>
      </c>
      <c r="B339">
        <v>0.99252571173614901</v>
      </c>
      <c r="C339">
        <v>0.82879990948259397</v>
      </c>
      <c r="D339">
        <v>0.92061299308429601</v>
      </c>
      <c r="E339">
        <v>0.70531062202953598</v>
      </c>
      <c r="F339">
        <v>0.45198763135877201</v>
      </c>
      <c r="G339">
        <v>0.281117609975434</v>
      </c>
      <c r="H339">
        <v>0.18228438303085601</v>
      </c>
      <c r="I339">
        <v>0.21713385415924399</v>
      </c>
      <c r="J339">
        <v>0.28102194621041199</v>
      </c>
      <c r="K339">
        <v>0.17975879610179399</v>
      </c>
      <c r="L339">
        <v>893.73073331250998</v>
      </c>
      <c r="M339">
        <v>17.573805728767901</v>
      </c>
      <c r="N339">
        <v>52.304074059477898</v>
      </c>
      <c r="O339">
        <v>50.211068166708401</v>
      </c>
      <c r="P339">
        <v>-7.0647409198638295E-2</v>
      </c>
      <c r="Q339">
        <v>0.19264203826606</v>
      </c>
      <c r="R339">
        <v>0.96741579560185298</v>
      </c>
      <c r="S339" t="s">
        <v>6985</v>
      </c>
      <c r="T339" t="s">
        <v>13290</v>
      </c>
      <c r="U339" t="s">
        <v>13290</v>
      </c>
      <c r="V339" t="s">
        <v>13290</v>
      </c>
      <c r="W339" t="s">
        <v>13624</v>
      </c>
      <c r="X339">
        <v>2</v>
      </c>
      <c r="Y339" t="s">
        <v>20212</v>
      </c>
      <c r="Z339" t="s">
        <v>26669</v>
      </c>
      <c r="AA339">
        <v>0.49902376790059833</v>
      </c>
      <c r="AB339" t="str">
        <f>HYPERLINK("Melting_Curves/meltCurve_C9JBA4_LYG2.pdf", "Melting_Curves/meltCurve_C9JBA4_LYG2.pdf")</f>
        <v>Melting_Curves/meltCurve_C9JBA4_LYG2.pdf</v>
      </c>
    </row>
    <row r="340" spans="1:28" x14ac:dyDescent="0.25">
      <c r="A340" t="s">
        <v>344</v>
      </c>
      <c r="B340">
        <v>0.99252571173614901</v>
      </c>
      <c r="C340">
        <v>0.85721059577829894</v>
      </c>
      <c r="D340">
        <v>0.76713298253612305</v>
      </c>
      <c r="E340">
        <v>0.56405190626139101</v>
      </c>
      <c r="F340">
        <v>0.81445126513972099</v>
      </c>
      <c r="G340">
        <v>0.69351250116358498</v>
      </c>
      <c r="H340">
        <v>0.60287027214315403</v>
      </c>
      <c r="I340">
        <v>0.65540963157763799</v>
      </c>
      <c r="J340">
        <v>1.05826330482598</v>
      </c>
      <c r="K340">
        <v>0.951952533665825</v>
      </c>
      <c r="L340">
        <v>2587.8913282288199</v>
      </c>
      <c r="M340">
        <v>60.746899935848603</v>
      </c>
      <c r="O340">
        <v>42.555114511084902</v>
      </c>
      <c r="P340">
        <v>-8.4528334438282698E-2</v>
      </c>
      <c r="Q340">
        <v>0.76314106769104595</v>
      </c>
      <c r="R340">
        <v>0.19699718632011201</v>
      </c>
      <c r="S340" t="s">
        <v>6986</v>
      </c>
      <c r="T340" t="s">
        <v>13290</v>
      </c>
      <c r="U340" t="s">
        <v>13290</v>
      </c>
      <c r="V340" t="s">
        <v>13290</v>
      </c>
      <c r="W340" t="s">
        <v>13625</v>
      </c>
      <c r="X340">
        <v>1</v>
      </c>
      <c r="Y340" t="s">
        <v>20213</v>
      </c>
      <c r="Z340" t="s">
        <v>26670</v>
      </c>
      <c r="AA340">
        <v>0.784069671205747</v>
      </c>
      <c r="AB340" t="str">
        <f>HYPERLINK("Melting_Curves/meltCurve_C9JBL1_SPCS1.pdf", "Melting_Curves/meltCurve_C9JBL1_SPCS1.pdf")</f>
        <v>Melting_Curves/meltCurve_C9JBL1_SPCS1.pdf</v>
      </c>
    </row>
    <row r="341" spans="1:28" x14ac:dyDescent="0.25">
      <c r="A341" t="s">
        <v>345</v>
      </c>
      <c r="B341">
        <v>0.99252571173614901</v>
      </c>
      <c r="C341">
        <v>1.2638394669884601</v>
      </c>
      <c r="D341">
        <v>1.24692717859917</v>
      </c>
      <c r="E341">
        <v>1.12124280448889</v>
      </c>
      <c r="F341">
        <v>0.74606643440390497</v>
      </c>
      <c r="G341">
        <v>0.57655978812650699</v>
      </c>
      <c r="H341">
        <v>0.44250720266955501</v>
      </c>
      <c r="I341">
        <v>0.46789851897471502</v>
      </c>
      <c r="J341">
        <v>0.67488004139045299</v>
      </c>
      <c r="K341">
        <v>0.50384818452586599</v>
      </c>
      <c r="L341">
        <v>8760.2045884999698</v>
      </c>
      <c r="M341">
        <v>164.84153517122999</v>
      </c>
      <c r="O341">
        <v>53.135366278113402</v>
      </c>
      <c r="P341">
        <v>-0.362087721524258</v>
      </c>
      <c r="Q341">
        <v>0.53313554029962495</v>
      </c>
      <c r="R341">
        <v>0.80971008127285904</v>
      </c>
      <c r="S341" t="s">
        <v>6987</v>
      </c>
      <c r="T341" t="s">
        <v>13290</v>
      </c>
      <c r="U341" t="s">
        <v>13290</v>
      </c>
      <c r="V341" t="s">
        <v>13290</v>
      </c>
      <c r="W341" t="s">
        <v>13626</v>
      </c>
      <c r="X341">
        <v>1</v>
      </c>
      <c r="Y341" t="s">
        <v>20214</v>
      </c>
      <c r="Z341" t="s">
        <v>26671</v>
      </c>
      <c r="AA341">
        <v>0.73777195638017679</v>
      </c>
      <c r="AB341" t="str">
        <f>HYPERLINK("Melting_Curves/meltCurve_C9JBT1_C7orf41.pdf", "Melting_Curves/meltCurve_C9JBT1_C7orf41.pdf")</f>
        <v>Melting_Curves/meltCurve_C9JBT1_C7orf41.pdf</v>
      </c>
    </row>
    <row r="342" spans="1:28" x14ac:dyDescent="0.25">
      <c r="A342" t="s">
        <v>346</v>
      </c>
      <c r="B342">
        <v>0.99252571173614901</v>
      </c>
      <c r="C342">
        <v>1.0062441099958599</v>
      </c>
      <c r="D342">
        <v>1.1192094900484499</v>
      </c>
      <c r="E342">
        <v>1.3281208054572999</v>
      </c>
      <c r="F342">
        <v>0.75911652093398296</v>
      </c>
      <c r="G342">
        <v>0.48812349974930802</v>
      </c>
      <c r="H342">
        <v>0.33158645618745197</v>
      </c>
      <c r="I342">
        <v>0.27536587776541999</v>
      </c>
      <c r="J342">
        <v>0.348599796663637</v>
      </c>
      <c r="K342">
        <v>0.37190550397475203</v>
      </c>
      <c r="L342">
        <v>2319.56705471845</v>
      </c>
      <c r="M342">
        <v>42.631813505902301</v>
      </c>
      <c r="N342">
        <v>55.893621840544299</v>
      </c>
      <c r="O342">
        <v>54.290012895754103</v>
      </c>
      <c r="P342">
        <v>-0.12979818494904299</v>
      </c>
      <c r="Q342">
        <v>0.33882891145855598</v>
      </c>
      <c r="R342">
        <v>0.89512927742450998</v>
      </c>
      <c r="S342" t="s">
        <v>6988</v>
      </c>
      <c r="T342" t="s">
        <v>13290</v>
      </c>
      <c r="U342" t="s">
        <v>13290</v>
      </c>
      <c r="V342" t="s">
        <v>13290</v>
      </c>
      <c r="W342" t="s">
        <v>13627</v>
      </c>
      <c r="X342">
        <v>1</v>
      </c>
      <c r="Y342" t="s">
        <v>20215</v>
      </c>
      <c r="Z342" t="s">
        <v>26672</v>
      </c>
      <c r="AA342">
        <v>0.65857960479457589</v>
      </c>
      <c r="AB342" t="str">
        <f>HYPERLINK("Melting_Curves/meltCurve_C9JBY7_MRPS33.pdf", "Melting_Curves/meltCurve_C9JBY7_MRPS33.pdf")</f>
        <v>Melting_Curves/meltCurve_C9JBY7_MRPS33.pdf</v>
      </c>
    </row>
    <row r="343" spans="1:28" x14ac:dyDescent="0.25">
      <c r="A343" t="s">
        <v>347</v>
      </c>
      <c r="B343">
        <v>0.99252571173614901</v>
      </c>
      <c r="C343">
        <v>1.0461319517781</v>
      </c>
      <c r="D343">
        <v>0.913237547254235</v>
      </c>
      <c r="E343">
        <v>0.75369013102183802</v>
      </c>
      <c r="F343">
        <v>0.64993299141535099</v>
      </c>
      <c r="G343">
        <v>0.51251760566057603</v>
      </c>
      <c r="H343">
        <v>0.44436402529805902</v>
      </c>
      <c r="I343">
        <v>0.455537653316472</v>
      </c>
      <c r="J343">
        <v>0.70126161670851195</v>
      </c>
      <c r="K343">
        <v>0.64454081959665299</v>
      </c>
      <c r="L343">
        <v>1286.14459204322</v>
      </c>
      <c r="M343">
        <v>26.142671762404099</v>
      </c>
      <c r="O343">
        <v>48.911975577080597</v>
      </c>
      <c r="P343">
        <v>-5.94417124055375E-2</v>
      </c>
      <c r="Q343">
        <v>0.55515199534747295</v>
      </c>
      <c r="R343">
        <v>0.85485927583294696</v>
      </c>
      <c r="S343" t="s">
        <v>6989</v>
      </c>
      <c r="T343" t="s">
        <v>13290</v>
      </c>
      <c r="U343" t="s">
        <v>13290</v>
      </c>
      <c r="V343" t="s">
        <v>13290</v>
      </c>
      <c r="W343" t="s">
        <v>13628</v>
      </c>
      <c r="X343">
        <v>4</v>
      </c>
      <c r="Y343" t="s">
        <v>20216</v>
      </c>
      <c r="Z343" t="s">
        <v>26673</v>
      </c>
      <c r="AA343">
        <v>0.69513134706429591</v>
      </c>
      <c r="AB343" t="str">
        <f>HYPERLINK("Melting_Curves/meltCurve_C9JCC6_DRAP1.pdf", "Melting_Curves/meltCurve_C9JCC6_DRAP1.pdf")</f>
        <v>Melting_Curves/meltCurve_C9JCC6_DRAP1.pdf</v>
      </c>
    </row>
    <row r="344" spans="1:28" x14ac:dyDescent="0.25">
      <c r="A344" t="s">
        <v>348</v>
      </c>
      <c r="B344">
        <v>0.99252571173614901</v>
      </c>
      <c r="C344">
        <v>0.95792874184824295</v>
      </c>
      <c r="D344">
        <v>0.92149344489663298</v>
      </c>
      <c r="E344">
        <v>1.0187887375078699</v>
      </c>
      <c r="F344">
        <v>0.74395695968519504</v>
      </c>
      <c r="G344">
        <v>0.23972955787696601</v>
      </c>
      <c r="H344">
        <v>0.123814479336708</v>
      </c>
      <c r="I344">
        <v>0.125725114412643</v>
      </c>
      <c r="J344">
        <v>0.20535522783472099</v>
      </c>
      <c r="K344">
        <v>0.14523075838299901</v>
      </c>
      <c r="L344">
        <v>2608.6664010428599</v>
      </c>
      <c r="M344">
        <v>48.171690174328198</v>
      </c>
      <c r="N344">
        <v>54.5587647112607</v>
      </c>
      <c r="O344">
        <v>54.060435995092597</v>
      </c>
      <c r="P344">
        <v>-0.18926315251074</v>
      </c>
      <c r="Q344">
        <v>0.15040237174131901</v>
      </c>
      <c r="R344">
        <v>0.99098468202353496</v>
      </c>
      <c r="S344" t="s">
        <v>6990</v>
      </c>
      <c r="T344" t="s">
        <v>13290</v>
      </c>
      <c r="U344" t="s">
        <v>13290</v>
      </c>
      <c r="V344" t="s">
        <v>13290</v>
      </c>
      <c r="W344" t="s">
        <v>13629</v>
      </c>
      <c r="X344">
        <v>1</v>
      </c>
      <c r="Y344" t="s">
        <v>20217</v>
      </c>
      <c r="Z344" t="s">
        <v>26674</v>
      </c>
      <c r="AA344">
        <v>0.55341519122247651</v>
      </c>
      <c r="AB344" t="str">
        <f>HYPERLINK("Melting_Curves/meltCurve_C9JCN0_MYOF.pdf", "Melting_Curves/meltCurve_C9JCN0_MYOF.pdf")</f>
        <v>Melting_Curves/meltCurve_C9JCN0_MYOF.pdf</v>
      </c>
    </row>
    <row r="345" spans="1:28" x14ac:dyDescent="0.25">
      <c r="A345" t="s">
        <v>349</v>
      </c>
      <c r="B345">
        <v>0.99252571173614901</v>
      </c>
      <c r="C345">
        <v>0.91991316736517403</v>
      </c>
      <c r="D345">
        <v>0.83745636594439898</v>
      </c>
      <c r="E345">
        <v>0.62353408564045198</v>
      </c>
      <c r="F345">
        <v>0.34933495750897198</v>
      </c>
      <c r="G345">
        <v>0.23778808848705199</v>
      </c>
      <c r="H345">
        <v>0.16463068405943099</v>
      </c>
      <c r="I345">
        <v>0.17912803258725299</v>
      </c>
      <c r="J345">
        <v>0.26347209785956599</v>
      </c>
      <c r="K345">
        <v>0.27544219212423099</v>
      </c>
      <c r="L345">
        <v>1000.79436649506</v>
      </c>
      <c r="M345">
        <v>20.260968201253899</v>
      </c>
      <c r="N345">
        <v>50.751152722459601</v>
      </c>
      <c r="O345">
        <v>48.9215534565854</v>
      </c>
      <c r="P345">
        <v>-8.1899525183936006E-2</v>
      </c>
      <c r="Q345">
        <v>0.209015470620529</v>
      </c>
      <c r="R345">
        <v>0.98310304961568695</v>
      </c>
      <c r="S345" t="s">
        <v>6991</v>
      </c>
      <c r="T345" t="s">
        <v>13290</v>
      </c>
      <c r="U345" t="s">
        <v>13290</v>
      </c>
      <c r="V345" t="s">
        <v>13290</v>
      </c>
      <c r="W345" t="s">
        <v>13630</v>
      </c>
      <c r="X345">
        <v>1</v>
      </c>
      <c r="Y345" t="s">
        <v>20218</v>
      </c>
      <c r="Z345" t="s">
        <v>26675</v>
      </c>
      <c r="AA345">
        <v>0.46749287968883207</v>
      </c>
      <c r="AB345" t="str">
        <f>HYPERLINK("Melting_Curves/meltCurve_C9JE12_TMUB1.pdf", "Melting_Curves/meltCurve_C9JE12_TMUB1.pdf")</f>
        <v>Melting_Curves/meltCurve_C9JE12_TMUB1.pdf</v>
      </c>
    </row>
    <row r="346" spans="1:28" x14ac:dyDescent="0.25">
      <c r="A346" t="s">
        <v>350</v>
      </c>
      <c r="B346">
        <v>0.99252571173614901</v>
      </c>
      <c r="C346">
        <v>0.83435638831584902</v>
      </c>
      <c r="D346">
        <v>0.76854781546811901</v>
      </c>
      <c r="E346">
        <v>0.63184320180371101</v>
      </c>
      <c r="F346">
        <v>0.36263007854484502</v>
      </c>
      <c r="G346">
        <v>0.182639680201167</v>
      </c>
      <c r="H346">
        <v>0.15585156732970901</v>
      </c>
      <c r="I346">
        <v>0.20512816031842099</v>
      </c>
      <c r="J346">
        <v>0.372037305771796</v>
      </c>
      <c r="K346">
        <v>0.67045881737564295</v>
      </c>
      <c r="L346">
        <v>929.489347574965</v>
      </c>
      <c r="M346">
        <v>19.5066350518238</v>
      </c>
      <c r="N346">
        <v>50.215135551057301</v>
      </c>
      <c r="O346">
        <v>47.157606199952902</v>
      </c>
      <c r="P346">
        <v>-7.0796992502537598E-2</v>
      </c>
      <c r="Q346">
        <v>0.31541314488611799</v>
      </c>
      <c r="R346">
        <v>0.73383797322830602</v>
      </c>
      <c r="S346" t="s">
        <v>6992</v>
      </c>
      <c r="T346" t="s">
        <v>13290</v>
      </c>
      <c r="U346" t="s">
        <v>13290</v>
      </c>
      <c r="V346" t="s">
        <v>13290</v>
      </c>
      <c r="W346" t="s">
        <v>13631</v>
      </c>
      <c r="X346">
        <v>11</v>
      </c>
      <c r="Y346" t="s">
        <v>20219</v>
      </c>
      <c r="Z346" t="s">
        <v>26676</v>
      </c>
      <c r="AA346">
        <v>0.50033095582997589</v>
      </c>
      <c r="AB346" t="str">
        <f>HYPERLINK("Melting_Curves/meltCurve_C9JE98_NCOR2.pdf", "Melting_Curves/meltCurve_C9JE98_NCOR2.pdf")</f>
        <v>Melting_Curves/meltCurve_C9JE98_NCOR2.pdf</v>
      </c>
    </row>
    <row r="347" spans="1:28" x14ac:dyDescent="0.25">
      <c r="A347" t="s">
        <v>351</v>
      </c>
      <c r="B347">
        <v>0.99252571173614901</v>
      </c>
      <c r="C347">
        <v>1.1111290666890501</v>
      </c>
      <c r="D347">
        <v>0.93655851349065999</v>
      </c>
      <c r="E347">
        <v>0.87099499643421896</v>
      </c>
      <c r="F347">
        <v>0.53062667823197396</v>
      </c>
      <c r="G347">
        <v>0.35299260211594402</v>
      </c>
      <c r="H347">
        <v>0.30895797235601302</v>
      </c>
      <c r="I347">
        <v>0.38049083907515802</v>
      </c>
      <c r="J347">
        <v>0.76491016979484505</v>
      </c>
      <c r="K347">
        <v>1.1298525350961399</v>
      </c>
      <c r="L347">
        <v>12440.691858521999</v>
      </c>
      <c r="M347">
        <v>250</v>
      </c>
      <c r="O347">
        <v>49.7595829697472</v>
      </c>
      <c r="P347">
        <v>-0.53008408266920304</v>
      </c>
      <c r="Q347">
        <v>0.57797179440692104</v>
      </c>
      <c r="R347">
        <v>0.43368258795174502</v>
      </c>
      <c r="S347" t="s">
        <v>6993</v>
      </c>
      <c r="T347" t="s">
        <v>13290</v>
      </c>
      <c r="U347" t="s">
        <v>13290</v>
      </c>
      <c r="V347" t="s">
        <v>13290</v>
      </c>
      <c r="W347" t="s">
        <v>13632</v>
      </c>
      <c r="X347">
        <v>4</v>
      </c>
      <c r="Y347" t="s">
        <v>20220</v>
      </c>
      <c r="Z347" t="s">
        <v>26677</v>
      </c>
      <c r="AA347">
        <v>0.71534742540757934</v>
      </c>
      <c r="AB347" t="str">
        <f>HYPERLINK("Melting_Curves/meltCurve_C9JEZ4_CDC42EP3.pdf", "Melting_Curves/meltCurve_C9JEZ4_CDC42EP3.pdf")</f>
        <v>Melting_Curves/meltCurve_C9JEZ4_CDC42EP3.pdf</v>
      </c>
    </row>
    <row r="348" spans="1:28" x14ac:dyDescent="0.25">
      <c r="A348" t="s">
        <v>352</v>
      </c>
      <c r="B348">
        <v>0.99252571173614901</v>
      </c>
      <c r="C348">
        <v>1.00391773739847</v>
      </c>
      <c r="D348">
        <v>0.88111932033554297</v>
      </c>
      <c r="E348">
        <v>1.06770289355853</v>
      </c>
      <c r="F348">
        <v>0.567877312124065</v>
      </c>
      <c r="G348">
        <v>0.43566666731083398</v>
      </c>
      <c r="H348">
        <v>0.39220321688485899</v>
      </c>
      <c r="I348">
        <v>0.56797280325633104</v>
      </c>
      <c r="J348">
        <v>0.76285877664512403</v>
      </c>
      <c r="K348">
        <v>0.927827790461623</v>
      </c>
      <c r="L348">
        <v>5824.1648567987504</v>
      </c>
      <c r="M348">
        <v>113.241494754016</v>
      </c>
      <c r="O348">
        <v>51.415334991793898</v>
      </c>
      <c r="P348">
        <v>-0.21586252522826599</v>
      </c>
      <c r="Q348">
        <v>0.60796550168869701</v>
      </c>
      <c r="R348">
        <v>0.59994897830152705</v>
      </c>
      <c r="S348" t="s">
        <v>6994</v>
      </c>
      <c r="T348" t="s">
        <v>13290</v>
      </c>
      <c r="U348" t="s">
        <v>13290</v>
      </c>
      <c r="V348" t="s">
        <v>13290</v>
      </c>
      <c r="W348" t="s">
        <v>13633</v>
      </c>
      <c r="X348">
        <v>1</v>
      </c>
      <c r="Y348" t="s">
        <v>20221</v>
      </c>
      <c r="Z348" t="s">
        <v>26678</v>
      </c>
      <c r="AA348">
        <v>0.7575211175109513</v>
      </c>
      <c r="AB348" t="str">
        <f>HYPERLINK("Melting_Curves/meltCurve_C9JFL1_POM121C.pdf", "Melting_Curves/meltCurve_C9JFL1_POM121C.pdf")</f>
        <v>Melting_Curves/meltCurve_C9JFL1_POM121C.pdf</v>
      </c>
    </row>
    <row r="349" spans="1:28" x14ac:dyDescent="0.25">
      <c r="A349" t="s">
        <v>353</v>
      </c>
      <c r="B349">
        <v>0.99252571173614901</v>
      </c>
      <c r="C349">
        <v>0.95272011951818003</v>
      </c>
      <c r="D349">
        <v>0.91235678238018703</v>
      </c>
      <c r="E349">
        <v>0.52691068570687705</v>
      </c>
      <c r="F349">
        <v>0.34268338240127999</v>
      </c>
      <c r="G349">
        <v>0.155860807451492</v>
      </c>
      <c r="H349">
        <v>0.18727549835248</v>
      </c>
      <c r="I349">
        <v>0.14300930913658699</v>
      </c>
      <c r="J349">
        <v>0.14207016199490499</v>
      </c>
      <c r="K349">
        <v>0.36126902669898597</v>
      </c>
      <c r="L349">
        <v>1324.53455410889</v>
      </c>
      <c r="M349">
        <v>26.9598321151446</v>
      </c>
      <c r="N349">
        <v>50.079294505971802</v>
      </c>
      <c r="O349">
        <v>48.862002116458797</v>
      </c>
      <c r="P349">
        <v>-0.11034109787950901</v>
      </c>
      <c r="Q349">
        <v>0.20007911446748899</v>
      </c>
      <c r="R349">
        <v>0.962675042862293</v>
      </c>
      <c r="S349" t="s">
        <v>6995</v>
      </c>
      <c r="T349" t="s">
        <v>13290</v>
      </c>
      <c r="U349" t="s">
        <v>13290</v>
      </c>
      <c r="V349" t="s">
        <v>13290</v>
      </c>
      <c r="W349" t="s">
        <v>13634</v>
      </c>
      <c r="X349">
        <v>1</v>
      </c>
      <c r="Y349" t="s">
        <v>20222</v>
      </c>
      <c r="Z349" t="s">
        <v>26679</v>
      </c>
      <c r="AA349">
        <v>0.44959589042397391</v>
      </c>
      <c r="AB349" t="str">
        <f>HYPERLINK("Melting_Curves/meltCurve_C9JFW7_C19orf55.pdf", "Melting_Curves/meltCurve_C9JFW7_C19orf55.pdf")</f>
        <v>Melting_Curves/meltCurve_C9JFW7_C19orf55.pdf</v>
      </c>
    </row>
    <row r="350" spans="1:28" x14ac:dyDescent="0.25">
      <c r="A350" t="s">
        <v>354</v>
      </c>
      <c r="B350">
        <v>0.99252571173614901</v>
      </c>
      <c r="C350">
        <v>0.92987597852239301</v>
      </c>
      <c r="D350">
        <v>0.88296252470977099</v>
      </c>
      <c r="E350">
        <v>0.84501247576255201</v>
      </c>
      <c r="F350">
        <v>0.46363706327763898</v>
      </c>
      <c r="G350">
        <v>0.26878927457235302</v>
      </c>
      <c r="H350">
        <v>0.195312934921785</v>
      </c>
      <c r="I350">
        <v>0.180084980301051</v>
      </c>
      <c r="J350">
        <v>0.231196953701648</v>
      </c>
      <c r="K350">
        <v>0.18553697426551599</v>
      </c>
      <c r="L350">
        <v>1287.74904925693</v>
      </c>
      <c r="M350">
        <v>24.807326913739001</v>
      </c>
      <c r="N350">
        <v>52.917826457740603</v>
      </c>
      <c r="O350">
        <v>51.5762204220486</v>
      </c>
      <c r="P350">
        <v>-9.7609173040383607E-2</v>
      </c>
      <c r="Q350">
        <v>0.18826502417469401</v>
      </c>
      <c r="R350">
        <v>0.98618744722275398</v>
      </c>
      <c r="S350" t="s">
        <v>6996</v>
      </c>
      <c r="T350" t="s">
        <v>13290</v>
      </c>
      <c r="U350" t="s">
        <v>13290</v>
      </c>
      <c r="V350" t="s">
        <v>13290</v>
      </c>
      <c r="W350" t="s">
        <v>13635</v>
      </c>
      <c r="X350">
        <v>3</v>
      </c>
      <c r="Y350" t="s">
        <v>20223</v>
      </c>
      <c r="Z350" t="s">
        <v>26680</v>
      </c>
      <c r="AA350">
        <v>0.51803957701548264</v>
      </c>
      <c r="AB350" t="str">
        <f>HYPERLINK("Melting_Curves/meltCurve_C9JG41_ITM2C.pdf", "Melting_Curves/meltCurve_C9JG41_ITM2C.pdf")</f>
        <v>Melting_Curves/meltCurve_C9JG41_ITM2C.pdf</v>
      </c>
    </row>
    <row r="351" spans="1:28" x14ac:dyDescent="0.25">
      <c r="A351" t="s">
        <v>355</v>
      </c>
      <c r="B351">
        <v>0.99252571173614901</v>
      </c>
      <c r="C351">
        <v>1.0480194878657401</v>
      </c>
      <c r="D351">
        <v>0.923654556217953</v>
      </c>
      <c r="E351">
        <v>0.86998363207979801</v>
      </c>
      <c r="F351">
        <v>0.76352448166755404</v>
      </c>
      <c r="G351">
        <v>0.60755919102405698</v>
      </c>
      <c r="H351">
        <v>0.32443101022866</v>
      </c>
      <c r="I351">
        <v>0.17274813582830001</v>
      </c>
      <c r="J351">
        <v>0.11695886058858999</v>
      </c>
      <c r="K351">
        <v>9.6136353018727097E-2</v>
      </c>
      <c r="L351">
        <v>803.04276902857896</v>
      </c>
      <c r="M351">
        <v>13.900920674636399</v>
      </c>
      <c r="N351">
        <v>57.769034767290201</v>
      </c>
      <c r="O351">
        <v>56.612892013465398</v>
      </c>
      <c r="P351">
        <v>-6.1394195914467597E-2</v>
      </c>
      <c r="Q351">
        <v>0</v>
      </c>
      <c r="R351">
        <v>0.99171313918927395</v>
      </c>
      <c r="S351" t="s">
        <v>6997</v>
      </c>
      <c r="T351" t="s">
        <v>13290</v>
      </c>
      <c r="U351" t="s">
        <v>13290</v>
      </c>
      <c r="V351" t="s">
        <v>13290</v>
      </c>
      <c r="W351" t="s">
        <v>13636</v>
      </c>
      <c r="X351">
        <v>11</v>
      </c>
      <c r="Y351" t="s">
        <v>20224</v>
      </c>
      <c r="Z351" t="s">
        <v>26681</v>
      </c>
      <c r="AA351">
        <v>0.60650412000619858</v>
      </c>
      <c r="AB351" t="str">
        <f>HYPERLINK("Melting_Curves/meltCurve_C9JG97_AAMP.pdf", "Melting_Curves/meltCurve_C9JG97_AAMP.pdf")</f>
        <v>Melting_Curves/meltCurve_C9JG97_AAMP.pdf</v>
      </c>
    </row>
    <row r="352" spans="1:28" x14ac:dyDescent="0.25">
      <c r="A352" t="s">
        <v>356</v>
      </c>
      <c r="B352">
        <v>0.99252571173614901</v>
      </c>
      <c r="C352">
        <v>1.04123351381212</v>
      </c>
      <c r="D352">
        <v>0.94559031564722096</v>
      </c>
      <c r="E352">
        <v>0.979662244069331</v>
      </c>
      <c r="F352">
        <v>0.724934868014244</v>
      </c>
      <c r="G352">
        <v>0.55156711726227703</v>
      </c>
      <c r="H352">
        <v>0.47691632322209498</v>
      </c>
      <c r="I352">
        <v>0.475155663714733</v>
      </c>
      <c r="J352">
        <v>0.52650250194638704</v>
      </c>
      <c r="K352">
        <v>0.54960149318999496</v>
      </c>
      <c r="L352">
        <v>2159.64219744197</v>
      </c>
      <c r="M352">
        <v>40.804410223960602</v>
      </c>
      <c r="O352">
        <v>52.8000467255468</v>
      </c>
      <c r="P352">
        <v>-9.4832633484187398E-2</v>
      </c>
      <c r="Q352">
        <v>0.50915527393940196</v>
      </c>
      <c r="R352">
        <v>0.98188528968304201</v>
      </c>
      <c r="S352" t="s">
        <v>6998</v>
      </c>
      <c r="T352" t="s">
        <v>13290</v>
      </c>
      <c r="U352" t="s">
        <v>13290</v>
      </c>
      <c r="V352" t="s">
        <v>13290</v>
      </c>
      <c r="W352" t="s">
        <v>13637</v>
      </c>
      <c r="X352">
        <v>4</v>
      </c>
      <c r="Y352" t="s">
        <v>20225</v>
      </c>
      <c r="Z352" t="s">
        <v>26682</v>
      </c>
      <c r="AA352">
        <v>0.72237877396370687</v>
      </c>
      <c r="AB352" t="str">
        <f>HYPERLINK("Melting_Curves/meltCurve_C9JGI3_TYMP.pdf", "Melting_Curves/meltCurve_C9JGI3_TYMP.pdf")</f>
        <v>Melting_Curves/meltCurve_C9JGI3_TYMP.pdf</v>
      </c>
    </row>
    <row r="353" spans="1:28" x14ac:dyDescent="0.25">
      <c r="A353" t="s">
        <v>357</v>
      </c>
      <c r="B353">
        <v>0.99252571173614901</v>
      </c>
      <c r="C353">
        <v>0.97605829806836097</v>
      </c>
      <c r="D353">
        <v>0.78878039233028296</v>
      </c>
      <c r="E353">
        <v>0.90881080706403194</v>
      </c>
      <c r="F353">
        <v>0.56040049464069996</v>
      </c>
      <c r="G353">
        <v>0.40092690030504702</v>
      </c>
      <c r="H353">
        <v>0.30170369075414299</v>
      </c>
      <c r="I353">
        <v>0.42807776806767001</v>
      </c>
      <c r="J353">
        <v>0.68771034271572595</v>
      </c>
      <c r="K353">
        <v>0.61644472589922095</v>
      </c>
      <c r="L353">
        <v>2381.8437799664698</v>
      </c>
      <c r="M353">
        <v>46.6236629120949</v>
      </c>
      <c r="N353">
        <v>55.4247359964235</v>
      </c>
      <c r="O353">
        <v>50.992868020458197</v>
      </c>
      <c r="P353">
        <v>-0.117262451146585</v>
      </c>
      <c r="Q353">
        <v>0.48699509290687099</v>
      </c>
      <c r="R353">
        <v>0.73235584152647604</v>
      </c>
      <c r="S353" t="s">
        <v>6999</v>
      </c>
      <c r="T353" t="s">
        <v>13290</v>
      </c>
      <c r="U353" t="s">
        <v>13290</v>
      </c>
      <c r="V353" t="s">
        <v>13290</v>
      </c>
      <c r="W353" t="s">
        <v>13638</v>
      </c>
      <c r="X353">
        <v>2</v>
      </c>
      <c r="Y353" t="s">
        <v>20226</v>
      </c>
      <c r="Z353" t="s">
        <v>26683</v>
      </c>
      <c r="AA353">
        <v>0.67790808701129179</v>
      </c>
      <c r="AB353" t="str">
        <f>HYPERLINK("Melting_Curves/meltCurve_C9JI98_TMEM238.pdf", "Melting_Curves/meltCurve_C9JI98_TMEM238.pdf")</f>
        <v>Melting_Curves/meltCurve_C9JI98_TMEM238.pdf</v>
      </c>
    </row>
    <row r="354" spans="1:28" x14ac:dyDescent="0.25">
      <c r="A354" t="s">
        <v>358</v>
      </c>
      <c r="B354">
        <v>0.99252571173614901</v>
      </c>
      <c r="C354">
        <v>0.90576542117626402</v>
      </c>
      <c r="D354">
        <v>1.18905446090001</v>
      </c>
      <c r="E354">
        <v>1.2295209133693501</v>
      </c>
      <c r="F354">
        <v>1.34272819440309</v>
      </c>
      <c r="G354">
        <v>0.95408382678958503</v>
      </c>
      <c r="H354">
        <v>1.2314247068258799</v>
      </c>
      <c r="I354">
        <v>0.67523703727362006</v>
      </c>
      <c r="J354">
        <v>0.232169016939441</v>
      </c>
      <c r="K354">
        <v>0.21724415449928</v>
      </c>
      <c r="L354">
        <v>15000</v>
      </c>
      <c r="M354">
        <v>234.04762460657801</v>
      </c>
      <c r="N354">
        <v>64.253340686997802</v>
      </c>
      <c r="O354">
        <v>64.084841002173903</v>
      </c>
      <c r="P354">
        <v>-0.70788271823606397</v>
      </c>
      <c r="Q354">
        <v>0.224695376610234</v>
      </c>
      <c r="R354">
        <v>0.81618073959931503</v>
      </c>
      <c r="S354" t="s">
        <v>7000</v>
      </c>
      <c r="T354" t="s">
        <v>13290</v>
      </c>
      <c r="U354" t="s">
        <v>13290</v>
      </c>
      <c r="V354" t="s">
        <v>13290</v>
      </c>
      <c r="W354" t="s">
        <v>13639</v>
      </c>
      <c r="X354">
        <v>33</v>
      </c>
      <c r="Y354" t="s">
        <v>20227</v>
      </c>
      <c r="Z354" t="s">
        <v>26684</v>
      </c>
      <c r="AA354">
        <v>0.84735209211012796</v>
      </c>
      <c r="AB354" t="str">
        <f>HYPERLINK("Melting_Curves/meltCurve_C9JIF9_APEH.pdf", "Melting_Curves/meltCurve_C9JIF9_APEH.pdf")</f>
        <v>Melting_Curves/meltCurve_C9JIF9_APEH.pdf</v>
      </c>
    </row>
    <row r="355" spans="1:28" x14ac:dyDescent="0.25">
      <c r="A355" t="s">
        <v>359</v>
      </c>
      <c r="B355">
        <v>0.99252571173614901</v>
      </c>
      <c r="C355">
        <v>1.0362913147036701</v>
      </c>
      <c r="D355">
        <v>1.0265862930666401</v>
      </c>
      <c r="E355">
        <v>1.0136007028029499</v>
      </c>
      <c r="F355">
        <v>0.85125961829595498</v>
      </c>
      <c r="G355">
        <v>0.62489101129923097</v>
      </c>
      <c r="H355">
        <v>0.45672324177636098</v>
      </c>
      <c r="I355">
        <v>0.33449083654619999</v>
      </c>
      <c r="J355">
        <v>0.39693538940587197</v>
      </c>
      <c r="K355">
        <v>0.37341384387680798</v>
      </c>
      <c r="L355">
        <v>1462.66024288211</v>
      </c>
      <c r="M355">
        <v>26.140108549093799</v>
      </c>
      <c r="N355">
        <v>58.886428627376098</v>
      </c>
      <c r="O355">
        <v>55.630242767915099</v>
      </c>
      <c r="P355">
        <v>-7.4721527009247404E-2</v>
      </c>
      <c r="Q355">
        <v>0.36393074026884498</v>
      </c>
      <c r="R355">
        <v>0.99063767123602597</v>
      </c>
      <c r="S355" t="s">
        <v>7001</v>
      </c>
      <c r="T355" t="s">
        <v>13290</v>
      </c>
      <c r="U355" t="s">
        <v>13290</v>
      </c>
      <c r="V355" t="s">
        <v>13290</v>
      </c>
      <c r="W355" t="s">
        <v>13640</v>
      </c>
      <c r="X355">
        <v>1</v>
      </c>
      <c r="Y355" t="s">
        <v>20228</v>
      </c>
      <c r="Z355" t="s">
        <v>26685</v>
      </c>
      <c r="AA355">
        <v>0.7076238142276482</v>
      </c>
      <c r="AB355" t="str">
        <f>HYPERLINK("Melting_Curves/meltCurve_C9JJZ8_WDR53.pdf", "Melting_Curves/meltCurve_C9JJZ8_WDR53.pdf")</f>
        <v>Melting_Curves/meltCurve_C9JJZ8_WDR53.pdf</v>
      </c>
    </row>
    <row r="356" spans="1:28" x14ac:dyDescent="0.25">
      <c r="A356" t="s">
        <v>360</v>
      </c>
      <c r="B356">
        <v>0.99252571173614901</v>
      </c>
      <c r="C356">
        <v>0.81577486394586596</v>
      </c>
      <c r="D356">
        <v>0.79246210563769504</v>
      </c>
      <c r="E356">
        <v>0.66888701970942399</v>
      </c>
      <c r="F356">
        <v>0.42949314131146099</v>
      </c>
      <c r="G356">
        <v>0.26287142041424499</v>
      </c>
      <c r="H356">
        <v>0.18561419016046399</v>
      </c>
      <c r="I356">
        <v>0.202907333437399</v>
      </c>
      <c r="J356">
        <v>0.32860621127239498</v>
      </c>
      <c r="K356">
        <v>0.223671171476376</v>
      </c>
      <c r="L356">
        <v>672.33301248294401</v>
      </c>
      <c r="M356">
        <v>13.5675299690646</v>
      </c>
      <c r="N356">
        <v>51.471037680311198</v>
      </c>
      <c r="O356">
        <v>48.515196627047999</v>
      </c>
      <c r="P356">
        <v>-5.60583658043547E-2</v>
      </c>
      <c r="Q356">
        <v>0.19829907904826599</v>
      </c>
      <c r="R356">
        <v>0.95506372669252004</v>
      </c>
      <c r="S356" t="s">
        <v>7002</v>
      </c>
      <c r="T356" t="s">
        <v>13290</v>
      </c>
      <c r="U356" t="s">
        <v>13290</v>
      </c>
      <c r="V356" t="s">
        <v>13290</v>
      </c>
      <c r="W356" t="s">
        <v>13641</v>
      </c>
      <c r="X356">
        <v>24</v>
      </c>
      <c r="Y356" t="s">
        <v>20229</v>
      </c>
      <c r="Z356" t="s">
        <v>26686</v>
      </c>
      <c r="AA356">
        <v>0.47682289470971068</v>
      </c>
      <c r="AB356" t="str">
        <f>HYPERLINK("Melting_Curves/meltCurve_C9JK10_ITGA6.pdf", "Melting_Curves/meltCurve_C9JK10_ITGA6.pdf")</f>
        <v>Melting_Curves/meltCurve_C9JK10_ITGA6.pdf</v>
      </c>
    </row>
    <row r="357" spans="1:28" x14ac:dyDescent="0.25">
      <c r="A357" t="s">
        <v>361</v>
      </c>
      <c r="B357">
        <v>0.99252571173614901</v>
      </c>
      <c r="C357">
        <v>0.95902892830306097</v>
      </c>
      <c r="D357">
        <v>0.75285502807647098</v>
      </c>
      <c r="E357">
        <v>0.38405436407836402</v>
      </c>
      <c r="F357">
        <v>0.23305062540398799</v>
      </c>
      <c r="G357">
        <v>0.143101137099366</v>
      </c>
      <c r="H357">
        <v>0.11334032462261499</v>
      </c>
      <c r="I357">
        <v>0.10562923676177501</v>
      </c>
      <c r="J357">
        <v>0.134551624595702</v>
      </c>
      <c r="K357">
        <v>0.13183148603919601</v>
      </c>
      <c r="L357">
        <v>1097.0294716536901</v>
      </c>
      <c r="M357">
        <v>22.902008009887801</v>
      </c>
      <c r="N357">
        <v>48.495265272306497</v>
      </c>
      <c r="O357">
        <v>47.540286541659597</v>
      </c>
      <c r="P357">
        <v>-0.10570207620100899</v>
      </c>
      <c r="Q357">
        <v>0.12234572365345001</v>
      </c>
      <c r="R357">
        <v>0.99821330151950705</v>
      </c>
      <c r="S357" t="s">
        <v>7003</v>
      </c>
      <c r="T357" t="s">
        <v>13290</v>
      </c>
      <c r="U357" t="s">
        <v>13290</v>
      </c>
      <c r="V357" t="s">
        <v>13290</v>
      </c>
      <c r="W357" t="s">
        <v>13642</v>
      </c>
      <c r="X357">
        <v>5</v>
      </c>
      <c r="Y357" t="s">
        <v>20230</v>
      </c>
      <c r="Z357" t="s">
        <v>26687</v>
      </c>
      <c r="AA357">
        <v>0.3628480932225942</v>
      </c>
      <c r="AB357" t="str">
        <f>HYPERLINK("Melting_Curves/meltCurve_C9JLU1_POLR2H.pdf", "Melting_Curves/meltCurve_C9JLU1_POLR2H.pdf")</f>
        <v>Melting_Curves/meltCurve_C9JLU1_POLR2H.pdf</v>
      </c>
    </row>
    <row r="358" spans="1:28" x14ac:dyDescent="0.25">
      <c r="A358" t="s">
        <v>362</v>
      </c>
      <c r="B358">
        <v>0.99252571173614901</v>
      </c>
      <c r="C358">
        <v>0.88201559961308895</v>
      </c>
      <c r="D358">
        <v>0.81259362376226996</v>
      </c>
      <c r="E358">
        <v>0.45218361925941097</v>
      </c>
      <c r="F358">
        <v>0.121092422397387</v>
      </c>
      <c r="G358">
        <v>8.0380107385972593E-2</v>
      </c>
      <c r="H358">
        <v>5.0971323026872503E-2</v>
      </c>
      <c r="I358">
        <v>6.5903454677166004E-2</v>
      </c>
      <c r="J358">
        <v>0.101701271192241</v>
      </c>
      <c r="K358">
        <v>7.2448631740940503E-2</v>
      </c>
      <c r="L358">
        <v>1143.4919559727</v>
      </c>
      <c r="M358">
        <v>23.5235578665677</v>
      </c>
      <c r="N358">
        <v>48.877781963845699</v>
      </c>
      <c r="O358">
        <v>48.263299816434802</v>
      </c>
      <c r="P358">
        <v>-0.11449816720115601</v>
      </c>
      <c r="Q358">
        <v>6.0352371173205403E-2</v>
      </c>
      <c r="R358">
        <v>0.99136813882420405</v>
      </c>
      <c r="S358" t="s">
        <v>7004</v>
      </c>
      <c r="T358" t="s">
        <v>13290</v>
      </c>
      <c r="U358" t="s">
        <v>13290</v>
      </c>
      <c r="V358" t="s">
        <v>13290</v>
      </c>
      <c r="W358" t="s">
        <v>13643</v>
      </c>
      <c r="X358">
        <v>1</v>
      </c>
      <c r="Y358" t="s">
        <v>20231</v>
      </c>
      <c r="Z358" t="s">
        <v>26688</v>
      </c>
      <c r="AA358">
        <v>0.33948108249421499</v>
      </c>
      <c r="AB358" t="str">
        <f>HYPERLINK("Melting_Curves/meltCurve_C9JLV4_APAF1.pdf", "Melting_Curves/meltCurve_C9JLV4_APAF1.pdf")</f>
        <v>Melting_Curves/meltCurve_C9JLV4_APAF1.pdf</v>
      </c>
    </row>
    <row r="359" spans="1:28" x14ac:dyDescent="0.25">
      <c r="A359" t="s">
        <v>363</v>
      </c>
      <c r="B359">
        <v>0.99252571173614901</v>
      </c>
      <c r="C359">
        <v>0.87812634340666296</v>
      </c>
      <c r="D359">
        <v>0.90152810804050498</v>
      </c>
      <c r="E359">
        <v>0.75883629869864999</v>
      </c>
      <c r="F359">
        <v>0.71596111076506197</v>
      </c>
      <c r="G359">
        <v>0.23263940804257199</v>
      </c>
      <c r="H359">
        <v>0.13622464060540501</v>
      </c>
      <c r="I359">
        <v>0.163705473883656</v>
      </c>
      <c r="J359">
        <v>0.176992728788126</v>
      </c>
      <c r="K359">
        <v>0.22658073667811901</v>
      </c>
      <c r="L359">
        <v>1072.2849593922001</v>
      </c>
      <c r="M359">
        <v>20.161673206347398</v>
      </c>
      <c r="N359">
        <v>54.095655157259301</v>
      </c>
      <c r="O359">
        <v>52.669400464448998</v>
      </c>
      <c r="P359">
        <v>-8.1921899786921396E-2</v>
      </c>
      <c r="Q359">
        <v>0.14399142618871999</v>
      </c>
      <c r="R359">
        <v>0.94326853676306499</v>
      </c>
      <c r="S359" t="s">
        <v>7005</v>
      </c>
      <c r="T359" t="s">
        <v>13290</v>
      </c>
      <c r="U359" t="s">
        <v>13290</v>
      </c>
      <c r="V359" t="s">
        <v>13290</v>
      </c>
      <c r="W359" t="s">
        <v>13644</v>
      </c>
      <c r="X359">
        <v>7</v>
      </c>
      <c r="Y359" t="s">
        <v>20232</v>
      </c>
      <c r="Z359" t="s">
        <v>26689</v>
      </c>
      <c r="AA359">
        <v>0.53178236190363815</v>
      </c>
      <c r="AB359" t="str">
        <f>HYPERLINK("Melting_Curves/meltCurve_C9JM82_SEPT5.pdf", "Melting_Curves/meltCurve_C9JM82_SEPT5.pdf")</f>
        <v>Melting_Curves/meltCurve_C9JM82_SEPT5.pdf</v>
      </c>
    </row>
    <row r="360" spans="1:28" x14ac:dyDescent="0.25">
      <c r="A360" t="s">
        <v>364</v>
      </c>
      <c r="B360">
        <v>0.99252571173614901</v>
      </c>
      <c r="C360">
        <v>0.92643770739223297</v>
      </c>
      <c r="D360">
        <v>0.72451851501470999</v>
      </c>
      <c r="E360">
        <v>0.46336067998104902</v>
      </c>
      <c r="F360">
        <v>0.17795275657083101</v>
      </c>
      <c r="G360">
        <v>9.6760300693488496E-2</v>
      </c>
      <c r="H360">
        <v>7.9444489681417499E-2</v>
      </c>
      <c r="I360">
        <v>6.9990367153518904E-2</v>
      </c>
      <c r="J360">
        <v>0.100434077574262</v>
      </c>
      <c r="K360">
        <v>8.3212373089073005E-2</v>
      </c>
      <c r="L360">
        <v>939.26967417223204</v>
      </c>
      <c r="M360">
        <v>19.420909609918301</v>
      </c>
      <c r="N360">
        <v>48.736249229840404</v>
      </c>
      <c r="O360">
        <v>47.859810470473697</v>
      </c>
      <c r="P360">
        <v>-9.4454711021740995E-2</v>
      </c>
      <c r="Q360">
        <v>6.8958280729827001E-2</v>
      </c>
      <c r="R360">
        <v>0.99653236264719003</v>
      </c>
      <c r="S360" t="s">
        <v>7006</v>
      </c>
      <c r="T360" t="s">
        <v>13290</v>
      </c>
      <c r="U360" t="s">
        <v>13290</v>
      </c>
      <c r="V360" t="s">
        <v>13290</v>
      </c>
      <c r="W360" t="s">
        <v>13645</v>
      </c>
      <c r="X360">
        <v>6</v>
      </c>
      <c r="Y360" t="s">
        <v>20233</v>
      </c>
      <c r="Z360" t="s">
        <v>26690</v>
      </c>
      <c r="AA360">
        <v>0.34250221160287669</v>
      </c>
      <c r="AB360" t="str">
        <f>HYPERLINK("Melting_Curves/meltCurve_C9JME2_FARP1.pdf", "Melting_Curves/meltCurve_C9JME2_FARP1.pdf")</f>
        <v>Melting_Curves/meltCurve_C9JME2_FARP1.pdf</v>
      </c>
    </row>
    <row r="361" spans="1:28" x14ac:dyDescent="0.25">
      <c r="A361" t="s">
        <v>365</v>
      </c>
      <c r="B361">
        <v>0.99252571173614901</v>
      </c>
      <c r="C361">
        <v>0.96420576802021896</v>
      </c>
      <c r="D361">
        <v>0.73766477381060003</v>
      </c>
      <c r="E361">
        <v>0.38146402488064401</v>
      </c>
      <c r="F361">
        <v>0.132420977593422</v>
      </c>
      <c r="G361">
        <v>9.1558881201079495E-2</v>
      </c>
      <c r="H361">
        <v>7.9434775850883793E-2</v>
      </c>
      <c r="I361">
        <v>9.3362620690244896E-2</v>
      </c>
      <c r="J361">
        <v>0.105481602118269</v>
      </c>
      <c r="K361">
        <v>0.111455122661779</v>
      </c>
      <c r="L361">
        <v>1188.12003378398</v>
      </c>
      <c r="M361">
        <v>24.826791788249398</v>
      </c>
      <c r="N361">
        <v>48.237293391050898</v>
      </c>
      <c r="O361">
        <v>47.549114617660003</v>
      </c>
      <c r="P361">
        <v>-0.118914431538534</v>
      </c>
      <c r="Q361">
        <v>8.9016766610513706E-2</v>
      </c>
      <c r="R361">
        <v>0.99776513327378702</v>
      </c>
      <c r="S361" t="s">
        <v>7007</v>
      </c>
      <c r="T361" t="s">
        <v>13290</v>
      </c>
      <c r="U361" t="s">
        <v>13290</v>
      </c>
      <c r="V361" t="s">
        <v>13290</v>
      </c>
      <c r="W361" t="s">
        <v>13646</v>
      </c>
      <c r="X361">
        <v>10</v>
      </c>
      <c r="Y361" t="s">
        <v>20234</v>
      </c>
      <c r="Z361" t="s">
        <v>26691</v>
      </c>
      <c r="AA361">
        <v>0.33576003847860281</v>
      </c>
      <c r="AB361" t="str">
        <f>HYPERLINK("Melting_Curves/meltCurve_C9JNE2_OARD1.pdf", "Melting_Curves/meltCurve_C9JNE2_OARD1.pdf")</f>
        <v>Melting_Curves/meltCurve_C9JNE2_OARD1.pdf</v>
      </c>
    </row>
    <row r="362" spans="1:28" x14ac:dyDescent="0.25">
      <c r="A362" t="s">
        <v>366</v>
      </c>
      <c r="B362">
        <v>0.99252571173614901</v>
      </c>
      <c r="C362">
        <v>1.0367701033352801</v>
      </c>
      <c r="D362">
        <v>0.59205651310773699</v>
      </c>
      <c r="E362">
        <v>0.36102756015024001</v>
      </c>
      <c r="F362">
        <v>0.445785618748405</v>
      </c>
      <c r="G362">
        <v>5.2296378725873498E-2</v>
      </c>
      <c r="H362">
        <v>3.0626124967651401E-2</v>
      </c>
      <c r="I362">
        <v>4.7095885496705001E-2</v>
      </c>
      <c r="J362">
        <v>0</v>
      </c>
      <c r="K362">
        <v>5.6865857770797897E-2</v>
      </c>
      <c r="L362">
        <v>698.17201223005202</v>
      </c>
      <c r="M362">
        <v>14.313788170157</v>
      </c>
      <c r="N362">
        <v>48.8563412322126</v>
      </c>
      <c r="O362">
        <v>47.853799223051503</v>
      </c>
      <c r="P362">
        <v>-7.3919933832571699E-2</v>
      </c>
      <c r="Q362">
        <v>1.16048456184267E-2</v>
      </c>
      <c r="R362">
        <v>0.93246126302252497</v>
      </c>
      <c r="S362" t="s">
        <v>7008</v>
      </c>
      <c r="T362" t="s">
        <v>13290</v>
      </c>
      <c r="U362" t="s">
        <v>13290</v>
      </c>
      <c r="V362" t="s">
        <v>13290</v>
      </c>
      <c r="W362" t="s">
        <v>13647</v>
      </c>
      <c r="X362">
        <v>1</v>
      </c>
      <c r="Y362" t="s">
        <v>20235</v>
      </c>
      <c r="Z362" t="s">
        <v>26692</v>
      </c>
      <c r="AA362">
        <v>0.32762372353541791</v>
      </c>
      <c r="AB362" t="str">
        <f>HYPERLINK("Melting_Curves/meltCurve_C9JNJ4_SH3RF3.pdf", "Melting_Curves/meltCurve_C9JNJ4_SH3RF3.pdf")</f>
        <v>Melting_Curves/meltCurve_C9JNJ4_SH3RF3.pdf</v>
      </c>
    </row>
    <row r="363" spans="1:28" x14ac:dyDescent="0.25">
      <c r="A363" t="s">
        <v>367</v>
      </c>
      <c r="B363">
        <v>0.99252571173614901</v>
      </c>
      <c r="C363">
        <v>0.90894176665357296</v>
      </c>
      <c r="D363">
        <v>0.73558704864992497</v>
      </c>
      <c r="E363">
        <v>0.52959711421722999</v>
      </c>
      <c r="F363">
        <v>0.27836782270052601</v>
      </c>
      <c r="G363">
        <v>0.17816967952186699</v>
      </c>
      <c r="H363">
        <v>0.111148476284831</v>
      </c>
      <c r="I363">
        <v>6.4519215353707401E-2</v>
      </c>
      <c r="J363">
        <v>5.9573130666025299E-2</v>
      </c>
      <c r="K363">
        <v>6.0454761564310698E-2</v>
      </c>
      <c r="L363">
        <v>714.99335462730096</v>
      </c>
      <c r="M363">
        <v>14.464302131272801</v>
      </c>
      <c r="N363">
        <v>49.734042442556799</v>
      </c>
      <c r="O363">
        <v>48.5155512283565</v>
      </c>
      <c r="P363">
        <v>-7.1404510485952602E-2</v>
      </c>
      <c r="Q363">
        <v>4.2103587777572803E-2</v>
      </c>
      <c r="R363">
        <v>0.99834077380641095</v>
      </c>
      <c r="S363" t="s">
        <v>7009</v>
      </c>
      <c r="T363" t="s">
        <v>13290</v>
      </c>
      <c r="U363" t="s">
        <v>13290</v>
      </c>
      <c r="V363" t="s">
        <v>13290</v>
      </c>
      <c r="W363" t="s">
        <v>13648</v>
      </c>
      <c r="X363">
        <v>6</v>
      </c>
      <c r="Y363" t="s">
        <v>20236</v>
      </c>
      <c r="Z363" t="s">
        <v>26693</v>
      </c>
      <c r="AA363">
        <v>0.36812435577196417</v>
      </c>
      <c r="AB363" t="str">
        <f>HYPERLINK("Melting_Curves/meltCurve_C9JNT3_GSTK1.pdf", "Melting_Curves/meltCurve_C9JNT3_GSTK1.pdf")</f>
        <v>Melting_Curves/meltCurve_C9JNT3_GSTK1.pdf</v>
      </c>
    </row>
    <row r="364" spans="1:28" x14ac:dyDescent="0.25">
      <c r="A364" t="s">
        <v>368</v>
      </c>
      <c r="B364">
        <v>0.99252571173614901</v>
      </c>
      <c r="C364">
        <v>0.99892882721095</v>
      </c>
      <c r="D364">
        <v>0.85690889593060204</v>
      </c>
      <c r="E364">
        <v>0.70376378322824595</v>
      </c>
      <c r="F364">
        <v>0.34562233582514701</v>
      </c>
      <c r="G364">
        <v>0.194322571303879</v>
      </c>
      <c r="H364">
        <v>0.112248531607459</v>
      </c>
      <c r="I364">
        <v>8.2825788822690996E-2</v>
      </c>
      <c r="J364">
        <v>0.112212611573729</v>
      </c>
      <c r="K364">
        <v>0.11638041284579401</v>
      </c>
      <c r="L364">
        <v>1034.1891703025599</v>
      </c>
      <c r="M364">
        <v>20.294883680375499</v>
      </c>
      <c r="N364">
        <v>51.469658426619802</v>
      </c>
      <c r="O364">
        <v>50.471123119964503</v>
      </c>
      <c r="P364">
        <v>-9.1348798672659201E-2</v>
      </c>
      <c r="Q364">
        <v>9.1330934529535293E-2</v>
      </c>
      <c r="R364">
        <v>0.99575742784971499</v>
      </c>
      <c r="S364" t="s">
        <v>7010</v>
      </c>
      <c r="T364" t="s">
        <v>13290</v>
      </c>
      <c r="U364" t="s">
        <v>13290</v>
      </c>
      <c r="V364" t="s">
        <v>13290</v>
      </c>
      <c r="W364" t="s">
        <v>13649</v>
      </c>
      <c r="X364">
        <v>12</v>
      </c>
      <c r="Y364" t="s">
        <v>20237</v>
      </c>
      <c r="Z364" t="s">
        <v>26694</v>
      </c>
      <c r="AA364">
        <v>0.43551394912450547</v>
      </c>
      <c r="AB364" t="str">
        <f>HYPERLINK("Melting_Curves/meltCurve_C9JP00_MBNL1.pdf", "Melting_Curves/meltCurve_C9JP00_MBNL1.pdf")</f>
        <v>Melting_Curves/meltCurve_C9JP00_MBNL1.pdf</v>
      </c>
    </row>
    <row r="365" spans="1:28" x14ac:dyDescent="0.25">
      <c r="A365" t="s">
        <v>369</v>
      </c>
      <c r="B365">
        <v>0.99252571173614901</v>
      </c>
      <c r="C365">
        <v>0.88656544736888898</v>
      </c>
      <c r="D365">
        <v>0.98998940133203095</v>
      </c>
      <c r="E365">
        <v>0.62832083101521097</v>
      </c>
      <c r="F365">
        <v>0.28484331170184102</v>
      </c>
      <c r="G365">
        <v>0.15698456895399801</v>
      </c>
      <c r="H365">
        <v>0.105052885675577</v>
      </c>
      <c r="I365">
        <v>0.13454627867720301</v>
      </c>
      <c r="J365">
        <v>0.17657863175212399</v>
      </c>
      <c r="K365">
        <v>0.122934170474989</v>
      </c>
      <c r="L365">
        <v>1496.59132486821</v>
      </c>
      <c r="M365">
        <v>29.8185089200303</v>
      </c>
      <c r="N365">
        <v>50.722774268715298</v>
      </c>
      <c r="O365">
        <v>49.965898221971401</v>
      </c>
      <c r="P365">
        <v>-0.129136479545191</v>
      </c>
      <c r="Q365">
        <v>0.13444667474072799</v>
      </c>
      <c r="R365">
        <v>0.98703931893192398</v>
      </c>
      <c r="S365" t="s">
        <v>7011</v>
      </c>
      <c r="T365" t="s">
        <v>13290</v>
      </c>
      <c r="U365" t="s">
        <v>13290</v>
      </c>
      <c r="V365" t="s">
        <v>13290</v>
      </c>
      <c r="W365" t="s">
        <v>13650</v>
      </c>
      <c r="X365">
        <v>1</v>
      </c>
      <c r="Y365" t="s">
        <v>20238</v>
      </c>
      <c r="Z365" t="s">
        <v>26695</v>
      </c>
      <c r="AA365">
        <v>0.43388299764483612</v>
      </c>
      <c r="AB365" t="str">
        <f>HYPERLINK("Melting_Curves/meltCurve_C9JP16_CRTAP.pdf", "Melting_Curves/meltCurve_C9JP16_CRTAP.pdf")</f>
        <v>Melting_Curves/meltCurve_C9JP16_CRTAP.pdf</v>
      </c>
    </row>
    <row r="366" spans="1:28" x14ac:dyDescent="0.25">
      <c r="A366" t="s">
        <v>370</v>
      </c>
      <c r="B366">
        <v>0.99252571173614901</v>
      </c>
      <c r="C366">
        <v>0.88758534481972495</v>
      </c>
      <c r="D366">
        <v>0.85283612469879599</v>
      </c>
      <c r="E366">
        <v>0.61356961265273202</v>
      </c>
      <c r="F366">
        <v>0.22813377149750999</v>
      </c>
      <c r="G366">
        <v>8.9430426247864903E-2</v>
      </c>
      <c r="H366">
        <v>6.0510178437800703E-2</v>
      </c>
      <c r="I366">
        <v>4.3129981371195399E-2</v>
      </c>
      <c r="J366">
        <v>3.97788468739282E-2</v>
      </c>
      <c r="K366">
        <v>4.5662509226975498E-2</v>
      </c>
      <c r="L366">
        <v>1024.81290506353</v>
      </c>
      <c r="M366">
        <v>20.435781348996901</v>
      </c>
      <c r="N366">
        <v>50.294488160931301</v>
      </c>
      <c r="O366">
        <v>49.675176798331499</v>
      </c>
      <c r="P366">
        <v>-9.9877909396828196E-2</v>
      </c>
      <c r="Q366">
        <v>2.88984932961159E-2</v>
      </c>
      <c r="R366">
        <v>0.99272801915489794</v>
      </c>
      <c r="S366" t="s">
        <v>7012</v>
      </c>
      <c r="T366" t="s">
        <v>13290</v>
      </c>
      <c r="U366" t="s">
        <v>13290</v>
      </c>
      <c r="V366" t="s">
        <v>13290</v>
      </c>
      <c r="W366" t="s">
        <v>13651</v>
      </c>
      <c r="X366">
        <v>1</v>
      </c>
      <c r="Y366" t="s">
        <v>20239</v>
      </c>
      <c r="Z366" t="s">
        <v>26696</v>
      </c>
      <c r="AA366">
        <v>0.37034614431338758</v>
      </c>
      <c r="AB366" t="str">
        <f>HYPERLINK("Melting_Curves/meltCurve_C9JPL0_CCNL1.pdf", "Melting_Curves/meltCurve_C9JPL0_CCNL1.pdf")</f>
        <v>Melting_Curves/meltCurve_C9JPL0_CCNL1.pdf</v>
      </c>
    </row>
    <row r="367" spans="1:28" x14ac:dyDescent="0.25">
      <c r="A367" t="s">
        <v>371</v>
      </c>
      <c r="B367">
        <v>0.99252571173614901</v>
      </c>
      <c r="C367">
        <v>0.96960076869760703</v>
      </c>
      <c r="D367">
        <v>0.82112995891764295</v>
      </c>
      <c r="E367">
        <v>0.61546066037167202</v>
      </c>
      <c r="F367">
        <v>0.19480654832590899</v>
      </c>
      <c r="G367">
        <v>0.108792920185089</v>
      </c>
      <c r="H367">
        <v>7.5183938777351994E-2</v>
      </c>
      <c r="I367">
        <v>8.3218666461454996E-2</v>
      </c>
      <c r="J367">
        <v>9.0628183308371205E-2</v>
      </c>
      <c r="K367">
        <v>0.105323437975685</v>
      </c>
      <c r="L367">
        <v>1171.0661240243001</v>
      </c>
      <c r="M367">
        <v>23.529858868251601</v>
      </c>
      <c r="N367">
        <v>50.117907131246398</v>
      </c>
      <c r="O367">
        <v>49.414065528426299</v>
      </c>
      <c r="P367">
        <v>-0.110061397162767</v>
      </c>
      <c r="Q367">
        <v>7.5474602885240896E-2</v>
      </c>
      <c r="R367">
        <v>0.99223563924579505</v>
      </c>
      <c r="S367" t="s">
        <v>7013</v>
      </c>
      <c r="T367" t="s">
        <v>13290</v>
      </c>
      <c r="U367" t="s">
        <v>13290</v>
      </c>
      <c r="V367" t="s">
        <v>13290</v>
      </c>
      <c r="W367" t="s">
        <v>13652</v>
      </c>
      <c r="X367">
        <v>3</v>
      </c>
      <c r="Y367" t="s">
        <v>20240</v>
      </c>
      <c r="Z367" t="s">
        <v>26697</v>
      </c>
      <c r="AA367">
        <v>0.38585885938250608</v>
      </c>
      <c r="AB367" t="str">
        <f>HYPERLINK("Melting_Curves/meltCurve_C9JPP2_NKIRAS2.pdf", "Melting_Curves/meltCurve_C9JPP2_NKIRAS2.pdf")</f>
        <v>Melting_Curves/meltCurve_C9JPP2_NKIRAS2.pdf</v>
      </c>
    </row>
    <row r="368" spans="1:28" x14ac:dyDescent="0.25">
      <c r="A368" t="s">
        <v>372</v>
      </c>
      <c r="B368">
        <v>0.99252571173614901</v>
      </c>
      <c r="C368">
        <v>1.10193015987225</v>
      </c>
      <c r="D368">
        <v>1.0121200404655699</v>
      </c>
      <c r="E368">
        <v>0.93807987899248402</v>
      </c>
      <c r="F368">
        <v>0.78559739923111205</v>
      </c>
      <c r="G368">
        <v>0.62991045339351104</v>
      </c>
      <c r="H368">
        <v>0.57159620819944801</v>
      </c>
      <c r="I368">
        <v>0.59937193660632504</v>
      </c>
      <c r="J368">
        <v>0.60790423734816001</v>
      </c>
      <c r="K368">
        <v>0.47733589446700297</v>
      </c>
      <c r="L368">
        <v>1368.4512367116699</v>
      </c>
      <c r="M368">
        <v>25.659797115531401</v>
      </c>
      <c r="O368">
        <v>53.009809807283297</v>
      </c>
      <c r="P368">
        <v>-5.3680007167755298E-2</v>
      </c>
      <c r="Q368">
        <v>0.55642167419292998</v>
      </c>
      <c r="R368">
        <v>0.95245951508067195</v>
      </c>
      <c r="S368" t="s">
        <v>7014</v>
      </c>
      <c r="T368" t="s">
        <v>13290</v>
      </c>
      <c r="U368" t="s">
        <v>13290</v>
      </c>
      <c r="V368" t="s">
        <v>13290</v>
      </c>
      <c r="W368" t="s">
        <v>13653</v>
      </c>
      <c r="X368">
        <v>13</v>
      </c>
      <c r="Y368" t="s">
        <v>20241</v>
      </c>
      <c r="Z368" t="s">
        <v>26698</v>
      </c>
      <c r="AA368">
        <v>0.75742493736755589</v>
      </c>
      <c r="AB368" t="str">
        <f>HYPERLINK("Melting_Curves/meltCurve_C9JQ41_CCDC58.pdf", "Melting_Curves/meltCurve_C9JQ41_CCDC58.pdf")</f>
        <v>Melting_Curves/meltCurve_C9JQ41_CCDC58.pdf</v>
      </c>
    </row>
    <row r="369" spans="1:28" x14ac:dyDescent="0.25">
      <c r="A369" t="s">
        <v>373</v>
      </c>
      <c r="B369">
        <v>0.99252571173614901</v>
      </c>
      <c r="C369">
        <v>0.99684433022614405</v>
      </c>
      <c r="D369">
        <v>0.963376091118606</v>
      </c>
      <c r="E369">
        <v>0.86785606586446595</v>
      </c>
      <c r="F369">
        <v>0.82448420329676497</v>
      </c>
      <c r="G369">
        <v>0.73216111119188099</v>
      </c>
      <c r="H369">
        <v>0.66981300465667104</v>
      </c>
      <c r="I369">
        <v>0.677996577569703</v>
      </c>
      <c r="J369">
        <v>0.436428755531452</v>
      </c>
      <c r="K369">
        <v>0.178108965472035</v>
      </c>
      <c r="L369">
        <v>574.63813552235501</v>
      </c>
      <c r="M369">
        <v>8.8944924703389994</v>
      </c>
      <c r="N369">
        <v>64.606057540903194</v>
      </c>
      <c r="O369">
        <v>61.590550727816897</v>
      </c>
      <c r="P369">
        <v>-3.6130731288915599E-2</v>
      </c>
      <c r="Q369">
        <v>0</v>
      </c>
      <c r="R369">
        <v>0.90409594492487799</v>
      </c>
      <c r="S369" t="s">
        <v>7015</v>
      </c>
      <c r="T369" t="s">
        <v>13290</v>
      </c>
      <c r="U369" t="s">
        <v>13290</v>
      </c>
      <c r="V369" t="s">
        <v>13290</v>
      </c>
      <c r="W369" t="s">
        <v>13654</v>
      </c>
      <c r="X369">
        <v>4</v>
      </c>
      <c r="Y369" t="s">
        <v>20242</v>
      </c>
      <c r="Z369" t="s">
        <v>26699</v>
      </c>
      <c r="AA369">
        <v>0.76040820529726882</v>
      </c>
      <c r="AB369" t="str">
        <f>HYPERLINK("Melting_Curves/meltCurve_C9JQB1_NME6.pdf", "Melting_Curves/meltCurve_C9JQB1_NME6.pdf")</f>
        <v>Melting_Curves/meltCurve_C9JQB1_NME6.pdf</v>
      </c>
    </row>
    <row r="370" spans="1:28" x14ac:dyDescent="0.25">
      <c r="A370" t="s">
        <v>374</v>
      </c>
      <c r="B370">
        <v>0.99252571173614901</v>
      </c>
      <c r="C370">
        <v>1.0350602914895599</v>
      </c>
      <c r="D370">
        <v>1.0805568287927401</v>
      </c>
      <c r="E370">
        <v>0.76497523107221999</v>
      </c>
      <c r="F370">
        <v>0.362239773062418</v>
      </c>
      <c r="G370">
        <v>0.21118853270086599</v>
      </c>
      <c r="H370">
        <v>0.115752094927201</v>
      </c>
      <c r="I370">
        <v>0.105267777056042</v>
      </c>
      <c r="J370">
        <v>0.12486275568939099</v>
      </c>
      <c r="K370">
        <v>0.13538400258127101</v>
      </c>
      <c r="L370">
        <v>1574.4713490398501</v>
      </c>
      <c r="M370">
        <v>30.593162115576099</v>
      </c>
      <c r="N370">
        <v>51.958084113632601</v>
      </c>
      <c r="O370">
        <v>51.246417471811398</v>
      </c>
      <c r="P370">
        <v>-0.130436206784765</v>
      </c>
      <c r="Q370">
        <v>0.12603371911149999</v>
      </c>
      <c r="R370">
        <v>0.99066473376186304</v>
      </c>
      <c r="S370" t="s">
        <v>7016</v>
      </c>
      <c r="T370" t="s">
        <v>13290</v>
      </c>
      <c r="U370" t="s">
        <v>13290</v>
      </c>
      <c r="V370" t="s">
        <v>13290</v>
      </c>
      <c r="W370" t="s">
        <v>13655</v>
      </c>
      <c r="X370">
        <v>7</v>
      </c>
      <c r="Y370" t="s">
        <v>20243</v>
      </c>
      <c r="Z370" t="s">
        <v>26700</v>
      </c>
      <c r="AA370">
        <v>0.4653536855162258</v>
      </c>
      <c r="AB370" t="str">
        <f>HYPERLINK("Melting_Curves/meltCurve_C9JQD4_PPIH.pdf", "Melting_Curves/meltCurve_C9JQD4_PPIH.pdf")</f>
        <v>Melting_Curves/meltCurve_C9JQD4_PPIH.pdf</v>
      </c>
    </row>
    <row r="371" spans="1:28" x14ac:dyDescent="0.25">
      <c r="A371" t="s">
        <v>375</v>
      </c>
      <c r="B371">
        <v>0.99252571173614901</v>
      </c>
      <c r="C371">
        <v>0.75573394791585602</v>
      </c>
      <c r="D371">
        <v>0.55575353318837795</v>
      </c>
      <c r="E371">
        <v>0.365551626315545</v>
      </c>
      <c r="F371">
        <v>0.24571034851993301</v>
      </c>
      <c r="G371">
        <v>0.191354395930631</v>
      </c>
      <c r="H371">
        <v>9.7243302234067297E-2</v>
      </c>
      <c r="I371">
        <v>0.199418230831718</v>
      </c>
      <c r="J371">
        <v>0.215900114815258</v>
      </c>
      <c r="K371">
        <v>0.30731139528224999</v>
      </c>
      <c r="L371">
        <v>845.68789279268003</v>
      </c>
      <c r="M371">
        <v>18.636124235723099</v>
      </c>
      <c r="N371">
        <v>46.657096043441001</v>
      </c>
      <c r="O371">
        <v>44.866132944586802</v>
      </c>
      <c r="P371">
        <v>-8.3087354717060899E-2</v>
      </c>
      <c r="Q371">
        <v>0.199909201335187</v>
      </c>
      <c r="R371">
        <v>0.96014448975724298</v>
      </c>
      <c r="S371" t="s">
        <v>7017</v>
      </c>
      <c r="T371" t="s">
        <v>13290</v>
      </c>
      <c r="U371" t="s">
        <v>13290</v>
      </c>
      <c r="V371" t="s">
        <v>13290</v>
      </c>
      <c r="W371" t="s">
        <v>13656</v>
      </c>
      <c r="X371">
        <v>4</v>
      </c>
      <c r="Y371" t="s">
        <v>20244</v>
      </c>
      <c r="Z371" t="s">
        <v>26701</v>
      </c>
      <c r="AA371">
        <v>0.35868613438671282</v>
      </c>
      <c r="AB371" t="str">
        <f>HYPERLINK("Melting_Curves/meltCurve_C9JQV3_STK11IP.pdf", "Melting_Curves/meltCurve_C9JQV3_STK11IP.pdf")</f>
        <v>Melting_Curves/meltCurve_C9JQV3_STK11IP.pdf</v>
      </c>
    </row>
    <row r="372" spans="1:28" x14ac:dyDescent="0.25">
      <c r="A372" t="s">
        <v>376</v>
      </c>
      <c r="B372">
        <v>0.99252571173614901</v>
      </c>
      <c r="C372">
        <v>1.0142602929742599</v>
      </c>
      <c r="D372">
        <v>0.68683110270232395</v>
      </c>
      <c r="E372">
        <v>0.39334396757517298</v>
      </c>
      <c r="F372">
        <v>0.28718121263525898</v>
      </c>
      <c r="G372">
        <v>0.14001228387714301</v>
      </c>
      <c r="H372">
        <v>8.5505718932529395E-2</v>
      </c>
      <c r="I372">
        <v>4.2877630977976297E-2</v>
      </c>
      <c r="J372">
        <v>0</v>
      </c>
      <c r="K372">
        <v>5.75319782955033E-2</v>
      </c>
      <c r="L372">
        <v>822.62305686686796</v>
      </c>
      <c r="M372">
        <v>16.926301616282601</v>
      </c>
      <c r="N372">
        <v>48.852964290956201</v>
      </c>
      <c r="O372">
        <v>47.937122543107897</v>
      </c>
      <c r="P372">
        <v>-8.4579028899607597E-2</v>
      </c>
      <c r="Q372">
        <v>4.1912288250885901E-2</v>
      </c>
      <c r="R372">
        <v>0.98292248501399704</v>
      </c>
      <c r="S372" t="s">
        <v>7018</v>
      </c>
      <c r="T372" t="s">
        <v>13290</v>
      </c>
      <c r="U372" t="s">
        <v>13290</v>
      </c>
      <c r="V372" t="s">
        <v>13290</v>
      </c>
      <c r="W372" t="s">
        <v>13657</v>
      </c>
      <c r="X372">
        <v>2</v>
      </c>
      <c r="Y372" t="s">
        <v>20245</v>
      </c>
      <c r="Z372" t="s">
        <v>26702</v>
      </c>
      <c r="AA372">
        <v>0.33551626023341452</v>
      </c>
      <c r="AB372" t="str">
        <f>HYPERLINK("Melting_Curves/meltCurve_C9JR56_SATB2.pdf", "Melting_Curves/meltCurve_C9JR56_SATB2.pdf")</f>
        <v>Melting_Curves/meltCurve_C9JR56_SATB2.pdf</v>
      </c>
    </row>
    <row r="373" spans="1:28" x14ac:dyDescent="0.25">
      <c r="A373" t="s">
        <v>377</v>
      </c>
      <c r="B373">
        <v>0.99252571173614901</v>
      </c>
      <c r="C373">
        <v>0.87332414703615102</v>
      </c>
      <c r="D373">
        <v>0.75846139459270301</v>
      </c>
      <c r="E373">
        <v>0.61252346175036199</v>
      </c>
      <c r="F373">
        <v>0.23102991875906401</v>
      </c>
      <c r="G373">
        <v>9.4626537606439395E-2</v>
      </c>
      <c r="H373">
        <v>5.30477706252322E-2</v>
      </c>
      <c r="I373">
        <v>4.6349609404175901E-2</v>
      </c>
      <c r="J373">
        <v>5.4649465651359801E-2</v>
      </c>
      <c r="K373">
        <v>4.7486328805706898E-2</v>
      </c>
      <c r="L373">
        <v>808.77034222351995</v>
      </c>
      <c r="M373">
        <v>16.242411949529501</v>
      </c>
      <c r="N373">
        <v>49.899622389485003</v>
      </c>
      <c r="O373">
        <v>49.057296925325502</v>
      </c>
      <c r="P373">
        <v>-8.1376524555763205E-2</v>
      </c>
      <c r="Q373">
        <v>1.6939795499965798E-2</v>
      </c>
      <c r="R373">
        <v>0.98715074706718897</v>
      </c>
      <c r="S373" t="s">
        <v>7019</v>
      </c>
      <c r="T373" t="s">
        <v>13290</v>
      </c>
      <c r="U373" t="s">
        <v>13290</v>
      </c>
      <c r="V373" t="s">
        <v>13290</v>
      </c>
      <c r="W373" t="s">
        <v>13658</v>
      </c>
      <c r="X373">
        <v>4</v>
      </c>
      <c r="Y373" t="s">
        <v>20246</v>
      </c>
      <c r="Z373" t="s">
        <v>26703</v>
      </c>
      <c r="AA373">
        <v>0.35827724608660361</v>
      </c>
      <c r="AB373" t="str">
        <f>HYPERLINK("Melting_Curves/meltCurve_C9JRY4_SEC22A.pdf", "Melting_Curves/meltCurve_C9JRY4_SEC22A.pdf")</f>
        <v>Melting_Curves/meltCurve_C9JRY4_SEC22A.pdf</v>
      </c>
    </row>
    <row r="374" spans="1:28" x14ac:dyDescent="0.25">
      <c r="A374" t="s">
        <v>378</v>
      </c>
      <c r="B374">
        <v>0.99252571173614901</v>
      </c>
      <c r="C374">
        <v>0.90953928543479101</v>
      </c>
      <c r="D374">
        <v>0.85977346282308997</v>
      </c>
      <c r="E374">
        <v>0.88387458458391599</v>
      </c>
      <c r="F374">
        <v>0.65503975499672296</v>
      </c>
      <c r="G374">
        <v>0.48024030821557701</v>
      </c>
      <c r="H374">
        <v>0.51241973366114302</v>
      </c>
      <c r="I374">
        <v>0.79672489244064404</v>
      </c>
      <c r="J374">
        <v>1.64237481352425</v>
      </c>
      <c r="K374">
        <v>1.71836259919169</v>
      </c>
      <c r="L374">
        <v>7963.3386853961101</v>
      </c>
      <c r="M374">
        <v>121.400991964593</v>
      </c>
      <c r="O374">
        <v>65.577539865635202</v>
      </c>
      <c r="P374">
        <v>0.23140734481237801</v>
      </c>
      <c r="Q374">
        <v>1.5</v>
      </c>
      <c r="R374">
        <v>0.50417403534296101</v>
      </c>
      <c r="S374" t="s">
        <v>7020</v>
      </c>
      <c r="T374" t="s">
        <v>13290</v>
      </c>
      <c r="U374" t="s">
        <v>13290</v>
      </c>
      <c r="V374" t="s">
        <v>13290</v>
      </c>
      <c r="W374" t="s">
        <v>13659</v>
      </c>
      <c r="X374">
        <v>13</v>
      </c>
      <c r="Y374" t="s">
        <v>20247</v>
      </c>
      <c r="Z374" t="s">
        <v>26704</v>
      </c>
      <c r="AA374">
        <v>1.0731718480360519</v>
      </c>
      <c r="AB374" t="str">
        <f>HYPERLINK("Melting_Curves/meltCurve_C9JRZ6_CHCHD3.pdf", "Melting_Curves/meltCurve_C9JRZ6_CHCHD3.pdf")</f>
        <v>Melting_Curves/meltCurve_C9JRZ6_CHCHD3.pdf</v>
      </c>
    </row>
    <row r="375" spans="1:28" x14ac:dyDescent="0.25">
      <c r="A375" t="s">
        <v>379</v>
      </c>
      <c r="B375">
        <v>0.99252571173614901</v>
      </c>
      <c r="C375">
        <v>0.858792304433732</v>
      </c>
      <c r="D375">
        <v>0.77338686025108705</v>
      </c>
      <c r="E375">
        <v>0.198055230617151</v>
      </c>
      <c r="F375">
        <v>6.7913631200923502E-2</v>
      </c>
      <c r="G375">
        <v>3.38874269207117E-2</v>
      </c>
      <c r="H375">
        <v>3.0250636562147899E-2</v>
      </c>
      <c r="I375">
        <v>4.6548925421932903E-2</v>
      </c>
      <c r="J375">
        <v>8.3812184243808305E-2</v>
      </c>
      <c r="K375">
        <v>0.111191696566808</v>
      </c>
      <c r="L375">
        <v>1633.8165007248699</v>
      </c>
      <c r="M375">
        <v>34.533142258597003</v>
      </c>
      <c r="N375">
        <v>47.476992944529897</v>
      </c>
      <c r="O375">
        <v>47.153738176166101</v>
      </c>
      <c r="P375">
        <v>-0.17270954658906401</v>
      </c>
      <c r="Q375">
        <v>5.6689289502400902E-2</v>
      </c>
      <c r="R375">
        <v>0.98556320805208797</v>
      </c>
      <c r="S375" t="s">
        <v>7021</v>
      </c>
      <c r="T375" t="s">
        <v>13290</v>
      </c>
      <c r="U375" t="s">
        <v>13290</v>
      </c>
      <c r="V375" t="s">
        <v>13290</v>
      </c>
      <c r="W375" t="s">
        <v>13660</v>
      </c>
      <c r="X375">
        <v>2</v>
      </c>
      <c r="Y375" t="s">
        <v>20248</v>
      </c>
      <c r="Z375" t="s">
        <v>26705</v>
      </c>
      <c r="AA375">
        <v>0.29079610041186288</v>
      </c>
      <c r="AB375" t="str">
        <f>HYPERLINK("Melting_Curves/meltCurve_C9JS59_RNF123.pdf", "Melting_Curves/meltCurve_C9JS59_RNF123.pdf")</f>
        <v>Melting_Curves/meltCurve_C9JS59_RNF123.pdf</v>
      </c>
    </row>
    <row r="376" spans="1:28" x14ac:dyDescent="0.25">
      <c r="A376" t="s">
        <v>380</v>
      </c>
      <c r="B376">
        <v>0.99252571173614901</v>
      </c>
      <c r="C376">
        <v>1.2303135063769699</v>
      </c>
      <c r="D376">
        <v>0.90634891663509498</v>
      </c>
      <c r="E376">
        <v>1.34101871885555</v>
      </c>
      <c r="F376">
        <v>0.78594453006402598</v>
      </c>
      <c r="G376">
        <v>0.62018395135134896</v>
      </c>
      <c r="H376">
        <v>0.522440141661622</v>
      </c>
      <c r="I376">
        <v>0.69666769714993004</v>
      </c>
      <c r="J376">
        <v>0.46744439423488798</v>
      </c>
      <c r="K376">
        <v>0.25393342811819802</v>
      </c>
      <c r="L376">
        <v>2045.08263142442</v>
      </c>
      <c r="M376">
        <v>37.459386124932699</v>
      </c>
      <c r="N376">
        <v>60.330488940700803</v>
      </c>
      <c r="O376">
        <v>54.4397764128462</v>
      </c>
      <c r="P376">
        <v>-8.8453967531218494E-2</v>
      </c>
      <c r="Q376">
        <v>0.48580034510496201</v>
      </c>
      <c r="R376">
        <v>0.723009933029924</v>
      </c>
      <c r="S376" t="s">
        <v>7022</v>
      </c>
      <c r="T376" t="s">
        <v>13290</v>
      </c>
      <c r="U376" t="s">
        <v>13290</v>
      </c>
      <c r="V376" t="s">
        <v>13290</v>
      </c>
      <c r="W376" t="s">
        <v>13661</v>
      </c>
      <c r="X376">
        <v>1</v>
      </c>
      <c r="Y376" t="s">
        <v>20249</v>
      </c>
      <c r="Z376" t="s">
        <v>26706</v>
      </c>
      <c r="AA376">
        <v>0.7381571376900683</v>
      </c>
      <c r="AB376" t="str">
        <f>HYPERLINK("Melting_Curves/meltCurve_C9JSZ2_SLC46A1.pdf", "Melting_Curves/meltCurve_C9JSZ2_SLC46A1.pdf")</f>
        <v>Melting_Curves/meltCurve_C9JSZ2_SLC46A1.pdf</v>
      </c>
    </row>
    <row r="377" spans="1:28" x14ac:dyDescent="0.25">
      <c r="A377" t="s">
        <v>381</v>
      </c>
      <c r="B377">
        <v>0.99252571173614901</v>
      </c>
      <c r="C377">
        <v>2.3465647905964402</v>
      </c>
      <c r="D377">
        <v>0.65947812087712299</v>
      </c>
      <c r="E377">
        <v>4.0402870241292703</v>
      </c>
      <c r="F377">
        <v>0.330701370577204</v>
      </c>
      <c r="G377">
        <v>0.62155673748151496</v>
      </c>
      <c r="H377">
        <v>0.51225396842151005</v>
      </c>
      <c r="I377">
        <v>2.5794587965901199</v>
      </c>
      <c r="J377">
        <v>0.75798613635104195</v>
      </c>
      <c r="K377">
        <v>0.18399293433017799</v>
      </c>
      <c r="L377">
        <v>15000</v>
      </c>
      <c r="M377">
        <v>222.682620185714</v>
      </c>
      <c r="N377">
        <v>67.499345517367402</v>
      </c>
      <c r="O377">
        <v>67.355010269227407</v>
      </c>
      <c r="P377">
        <v>-0.674607650578401</v>
      </c>
      <c r="Q377">
        <v>0.18380329578188601</v>
      </c>
      <c r="R377">
        <v>-1.3318199380038901E-2</v>
      </c>
      <c r="S377" t="s">
        <v>7023</v>
      </c>
      <c r="T377" t="s">
        <v>13290</v>
      </c>
      <c r="U377" t="s">
        <v>13290</v>
      </c>
      <c r="V377" t="s">
        <v>13290</v>
      </c>
      <c r="W377" t="s">
        <v>13662</v>
      </c>
      <c r="X377">
        <v>1</v>
      </c>
      <c r="Y377" t="s">
        <v>20250</v>
      </c>
      <c r="Z377" t="s">
        <v>26707</v>
      </c>
      <c r="AA377">
        <v>0.92830634603850826</v>
      </c>
      <c r="AB377" t="str">
        <f>HYPERLINK("Melting_Curves/meltCurve_C9JUH5_SERP1.pdf", "Melting_Curves/meltCurve_C9JUH5_SERP1.pdf")</f>
        <v>Melting_Curves/meltCurve_C9JUH5_SERP1.pdf</v>
      </c>
    </row>
    <row r="378" spans="1:28" x14ac:dyDescent="0.25">
      <c r="A378" t="s">
        <v>382</v>
      </c>
      <c r="B378">
        <v>0.99252571173614901</v>
      </c>
      <c r="C378">
        <v>0.89369392750217802</v>
      </c>
      <c r="D378">
        <v>0.69943330006433302</v>
      </c>
      <c r="E378">
        <v>0.44396921598342698</v>
      </c>
      <c r="F378">
        <v>0.25966295057119698</v>
      </c>
      <c r="G378">
        <v>0.13833396771209899</v>
      </c>
      <c r="H378">
        <v>0.13477702404412201</v>
      </c>
      <c r="I378">
        <v>0.13680387348606399</v>
      </c>
      <c r="J378">
        <v>0.23904117378377401</v>
      </c>
      <c r="K378">
        <v>0.19042267238774699</v>
      </c>
      <c r="L378">
        <v>919.60840303690804</v>
      </c>
      <c r="M378">
        <v>19.353591163598999</v>
      </c>
      <c r="N378">
        <v>48.486648233941203</v>
      </c>
      <c r="O378">
        <v>47.017557619201902</v>
      </c>
      <c r="P378">
        <v>-8.63844953319447E-2</v>
      </c>
      <c r="Q378">
        <v>0.16058172729183501</v>
      </c>
      <c r="R378">
        <v>0.98664071461363101</v>
      </c>
      <c r="S378" t="s">
        <v>7024</v>
      </c>
      <c r="T378" t="s">
        <v>13290</v>
      </c>
      <c r="U378" t="s">
        <v>13290</v>
      </c>
      <c r="V378" t="s">
        <v>13290</v>
      </c>
      <c r="W378" t="s">
        <v>13663</v>
      </c>
      <c r="X378">
        <v>1</v>
      </c>
      <c r="Y378" t="s">
        <v>20251</v>
      </c>
      <c r="Z378" t="s">
        <v>26708</v>
      </c>
      <c r="AA378">
        <v>0.38384913643167201</v>
      </c>
      <c r="AB378" t="str">
        <f>HYPERLINK("Melting_Curves/meltCurve_C9JVP0_FOXJ3.pdf", "Melting_Curves/meltCurve_C9JVP0_FOXJ3.pdf")</f>
        <v>Melting_Curves/meltCurve_C9JVP0_FOXJ3.pdf</v>
      </c>
    </row>
    <row r="379" spans="1:28" x14ac:dyDescent="0.25">
      <c r="A379" t="s">
        <v>383</v>
      </c>
      <c r="B379">
        <v>0.99252571173614901</v>
      </c>
      <c r="C379">
        <v>0.94954417741568997</v>
      </c>
      <c r="D379">
        <v>0.84397249937417596</v>
      </c>
      <c r="E379">
        <v>0.68687980108580704</v>
      </c>
      <c r="F379">
        <v>0.54264897525592604</v>
      </c>
      <c r="G379">
        <v>0.34118078519612999</v>
      </c>
      <c r="H379">
        <v>0.25983491357271299</v>
      </c>
      <c r="I379">
        <v>0.238854060295634</v>
      </c>
      <c r="J379">
        <v>0.189105841563487</v>
      </c>
      <c r="K379">
        <v>0.180096217731501</v>
      </c>
      <c r="L379">
        <v>644.74159872578798</v>
      </c>
      <c r="M379">
        <v>12.407933742666</v>
      </c>
      <c r="N379">
        <v>53.447804163758498</v>
      </c>
      <c r="O379">
        <v>50.667692852039899</v>
      </c>
      <c r="P379">
        <v>-5.2303272846688301E-2</v>
      </c>
      <c r="Q379">
        <v>0.145860975169225</v>
      </c>
      <c r="R379">
        <v>0.99740775983592</v>
      </c>
      <c r="S379" t="s">
        <v>7025</v>
      </c>
      <c r="T379" t="s">
        <v>13290</v>
      </c>
      <c r="U379" t="s">
        <v>13290</v>
      </c>
      <c r="V379" t="s">
        <v>13290</v>
      </c>
      <c r="W379" t="s">
        <v>13664</v>
      </c>
      <c r="X379">
        <v>3</v>
      </c>
      <c r="Y379" t="s">
        <v>20252</v>
      </c>
      <c r="Z379" t="s">
        <v>26709</v>
      </c>
      <c r="AA379">
        <v>0.51152070481886414</v>
      </c>
      <c r="AB379" t="str">
        <f>HYPERLINK("Melting_Curves/meltCurve_C9JWU9_MEST.pdf", "Melting_Curves/meltCurve_C9JWU9_MEST.pdf")</f>
        <v>Melting_Curves/meltCurve_C9JWU9_MEST.pdf</v>
      </c>
    </row>
    <row r="380" spans="1:28" x14ac:dyDescent="0.25">
      <c r="A380" t="s">
        <v>384</v>
      </c>
      <c r="B380">
        <v>0.99252571173614901</v>
      </c>
      <c r="C380">
        <v>1.15148308596816</v>
      </c>
      <c r="D380">
        <v>0.93377991859023202</v>
      </c>
      <c r="E380">
        <v>0.81933853502755305</v>
      </c>
      <c r="F380">
        <v>0.72286075212786005</v>
      </c>
      <c r="G380">
        <v>0.466292575081178</v>
      </c>
      <c r="H380">
        <v>0.41879994278192501</v>
      </c>
      <c r="I380">
        <v>0.46591205775573202</v>
      </c>
      <c r="J380">
        <v>0.71787264377140503</v>
      </c>
      <c r="K380">
        <v>0.78287357607611996</v>
      </c>
      <c r="L380">
        <v>1477.1662385964501</v>
      </c>
      <c r="M380">
        <v>29.344125576365101</v>
      </c>
      <c r="O380">
        <v>50.107383897978103</v>
      </c>
      <c r="P380">
        <v>-6.1742439664316501E-2</v>
      </c>
      <c r="Q380">
        <v>0.57828298596493499</v>
      </c>
      <c r="R380">
        <v>0.72326664569850596</v>
      </c>
      <c r="S380" t="s">
        <v>7026</v>
      </c>
      <c r="T380" t="s">
        <v>13290</v>
      </c>
      <c r="U380" t="s">
        <v>13290</v>
      </c>
      <c r="V380" t="s">
        <v>13290</v>
      </c>
      <c r="W380" t="s">
        <v>13665</v>
      </c>
      <c r="X380">
        <v>2</v>
      </c>
      <c r="Y380" t="s">
        <v>20253</v>
      </c>
      <c r="Z380" t="s">
        <v>26710</v>
      </c>
      <c r="AA380">
        <v>0.72636899487029349</v>
      </c>
      <c r="AB380" t="str">
        <f>HYPERLINK("Melting_Curves/meltCurve_C9JYJ6_FILIP1L.pdf", "Melting_Curves/meltCurve_C9JYJ6_FILIP1L.pdf")</f>
        <v>Melting_Curves/meltCurve_C9JYJ6_FILIP1L.pdf</v>
      </c>
    </row>
    <row r="381" spans="1:28" x14ac:dyDescent="0.25">
      <c r="A381" t="s">
        <v>385</v>
      </c>
      <c r="B381">
        <v>0.99252571173614901</v>
      </c>
      <c r="C381">
        <v>0.99115567507593805</v>
      </c>
      <c r="D381">
        <v>0.97095679352655295</v>
      </c>
      <c r="E381">
        <v>1.1252581878561101</v>
      </c>
      <c r="F381">
        <v>1.0842754079425001</v>
      </c>
      <c r="G381">
        <v>0.79102450332395402</v>
      </c>
      <c r="H381">
        <v>0.429438993867514</v>
      </c>
      <c r="I381">
        <v>0.27141814080600302</v>
      </c>
      <c r="J381">
        <v>0.196068006953384</v>
      </c>
      <c r="K381">
        <v>0.17539752886204801</v>
      </c>
      <c r="L381">
        <v>1892.0432214618299</v>
      </c>
      <c r="M381">
        <v>32.004020667927399</v>
      </c>
      <c r="N381">
        <v>59.981312489580702</v>
      </c>
      <c r="O381">
        <v>58.889543591172497</v>
      </c>
      <c r="P381">
        <v>-0.110811334555556</v>
      </c>
      <c r="Q381">
        <v>0.18440303517430801</v>
      </c>
      <c r="R381">
        <v>0.97766772173942496</v>
      </c>
      <c r="S381" t="s">
        <v>7027</v>
      </c>
      <c r="T381" t="s">
        <v>13290</v>
      </c>
      <c r="U381" t="s">
        <v>13290</v>
      </c>
      <c r="V381" t="s">
        <v>13290</v>
      </c>
      <c r="W381" t="s">
        <v>13666</v>
      </c>
      <c r="X381">
        <v>4</v>
      </c>
      <c r="Y381" t="s">
        <v>20254</v>
      </c>
      <c r="Z381" t="s">
        <v>26711</v>
      </c>
      <c r="AA381">
        <v>0.70888967709980888</v>
      </c>
      <c r="AB381" t="str">
        <f>HYPERLINK("Melting_Curves/meltCurve_C9JYM0_POP7.pdf", "Melting_Curves/meltCurve_C9JYM0_POP7.pdf")</f>
        <v>Melting_Curves/meltCurve_C9JYM0_POP7.pdf</v>
      </c>
    </row>
    <row r="382" spans="1:28" x14ac:dyDescent="0.25">
      <c r="A382" t="s">
        <v>386</v>
      </c>
      <c r="B382">
        <v>0.99252571173614901</v>
      </c>
      <c r="C382">
        <v>0.89913856150017801</v>
      </c>
      <c r="D382">
        <v>0.76346173943158302</v>
      </c>
      <c r="E382">
        <v>0.51292176090494901</v>
      </c>
      <c r="F382">
        <v>0.53966948026321704</v>
      </c>
      <c r="G382">
        <v>0.43339119743731103</v>
      </c>
      <c r="H382">
        <v>0.34836036891483602</v>
      </c>
      <c r="I382">
        <v>0.47773414104599699</v>
      </c>
      <c r="J382">
        <v>0.78679394114836798</v>
      </c>
      <c r="K382">
        <v>0.79461810113077602</v>
      </c>
      <c r="L382">
        <v>1462.0110757784801</v>
      </c>
      <c r="M382">
        <v>32.253235235266601</v>
      </c>
      <c r="O382">
        <v>45.155944087428203</v>
      </c>
      <c r="P382">
        <v>-7.9467620727870406E-2</v>
      </c>
      <c r="Q382">
        <v>0.55496958517289496</v>
      </c>
      <c r="R382">
        <v>0.57520379860976101</v>
      </c>
      <c r="S382" t="s">
        <v>7028</v>
      </c>
      <c r="T382" t="s">
        <v>13290</v>
      </c>
      <c r="U382" t="s">
        <v>13290</v>
      </c>
      <c r="V382" t="s">
        <v>13290</v>
      </c>
      <c r="W382" t="s">
        <v>13667</v>
      </c>
      <c r="X382">
        <v>1</v>
      </c>
      <c r="Y382" t="s">
        <v>20255</v>
      </c>
      <c r="Z382" t="s">
        <v>26712</v>
      </c>
      <c r="AA382">
        <v>0.63638709438972185</v>
      </c>
      <c r="AB382" t="str">
        <f>HYPERLINK("Melting_Curves/meltCurve_C9JYN0_SYPL1.pdf", "Melting_Curves/meltCurve_C9JYN0_SYPL1.pdf")</f>
        <v>Melting_Curves/meltCurve_C9JYN0_SYPL1.pdf</v>
      </c>
    </row>
    <row r="383" spans="1:28" x14ac:dyDescent="0.25">
      <c r="A383" t="s">
        <v>387</v>
      </c>
      <c r="B383">
        <v>0.99252571173614901</v>
      </c>
      <c r="C383">
        <v>1.0116029228104699</v>
      </c>
      <c r="D383">
        <v>0.92927717318226699</v>
      </c>
      <c r="E383">
        <v>0.96955298801488599</v>
      </c>
      <c r="F383">
        <v>0.52217600265122599</v>
      </c>
      <c r="G383">
        <v>0.34330413049845299</v>
      </c>
      <c r="H383">
        <v>0.26677874174849497</v>
      </c>
      <c r="I383">
        <v>0.29358736518876799</v>
      </c>
      <c r="J383">
        <v>0.36549639825463698</v>
      </c>
      <c r="K383">
        <v>0.31739102997086399</v>
      </c>
      <c r="L383">
        <v>2709.1477295047098</v>
      </c>
      <c r="M383">
        <v>51.7409904650114</v>
      </c>
      <c r="N383">
        <v>53.3828790251494</v>
      </c>
      <c r="O383">
        <v>52.281761441494197</v>
      </c>
      <c r="P383">
        <v>-0.16959975745151401</v>
      </c>
      <c r="Q383">
        <v>0.31451123599493602</v>
      </c>
      <c r="R383">
        <v>0.98895851321726103</v>
      </c>
      <c r="S383" t="s">
        <v>7029</v>
      </c>
      <c r="T383" t="s">
        <v>13290</v>
      </c>
      <c r="U383" t="s">
        <v>13290</v>
      </c>
      <c r="V383" t="s">
        <v>13290</v>
      </c>
      <c r="W383" t="s">
        <v>13668</v>
      </c>
      <c r="X383">
        <v>15</v>
      </c>
      <c r="Y383" t="s">
        <v>20256</v>
      </c>
      <c r="Z383" t="s">
        <v>26713</v>
      </c>
      <c r="AA383">
        <v>0.59840577393449323</v>
      </c>
      <c r="AB383" t="str">
        <f>HYPERLINK("Melting_Curves/meltCurve_C9JYY6_NRCAM.pdf", "Melting_Curves/meltCurve_C9JYY6_NRCAM.pdf")</f>
        <v>Melting_Curves/meltCurve_C9JYY6_NRCAM.pdf</v>
      </c>
    </row>
    <row r="384" spans="1:28" x14ac:dyDescent="0.25">
      <c r="A384" t="s">
        <v>388</v>
      </c>
      <c r="B384">
        <v>0.99252571173614901</v>
      </c>
      <c r="C384">
        <v>0.69635099105007103</v>
      </c>
      <c r="D384">
        <v>0.70117212124009398</v>
      </c>
      <c r="E384">
        <v>0.691487362027008</v>
      </c>
      <c r="F384">
        <v>0.18151544624721899</v>
      </c>
      <c r="G384">
        <v>9.7502182396956502E-2</v>
      </c>
      <c r="H384">
        <v>5.9204092208717599E-2</v>
      </c>
      <c r="I384">
        <v>6.2312593710258699E-2</v>
      </c>
      <c r="J384">
        <v>6.6648762448218601E-2</v>
      </c>
      <c r="K384">
        <v>6.4228004469437106E-2</v>
      </c>
      <c r="L384">
        <v>604.01946565548099</v>
      </c>
      <c r="M384">
        <v>12.2402192473707</v>
      </c>
      <c r="N384">
        <v>49.347111629268099</v>
      </c>
      <c r="O384">
        <v>48.085411022681797</v>
      </c>
      <c r="P384">
        <v>-6.3652115095173795E-2</v>
      </c>
      <c r="Q384">
        <v>0</v>
      </c>
      <c r="R384">
        <v>0.92189674382834697</v>
      </c>
      <c r="S384" t="s">
        <v>7030</v>
      </c>
      <c r="T384" t="s">
        <v>13290</v>
      </c>
      <c r="U384" t="s">
        <v>13290</v>
      </c>
      <c r="V384" t="s">
        <v>13290</v>
      </c>
      <c r="W384" t="s">
        <v>13669</v>
      </c>
      <c r="X384">
        <v>3</v>
      </c>
      <c r="Y384" t="s">
        <v>20257</v>
      </c>
      <c r="Z384" t="s">
        <v>26714</v>
      </c>
      <c r="AA384">
        <v>0.34639358348479082</v>
      </c>
      <c r="AB384" t="str">
        <f>HYPERLINK("Melting_Curves/meltCurve_C9JZB0_INPP5K.pdf", "Melting_Curves/meltCurve_C9JZB0_INPP5K.pdf")</f>
        <v>Melting_Curves/meltCurve_C9JZB0_INPP5K.pdf</v>
      </c>
    </row>
    <row r="385" spans="1:28" x14ac:dyDescent="0.25">
      <c r="A385" t="s">
        <v>389</v>
      </c>
      <c r="B385">
        <v>0.99252571173614901</v>
      </c>
      <c r="C385">
        <v>1.0006838203595301</v>
      </c>
      <c r="D385">
        <v>1.0809280158985299</v>
      </c>
      <c r="E385">
        <v>1.0002650455823301</v>
      </c>
      <c r="F385">
        <v>0.35095850816517399</v>
      </c>
      <c r="G385">
        <v>0.20388430677630501</v>
      </c>
      <c r="H385">
        <v>0.111335937636131</v>
      </c>
      <c r="I385">
        <v>8.0773500114893801E-2</v>
      </c>
      <c r="J385">
        <v>8.2067968396433599E-2</v>
      </c>
      <c r="K385">
        <v>9.2368535815704797E-2</v>
      </c>
      <c r="L385">
        <v>3503.14535210657</v>
      </c>
      <c r="M385">
        <v>66.822932414277304</v>
      </c>
      <c r="N385">
        <v>52.624742191409297</v>
      </c>
      <c r="O385">
        <v>52.377407957827103</v>
      </c>
      <c r="P385">
        <v>-0.28311331774672599</v>
      </c>
      <c r="Q385">
        <v>0.11235637390976</v>
      </c>
      <c r="R385">
        <v>0.99095830366088999</v>
      </c>
      <c r="S385" t="s">
        <v>7031</v>
      </c>
      <c r="T385" t="s">
        <v>13290</v>
      </c>
      <c r="U385" t="s">
        <v>13290</v>
      </c>
      <c r="V385" t="s">
        <v>13290</v>
      </c>
      <c r="W385" t="s">
        <v>13670</v>
      </c>
      <c r="X385">
        <v>17</v>
      </c>
      <c r="Y385" t="s">
        <v>20258</v>
      </c>
      <c r="Z385" t="s">
        <v>26715</v>
      </c>
      <c r="AA385">
        <v>0.48111439627469321</v>
      </c>
      <c r="AB385" t="str">
        <f>HYPERLINK("Melting_Curves/meltCurve_C9JZI1_RFC4.pdf", "Melting_Curves/meltCurve_C9JZI1_RFC4.pdf")</f>
        <v>Melting_Curves/meltCurve_C9JZI1_RFC4.pdf</v>
      </c>
    </row>
    <row r="386" spans="1:28" x14ac:dyDescent="0.25">
      <c r="A386" t="s">
        <v>390</v>
      </c>
      <c r="B386">
        <v>0.99252571173614901</v>
      </c>
      <c r="C386">
        <v>0.98010253311608897</v>
      </c>
      <c r="D386">
        <v>0.92652243554663105</v>
      </c>
      <c r="E386">
        <v>0.86693842864217696</v>
      </c>
      <c r="F386">
        <v>0.73429275704091601</v>
      </c>
      <c r="G386">
        <v>0.35107232872541499</v>
      </c>
      <c r="H386">
        <v>0.16857153751728801</v>
      </c>
      <c r="I386">
        <v>9.7854273169472594E-2</v>
      </c>
      <c r="J386">
        <v>7.5037167888541201E-2</v>
      </c>
      <c r="K386">
        <v>7.8165557822965595E-2</v>
      </c>
      <c r="L386">
        <v>1122.93150232327</v>
      </c>
      <c r="M386">
        <v>20.414899943341101</v>
      </c>
      <c r="N386">
        <v>55.3049420203306</v>
      </c>
      <c r="O386">
        <v>54.485836052882199</v>
      </c>
      <c r="P386">
        <v>-8.8772056290561702E-2</v>
      </c>
      <c r="Q386">
        <v>5.23242942220455E-2</v>
      </c>
      <c r="R386">
        <v>0.99417937371769505</v>
      </c>
      <c r="S386" t="s">
        <v>7032</v>
      </c>
      <c r="T386" t="s">
        <v>13290</v>
      </c>
      <c r="U386" t="s">
        <v>13290</v>
      </c>
      <c r="V386" t="s">
        <v>13290</v>
      </c>
      <c r="W386" t="s">
        <v>13671</v>
      </c>
      <c r="X386">
        <v>3</v>
      </c>
      <c r="Y386" t="s">
        <v>20259</v>
      </c>
      <c r="Z386" t="s">
        <v>26716</v>
      </c>
      <c r="AA386">
        <v>0.5385664860845607</v>
      </c>
      <c r="AB386" t="str">
        <f>HYPERLINK("Melting_Curves/meltCurve_C9JZP6_DHRS2.pdf", "Melting_Curves/meltCurve_C9JZP6_DHRS2.pdf")</f>
        <v>Melting_Curves/meltCurve_C9JZP6_DHRS2.pdf</v>
      </c>
    </row>
    <row r="387" spans="1:28" x14ac:dyDescent="0.25">
      <c r="A387" t="s">
        <v>391</v>
      </c>
      <c r="B387">
        <v>0.99252571173614901</v>
      </c>
      <c r="C387">
        <v>1.0335208225296</v>
      </c>
      <c r="D387">
        <v>0.90764338595471505</v>
      </c>
      <c r="E387">
        <v>0.65973175068263401</v>
      </c>
      <c r="F387">
        <v>0.23520100422224599</v>
      </c>
      <c r="G387">
        <v>0.103183413039588</v>
      </c>
      <c r="H387">
        <v>7.8425404156486703E-2</v>
      </c>
      <c r="I387">
        <v>6.8601169334882597E-2</v>
      </c>
      <c r="J387">
        <v>8.2123379419166906E-2</v>
      </c>
      <c r="K387">
        <v>7.9284896274086705E-2</v>
      </c>
      <c r="L387">
        <v>1436.50804955851</v>
      </c>
      <c r="M387">
        <v>28.481821188509599</v>
      </c>
      <c r="N387">
        <v>50.713562742617299</v>
      </c>
      <c r="O387">
        <v>50.189293528122001</v>
      </c>
      <c r="P387">
        <v>-0.13163267251628599</v>
      </c>
      <c r="Q387">
        <v>7.2180420712404103E-2</v>
      </c>
      <c r="R387">
        <v>0.997857550122079</v>
      </c>
      <c r="S387" t="s">
        <v>7033</v>
      </c>
      <c r="T387" t="s">
        <v>13290</v>
      </c>
      <c r="U387" t="s">
        <v>13290</v>
      </c>
      <c r="V387" t="s">
        <v>13290</v>
      </c>
      <c r="W387" t="s">
        <v>13672</v>
      </c>
      <c r="X387">
        <v>21</v>
      </c>
      <c r="Y387" t="s">
        <v>20260</v>
      </c>
      <c r="Z387" t="s">
        <v>26717</v>
      </c>
      <c r="AA387">
        <v>0.40135321034392829</v>
      </c>
      <c r="AB387" t="str">
        <f>HYPERLINK("Melting_Curves/meltCurve_C9JZR4_ARFGAP3.pdf", "Melting_Curves/meltCurve_C9JZR4_ARFGAP3.pdf")</f>
        <v>Melting_Curves/meltCurve_C9JZR4_ARFGAP3.pdf</v>
      </c>
    </row>
    <row r="388" spans="1:28" x14ac:dyDescent="0.25">
      <c r="A388" t="s">
        <v>392</v>
      </c>
      <c r="B388">
        <v>0.99252571173614901</v>
      </c>
      <c r="C388">
        <v>0.60109624651433502</v>
      </c>
      <c r="D388">
        <v>0.18576827422747799</v>
      </c>
      <c r="E388">
        <v>9.4594807858131097E-2</v>
      </c>
      <c r="F388">
        <v>6.58447768437284E-2</v>
      </c>
      <c r="G388">
        <v>4.3349060456105003E-2</v>
      </c>
      <c r="H388">
        <v>3.4350807330564899E-2</v>
      </c>
      <c r="I388">
        <v>4.3305530972397997E-2</v>
      </c>
      <c r="J388">
        <v>4.2585418221452197E-2</v>
      </c>
      <c r="K388">
        <v>5.2196272844868899E-2</v>
      </c>
      <c r="L388">
        <v>1476.84308231566</v>
      </c>
      <c r="M388">
        <v>34.034313537646</v>
      </c>
      <c r="N388">
        <v>43.534637030504001</v>
      </c>
      <c r="O388">
        <v>43.243796646885002</v>
      </c>
      <c r="P388">
        <v>-0.186431910835233</v>
      </c>
      <c r="Q388">
        <v>5.2486992354698003E-2</v>
      </c>
      <c r="R388">
        <v>0.99592070402384303</v>
      </c>
      <c r="S388" t="s">
        <v>7034</v>
      </c>
      <c r="T388" t="s">
        <v>13290</v>
      </c>
      <c r="U388" t="s">
        <v>13290</v>
      </c>
      <c r="V388" t="s">
        <v>13290</v>
      </c>
      <c r="W388" t="s">
        <v>13673</v>
      </c>
      <c r="X388">
        <v>4</v>
      </c>
      <c r="Y388" t="s">
        <v>20261</v>
      </c>
      <c r="Z388" t="s">
        <v>26718</v>
      </c>
      <c r="AA388">
        <v>0.16534549824531869</v>
      </c>
      <c r="AB388" t="str">
        <f>HYPERLINK("Melting_Curves/meltCurve_C9JZY3_PCBP4.pdf", "Melting_Curves/meltCurve_C9JZY3_PCBP4.pdf")</f>
        <v>Melting_Curves/meltCurve_C9JZY3_PCBP4.pdf</v>
      </c>
    </row>
    <row r="389" spans="1:28" x14ac:dyDescent="0.25">
      <c r="A389" t="s">
        <v>393</v>
      </c>
      <c r="B389">
        <v>0.99252571173614901</v>
      </c>
      <c r="C389">
        <v>0.99945899296176499</v>
      </c>
      <c r="D389">
        <v>0.87605318831687895</v>
      </c>
      <c r="E389">
        <v>0.57936673802056204</v>
      </c>
      <c r="F389">
        <v>0.27214041862187899</v>
      </c>
      <c r="G389">
        <v>0.10628378618878</v>
      </c>
      <c r="H389">
        <v>5.5941115376676398E-2</v>
      </c>
      <c r="I389">
        <v>5.0194623187432397E-2</v>
      </c>
      <c r="J389">
        <v>5.44631744669389E-2</v>
      </c>
      <c r="K389">
        <v>4.8003501073039197E-2</v>
      </c>
      <c r="L389">
        <v>1082.9330953052499</v>
      </c>
      <c r="M389">
        <v>21.572472111870301</v>
      </c>
      <c r="N389">
        <v>50.407562191775497</v>
      </c>
      <c r="O389">
        <v>49.7743673093021</v>
      </c>
      <c r="P389">
        <v>-0.10374439037941199</v>
      </c>
      <c r="Q389">
        <v>4.2541471907971903E-2</v>
      </c>
      <c r="R389">
        <v>0.99939317683417395</v>
      </c>
      <c r="S389" t="s">
        <v>7035</v>
      </c>
      <c r="T389" t="s">
        <v>13290</v>
      </c>
      <c r="U389" t="s">
        <v>13290</v>
      </c>
      <c r="V389" t="s">
        <v>13290</v>
      </c>
      <c r="W389" t="s">
        <v>13674</v>
      </c>
      <c r="X389">
        <v>3</v>
      </c>
      <c r="Y389" t="s">
        <v>20262</v>
      </c>
      <c r="Z389" t="s">
        <v>26719</v>
      </c>
      <c r="AA389">
        <v>0.37956167600014168</v>
      </c>
      <c r="AB389" t="str">
        <f>HYPERLINK("Melting_Curves/meltCurve_C9JZY6_UBE2H.pdf", "Melting_Curves/meltCurve_C9JZY6_UBE2H.pdf")</f>
        <v>Melting_Curves/meltCurve_C9JZY6_UBE2H.pdf</v>
      </c>
    </row>
    <row r="390" spans="1:28" x14ac:dyDescent="0.25">
      <c r="A390" t="s">
        <v>394</v>
      </c>
      <c r="B390">
        <v>0.99252571173614901</v>
      </c>
      <c r="C390">
        <v>1.04389142258335</v>
      </c>
      <c r="D390">
        <v>0.99359034318633199</v>
      </c>
      <c r="E390">
        <v>0.89443078524283004</v>
      </c>
      <c r="F390">
        <v>0.67461507733433901</v>
      </c>
      <c r="G390">
        <v>0.36472773651512702</v>
      </c>
      <c r="H390">
        <v>0.35351077048289098</v>
      </c>
      <c r="I390">
        <v>0.24252427017224401</v>
      </c>
      <c r="J390">
        <v>0.34854746957932398</v>
      </c>
      <c r="K390">
        <v>0.27135025453974398</v>
      </c>
      <c r="L390">
        <v>1484.5434349217801</v>
      </c>
      <c r="M390">
        <v>27.871400816054901</v>
      </c>
      <c r="N390">
        <v>54.985909010627303</v>
      </c>
      <c r="O390">
        <v>52.992107593573003</v>
      </c>
      <c r="P390">
        <v>-9.3212108606382293E-2</v>
      </c>
      <c r="Q390">
        <v>0.29110667130321799</v>
      </c>
      <c r="R390">
        <v>0.98765350512420802</v>
      </c>
      <c r="S390" t="s">
        <v>7036</v>
      </c>
      <c r="T390" t="s">
        <v>13290</v>
      </c>
      <c r="U390" t="s">
        <v>13290</v>
      </c>
      <c r="V390" t="s">
        <v>13290</v>
      </c>
      <c r="W390" t="s">
        <v>13675</v>
      </c>
      <c r="X390">
        <v>2</v>
      </c>
      <c r="Y390" t="s">
        <v>20263</v>
      </c>
      <c r="Z390" t="s">
        <v>26720</v>
      </c>
      <c r="AA390">
        <v>0.60985408493976478</v>
      </c>
      <c r="AB390" t="str">
        <f>HYPERLINK("Melting_Curves/meltCurve_C9K0J5_RAPH1.pdf", "Melting_Curves/meltCurve_C9K0J5_RAPH1.pdf")</f>
        <v>Melting_Curves/meltCurve_C9K0J5_RAPH1.pdf</v>
      </c>
    </row>
    <row r="391" spans="1:28" x14ac:dyDescent="0.25">
      <c r="A391" t="s">
        <v>395</v>
      </c>
      <c r="B391">
        <v>0.99252571173614901</v>
      </c>
      <c r="C391">
        <v>0.99641216178065695</v>
      </c>
      <c r="D391">
        <v>0.95369129055387303</v>
      </c>
      <c r="E391">
        <v>0.84866769873633197</v>
      </c>
      <c r="F391">
        <v>0.539377632406012</v>
      </c>
      <c r="G391">
        <v>0.38575326529255</v>
      </c>
      <c r="H391">
        <v>0.41108224295297802</v>
      </c>
      <c r="I391">
        <v>0.52455565401654902</v>
      </c>
      <c r="J391">
        <v>0.60296520425873801</v>
      </c>
      <c r="K391">
        <v>0.69947373073966301</v>
      </c>
      <c r="L391">
        <v>3121.6108664452199</v>
      </c>
      <c r="M391">
        <v>62.185613357891199</v>
      </c>
      <c r="O391">
        <v>50.146447746189097</v>
      </c>
      <c r="P391">
        <v>-0.14729458289272199</v>
      </c>
      <c r="Q391">
        <v>0.52488707330804696</v>
      </c>
      <c r="R391">
        <v>0.86010859269629303</v>
      </c>
      <c r="S391" t="s">
        <v>7037</v>
      </c>
      <c r="T391" t="s">
        <v>13290</v>
      </c>
      <c r="U391" t="s">
        <v>13290</v>
      </c>
      <c r="V391" t="s">
        <v>13290</v>
      </c>
      <c r="W391" t="s">
        <v>13676</v>
      </c>
      <c r="X391">
        <v>16</v>
      </c>
      <c r="Y391" t="s">
        <v>20264</v>
      </c>
      <c r="Z391" t="s">
        <v>26721</v>
      </c>
      <c r="AA391">
        <v>0.68707701128942877</v>
      </c>
      <c r="AB391" t="str">
        <f>HYPERLINK("Melting_Curves/meltCurve_D0UFD3_PrLZ.pdf", "Melting_Curves/meltCurve_D0UFD3_PrLZ.pdf")</f>
        <v>Melting_Curves/meltCurve_D0UFD3_PrLZ.pdf</v>
      </c>
    </row>
    <row r="392" spans="1:28" x14ac:dyDescent="0.25">
      <c r="A392" t="s">
        <v>396</v>
      </c>
      <c r="B392">
        <v>0.99252571173614901</v>
      </c>
      <c r="C392">
        <v>0.95716273384290496</v>
      </c>
      <c r="D392">
        <v>0.46259939499080599</v>
      </c>
      <c r="E392">
        <v>0.14942048965442301</v>
      </c>
      <c r="F392">
        <v>8.4575428001306199E-2</v>
      </c>
      <c r="G392">
        <v>4.4019218069647099E-2</v>
      </c>
      <c r="H392">
        <v>3.2900965491834903E-2</v>
      </c>
      <c r="I392">
        <v>3.27955106098691E-2</v>
      </c>
      <c r="J392">
        <v>3.6478737613380101E-2</v>
      </c>
      <c r="K392">
        <v>3.7392703903528599E-2</v>
      </c>
      <c r="L392">
        <v>1628.15670206353</v>
      </c>
      <c r="M392">
        <v>35.561738158525301</v>
      </c>
      <c r="N392">
        <v>45.915967460392999</v>
      </c>
      <c r="O392">
        <v>45.639892756922201</v>
      </c>
      <c r="P392">
        <v>-0.18532919615437601</v>
      </c>
      <c r="Q392">
        <v>4.8598079451008497E-2</v>
      </c>
      <c r="R392">
        <v>0.99602885055540502</v>
      </c>
      <c r="S392" t="s">
        <v>7038</v>
      </c>
      <c r="T392" t="s">
        <v>13290</v>
      </c>
      <c r="U392" t="s">
        <v>13290</v>
      </c>
      <c r="V392" t="s">
        <v>13290</v>
      </c>
      <c r="W392" t="s">
        <v>13677</v>
      </c>
      <c r="X392">
        <v>36</v>
      </c>
      <c r="Y392" t="s">
        <v>20265</v>
      </c>
      <c r="Z392" t="s">
        <v>26722</v>
      </c>
      <c r="AA392">
        <v>0.23601899890475109</v>
      </c>
      <c r="AB392" t="str">
        <f>HYPERLINK("Melting_Curves/meltCurve_D3DQV9_EIF4G2.pdf", "Melting_Curves/meltCurve_D3DQV9_EIF4G2.pdf")</f>
        <v>Melting_Curves/meltCurve_D3DQV9_EIF4G2.pdf</v>
      </c>
    </row>
    <row r="393" spans="1:28" x14ac:dyDescent="0.25">
      <c r="A393" t="s">
        <v>397</v>
      </c>
      <c r="B393">
        <v>0.99252571173614901</v>
      </c>
      <c r="C393">
        <v>0.99776204902148102</v>
      </c>
      <c r="D393">
        <v>0.79827095276082904</v>
      </c>
      <c r="E393">
        <v>0.69502538698583605</v>
      </c>
      <c r="F393">
        <v>0.49993850448071397</v>
      </c>
      <c r="G393">
        <v>0.264676918938269</v>
      </c>
      <c r="H393">
        <v>0.20667019306225901</v>
      </c>
      <c r="I393">
        <v>0.20822867411874199</v>
      </c>
      <c r="J393">
        <v>0.23072114985348199</v>
      </c>
      <c r="K393">
        <v>0.26605375110188201</v>
      </c>
      <c r="L393">
        <v>826.55321462723498</v>
      </c>
      <c r="M393">
        <v>16.321717363587702</v>
      </c>
      <c r="N393">
        <v>52.292989952363897</v>
      </c>
      <c r="O393">
        <v>49.8994277078382</v>
      </c>
      <c r="P393">
        <v>-6.5308252639566494E-2</v>
      </c>
      <c r="Q393">
        <v>0.20140561178136199</v>
      </c>
      <c r="R393">
        <v>0.98121166283916605</v>
      </c>
      <c r="S393" t="s">
        <v>7039</v>
      </c>
      <c r="T393" t="s">
        <v>13290</v>
      </c>
      <c r="U393" t="s">
        <v>13290</v>
      </c>
      <c r="V393" t="s">
        <v>13290</v>
      </c>
      <c r="W393" t="s">
        <v>13678</v>
      </c>
      <c r="X393">
        <v>1</v>
      </c>
      <c r="Y393" t="s">
        <v>20266</v>
      </c>
      <c r="Z393" t="s">
        <v>26723</v>
      </c>
      <c r="AA393">
        <v>0.50079618635787593</v>
      </c>
      <c r="AB393" t="str">
        <f>HYPERLINK("Melting_Curves/meltCurve_D3DQZ6_ZCSL3.pdf", "Melting_Curves/meltCurve_D3DQZ6_ZCSL3.pdf")</f>
        <v>Melting_Curves/meltCurve_D3DQZ6_ZCSL3.pdf</v>
      </c>
    </row>
    <row r="394" spans="1:28" x14ac:dyDescent="0.25">
      <c r="A394" t="s">
        <v>398</v>
      </c>
      <c r="B394">
        <v>0.99252571173614901</v>
      </c>
      <c r="C394">
        <v>0.87989120315691105</v>
      </c>
      <c r="D394">
        <v>0.84052854914077102</v>
      </c>
      <c r="E394">
        <v>0.80309517586991697</v>
      </c>
      <c r="F394">
        <v>0.51598575000802904</v>
      </c>
      <c r="G394">
        <v>0.219631558194049</v>
      </c>
      <c r="H394">
        <v>0.14139539932768899</v>
      </c>
      <c r="I394">
        <v>0.13643909202518101</v>
      </c>
      <c r="J394">
        <v>0.18504545252308899</v>
      </c>
      <c r="K394">
        <v>0.165055373476482</v>
      </c>
      <c r="L394">
        <v>967.13140643374197</v>
      </c>
      <c r="M394">
        <v>18.569665074783799</v>
      </c>
      <c r="N394">
        <v>52.907409187988101</v>
      </c>
      <c r="O394">
        <v>51.488544537771503</v>
      </c>
      <c r="P394">
        <v>-7.8819511594315897E-2</v>
      </c>
      <c r="Q394">
        <v>0.125859346830209</v>
      </c>
      <c r="R394">
        <v>0.97234642341895605</v>
      </c>
      <c r="S394" t="s">
        <v>7040</v>
      </c>
      <c r="T394" t="s">
        <v>13290</v>
      </c>
      <c r="U394" t="s">
        <v>13290</v>
      </c>
      <c r="V394" t="s">
        <v>13290</v>
      </c>
      <c r="W394" t="s">
        <v>13679</v>
      </c>
      <c r="X394">
        <v>12</v>
      </c>
      <c r="Y394" t="s">
        <v>20267</v>
      </c>
      <c r="Z394" t="s">
        <v>26724</v>
      </c>
      <c r="AA394">
        <v>0.49165865832428968</v>
      </c>
      <c r="AB394" t="str">
        <f>HYPERLINK("Melting_Curves/meltCurve_D3K174_SLC4A7.pdf", "Melting_Curves/meltCurve_D3K174_SLC4A7.pdf")</f>
        <v>Melting_Curves/meltCurve_D3K174_SLC4A7.pdf</v>
      </c>
    </row>
    <row r="395" spans="1:28" x14ac:dyDescent="0.25">
      <c r="A395" t="s">
        <v>399</v>
      </c>
      <c r="B395">
        <v>0.99252571173614901</v>
      </c>
      <c r="C395">
        <v>1.06383142595517</v>
      </c>
      <c r="D395">
        <v>1.0496850870871299</v>
      </c>
      <c r="E395">
        <v>1.16878110776876</v>
      </c>
      <c r="F395">
        <v>0.91323041002083805</v>
      </c>
      <c r="G395">
        <v>0.417836317604042</v>
      </c>
      <c r="H395">
        <v>0.149658375720921</v>
      </c>
      <c r="I395">
        <v>0.14669830274498399</v>
      </c>
      <c r="J395">
        <v>0.19758769121362099</v>
      </c>
      <c r="K395">
        <v>0.19295901854546599</v>
      </c>
      <c r="L395">
        <v>2762.75106845252</v>
      </c>
      <c r="M395">
        <v>49.533832286870698</v>
      </c>
      <c r="N395">
        <v>56.243761186015</v>
      </c>
      <c r="O395">
        <v>55.684350419296599</v>
      </c>
      <c r="P395">
        <v>-0.18477997939496599</v>
      </c>
      <c r="Q395">
        <v>0.16910575559683</v>
      </c>
      <c r="R395">
        <v>0.97771932626152502</v>
      </c>
      <c r="S395" t="s">
        <v>7041</v>
      </c>
      <c r="T395" t="s">
        <v>13290</v>
      </c>
      <c r="U395" t="s">
        <v>13290</v>
      </c>
      <c r="V395" t="s">
        <v>13290</v>
      </c>
      <c r="W395" t="s">
        <v>13680</v>
      </c>
      <c r="X395">
        <v>6</v>
      </c>
      <c r="Y395" t="s">
        <v>20268</v>
      </c>
      <c r="Z395" t="s">
        <v>26725</v>
      </c>
      <c r="AA395">
        <v>0.60809941970980497</v>
      </c>
      <c r="AB395" t="str">
        <f>HYPERLINK("Melting_Curves/meltCurve_D3YTB1_RPL32.pdf", "Melting_Curves/meltCurve_D3YTB1_RPL32.pdf")</f>
        <v>Melting_Curves/meltCurve_D3YTB1_RPL32.pdf</v>
      </c>
    </row>
    <row r="396" spans="1:28" x14ac:dyDescent="0.25">
      <c r="A396" t="s">
        <v>400</v>
      </c>
      <c r="B396">
        <v>0.99252571173614901</v>
      </c>
      <c r="C396">
        <v>1.0056041156447699</v>
      </c>
      <c r="D396">
        <v>0.93630540987441802</v>
      </c>
      <c r="E396">
        <v>0.70868136100686197</v>
      </c>
      <c r="F396">
        <v>0.31454938656189502</v>
      </c>
      <c r="G396">
        <v>0.142309834520644</v>
      </c>
      <c r="H396">
        <v>6.1792270685111103E-2</v>
      </c>
      <c r="I396">
        <v>4.5900475301083703E-2</v>
      </c>
      <c r="J396">
        <v>3.8456181770315498E-2</v>
      </c>
      <c r="K396">
        <v>2.26940870880274E-2</v>
      </c>
      <c r="L396">
        <v>1201.6169106971199</v>
      </c>
      <c r="M396">
        <v>23.416533427943001</v>
      </c>
      <c r="N396">
        <v>51.471297739670497</v>
      </c>
      <c r="O396">
        <v>50.945042661711497</v>
      </c>
      <c r="P396">
        <v>-0.110966544546006</v>
      </c>
      <c r="Q396">
        <v>3.43408510061688E-2</v>
      </c>
      <c r="R396">
        <v>0.99942255015454395</v>
      </c>
      <c r="S396" t="s">
        <v>7042</v>
      </c>
      <c r="T396" t="s">
        <v>13290</v>
      </c>
      <c r="U396" t="s">
        <v>13290</v>
      </c>
      <c r="V396" t="s">
        <v>13290</v>
      </c>
      <c r="W396" t="s">
        <v>13681</v>
      </c>
      <c r="X396">
        <v>2</v>
      </c>
      <c r="Y396" t="s">
        <v>20269</v>
      </c>
      <c r="Z396" t="s">
        <v>26726</v>
      </c>
      <c r="AA396">
        <v>0.4084917408928056</v>
      </c>
      <c r="AB396" t="str">
        <f>HYPERLINK("Melting_Curves/meltCurve_D3YTG6_NDOR1.pdf", "Melting_Curves/meltCurve_D3YTG6_NDOR1.pdf")</f>
        <v>Melting_Curves/meltCurve_D3YTG6_NDOR1.pdf</v>
      </c>
    </row>
    <row r="397" spans="1:28" x14ac:dyDescent="0.25">
      <c r="A397" t="s">
        <v>401</v>
      </c>
      <c r="B397">
        <v>0.99252571173614901</v>
      </c>
      <c r="C397">
        <v>0.98401682899985499</v>
      </c>
      <c r="D397">
        <v>0.92286913647587099</v>
      </c>
      <c r="E397">
        <v>0.84418510456249196</v>
      </c>
      <c r="F397">
        <v>0.22824235881191399</v>
      </c>
      <c r="G397">
        <v>0.11404921007777399</v>
      </c>
      <c r="H397">
        <v>9.9767136545226606E-2</v>
      </c>
      <c r="I397">
        <v>0.117027150276103</v>
      </c>
      <c r="J397">
        <v>0.170087504548049</v>
      </c>
      <c r="K397">
        <v>0.16257054489397799</v>
      </c>
      <c r="L397">
        <v>2615.9343083134499</v>
      </c>
      <c r="M397">
        <v>51.243938560493199</v>
      </c>
      <c r="N397">
        <v>51.354937942993402</v>
      </c>
      <c r="O397">
        <v>50.971095134160301</v>
      </c>
      <c r="P397">
        <v>-0.21824391373218399</v>
      </c>
      <c r="Q397">
        <v>0.13167309885459999</v>
      </c>
      <c r="R397">
        <v>0.99340597083948801</v>
      </c>
      <c r="S397" t="s">
        <v>7043</v>
      </c>
      <c r="T397" t="s">
        <v>13290</v>
      </c>
      <c r="U397" t="s">
        <v>13290</v>
      </c>
      <c r="V397" t="s">
        <v>13290</v>
      </c>
      <c r="W397" t="s">
        <v>13682</v>
      </c>
      <c r="X397">
        <v>5</v>
      </c>
      <c r="Y397" t="s">
        <v>20270</v>
      </c>
      <c r="Z397" t="s">
        <v>26727</v>
      </c>
      <c r="AA397">
        <v>0.45332896500498709</v>
      </c>
      <c r="AB397" t="str">
        <f>HYPERLINK("Melting_Curves/meltCurve_D3YTI9_TAPBP.pdf", "Melting_Curves/meltCurve_D3YTI9_TAPBP.pdf")</f>
        <v>Melting_Curves/meltCurve_D3YTI9_TAPBP.pdf</v>
      </c>
    </row>
    <row r="398" spans="1:28" x14ac:dyDescent="0.25">
      <c r="A398" t="s">
        <v>402</v>
      </c>
      <c r="B398">
        <v>0.99252571173614901</v>
      </c>
      <c r="C398">
        <v>0.885906205155225</v>
      </c>
      <c r="D398">
        <v>1.1790833221747199</v>
      </c>
      <c r="E398">
        <v>0.97938751183012596</v>
      </c>
      <c r="F398">
        <v>0.34311977200739302</v>
      </c>
      <c r="G398">
        <v>0.21242130854879901</v>
      </c>
      <c r="H398">
        <v>0.15994738256761901</v>
      </c>
      <c r="I398">
        <v>0.179676543877445</v>
      </c>
      <c r="J398">
        <v>0.244333242872598</v>
      </c>
      <c r="K398">
        <v>0.239565900670933</v>
      </c>
      <c r="L398">
        <v>3836.5755332623798</v>
      </c>
      <c r="M398">
        <v>73.688903459803797</v>
      </c>
      <c r="N398">
        <v>52.444474886065898</v>
      </c>
      <c r="O398">
        <v>52.026189150472497</v>
      </c>
      <c r="P398">
        <v>-0.28085348894668499</v>
      </c>
      <c r="Q398">
        <v>0.206842095473035</v>
      </c>
      <c r="R398">
        <v>0.966801151712678</v>
      </c>
      <c r="S398" t="s">
        <v>7044</v>
      </c>
      <c r="T398" t="s">
        <v>13290</v>
      </c>
      <c r="U398" t="s">
        <v>13290</v>
      </c>
      <c r="V398" t="s">
        <v>13290</v>
      </c>
      <c r="W398" t="s">
        <v>13683</v>
      </c>
      <c r="X398">
        <v>5</v>
      </c>
      <c r="Y398" t="s">
        <v>20271</v>
      </c>
      <c r="Z398" t="s">
        <v>26728</v>
      </c>
      <c r="AA398">
        <v>0.52664652193730099</v>
      </c>
      <c r="AB398" t="str">
        <f>HYPERLINK("Melting_Curves/meltCurve_D6R938_CAMK2D.pdf", "Melting_Curves/meltCurve_D6R938_CAMK2D.pdf")</f>
        <v>Melting_Curves/meltCurve_D6R938_CAMK2D.pdf</v>
      </c>
    </row>
    <row r="399" spans="1:28" x14ac:dyDescent="0.25">
      <c r="A399" t="s">
        <v>403</v>
      </c>
      <c r="B399">
        <v>0.99252571173614901</v>
      </c>
      <c r="C399">
        <v>0.83013773541459601</v>
      </c>
      <c r="D399">
        <v>0.65857029015957602</v>
      </c>
      <c r="E399">
        <v>0.494381370311478</v>
      </c>
      <c r="F399">
        <v>0.35739224853317902</v>
      </c>
      <c r="G399">
        <v>0.268539881158956</v>
      </c>
      <c r="H399">
        <v>0.21182381531847899</v>
      </c>
      <c r="I399">
        <v>0.27835155794906302</v>
      </c>
      <c r="J399">
        <v>0.38900582692178098</v>
      </c>
      <c r="K399">
        <v>0.442864322220412</v>
      </c>
      <c r="L399">
        <v>871.21364515745199</v>
      </c>
      <c r="M399">
        <v>18.940973630124301</v>
      </c>
      <c r="N399">
        <v>48.566687475475902</v>
      </c>
      <c r="O399">
        <v>45.492744285571099</v>
      </c>
      <c r="P399">
        <v>-7.1145462573190599E-2</v>
      </c>
      <c r="Q399">
        <v>0.31651425554455598</v>
      </c>
      <c r="R399">
        <v>0.92847785183129805</v>
      </c>
      <c r="S399" t="s">
        <v>7045</v>
      </c>
      <c r="T399" t="s">
        <v>13290</v>
      </c>
      <c r="U399" t="s">
        <v>13290</v>
      </c>
      <c r="V399" t="s">
        <v>13290</v>
      </c>
      <c r="W399" t="s">
        <v>13684</v>
      </c>
      <c r="X399">
        <v>1</v>
      </c>
      <c r="Y399" t="s">
        <v>20272</v>
      </c>
      <c r="Z399" t="s">
        <v>26729</v>
      </c>
      <c r="AA399">
        <v>0.46509036364040779</v>
      </c>
      <c r="AB399" t="str">
        <f>HYPERLINK("Melting_Curves/meltCurve_D6R9S4_MLF1IP.pdf", "Melting_Curves/meltCurve_D6R9S4_MLF1IP.pdf")</f>
        <v>Melting_Curves/meltCurve_D6R9S4_MLF1IP.pdf</v>
      </c>
    </row>
    <row r="400" spans="1:28" x14ac:dyDescent="0.25">
      <c r="A400" t="s">
        <v>404</v>
      </c>
      <c r="B400">
        <v>0.99252571173614901</v>
      </c>
      <c r="C400">
        <v>1.0006651212400699</v>
      </c>
      <c r="D400">
        <v>0.94614325930436505</v>
      </c>
      <c r="E400">
        <v>1.0131522310969101</v>
      </c>
      <c r="F400">
        <v>0.87504943792610601</v>
      </c>
      <c r="G400">
        <v>0.58508577049217003</v>
      </c>
      <c r="H400">
        <v>0.46730347049605703</v>
      </c>
      <c r="I400">
        <v>0.58405196704836104</v>
      </c>
      <c r="J400">
        <v>0.945749734322471</v>
      </c>
      <c r="K400">
        <v>1.3466780981839801</v>
      </c>
      <c r="L400">
        <v>13282.114633413301</v>
      </c>
      <c r="M400">
        <v>250</v>
      </c>
      <c r="O400">
        <v>53.125034374999998</v>
      </c>
      <c r="P400">
        <v>-0.252030525433456</v>
      </c>
      <c r="Q400">
        <v>0.78577381636751797</v>
      </c>
      <c r="R400">
        <v>0.14675640457132499</v>
      </c>
      <c r="S400" t="s">
        <v>7046</v>
      </c>
      <c r="T400" t="s">
        <v>13290</v>
      </c>
      <c r="U400" t="s">
        <v>13290</v>
      </c>
      <c r="V400" t="s">
        <v>13290</v>
      </c>
      <c r="W400" t="s">
        <v>13685</v>
      </c>
      <c r="X400">
        <v>4</v>
      </c>
      <c r="Y400" t="s">
        <v>20273</v>
      </c>
      <c r="Z400" t="s">
        <v>26730</v>
      </c>
      <c r="AA400">
        <v>0.87954244302307705</v>
      </c>
      <c r="AB400" t="str">
        <f>HYPERLINK("Melting_Curves/meltCurve_D6R9U7_POLR3G.pdf", "Melting_Curves/meltCurve_D6R9U7_POLR3G.pdf")</f>
        <v>Melting_Curves/meltCurve_D6R9U7_POLR3G.pdf</v>
      </c>
    </row>
    <row r="401" spans="1:28" x14ac:dyDescent="0.25">
      <c r="A401" t="s">
        <v>405</v>
      </c>
      <c r="B401">
        <v>0.99252571173614901</v>
      </c>
      <c r="C401">
        <v>0.92238535106981601</v>
      </c>
      <c r="D401">
        <v>0.93022040868713995</v>
      </c>
      <c r="E401">
        <v>0.74828893244941097</v>
      </c>
      <c r="F401">
        <v>1.11530692307653</v>
      </c>
      <c r="G401">
        <v>0.62443709823057603</v>
      </c>
      <c r="H401">
        <v>0.17769248612409999</v>
      </c>
      <c r="I401">
        <v>0.15670225648109001</v>
      </c>
      <c r="J401">
        <v>0.14796801734175699</v>
      </c>
      <c r="K401">
        <v>0.13310976731455801</v>
      </c>
      <c r="L401">
        <v>14212.809349945301</v>
      </c>
      <c r="M401">
        <v>250</v>
      </c>
      <c r="N401">
        <v>56.935002939330197</v>
      </c>
      <c r="O401">
        <v>56.847589876841397</v>
      </c>
      <c r="P401">
        <v>-0.93026343681238299</v>
      </c>
      <c r="Q401">
        <v>0.15386811107280601</v>
      </c>
      <c r="R401">
        <v>0.93895397186473195</v>
      </c>
      <c r="S401" t="s">
        <v>7047</v>
      </c>
      <c r="T401" t="s">
        <v>13290</v>
      </c>
      <c r="U401" t="s">
        <v>13290</v>
      </c>
      <c r="V401" t="s">
        <v>13290</v>
      </c>
      <c r="W401" t="s">
        <v>13686</v>
      </c>
      <c r="X401">
        <v>1</v>
      </c>
      <c r="Y401" t="s">
        <v>20274</v>
      </c>
      <c r="Z401" t="s">
        <v>26731</v>
      </c>
      <c r="AA401">
        <v>0.62923150994884269</v>
      </c>
      <c r="AB401" t="str">
        <f>HYPERLINK("Melting_Curves/meltCurve_D6RAC5_SSBP2.pdf", "Melting_Curves/meltCurve_D6RAC5_SSBP2.pdf")</f>
        <v>Melting_Curves/meltCurve_D6RAC5_SSBP2.pdf</v>
      </c>
    </row>
    <row r="402" spans="1:28" x14ac:dyDescent="0.25">
      <c r="A402" t="s">
        <v>406</v>
      </c>
      <c r="B402">
        <v>0.99252571173614901</v>
      </c>
      <c r="C402">
        <v>0.88756641313321205</v>
      </c>
      <c r="D402">
        <v>0.860790820577372</v>
      </c>
      <c r="E402">
        <v>0.69596397427454404</v>
      </c>
      <c r="F402">
        <v>0.45607328806131903</v>
      </c>
      <c r="G402">
        <v>0.170045735104187</v>
      </c>
      <c r="H402">
        <v>7.7682305750223501E-2</v>
      </c>
      <c r="I402">
        <v>7.3389098427954796E-2</v>
      </c>
      <c r="J402">
        <v>0.116647364367155</v>
      </c>
      <c r="K402">
        <v>0.104238609909656</v>
      </c>
      <c r="L402">
        <v>856.262638528308</v>
      </c>
      <c r="M402">
        <v>16.6169744802921</v>
      </c>
      <c r="N402">
        <v>51.904857387587299</v>
      </c>
      <c r="O402">
        <v>50.800441464159398</v>
      </c>
      <c r="P402">
        <v>-7.7150037644091202E-2</v>
      </c>
      <c r="Q402">
        <v>5.6629062430194901E-2</v>
      </c>
      <c r="R402">
        <v>0.98598133403500399</v>
      </c>
      <c r="S402" t="s">
        <v>7048</v>
      </c>
      <c r="T402" t="s">
        <v>13290</v>
      </c>
      <c r="U402" t="s">
        <v>13290</v>
      </c>
      <c r="V402" t="s">
        <v>13290</v>
      </c>
      <c r="W402" t="s">
        <v>13687</v>
      </c>
      <c r="X402">
        <v>1</v>
      </c>
      <c r="Y402" t="s">
        <v>20275</v>
      </c>
      <c r="Z402" t="s">
        <v>26732</v>
      </c>
      <c r="AA402">
        <v>0.43730094271881192</v>
      </c>
      <c r="AB402" t="str">
        <f>HYPERLINK("Melting_Curves/meltCurve_D6RAR3_TMEM161B.pdf", "Melting_Curves/meltCurve_D6RAR3_TMEM161B.pdf")</f>
        <v>Melting_Curves/meltCurve_D6RAR3_TMEM161B.pdf</v>
      </c>
    </row>
    <row r="403" spans="1:28" x14ac:dyDescent="0.25">
      <c r="A403" t="s">
        <v>407</v>
      </c>
      <c r="B403">
        <v>0.99252571173614901</v>
      </c>
      <c r="C403">
        <v>1.06539524071836</v>
      </c>
      <c r="D403">
        <v>0.99243140829846699</v>
      </c>
      <c r="E403">
        <v>0.86108335252805002</v>
      </c>
      <c r="F403">
        <v>0.52465195109505802</v>
      </c>
      <c r="G403">
        <v>0.28794225498252701</v>
      </c>
      <c r="H403">
        <v>0.27615614911837699</v>
      </c>
      <c r="I403">
        <v>0.23146779435727999</v>
      </c>
      <c r="J403">
        <v>0.46262828777843601</v>
      </c>
      <c r="K403">
        <v>0.43527871929657902</v>
      </c>
      <c r="L403">
        <v>1922.0593920696399</v>
      </c>
      <c r="M403">
        <v>37.2694935139126</v>
      </c>
      <c r="N403">
        <v>53.178758236919798</v>
      </c>
      <c r="O403">
        <v>51.424116663122597</v>
      </c>
      <c r="P403">
        <v>-0.119971869844818</v>
      </c>
      <c r="Q403">
        <v>0.33785732864694901</v>
      </c>
      <c r="R403">
        <v>0.94813301884940204</v>
      </c>
      <c r="S403" t="s">
        <v>7049</v>
      </c>
      <c r="T403" t="s">
        <v>13290</v>
      </c>
      <c r="U403" t="s">
        <v>13290</v>
      </c>
      <c r="V403" t="s">
        <v>13290</v>
      </c>
      <c r="W403" t="s">
        <v>13688</v>
      </c>
      <c r="X403">
        <v>1</v>
      </c>
      <c r="Y403" t="s">
        <v>20276</v>
      </c>
      <c r="Z403" t="s">
        <v>26733</v>
      </c>
      <c r="AA403">
        <v>0.5959865416575657</v>
      </c>
      <c r="AB403" t="str">
        <f>HYPERLINK("Melting_Curves/meltCurve_D6RB01_FAM169A.pdf", "Melting_Curves/meltCurve_D6RB01_FAM169A.pdf")</f>
        <v>Melting_Curves/meltCurve_D6RB01_FAM169A.pdf</v>
      </c>
    </row>
    <row r="404" spans="1:28" x14ac:dyDescent="0.25">
      <c r="A404" t="s">
        <v>408</v>
      </c>
      <c r="B404">
        <v>0.99252571173614901</v>
      </c>
      <c r="C404">
        <v>1.0373943847859</v>
      </c>
      <c r="D404">
        <v>0.82730745772543701</v>
      </c>
      <c r="E404">
        <v>0.670973398947462</v>
      </c>
      <c r="F404">
        <v>0.46083655047890598</v>
      </c>
      <c r="G404">
        <v>0.33296264905455603</v>
      </c>
      <c r="H404">
        <v>0.310539525629008</v>
      </c>
      <c r="I404">
        <v>0.35703197128401998</v>
      </c>
      <c r="J404">
        <v>0.46833667775882598</v>
      </c>
      <c r="K404">
        <v>0.54251997965769505</v>
      </c>
      <c r="L404">
        <v>1215.81301721516</v>
      </c>
      <c r="M404">
        <v>25.004731286334199</v>
      </c>
      <c r="N404">
        <v>51.998453294829403</v>
      </c>
      <c r="O404">
        <v>48.315515834445897</v>
      </c>
      <c r="P404">
        <v>-7.7456043429488003E-2</v>
      </c>
      <c r="Q404">
        <v>0.40134865145172699</v>
      </c>
      <c r="R404">
        <v>0.922496236074693</v>
      </c>
      <c r="S404" t="s">
        <v>7050</v>
      </c>
      <c r="T404" t="s">
        <v>13290</v>
      </c>
      <c r="U404" t="s">
        <v>13290</v>
      </c>
      <c r="V404" t="s">
        <v>13290</v>
      </c>
      <c r="W404" t="s">
        <v>13689</v>
      </c>
      <c r="X404">
        <v>3</v>
      </c>
      <c r="Y404" t="s">
        <v>20277</v>
      </c>
      <c r="Z404" t="s">
        <v>26734</v>
      </c>
      <c r="AA404">
        <v>0.57871980720758887</v>
      </c>
      <c r="AB404" t="str">
        <f>HYPERLINK("Melting_Curves/meltCurve_D6RB34_IRF2.pdf", "Melting_Curves/meltCurve_D6RB34_IRF2.pdf")</f>
        <v>Melting_Curves/meltCurve_D6RB34_IRF2.pdf</v>
      </c>
    </row>
    <row r="405" spans="1:28" x14ac:dyDescent="0.25">
      <c r="A405" t="s">
        <v>409</v>
      </c>
      <c r="B405">
        <v>0.99252571173614901</v>
      </c>
      <c r="C405">
        <v>0.80828754090774102</v>
      </c>
      <c r="D405">
        <v>0.64248397456417605</v>
      </c>
      <c r="E405">
        <v>0.51025171763491195</v>
      </c>
      <c r="F405">
        <v>0.56036382293920695</v>
      </c>
      <c r="G405">
        <v>0.22637113965831501</v>
      </c>
      <c r="H405">
        <v>0.151374699117589</v>
      </c>
      <c r="I405">
        <v>0.12248585480603599</v>
      </c>
      <c r="J405">
        <v>0.27515527840190601</v>
      </c>
      <c r="K405">
        <v>0.28305869189430999</v>
      </c>
      <c r="L405">
        <v>541.45027909279997</v>
      </c>
      <c r="M405">
        <v>11.227431878289099</v>
      </c>
      <c r="N405">
        <v>50.139518697721599</v>
      </c>
      <c r="O405">
        <v>46.7716464264659</v>
      </c>
      <c r="P405">
        <v>-4.9568722584988303E-2</v>
      </c>
      <c r="Q405">
        <v>0.17427647015196299</v>
      </c>
      <c r="R405">
        <v>0.90404274650941896</v>
      </c>
      <c r="S405" t="s">
        <v>7051</v>
      </c>
      <c r="T405" t="s">
        <v>13290</v>
      </c>
      <c r="U405" t="s">
        <v>13290</v>
      </c>
      <c r="V405" t="s">
        <v>13290</v>
      </c>
      <c r="W405" t="s">
        <v>13690</v>
      </c>
      <c r="X405">
        <v>1</v>
      </c>
      <c r="Y405" t="s">
        <v>20278</v>
      </c>
      <c r="Z405" t="s">
        <v>26735</v>
      </c>
      <c r="AA405">
        <v>0.43635736238668088</v>
      </c>
      <c r="AB405" t="str">
        <f>HYPERLINK("Melting_Curves/meltCurve_D6RBE0_CXXC5.pdf", "Melting_Curves/meltCurve_D6RBE0_CXXC5.pdf")</f>
        <v>Melting_Curves/meltCurve_D6RBE0_CXXC5.pdf</v>
      </c>
    </row>
    <row r="406" spans="1:28" x14ac:dyDescent="0.25">
      <c r="A406" t="s">
        <v>410</v>
      </c>
      <c r="B406">
        <v>0.99252571173614901</v>
      </c>
      <c r="C406">
        <v>1.0541536394295199</v>
      </c>
      <c r="D406">
        <v>0.92416710761549103</v>
      </c>
      <c r="E406">
        <v>0.93212031948256202</v>
      </c>
      <c r="F406">
        <v>0.51848165820856895</v>
      </c>
      <c r="G406">
        <v>0.23705333573083401</v>
      </c>
      <c r="H406">
        <v>0.13042108060490301</v>
      </c>
      <c r="I406">
        <v>0.176755699494657</v>
      </c>
      <c r="J406">
        <v>0.139473100784929</v>
      </c>
      <c r="K406">
        <v>5.4672496383849099E-2</v>
      </c>
      <c r="L406">
        <v>1616.1648234632701</v>
      </c>
      <c r="M406">
        <v>30.499540573425001</v>
      </c>
      <c r="N406">
        <v>53.477075735556497</v>
      </c>
      <c r="O406">
        <v>52.763572695763798</v>
      </c>
      <c r="P406">
        <v>-0.12698029324302601</v>
      </c>
      <c r="Q406">
        <v>0.121312314750712</v>
      </c>
      <c r="R406">
        <v>0.98945031865115496</v>
      </c>
      <c r="S406" t="s">
        <v>7052</v>
      </c>
      <c r="T406" t="s">
        <v>13290</v>
      </c>
      <c r="U406" t="s">
        <v>13290</v>
      </c>
      <c r="V406" t="s">
        <v>13290</v>
      </c>
      <c r="W406" t="s">
        <v>13691</v>
      </c>
      <c r="X406">
        <v>1</v>
      </c>
      <c r="Y406" t="s">
        <v>20279</v>
      </c>
      <c r="Z406" t="s">
        <v>26736</v>
      </c>
      <c r="AA406">
        <v>0.50729434111689775</v>
      </c>
      <c r="AB406" t="str">
        <f>HYPERLINK("Melting_Curves/meltCurve_D6RBE3_FAM173B.pdf", "Melting_Curves/meltCurve_D6RBE3_FAM173B.pdf")</f>
        <v>Melting_Curves/meltCurve_D6RBE3_FAM173B.pdf</v>
      </c>
    </row>
    <row r="407" spans="1:28" x14ac:dyDescent="0.25">
      <c r="A407" t="s">
        <v>411</v>
      </c>
      <c r="B407">
        <v>0.99252571173614901</v>
      </c>
      <c r="C407">
        <v>1.0938691736687101</v>
      </c>
      <c r="D407">
        <v>0.96768126337229798</v>
      </c>
      <c r="E407">
        <v>0.787490937691111</v>
      </c>
      <c r="F407">
        <v>0.66289489728892304</v>
      </c>
      <c r="G407">
        <v>0.32064848834224602</v>
      </c>
      <c r="H407">
        <v>0.111582841782372</v>
      </c>
      <c r="I407">
        <v>0.109609924988768</v>
      </c>
      <c r="J407">
        <v>0.13065690227683199</v>
      </c>
      <c r="K407">
        <v>0.12690287614774501</v>
      </c>
      <c r="L407">
        <v>1090.43490179122</v>
      </c>
      <c r="M407">
        <v>20.240784883505601</v>
      </c>
      <c r="N407">
        <v>54.393894044131102</v>
      </c>
      <c r="O407">
        <v>53.355563186636303</v>
      </c>
      <c r="P407">
        <v>-8.6488532357130096E-2</v>
      </c>
      <c r="Q407">
        <v>8.8078601104864596E-2</v>
      </c>
      <c r="R407">
        <v>0.98375636192967497</v>
      </c>
      <c r="S407" t="s">
        <v>7053</v>
      </c>
      <c r="T407" t="s">
        <v>13290</v>
      </c>
      <c r="U407" t="s">
        <v>13290</v>
      </c>
      <c r="V407" t="s">
        <v>13290</v>
      </c>
      <c r="W407" t="s">
        <v>13692</v>
      </c>
      <c r="X407">
        <v>13</v>
      </c>
      <c r="Y407" t="s">
        <v>20280</v>
      </c>
      <c r="Z407" t="s">
        <v>26737</v>
      </c>
      <c r="AA407">
        <v>0.52196433883500437</v>
      </c>
      <c r="AB407" t="str">
        <f>HYPERLINK("Melting_Curves/meltCurve_D6RBW1_EIF4E.pdf", "Melting_Curves/meltCurve_D6RBW1_EIF4E.pdf")</f>
        <v>Melting_Curves/meltCurve_D6RBW1_EIF4E.pdf</v>
      </c>
    </row>
    <row r="408" spans="1:28" x14ac:dyDescent="0.25">
      <c r="A408" t="s">
        <v>412</v>
      </c>
      <c r="B408">
        <v>0.99252571173614901</v>
      </c>
      <c r="C408">
        <v>0.91727891033239695</v>
      </c>
      <c r="D408">
        <v>0.83364047844263101</v>
      </c>
      <c r="E408">
        <v>0.58643201450638205</v>
      </c>
      <c r="F408">
        <v>0.35692163321642201</v>
      </c>
      <c r="G408">
        <v>0.14133015884970801</v>
      </c>
      <c r="H408">
        <v>0.10781225481430599</v>
      </c>
      <c r="I408">
        <v>0.108848530154392</v>
      </c>
      <c r="J408">
        <v>9.9295248783604698E-2</v>
      </c>
      <c r="K408">
        <v>6.9801533994457404E-2</v>
      </c>
      <c r="L408">
        <v>830.53525324268196</v>
      </c>
      <c r="M408">
        <v>16.534749031738102</v>
      </c>
      <c r="N408">
        <v>50.666610900010198</v>
      </c>
      <c r="O408">
        <v>49.512219164706401</v>
      </c>
      <c r="P408">
        <v>-7.7946276960090197E-2</v>
      </c>
      <c r="Q408">
        <v>6.6444272941402399E-2</v>
      </c>
      <c r="R408">
        <v>0.99657063132538704</v>
      </c>
      <c r="S408" t="s">
        <v>7054</v>
      </c>
      <c r="T408" t="s">
        <v>13290</v>
      </c>
      <c r="U408" t="s">
        <v>13290</v>
      </c>
      <c r="V408" t="s">
        <v>13290</v>
      </c>
      <c r="W408" t="s">
        <v>13693</v>
      </c>
      <c r="X408">
        <v>5</v>
      </c>
      <c r="Y408" t="s">
        <v>20281</v>
      </c>
      <c r="Z408" t="s">
        <v>26738</v>
      </c>
      <c r="AA408">
        <v>0.4033507326185955</v>
      </c>
      <c r="AB408" t="str">
        <f>HYPERLINK("Melting_Curves/meltCurve_D6RCD0_HSD17B11.pdf", "Melting_Curves/meltCurve_D6RCD0_HSD17B11.pdf")</f>
        <v>Melting_Curves/meltCurve_D6RCD0_HSD17B11.pdf</v>
      </c>
    </row>
    <row r="409" spans="1:28" x14ac:dyDescent="0.25">
      <c r="A409" t="s">
        <v>413</v>
      </c>
      <c r="B409">
        <v>0.99252571173614901</v>
      </c>
      <c r="C409">
        <v>1.01026670513453</v>
      </c>
      <c r="D409">
        <v>0.79179223281607702</v>
      </c>
      <c r="E409">
        <v>0.86510729434756295</v>
      </c>
      <c r="F409">
        <v>0.71162150399983304</v>
      </c>
      <c r="G409">
        <v>0.55985410021272097</v>
      </c>
      <c r="H409">
        <v>0.68434037189386199</v>
      </c>
      <c r="I409">
        <v>0.79702118607435501</v>
      </c>
      <c r="J409">
        <v>0.87844988381683797</v>
      </c>
      <c r="K409">
        <v>0.54449020151443595</v>
      </c>
      <c r="L409">
        <v>923.67420388936102</v>
      </c>
      <c r="M409">
        <v>19.7642981443128</v>
      </c>
      <c r="O409">
        <v>46.263932373808998</v>
      </c>
      <c r="P409">
        <v>-3.2286388522868199E-2</v>
      </c>
      <c r="Q409">
        <v>0.69770859892759196</v>
      </c>
      <c r="R409">
        <v>0.546023550849428</v>
      </c>
      <c r="S409" t="s">
        <v>7055</v>
      </c>
      <c r="T409" t="s">
        <v>13290</v>
      </c>
      <c r="U409" t="s">
        <v>13290</v>
      </c>
      <c r="V409" t="s">
        <v>13290</v>
      </c>
      <c r="W409" t="s">
        <v>13694</v>
      </c>
      <c r="X409">
        <v>2</v>
      </c>
      <c r="Y409" t="s">
        <v>20282</v>
      </c>
      <c r="Z409" t="s">
        <v>26739</v>
      </c>
      <c r="AA409">
        <v>0.77016480348707927</v>
      </c>
      <c r="AB409" t="str">
        <f>HYPERLINK("Melting_Curves/meltCurve_D6RCD9_TMEM175.pdf", "Melting_Curves/meltCurve_D6RCD9_TMEM175.pdf")</f>
        <v>Melting_Curves/meltCurve_D6RCD9_TMEM175.pdf</v>
      </c>
    </row>
    <row r="410" spans="1:28" x14ac:dyDescent="0.25">
      <c r="A410" t="s">
        <v>414</v>
      </c>
      <c r="B410">
        <v>0.99252571173614901</v>
      </c>
      <c r="C410">
        <v>1.0744072602605701</v>
      </c>
      <c r="D410">
        <v>1.03940426290413</v>
      </c>
      <c r="E410">
        <v>0.75924879924598199</v>
      </c>
      <c r="F410">
        <v>0.71909421754103897</v>
      </c>
      <c r="G410">
        <v>0.53157721739864905</v>
      </c>
      <c r="H410">
        <v>0.56296371777213206</v>
      </c>
      <c r="I410">
        <v>0.75375088393399803</v>
      </c>
      <c r="J410">
        <v>0.94236631765076795</v>
      </c>
      <c r="K410">
        <v>1.2197068605946599</v>
      </c>
      <c r="L410">
        <v>11945.610589563101</v>
      </c>
      <c r="M410">
        <v>250</v>
      </c>
      <c r="O410">
        <v>47.779384864227701</v>
      </c>
      <c r="P410">
        <v>-0.28241962269874799</v>
      </c>
      <c r="Q410">
        <v>0.78409862791388496</v>
      </c>
      <c r="R410">
        <v>0.274665931048241</v>
      </c>
      <c r="S410" t="s">
        <v>7056</v>
      </c>
      <c r="T410" t="s">
        <v>13290</v>
      </c>
      <c r="U410" t="s">
        <v>13290</v>
      </c>
      <c r="V410" t="s">
        <v>13290</v>
      </c>
      <c r="W410" t="s">
        <v>13695</v>
      </c>
      <c r="X410">
        <v>5</v>
      </c>
      <c r="Y410" t="s">
        <v>20283</v>
      </c>
      <c r="Z410" t="s">
        <v>26740</v>
      </c>
      <c r="AA410">
        <v>0.84012473229507945</v>
      </c>
      <c r="AB410" t="str">
        <f>HYPERLINK("Melting_Curves/meltCurve_D6RDN0_CDV3.pdf", "Melting_Curves/meltCurve_D6RDN0_CDV3.pdf")</f>
        <v>Melting_Curves/meltCurve_D6RDN0_CDV3.pdf</v>
      </c>
    </row>
    <row r="411" spans="1:28" x14ac:dyDescent="0.25">
      <c r="A411" t="s">
        <v>415</v>
      </c>
      <c r="B411">
        <v>0.99252571173614901</v>
      </c>
      <c r="C411">
        <v>0.908418610259211</v>
      </c>
      <c r="D411">
        <v>0.82631923956216502</v>
      </c>
      <c r="E411">
        <v>0.38227633200250699</v>
      </c>
      <c r="F411">
        <v>0.19076958022499699</v>
      </c>
      <c r="G411">
        <v>0.11940377407486299</v>
      </c>
      <c r="H411">
        <v>0.106426373045353</v>
      </c>
      <c r="I411">
        <v>0.12682558059900501</v>
      </c>
      <c r="J411">
        <v>0.15419693970952</v>
      </c>
      <c r="K411">
        <v>0.11082350112457801</v>
      </c>
      <c r="L411">
        <v>1291.83170321534</v>
      </c>
      <c r="M411">
        <v>26.845149738129901</v>
      </c>
      <c r="N411">
        <v>48.620012327150299</v>
      </c>
      <c r="O411">
        <v>47.856956641949999</v>
      </c>
      <c r="P411">
        <v>-0.123369374248188</v>
      </c>
      <c r="Q411">
        <v>0.120284648359682</v>
      </c>
      <c r="R411">
        <v>0.99503820862387304</v>
      </c>
      <c r="S411" t="s">
        <v>7057</v>
      </c>
      <c r="T411" t="s">
        <v>13290</v>
      </c>
      <c r="U411" t="s">
        <v>13290</v>
      </c>
      <c r="V411" t="s">
        <v>13290</v>
      </c>
      <c r="W411" t="s">
        <v>13696</v>
      </c>
      <c r="X411">
        <v>9</v>
      </c>
      <c r="Y411" t="s">
        <v>20284</v>
      </c>
      <c r="Z411" t="s">
        <v>26741</v>
      </c>
      <c r="AA411">
        <v>0.36513069334822928</v>
      </c>
      <c r="AB411" t="str">
        <f>HYPERLINK("Melting_Curves/meltCurve_D6REA0_PET112.pdf", "Melting_Curves/meltCurve_D6REA0_PET112.pdf")</f>
        <v>Melting_Curves/meltCurve_D6REA0_PET112.pdf</v>
      </c>
    </row>
    <row r="412" spans="1:28" x14ac:dyDescent="0.25">
      <c r="A412" t="s">
        <v>416</v>
      </c>
      <c r="B412">
        <v>0.99252571173614901</v>
      </c>
      <c r="C412">
        <v>1.0436104649712199</v>
      </c>
      <c r="D412">
        <v>0.981588527083739</v>
      </c>
      <c r="E412">
        <v>0.94156333031292905</v>
      </c>
      <c r="F412">
        <v>0.725331511825829</v>
      </c>
      <c r="G412">
        <v>0.72926453370627298</v>
      </c>
      <c r="H412">
        <v>0.81323830365165495</v>
      </c>
      <c r="I412">
        <v>1.32215610055967</v>
      </c>
      <c r="J412">
        <v>2.3063982348985501</v>
      </c>
      <c r="K412">
        <v>2.0753789510835898</v>
      </c>
      <c r="L412">
        <v>15000</v>
      </c>
      <c r="M412">
        <v>234.96940960783701</v>
      </c>
      <c r="O412">
        <v>63.833472682892697</v>
      </c>
      <c r="P412">
        <v>0.46012186129053401</v>
      </c>
      <c r="Q412">
        <v>1.5</v>
      </c>
      <c r="R412">
        <v>0.57939620380103296</v>
      </c>
      <c r="S412" t="s">
        <v>7058</v>
      </c>
      <c r="T412" t="s">
        <v>13290</v>
      </c>
      <c r="U412" t="s">
        <v>13290</v>
      </c>
      <c r="V412" t="s">
        <v>13290</v>
      </c>
      <c r="W412" t="s">
        <v>13697</v>
      </c>
      <c r="X412">
        <v>1</v>
      </c>
      <c r="Y412" t="s">
        <v>20285</v>
      </c>
      <c r="Z412" t="s">
        <v>26742</v>
      </c>
      <c r="AA412">
        <v>1.102634965500165</v>
      </c>
      <c r="AB412" t="str">
        <f>HYPERLINK("Melting_Curves/meltCurve_D6REL0_CDC42SE2.pdf", "Melting_Curves/meltCurve_D6REL0_CDC42SE2.pdf")</f>
        <v>Melting_Curves/meltCurve_D6REL0_CDC42SE2.pdf</v>
      </c>
    </row>
    <row r="413" spans="1:28" x14ac:dyDescent="0.25">
      <c r="A413" t="s">
        <v>417</v>
      </c>
      <c r="B413">
        <v>0.99252571173614901</v>
      </c>
      <c r="C413">
        <v>0.910512220281122</v>
      </c>
      <c r="D413">
        <v>0.94103901257936895</v>
      </c>
      <c r="E413">
        <v>1.10102016261445</v>
      </c>
      <c r="F413">
        <v>0.92041577634565297</v>
      </c>
      <c r="G413">
        <v>0.80694475727581305</v>
      </c>
      <c r="H413">
        <v>0.53199669218411105</v>
      </c>
      <c r="I413">
        <v>0.16562128070871099</v>
      </c>
      <c r="J413">
        <v>0.18578042149702401</v>
      </c>
      <c r="K413">
        <v>0.14395853096684</v>
      </c>
      <c r="L413">
        <v>1561.23393111155</v>
      </c>
      <c r="M413">
        <v>26.041692935465498</v>
      </c>
      <c r="N413">
        <v>60.506670584859499</v>
      </c>
      <c r="O413">
        <v>59.601153122155203</v>
      </c>
      <c r="P413">
        <v>-9.7622832769766202E-2</v>
      </c>
      <c r="Q413">
        <v>0.106299749893723</v>
      </c>
      <c r="R413">
        <v>0.97122131220556995</v>
      </c>
      <c r="S413" t="s">
        <v>7059</v>
      </c>
      <c r="T413" t="s">
        <v>13290</v>
      </c>
      <c r="U413" t="s">
        <v>13290</v>
      </c>
      <c r="V413" t="s">
        <v>13290</v>
      </c>
      <c r="W413" t="s">
        <v>13698</v>
      </c>
      <c r="X413">
        <v>3</v>
      </c>
      <c r="Y413" t="s">
        <v>20286</v>
      </c>
      <c r="Z413" t="s">
        <v>26743</v>
      </c>
      <c r="AA413">
        <v>0.70706919828469739</v>
      </c>
      <c r="AB413" t="str">
        <f>HYPERLINK("Melting_Curves/meltCurve_D6REL5_FAM175A.pdf", "Melting_Curves/meltCurve_D6REL5_FAM175A.pdf")</f>
        <v>Melting_Curves/meltCurve_D6REL5_FAM175A.pdf</v>
      </c>
    </row>
    <row r="414" spans="1:28" x14ac:dyDescent="0.25">
      <c r="A414" t="s">
        <v>418</v>
      </c>
      <c r="B414">
        <v>0.99252571173614901</v>
      </c>
      <c r="C414">
        <v>0.83075790263757698</v>
      </c>
      <c r="D414">
        <v>0.78214049686849696</v>
      </c>
      <c r="E414">
        <v>0.27155119282574702</v>
      </c>
      <c r="F414">
        <v>0.24560197639353901</v>
      </c>
      <c r="G414">
        <v>0.13193255081661701</v>
      </c>
      <c r="H414">
        <v>8.0954034111980794E-2</v>
      </c>
      <c r="I414">
        <v>8.4946204480719004E-2</v>
      </c>
      <c r="J414">
        <v>0.107007770855595</v>
      </c>
      <c r="K414">
        <v>9.5837859483713997E-2</v>
      </c>
      <c r="L414">
        <v>1018.87207197052</v>
      </c>
      <c r="M414">
        <v>21.456134939880901</v>
      </c>
      <c r="N414">
        <v>47.965015793643197</v>
      </c>
      <c r="O414">
        <v>47.079541650942197</v>
      </c>
      <c r="P414">
        <v>-0.102956534470084</v>
      </c>
      <c r="Q414">
        <v>9.6383546297069897E-2</v>
      </c>
      <c r="R414">
        <v>0.97680619776098399</v>
      </c>
      <c r="S414" t="s">
        <v>7060</v>
      </c>
      <c r="T414" t="s">
        <v>13290</v>
      </c>
      <c r="U414" t="s">
        <v>13290</v>
      </c>
      <c r="V414" t="s">
        <v>13290</v>
      </c>
      <c r="W414" t="s">
        <v>13699</v>
      </c>
      <c r="X414">
        <v>12</v>
      </c>
      <c r="Y414" t="s">
        <v>20287</v>
      </c>
      <c r="Z414" t="s">
        <v>26744</v>
      </c>
      <c r="AA414">
        <v>0.33304026914470519</v>
      </c>
      <c r="AB414" t="str">
        <f>HYPERLINK("Melting_Curves/meltCurve_D6REM4_CSNK1A1.pdf", "Melting_Curves/meltCurve_D6REM4_CSNK1A1.pdf")</f>
        <v>Melting_Curves/meltCurve_D6REM4_CSNK1A1.pdf</v>
      </c>
    </row>
    <row r="415" spans="1:28" x14ac:dyDescent="0.25">
      <c r="A415" t="s">
        <v>419</v>
      </c>
      <c r="B415">
        <v>0.99252571173614901</v>
      </c>
      <c r="C415">
        <v>0.77040537326423897</v>
      </c>
      <c r="D415">
        <v>0.72315044787724403</v>
      </c>
      <c r="E415">
        <v>0.60581544365636697</v>
      </c>
      <c r="F415">
        <v>0.563724671826899</v>
      </c>
      <c r="G415">
        <v>0.35944454876715198</v>
      </c>
      <c r="H415">
        <v>0.26530953953659198</v>
      </c>
      <c r="I415">
        <v>0.27422498536562501</v>
      </c>
      <c r="J415">
        <v>0.327179916163228</v>
      </c>
      <c r="K415">
        <v>0.19045734906780601</v>
      </c>
      <c r="L415">
        <v>416.77797750033602</v>
      </c>
      <c r="M415">
        <v>8.2512348543994793</v>
      </c>
      <c r="N415">
        <v>52.8059285303016</v>
      </c>
      <c r="O415">
        <v>47.804688180975603</v>
      </c>
      <c r="P415">
        <v>-3.6686042742064398E-2</v>
      </c>
      <c r="Q415">
        <v>0.15067264333239699</v>
      </c>
      <c r="R415">
        <v>0.954180574969692</v>
      </c>
      <c r="S415" t="s">
        <v>7061</v>
      </c>
      <c r="T415" t="s">
        <v>13290</v>
      </c>
      <c r="U415" t="s">
        <v>13290</v>
      </c>
      <c r="V415" t="s">
        <v>13290</v>
      </c>
      <c r="W415" t="s">
        <v>13700</v>
      </c>
      <c r="X415">
        <v>1</v>
      </c>
      <c r="Y415" t="s">
        <v>20288</v>
      </c>
      <c r="Z415" t="s">
        <v>26745</v>
      </c>
      <c r="AA415">
        <v>0.49460577203646139</v>
      </c>
      <c r="AB415" t="str">
        <f>HYPERLINK("Melting_Curves/meltCurve_D6RER8_SLC38A9.pdf", "Melting_Curves/meltCurve_D6RER8_SLC38A9.pdf")</f>
        <v>Melting_Curves/meltCurve_D6RER8_SLC38A9.pdf</v>
      </c>
    </row>
    <row r="416" spans="1:28" x14ac:dyDescent="0.25">
      <c r="A416" t="s">
        <v>420</v>
      </c>
      <c r="B416">
        <v>0.99252571173614901</v>
      </c>
      <c r="C416">
        <v>0.86189097464280695</v>
      </c>
      <c r="D416">
        <v>0.88751879934074696</v>
      </c>
      <c r="E416">
        <v>0.45704842382348798</v>
      </c>
      <c r="F416">
        <v>0.242637114823542</v>
      </c>
      <c r="G416">
        <v>0.144970223020744</v>
      </c>
      <c r="H416">
        <v>0.12222239889544401</v>
      </c>
      <c r="I416">
        <v>0.127493443685089</v>
      </c>
      <c r="J416">
        <v>0.122198271569555</v>
      </c>
      <c r="K416">
        <v>0.10488392287496399</v>
      </c>
      <c r="L416">
        <v>1134.87547742894</v>
      </c>
      <c r="M416">
        <v>23.225545614337399</v>
      </c>
      <c r="N416">
        <v>49.420256839660198</v>
      </c>
      <c r="O416">
        <v>48.505338720164197</v>
      </c>
      <c r="P416">
        <v>-0.105923034887421</v>
      </c>
      <c r="Q416">
        <v>0.11515732037724501</v>
      </c>
      <c r="R416">
        <v>0.98755198900808805</v>
      </c>
      <c r="S416" t="s">
        <v>7062</v>
      </c>
      <c r="T416" t="s">
        <v>13290</v>
      </c>
      <c r="U416" t="s">
        <v>13290</v>
      </c>
      <c r="V416" t="s">
        <v>13290</v>
      </c>
      <c r="W416" t="s">
        <v>13701</v>
      </c>
      <c r="X416">
        <v>18</v>
      </c>
      <c r="Y416" t="s">
        <v>20289</v>
      </c>
      <c r="Z416" t="s">
        <v>26746</v>
      </c>
      <c r="AA416">
        <v>0.38569964306947491</v>
      </c>
      <c r="AB416" t="str">
        <f>HYPERLINK("Melting_Curves/meltCurve_D6REX3_SEC31A.pdf", "Melting_Curves/meltCurve_D6REX3_SEC31A.pdf")</f>
        <v>Melting_Curves/meltCurve_D6REX3_SEC31A.pdf</v>
      </c>
    </row>
    <row r="417" spans="1:28" x14ac:dyDescent="0.25">
      <c r="A417" t="s">
        <v>421</v>
      </c>
      <c r="B417">
        <v>0.99252571173614901</v>
      </c>
      <c r="C417">
        <v>0.94012632771634597</v>
      </c>
      <c r="D417">
        <v>0.88709175264364903</v>
      </c>
      <c r="E417">
        <v>0.53519225368919698</v>
      </c>
      <c r="F417">
        <v>0.21164783548468299</v>
      </c>
      <c r="G417">
        <v>0.120572564027563</v>
      </c>
      <c r="H417">
        <v>9.2226212648710199E-2</v>
      </c>
      <c r="I417">
        <v>9.6216916026492405E-2</v>
      </c>
      <c r="J417">
        <v>0.112541489632681</v>
      </c>
      <c r="K417">
        <v>9.3106915267507098E-2</v>
      </c>
      <c r="L417">
        <v>1267.27765803334</v>
      </c>
      <c r="M417">
        <v>25.6319217106388</v>
      </c>
      <c r="N417">
        <v>49.843448933813903</v>
      </c>
      <c r="O417">
        <v>49.143387540620701</v>
      </c>
      <c r="P417">
        <v>-0.118217318065823</v>
      </c>
      <c r="Q417">
        <v>9.3391632272987204E-2</v>
      </c>
      <c r="R417">
        <v>0.99828255246686104</v>
      </c>
      <c r="S417" t="s">
        <v>7063</v>
      </c>
      <c r="T417" t="s">
        <v>13290</v>
      </c>
      <c r="U417" t="s">
        <v>13290</v>
      </c>
      <c r="V417" t="s">
        <v>13290</v>
      </c>
      <c r="W417" t="s">
        <v>13702</v>
      </c>
      <c r="X417">
        <v>8</v>
      </c>
      <c r="Y417" t="s">
        <v>20290</v>
      </c>
      <c r="Z417" t="s">
        <v>26747</v>
      </c>
      <c r="AA417">
        <v>0.38637360478602489</v>
      </c>
      <c r="AB417" t="str">
        <f>HYPERLINK("Melting_Curves/meltCurve_D6RF48_STX18.pdf", "Melting_Curves/meltCurve_D6RF48_STX18.pdf")</f>
        <v>Melting_Curves/meltCurve_D6RF48_STX18.pdf</v>
      </c>
    </row>
    <row r="418" spans="1:28" x14ac:dyDescent="0.25">
      <c r="A418" t="s">
        <v>422</v>
      </c>
      <c r="B418">
        <v>0.99252571173614901</v>
      </c>
      <c r="C418">
        <v>1.05441073683911</v>
      </c>
      <c r="D418">
        <v>0.98650266721587698</v>
      </c>
      <c r="E418">
        <v>0.89873412958208498</v>
      </c>
      <c r="F418">
        <v>0.70931813569202096</v>
      </c>
      <c r="G418">
        <v>0.35242033122453498</v>
      </c>
      <c r="H418">
        <v>0.119447098037491</v>
      </c>
      <c r="I418">
        <v>8.4071316134582796E-2</v>
      </c>
      <c r="J418">
        <v>9.9944425016428501E-2</v>
      </c>
      <c r="K418">
        <v>0.10073425960925</v>
      </c>
      <c r="L418">
        <v>1355.42294211737</v>
      </c>
      <c r="M418">
        <v>24.760923182616899</v>
      </c>
      <c r="N418">
        <v>55.106923559155199</v>
      </c>
      <c r="O418">
        <v>54.387079716357299</v>
      </c>
      <c r="P418">
        <v>-0.105178396876919</v>
      </c>
      <c r="Q418">
        <v>7.5920013423347296E-2</v>
      </c>
      <c r="R418">
        <v>0.99609310566966103</v>
      </c>
      <c r="S418" t="s">
        <v>7064</v>
      </c>
      <c r="T418" t="s">
        <v>13290</v>
      </c>
      <c r="U418" t="s">
        <v>13290</v>
      </c>
      <c r="V418" t="s">
        <v>13290</v>
      </c>
      <c r="W418" t="s">
        <v>13703</v>
      </c>
      <c r="X418">
        <v>6</v>
      </c>
      <c r="Y418" t="s">
        <v>20291</v>
      </c>
      <c r="Z418" t="s">
        <v>26748</v>
      </c>
      <c r="AA418">
        <v>0.53866537369224898</v>
      </c>
      <c r="AB418" t="str">
        <f>HYPERLINK("Melting_Curves/meltCurve_D6RFG8_DCK.pdf", "Melting_Curves/meltCurve_D6RFG8_DCK.pdf")</f>
        <v>Melting_Curves/meltCurve_D6RFG8_DCK.pdf</v>
      </c>
    </row>
    <row r="419" spans="1:28" x14ac:dyDescent="0.25">
      <c r="A419" t="s">
        <v>423</v>
      </c>
      <c r="B419">
        <v>0.99252571173614901</v>
      </c>
      <c r="C419">
        <v>0.91259021258818895</v>
      </c>
      <c r="D419">
        <v>0.78884730166667905</v>
      </c>
      <c r="E419">
        <v>0.86800824735701398</v>
      </c>
      <c r="F419">
        <v>0.53285908667967996</v>
      </c>
      <c r="G419">
        <v>0.28611435875747798</v>
      </c>
      <c r="H419">
        <v>0.17874869798749299</v>
      </c>
      <c r="I419">
        <v>0.179107279967466</v>
      </c>
      <c r="J419">
        <v>0.26113340735712198</v>
      </c>
      <c r="K419">
        <v>0.24505356016733301</v>
      </c>
      <c r="L419">
        <v>1060.6596103591201</v>
      </c>
      <c r="M419">
        <v>20.3333184055864</v>
      </c>
      <c r="N419">
        <v>53.461441029042803</v>
      </c>
      <c r="O419">
        <v>51.666961547636603</v>
      </c>
      <c r="P419">
        <v>-7.9224266561328693E-2</v>
      </c>
      <c r="Q419">
        <v>0.19478943779130301</v>
      </c>
      <c r="R419">
        <v>0.95040730003166796</v>
      </c>
      <c r="S419" t="s">
        <v>7065</v>
      </c>
      <c r="T419" t="s">
        <v>13290</v>
      </c>
      <c r="U419" t="s">
        <v>13290</v>
      </c>
      <c r="V419" t="s">
        <v>13290</v>
      </c>
      <c r="W419" t="s">
        <v>13704</v>
      </c>
      <c r="X419">
        <v>2</v>
      </c>
      <c r="Y419" t="s">
        <v>20292</v>
      </c>
      <c r="Z419" t="s">
        <v>26749</v>
      </c>
      <c r="AA419">
        <v>0.53207671265317136</v>
      </c>
      <c r="AB419" t="str">
        <f>HYPERLINK("Melting_Curves/meltCurve_D6RFX7_FAM117A.pdf", "Melting_Curves/meltCurve_D6RFX7_FAM117A.pdf")</f>
        <v>Melting_Curves/meltCurve_D6RFX7_FAM117A.pdf</v>
      </c>
    </row>
    <row r="420" spans="1:28" x14ac:dyDescent="0.25">
      <c r="A420" t="s">
        <v>424</v>
      </c>
      <c r="B420">
        <v>0.99252571173614901</v>
      </c>
      <c r="C420">
        <v>0.94557488130627598</v>
      </c>
      <c r="D420">
        <v>1.05820793769366</v>
      </c>
      <c r="E420">
        <v>1.11411602706878</v>
      </c>
      <c r="F420">
        <v>1.06079687206954</v>
      </c>
      <c r="G420">
        <v>0.84097135010278101</v>
      </c>
      <c r="H420">
        <v>0.78613747899514097</v>
      </c>
      <c r="I420">
        <v>0.67540089462678099</v>
      </c>
      <c r="J420">
        <v>0.189661534014642</v>
      </c>
      <c r="K420">
        <v>0.147215153218829</v>
      </c>
      <c r="L420">
        <v>1622.36980085699</v>
      </c>
      <c r="M420">
        <v>25.091620281890101</v>
      </c>
      <c r="N420">
        <v>64.657832951110805</v>
      </c>
      <c r="O420">
        <v>64.251337280223893</v>
      </c>
      <c r="P420">
        <v>-9.7632025830112101E-2</v>
      </c>
      <c r="Q420">
        <v>0</v>
      </c>
      <c r="R420">
        <v>0.94157519114310795</v>
      </c>
      <c r="S420" t="s">
        <v>7066</v>
      </c>
      <c r="T420" t="s">
        <v>13290</v>
      </c>
      <c r="U420" t="s">
        <v>13290</v>
      </c>
      <c r="V420" t="s">
        <v>13290</v>
      </c>
      <c r="W420" t="s">
        <v>13705</v>
      </c>
      <c r="X420">
        <v>19</v>
      </c>
      <c r="Y420" t="s">
        <v>20293</v>
      </c>
      <c r="Z420" t="s">
        <v>26750</v>
      </c>
      <c r="AA420">
        <v>0.81817631605858077</v>
      </c>
      <c r="AB420" t="str">
        <f>HYPERLINK("Melting_Curves/meltCurve_D6RGI3_SEPT11.pdf", "Melting_Curves/meltCurve_D6RGI3_SEPT11.pdf")</f>
        <v>Melting_Curves/meltCurve_D6RGI3_SEPT11.pdf</v>
      </c>
    </row>
    <row r="421" spans="1:28" x14ac:dyDescent="0.25">
      <c r="A421" t="s">
        <v>425</v>
      </c>
      <c r="B421">
        <v>0.99252571173614901</v>
      </c>
      <c r="C421">
        <v>0.85439397098063097</v>
      </c>
      <c r="D421">
        <v>0.62129786717215496</v>
      </c>
      <c r="E421">
        <v>0.30970671426645502</v>
      </c>
      <c r="F421">
        <v>0.26066981724680199</v>
      </c>
      <c r="G421">
        <v>0.10895376639946799</v>
      </c>
      <c r="H421">
        <v>7.56851419787542E-2</v>
      </c>
      <c r="I421">
        <v>2.9839183724925999E-2</v>
      </c>
      <c r="J421">
        <v>1.38503326714489E-2</v>
      </c>
      <c r="K421">
        <v>2.8017286773140301E-2</v>
      </c>
      <c r="L421">
        <v>719.96834652409996</v>
      </c>
      <c r="M421">
        <v>15.153622247523501</v>
      </c>
      <c r="N421">
        <v>47.685810088089603</v>
      </c>
      <c r="O421">
        <v>46.706961467907298</v>
      </c>
      <c r="P421">
        <v>-7.8930189621947602E-2</v>
      </c>
      <c r="Q421">
        <v>2.69704867539865E-2</v>
      </c>
      <c r="R421">
        <v>0.99015815007595198</v>
      </c>
      <c r="S421" t="s">
        <v>7067</v>
      </c>
      <c r="T421" t="s">
        <v>13290</v>
      </c>
      <c r="U421" t="s">
        <v>13290</v>
      </c>
      <c r="V421" t="s">
        <v>13290</v>
      </c>
      <c r="W421" t="s">
        <v>13706</v>
      </c>
      <c r="X421">
        <v>1</v>
      </c>
      <c r="Y421" t="s">
        <v>20294</v>
      </c>
      <c r="Z421" t="s">
        <v>26751</v>
      </c>
      <c r="AA421">
        <v>0.29573442349285373</v>
      </c>
      <c r="AB421" t="str">
        <f>HYPERLINK("Melting_Curves/meltCurve_D6RGK9_CNOT6L.pdf", "Melting_Curves/meltCurve_D6RGK9_CNOT6L.pdf")</f>
        <v>Melting_Curves/meltCurve_D6RGK9_CNOT6L.pdf</v>
      </c>
    </row>
    <row r="422" spans="1:28" x14ac:dyDescent="0.25">
      <c r="A422" t="s">
        <v>426</v>
      </c>
      <c r="B422">
        <v>0.99252571173614901</v>
      </c>
      <c r="C422">
        <v>0.90322215373604997</v>
      </c>
      <c r="D422">
        <v>0.69756268496704998</v>
      </c>
      <c r="E422">
        <v>0.55168402648426296</v>
      </c>
      <c r="F422">
        <v>0.30655356517760501</v>
      </c>
      <c r="G422">
        <v>0.23708455444271401</v>
      </c>
      <c r="H422">
        <v>0.230381467245619</v>
      </c>
      <c r="I422">
        <v>0.279884016431793</v>
      </c>
      <c r="J422">
        <v>0.48075526561791199</v>
      </c>
      <c r="K422">
        <v>0.41496963449082802</v>
      </c>
      <c r="L422">
        <v>1011.73866384525</v>
      </c>
      <c r="M422">
        <v>21.636456900494899</v>
      </c>
      <c r="N422">
        <v>49.1148303067352</v>
      </c>
      <c r="O422">
        <v>46.3668890969168</v>
      </c>
      <c r="P422">
        <v>-7.9010300552269402E-2</v>
      </c>
      <c r="Q422">
        <v>0.32274056547776098</v>
      </c>
      <c r="R422">
        <v>0.90448209757801001</v>
      </c>
      <c r="S422" t="s">
        <v>7068</v>
      </c>
      <c r="T422" t="s">
        <v>13290</v>
      </c>
      <c r="U422" t="s">
        <v>13290</v>
      </c>
      <c r="V422" t="s">
        <v>13290</v>
      </c>
      <c r="W422" t="s">
        <v>13707</v>
      </c>
      <c r="X422">
        <v>3</v>
      </c>
      <c r="Y422" t="s">
        <v>20295</v>
      </c>
      <c r="Z422" t="s">
        <v>26752</v>
      </c>
      <c r="AA422">
        <v>0.48376971920722173</v>
      </c>
      <c r="AB422" t="str">
        <f>HYPERLINK("Melting_Curves/meltCurve_D6RHD3_CENPK.pdf", "Melting_Curves/meltCurve_D6RHD3_CENPK.pdf")</f>
        <v>Melting_Curves/meltCurve_D6RHD3_CENPK.pdf</v>
      </c>
    </row>
    <row r="423" spans="1:28" x14ac:dyDescent="0.25">
      <c r="A423" t="s">
        <v>427</v>
      </c>
      <c r="B423">
        <v>0.99252571173614901</v>
      </c>
      <c r="C423">
        <v>1.09329750007475</v>
      </c>
      <c r="D423">
        <v>0.95860821206521996</v>
      </c>
      <c r="E423">
        <v>0.83262921572544701</v>
      </c>
      <c r="F423">
        <v>0.81281170758838595</v>
      </c>
      <c r="G423">
        <v>0.64228111088414797</v>
      </c>
      <c r="H423">
        <v>0.53975986540870902</v>
      </c>
      <c r="I423">
        <v>0.48022172900874099</v>
      </c>
      <c r="J423">
        <v>0.493867022075824</v>
      </c>
      <c r="K423">
        <v>0.50880345933827698</v>
      </c>
      <c r="L423">
        <v>828.96690087802097</v>
      </c>
      <c r="M423">
        <v>15.317561038108</v>
      </c>
      <c r="N423">
        <v>65.639463780603293</v>
      </c>
      <c r="O423">
        <v>53.221482528830499</v>
      </c>
      <c r="P423">
        <v>-3.84253863063048E-2</v>
      </c>
      <c r="Q423">
        <v>0.46600749858442703</v>
      </c>
      <c r="R423">
        <v>0.96207539374429796</v>
      </c>
      <c r="S423" t="s">
        <v>7069</v>
      </c>
      <c r="T423" t="s">
        <v>13290</v>
      </c>
      <c r="U423" t="s">
        <v>13290</v>
      </c>
      <c r="V423" t="s">
        <v>13290</v>
      </c>
      <c r="W423" t="s">
        <v>13708</v>
      </c>
      <c r="X423">
        <v>8</v>
      </c>
      <c r="Y423" t="s">
        <v>20296</v>
      </c>
      <c r="Z423" t="s">
        <v>26753</v>
      </c>
      <c r="AA423">
        <v>0.72792446757122187</v>
      </c>
      <c r="AB423" t="str">
        <f>HYPERLINK("Melting_Curves/meltCurve_D6RHI9_RNASET2.pdf", "Melting_Curves/meltCurve_D6RHI9_RNASET2.pdf")</f>
        <v>Melting_Curves/meltCurve_D6RHI9_RNASET2.pdf</v>
      </c>
    </row>
    <row r="424" spans="1:28" x14ac:dyDescent="0.25">
      <c r="A424" t="s">
        <v>428</v>
      </c>
      <c r="B424">
        <v>0.99252571173614901</v>
      </c>
      <c r="C424">
        <v>0.97850507641539497</v>
      </c>
      <c r="D424">
        <v>1.0112265630223101</v>
      </c>
      <c r="E424">
        <v>0.80017557348756596</v>
      </c>
      <c r="F424">
        <v>1.0554352765108601</v>
      </c>
      <c r="G424">
        <v>1.17682794442174</v>
      </c>
      <c r="H424">
        <v>0.94237211530668397</v>
      </c>
      <c r="I424">
        <v>1.0166848012083101</v>
      </c>
      <c r="J424">
        <v>1.44640483490564</v>
      </c>
      <c r="K424">
        <v>0.80755710003829295</v>
      </c>
      <c r="L424">
        <v>13252.110074206101</v>
      </c>
      <c r="M424">
        <v>250</v>
      </c>
      <c r="O424">
        <v>53.005047704557398</v>
      </c>
      <c r="P424">
        <v>9.1936241985690198E-2</v>
      </c>
      <c r="Q424">
        <v>1.07796935877816</v>
      </c>
      <c r="R424">
        <v>9.1343892323548406E-2</v>
      </c>
      <c r="S424" t="s">
        <v>7070</v>
      </c>
      <c r="T424" t="s">
        <v>13290</v>
      </c>
      <c r="U424" t="s">
        <v>13290</v>
      </c>
      <c r="V424" t="s">
        <v>13290</v>
      </c>
      <c r="W424" t="s">
        <v>13709</v>
      </c>
      <c r="X424">
        <v>3</v>
      </c>
      <c r="Y424" t="s">
        <v>20297</v>
      </c>
      <c r="Z424" t="s">
        <v>26754</v>
      </c>
      <c r="AA424">
        <v>1.0441534470793929</v>
      </c>
      <c r="AB424" t="str">
        <f>HYPERLINK("Melting_Curves/meltCurve_D6RIE3_COX7A2.pdf", "Melting_Curves/meltCurve_D6RIE3_COX7A2.pdf")</f>
        <v>Melting_Curves/meltCurve_D6RIE3_COX7A2.pdf</v>
      </c>
    </row>
    <row r="425" spans="1:28" x14ac:dyDescent="0.25">
      <c r="A425" t="s">
        <v>429</v>
      </c>
      <c r="B425">
        <v>0.99252571173614901</v>
      </c>
      <c r="C425">
        <v>1.09780006514407</v>
      </c>
      <c r="D425">
        <v>0.86247518919598198</v>
      </c>
      <c r="E425">
        <v>0.80839638560125004</v>
      </c>
      <c r="F425">
        <v>0.51099283144144902</v>
      </c>
      <c r="G425">
        <v>0.29954641044417901</v>
      </c>
      <c r="H425">
        <v>0.29076478996070798</v>
      </c>
      <c r="I425">
        <v>0.404043589430297</v>
      </c>
      <c r="J425">
        <v>0.61790242849031696</v>
      </c>
      <c r="K425">
        <v>0.43345729256739701</v>
      </c>
      <c r="L425">
        <v>1695.36040025394</v>
      </c>
      <c r="M425">
        <v>33.618217079410002</v>
      </c>
      <c r="N425">
        <v>53.136446414162499</v>
      </c>
      <c r="O425">
        <v>50.252376132696</v>
      </c>
      <c r="P425">
        <v>-9.8711855670662998E-2</v>
      </c>
      <c r="Q425">
        <v>0.40978610936711801</v>
      </c>
      <c r="R425">
        <v>0.87224406328775805</v>
      </c>
      <c r="S425" t="s">
        <v>7071</v>
      </c>
      <c r="T425" t="s">
        <v>13290</v>
      </c>
      <c r="U425" t="s">
        <v>13290</v>
      </c>
      <c r="V425" t="s">
        <v>13290</v>
      </c>
      <c r="W425" t="s">
        <v>13710</v>
      </c>
      <c r="X425">
        <v>1</v>
      </c>
      <c r="Y425" t="s">
        <v>20298</v>
      </c>
      <c r="Z425" t="s">
        <v>26755</v>
      </c>
      <c r="AA425">
        <v>0.61790212468544092</v>
      </c>
      <c r="AB425" t="str">
        <f>HYPERLINK("Melting_Curves/meltCurve_D6RIU2_CLDND1.pdf", "Melting_Curves/meltCurve_D6RIU2_CLDND1.pdf")</f>
        <v>Melting_Curves/meltCurve_D6RIU2_CLDND1.pdf</v>
      </c>
    </row>
    <row r="426" spans="1:28" x14ac:dyDescent="0.25">
      <c r="A426" t="s">
        <v>430</v>
      </c>
      <c r="B426">
        <v>0.99252571173614901</v>
      </c>
      <c r="C426">
        <v>0.81387070383500804</v>
      </c>
      <c r="D426">
        <v>0.80786268658465699</v>
      </c>
      <c r="E426">
        <v>0.66369256998068005</v>
      </c>
      <c r="F426">
        <v>0.59238699502449699</v>
      </c>
      <c r="G426">
        <v>0.38398941973332001</v>
      </c>
      <c r="H426">
        <v>0.21228038327621401</v>
      </c>
      <c r="I426">
        <v>0.120991197726166</v>
      </c>
      <c r="J426">
        <v>0.19461119190731299</v>
      </c>
      <c r="K426">
        <v>0.135219229144</v>
      </c>
      <c r="L426">
        <v>468.31284458463699</v>
      </c>
      <c r="M426">
        <v>8.7380995565500204</v>
      </c>
      <c r="N426">
        <v>53.594358625690397</v>
      </c>
      <c r="O426">
        <v>51.009563568108199</v>
      </c>
      <c r="P426">
        <v>-4.2860561795077301E-2</v>
      </c>
      <c r="Q426">
        <v>0</v>
      </c>
      <c r="R426">
        <v>0.973004613753785</v>
      </c>
      <c r="S426" t="s">
        <v>7072</v>
      </c>
      <c r="T426" t="s">
        <v>13290</v>
      </c>
      <c r="U426" t="s">
        <v>13290</v>
      </c>
      <c r="V426" t="s">
        <v>13290</v>
      </c>
      <c r="W426" t="s">
        <v>13711</v>
      </c>
      <c r="X426">
        <v>2</v>
      </c>
      <c r="Y426" t="s">
        <v>20299</v>
      </c>
      <c r="Z426" t="s">
        <v>26756</v>
      </c>
      <c r="AA426">
        <v>0.48814785104656327</v>
      </c>
      <c r="AB426" t="str">
        <f>HYPERLINK("Melting_Curves/meltCurve_D6RIZ4_MFSD10.pdf", "Melting_Curves/meltCurve_D6RIZ4_MFSD10.pdf")</f>
        <v>Melting_Curves/meltCurve_D6RIZ4_MFSD10.pdf</v>
      </c>
    </row>
    <row r="427" spans="1:28" x14ac:dyDescent="0.25">
      <c r="A427" t="s">
        <v>431</v>
      </c>
      <c r="B427">
        <v>0.99252571173614901</v>
      </c>
      <c r="C427">
        <v>1.20731380937058</v>
      </c>
      <c r="D427">
        <v>1.0034464589262</v>
      </c>
      <c r="E427">
        <v>1.02933363622781</v>
      </c>
      <c r="F427">
        <v>0.90363698414306104</v>
      </c>
      <c r="G427">
        <v>0.69182715630741298</v>
      </c>
      <c r="H427">
        <v>0.59577906556386695</v>
      </c>
      <c r="I427">
        <v>0.54121825303974203</v>
      </c>
      <c r="J427">
        <v>0.73957525185407802</v>
      </c>
      <c r="K427">
        <v>0.65708362673346898</v>
      </c>
      <c r="L427">
        <v>2549.85273336522</v>
      </c>
      <c r="M427">
        <v>46.816674613037399</v>
      </c>
      <c r="O427">
        <v>54.365533158981499</v>
      </c>
      <c r="P427">
        <v>-7.86358025618899E-2</v>
      </c>
      <c r="Q427">
        <v>0.63473933052576703</v>
      </c>
      <c r="R427">
        <v>0.84896551573968604</v>
      </c>
      <c r="S427" t="s">
        <v>7073</v>
      </c>
      <c r="T427" t="s">
        <v>13290</v>
      </c>
      <c r="U427" t="s">
        <v>13290</v>
      </c>
      <c r="V427" t="s">
        <v>13290</v>
      </c>
      <c r="W427" t="s">
        <v>13712</v>
      </c>
      <c r="X427">
        <v>1</v>
      </c>
      <c r="Y427" t="s">
        <v>20300</v>
      </c>
      <c r="Z427" t="s">
        <v>26757</v>
      </c>
      <c r="AA427">
        <v>0.81185226157237744</v>
      </c>
      <c r="AB427" t="str">
        <f>HYPERLINK("Melting_Curves/meltCurve_D6RJG8_RFESD.pdf", "Melting_Curves/meltCurve_D6RJG8_RFESD.pdf")</f>
        <v>Melting_Curves/meltCurve_D6RJG8_RFESD.pdf</v>
      </c>
    </row>
    <row r="428" spans="1:28" x14ac:dyDescent="0.25">
      <c r="A428" t="s">
        <v>432</v>
      </c>
      <c r="B428">
        <v>0.99252571173614901</v>
      </c>
      <c r="C428">
        <v>0.95726849798831104</v>
      </c>
      <c r="D428">
        <v>0.84563633492677204</v>
      </c>
      <c r="E428">
        <v>0.74789327172140596</v>
      </c>
      <c r="F428">
        <v>0.57823957442609897</v>
      </c>
      <c r="G428">
        <v>0.45951350343560998</v>
      </c>
      <c r="H428">
        <v>0.32402218564891699</v>
      </c>
      <c r="I428">
        <v>0.31780837169446902</v>
      </c>
      <c r="J428">
        <v>0.42126122893523799</v>
      </c>
      <c r="K428">
        <v>0.26759986831135901</v>
      </c>
      <c r="L428">
        <v>673.66651027874002</v>
      </c>
      <c r="M428">
        <v>13.091220120208501</v>
      </c>
      <c r="N428">
        <v>55.115334795698601</v>
      </c>
      <c r="O428">
        <v>50.303076690636601</v>
      </c>
      <c r="P428">
        <v>-4.6189899145737602E-2</v>
      </c>
      <c r="Q428">
        <v>0.29018238677786301</v>
      </c>
      <c r="R428">
        <v>0.97614366813307296</v>
      </c>
      <c r="S428" t="s">
        <v>7074</v>
      </c>
      <c r="T428" t="s">
        <v>13290</v>
      </c>
      <c r="U428" t="s">
        <v>13290</v>
      </c>
      <c r="V428" t="s">
        <v>13290</v>
      </c>
      <c r="W428" t="s">
        <v>13713</v>
      </c>
      <c r="X428">
        <v>3</v>
      </c>
      <c r="Y428" t="s">
        <v>20301</v>
      </c>
      <c r="Z428" t="s">
        <v>26758</v>
      </c>
      <c r="AA428">
        <v>0.58121714896948184</v>
      </c>
      <c r="AB428" t="str">
        <f>HYPERLINK("Melting_Curves/meltCurve_E1P5H9_SLCO4A1.pdf", "Melting_Curves/meltCurve_E1P5H9_SLCO4A1.pdf")</f>
        <v>Melting_Curves/meltCurve_E1P5H9_SLCO4A1.pdf</v>
      </c>
    </row>
    <row r="429" spans="1:28" x14ac:dyDescent="0.25">
      <c r="A429" t="s">
        <v>433</v>
      </c>
      <c r="B429">
        <v>0.99252571173614901</v>
      </c>
      <c r="C429">
        <v>0.893073957219645</v>
      </c>
      <c r="D429">
        <v>0.91050287044181299</v>
      </c>
      <c r="E429">
        <v>0.89792319253002895</v>
      </c>
      <c r="F429">
        <v>0.42201700075840398</v>
      </c>
      <c r="G429">
        <v>0.24881931697700199</v>
      </c>
      <c r="H429">
        <v>0.23742425194468</v>
      </c>
      <c r="I429">
        <v>0.31968484954132298</v>
      </c>
      <c r="J429">
        <v>0.28902476507446201</v>
      </c>
      <c r="K429">
        <v>0.29710054310428502</v>
      </c>
      <c r="L429">
        <v>2346.4629160152999</v>
      </c>
      <c r="M429">
        <v>45.526902656808403</v>
      </c>
      <c r="N429">
        <v>52.470481538187599</v>
      </c>
      <c r="O429">
        <v>51.440987216006597</v>
      </c>
      <c r="P429">
        <v>-0.159979997218056</v>
      </c>
      <c r="Q429">
        <v>0.276953243319637</v>
      </c>
      <c r="R429">
        <v>0.97437182484378204</v>
      </c>
      <c r="S429" t="s">
        <v>7075</v>
      </c>
      <c r="T429" t="s">
        <v>13290</v>
      </c>
      <c r="U429" t="s">
        <v>13290</v>
      </c>
      <c r="V429" t="s">
        <v>13290</v>
      </c>
      <c r="W429" t="s">
        <v>13714</v>
      </c>
      <c r="X429">
        <v>19</v>
      </c>
      <c r="Y429" t="s">
        <v>20302</v>
      </c>
      <c r="Z429" t="s">
        <v>26759</v>
      </c>
      <c r="AA429">
        <v>0.55707330810452527</v>
      </c>
      <c r="AB429" t="str">
        <f>HYPERLINK("Melting_Curves/meltCurve_E2QRD0_VWA8.pdf", "Melting_Curves/meltCurve_E2QRD0_VWA8.pdf")</f>
        <v>Melting_Curves/meltCurve_E2QRD0_VWA8.pdf</v>
      </c>
    </row>
    <row r="430" spans="1:28" x14ac:dyDescent="0.25">
      <c r="A430" t="s">
        <v>434</v>
      </c>
      <c r="B430">
        <v>0.99252571173614901</v>
      </c>
      <c r="C430">
        <v>1.09730989681848</v>
      </c>
      <c r="D430">
        <v>0.96081816035131595</v>
      </c>
      <c r="E430">
        <v>0.72368244371175905</v>
      </c>
      <c r="F430">
        <v>0.28652383845354201</v>
      </c>
      <c r="G430">
        <v>0.156281292519375</v>
      </c>
      <c r="H430">
        <v>0.10817054768327899</v>
      </c>
      <c r="I430">
        <v>0.11118895120842399</v>
      </c>
      <c r="J430">
        <v>0.13949587647706099</v>
      </c>
      <c r="K430">
        <v>0.165395746296153</v>
      </c>
      <c r="L430">
        <v>1690.7044917178</v>
      </c>
      <c r="M430">
        <v>33.320057788289603</v>
      </c>
      <c r="N430">
        <v>51.206863860417599</v>
      </c>
      <c r="O430">
        <v>50.559618769644203</v>
      </c>
      <c r="P430">
        <v>-0.14322853438571301</v>
      </c>
      <c r="Q430">
        <v>0.13066788455917999</v>
      </c>
      <c r="R430">
        <v>0.99206262711724003</v>
      </c>
      <c r="S430" t="s">
        <v>7076</v>
      </c>
      <c r="T430" t="s">
        <v>13290</v>
      </c>
      <c r="U430" t="s">
        <v>13290</v>
      </c>
      <c r="V430" t="s">
        <v>13290</v>
      </c>
      <c r="W430" t="s">
        <v>13715</v>
      </c>
      <c r="X430">
        <v>8</v>
      </c>
      <c r="Y430" t="s">
        <v>20303</v>
      </c>
      <c r="Z430" t="s">
        <v>26760</v>
      </c>
      <c r="AA430">
        <v>0.44633440766806332</v>
      </c>
      <c r="AB430" t="str">
        <f>HYPERLINK("Melting_Curves/meltCurve_E2QRD5_C15orf38_AP3S2.pdf", "Melting_Curves/meltCurve_E2QRD5_C15orf38_AP3S2.pdf")</f>
        <v>Melting_Curves/meltCurve_E2QRD5_C15orf38_AP3S2.pdf</v>
      </c>
    </row>
    <row r="431" spans="1:28" x14ac:dyDescent="0.25">
      <c r="A431" t="s">
        <v>435</v>
      </c>
      <c r="B431">
        <v>0.99252571173614901</v>
      </c>
      <c r="C431">
        <v>1.0580688454457401</v>
      </c>
      <c r="D431">
        <v>0.96275082352332797</v>
      </c>
      <c r="E431">
        <v>0.90787396343231797</v>
      </c>
      <c r="F431">
        <v>0.77811981872779401</v>
      </c>
      <c r="G431">
        <v>0.64936423364212703</v>
      </c>
      <c r="H431">
        <v>0.66233755612164302</v>
      </c>
      <c r="I431">
        <v>0.890428521739279</v>
      </c>
      <c r="J431">
        <v>1.2785023831642901</v>
      </c>
      <c r="K431">
        <v>1.4080809533710299</v>
      </c>
      <c r="L431">
        <v>15000</v>
      </c>
      <c r="M431">
        <v>224.31162373408901</v>
      </c>
      <c r="O431">
        <v>66.865940510779595</v>
      </c>
      <c r="P431">
        <v>0.34226543809480697</v>
      </c>
      <c r="Q431">
        <v>1.4081090403007199</v>
      </c>
      <c r="R431">
        <v>0.42166646366496402</v>
      </c>
      <c r="S431" t="s">
        <v>7077</v>
      </c>
      <c r="T431" t="s">
        <v>13290</v>
      </c>
      <c r="U431" t="s">
        <v>13290</v>
      </c>
      <c r="V431" t="s">
        <v>13290</v>
      </c>
      <c r="W431" t="s">
        <v>13716</v>
      </c>
      <c r="X431">
        <v>10</v>
      </c>
      <c r="Y431" t="s">
        <v>20304</v>
      </c>
      <c r="Z431" t="s">
        <v>26761</v>
      </c>
      <c r="AA431">
        <v>1.042502993572499</v>
      </c>
      <c r="AB431" t="str">
        <f>HYPERLINK("Melting_Curves/meltCurve_E2QRF9_GMNN.pdf", "Melting_Curves/meltCurve_E2QRF9_GMNN.pdf")</f>
        <v>Melting_Curves/meltCurve_E2QRF9_GMNN.pdf</v>
      </c>
    </row>
    <row r="432" spans="1:28" x14ac:dyDescent="0.25">
      <c r="A432" t="s">
        <v>436</v>
      </c>
      <c r="B432">
        <v>0.99252571173614901</v>
      </c>
      <c r="C432">
        <v>1.0300308837944601</v>
      </c>
      <c r="D432">
        <v>0.973522352376188</v>
      </c>
      <c r="E432">
        <v>0.81340654122428102</v>
      </c>
      <c r="F432">
        <v>0.74934975889315603</v>
      </c>
      <c r="G432">
        <v>0.57172235213313605</v>
      </c>
      <c r="H432">
        <v>0.44662600275472097</v>
      </c>
      <c r="I432">
        <v>0.281631681863732</v>
      </c>
      <c r="J432">
        <v>0.19141511177620099</v>
      </c>
      <c r="K432">
        <v>0.129989890196192</v>
      </c>
      <c r="L432">
        <v>621.15763883774105</v>
      </c>
      <c r="M432">
        <v>10.6137622896703</v>
      </c>
      <c r="N432">
        <v>58.523784858213801</v>
      </c>
      <c r="O432">
        <v>56.560915980660099</v>
      </c>
      <c r="P432">
        <v>-4.6931130902679002E-2</v>
      </c>
      <c r="Q432">
        <v>0</v>
      </c>
      <c r="R432">
        <v>0.99125396114767195</v>
      </c>
      <c r="S432" t="s">
        <v>7078</v>
      </c>
      <c r="T432" t="s">
        <v>13290</v>
      </c>
      <c r="U432" t="s">
        <v>13290</v>
      </c>
      <c r="V432" t="s">
        <v>13290</v>
      </c>
      <c r="W432" t="s">
        <v>13717</v>
      </c>
      <c r="X432">
        <v>1</v>
      </c>
      <c r="Y432" t="s">
        <v>20305</v>
      </c>
      <c r="Z432" t="s">
        <v>26762</v>
      </c>
      <c r="AA432">
        <v>0.62548471354137147</v>
      </c>
      <c r="AB432" t="str">
        <f>HYPERLINK("Melting_Curves/meltCurve_E5RFI2_MRPL13.pdf", "Melting_Curves/meltCurve_E5RFI2_MRPL13.pdf")</f>
        <v>Melting_Curves/meltCurve_E5RFI2_MRPL13.pdf</v>
      </c>
    </row>
    <row r="433" spans="1:28" x14ac:dyDescent="0.25">
      <c r="A433" t="s">
        <v>437</v>
      </c>
      <c r="B433">
        <v>0.99252571173614901</v>
      </c>
      <c r="C433">
        <v>0.95053886349231798</v>
      </c>
      <c r="D433">
        <v>0.84174990432021901</v>
      </c>
      <c r="E433">
        <v>0.94955096484999202</v>
      </c>
      <c r="F433">
        <v>0.51420483407556805</v>
      </c>
      <c r="G433">
        <v>0.29832528960815202</v>
      </c>
      <c r="H433">
        <v>0.29529910745677601</v>
      </c>
      <c r="I433">
        <v>0.39981364781092998</v>
      </c>
      <c r="J433">
        <v>0.64610807591462005</v>
      </c>
      <c r="K433">
        <v>0.76666247505787399</v>
      </c>
      <c r="L433">
        <v>3713.40355635673</v>
      </c>
      <c r="M433">
        <v>72.637404907336702</v>
      </c>
      <c r="N433">
        <v>53.568721610261299</v>
      </c>
      <c r="O433">
        <v>51.083771650380797</v>
      </c>
      <c r="P433">
        <v>-0.18418589140445699</v>
      </c>
      <c r="Q433">
        <v>0.481869902927132</v>
      </c>
      <c r="R433">
        <v>0.68788842631196501</v>
      </c>
      <c r="S433" t="s">
        <v>7079</v>
      </c>
      <c r="T433" t="s">
        <v>13290</v>
      </c>
      <c r="U433" t="s">
        <v>13290</v>
      </c>
      <c r="V433" t="s">
        <v>13290</v>
      </c>
      <c r="W433" t="s">
        <v>13718</v>
      </c>
      <c r="X433">
        <v>1</v>
      </c>
      <c r="Y433" t="s">
        <v>20306</v>
      </c>
      <c r="Z433" t="s">
        <v>26763</v>
      </c>
      <c r="AA433">
        <v>0.67451810728227868</v>
      </c>
      <c r="AB433" t="str">
        <f>HYPERLINK("Melting_Curves/meltCurve_E5RFJ1_NSMCE2.pdf", "Melting_Curves/meltCurve_E5RFJ1_NSMCE2.pdf")</f>
        <v>Melting_Curves/meltCurve_E5RFJ1_NSMCE2.pdf</v>
      </c>
    </row>
    <row r="434" spans="1:28" x14ac:dyDescent="0.25">
      <c r="A434" t="s">
        <v>438</v>
      </c>
      <c r="B434">
        <v>0.99252571173614901</v>
      </c>
      <c r="C434">
        <v>1.08789306055379</v>
      </c>
      <c r="D434">
        <v>0.98721721009076802</v>
      </c>
      <c r="E434">
        <v>0.83348483134132501</v>
      </c>
      <c r="F434">
        <v>0.82989196856390102</v>
      </c>
      <c r="G434">
        <v>0.68956092708813799</v>
      </c>
      <c r="H434">
        <v>0.59991606490567095</v>
      </c>
      <c r="I434">
        <v>0.33525727182145998</v>
      </c>
      <c r="J434">
        <v>0.110801444381691</v>
      </c>
      <c r="K434">
        <v>0.113103520492486</v>
      </c>
      <c r="L434">
        <v>809.49744680424601</v>
      </c>
      <c r="M434">
        <v>13.384306662120901</v>
      </c>
      <c r="N434">
        <v>60.481089438475699</v>
      </c>
      <c r="O434">
        <v>59.178807978718901</v>
      </c>
      <c r="P434">
        <v>-5.6550723373965203E-2</v>
      </c>
      <c r="Q434">
        <v>0</v>
      </c>
      <c r="R434">
        <v>0.95910945704432804</v>
      </c>
      <c r="S434" t="s">
        <v>7080</v>
      </c>
      <c r="T434" t="s">
        <v>13290</v>
      </c>
      <c r="U434" t="s">
        <v>13290</v>
      </c>
      <c r="V434" t="s">
        <v>13290</v>
      </c>
      <c r="W434" t="s">
        <v>13719</v>
      </c>
      <c r="X434">
        <v>19</v>
      </c>
      <c r="Y434" t="s">
        <v>20307</v>
      </c>
      <c r="Z434" t="s">
        <v>26764</v>
      </c>
      <c r="AA434">
        <v>0.68522415558440786</v>
      </c>
      <c r="AB434" t="str">
        <f>HYPERLINK("Melting_Curves/meltCurve_E5RG17_TATDN1.pdf", "Melting_Curves/meltCurve_E5RG17_TATDN1.pdf")</f>
        <v>Melting_Curves/meltCurve_E5RG17_TATDN1.pdf</v>
      </c>
    </row>
    <row r="435" spans="1:28" x14ac:dyDescent="0.25">
      <c r="A435" t="s">
        <v>439</v>
      </c>
      <c r="B435">
        <v>0.99252571173614901</v>
      </c>
      <c r="C435">
        <v>0.86908332082096595</v>
      </c>
      <c r="D435">
        <v>0.81787141382398398</v>
      </c>
      <c r="E435">
        <v>0.570225463483374</v>
      </c>
      <c r="F435">
        <v>0.48904171157430698</v>
      </c>
      <c r="G435">
        <v>0.374260378207043</v>
      </c>
      <c r="H435">
        <v>0.30352992822606301</v>
      </c>
      <c r="I435">
        <v>0.38041282097669099</v>
      </c>
      <c r="J435">
        <v>0.47256518526319402</v>
      </c>
      <c r="K435">
        <v>0.33916603769901699</v>
      </c>
      <c r="L435">
        <v>813.18282742898998</v>
      </c>
      <c r="M435">
        <v>17.020534993046901</v>
      </c>
      <c r="N435">
        <v>51.742835078783202</v>
      </c>
      <c r="O435">
        <v>47.131671269071497</v>
      </c>
      <c r="P435">
        <v>-5.7389332768854197E-2</v>
      </c>
      <c r="Q435">
        <v>0.364370193705844</v>
      </c>
      <c r="R435">
        <v>0.95673363580903403</v>
      </c>
      <c r="S435" t="s">
        <v>7081</v>
      </c>
      <c r="T435" t="s">
        <v>13290</v>
      </c>
      <c r="U435" t="s">
        <v>13290</v>
      </c>
      <c r="V435" t="s">
        <v>13290</v>
      </c>
      <c r="W435" t="s">
        <v>13720</v>
      </c>
      <c r="X435">
        <v>2</v>
      </c>
      <c r="Y435" t="s">
        <v>20308</v>
      </c>
      <c r="Z435" t="s">
        <v>26765</v>
      </c>
      <c r="AA435">
        <v>0.54190994573721174</v>
      </c>
      <c r="AB435" t="str">
        <f>HYPERLINK("Melting_Curves/meltCurve_E5RG44_TRIQK.pdf", "Melting_Curves/meltCurve_E5RG44_TRIQK.pdf")</f>
        <v>Melting_Curves/meltCurve_E5RG44_TRIQK.pdf</v>
      </c>
    </row>
    <row r="436" spans="1:28" x14ac:dyDescent="0.25">
      <c r="A436" t="s">
        <v>440</v>
      </c>
      <c r="B436">
        <v>0.99252571173614901</v>
      </c>
      <c r="C436">
        <v>1.1262243757141901</v>
      </c>
      <c r="D436">
        <v>0.98424375508111295</v>
      </c>
      <c r="E436">
        <v>0.81981163442150196</v>
      </c>
      <c r="F436">
        <v>0.81369100312916398</v>
      </c>
      <c r="G436">
        <v>0.49569230528809399</v>
      </c>
      <c r="H436">
        <v>0.336789297309386</v>
      </c>
      <c r="I436">
        <v>0.30902698039572002</v>
      </c>
      <c r="J436">
        <v>0.48150367087683299</v>
      </c>
      <c r="K436">
        <v>0.39736288023286698</v>
      </c>
      <c r="L436">
        <v>1320.7770317087</v>
      </c>
      <c r="M436">
        <v>24.475908346528101</v>
      </c>
      <c r="N436">
        <v>57.089587099422502</v>
      </c>
      <c r="O436">
        <v>53.605988941270802</v>
      </c>
      <c r="P436">
        <v>-7.2008099181135904E-2</v>
      </c>
      <c r="Q436">
        <v>0.36917424330679599</v>
      </c>
      <c r="R436">
        <v>0.93088967258760003</v>
      </c>
      <c r="S436" t="s">
        <v>7082</v>
      </c>
      <c r="T436" t="s">
        <v>13290</v>
      </c>
      <c r="U436" t="s">
        <v>13290</v>
      </c>
      <c r="V436" t="s">
        <v>13290</v>
      </c>
      <c r="W436" t="s">
        <v>13721</v>
      </c>
      <c r="X436">
        <v>2</v>
      </c>
      <c r="Y436" t="s">
        <v>20309</v>
      </c>
      <c r="Z436" t="s">
        <v>26766</v>
      </c>
      <c r="AA436">
        <v>0.66883321878305868</v>
      </c>
      <c r="AB436" t="str">
        <f>HYPERLINK("Melting_Curves/meltCurve_E5RGQ3_RWDD1.pdf", "Melting_Curves/meltCurve_E5RGQ3_RWDD1.pdf")</f>
        <v>Melting_Curves/meltCurve_E5RGQ3_RWDD1.pdf</v>
      </c>
    </row>
    <row r="437" spans="1:28" x14ac:dyDescent="0.25">
      <c r="A437" t="s">
        <v>441</v>
      </c>
      <c r="B437">
        <v>0.99252571173614901</v>
      </c>
      <c r="C437">
        <v>1.14045288356847</v>
      </c>
      <c r="D437">
        <v>0.98516781958846</v>
      </c>
      <c r="E437">
        <v>0.76055383900645201</v>
      </c>
      <c r="F437">
        <v>0.58283926983324996</v>
      </c>
      <c r="G437">
        <v>0.53257716837841196</v>
      </c>
      <c r="H437">
        <v>0.70123427045953002</v>
      </c>
      <c r="I437">
        <v>1.2059601447609301</v>
      </c>
      <c r="J437">
        <v>1.8665295860654501</v>
      </c>
      <c r="K437">
        <v>2.0368441242322</v>
      </c>
      <c r="L437">
        <v>15000</v>
      </c>
      <c r="M437">
        <v>234.01928966649299</v>
      </c>
      <c r="O437">
        <v>64.092599228902202</v>
      </c>
      <c r="P437">
        <v>0.45640856532193802</v>
      </c>
      <c r="Q437">
        <v>1.5</v>
      </c>
      <c r="R437">
        <v>0.58451541930970496</v>
      </c>
      <c r="S437" t="s">
        <v>7083</v>
      </c>
      <c r="T437" t="s">
        <v>13290</v>
      </c>
      <c r="U437" t="s">
        <v>13290</v>
      </c>
      <c r="V437" t="s">
        <v>13290</v>
      </c>
      <c r="W437" t="s">
        <v>13722</v>
      </c>
      <c r="X437">
        <v>7</v>
      </c>
      <c r="Y437" t="s">
        <v>20310</v>
      </c>
      <c r="Z437" t="s">
        <v>26767</v>
      </c>
      <c r="AA437">
        <v>1.098314471209427</v>
      </c>
      <c r="AB437" t="str">
        <f>HYPERLINK("Melting_Curves/meltCurve_E5RGX5_STMN2.pdf", "Melting_Curves/meltCurve_E5RGX5_STMN2.pdf")</f>
        <v>Melting_Curves/meltCurve_E5RGX5_STMN2.pdf</v>
      </c>
    </row>
    <row r="438" spans="1:28" x14ac:dyDescent="0.25">
      <c r="A438" t="s">
        <v>442</v>
      </c>
      <c r="B438">
        <v>0.99252571173614901</v>
      </c>
      <c r="C438">
        <v>0.91058540692249101</v>
      </c>
      <c r="D438">
        <v>0.745648460319838</v>
      </c>
      <c r="E438">
        <v>0.42651402938126998</v>
      </c>
      <c r="F438">
        <v>0.51124614493462195</v>
      </c>
      <c r="G438">
        <v>0.31493290524751399</v>
      </c>
      <c r="H438">
        <v>0.22170494504590699</v>
      </c>
      <c r="I438">
        <v>0.198301605376629</v>
      </c>
      <c r="J438">
        <v>0.185670927868821</v>
      </c>
      <c r="K438">
        <v>6.9665426637289293E-2</v>
      </c>
      <c r="L438">
        <v>520.45383228109097</v>
      </c>
      <c r="M438">
        <v>10.395352021777001</v>
      </c>
      <c r="N438">
        <v>51.100313912836697</v>
      </c>
      <c r="O438">
        <v>48.319580154269701</v>
      </c>
      <c r="P438">
        <v>-4.8702082498464402E-2</v>
      </c>
      <c r="Q438">
        <v>9.4873220586386101E-2</v>
      </c>
      <c r="R438">
        <v>0.95606670585646203</v>
      </c>
      <c r="S438" t="s">
        <v>7084</v>
      </c>
      <c r="T438" t="s">
        <v>13290</v>
      </c>
      <c r="U438" t="s">
        <v>13290</v>
      </c>
      <c r="V438" t="s">
        <v>13290</v>
      </c>
      <c r="W438" t="s">
        <v>13723</v>
      </c>
      <c r="X438">
        <v>2</v>
      </c>
      <c r="Y438" t="s">
        <v>20311</v>
      </c>
      <c r="Z438" t="s">
        <v>26768</v>
      </c>
      <c r="AA438">
        <v>0.43715515830859369</v>
      </c>
      <c r="AB438" t="str">
        <f>HYPERLINK("Melting_Curves/meltCurve_E5RGY0_DERL1.pdf", "Melting_Curves/meltCurve_E5RGY0_DERL1.pdf")</f>
        <v>Melting_Curves/meltCurve_E5RGY0_DERL1.pdf</v>
      </c>
    </row>
    <row r="439" spans="1:28" x14ac:dyDescent="0.25">
      <c r="A439" t="s">
        <v>443</v>
      </c>
      <c r="B439">
        <v>0.99252571173614901</v>
      </c>
      <c r="C439">
        <v>1.0486149213790601</v>
      </c>
      <c r="D439">
        <v>0.979254919866832</v>
      </c>
      <c r="E439">
        <v>0.79673312344252001</v>
      </c>
      <c r="F439">
        <v>0.30260309953105002</v>
      </c>
      <c r="G439">
        <v>0.114027595246802</v>
      </c>
      <c r="H439">
        <v>7.1931996589096506E-2</v>
      </c>
      <c r="I439">
        <v>7.9292430444787496E-2</v>
      </c>
      <c r="J439">
        <v>0.10773293969640201</v>
      </c>
      <c r="K439">
        <v>0.104955318161761</v>
      </c>
      <c r="L439">
        <v>1804.0435484009399</v>
      </c>
      <c r="M439">
        <v>35.114088623410701</v>
      </c>
      <c r="N439">
        <v>51.664659952017999</v>
      </c>
      <c r="O439">
        <v>51.210846728690697</v>
      </c>
      <c r="P439">
        <v>-0.15618130617595299</v>
      </c>
      <c r="Q439">
        <v>8.8895596068150701E-2</v>
      </c>
      <c r="R439">
        <v>0.99780740132279999</v>
      </c>
      <c r="S439" t="s">
        <v>7085</v>
      </c>
      <c r="T439" t="s">
        <v>13290</v>
      </c>
      <c r="U439" t="s">
        <v>13290</v>
      </c>
      <c r="V439" t="s">
        <v>13290</v>
      </c>
      <c r="W439" t="s">
        <v>13724</v>
      </c>
      <c r="X439">
        <v>6</v>
      </c>
      <c r="Y439" t="s">
        <v>20312</v>
      </c>
      <c r="Z439" t="s">
        <v>26769</v>
      </c>
      <c r="AA439">
        <v>0.43860994800912112</v>
      </c>
      <c r="AB439" t="str">
        <f>HYPERLINK("Melting_Curves/meltCurve_E5RHG8_TCEB1.pdf", "Melting_Curves/meltCurve_E5RHG8_TCEB1.pdf")</f>
        <v>Melting_Curves/meltCurve_E5RHG8_TCEB1.pdf</v>
      </c>
    </row>
    <row r="440" spans="1:28" x14ac:dyDescent="0.25">
      <c r="A440" t="s">
        <v>444</v>
      </c>
      <c r="B440">
        <v>0.99252571173614901</v>
      </c>
      <c r="C440">
        <v>1.12774340657037</v>
      </c>
      <c r="D440">
        <v>1.0859312160893499</v>
      </c>
      <c r="E440">
        <v>0.64900080783101199</v>
      </c>
      <c r="F440">
        <v>0.25585681079769002</v>
      </c>
      <c r="G440">
        <v>0.13827240721077599</v>
      </c>
      <c r="H440">
        <v>0.107885154245384</v>
      </c>
      <c r="I440">
        <v>0.109813517042145</v>
      </c>
      <c r="J440">
        <v>0.12421749870798</v>
      </c>
      <c r="K440">
        <v>0.12502743056542401</v>
      </c>
      <c r="L440">
        <v>1944.0877019274201</v>
      </c>
      <c r="M440">
        <v>38.655707928260398</v>
      </c>
      <c r="N440">
        <v>50.665604231743998</v>
      </c>
      <c r="O440">
        <v>50.158354160452703</v>
      </c>
      <c r="P440">
        <v>-0.16879737569679801</v>
      </c>
      <c r="Q440">
        <v>0.123898765449097</v>
      </c>
      <c r="R440">
        <v>0.98235158613847595</v>
      </c>
      <c r="S440" t="s">
        <v>7086</v>
      </c>
      <c r="T440" t="s">
        <v>13290</v>
      </c>
      <c r="U440" t="s">
        <v>13290</v>
      </c>
      <c r="V440" t="s">
        <v>13290</v>
      </c>
      <c r="W440" t="s">
        <v>13725</v>
      </c>
      <c r="X440">
        <v>13</v>
      </c>
      <c r="Y440" t="s">
        <v>20313</v>
      </c>
      <c r="Z440" t="s">
        <v>26770</v>
      </c>
      <c r="AA440">
        <v>0.42773487087110651</v>
      </c>
      <c r="AB440" t="str">
        <f>HYPERLINK("Melting_Curves/meltCurve_E5RHK8_DNM3.pdf", "Melting_Curves/meltCurve_E5RHK8_DNM3.pdf")</f>
        <v>Melting_Curves/meltCurve_E5RHK8_DNM3.pdf</v>
      </c>
    </row>
    <row r="441" spans="1:28" x14ac:dyDescent="0.25">
      <c r="A441" t="s">
        <v>445</v>
      </c>
      <c r="B441">
        <v>0.99252571173614901</v>
      </c>
      <c r="C441">
        <v>0.96380473650850496</v>
      </c>
      <c r="D441">
        <v>0.86286667022664798</v>
      </c>
      <c r="E441">
        <v>0.61231612294466797</v>
      </c>
      <c r="F441">
        <v>0.30188890595409301</v>
      </c>
      <c r="G441">
        <v>0.15556966425844501</v>
      </c>
      <c r="H441">
        <v>0.15328611927153299</v>
      </c>
      <c r="I441">
        <v>0.1152762164077</v>
      </c>
      <c r="J441">
        <v>0.21276080517724899</v>
      </c>
      <c r="K441">
        <v>0.16960386412825701</v>
      </c>
      <c r="L441">
        <v>1157.3323697391299</v>
      </c>
      <c r="M441">
        <v>23.2654498803231</v>
      </c>
      <c r="N441">
        <v>50.518931289955503</v>
      </c>
      <c r="O441">
        <v>49.381538204541698</v>
      </c>
      <c r="P441">
        <v>-0.10012263971595101</v>
      </c>
      <c r="Q441">
        <v>0.14996331208003799</v>
      </c>
      <c r="R441">
        <v>0.99275964675190298</v>
      </c>
      <c r="S441" t="s">
        <v>7087</v>
      </c>
      <c r="T441" t="s">
        <v>13290</v>
      </c>
      <c r="U441" t="s">
        <v>13290</v>
      </c>
      <c r="V441" t="s">
        <v>13290</v>
      </c>
      <c r="W441" t="s">
        <v>13726</v>
      </c>
      <c r="X441">
        <v>2</v>
      </c>
      <c r="Y441" t="s">
        <v>20314</v>
      </c>
      <c r="Z441" t="s">
        <v>26771</v>
      </c>
      <c r="AA441">
        <v>0.43483636651362018</v>
      </c>
      <c r="AB441" t="str">
        <f>HYPERLINK("Melting_Curves/meltCurve_E5RHW0_TMEM66.pdf", "Melting_Curves/meltCurve_E5RHW0_TMEM66.pdf")</f>
        <v>Melting_Curves/meltCurve_E5RHW0_TMEM66.pdf</v>
      </c>
    </row>
    <row r="442" spans="1:28" x14ac:dyDescent="0.25">
      <c r="A442" t="s">
        <v>446</v>
      </c>
      <c r="B442">
        <v>0.99252571173614901</v>
      </c>
      <c r="C442">
        <v>0.98708005405460897</v>
      </c>
      <c r="D442">
        <v>0.94192318500438998</v>
      </c>
      <c r="E442">
        <v>0.58815078836360202</v>
      </c>
      <c r="F442">
        <v>0.20555049054577801</v>
      </c>
      <c r="G442">
        <v>0.103584114095257</v>
      </c>
      <c r="H442">
        <v>7.27977118944413E-2</v>
      </c>
      <c r="I442">
        <v>9.2438195715642102E-2</v>
      </c>
      <c r="J442">
        <v>0.120123528661327</v>
      </c>
      <c r="K442">
        <v>9.9528540253861403E-2</v>
      </c>
      <c r="L442">
        <v>1594.4127477279701</v>
      </c>
      <c r="M442">
        <v>31.963143605459301</v>
      </c>
      <c r="N442">
        <v>50.209330850155503</v>
      </c>
      <c r="O442">
        <v>49.688825371571603</v>
      </c>
      <c r="P442">
        <v>-0.145727708312336</v>
      </c>
      <c r="Q442">
        <v>9.3831303567360802E-2</v>
      </c>
      <c r="R442">
        <v>0.999023000482409</v>
      </c>
      <c r="S442" t="s">
        <v>7088</v>
      </c>
      <c r="T442" t="s">
        <v>13290</v>
      </c>
      <c r="U442" t="s">
        <v>13290</v>
      </c>
      <c r="V442" t="s">
        <v>13290</v>
      </c>
      <c r="W442" t="s">
        <v>13727</v>
      </c>
      <c r="X442">
        <v>5</v>
      </c>
      <c r="Y442" t="s">
        <v>20315</v>
      </c>
      <c r="Z442" t="s">
        <v>26772</v>
      </c>
      <c r="AA442">
        <v>0.39726897628173807</v>
      </c>
      <c r="AB442" t="str">
        <f>HYPERLINK("Melting_Curves/meltCurve_E5RHW4_ERLIN2.pdf", "Melting_Curves/meltCurve_E5RHW4_ERLIN2.pdf")</f>
        <v>Melting_Curves/meltCurve_E5RHW4_ERLIN2.pdf</v>
      </c>
    </row>
    <row r="443" spans="1:28" x14ac:dyDescent="0.25">
      <c r="A443" t="s">
        <v>447</v>
      </c>
      <c r="B443">
        <v>0.99252571173614901</v>
      </c>
      <c r="C443">
        <v>0.97708038231523298</v>
      </c>
      <c r="D443">
        <v>0.96539376336247396</v>
      </c>
      <c r="E443">
        <v>0.70761274151432196</v>
      </c>
      <c r="F443">
        <v>0.60126717058803303</v>
      </c>
      <c r="G443">
        <v>0.47662428792926398</v>
      </c>
      <c r="H443">
        <v>0.32770650673547902</v>
      </c>
      <c r="I443">
        <v>0.22975674615981201</v>
      </c>
      <c r="J443">
        <v>0.215475238241192</v>
      </c>
      <c r="K443">
        <v>0.19641738349989299</v>
      </c>
      <c r="L443">
        <v>643.291578608706</v>
      </c>
      <c r="M443">
        <v>11.9351561066633</v>
      </c>
      <c r="N443">
        <v>55.439554665168302</v>
      </c>
      <c r="O443">
        <v>52.452600816578702</v>
      </c>
      <c r="P443">
        <v>-4.8868577547431902E-2</v>
      </c>
      <c r="Q443">
        <v>0.14114132094201701</v>
      </c>
      <c r="R443">
        <v>0.98901961177090403</v>
      </c>
      <c r="S443" t="s">
        <v>7089</v>
      </c>
      <c r="T443" t="s">
        <v>13290</v>
      </c>
      <c r="U443" t="s">
        <v>13290</v>
      </c>
      <c r="V443" t="s">
        <v>13290</v>
      </c>
      <c r="W443" t="s">
        <v>13728</v>
      </c>
      <c r="X443">
        <v>6</v>
      </c>
      <c r="Y443" t="s">
        <v>20316</v>
      </c>
      <c r="Z443" t="s">
        <v>26773</v>
      </c>
      <c r="AA443">
        <v>0.56180949979390826</v>
      </c>
      <c r="AB443" t="str">
        <f>HYPERLINK("Melting_Curves/meltCurve_E5RI99_RPL30.pdf", "Melting_Curves/meltCurve_E5RI99_RPL30.pdf")</f>
        <v>Melting_Curves/meltCurve_E5RI99_RPL30.pdf</v>
      </c>
    </row>
    <row r="444" spans="1:28" x14ac:dyDescent="0.25">
      <c r="A444" t="s">
        <v>448</v>
      </c>
      <c r="B444">
        <v>0.99252571173614901</v>
      </c>
      <c r="C444">
        <v>0.98810804478881098</v>
      </c>
      <c r="D444">
        <v>0.72705812954101501</v>
      </c>
      <c r="E444">
        <v>0.52497111146088105</v>
      </c>
      <c r="F444">
        <v>0.16342275167123299</v>
      </c>
      <c r="G444">
        <v>9.6746562615365406E-2</v>
      </c>
      <c r="H444">
        <v>9.9818129236122502E-2</v>
      </c>
      <c r="I444">
        <v>0.21638965135125801</v>
      </c>
      <c r="J444">
        <v>0.29251545035322601</v>
      </c>
      <c r="K444">
        <v>0.14489041898662899</v>
      </c>
      <c r="L444">
        <v>1148.57495533716</v>
      </c>
      <c r="M444">
        <v>23.856848833949201</v>
      </c>
      <c r="N444">
        <v>48.931940553102699</v>
      </c>
      <c r="O444">
        <v>47.810006551480498</v>
      </c>
      <c r="P444">
        <v>-0.104863310977012</v>
      </c>
      <c r="Q444">
        <v>0.15941386371701999</v>
      </c>
      <c r="R444">
        <v>0.95665092207434399</v>
      </c>
      <c r="S444" t="s">
        <v>7090</v>
      </c>
      <c r="T444" t="s">
        <v>13290</v>
      </c>
      <c r="U444" t="s">
        <v>13290</v>
      </c>
      <c r="V444" t="s">
        <v>13290</v>
      </c>
      <c r="W444" t="s">
        <v>13729</v>
      </c>
      <c r="X444">
        <v>4</v>
      </c>
      <c r="Y444" t="s">
        <v>20317</v>
      </c>
      <c r="Z444" t="s">
        <v>26774</v>
      </c>
      <c r="AA444">
        <v>0.39581898359274492</v>
      </c>
      <c r="AB444" t="str">
        <f>HYPERLINK("Melting_Curves/meltCurve_E5RIH5_TTI2.pdf", "Melting_Curves/meltCurve_E5RIH5_TTI2.pdf")</f>
        <v>Melting_Curves/meltCurve_E5RIH5_TTI2.pdf</v>
      </c>
    </row>
    <row r="445" spans="1:28" x14ac:dyDescent="0.25">
      <c r="A445" t="s">
        <v>449</v>
      </c>
      <c r="B445">
        <v>0.99252571173614901</v>
      </c>
      <c r="C445">
        <v>0.95385676808035802</v>
      </c>
      <c r="D445">
        <v>0.77595595799525996</v>
      </c>
      <c r="E445">
        <v>0.62900441715379696</v>
      </c>
      <c r="F445">
        <v>0.47457081310744598</v>
      </c>
      <c r="G445">
        <v>0.32567542588291298</v>
      </c>
      <c r="H445">
        <v>0.24085827982786201</v>
      </c>
      <c r="I445">
        <v>0.19322881708270601</v>
      </c>
      <c r="J445">
        <v>0.21138526533871399</v>
      </c>
      <c r="K445">
        <v>0.172910401904036</v>
      </c>
      <c r="L445">
        <v>632.36744416650004</v>
      </c>
      <c r="M445">
        <v>12.4819958863648</v>
      </c>
      <c r="N445">
        <v>52.181529374070998</v>
      </c>
      <c r="O445">
        <v>49.4147159599788</v>
      </c>
      <c r="P445">
        <v>-5.3540003291857402E-2</v>
      </c>
      <c r="Q445">
        <v>0.15234174778860801</v>
      </c>
      <c r="R445">
        <v>0.99533266767622497</v>
      </c>
      <c r="S445" t="s">
        <v>7091</v>
      </c>
      <c r="T445" t="s">
        <v>13290</v>
      </c>
      <c r="U445" t="s">
        <v>13290</v>
      </c>
      <c r="V445" t="s">
        <v>13290</v>
      </c>
      <c r="W445" t="s">
        <v>13730</v>
      </c>
      <c r="X445">
        <v>15</v>
      </c>
      <c r="Y445" t="s">
        <v>20318</v>
      </c>
      <c r="Z445" t="s">
        <v>26775</v>
      </c>
      <c r="AA445">
        <v>0.4802090556001945</v>
      </c>
      <c r="AB445" t="str">
        <f>HYPERLINK("Melting_Curves/meltCurve_E5RIP7_IMPA1.pdf", "Melting_Curves/meltCurve_E5RIP7_IMPA1.pdf")</f>
        <v>Melting_Curves/meltCurve_E5RIP7_IMPA1.pdf</v>
      </c>
    </row>
    <row r="446" spans="1:28" x14ac:dyDescent="0.25">
      <c r="A446" t="s">
        <v>450</v>
      </c>
      <c r="B446">
        <v>0.99252571173614901</v>
      </c>
      <c r="C446">
        <v>1.0821856633599001</v>
      </c>
      <c r="D446">
        <v>1.10515965027759</v>
      </c>
      <c r="E446">
        <v>1.0759809234036499</v>
      </c>
      <c r="F446">
        <v>0.67168695792427202</v>
      </c>
      <c r="G446">
        <v>0.68274974472643202</v>
      </c>
      <c r="H446">
        <v>0.86563717591710898</v>
      </c>
      <c r="I446">
        <v>1.4165633825714701</v>
      </c>
      <c r="J446">
        <v>2.1414678875646098</v>
      </c>
      <c r="K446">
        <v>2.2944053966442302</v>
      </c>
      <c r="L446">
        <v>15000</v>
      </c>
      <c r="M446">
        <v>235.98291020621701</v>
      </c>
      <c r="O446">
        <v>63.559359811096101</v>
      </c>
      <c r="P446">
        <v>0.46409944844693102</v>
      </c>
      <c r="Q446">
        <v>1.5</v>
      </c>
      <c r="R446">
        <v>0.54800175046085897</v>
      </c>
      <c r="S446" t="s">
        <v>7092</v>
      </c>
      <c r="T446" t="s">
        <v>13290</v>
      </c>
      <c r="U446" t="s">
        <v>13290</v>
      </c>
      <c r="V446" t="s">
        <v>13290</v>
      </c>
      <c r="W446" t="s">
        <v>13731</v>
      </c>
      <c r="X446">
        <v>2</v>
      </c>
      <c r="Y446" t="s">
        <v>20319</v>
      </c>
      <c r="Z446" t="s">
        <v>26776</v>
      </c>
      <c r="AA446">
        <v>1.1072053155797119</v>
      </c>
      <c r="AB446" t="str">
        <f>HYPERLINK("Melting_Curves/meltCurve_E5RIQ9_SERF1A.pdf", "Melting_Curves/meltCurve_E5RIQ9_SERF1A.pdf")</f>
        <v>Melting_Curves/meltCurve_E5RIQ9_SERF1A.pdf</v>
      </c>
    </row>
    <row r="447" spans="1:28" x14ac:dyDescent="0.25">
      <c r="A447" t="s">
        <v>451</v>
      </c>
      <c r="B447">
        <v>0.99252571173614901</v>
      </c>
      <c r="C447">
        <v>1.5871872723274001</v>
      </c>
      <c r="D447">
        <v>0.93329389933242601</v>
      </c>
      <c r="E447">
        <v>0.43987741810646802</v>
      </c>
      <c r="F447">
        <v>4.22113232918033</v>
      </c>
      <c r="G447">
        <v>0.59186714337119195</v>
      </c>
      <c r="H447">
        <v>0.31961526736222601</v>
      </c>
      <c r="I447">
        <v>0.18561094236605499</v>
      </c>
      <c r="J447">
        <v>0.23283465656688099</v>
      </c>
      <c r="K447">
        <v>0.15919254393843199</v>
      </c>
      <c r="L447">
        <v>14194.0519525539</v>
      </c>
      <c r="M447">
        <v>250</v>
      </c>
      <c r="N447">
        <v>56.911736712811901</v>
      </c>
      <c r="O447">
        <v>56.772579691309602</v>
      </c>
      <c r="P447">
        <v>-0.85394085160092703</v>
      </c>
      <c r="Q447">
        <v>0.22431327082108499</v>
      </c>
      <c r="R447">
        <v>0.18816527416543399</v>
      </c>
      <c r="S447" t="s">
        <v>7093</v>
      </c>
      <c r="T447" t="s">
        <v>13290</v>
      </c>
      <c r="U447" t="s">
        <v>13290</v>
      </c>
      <c r="V447" t="s">
        <v>13290</v>
      </c>
      <c r="W447" t="s">
        <v>13732</v>
      </c>
      <c r="X447">
        <v>1</v>
      </c>
      <c r="Y447" t="s">
        <v>20320</v>
      </c>
      <c r="Z447" t="s">
        <v>26777</v>
      </c>
      <c r="AA447">
        <v>0.65815995344694433</v>
      </c>
      <c r="AB447" t="str">
        <f>HYPERLINK("Melting_Curves/meltCurve_E5RIX2_IDO1.pdf", "Melting_Curves/meltCurve_E5RIX2_IDO1.pdf")</f>
        <v>Melting_Curves/meltCurve_E5RIX2_IDO1.pdf</v>
      </c>
    </row>
    <row r="448" spans="1:28" x14ac:dyDescent="0.25">
      <c r="A448" t="s">
        <v>452</v>
      </c>
      <c r="B448">
        <v>0.99252571173614901</v>
      </c>
      <c r="C448">
        <v>0.97109058029620399</v>
      </c>
      <c r="D448">
        <v>0.87128582717466796</v>
      </c>
      <c r="E448">
        <v>0.79399566366212704</v>
      </c>
      <c r="F448">
        <v>0.72894760063119501</v>
      </c>
      <c r="G448">
        <v>0.55548075418475795</v>
      </c>
      <c r="H448">
        <v>0.51268807683332096</v>
      </c>
      <c r="I448">
        <v>0.63150030445175498</v>
      </c>
      <c r="J448">
        <v>1.01583507019872</v>
      </c>
      <c r="K448">
        <v>0.90095598180346204</v>
      </c>
      <c r="L448">
        <v>1286.64708482794</v>
      </c>
      <c r="M448">
        <v>27.746296974250001</v>
      </c>
      <c r="O448">
        <v>46.1329776703706</v>
      </c>
      <c r="P448">
        <v>-4.11379896463459E-2</v>
      </c>
      <c r="Q448">
        <v>0.72640658078180698</v>
      </c>
      <c r="R448">
        <v>0.34265269987531899</v>
      </c>
      <c r="S448" t="s">
        <v>7094</v>
      </c>
      <c r="T448" t="s">
        <v>13290</v>
      </c>
      <c r="U448" t="s">
        <v>13290</v>
      </c>
      <c r="V448" t="s">
        <v>13290</v>
      </c>
      <c r="W448" t="s">
        <v>13733</v>
      </c>
      <c r="X448">
        <v>3</v>
      </c>
      <c r="Y448" t="s">
        <v>20321</v>
      </c>
      <c r="Z448" t="s">
        <v>26778</v>
      </c>
      <c r="AA448">
        <v>0.78648206615884619</v>
      </c>
      <c r="AB448" t="str">
        <f>HYPERLINK("Melting_Curves/meltCurve_E5RJ26_PSEN2.pdf", "Melting_Curves/meltCurve_E5RJ26_PSEN2.pdf")</f>
        <v>Melting_Curves/meltCurve_E5RJ26_PSEN2.pdf</v>
      </c>
    </row>
    <row r="449" spans="1:28" x14ac:dyDescent="0.25">
      <c r="A449" t="s">
        <v>453</v>
      </c>
      <c r="B449">
        <v>0.99252571173614901</v>
      </c>
      <c r="C449">
        <v>1.0501038716231501</v>
      </c>
      <c r="D449">
        <v>0.89119944212949698</v>
      </c>
      <c r="E449">
        <v>0.59865602528085504</v>
      </c>
      <c r="F449">
        <v>0.33754624331821298</v>
      </c>
      <c r="G449">
        <v>0.25324698731068002</v>
      </c>
      <c r="H449">
        <v>0.219038784287094</v>
      </c>
      <c r="I449">
        <v>0.26146811472791898</v>
      </c>
      <c r="J449">
        <v>0.360716691720605</v>
      </c>
      <c r="K449">
        <v>0.37176472675458</v>
      </c>
      <c r="L449">
        <v>1553.9479981693501</v>
      </c>
      <c r="M449">
        <v>31.6855238576338</v>
      </c>
      <c r="N449">
        <v>50.430080874848599</v>
      </c>
      <c r="O449">
        <v>48.848730081053603</v>
      </c>
      <c r="P449">
        <v>-0.114994957185174</v>
      </c>
      <c r="Q449">
        <v>0.29086503999466401</v>
      </c>
      <c r="R449">
        <v>0.97434407451567595</v>
      </c>
      <c r="S449" t="s">
        <v>7095</v>
      </c>
      <c r="T449" t="s">
        <v>13290</v>
      </c>
      <c r="U449" t="s">
        <v>13290</v>
      </c>
      <c r="V449" t="s">
        <v>13290</v>
      </c>
      <c r="W449" t="s">
        <v>13734</v>
      </c>
      <c r="X449">
        <v>5</v>
      </c>
      <c r="Y449" t="s">
        <v>20322</v>
      </c>
      <c r="Z449" t="s">
        <v>26779</v>
      </c>
      <c r="AA449">
        <v>0.50848255728766778</v>
      </c>
      <c r="AB449" t="str">
        <f>HYPERLINK("Melting_Curves/meltCurve_E5RJ99_ZFAND1.pdf", "Melting_Curves/meltCurve_E5RJ99_ZFAND1.pdf")</f>
        <v>Melting_Curves/meltCurve_E5RJ99_ZFAND1.pdf</v>
      </c>
    </row>
    <row r="450" spans="1:28" x14ac:dyDescent="0.25">
      <c r="A450" t="s">
        <v>454</v>
      </c>
      <c r="B450">
        <v>0.99252571173614901</v>
      </c>
      <c r="C450">
        <v>1.1026230656583</v>
      </c>
      <c r="D450">
        <v>0.95840330317145195</v>
      </c>
      <c r="E450">
        <v>2.0032584659063901</v>
      </c>
      <c r="F450">
        <v>0.93900628297261202</v>
      </c>
      <c r="G450">
        <v>0.73924190365649101</v>
      </c>
      <c r="H450">
        <v>0.398072329853914</v>
      </c>
      <c r="I450">
        <v>0.25211595628936601</v>
      </c>
      <c r="J450">
        <v>0.21766960995732301</v>
      </c>
      <c r="K450">
        <v>0.215691858029566</v>
      </c>
      <c r="L450">
        <v>2003.97930671426</v>
      </c>
      <c r="M450">
        <v>34.422686060958299</v>
      </c>
      <c r="N450">
        <v>59.214561511256399</v>
      </c>
      <c r="O450">
        <v>58.0213937082396</v>
      </c>
      <c r="P450">
        <v>-0.115681292218924</v>
      </c>
      <c r="Q450">
        <v>0.22005338174347799</v>
      </c>
      <c r="R450">
        <v>0.62882523519801103</v>
      </c>
      <c r="S450" t="s">
        <v>7096</v>
      </c>
      <c r="T450" t="s">
        <v>13290</v>
      </c>
      <c r="U450" t="s">
        <v>13290</v>
      </c>
      <c r="V450" t="s">
        <v>13290</v>
      </c>
      <c r="W450" t="s">
        <v>13735</v>
      </c>
      <c r="X450">
        <v>8</v>
      </c>
      <c r="Y450" t="s">
        <v>20131</v>
      </c>
      <c r="Z450" t="s">
        <v>26780</v>
      </c>
      <c r="AA450">
        <v>0.69770247120907036</v>
      </c>
      <c r="AB450" t="str">
        <f>HYPERLINK("Melting_Curves/meltCurve_E5RJD2_DECR1.pdf", "Melting_Curves/meltCurve_E5RJD2_DECR1.pdf")</f>
        <v>Melting_Curves/meltCurve_E5RJD2_DECR1.pdf</v>
      </c>
    </row>
    <row r="451" spans="1:28" x14ac:dyDescent="0.25">
      <c r="A451" t="s">
        <v>455</v>
      </c>
      <c r="B451">
        <v>0.99252571173614901</v>
      </c>
      <c r="C451">
        <v>0.96145477093708198</v>
      </c>
      <c r="D451">
        <v>0.98333916010164701</v>
      </c>
      <c r="E451">
        <v>0.92707062315348598</v>
      </c>
      <c r="F451">
        <v>1.0001990917802801</v>
      </c>
      <c r="G451">
        <v>0.71460777206946002</v>
      </c>
      <c r="H451">
        <v>0.60463216076900705</v>
      </c>
      <c r="I451">
        <v>0.627368555994816</v>
      </c>
      <c r="J451">
        <v>0.38674468150263003</v>
      </c>
      <c r="K451">
        <v>0.317401285604334</v>
      </c>
      <c r="L451">
        <v>626.27431524085603</v>
      </c>
      <c r="M451">
        <v>9.6679344591562</v>
      </c>
      <c r="N451">
        <v>64.778493084010805</v>
      </c>
      <c r="O451">
        <v>62.189092258553401</v>
      </c>
      <c r="P451">
        <v>-3.8886574252517202E-2</v>
      </c>
      <c r="Q451">
        <v>0</v>
      </c>
      <c r="R451">
        <v>0.94587041241387504</v>
      </c>
      <c r="S451" t="s">
        <v>7097</v>
      </c>
      <c r="T451" t="s">
        <v>13290</v>
      </c>
      <c r="U451" t="s">
        <v>13290</v>
      </c>
      <c r="V451" t="s">
        <v>13290</v>
      </c>
      <c r="W451" t="s">
        <v>13736</v>
      </c>
      <c r="X451">
        <v>3</v>
      </c>
      <c r="Y451" t="s">
        <v>20323</v>
      </c>
      <c r="Z451" t="s">
        <v>26781</v>
      </c>
      <c r="AA451">
        <v>0.7714244993152034</v>
      </c>
      <c r="AB451" t="str">
        <f>HYPERLINK("Melting_Curves/meltCurve_E5RJJ3_NUDT18.pdf", "Melting_Curves/meltCurve_E5RJJ3_NUDT18.pdf")</f>
        <v>Melting_Curves/meltCurve_E5RJJ3_NUDT18.pdf</v>
      </c>
    </row>
    <row r="452" spans="1:28" x14ac:dyDescent="0.25">
      <c r="A452" t="s">
        <v>456</v>
      </c>
      <c r="B452">
        <v>0.99252571173614901</v>
      </c>
      <c r="C452">
        <v>1.1056015538077599</v>
      </c>
      <c r="D452">
        <v>0.81113062198674102</v>
      </c>
      <c r="E452">
        <v>0.58528043674559305</v>
      </c>
      <c r="F452">
        <v>0.165865155993105</v>
      </c>
      <c r="G452">
        <v>6.6250478514617295E-2</v>
      </c>
      <c r="H452">
        <v>0</v>
      </c>
      <c r="I452">
        <v>0</v>
      </c>
      <c r="J452">
        <v>0</v>
      </c>
      <c r="K452">
        <v>0</v>
      </c>
      <c r="L452">
        <v>1194.17266218756</v>
      </c>
      <c r="M452">
        <v>23.881722196941201</v>
      </c>
      <c r="N452">
        <v>50.003606349021801</v>
      </c>
      <c r="O452">
        <v>49.656973559115897</v>
      </c>
      <c r="P452">
        <v>-0.12023541485106599</v>
      </c>
      <c r="Q452">
        <v>0</v>
      </c>
      <c r="R452">
        <v>0.98704891172189402</v>
      </c>
      <c r="S452" t="s">
        <v>7098</v>
      </c>
      <c r="T452" t="s">
        <v>13290</v>
      </c>
      <c r="U452" t="s">
        <v>13290</v>
      </c>
      <c r="V452" t="s">
        <v>13290</v>
      </c>
      <c r="W452" t="s">
        <v>13737</v>
      </c>
      <c r="X452">
        <v>2</v>
      </c>
      <c r="Y452" t="s">
        <v>20324</v>
      </c>
      <c r="Z452" t="s">
        <v>26782</v>
      </c>
      <c r="AA452">
        <v>0.34325204072566418</v>
      </c>
      <c r="AB452" t="str">
        <f>HYPERLINK("Melting_Curves/meltCurve_E5RJM0_CPEB4.pdf", "Melting_Curves/meltCurve_E5RJM0_CPEB4.pdf")</f>
        <v>Melting_Curves/meltCurve_E5RJM0_CPEB4.pdf</v>
      </c>
    </row>
    <row r="453" spans="1:28" x14ac:dyDescent="0.25">
      <c r="A453" t="s">
        <v>457</v>
      </c>
      <c r="B453">
        <v>0.99252571173614901</v>
      </c>
      <c r="C453">
        <v>1.0226440611963199</v>
      </c>
      <c r="D453">
        <v>0.90216750519594802</v>
      </c>
      <c r="E453">
        <v>0.77595374988178001</v>
      </c>
      <c r="F453">
        <v>0.49607890953150002</v>
      </c>
      <c r="G453">
        <v>0.33648454846179499</v>
      </c>
      <c r="H453">
        <v>0.237787217241992</v>
      </c>
      <c r="I453">
        <v>0.23038617308915901</v>
      </c>
      <c r="J453">
        <v>0.38812918037479299</v>
      </c>
      <c r="K453">
        <v>0.55824838328722004</v>
      </c>
      <c r="L453">
        <v>1425.2676449768301</v>
      </c>
      <c r="M453">
        <v>28.1711336297844</v>
      </c>
      <c r="N453">
        <v>52.807408444649802</v>
      </c>
      <c r="O453">
        <v>50.340297177166697</v>
      </c>
      <c r="P453">
        <v>-9.1421060667377804E-2</v>
      </c>
      <c r="Q453">
        <v>0.34654721685583501</v>
      </c>
      <c r="R453">
        <v>0.90595498388256501</v>
      </c>
      <c r="S453" t="s">
        <v>7099</v>
      </c>
      <c r="T453" t="s">
        <v>13290</v>
      </c>
      <c r="U453" t="s">
        <v>13290</v>
      </c>
      <c r="V453" t="s">
        <v>13290</v>
      </c>
      <c r="W453" t="s">
        <v>13738</v>
      </c>
      <c r="X453">
        <v>1</v>
      </c>
      <c r="Y453" t="s">
        <v>20325</v>
      </c>
      <c r="Z453" t="s">
        <v>26783</v>
      </c>
      <c r="AA453">
        <v>0.58191628471234003</v>
      </c>
      <c r="AB453" t="str">
        <f>HYPERLINK("Melting_Curves/meltCurve_E5RJR4_PTTG1.pdf", "Melting_Curves/meltCurve_E5RJR4_PTTG1.pdf")</f>
        <v>Melting_Curves/meltCurve_E5RJR4_PTTG1.pdf</v>
      </c>
    </row>
    <row r="454" spans="1:28" x14ac:dyDescent="0.25">
      <c r="A454" t="s">
        <v>458</v>
      </c>
      <c r="B454">
        <v>0.99252571173614901</v>
      </c>
      <c r="C454">
        <v>1.03124377614692</v>
      </c>
      <c r="D454">
        <v>1.02990548408161</v>
      </c>
      <c r="E454">
        <v>0.83483397477816801</v>
      </c>
      <c r="F454">
        <v>0.97172693155673595</v>
      </c>
      <c r="G454">
        <v>0.69189178171850496</v>
      </c>
      <c r="H454">
        <v>0.38131257474997199</v>
      </c>
      <c r="I454">
        <v>0.34009869510159402</v>
      </c>
      <c r="J454">
        <v>0.36320944121476501</v>
      </c>
      <c r="K454">
        <v>0.32392558418383499</v>
      </c>
      <c r="L454">
        <v>2257.7542388499501</v>
      </c>
      <c r="M454">
        <v>39.619334939731402</v>
      </c>
      <c r="N454">
        <v>58.646259812748497</v>
      </c>
      <c r="O454">
        <v>56.8415549226156</v>
      </c>
      <c r="P454">
        <v>-0.11551208698331</v>
      </c>
      <c r="Q454">
        <v>0.33710404593389698</v>
      </c>
      <c r="R454">
        <v>0.96648923414598897</v>
      </c>
      <c r="S454" t="s">
        <v>7100</v>
      </c>
      <c r="T454" t="s">
        <v>13290</v>
      </c>
      <c r="U454" t="s">
        <v>13290</v>
      </c>
      <c r="V454" t="s">
        <v>13290</v>
      </c>
      <c r="W454" t="s">
        <v>13739</v>
      </c>
      <c r="X454">
        <v>17</v>
      </c>
      <c r="Y454" t="s">
        <v>20326</v>
      </c>
      <c r="Z454" t="s">
        <v>26784</v>
      </c>
      <c r="AA454">
        <v>0.71506995266368856</v>
      </c>
      <c r="AB454" t="str">
        <f>HYPERLINK("Melting_Curves/meltCurve_E5RJR5_SKP1.pdf", "Melting_Curves/meltCurve_E5RJR5_SKP1.pdf")</f>
        <v>Melting_Curves/meltCurve_E5RJR5_SKP1.pdf</v>
      </c>
    </row>
    <row r="455" spans="1:28" x14ac:dyDescent="0.25">
      <c r="A455" t="s">
        <v>459</v>
      </c>
      <c r="B455">
        <v>0.99252571173614901</v>
      </c>
      <c r="C455">
        <v>0.86021444347648002</v>
      </c>
      <c r="D455">
        <v>0.74354023603364305</v>
      </c>
      <c r="E455">
        <v>0.51544186609737497</v>
      </c>
      <c r="F455">
        <v>0.27981825208352901</v>
      </c>
      <c r="G455">
        <v>0.143313706214519</v>
      </c>
      <c r="H455">
        <v>0.103451625351971</v>
      </c>
      <c r="I455">
        <v>0.118885764559978</v>
      </c>
      <c r="J455">
        <v>0.187482908809012</v>
      </c>
      <c r="K455">
        <v>0.32468042983518802</v>
      </c>
      <c r="L455">
        <v>882.58453608620505</v>
      </c>
      <c r="M455">
        <v>18.360676418413401</v>
      </c>
      <c r="N455">
        <v>49.137354354172203</v>
      </c>
      <c r="O455">
        <v>47.509949069153699</v>
      </c>
      <c r="P455">
        <v>-8.0721869680726505E-2</v>
      </c>
      <c r="Q455">
        <v>0.164536894366657</v>
      </c>
      <c r="R455">
        <v>0.95458199906336005</v>
      </c>
      <c r="S455" t="s">
        <v>7101</v>
      </c>
      <c r="T455" t="s">
        <v>13290</v>
      </c>
      <c r="U455" t="s">
        <v>13290</v>
      </c>
      <c r="V455" t="s">
        <v>13290</v>
      </c>
      <c r="W455" t="s">
        <v>13740</v>
      </c>
      <c r="X455">
        <v>6</v>
      </c>
      <c r="Y455" t="s">
        <v>20327</v>
      </c>
      <c r="Z455" t="s">
        <v>26785</v>
      </c>
      <c r="AA455">
        <v>0.403449430378375</v>
      </c>
      <c r="AB455" t="str">
        <f>HYPERLINK("Melting_Curves/meltCurve_E5RJS5_MTFR1.pdf", "Melting_Curves/meltCurve_E5RJS5_MTFR1.pdf")</f>
        <v>Melting_Curves/meltCurve_E5RJS5_MTFR1.pdf</v>
      </c>
    </row>
    <row r="456" spans="1:28" x14ac:dyDescent="0.25">
      <c r="A456" t="s">
        <v>460</v>
      </c>
      <c r="B456">
        <v>0.99252571173614901</v>
      </c>
      <c r="C456">
        <v>0.79134349340528498</v>
      </c>
      <c r="D456">
        <v>0.76086650571841896</v>
      </c>
      <c r="E456">
        <v>0.60748415573491399</v>
      </c>
      <c r="F456">
        <v>0.37214533628040602</v>
      </c>
      <c r="G456">
        <v>0.141714659346344</v>
      </c>
      <c r="H456">
        <v>6.7076060329932394E-2</v>
      </c>
      <c r="I456">
        <v>3.5975738342310298E-2</v>
      </c>
      <c r="J456">
        <v>2.98673332156555E-2</v>
      </c>
      <c r="K456">
        <v>1.62034491677472E-2</v>
      </c>
      <c r="L456">
        <v>643.77098332685898</v>
      </c>
      <c r="M456">
        <v>12.7858763948659</v>
      </c>
      <c r="N456">
        <v>50.350164476162597</v>
      </c>
      <c r="O456">
        <v>49.1661731651376</v>
      </c>
      <c r="P456">
        <v>-6.5025816415195004E-2</v>
      </c>
      <c r="Q456">
        <v>0</v>
      </c>
      <c r="R456">
        <v>0.98247638813856097</v>
      </c>
      <c r="S456" t="s">
        <v>7102</v>
      </c>
      <c r="T456" t="s">
        <v>13290</v>
      </c>
      <c r="U456" t="s">
        <v>13290</v>
      </c>
      <c r="V456" t="s">
        <v>13290</v>
      </c>
      <c r="W456" t="s">
        <v>13741</v>
      </c>
      <c r="X456">
        <v>3</v>
      </c>
      <c r="Y456" t="s">
        <v>20328</v>
      </c>
      <c r="Z456" t="s">
        <v>26786</v>
      </c>
      <c r="AA456">
        <v>0.37573883619759701</v>
      </c>
      <c r="AB456" t="str">
        <f>HYPERLINK("Melting_Curves/meltCurve_E7EM50_PIGG.pdf", "Melting_Curves/meltCurve_E7EM50_PIGG.pdf")</f>
        <v>Melting_Curves/meltCurve_E7EM50_PIGG.pdf</v>
      </c>
    </row>
    <row r="457" spans="1:28" x14ac:dyDescent="0.25">
      <c r="A457" t="s">
        <v>461</v>
      </c>
      <c r="B457">
        <v>0.99252571173614901</v>
      </c>
      <c r="C457">
        <v>0.85354286945035795</v>
      </c>
      <c r="D457">
        <v>1.1743441556157601</v>
      </c>
      <c r="E457">
        <v>0.90064481044111599</v>
      </c>
      <c r="F457">
        <v>0.94333471436920502</v>
      </c>
      <c r="G457">
        <v>0.19216788161517201</v>
      </c>
      <c r="H457">
        <v>9.9569009135372602E-2</v>
      </c>
      <c r="I457">
        <v>8.3142803402861495E-2</v>
      </c>
      <c r="J457">
        <v>7.2560627110996395E-2</v>
      </c>
      <c r="K457">
        <v>6.5738899955491106E-2</v>
      </c>
      <c r="L457">
        <v>3908.9794193201801</v>
      </c>
      <c r="M457">
        <v>70.783230145330194</v>
      </c>
      <c r="N457">
        <v>55.360489718122203</v>
      </c>
      <c r="O457">
        <v>55.1806237637227</v>
      </c>
      <c r="P457">
        <v>-0.29512590764254398</v>
      </c>
      <c r="Q457">
        <v>7.9712628150282905E-2</v>
      </c>
      <c r="R457">
        <v>0.96829180009899196</v>
      </c>
      <c r="S457" t="s">
        <v>7103</v>
      </c>
      <c r="T457" t="s">
        <v>13290</v>
      </c>
      <c r="U457" t="s">
        <v>13290</v>
      </c>
      <c r="V457" t="s">
        <v>13290</v>
      </c>
      <c r="W457" t="s">
        <v>13742</v>
      </c>
      <c r="X457">
        <v>9</v>
      </c>
      <c r="Y457" t="s">
        <v>20329</v>
      </c>
      <c r="Z457" t="s">
        <v>26787</v>
      </c>
      <c r="AA457">
        <v>0.54786332001525018</v>
      </c>
      <c r="AB457" t="str">
        <f>HYPERLINK("Melting_Curves/meltCurve_E7EM64_COPS6.pdf", "Melting_Curves/meltCurve_E7EM64_COPS6.pdf")</f>
        <v>Melting_Curves/meltCurve_E7EM64_COPS6.pdf</v>
      </c>
    </row>
    <row r="458" spans="1:28" x14ac:dyDescent="0.25">
      <c r="A458" t="s">
        <v>462</v>
      </c>
      <c r="B458">
        <v>0.99252571173614901</v>
      </c>
      <c r="C458">
        <v>0.85788152576273702</v>
      </c>
      <c r="D458">
        <v>0.76319486336024001</v>
      </c>
      <c r="E458">
        <v>0.75827635580358499</v>
      </c>
      <c r="F458">
        <v>0.30267879346881799</v>
      </c>
      <c r="G458">
        <v>0.22226763588252699</v>
      </c>
      <c r="H458">
        <v>0.165289398728374</v>
      </c>
      <c r="I458">
        <v>0.193648270128252</v>
      </c>
      <c r="J458">
        <v>0.20413118397037699</v>
      </c>
      <c r="K458">
        <v>0.16461459690226701</v>
      </c>
      <c r="L458">
        <v>797.09611672336405</v>
      </c>
      <c r="M458">
        <v>15.916058600404</v>
      </c>
      <c r="N458">
        <v>51.199209305248701</v>
      </c>
      <c r="O458">
        <v>49.310673564367903</v>
      </c>
      <c r="P458">
        <v>-6.8853771279119E-2</v>
      </c>
      <c r="Q458">
        <v>0.146785560713554</v>
      </c>
      <c r="R458">
        <v>0.95332957248995098</v>
      </c>
      <c r="S458" t="s">
        <v>7104</v>
      </c>
      <c r="T458" t="s">
        <v>13290</v>
      </c>
      <c r="U458" t="s">
        <v>13290</v>
      </c>
      <c r="V458" t="s">
        <v>13290</v>
      </c>
      <c r="W458" t="s">
        <v>13743</v>
      </c>
      <c r="X458">
        <v>2</v>
      </c>
      <c r="Y458" t="s">
        <v>20330</v>
      </c>
      <c r="Z458" t="s">
        <v>26788</v>
      </c>
      <c r="AA458">
        <v>0.45175568139145161</v>
      </c>
      <c r="AB458" t="str">
        <f>HYPERLINK("Melting_Curves/meltCurve_E7EM95_RNF5.pdf", "Melting_Curves/meltCurve_E7EM95_RNF5.pdf")</f>
        <v>Melting_Curves/meltCurve_E7EM95_RNF5.pdf</v>
      </c>
    </row>
    <row r="459" spans="1:28" x14ac:dyDescent="0.25">
      <c r="A459" t="s">
        <v>463</v>
      </c>
      <c r="B459">
        <v>0.99252571173614901</v>
      </c>
      <c r="C459">
        <v>1.13650343020597</v>
      </c>
      <c r="D459">
        <v>0.82229597979685498</v>
      </c>
      <c r="E459">
        <v>0.68415545100364905</v>
      </c>
      <c r="F459">
        <v>0.67137603819209002</v>
      </c>
      <c r="G459">
        <v>0.58206790344805803</v>
      </c>
      <c r="H459">
        <v>0.63144271476943903</v>
      </c>
      <c r="I459">
        <v>0.67911165246688499</v>
      </c>
      <c r="J459">
        <v>0.70707241994055903</v>
      </c>
      <c r="K459">
        <v>0.838112862729258</v>
      </c>
      <c r="L459">
        <v>11488.2123421223</v>
      </c>
      <c r="M459">
        <v>250</v>
      </c>
      <c r="O459">
        <v>45.949909077792398</v>
      </c>
      <c r="P459">
        <v>-0.42877843794357201</v>
      </c>
      <c r="Q459">
        <v>0.684762719214834</v>
      </c>
      <c r="R459">
        <v>0.79514743440270796</v>
      </c>
      <c r="S459" t="s">
        <v>7105</v>
      </c>
      <c r="T459" t="s">
        <v>13290</v>
      </c>
      <c r="U459" t="s">
        <v>13290</v>
      </c>
      <c r="V459" t="s">
        <v>13290</v>
      </c>
      <c r="W459" t="s">
        <v>13744</v>
      </c>
      <c r="X459">
        <v>3</v>
      </c>
      <c r="Y459" t="s">
        <v>20331</v>
      </c>
      <c r="Z459" t="s">
        <v>26789</v>
      </c>
      <c r="AA459">
        <v>0.74734014360425072</v>
      </c>
      <c r="AB459" t="str">
        <f>HYPERLINK("Melting_Curves/meltCurve_E7EMB8_PTPN18.pdf", "Melting_Curves/meltCurve_E7EMB8_PTPN18.pdf")</f>
        <v>Melting_Curves/meltCurve_E7EMB8_PTPN18.pdf</v>
      </c>
    </row>
    <row r="460" spans="1:28" x14ac:dyDescent="0.25">
      <c r="A460" t="s">
        <v>464</v>
      </c>
      <c r="B460">
        <v>0.99252571173614901</v>
      </c>
      <c r="C460">
        <v>1.1072934254818201</v>
      </c>
      <c r="D460">
        <v>0.83347202932968101</v>
      </c>
      <c r="E460">
        <v>0.54652714436849903</v>
      </c>
      <c r="F460">
        <v>0.34685107422474198</v>
      </c>
      <c r="G460">
        <v>0.238192078508566</v>
      </c>
      <c r="H460">
        <v>0.179233159049421</v>
      </c>
      <c r="I460">
        <v>0.14683432957088599</v>
      </c>
      <c r="J460">
        <v>0.208826342373752</v>
      </c>
      <c r="K460">
        <v>0.23082180627801999</v>
      </c>
      <c r="L460">
        <v>1151.8026938503299</v>
      </c>
      <c r="M460">
        <v>23.408463393591799</v>
      </c>
      <c r="N460">
        <v>50.265671878425401</v>
      </c>
      <c r="O460">
        <v>48.8496455107638</v>
      </c>
      <c r="P460">
        <v>-9.6444162613218004E-2</v>
      </c>
      <c r="Q460">
        <v>0.19496078431174699</v>
      </c>
      <c r="R460">
        <v>0.97931484043810202</v>
      </c>
      <c r="S460" t="s">
        <v>7106</v>
      </c>
      <c r="T460" t="s">
        <v>13290</v>
      </c>
      <c r="U460" t="s">
        <v>13290</v>
      </c>
      <c r="V460" t="s">
        <v>13290</v>
      </c>
      <c r="W460" t="s">
        <v>13485</v>
      </c>
      <c r="X460">
        <v>4</v>
      </c>
      <c r="Y460" t="s">
        <v>20332</v>
      </c>
      <c r="Z460" t="s">
        <v>26790</v>
      </c>
      <c r="AA460">
        <v>0.45013552855997269</v>
      </c>
      <c r="AB460" t="str">
        <f>HYPERLINK("Melting_Curves/meltCurve_E7EMC6_ANXA6.pdf", "Melting_Curves/meltCurve_E7EMC6_ANXA6.pdf")</f>
        <v>Melting_Curves/meltCurve_E7EMC6_ANXA6.pdf</v>
      </c>
    </row>
    <row r="461" spans="1:28" x14ac:dyDescent="0.25">
      <c r="A461" t="s">
        <v>465</v>
      </c>
      <c r="B461">
        <v>0.99252571173614901</v>
      </c>
      <c r="C461">
        <v>0.76814046947857695</v>
      </c>
      <c r="D461">
        <v>0.30325788132972498</v>
      </c>
      <c r="E461">
        <v>0.20959429529682999</v>
      </c>
      <c r="F461">
        <v>8.3260077743145894E-2</v>
      </c>
      <c r="G461">
        <v>5.0855223835816803E-2</v>
      </c>
      <c r="H461">
        <v>3.2679278615222698E-2</v>
      </c>
      <c r="I461">
        <v>2.81720669347446E-2</v>
      </c>
      <c r="J461">
        <v>3.3642701133873097E-2</v>
      </c>
      <c r="K461">
        <v>4.2968828716176598E-2</v>
      </c>
      <c r="L461">
        <v>1154.2732191237501</v>
      </c>
      <c r="M461">
        <v>25.8587271348207</v>
      </c>
      <c r="N461">
        <v>44.8259210789886</v>
      </c>
      <c r="O461">
        <v>44.373275652606502</v>
      </c>
      <c r="P461">
        <v>-0.13819312717493201</v>
      </c>
      <c r="Q461">
        <v>5.1459943656100599E-2</v>
      </c>
      <c r="R461">
        <v>0.986885383315526</v>
      </c>
      <c r="S461" t="s">
        <v>7107</v>
      </c>
      <c r="T461" t="s">
        <v>13290</v>
      </c>
      <c r="U461" t="s">
        <v>13290</v>
      </c>
      <c r="V461" t="s">
        <v>13290</v>
      </c>
      <c r="W461" t="s">
        <v>13745</v>
      </c>
      <c r="X461">
        <v>2</v>
      </c>
      <c r="Y461" t="s">
        <v>20333</v>
      </c>
      <c r="Z461" t="s">
        <v>26791</v>
      </c>
      <c r="AA461">
        <v>0.2071727077215523</v>
      </c>
      <c r="AB461" t="str">
        <f>HYPERLINK("Melting_Curves/meltCurve_E7EMD6_AKAP10.pdf", "Melting_Curves/meltCurve_E7EMD6_AKAP10.pdf")</f>
        <v>Melting_Curves/meltCurve_E7EMD6_AKAP10.pdf</v>
      </c>
    </row>
    <row r="462" spans="1:28" x14ac:dyDescent="0.25">
      <c r="A462" t="s">
        <v>466</v>
      </c>
      <c r="B462">
        <v>0.99252571173614901</v>
      </c>
      <c r="C462">
        <v>1.0039231034951499</v>
      </c>
      <c r="D462">
        <v>0.95829904784261799</v>
      </c>
      <c r="E462">
        <v>0.85571333322174203</v>
      </c>
      <c r="F462">
        <v>0.78867394071175501</v>
      </c>
      <c r="G462">
        <v>0.69009361020940996</v>
      </c>
      <c r="H462">
        <v>0.63350986129682296</v>
      </c>
      <c r="I462">
        <v>0.746367928553335</v>
      </c>
      <c r="J462">
        <v>0.89143281410575703</v>
      </c>
      <c r="K462">
        <v>0.84000213019506698</v>
      </c>
      <c r="L462">
        <v>1569.0422901373199</v>
      </c>
      <c r="M462">
        <v>32.186711348815599</v>
      </c>
      <c r="O462">
        <v>48.561112787920798</v>
      </c>
      <c r="P462">
        <v>-3.9353888474148502E-2</v>
      </c>
      <c r="Q462">
        <v>0.76250328255669297</v>
      </c>
      <c r="R462">
        <v>0.68213362610054995</v>
      </c>
      <c r="S462" t="s">
        <v>7108</v>
      </c>
      <c r="T462" t="s">
        <v>13290</v>
      </c>
      <c r="U462" t="s">
        <v>13290</v>
      </c>
      <c r="V462" t="s">
        <v>13290</v>
      </c>
      <c r="W462" t="s">
        <v>13746</v>
      </c>
      <c r="X462">
        <v>14</v>
      </c>
      <c r="Y462" t="s">
        <v>20334</v>
      </c>
      <c r="Z462" t="s">
        <v>26792</v>
      </c>
      <c r="AA462">
        <v>0.8330059960189572</v>
      </c>
      <c r="AB462" t="str">
        <f>HYPERLINK("Melting_Curves/meltCurve_E7EMM4_ASAH1.pdf", "Melting_Curves/meltCurve_E7EMM4_ASAH1.pdf")</f>
        <v>Melting_Curves/meltCurve_E7EMM4_ASAH1.pdf</v>
      </c>
    </row>
    <row r="463" spans="1:28" x14ac:dyDescent="0.25">
      <c r="A463" t="s">
        <v>467</v>
      </c>
      <c r="B463">
        <v>0.99252571173614901</v>
      </c>
      <c r="C463">
        <v>1.0824043153573299</v>
      </c>
      <c r="D463">
        <v>0.99747291131259397</v>
      </c>
      <c r="E463">
        <v>1.0606075268772699</v>
      </c>
      <c r="F463">
        <v>0.86194661633984404</v>
      </c>
      <c r="G463">
        <v>0.80089939139384903</v>
      </c>
      <c r="H463">
        <v>0.88801270326309301</v>
      </c>
      <c r="I463">
        <v>1.2955998948790199</v>
      </c>
      <c r="J463">
        <v>1.8978737475583001</v>
      </c>
      <c r="K463">
        <v>1.98604285793893</v>
      </c>
      <c r="L463">
        <v>15000</v>
      </c>
      <c r="M463">
        <v>234.74408994488499</v>
      </c>
      <c r="O463">
        <v>63.8947417961501</v>
      </c>
      <c r="P463">
        <v>0.45923989714427199</v>
      </c>
      <c r="Q463">
        <v>1.5</v>
      </c>
      <c r="R463">
        <v>0.70237489022423605</v>
      </c>
      <c r="S463" t="s">
        <v>7109</v>
      </c>
      <c r="T463" t="s">
        <v>13290</v>
      </c>
      <c r="U463" t="s">
        <v>13290</v>
      </c>
      <c r="V463" t="s">
        <v>13290</v>
      </c>
      <c r="W463" t="s">
        <v>13747</v>
      </c>
      <c r="X463">
        <v>15</v>
      </c>
      <c r="Y463" t="s">
        <v>20335</v>
      </c>
      <c r="Z463" t="s">
        <v>26793</v>
      </c>
      <c r="AA463">
        <v>1.1016135302439589</v>
      </c>
      <c r="AB463" t="str">
        <f>HYPERLINK("Melting_Curves/meltCurve_E7EMN6_PPP1R2.pdf", "Melting_Curves/meltCurve_E7EMN6_PPP1R2.pdf")</f>
        <v>Melting_Curves/meltCurve_E7EMN6_PPP1R2.pdf</v>
      </c>
    </row>
    <row r="464" spans="1:28" x14ac:dyDescent="0.25">
      <c r="A464" t="s">
        <v>468</v>
      </c>
      <c r="B464">
        <v>0.99252571173614901</v>
      </c>
      <c r="C464">
        <v>0.35928375293006098</v>
      </c>
      <c r="D464">
        <v>0.20724202991283799</v>
      </c>
      <c r="E464">
        <v>0.15265866722327501</v>
      </c>
      <c r="F464">
        <v>0.130733160099786</v>
      </c>
      <c r="G464">
        <v>8.0109215092024205E-2</v>
      </c>
      <c r="H464">
        <v>6.3794350102173394E-2</v>
      </c>
      <c r="I464">
        <v>6.8596881098633697E-2</v>
      </c>
      <c r="J464">
        <v>8.2954124760913406E-2</v>
      </c>
      <c r="K464">
        <v>1.6796133735322901E-2</v>
      </c>
      <c r="L464">
        <v>2460.34478502103</v>
      </c>
      <c r="M464">
        <v>58.2058337515736</v>
      </c>
      <c r="N464">
        <v>42.429881866043203</v>
      </c>
      <c r="O464">
        <v>42.2199199997264</v>
      </c>
      <c r="P464">
        <v>-0.31067026125066699</v>
      </c>
      <c r="Q464">
        <v>9.8614922428729407E-2</v>
      </c>
      <c r="R464">
        <v>0.96806427985231103</v>
      </c>
      <c r="S464" t="s">
        <v>7110</v>
      </c>
      <c r="T464" t="s">
        <v>13290</v>
      </c>
      <c r="U464" t="s">
        <v>13290</v>
      </c>
      <c r="V464" t="s">
        <v>13290</v>
      </c>
      <c r="W464" t="s">
        <v>13748</v>
      </c>
      <c r="X464">
        <v>1</v>
      </c>
      <c r="Y464" t="s">
        <v>20336</v>
      </c>
      <c r="Z464" t="s">
        <v>26794</v>
      </c>
      <c r="AA464">
        <v>0.16873361161602421</v>
      </c>
      <c r="AB464" t="str">
        <f>HYPERLINK("Melting_Curves/meltCurve_E7EMQ9_ARMC5.pdf", "Melting_Curves/meltCurve_E7EMQ9_ARMC5.pdf")</f>
        <v>Melting_Curves/meltCurve_E7EMQ9_ARMC5.pdf</v>
      </c>
    </row>
    <row r="465" spans="1:28" x14ac:dyDescent="0.25">
      <c r="A465" t="s">
        <v>469</v>
      </c>
      <c r="B465">
        <v>0.99252571173614901</v>
      </c>
      <c r="C465">
        <v>0.95987175003401404</v>
      </c>
      <c r="D465">
        <v>0.85422213293459504</v>
      </c>
      <c r="E465">
        <v>0.67606953591753005</v>
      </c>
      <c r="F465">
        <v>0.37265617855090999</v>
      </c>
      <c r="G465">
        <v>0.27643015560530598</v>
      </c>
      <c r="H465">
        <v>0.30733958096263803</v>
      </c>
      <c r="I465">
        <v>0.398188420561432</v>
      </c>
      <c r="J465">
        <v>0.61659920220869102</v>
      </c>
      <c r="K465">
        <v>0.67400542039640499</v>
      </c>
      <c r="L465">
        <v>1473.2180284897099</v>
      </c>
      <c r="M465">
        <v>30.550411328892299</v>
      </c>
      <c r="N465">
        <v>51.888942139208197</v>
      </c>
      <c r="O465">
        <v>48.017335642894501</v>
      </c>
      <c r="P465">
        <v>-8.8714219687684698E-2</v>
      </c>
      <c r="Q465">
        <v>0.44226041771778501</v>
      </c>
      <c r="R465">
        <v>0.76465641251940497</v>
      </c>
      <c r="S465" t="s">
        <v>7111</v>
      </c>
      <c r="T465" t="s">
        <v>13290</v>
      </c>
      <c r="U465" t="s">
        <v>13290</v>
      </c>
      <c r="V465" t="s">
        <v>13290</v>
      </c>
      <c r="W465" t="s">
        <v>13749</v>
      </c>
      <c r="X465">
        <v>6</v>
      </c>
      <c r="Y465" t="s">
        <v>20337</v>
      </c>
      <c r="Z465" t="s">
        <v>26795</v>
      </c>
      <c r="AA465">
        <v>0.59836738480617069</v>
      </c>
      <c r="AB465" t="str">
        <f>HYPERLINK("Melting_Curves/meltCurve_E7EMX7_RAI14.pdf", "Melting_Curves/meltCurve_E7EMX7_RAI14.pdf")</f>
        <v>Melting_Curves/meltCurve_E7EMX7_RAI14.pdf</v>
      </c>
    </row>
    <row r="466" spans="1:28" x14ac:dyDescent="0.25">
      <c r="A466" t="s">
        <v>470</v>
      </c>
      <c r="B466">
        <v>0.99252571173614901</v>
      </c>
      <c r="C466">
        <v>1.0352984806899199</v>
      </c>
      <c r="D466">
        <v>0.924643778997428</v>
      </c>
      <c r="E466">
        <v>0.78362101361800995</v>
      </c>
      <c r="F466">
        <v>0.46836266687827299</v>
      </c>
      <c r="G466">
        <v>0.276049564194359</v>
      </c>
      <c r="H466">
        <v>0.20781963040127599</v>
      </c>
      <c r="I466">
        <v>0.29395863405586398</v>
      </c>
      <c r="J466">
        <v>0.48552782314476101</v>
      </c>
      <c r="K466">
        <v>0.55527183883327502</v>
      </c>
      <c r="L466">
        <v>1838.0996902070201</v>
      </c>
      <c r="M466">
        <v>36.437325951984199</v>
      </c>
      <c r="N466">
        <v>52.327484447573099</v>
      </c>
      <c r="O466">
        <v>50.294293202835497</v>
      </c>
      <c r="P466">
        <v>-0.114984028020302</v>
      </c>
      <c r="Q466">
        <v>0.36515395804634199</v>
      </c>
      <c r="R466">
        <v>0.88948213025537104</v>
      </c>
      <c r="S466" t="s">
        <v>7112</v>
      </c>
      <c r="T466" t="s">
        <v>13290</v>
      </c>
      <c r="U466" t="s">
        <v>13290</v>
      </c>
      <c r="V466" t="s">
        <v>13290</v>
      </c>
      <c r="W466" t="s">
        <v>13750</v>
      </c>
      <c r="X466">
        <v>11</v>
      </c>
      <c r="Y466" t="s">
        <v>20338</v>
      </c>
      <c r="Z466" t="s">
        <v>26796</v>
      </c>
      <c r="AA466">
        <v>0.58886945780687994</v>
      </c>
      <c r="AB466" t="str">
        <f>HYPERLINK("Melting_Curves/meltCurve_E7EMZ9_TACC2.pdf", "Melting_Curves/meltCurve_E7EMZ9_TACC2.pdf")</f>
        <v>Melting_Curves/meltCurve_E7EMZ9_TACC2.pdf</v>
      </c>
    </row>
    <row r="467" spans="1:28" x14ac:dyDescent="0.25">
      <c r="A467" t="s">
        <v>471</v>
      </c>
      <c r="B467">
        <v>0.99252571173614901</v>
      </c>
      <c r="C467">
        <v>0.91271310561304198</v>
      </c>
      <c r="D467">
        <v>0.81714939934239395</v>
      </c>
      <c r="E467">
        <v>0.70641018262362099</v>
      </c>
      <c r="F467">
        <v>0.586879620920847</v>
      </c>
      <c r="G467">
        <v>0.36456602168930602</v>
      </c>
      <c r="H467">
        <v>0.24924646098764</v>
      </c>
      <c r="I467">
        <v>0.25679872268626103</v>
      </c>
      <c r="J467">
        <v>0.35587284188741702</v>
      </c>
      <c r="K467">
        <v>0.25558003264282497</v>
      </c>
      <c r="L467">
        <v>650.09798492729999</v>
      </c>
      <c r="M467">
        <v>12.711770826288401</v>
      </c>
      <c r="N467">
        <v>53.779929643226303</v>
      </c>
      <c r="O467">
        <v>49.9253123798687</v>
      </c>
      <c r="P467">
        <v>-4.8895048049192598E-2</v>
      </c>
      <c r="Q467">
        <v>0.23200924865827099</v>
      </c>
      <c r="R467">
        <v>0.97158125116924698</v>
      </c>
      <c r="S467" t="s">
        <v>7113</v>
      </c>
      <c r="T467" t="s">
        <v>13290</v>
      </c>
      <c r="U467" t="s">
        <v>13290</v>
      </c>
      <c r="V467" t="s">
        <v>13290</v>
      </c>
      <c r="W467" t="s">
        <v>13751</v>
      </c>
      <c r="X467">
        <v>11</v>
      </c>
      <c r="Y467" t="s">
        <v>20339</v>
      </c>
      <c r="Z467" t="s">
        <v>26797</v>
      </c>
      <c r="AA467">
        <v>0.5400786508339942</v>
      </c>
      <c r="AB467" t="str">
        <f>HYPERLINK("Melting_Curves/meltCurve_E7EN73_KIAA0319L.pdf", "Melting_Curves/meltCurve_E7EN73_KIAA0319L.pdf")</f>
        <v>Melting_Curves/meltCurve_E7EN73_KIAA0319L.pdf</v>
      </c>
    </row>
    <row r="468" spans="1:28" x14ac:dyDescent="0.25">
      <c r="A468" t="s">
        <v>472</v>
      </c>
      <c r="B468">
        <v>0.99252571173614901</v>
      </c>
      <c r="C468">
        <v>0.77967178931551995</v>
      </c>
      <c r="D468">
        <v>0.61993737872782095</v>
      </c>
      <c r="E468">
        <v>0.45160933680517501</v>
      </c>
      <c r="F468">
        <v>0.33853964155660998</v>
      </c>
      <c r="G468">
        <v>0.26842078083177101</v>
      </c>
      <c r="H468">
        <v>0.29760126119374603</v>
      </c>
      <c r="I468">
        <v>0.39237953938167303</v>
      </c>
      <c r="J468">
        <v>0.55958532471065403</v>
      </c>
      <c r="K468">
        <v>0.49847506220826299</v>
      </c>
      <c r="L468">
        <v>1048.9561884720499</v>
      </c>
      <c r="M468">
        <v>23.590714186507402</v>
      </c>
      <c r="N468">
        <v>47.591990767709902</v>
      </c>
      <c r="O468">
        <v>44.148977729298998</v>
      </c>
      <c r="P468">
        <v>-8.0969448652171302E-2</v>
      </c>
      <c r="Q468">
        <v>0.39388730552828799</v>
      </c>
      <c r="R468">
        <v>0.84415407463829195</v>
      </c>
      <c r="S468" t="s">
        <v>7114</v>
      </c>
      <c r="T468" t="s">
        <v>13290</v>
      </c>
      <c r="U468" t="s">
        <v>13290</v>
      </c>
      <c r="V468" t="s">
        <v>13290</v>
      </c>
      <c r="W468" t="s">
        <v>13752</v>
      </c>
      <c r="X468">
        <v>5</v>
      </c>
      <c r="Y468" t="s">
        <v>20340</v>
      </c>
      <c r="Z468" t="s">
        <v>26798</v>
      </c>
      <c r="AA468">
        <v>0.4915124141931545</v>
      </c>
      <c r="AB468" t="str">
        <f>HYPERLINK("Melting_Curves/meltCurve_E7EN86_ZNF143.pdf", "Melting_Curves/meltCurve_E7EN86_ZNF143.pdf")</f>
        <v>Melting_Curves/meltCurve_E7EN86_ZNF143.pdf</v>
      </c>
    </row>
    <row r="469" spans="1:28" x14ac:dyDescent="0.25">
      <c r="A469" t="s">
        <v>473</v>
      </c>
      <c r="B469">
        <v>0.99252571173614901</v>
      </c>
      <c r="C469">
        <v>0.93884884119120804</v>
      </c>
      <c r="D469">
        <v>0.95085506374999296</v>
      </c>
      <c r="E469">
        <v>0.86846687446992299</v>
      </c>
      <c r="F469">
        <v>0.62671293389478</v>
      </c>
      <c r="G469">
        <v>0.45944764885877099</v>
      </c>
      <c r="H469">
        <v>0.39603657335009901</v>
      </c>
      <c r="I469">
        <v>0.40548478065086102</v>
      </c>
      <c r="J469">
        <v>0.51020789354137497</v>
      </c>
      <c r="K469">
        <v>0.53899276985034295</v>
      </c>
      <c r="L469">
        <v>1539.8982490563401</v>
      </c>
      <c r="M469">
        <v>29.893049389448699</v>
      </c>
      <c r="N469">
        <v>56.116590371464902</v>
      </c>
      <c r="O469">
        <v>51.284703803736797</v>
      </c>
      <c r="P469">
        <v>-7.9135909444490699E-2</v>
      </c>
      <c r="Q469">
        <v>0.456939329725076</v>
      </c>
      <c r="R469">
        <v>0.95702190433374301</v>
      </c>
      <c r="S469" t="s">
        <v>7115</v>
      </c>
      <c r="T469" t="s">
        <v>13290</v>
      </c>
      <c r="U469" t="s">
        <v>13290</v>
      </c>
      <c r="V469" t="s">
        <v>13290</v>
      </c>
      <c r="W469" t="s">
        <v>13753</v>
      </c>
      <c r="X469">
        <v>4</v>
      </c>
      <c r="Y469" t="s">
        <v>20341</v>
      </c>
      <c r="Z469" t="s">
        <v>26799</v>
      </c>
      <c r="AA469">
        <v>0.66882627342594481</v>
      </c>
      <c r="AB469" t="str">
        <f>HYPERLINK("Melting_Curves/meltCurve_E7ENA9_NCSTN.pdf", "Melting_Curves/meltCurve_E7ENA9_NCSTN.pdf")</f>
        <v>Melting_Curves/meltCurve_E7ENA9_NCSTN.pdf</v>
      </c>
    </row>
    <row r="470" spans="1:28" x14ac:dyDescent="0.25">
      <c r="A470" t="s">
        <v>474</v>
      </c>
      <c r="B470">
        <v>0.99252571173614901</v>
      </c>
      <c r="C470">
        <v>1.0489307765732301</v>
      </c>
      <c r="D470">
        <v>0.95626608219607701</v>
      </c>
      <c r="E470">
        <v>0.74857262938236402</v>
      </c>
      <c r="F470">
        <v>0.56438884350699103</v>
      </c>
      <c r="G470">
        <v>0.387237816771768</v>
      </c>
      <c r="H470">
        <v>0.409990329834374</v>
      </c>
      <c r="I470">
        <v>0.58720401540188705</v>
      </c>
      <c r="J470">
        <v>0.91918413901560903</v>
      </c>
      <c r="K470">
        <v>1.2366930560037901</v>
      </c>
      <c r="L470">
        <v>2459.2887486165901</v>
      </c>
      <c r="M470">
        <v>51.279147080497701</v>
      </c>
      <c r="O470">
        <v>47.886069609414903</v>
      </c>
      <c r="P470">
        <v>-8.4135525384419693E-2</v>
      </c>
      <c r="Q470">
        <v>0.68572666202611099</v>
      </c>
      <c r="R470">
        <v>0.26728381049063599</v>
      </c>
      <c r="S470" t="s">
        <v>7116</v>
      </c>
      <c r="T470" t="s">
        <v>13290</v>
      </c>
      <c r="U470" t="s">
        <v>13290</v>
      </c>
      <c r="V470" t="s">
        <v>13290</v>
      </c>
      <c r="W470" t="s">
        <v>13754</v>
      </c>
      <c r="X470">
        <v>2</v>
      </c>
      <c r="Y470" t="s">
        <v>20342</v>
      </c>
      <c r="Z470" t="s">
        <v>26800</v>
      </c>
      <c r="AA470">
        <v>0.769733924669178</v>
      </c>
      <c r="AB470" t="str">
        <f>HYPERLINK("Melting_Curves/meltCurve_E7ENK0_CALCOCO2.pdf", "Melting_Curves/meltCurve_E7ENK0_CALCOCO2.pdf")</f>
        <v>Melting_Curves/meltCurve_E7ENK0_CALCOCO2.pdf</v>
      </c>
    </row>
    <row r="471" spans="1:28" x14ac:dyDescent="0.25">
      <c r="A471" t="s">
        <v>475</v>
      </c>
      <c r="B471">
        <v>0.99252571173614901</v>
      </c>
      <c r="C471">
        <v>0.97850259480870905</v>
      </c>
      <c r="D471">
        <v>0.82256663927516105</v>
      </c>
      <c r="E471">
        <v>0.52410204151897699</v>
      </c>
      <c r="F471">
        <v>0.37259446296516802</v>
      </c>
      <c r="G471">
        <v>0.25757091559231798</v>
      </c>
      <c r="H471">
        <v>0.19644584469537399</v>
      </c>
      <c r="I471">
        <v>0.211955359860417</v>
      </c>
      <c r="J471">
        <v>0.2372962480188</v>
      </c>
      <c r="K471">
        <v>0.25216509705053303</v>
      </c>
      <c r="L471">
        <v>1012.31806995421</v>
      </c>
      <c r="M471">
        <v>20.772932543851699</v>
      </c>
      <c r="N471">
        <v>50.1587695315337</v>
      </c>
      <c r="O471">
        <v>48.287687058499301</v>
      </c>
      <c r="P471">
        <v>-8.3564971293232801E-2</v>
      </c>
      <c r="Q471">
        <v>0.223018651142292</v>
      </c>
      <c r="R471">
        <v>0.99510827773522503</v>
      </c>
      <c r="S471" t="s">
        <v>7117</v>
      </c>
      <c r="T471" t="s">
        <v>13290</v>
      </c>
      <c r="U471" t="s">
        <v>13290</v>
      </c>
      <c r="V471" t="s">
        <v>13290</v>
      </c>
      <c r="W471" t="s">
        <v>13755</v>
      </c>
      <c r="X471">
        <v>9</v>
      </c>
      <c r="Y471" t="s">
        <v>20343</v>
      </c>
      <c r="Z471" t="s">
        <v>26801</v>
      </c>
      <c r="AA471">
        <v>0.45928054454299611</v>
      </c>
      <c r="AB471" t="str">
        <f>HYPERLINK("Melting_Curves/meltCurve_E7ENU4_ADAR.pdf", "Melting_Curves/meltCurve_E7ENU4_ADAR.pdf")</f>
        <v>Melting_Curves/meltCurve_E7ENU4_ADAR.pdf</v>
      </c>
    </row>
    <row r="472" spans="1:28" x14ac:dyDescent="0.25">
      <c r="A472" t="s">
        <v>476</v>
      </c>
      <c r="B472">
        <v>0.99252571173614901</v>
      </c>
      <c r="C472">
        <v>0.82850628263710602</v>
      </c>
      <c r="D472">
        <v>0.64293076947187999</v>
      </c>
      <c r="E472">
        <v>0.49794285746650202</v>
      </c>
      <c r="F472">
        <v>0.37039704161478998</v>
      </c>
      <c r="G472">
        <v>0.24867863856528799</v>
      </c>
      <c r="H472">
        <v>0.192296688890637</v>
      </c>
      <c r="I472">
        <v>0.185691588478551</v>
      </c>
      <c r="J472">
        <v>0.244936478063142</v>
      </c>
      <c r="K472">
        <v>0.29352248648168699</v>
      </c>
      <c r="L472">
        <v>689.30507605184005</v>
      </c>
      <c r="M472">
        <v>14.653905937285799</v>
      </c>
      <c r="N472">
        <v>48.9438470312802</v>
      </c>
      <c r="O472">
        <v>46.189050364079201</v>
      </c>
      <c r="P472">
        <v>-6.20844785146175E-2</v>
      </c>
      <c r="Q472">
        <v>0.21732659354830799</v>
      </c>
      <c r="R472">
        <v>0.97744518569399697</v>
      </c>
      <c r="S472" t="s">
        <v>7118</v>
      </c>
      <c r="T472" t="s">
        <v>13290</v>
      </c>
      <c r="U472" t="s">
        <v>13290</v>
      </c>
      <c r="V472" t="s">
        <v>13290</v>
      </c>
      <c r="W472" t="s">
        <v>13756</v>
      </c>
      <c r="X472">
        <v>1</v>
      </c>
      <c r="Y472" t="s">
        <v>20344</v>
      </c>
      <c r="Z472" t="s">
        <v>26802</v>
      </c>
      <c r="AA472">
        <v>0.42321870228059633</v>
      </c>
      <c r="AB472" t="str">
        <f>HYPERLINK("Melting_Curves/meltCurve_E7EP70_BRCA1.pdf", "Melting_Curves/meltCurve_E7EP70_BRCA1.pdf")</f>
        <v>Melting_Curves/meltCurve_E7EP70_BRCA1.pdf</v>
      </c>
    </row>
    <row r="473" spans="1:28" x14ac:dyDescent="0.25">
      <c r="A473" t="s">
        <v>477</v>
      </c>
      <c r="B473">
        <v>0.99252571173614901</v>
      </c>
      <c r="C473">
        <v>1.01987108748323</v>
      </c>
      <c r="D473">
        <v>0.85295581954469801</v>
      </c>
      <c r="E473">
        <v>0.70037306447388004</v>
      </c>
      <c r="F473">
        <v>0.41383060797151</v>
      </c>
      <c r="G473">
        <v>0.24154522557974101</v>
      </c>
      <c r="H473">
        <v>0.13882630327589501</v>
      </c>
      <c r="I473">
        <v>0.123172029016076</v>
      </c>
      <c r="J473">
        <v>0.119615531738949</v>
      </c>
      <c r="K473">
        <v>0.117879632084136</v>
      </c>
      <c r="L473">
        <v>902.48214638596198</v>
      </c>
      <c r="M473">
        <v>17.583125023878502</v>
      </c>
      <c r="N473">
        <v>51.985996721985103</v>
      </c>
      <c r="O473">
        <v>50.676503321787003</v>
      </c>
      <c r="P473">
        <v>-7.8076341078064507E-2</v>
      </c>
      <c r="Q473">
        <v>9.9950031338307099E-2</v>
      </c>
      <c r="R473">
        <v>0.99633807520987105</v>
      </c>
      <c r="S473" t="s">
        <v>7119</v>
      </c>
      <c r="T473" t="s">
        <v>13290</v>
      </c>
      <c r="U473" t="s">
        <v>13290</v>
      </c>
      <c r="V473" t="s">
        <v>13290</v>
      </c>
      <c r="W473" t="s">
        <v>13757</v>
      </c>
      <c r="X473">
        <v>17</v>
      </c>
      <c r="Y473" t="s">
        <v>20345</v>
      </c>
      <c r="Z473" t="s">
        <v>26803</v>
      </c>
      <c r="AA473">
        <v>0.45551120135771672</v>
      </c>
      <c r="AB473" t="str">
        <f>HYPERLINK("Melting_Curves/meltCurve_E7EP87_NARF.pdf", "Melting_Curves/meltCurve_E7EP87_NARF.pdf")</f>
        <v>Melting_Curves/meltCurve_E7EP87_NARF.pdf</v>
      </c>
    </row>
    <row r="474" spans="1:28" x14ac:dyDescent="0.25">
      <c r="A474" t="s">
        <v>478</v>
      </c>
      <c r="B474">
        <v>0.99252571173614901</v>
      </c>
      <c r="C474">
        <v>1.0181535912350299</v>
      </c>
      <c r="D474">
        <v>0.95100675111592003</v>
      </c>
      <c r="E474">
        <v>0.86814337858568702</v>
      </c>
      <c r="F474">
        <v>0.52304776160939104</v>
      </c>
      <c r="G474">
        <v>0.34777834041380701</v>
      </c>
      <c r="H474">
        <v>0.177210603799558</v>
      </c>
      <c r="I474">
        <v>0.186441231648376</v>
      </c>
      <c r="J474">
        <v>0.19806927204546601</v>
      </c>
      <c r="K474">
        <v>0.20405215229552601</v>
      </c>
      <c r="L474">
        <v>1251.51171392125</v>
      </c>
      <c r="M474">
        <v>23.7515985413871</v>
      </c>
      <c r="N474">
        <v>53.734081177402501</v>
      </c>
      <c r="O474">
        <v>52.322430321862598</v>
      </c>
      <c r="P474">
        <v>-9.25387353974432E-2</v>
      </c>
      <c r="Q474">
        <v>0.184598572991475</v>
      </c>
      <c r="R474">
        <v>0.99542709293253495</v>
      </c>
      <c r="S474" t="s">
        <v>7120</v>
      </c>
      <c r="T474" t="s">
        <v>13290</v>
      </c>
      <c r="U474" t="s">
        <v>13290</v>
      </c>
      <c r="V474" t="s">
        <v>13290</v>
      </c>
      <c r="W474" t="s">
        <v>13758</v>
      </c>
      <c r="X474">
        <v>4</v>
      </c>
      <c r="Y474" t="s">
        <v>20346</v>
      </c>
      <c r="Z474" t="s">
        <v>26804</v>
      </c>
      <c r="AA474">
        <v>0.53780569791113408</v>
      </c>
      <c r="AB474" t="str">
        <f>HYPERLINK("Melting_Curves/meltCurve_E7EPB3_RPL14.pdf", "Melting_Curves/meltCurve_E7EPB3_RPL14.pdf")</f>
        <v>Melting_Curves/meltCurve_E7EPB3_RPL14.pdf</v>
      </c>
    </row>
    <row r="475" spans="1:28" x14ac:dyDescent="0.25">
      <c r="A475" t="s">
        <v>479</v>
      </c>
      <c r="B475">
        <v>0.99252571173614901</v>
      </c>
      <c r="C475">
        <v>0.98138200883538196</v>
      </c>
      <c r="D475">
        <v>0.90456414142737496</v>
      </c>
      <c r="E475">
        <v>0.93151187836377902</v>
      </c>
      <c r="F475">
        <v>0.73678706657434001</v>
      </c>
      <c r="G475">
        <v>0.626988184787172</v>
      </c>
      <c r="H475">
        <v>0.56879576566400603</v>
      </c>
      <c r="I475">
        <v>0.82596557068528598</v>
      </c>
      <c r="J475">
        <v>1.32525581904603</v>
      </c>
      <c r="K475">
        <v>1.11265727358031</v>
      </c>
      <c r="L475">
        <v>1577.3567171572499</v>
      </c>
      <c r="M475">
        <v>35.176759314284901</v>
      </c>
      <c r="O475">
        <v>44.696711317175001</v>
      </c>
      <c r="P475">
        <v>-2.4787272405410898E-2</v>
      </c>
      <c r="Q475">
        <v>0.87401847138936595</v>
      </c>
      <c r="R475">
        <v>4.27739660791445E-2</v>
      </c>
      <c r="S475" t="s">
        <v>7121</v>
      </c>
      <c r="T475" t="s">
        <v>13290</v>
      </c>
      <c r="U475" t="s">
        <v>13290</v>
      </c>
      <c r="V475" t="s">
        <v>13290</v>
      </c>
      <c r="W475" t="s">
        <v>13759</v>
      </c>
      <c r="X475">
        <v>9</v>
      </c>
      <c r="Y475" t="s">
        <v>20347</v>
      </c>
      <c r="Z475" t="s">
        <v>26805</v>
      </c>
      <c r="AA475">
        <v>0.89491057158768506</v>
      </c>
      <c r="AB475" t="str">
        <f>HYPERLINK("Melting_Curves/meltCurve_E7EPC6_CD44.pdf", "Melting_Curves/meltCurve_E7EPC6_CD44.pdf")</f>
        <v>Melting_Curves/meltCurve_E7EPC6_CD44.pdf</v>
      </c>
    </row>
    <row r="476" spans="1:28" x14ac:dyDescent="0.25">
      <c r="A476" t="s">
        <v>480</v>
      </c>
      <c r="B476">
        <v>0.99252571173614901</v>
      </c>
      <c r="C476">
        <v>1.03862333604436</v>
      </c>
      <c r="D476">
        <v>0.789040360556864</v>
      </c>
      <c r="E476">
        <v>0.46482835944013601</v>
      </c>
      <c r="F476">
        <v>0.22973036754430101</v>
      </c>
      <c r="G476">
        <v>0.13414504294579099</v>
      </c>
      <c r="H476">
        <v>0.106788285702324</v>
      </c>
      <c r="I476">
        <v>0.118456155304989</v>
      </c>
      <c r="J476">
        <v>0.14159747608353199</v>
      </c>
      <c r="K476">
        <v>0.14598942953843699</v>
      </c>
      <c r="L476">
        <v>1184.8346876994899</v>
      </c>
      <c r="M476">
        <v>24.389355154242502</v>
      </c>
      <c r="N476">
        <v>49.158900255399701</v>
      </c>
      <c r="O476">
        <v>48.256954080664599</v>
      </c>
      <c r="P476">
        <v>-0.110581374165621</v>
      </c>
      <c r="Q476">
        <v>0.124824975798009</v>
      </c>
      <c r="R476">
        <v>0.99379989366367805</v>
      </c>
      <c r="S476" t="s">
        <v>7122</v>
      </c>
      <c r="T476" t="s">
        <v>13290</v>
      </c>
      <c r="U476" t="s">
        <v>13290</v>
      </c>
      <c r="V476" t="s">
        <v>13290</v>
      </c>
      <c r="W476" t="s">
        <v>13760</v>
      </c>
      <c r="X476">
        <v>10</v>
      </c>
      <c r="Y476" t="s">
        <v>20348</v>
      </c>
      <c r="Z476" t="s">
        <v>26806</v>
      </c>
      <c r="AA476">
        <v>0.38327333668787128</v>
      </c>
      <c r="AB476" t="str">
        <f>HYPERLINK("Melting_Curves/meltCurve_E7EPD0_TOM1.pdf", "Melting_Curves/meltCurve_E7EPD0_TOM1.pdf")</f>
        <v>Melting_Curves/meltCurve_E7EPD0_TOM1.pdf</v>
      </c>
    </row>
    <row r="477" spans="1:28" x14ac:dyDescent="0.25">
      <c r="A477" t="s">
        <v>481</v>
      </c>
      <c r="B477">
        <v>0.99252571173614901</v>
      </c>
      <c r="C477">
        <v>0.84596321625109905</v>
      </c>
      <c r="D477">
        <v>0.90072012461895401</v>
      </c>
      <c r="E477">
        <v>0.58168231498844603</v>
      </c>
      <c r="F477">
        <v>0.26817924368711898</v>
      </c>
      <c r="G477">
        <v>0.11186347599999</v>
      </c>
      <c r="H477">
        <v>9.9338130954787301E-2</v>
      </c>
      <c r="I477">
        <v>0.100645801423163</v>
      </c>
      <c r="J477">
        <v>7.1454572239062195E-2</v>
      </c>
      <c r="K477">
        <v>0.13007242461917101</v>
      </c>
      <c r="L477">
        <v>1083.88565491907</v>
      </c>
      <c r="M477">
        <v>21.7348652905725</v>
      </c>
      <c r="N477">
        <v>50.3024509623678</v>
      </c>
      <c r="O477">
        <v>49.452135024845603</v>
      </c>
      <c r="P477">
        <v>-0.100488035400758</v>
      </c>
      <c r="Q477">
        <v>8.5481978083109603E-2</v>
      </c>
      <c r="R477">
        <v>0.98402578703437205</v>
      </c>
      <c r="S477" t="s">
        <v>7123</v>
      </c>
      <c r="T477" t="s">
        <v>13290</v>
      </c>
      <c r="U477" t="s">
        <v>13290</v>
      </c>
      <c r="V477" t="s">
        <v>13290</v>
      </c>
      <c r="W477" t="s">
        <v>13761</v>
      </c>
      <c r="X477">
        <v>1</v>
      </c>
      <c r="Y477" t="s">
        <v>20349</v>
      </c>
      <c r="Z477" t="s">
        <v>26807</v>
      </c>
      <c r="AA477">
        <v>0.39712067354740638</v>
      </c>
      <c r="AB477" t="str">
        <f>HYPERLINK("Melting_Curves/meltCurve_E7EPI0_IBTK.pdf", "Melting_Curves/meltCurve_E7EPI0_IBTK.pdf")</f>
        <v>Melting_Curves/meltCurve_E7EPI0_IBTK.pdf</v>
      </c>
    </row>
    <row r="478" spans="1:28" x14ac:dyDescent="0.25">
      <c r="A478" t="s">
        <v>482</v>
      </c>
      <c r="B478">
        <v>0.99252571173614901</v>
      </c>
      <c r="C478">
        <v>0.91389827470096097</v>
      </c>
      <c r="D478">
        <v>0.49612428378482698</v>
      </c>
      <c r="E478">
        <v>0.17009938342140801</v>
      </c>
      <c r="F478">
        <v>0.10439455872138299</v>
      </c>
      <c r="G478">
        <v>6.3772358207219604E-2</v>
      </c>
      <c r="H478">
        <v>5.01273870442384E-2</v>
      </c>
      <c r="I478">
        <v>5.4178601147082402E-2</v>
      </c>
      <c r="J478">
        <v>6.4606706414536502E-2</v>
      </c>
      <c r="K478">
        <v>5.6160246988607901E-2</v>
      </c>
      <c r="L478">
        <v>1365.02039765633</v>
      </c>
      <c r="M478">
        <v>29.761115520053899</v>
      </c>
      <c r="N478">
        <v>46.077145788363197</v>
      </c>
      <c r="O478">
        <v>45.660314429966697</v>
      </c>
      <c r="P478">
        <v>-0.152558033047731</v>
      </c>
      <c r="Q478">
        <v>6.3771554262984004E-2</v>
      </c>
      <c r="R478">
        <v>0.99844404130242503</v>
      </c>
      <c r="S478" t="s">
        <v>7124</v>
      </c>
      <c r="T478" t="s">
        <v>13290</v>
      </c>
      <c r="U478" t="s">
        <v>13290</v>
      </c>
      <c r="V478" t="s">
        <v>13290</v>
      </c>
      <c r="W478" t="s">
        <v>13762</v>
      </c>
      <c r="X478">
        <v>20</v>
      </c>
      <c r="Y478" t="s">
        <v>20350</v>
      </c>
      <c r="Z478" t="s">
        <v>26808</v>
      </c>
      <c r="AA478">
        <v>0.25266799083817748</v>
      </c>
      <c r="AB478" t="str">
        <f>HYPERLINK("Melting_Curves/meltCurve_E7EPL4_PDXDC1.pdf", "Melting_Curves/meltCurve_E7EPL4_PDXDC1.pdf")</f>
        <v>Melting_Curves/meltCurve_E7EPL4_PDXDC1.pdf</v>
      </c>
    </row>
    <row r="479" spans="1:28" x14ac:dyDescent="0.25">
      <c r="A479" t="s">
        <v>483</v>
      </c>
      <c r="B479">
        <v>0.99252571173614901</v>
      </c>
      <c r="C479">
        <v>1.0895681728369599</v>
      </c>
      <c r="D479">
        <v>0.91706584179772699</v>
      </c>
      <c r="E479">
        <v>0.99705883719188904</v>
      </c>
      <c r="F479">
        <v>0.64409219086706204</v>
      </c>
      <c r="G479">
        <v>0.55229818135018205</v>
      </c>
      <c r="H479">
        <v>0.48509042444328199</v>
      </c>
      <c r="I479">
        <v>0.69752483342816296</v>
      </c>
      <c r="J479">
        <v>1.0971561813524799</v>
      </c>
      <c r="K479">
        <v>1.8007604306357801</v>
      </c>
      <c r="L479">
        <v>15000</v>
      </c>
      <c r="M479">
        <v>222.13409658562</v>
      </c>
      <c r="O479">
        <v>67.521305546691096</v>
      </c>
      <c r="P479">
        <v>0.41122963964861903</v>
      </c>
      <c r="Q479">
        <v>1.5</v>
      </c>
      <c r="R479">
        <v>0.391238143082142</v>
      </c>
      <c r="S479" t="s">
        <v>7125</v>
      </c>
      <c r="T479" t="s">
        <v>13290</v>
      </c>
      <c r="U479" t="s">
        <v>13290</v>
      </c>
      <c r="V479" t="s">
        <v>13290</v>
      </c>
      <c r="W479" t="s">
        <v>13763</v>
      </c>
      <c r="X479">
        <v>69</v>
      </c>
      <c r="Y479" t="s">
        <v>20351</v>
      </c>
      <c r="Z479" t="s">
        <v>26809</v>
      </c>
      <c r="AA479">
        <v>1.041147441191941</v>
      </c>
      <c r="AB479" t="str">
        <f>HYPERLINK("Melting_Curves/meltCurve_E7EPN9_PRRC2C.pdf", "Melting_Curves/meltCurve_E7EPN9_PRRC2C.pdf")</f>
        <v>Melting_Curves/meltCurve_E7EPN9_PRRC2C.pdf</v>
      </c>
    </row>
    <row r="480" spans="1:28" x14ac:dyDescent="0.25">
      <c r="A480" t="s">
        <v>484</v>
      </c>
      <c r="B480">
        <v>0.99252571173614901</v>
      </c>
      <c r="C480">
        <v>1.0072305608312799</v>
      </c>
      <c r="D480">
        <v>0.95801730333252499</v>
      </c>
      <c r="E480">
        <v>0.98514969362098104</v>
      </c>
      <c r="F480">
        <v>1.1820925445721899</v>
      </c>
      <c r="G480">
        <v>0.65677535631071104</v>
      </c>
      <c r="H480">
        <v>0.338224405863012</v>
      </c>
      <c r="I480">
        <v>0.24260577477324899</v>
      </c>
      <c r="J480">
        <v>0.22935113085344799</v>
      </c>
      <c r="K480">
        <v>0.19935782934728999</v>
      </c>
      <c r="L480">
        <v>14206.5392012009</v>
      </c>
      <c r="M480">
        <v>249.951134430877</v>
      </c>
      <c r="N480">
        <v>56.997507108967902</v>
      </c>
      <c r="O480">
        <v>56.833629160216198</v>
      </c>
      <c r="P480">
        <v>-0.82199255966030904</v>
      </c>
      <c r="Q480">
        <v>0.25238476435559398</v>
      </c>
      <c r="R480">
        <v>0.96638332717613296</v>
      </c>
      <c r="S480" t="s">
        <v>7126</v>
      </c>
      <c r="T480" t="s">
        <v>13290</v>
      </c>
      <c r="U480" t="s">
        <v>13290</v>
      </c>
      <c r="V480" t="s">
        <v>13290</v>
      </c>
      <c r="W480" t="s">
        <v>13764</v>
      </c>
      <c r="X480">
        <v>13</v>
      </c>
      <c r="Y480" t="s">
        <v>20352</v>
      </c>
      <c r="Z480" t="s">
        <v>26810</v>
      </c>
      <c r="AA480">
        <v>0.67205259527078487</v>
      </c>
      <c r="AB480" t="str">
        <f>HYPERLINK("Melting_Curves/meltCurve_E7EPT4_NDUFV2.pdf", "Melting_Curves/meltCurve_E7EPT4_NDUFV2.pdf")</f>
        <v>Melting_Curves/meltCurve_E7EPT4_NDUFV2.pdf</v>
      </c>
    </row>
    <row r="481" spans="1:28" x14ac:dyDescent="0.25">
      <c r="A481" t="s">
        <v>485</v>
      </c>
      <c r="B481">
        <v>0.99252571173614901</v>
      </c>
      <c r="C481">
        <v>0.86924577706966899</v>
      </c>
      <c r="D481">
        <v>0.71862715733610205</v>
      </c>
      <c r="E481">
        <v>0.37510424035658702</v>
      </c>
      <c r="F481">
        <v>0.22225650871900199</v>
      </c>
      <c r="G481">
        <v>0.18349584528486401</v>
      </c>
      <c r="H481">
        <v>0.15475253600355099</v>
      </c>
      <c r="I481">
        <v>0.174626255712579</v>
      </c>
      <c r="J481">
        <v>0.26234296352078901</v>
      </c>
      <c r="K481">
        <v>0.30506910075979199</v>
      </c>
      <c r="L481">
        <v>1128.09456479553</v>
      </c>
      <c r="M481">
        <v>24.078636749588199</v>
      </c>
      <c r="N481">
        <v>47.926262165226397</v>
      </c>
      <c r="O481">
        <v>46.5308761732962</v>
      </c>
      <c r="P481">
        <v>-0.102361889874243</v>
      </c>
      <c r="Q481">
        <v>0.20877352156301099</v>
      </c>
      <c r="R481">
        <v>0.97473452281059503</v>
      </c>
      <c r="S481" t="s">
        <v>7127</v>
      </c>
      <c r="T481" t="s">
        <v>13290</v>
      </c>
      <c r="U481" t="s">
        <v>13290</v>
      </c>
      <c r="V481" t="s">
        <v>13290</v>
      </c>
      <c r="W481" t="s">
        <v>13765</v>
      </c>
      <c r="X481">
        <v>1</v>
      </c>
      <c r="Y481" t="s">
        <v>20353</v>
      </c>
      <c r="Z481" t="s">
        <v>26811</v>
      </c>
      <c r="AA481">
        <v>0.39715264402271178</v>
      </c>
      <c r="AB481" t="str">
        <f>HYPERLINK("Melting_Curves/meltCurve_E7EPY1_TNIP1.pdf", "Melting_Curves/meltCurve_E7EPY1_TNIP1.pdf")</f>
        <v>Melting_Curves/meltCurve_E7EPY1_TNIP1.pdf</v>
      </c>
    </row>
    <row r="482" spans="1:28" x14ac:dyDescent="0.25">
      <c r="A482" t="s">
        <v>486</v>
      </c>
      <c r="B482">
        <v>0.99252571173614901</v>
      </c>
      <c r="C482">
        <v>1.00738913124653</v>
      </c>
      <c r="D482">
        <v>1.0060900406023601</v>
      </c>
      <c r="E482">
        <v>0.83933224012538199</v>
      </c>
      <c r="F482">
        <v>0.50445424673022898</v>
      </c>
      <c r="G482">
        <v>0.14492410484319099</v>
      </c>
      <c r="H482">
        <v>8.4354022383070201E-2</v>
      </c>
      <c r="I482">
        <v>8.7602534420388206E-2</v>
      </c>
      <c r="J482">
        <v>0.114300286884019</v>
      </c>
      <c r="K482">
        <v>0.105985565231501</v>
      </c>
      <c r="L482">
        <v>1559.53995803781</v>
      </c>
      <c r="M482">
        <v>29.622343397822402</v>
      </c>
      <c r="N482">
        <v>52.990893120005197</v>
      </c>
      <c r="O482">
        <v>52.409241191970601</v>
      </c>
      <c r="P482">
        <v>-0.12896138758474299</v>
      </c>
      <c r="Q482">
        <v>8.73481888441002E-2</v>
      </c>
      <c r="R482">
        <v>0.99682410083989004</v>
      </c>
      <c r="S482" t="s">
        <v>7128</v>
      </c>
      <c r="T482" t="s">
        <v>13290</v>
      </c>
      <c r="U482" t="s">
        <v>13290</v>
      </c>
      <c r="V482" t="s">
        <v>13290</v>
      </c>
      <c r="W482" t="s">
        <v>13766</v>
      </c>
      <c r="X482">
        <v>15</v>
      </c>
      <c r="Y482" t="s">
        <v>20354</v>
      </c>
      <c r="Z482" t="s">
        <v>26812</v>
      </c>
      <c r="AA482">
        <v>0.478141792833436</v>
      </c>
      <c r="AB482" t="str">
        <f>HYPERLINK("Melting_Curves/meltCurve_E7EQ69_NAA50.pdf", "Melting_Curves/meltCurve_E7EQ69_NAA50.pdf")</f>
        <v>Melting_Curves/meltCurve_E7EQ69_NAA50.pdf</v>
      </c>
    </row>
    <row r="483" spans="1:28" x14ac:dyDescent="0.25">
      <c r="A483" t="s">
        <v>487</v>
      </c>
      <c r="B483">
        <v>0.99252571173614901</v>
      </c>
      <c r="C483">
        <v>1.15013788541996</v>
      </c>
      <c r="D483">
        <v>1.1934941165325901</v>
      </c>
      <c r="E483">
        <v>0.99663384446894698</v>
      </c>
      <c r="F483">
        <v>0.88977136720660099</v>
      </c>
      <c r="G483">
        <v>0.62224554548218403</v>
      </c>
      <c r="H483">
        <v>0.49526405567149101</v>
      </c>
      <c r="I483">
        <v>0.46886421636132503</v>
      </c>
      <c r="J483">
        <v>1.0029210926278</v>
      </c>
      <c r="K483">
        <v>0.864363138891587</v>
      </c>
      <c r="L483">
        <v>13331.4383820977</v>
      </c>
      <c r="M483">
        <v>250</v>
      </c>
      <c r="O483">
        <v>53.3223255343513</v>
      </c>
      <c r="P483">
        <v>-0.36249861528369598</v>
      </c>
      <c r="Q483">
        <v>0.69073160333822803</v>
      </c>
      <c r="R483">
        <v>0.52972138017373305</v>
      </c>
      <c r="S483" t="s">
        <v>7129</v>
      </c>
      <c r="T483" t="s">
        <v>13290</v>
      </c>
      <c r="U483" t="s">
        <v>13290</v>
      </c>
      <c r="V483" t="s">
        <v>13290</v>
      </c>
      <c r="W483" t="s">
        <v>13767</v>
      </c>
      <c r="X483">
        <v>3</v>
      </c>
      <c r="Y483" t="s">
        <v>20355</v>
      </c>
      <c r="Z483" t="s">
        <v>26813</v>
      </c>
      <c r="AA483">
        <v>0.82813502742393497</v>
      </c>
      <c r="AB483" t="str">
        <f>HYPERLINK("Melting_Curves/meltCurve_E7EQB2_LTF.pdf", "Melting_Curves/meltCurve_E7EQB2_LTF.pdf")</f>
        <v>Melting_Curves/meltCurve_E7EQB2_LTF.pdf</v>
      </c>
    </row>
    <row r="484" spans="1:28" x14ac:dyDescent="0.25">
      <c r="A484" t="s">
        <v>488</v>
      </c>
      <c r="B484">
        <v>0.99252571173614901</v>
      </c>
      <c r="C484">
        <v>1.0476285889285299</v>
      </c>
      <c r="D484">
        <v>0.93638596689259002</v>
      </c>
      <c r="E484">
        <v>0.67986554636928498</v>
      </c>
      <c r="F484">
        <v>0.40524788902639602</v>
      </c>
      <c r="G484">
        <v>0.24473064613151199</v>
      </c>
      <c r="H484">
        <v>0.18553254274486899</v>
      </c>
      <c r="I484">
        <v>0.19520193838782501</v>
      </c>
      <c r="J484">
        <v>0.32685499487994202</v>
      </c>
      <c r="K484">
        <v>0.53625571123776605</v>
      </c>
      <c r="L484">
        <v>1620.19927619795</v>
      </c>
      <c r="M484">
        <v>32.491348505197898</v>
      </c>
      <c r="N484">
        <v>51.305581477868003</v>
      </c>
      <c r="O484">
        <v>49.677803620341201</v>
      </c>
      <c r="P484">
        <v>-0.11460000094303099</v>
      </c>
      <c r="Q484">
        <v>0.29913043276734003</v>
      </c>
      <c r="R484">
        <v>0.91326871674891696</v>
      </c>
      <c r="S484" t="s">
        <v>7130</v>
      </c>
      <c r="T484" t="s">
        <v>13290</v>
      </c>
      <c r="U484" t="s">
        <v>13290</v>
      </c>
      <c r="V484" t="s">
        <v>13290</v>
      </c>
      <c r="W484" t="s">
        <v>13768</v>
      </c>
      <c r="X484">
        <v>1</v>
      </c>
      <c r="Y484" t="s">
        <v>20356</v>
      </c>
      <c r="Z484" t="s">
        <v>26814</v>
      </c>
      <c r="AA484">
        <v>0.53329272457452481</v>
      </c>
      <c r="AB484" t="str">
        <f>HYPERLINK("Melting_Curves/meltCurve_E7EQE7_CORIN.pdf", "Melting_Curves/meltCurve_E7EQE7_CORIN.pdf")</f>
        <v>Melting_Curves/meltCurve_E7EQE7_CORIN.pdf</v>
      </c>
    </row>
    <row r="485" spans="1:28" x14ac:dyDescent="0.25">
      <c r="A485" t="s">
        <v>489</v>
      </c>
      <c r="B485">
        <v>0.99252571173614901</v>
      </c>
      <c r="C485">
        <v>0.96057469368672399</v>
      </c>
      <c r="D485">
        <v>0.74008248792365905</v>
      </c>
      <c r="E485">
        <v>0.51822450622126404</v>
      </c>
      <c r="F485">
        <v>0.31333256653552299</v>
      </c>
      <c r="G485">
        <v>0.18852540359381101</v>
      </c>
      <c r="H485">
        <v>0.16896129714043501</v>
      </c>
      <c r="I485">
        <v>0.19326128751367799</v>
      </c>
      <c r="J485">
        <v>0.21642156243079499</v>
      </c>
      <c r="K485">
        <v>0.186513006449679</v>
      </c>
      <c r="L485">
        <v>919.21049438762998</v>
      </c>
      <c r="M485">
        <v>19.0065579809281</v>
      </c>
      <c r="N485">
        <v>49.518685744840703</v>
      </c>
      <c r="O485">
        <v>47.836981021066599</v>
      </c>
      <c r="P485">
        <v>-8.1537447939456303E-2</v>
      </c>
      <c r="Q485">
        <v>0.17915704254564599</v>
      </c>
      <c r="R485">
        <v>0.99401622327040295</v>
      </c>
      <c r="S485" t="s">
        <v>7131</v>
      </c>
      <c r="T485" t="s">
        <v>13290</v>
      </c>
      <c r="U485" t="s">
        <v>13290</v>
      </c>
      <c r="V485" t="s">
        <v>13290</v>
      </c>
      <c r="W485" t="s">
        <v>13769</v>
      </c>
      <c r="X485">
        <v>3</v>
      </c>
      <c r="Y485" t="s">
        <v>20357</v>
      </c>
      <c r="Z485" t="s">
        <v>26815</v>
      </c>
      <c r="AA485">
        <v>0.4208608477843212</v>
      </c>
      <c r="AB485" t="str">
        <f>HYPERLINK("Melting_Curves/meltCurve_E7EQL6_PRODH.pdf", "Melting_Curves/meltCurve_E7EQL6_PRODH.pdf")</f>
        <v>Melting_Curves/meltCurve_E7EQL6_PRODH.pdf</v>
      </c>
    </row>
    <row r="486" spans="1:28" x14ac:dyDescent="0.25">
      <c r="A486" t="s">
        <v>490</v>
      </c>
      <c r="B486">
        <v>0.99252571173614901</v>
      </c>
      <c r="C486">
        <v>0.80044336874283195</v>
      </c>
      <c r="D486">
        <v>0.36936858993858301</v>
      </c>
      <c r="E486">
        <v>0.18240945887226301</v>
      </c>
      <c r="F486">
        <v>0.120989152386289</v>
      </c>
      <c r="G486">
        <v>8.3401804845118804E-2</v>
      </c>
      <c r="H486">
        <v>6.8991317401627103E-2</v>
      </c>
      <c r="I486">
        <v>7.0678651240021803E-2</v>
      </c>
      <c r="J486">
        <v>0.101196664930122</v>
      </c>
      <c r="K486">
        <v>9.2395193844919704E-2</v>
      </c>
      <c r="L486">
        <v>1254.77655488649</v>
      </c>
      <c r="M486">
        <v>28.008956230343799</v>
      </c>
      <c r="N486">
        <v>45.122895022203799</v>
      </c>
      <c r="O486">
        <v>44.572620275052898</v>
      </c>
      <c r="P486">
        <v>-0.14279732380676799</v>
      </c>
      <c r="Q486">
        <v>9.1034118946118306E-2</v>
      </c>
      <c r="R486">
        <v>0.99649983640022799</v>
      </c>
      <c r="S486" t="s">
        <v>7132</v>
      </c>
      <c r="T486" t="s">
        <v>13290</v>
      </c>
      <c r="U486" t="s">
        <v>13290</v>
      </c>
      <c r="V486" t="s">
        <v>13290</v>
      </c>
      <c r="W486" t="s">
        <v>13770</v>
      </c>
      <c r="X486">
        <v>11</v>
      </c>
      <c r="Y486" t="s">
        <v>20358</v>
      </c>
      <c r="Z486" t="s">
        <v>26816</v>
      </c>
      <c r="AA486">
        <v>0.2434741940928237</v>
      </c>
      <c r="AB486" t="str">
        <f>HYPERLINK("Melting_Curves/meltCurve_E7EQN5_ARHGAP4.pdf", "Melting_Curves/meltCurve_E7EQN5_ARHGAP4.pdf")</f>
        <v>Melting_Curves/meltCurve_E7EQN5_ARHGAP4.pdf</v>
      </c>
    </row>
    <row r="487" spans="1:28" x14ac:dyDescent="0.25">
      <c r="A487" t="s">
        <v>491</v>
      </c>
      <c r="B487">
        <v>0.99252571173614901</v>
      </c>
      <c r="C487">
        <v>0.97207563299224597</v>
      </c>
      <c r="D487">
        <v>0.84199486369380805</v>
      </c>
      <c r="E487">
        <v>0.70951284311837803</v>
      </c>
      <c r="F487">
        <v>0.40160195894437101</v>
      </c>
      <c r="G487">
        <v>0.221107845965725</v>
      </c>
      <c r="H487">
        <v>0.144365019913447</v>
      </c>
      <c r="I487">
        <v>0.18869071882383801</v>
      </c>
      <c r="J487">
        <v>0.233606484787139</v>
      </c>
      <c r="K487">
        <v>0.20484574311929901</v>
      </c>
      <c r="L487">
        <v>1031.3106880811699</v>
      </c>
      <c r="M487">
        <v>20.400231774689299</v>
      </c>
      <c r="N487">
        <v>51.663066599026699</v>
      </c>
      <c r="O487">
        <v>50.0756174879645</v>
      </c>
      <c r="P487">
        <v>-8.3788746037270101E-2</v>
      </c>
      <c r="Q487">
        <v>0.17733349045167399</v>
      </c>
      <c r="R487">
        <v>0.98770873624407796</v>
      </c>
      <c r="S487" t="s">
        <v>7133</v>
      </c>
      <c r="T487" t="s">
        <v>13290</v>
      </c>
      <c r="U487" t="s">
        <v>13290</v>
      </c>
      <c r="V487" t="s">
        <v>13290</v>
      </c>
      <c r="W487" t="s">
        <v>13771</v>
      </c>
      <c r="X487">
        <v>8</v>
      </c>
      <c r="Y487" t="s">
        <v>20359</v>
      </c>
      <c r="Z487" t="s">
        <v>26817</v>
      </c>
      <c r="AA487">
        <v>0.47775171479640011</v>
      </c>
      <c r="AB487" t="str">
        <f>HYPERLINK("Melting_Curves/meltCurve_E7EQN6_SENP6.pdf", "Melting_Curves/meltCurve_E7EQN6_SENP6.pdf")</f>
        <v>Melting_Curves/meltCurve_E7EQN6_SENP6.pdf</v>
      </c>
    </row>
    <row r="488" spans="1:28" x14ac:dyDescent="0.25">
      <c r="A488" t="s">
        <v>492</v>
      </c>
      <c r="B488">
        <v>0.99252571173614901</v>
      </c>
      <c r="C488">
        <v>0.91028188748741101</v>
      </c>
      <c r="D488">
        <v>0.87178184410980897</v>
      </c>
      <c r="E488">
        <v>0.91950622160706996</v>
      </c>
      <c r="F488">
        <v>0.67727160490419303</v>
      </c>
      <c r="G488">
        <v>0.51329143986885495</v>
      </c>
      <c r="H488">
        <v>0.37559084852075397</v>
      </c>
      <c r="I488">
        <v>0.398019746252602</v>
      </c>
      <c r="J488">
        <v>0.47543457323456201</v>
      </c>
      <c r="K488">
        <v>0.38754834739635702</v>
      </c>
      <c r="L488">
        <v>1073.97618789065</v>
      </c>
      <c r="M488">
        <v>20.327721379891099</v>
      </c>
      <c r="N488">
        <v>57.207152663880898</v>
      </c>
      <c r="O488">
        <v>52.329740240764302</v>
      </c>
      <c r="P488">
        <v>-5.8820787645219703E-2</v>
      </c>
      <c r="Q488">
        <v>0.39432794136140198</v>
      </c>
      <c r="R488">
        <v>0.94973185044753805</v>
      </c>
      <c r="S488" t="s">
        <v>7134</v>
      </c>
      <c r="T488" t="s">
        <v>13290</v>
      </c>
      <c r="U488" t="s">
        <v>13290</v>
      </c>
      <c r="V488" t="s">
        <v>13290</v>
      </c>
      <c r="W488" t="s">
        <v>13772</v>
      </c>
      <c r="X488">
        <v>4</v>
      </c>
      <c r="Y488" t="s">
        <v>20360</v>
      </c>
      <c r="Z488" t="s">
        <v>26818</v>
      </c>
      <c r="AA488">
        <v>0.66152638992526114</v>
      </c>
      <c r="AB488" t="str">
        <f>HYPERLINK("Melting_Curves/meltCurve_E7EQR8_YIPF3.pdf", "Melting_Curves/meltCurve_E7EQR8_YIPF3.pdf")</f>
        <v>Melting_Curves/meltCurve_E7EQR8_YIPF3.pdf</v>
      </c>
    </row>
    <row r="489" spans="1:28" x14ac:dyDescent="0.25">
      <c r="A489" t="s">
        <v>493</v>
      </c>
      <c r="B489">
        <v>0.99252571173614901</v>
      </c>
      <c r="C489">
        <v>1.09950951405584</v>
      </c>
      <c r="D489">
        <v>1.06415633916106</v>
      </c>
      <c r="E489">
        <v>1.0649246941952599</v>
      </c>
      <c r="F489">
        <v>0.54157250184679995</v>
      </c>
      <c r="G489">
        <v>0.36846262761957199</v>
      </c>
      <c r="H489">
        <v>0.32507903300524199</v>
      </c>
      <c r="I489">
        <v>0.41456162543886999</v>
      </c>
      <c r="J489">
        <v>0.588533347443712</v>
      </c>
      <c r="K489">
        <v>0.72793777278002603</v>
      </c>
      <c r="L489">
        <v>13188.7708178266</v>
      </c>
      <c r="M489">
        <v>250</v>
      </c>
      <c r="N489">
        <v>53.504335804829601</v>
      </c>
      <c r="O489">
        <v>52.751707298631601</v>
      </c>
      <c r="P489">
        <v>-0.61027068805992801</v>
      </c>
      <c r="Q489">
        <v>0.48491486927893401</v>
      </c>
      <c r="R489">
        <v>0.84944493971194801</v>
      </c>
      <c r="S489" t="s">
        <v>7135</v>
      </c>
      <c r="T489" t="s">
        <v>13290</v>
      </c>
      <c r="U489" t="s">
        <v>13290</v>
      </c>
      <c r="V489" t="s">
        <v>13290</v>
      </c>
      <c r="W489" t="s">
        <v>13773</v>
      </c>
      <c r="X489">
        <v>33</v>
      </c>
      <c r="Y489" t="s">
        <v>20361</v>
      </c>
      <c r="Z489" t="s">
        <v>26819</v>
      </c>
      <c r="AA489">
        <v>0.70396101590630122</v>
      </c>
      <c r="AB489" t="str">
        <f>HYPERLINK("Melting_Curves/meltCurve_E7EQT4_ACIN1.pdf", "Melting_Curves/meltCurve_E7EQT4_ACIN1.pdf")</f>
        <v>Melting_Curves/meltCurve_E7EQT4_ACIN1.pdf</v>
      </c>
    </row>
    <row r="490" spans="1:28" x14ac:dyDescent="0.25">
      <c r="A490" t="s">
        <v>494</v>
      </c>
      <c r="B490">
        <v>0.99252571173614901</v>
      </c>
      <c r="C490">
        <v>1.00307857003225</v>
      </c>
      <c r="D490">
        <v>1.02922225233097</v>
      </c>
      <c r="E490">
        <v>1.0627759407736499</v>
      </c>
      <c r="F490">
        <v>0.714704006622773</v>
      </c>
      <c r="G490">
        <v>0.48677727225783601</v>
      </c>
      <c r="H490">
        <v>0.35439830313374698</v>
      </c>
      <c r="I490">
        <v>0.33504833408041801</v>
      </c>
      <c r="J490">
        <v>0.37428232402907602</v>
      </c>
      <c r="K490">
        <v>0.393911192482717</v>
      </c>
      <c r="L490">
        <v>2061.1126076151099</v>
      </c>
      <c r="M490">
        <v>38.349970919775203</v>
      </c>
      <c r="N490">
        <v>55.702211834090598</v>
      </c>
      <c r="O490">
        <v>53.5993163906276</v>
      </c>
      <c r="P490">
        <v>-0.112677755893512</v>
      </c>
      <c r="Q490">
        <v>0.37007141681465899</v>
      </c>
      <c r="R490">
        <v>0.98448328449195799</v>
      </c>
      <c r="S490" t="s">
        <v>7136</v>
      </c>
      <c r="T490" t="s">
        <v>13290</v>
      </c>
      <c r="U490" t="s">
        <v>13290</v>
      </c>
      <c r="V490" t="s">
        <v>13290</v>
      </c>
      <c r="W490" t="s">
        <v>13774</v>
      </c>
      <c r="X490">
        <v>3</v>
      </c>
      <c r="Y490" t="s">
        <v>20362</v>
      </c>
      <c r="Z490" t="s">
        <v>26820</v>
      </c>
      <c r="AA490">
        <v>0.66122146147274563</v>
      </c>
      <c r="AB490" t="str">
        <f>HYPERLINK("Melting_Curves/meltCurve_E7EQV9_RPL15.pdf", "Melting_Curves/meltCurve_E7EQV9_RPL15.pdf")</f>
        <v>Melting_Curves/meltCurve_E7EQV9_RPL15.pdf</v>
      </c>
    </row>
    <row r="491" spans="1:28" x14ac:dyDescent="0.25">
      <c r="A491" t="s">
        <v>495</v>
      </c>
      <c r="B491">
        <v>0.99252571173614901</v>
      </c>
      <c r="C491">
        <v>0.92551238144469405</v>
      </c>
      <c r="D491">
        <v>0.88735879511206905</v>
      </c>
      <c r="E491">
        <v>0.87936214492508002</v>
      </c>
      <c r="F491">
        <v>0.62746047155722795</v>
      </c>
      <c r="G491">
        <v>0.43025341428317299</v>
      </c>
      <c r="H491">
        <v>0.52029128128531099</v>
      </c>
      <c r="I491">
        <v>0.55068554036574702</v>
      </c>
      <c r="J491">
        <v>0.73007871933925295</v>
      </c>
      <c r="K491">
        <v>0.54421508047978995</v>
      </c>
      <c r="L491">
        <v>1987.13846662729</v>
      </c>
      <c r="M491">
        <v>39.211856708310798</v>
      </c>
      <c r="O491">
        <v>50.545711799109498</v>
      </c>
      <c r="P491">
        <v>-8.6043541767141504E-2</v>
      </c>
      <c r="Q491">
        <v>0.55634619841168498</v>
      </c>
      <c r="R491">
        <v>0.81701391204005802</v>
      </c>
      <c r="S491" t="s">
        <v>7137</v>
      </c>
      <c r="T491" t="s">
        <v>13290</v>
      </c>
      <c r="U491" t="s">
        <v>13290</v>
      </c>
      <c r="V491" t="s">
        <v>13290</v>
      </c>
      <c r="W491" t="s">
        <v>13775</v>
      </c>
      <c r="X491">
        <v>18</v>
      </c>
      <c r="Y491" t="s">
        <v>20363</v>
      </c>
      <c r="Z491" t="s">
        <v>26821</v>
      </c>
      <c r="AA491">
        <v>0.71586007402848262</v>
      </c>
      <c r="AB491" t="str">
        <f>HYPERLINK("Melting_Curves/meltCurve_E7ER77_ERMP1.pdf", "Melting_Curves/meltCurve_E7ER77_ERMP1.pdf")</f>
        <v>Melting_Curves/meltCurve_E7ER77_ERMP1.pdf</v>
      </c>
    </row>
    <row r="492" spans="1:28" x14ac:dyDescent="0.25">
      <c r="A492" t="s">
        <v>496</v>
      </c>
      <c r="B492">
        <v>0.99252571173614901</v>
      </c>
      <c r="C492">
        <v>1.1803579526446999</v>
      </c>
      <c r="D492">
        <v>0.76067949533674795</v>
      </c>
      <c r="E492">
        <v>0.60678710392481505</v>
      </c>
      <c r="F492">
        <v>0.39371608530754898</v>
      </c>
      <c r="G492">
        <v>0.28377723296302698</v>
      </c>
      <c r="H492">
        <v>0.19313791022028101</v>
      </c>
      <c r="I492">
        <v>0.23702864746593799</v>
      </c>
      <c r="J492">
        <v>0.37522997152208198</v>
      </c>
      <c r="K492">
        <v>0.59813146209017698</v>
      </c>
      <c r="L492">
        <v>1290.2189646486299</v>
      </c>
      <c r="M492">
        <v>26.738746393780701</v>
      </c>
      <c r="N492">
        <v>50.394622385296401</v>
      </c>
      <c r="O492">
        <v>47.985317484695003</v>
      </c>
      <c r="P492">
        <v>-9.2010600110498497E-2</v>
      </c>
      <c r="Q492">
        <v>0.33951845726263002</v>
      </c>
      <c r="R492">
        <v>0.83961473230153005</v>
      </c>
      <c r="S492" t="s">
        <v>7138</v>
      </c>
      <c r="T492" t="s">
        <v>13290</v>
      </c>
      <c r="U492" t="s">
        <v>13290</v>
      </c>
      <c r="V492" t="s">
        <v>13290</v>
      </c>
      <c r="W492" t="s">
        <v>13776</v>
      </c>
      <c r="X492">
        <v>1</v>
      </c>
      <c r="Y492" t="s">
        <v>20364</v>
      </c>
      <c r="Z492" t="s">
        <v>26822</v>
      </c>
      <c r="AA492">
        <v>0.52627939065482188</v>
      </c>
      <c r="AB492" t="str">
        <f>HYPERLINK("Melting_Curves/meltCurve_E7ER81_FAM193B.pdf", "Melting_Curves/meltCurve_E7ER81_FAM193B.pdf")</f>
        <v>Melting_Curves/meltCurve_E7ER81_FAM193B.pdf</v>
      </c>
    </row>
    <row r="493" spans="1:28" x14ac:dyDescent="0.25">
      <c r="A493" t="s">
        <v>497</v>
      </c>
      <c r="B493">
        <v>0.99252571173614901</v>
      </c>
      <c r="C493">
        <v>0.92469021267043805</v>
      </c>
      <c r="D493">
        <v>0.66394019164516205</v>
      </c>
      <c r="E493">
        <v>0.32809493388783401</v>
      </c>
      <c r="F493">
        <v>0.22550412786173599</v>
      </c>
      <c r="G493">
        <v>0.13549617532838801</v>
      </c>
      <c r="H493">
        <v>0.113220231325757</v>
      </c>
      <c r="I493">
        <v>0.13187872578548601</v>
      </c>
      <c r="J493">
        <v>0.18272875287710499</v>
      </c>
      <c r="K493">
        <v>0.17519859782137301</v>
      </c>
      <c r="L493">
        <v>1118.56895342502</v>
      </c>
      <c r="M493">
        <v>23.859013595297501</v>
      </c>
      <c r="N493">
        <v>47.587728328760797</v>
      </c>
      <c r="O493">
        <v>46.556825583450397</v>
      </c>
      <c r="P493">
        <v>-0.109039164620142</v>
      </c>
      <c r="Q493">
        <v>0.148927952573598</v>
      </c>
      <c r="R493">
        <v>0.99489337509424602</v>
      </c>
      <c r="S493" t="s">
        <v>7139</v>
      </c>
      <c r="T493" t="s">
        <v>13290</v>
      </c>
      <c r="U493" t="s">
        <v>13290</v>
      </c>
      <c r="V493" t="s">
        <v>13290</v>
      </c>
      <c r="W493" t="s">
        <v>13777</v>
      </c>
      <c r="X493">
        <v>17</v>
      </c>
      <c r="Y493" t="s">
        <v>20365</v>
      </c>
      <c r="Z493" t="s">
        <v>26823</v>
      </c>
      <c r="AA493">
        <v>0.35262708645684809</v>
      </c>
      <c r="AB493" t="str">
        <f>HYPERLINK("Melting_Curves/meltCurve_E7ERB7_GMIP.pdf", "Melting_Curves/meltCurve_E7ERB7_GMIP.pdf")</f>
        <v>Melting_Curves/meltCurve_E7ERB7_GMIP.pdf</v>
      </c>
    </row>
    <row r="494" spans="1:28" x14ac:dyDescent="0.25">
      <c r="A494" t="s">
        <v>498</v>
      </c>
      <c r="B494">
        <v>0.99252571173614901</v>
      </c>
      <c r="C494">
        <v>0.55035848915428298</v>
      </c>
      <c r="D494">
        <v>0.22917282691277399</v>
      </c>
      <c r="E494">
        <v>0.13562777882306001</v>
      </c>
      <c r="F494">
        <v>6.5744526636819206E-2</v>
      </c>
      <c r="G494">
        <v>3.7109704491699202E-2</v>
      </c>
      <c r="H494">
        <v>3.8661962353490301E-2</v>
      </c>
      <c r="I494">
        <v>4.2034684489801702E-2</v>
      </c>
      <c r="J494">
        <v>6.3783509054276197E-2</v>
      </c>
      <c r="K494">
        <v>7.3640810870167703E-2</v>
      </c>
      <c r="L494">
        <v>1277.63389324739</v>
      </c>
      <c r="M494">
        <v>29.528865647300499</v>
      </c>
      <c r="N494">
        <v>43.4657431586703</v>
      </c>
      <c r="O494">
        <v>43.070310524114198</v>
      </c>
      <c r="P494">
        <v>-0.160590573084854</v>
      </c>
      <c r="Q494">
        <v>6.3067668433276006E-2</v>
      </c>
      <c r="R494">
        <v>0.98665088915393695</v>
      </c>
      <c r="S494" t="s">
        <v>7140</v>
      </c>
      <c r="T494" t="s">
        <v>13290</v>
      </c>
      <c r="U494" t="s">
        <v>13290</v>
      </c>
      <c r="V494" t="s">
        <v>13290</v>
      </c>
      <c r="W494" t="s">
        <v>13778</v>
      </c>
      <c r="X494">
        <v>7</v>
      </c>
      <c r="Y494" t="s">
        <v>20366</v>
      </c>
      <c r="Z494" t="s">
        <v>26824</v>
      </c>
      <c r="AA494">
        <v>0.17344997724444011</v>
      </c>
      <c r="AB494" t="str">
        <f>HYPERLINK("Melting_Curves/meltCurve_E7ERH3_TNS3.pdf", "Melting_Curves/meltCurve_E7ERH3_TNS3.pdf")</f>
        <v>Melting_Curves/meltCurve_E7ERH3_TNS3.pdf</v>
      </c>
    </row>
    <row r="495" spans="1:28" x14ac:dyDescent="0.25">
      <c r="A495" t="s">
        <v>499</v>
      </c>
      <c r="B495">
        <v>0.99252571173614901</v>
      </c>
      <c r="C495">
        <v>0.92146626889751904</v>
      </c>
      <c r="D495">
        <v>0.85756839783600902</v>
      </c>
      <c r="E495">
        <v>0.77006127441785999</v>
      </c>
      <c r="F495">
        <v>0.72637209213202603</v>
      </c>
      <c r="G495">
        <v>0.42496837517182001</v>
      </c>
      <c r="H495">
        <v>0.437453150104883</v>
      </c>
      <c r="I495">
        <v>0.51010593117993996</v>
      </c>
      <c r="J495">
        <v>0.791717742403934</v>
      </c>
      <c r="K495">
        <v>1.38504291296492</v>
      </c>
      <c r="L495">
        <v>1155.4781441952</v>
      </c>
      <c r="M495">
        <v>25.364801906363599</v>
      </c>
      <c r="O495">
        <v>45.274052439309898</v>
      </c>
      <c r="P495">
        <v>-3.9852717917103701E-2</v>
      </c>
      <c r="Q495">
        <v>0.71546840941827805</v>
      </c>
      <c r="R495">
        <v>0.12624824708502899</v>
      </c>
      <c r="S495" t="s">
        <v>7141</v>
      </c>
      <c r="T495" t="s">
        <v>13290</v>
      </c>
      <c r="U495" t="s">
        <v>13290</v>
      </c>
      <c r="V495" t="s">
        <v>13290</v>
      </c>
      <c r="W495" t="s">
        <v>13779</v>
      </c>
      <c r="X495">
        <v>11</v>
      </c>
      <c r="Y495" t="s">
        <v>20367</v>
      </c>
      <c r="Z495" t="s">
        <v>26825</v>
      </c>
      <c r="AA495">
        <v>0.77075918827580381</v>
      </c>
      <c r="AB495" t="str">
        <f>HYPERLINK("Melting_Curves/meltCurve_E7ERS3_ZC3H18.pdf", "Melting_Curves/meltCurve_E7ERS3_ZC3H18.pdf")</f>
        <v>Melting_Curves/meltCurve_E7ERS3_ZC3H18.pdf</v>
      </c>
    </row>
    <row r="496" spans="1:28" x14ac:dyDescent="0.25">
      <c r="A496" t="s">
        <v>500</v>
      </c>
      <c r="B496">
        <v>0.99252571173614901</v>
      </c>
      <c r="C496">
        <v>1.0349551604387</v>
      </c>
      <c r="D496">
        <v>0.94492689500556903</v>
      </c>
      <c r="E496">
        <v>0.84326597885149801</v>
      </c>
      <c r="F496">
        <v>0.68706984191958598</v>
      </c>
      <c r="G496">
        <v>0.57750704070306502</v>
      </c>
      <c r="H496">
        <v>0.50926519148812499</v>
      </c>
      <c r="I496">
        <v>0.52931764550605498</v>
      </c>
      <c r="J496">
        <v>0.62999775210128095</v>
      </c>
      <c r="K496">
        <v>0.62503353793516703</v>
      </c>
      <c r="L496">
        <v>1303.1359793366801</v>
      </c>
      <c r="M496">
        <v>25.7152931542348</v>
      </c>
      <c r="O496">
        <v>50.372044590426498</v>
      </c>
      <c r="P496">
        <v>-5.4832819349074198E-2</v>
      </c>
      <c r="Q496">
        <v>0.57037111012410902</v>
      </c>
      <c r="R496">
        <v>0.95593977284014098</v>
      </c>
      <c r="S496" t="s">
        <v>7142</v>
      </c>
      <c r="T496" t="s">
        <v>13290</v>
      </c>
      <c r="U496" t="s">
        <v>13290</v>
      </c>
      <c r="V496" t="s">
        <v>13290</v>
      </c>
      <c r="W496" t="s">
        <v>13780</v>
      </c>
      <c r="X496">
        <v>25</v>
      </c>
      <c r="Y496" t="s">
        <v>20368</v>
      </c>
      <c r="Z496" t="s">
        <v>26826</v>
      </c>
      <c r="AA496">
        <v>0.72691186382011663</v>
      </c>
      <c r="AB496" t="str">
        <f>HYPERLINK("Melting_Curves/meltCurve_E7ES08_HMGB3.pdf", "Melting_Curves/meltCurve_E7ES08_HMGB3.pdf")</f>
        <v>Melting_Curves/meltCurve_E7ES08_HMGB3.pdf</v>
      </c>
    </row>
    <row r="497" spans="1:28" x14ac:dyDescent="0.25">
      <c r="A497" t="s">
        <v>501</v>
      </c>
      <c r="B497">
        <v>0.99252571173614901</v>
      </c>
      <c r="C497">
        <v>1.1766419416139</v>
      </c>
      <c r="D497">
        <v>1.1018971818279</v>
      </c>
      <c r="E497">
        <v>1.0287743352580201</v>
      </c>
      <c r="F497">
        <v>0.53434366672144895</v>
      </c>
      <c r="G497">
        <v>0.29220637730448401</v>
      </c>
      <c r="H497">
        <v>0.15175836886896199</v>
      </c>
      <c r="I497">
        <v>0.20784690328424399</v>
      </c>
      <c r="J497">
        <v>0.31808961984920098</v>
      </c>
      <c r="K497">
        <v>0.34367679103517301</v>
      </c>
      <c r="L497">
        <v>6922.5467391654902</v>
      </c>
      <c r="M497">
        <v>130.66176247240699</v>
      </c>
      <c r="N497">
        <v>53.284573347871202</v>
      </c>
      <c r="O497">
        <v>52.968254457195599</v>
      </c>
      <c r="P497">
        <v>-0.454698939468973</v>
      </c>
      <c r="Q497">
        <v>0.26268839075359302</v>
      </c>
      <c r="R497">
        <v>0.95505111440752299</v>
      </c>
      <c r="S497" t="s">
        <v>7143</v>
      </c>
      <c r="T497" t="s">
        <v>13290</v>
      </c>
      <c r="U497" t="s">
        <v>13290</v>
      </c>
      <c r="V497" t="s">
        <v>13290</v>
      </c>
      <c r="W497" t="s">
        <v>13781</v>
      </c>
      <c r="X497">
        <v>2</v>
      </c>
      <c r="Y497" t="s">
        <v>20369</v>
      </c>
      <c r="Z497" t="s">
        <v>26827</v>
      </c>
      <c r="AA497">
        <v>0.58196594894121034</v>
      </c>
      <c r="AB497" t="str">
        <f>HYPERLINK("Melting_Curves/meltCurve_E7ES35_TTC38.pdf", "Melting_Curves/meltCurve_E7ES35_TTC38.pdf")</f>
        <v>Melting_Curves/meltCurve_E7ES35_TTC38.pdf</v>
      </c>
    </row>
    <row r="498" spans="1:28" x14ac:dyDescent="0.25">
      <c r="A498" t="s">
        <v>502</v>
      </c>
      <c r="B498">
        <v>0.99252571173614901</v>
      </c>
      <c r="C498">
        <v>0.953534343344417</v>
      </c>
      <c r="D498">
        <v>0.94141927865228103</v>
      </c>
      <c r="E498">
        <v>0.84716373994661098</v>
      </c>
      <c r="F498">
        <v>0.211113940712089</v>
      </c>
      <c r="G498">
        <v>0.104484494609033</v>
      </c>
      <c r="H498">
        <v>7.1627899596674996E-2</v>
      </c>
      <c r="I498">
        <v>7.3673090668630897E-2</v>
      </c>
      <c r="J498">
        <v>8.7497760465117494E-2</v>
      </c>
      <c r="K498">
        <v>8.8145745544770698E-2</v>
      </c>
      <c r="L498">
        <v>2460.9389588512699</v>
      </c>
      <c r="M498">
        <v>48.039022769324703</v>
      </c>
      <c r="N498">
        <v>51.421549307530299</v>
      </c>
      <c r="O498">
        <v>51.139383469882901</v>
      </c>
      <c r="P498">
        <v>-0.21541072802438199</v>
      </c>
      <c r="Q498">
        <v>8.2749073993222899E-2</v>
      </c>
      <c r="R498">
        <v>0.99659328432537997</v>
      </c>
      <c r="S498" t="s">
        <v>7144</v>
      </c>
      <c r="T498" t="s">
        <v>13290</v>
      </c>
      <c r="U498" t="s">
        <v>13290</v>
      </c>
      <c r="V498" t="s">
        <v>13290</v>
      </c>
      <c r="W498" t="s">
        <v>13782</v>
      </c>
      <c r="X498">
        <v>68</v>
      </c>
      <c r="Y498" t="s">
        <v>20370</v>
      </c>
      <c r="Z498" t="s">
        <v>26828</v>
      </c>
      <c r="AA498">
        <v>0.4282891999701397</v>
      </c>
      <c r="AB498" t="str">
        <f>HYPERLINK("Melting_Curves/meltCurve_E7ES43_HSPA4L.pdf", "Melting_Curves/meltCurve_E7ES43_HSPA4L.pdf")</f>
        <v>Melting_Curves/meltCurve_E7ES43_HSPA4L.pdf</v>
      </c>
    </row>
    <row r="499" spans="1:28" x14ac:dyDescent="0.25">
      <c r="A499" t="s">
        <v>503</v>
      </c>
      <c r="B499">
        <v>0.99252571173614901</v>
      </c>
      <c r="C499">
        <v>0.97425535926724205</v>
      </c>
      <c r="D499">
        <v>0.86838411782819003</v>
      </c>
      <c r="E499">
        <v>0.86604256216662201</v>
      </c>
      <c r="F499">
        <v>0.62805191107656499</v>
      </c>
      <c r="G499">
        <v>0.32534350756172598</v>
      </c>
      <c r="H499">
        <v>0.17129868967397199</v>
      </c>
      <c r="I499">
        <v>0.17682064345379001</v>
      </c>
      <c r="J499">
        <v>0.27206176925347902</v>
      </c>
      <c r="K499">
        <v>0.223771876811934</v>
      </c>
      <c r="L499">
        <v>1237.9217163487101</v>
      </c>
      <c r="M499">
        <v>23.301886331667902</v>
      </c>
      <c r="N499">
        <v>54.284652103682298</v>
      </c>
      <c r="O499">
        <v>52.738761590413802</v>
      </c>
      <c r="P499">
        <v>-8.8809325927339602E-2</v>
      </c>
      <c r="Q499">
        <v>0.19601176678047899</v>
      </c>
      <c r="R499">
        <v>0.97701015160336702</v>
      </c>
      <c r="S499" t="s">
        <v>7145</v>
      </c>
      <c r="T499" t="s">
        <v>13290</v>
      </c>
      <c r="U499" t="s">
        <v>13290</v>
      </c>
      <c r="V499" t="s">
        <v>13290</v>
      </c>
      <c r="W499" t="s">
        <v>13783</v>
      </c>
      <c r="X499">
        <v>2</v>
      </c>
      <c r="Y499" t="s">
        <v>20371</v>
      </c>
      <c r="Z499" t="s">
        <v>26829</v>
      </c>
      <c r="AA499">
        <v>0.55620441851196223</v>
      </c>
      <c r="AB499" t="str">
        <f>HYPERLINK("Melting_Curves/meltCurve_E7ES96_PSEN1.pdf", "Melting_Curves/meltCurve_E7ES96_PSEN1.pdf")</f>
        <v>Melting_Curves/meltCurve_E7ES96_PSEN1.pdf</v>
      </c>
    </row>
    <row r="500" spans="1:28" x14ac:dyDescent="0.25">
      <c r="A500" t="s">
        <v>504</v>
      </c>
      <c r="B500">
        <v>0.99252571173614901</v>
      </c>
      <c r="C500">
        <v>0.67668844550965401</v>
      </c>
      <c r="D500">
        <v>0.43148813997822</v>
      </c>
      <c r="E500">
        <v>0.15799672525088501</v>
      </c>
      <c r="F500">
        <v>0.115015033858271</v>
      </c>
      <c r="G500">
        <v>7.9853200040663E-2</v>
      </c>
      <c r="H500">
        <v>7.6355013991122295E-2</v>
      </c>
      <c r="I500">
        <v>8.2606474178442399E-2</v>
      </c>
      <c r="J500">
        <v>6.8063677392734806E-2</v>
      </c>
      <c r="K500">
        <v>7.7478930375052393E-2</v>
      </c>
      <c r="L500">
        <v>949.64289279345701</v>
      </c>
      <c r="M500">
        <v>21.261557890434101</v>
      </c>
      <c r="N500">
        <v>45.008815391076702</v>
      </c>
      <c r="O500">
        <v>44.2752983358208</v>
      </c>
      <c r="P500">
        <v>-0.11105165581326699</v>
      </c>
      <c r="Q500">
        <v>7.5002947381150806E-2</v>
      </c>
      <c r="R500">
        <v>0.99117024521669395</v>
      </c>
      <c r="S500" t="s">
        <v>7146</v>
      </c>
      <c r="T500" t="s">
        <v>13290</v>
      </c>
      <c r="U500" t="s">
        <v>13290</v>
      </c>
      <c r="V500" t="s">
        <v>13290</v>
      </c>
      <c r="W500" t="s">
        <v>13784</v>
      </c>
      <c r="X500">
        <v>2</v>
      </c>
      <c r="Y500" t="s">
        <v>20372</v>
      </c>
      <c r="Z500" t="s">
        <v>26830</v>
      </c>
      <c r="AA500">
        <v>0.2329599998009132</v>
      </c>
      <c r="AB500" t="str">
        <f>HYPERLINK("Melting_Curves/meltCurve_E7ESA8_PRPF31.pdf", "Melting_Curves/meltCurve_E7ESA8_PRPF31.pdf")</f>
        <v>Melting_Curves/meltCurve_E7ESA8_PRPF31.pdf</v>
      </c>
    </row>
    <row r="501" spans="1:28" x14ac:dyDescent="0.25">
      <c r="A501" t="s">
        <v>505</v>
      </c>
      <c r="B501">
        <v>0.99252571173614901</v>
      </c>
      <c r="C501">
        <v>0.86426971054123503</v>
      </c>
      <c r="D501">
        <v>0.88498134586051302</v>
      </c>
      <c r="E501">
        <v>0.89645108852752597</v>
      </c>
      <c r="F501">
        <v>0.85880924137863002</v>
      </c>
      <c r="G501">
        <v>0.56197367355419603</v>
      </c>
      <c r="H501">
        <v>0.43382731226676402</v>
      </c>
      <c r="I501">
        <v>0.40402157732319299</v>
      </c>
      <c r="J501">
        <v>0.41658355961454502</v>
      </c>
      <c r="K501">
        <v>0.25199529931557402</v>
      </c>
      <c r="L501">
        <v>546.14423627010001</v>
      </c>
      <c r="M501">
        <v>9.3676555110431305</v>
      </c>
      <c r="N501">
        <v>60.466450654771698</v>
      </c>
      <c r="O501">
        <v>55.8292837568126</v>
      </c>
      <c r="P501">
        <v>-3.5992747511383399E-2</v>
      </c>
      <c r="Q501">
        <v>0.14249779609924201</v>
      </c>
      <c r="R501">
        <v>0.93608535390285896</v>
      </c>
      <c r="S501" t="s">
        <v>7147</v>
      </c>
      <c r="T501" t="s">
        <v>13290</v>
      </c>
      <c r="U501" t="s">
        <v>13290</v>
      </c>
      <c r="V501" t="s">
        <v>13290</v>
      </c>
      <c r="W501" t="s">
        <v>13785</v>
      </c>
      <c r="X501">
        <v>14</v>
      </c>
      <c r="Y501" t="s">
        <v>20373</v>
      </c>
      <c r="Z501" t="s">
        <v>26831</v>
      </c>
      <c r="AA501">
        <v>0.67098606134661509</v>
      </c>
      <c r="AB501" t="str">
        <f>HYPERLINK("Melting_Curves/meltCurve_E7ESP4_ITGA2.pdf", "Melting_Curves/meltCurve_E7ESP4_ITGA2.pdf")</f>
        <v>Melting_Curves/meltCurve_E7ESP4_ITGA2.pdf</v>
      </c>
    </row>
    <row r="502" spans="1:28" x14ac:dyDescent="0.25">
      <c r="A502" t="s">
        <v>506</v>
      </c>
      <c r="B502">
        <v>0.99252571173614901</v>
      </c>
      <c r="C502">
        <v>0.89277583733166899</v>
      </c>
      <c r="D502">
        <v>0.99131008717475</v>
      </c>
      <c r="E502">
        <v>0.29804140542047503</v>
      </c>
      <c r="F502">
        <v>0.18060410883466799</v>
      </c>
      <c r="G502">
        <v>0.103289395908383</v>
      </c>
      <c r="H502">
        <v>7.0031454872741705E-2</v>
      </c>
      <c r="I502">
        <v>7.2858137563208997E-2</v>
      </c>
      <c r="J502">
        <v>8.2291527301048897E-2</v>
      </c>
      <c r="K502">
        <v>7.64404097963651E-2</v>
      </c>
      <c r="L502">
        <v>3097.0665953535499</v>
      </c>
      <c r="M502">
        <v>63.6645464955797</v>
      </c>
      <c r="N502">
        <v>48.810926967402096</v>
      </c>
      <c r="O502">
        <v>48.598717452061599</v>
      </c>
      <c r="P502">
        <v>-0.29591818688569499</v>
      </c>
      <c r="Q502">
        <v>9.6436564061515198E-2</v>
      </c>
      <c r="R502">
        <v>0.98667315370051101</v>
      </c>
      <c r="S502" t="s">
        <v>7148</v>
      </c>
      <c r="T502" t="s">
        <v>13290</v>
      </c>
      <c r="U502" t="s">
        <v>13290</v>
      </c>
      <c r="V502" t="s">
        <v>13290</v>
      </c>
      <c r="W502" t="s">
        <v>13786</v>
      </c>
      <c r="X502">
        <v>14</v>
      </c>
      <c r="Y502" t="s">
        <v>20374</v>
      </c>
      <c r="Z502" t="s">
        <v>26832</v>
      </c>
      <c r="AA502">
        <v>0.35805632685882449</v>
      </c>
      <c r="AB502" t="str">
        <f>HYPERLINK("Melting_Curves/meltCurve_E7ESU4_NAT10.pdf", "Melting_Curves/meltCurve_E7ESU4_NAT10.pdf")</f>
        <v>Melting_Curves/meltCurve_E7ESU4_NAT10.pdf</v>
      </c>
    </row>
    <row r="503" spans="1:28" x14ac:dyDescent="0.25">
      <c r="A503" t="s">
        <v>507</v>
      </c>
      <c r="B503">
        <v>0.99252571173614901</v>
      </c>
      <c r="C503">
        <v>1.0299885072538999</v>
      </c>
      <c r="D503">
        <v>0.98781685705684796</v>
      </c>
      <c r="E503">
        <v>0.91112258790564105</v>
      </c>
      <c r="F503">
        <v>0.387008662991635</v>
      </c>
      <c r="G503">
        <v>0.20864209681281501</v>
      </c>
      <c r="H503">
        <v>0.201763557360359</v>
      </c>
      <c r="I503">
        <v>0.27641534617804397</v>
      </c>
      <c r="J503">
        <v>0.41671382020213699</v>
      </c>
      <c r="K503">
        <v>0.40469531048680502</v>
      </c>
      <c r="L503">
        <v>2957.8913136400502</v>
      </c>
      <c r="M503">
        <v>57.674562916817202</v>
      </c>
      <c r="N503">
        <v>52.124639146895397</v>
      </c>
      <c r="O503">
        <v>51.224341562876603</v>
      </c>
      <c r="P503">
        <v>-0.19637938073024899</v>
      </c>
      <c r="Q503">
        <v>0.30233370619977001</v>
      </c>
      <c r="R503">
        <v>0.95989864587082696</v>
      </c>
      <c r="S503" t="s">
        <v>7149</v>
      </c>
      <c r="T503" t="s">
        <v>13290</v>
      </c>
      <c r="U503" t="s">
        <v>13290</v>
      </c>
      <c r="V503" t="s">
        <v>13290</v>
      </c>
      <c r="W503" t="s">
        <v>13787</v>
      </c>
      <c r="X503">
        <v>5</v>
      </c>
      <c r="Y503" t="s">
        <v>20375</v>
      </c>
      <c r="Z503" t="s">
        <v>26833</v>
      </c>
      <c r="AA503">
        <v>0.56597775581263421</v>
      </c>
      <c r="AB503" t="str">
        <f>HYPERLINK("Melting_Curves/meltCurve_E7ESX1_CHRD.pdf", "Melting_Curves/meltCurve_E7ESX1_CHRD.pdf")</f>
        <v>Melting_Curves/meltCurve_E7ESX1_CHRD.pdf</v>
      </c>
    </row>
    <row r="504" spans="1:28" x14ac:dyDescent="0.25">
      <c r="A504" t="s">
        <v>508</v>
      </c>
      <c r="B504">
        <v>0.99252571173614901</v>
      </c>
      <c r="C504">
        <v>0.88441404462010498</v>
      </c>
      <c r="D504">
        <v>0.74373149558671603</v>
      </c>
      <c r="E504">
        <v>0.41721377316724501</v>
      </c>
      <c r="F504">
        <v>0.18431943095164099</v>
      </c>
      <c r="G504">
        <v>0.122047156154634</v>
      </c>
      <c r="H504">
        <v>9.5416295625100497E-2</v>
      </c>
      <c r="I504">
        <v>9.8063786932325994E-2</v>
      </c>
      <c r="J504">
        <v>0.11948911716251499</v>
      </c>
      <c r="K504">
        <v>0.13160529031155599</v>
      </c>
      <c r="L504">
        <v>975.02496280862704</v>
      </c>
      <c r="M504">
        <v>20.3409552336331</v>
      </c>
      <c r="N504">
        <v>48.466797197264</v>
      </c>
      <c r="O504">
        <v>47.478004252324197</v>
      </c>
      <c r="P504">
        <v>-9.6380923602494797E-2</v>
      </c>
      <c r="Q504">
        <v>0.10017312037420099</v>
      </c>
      <c r="R504">
        <v>0.99635485631453402</v>
      </c>
      <c r="S504" t="s">
        <v>7150</v>
      </c>
      <c r="T504" t="s">
        <v>13290</v>
      </c>
      <c r="U504" t="s">
        <v>13290</v>
      </c>
      <c r="V504" t="s">
        <v>13290</v>
      </c>
      <c r="W504" t="s">
        <v>13788</v>
      </c>
      <c r="X504">
        <v>7</v>
      </c>
      <c r="Y504" t="s">
        <v>20376</v>
      </c>
      <c r="Z504" t="s">
        <v>26834</v>
      </c>
      <c r="AA504">
        <v>0.35050289737842472</v>
      </c>
      <c r="AB504" t="str">
        <f>HYPERLINK("Melting_Curves/meltCurve_E7ESZ7_NDUFA10.pdf", "Melting_Curves/meltCurve_E7ESZ7_NDUFA10.pdf")</f>
        <v>Melting_Curves/meltCurve_E7ESZ7_NDUFA10.pdf</v>
      </c>
    </row>
    <row r="505" spans="1:28" x14ac:dyDescent="0.25">
      <c r="A505" t="s">
        <v>509</v>
      </c>
      <c r="B505">
        <v>0.99252571173614901</v>
      </c>
      <c r="C505">
        <v>0.83579753057564099</v>
      </c>
      <c r="D505">
        <v>0.65762697204410203</v>
      </c>
      <c r="E505">
        <v>0.41068873453078297</v>
      </c>
      <c r="F505">
        <v>0.26201456686320201</v>
      </c>
      <c r="G505">
        <v>0.17615721501186801</v>
      </c>
      <c r="H505">
        <v>0.166868666783998</v>
      </c>
      <c r="I505">
        <v>0.20448822683147899</v>
      </c>
      <c r="J505">
        <v>0.31923889936336802</v>
      </c>
      <c r="K505">
        <v>0.456178727557492</v>
      </c>
      <c r="L505">
        <v>1015.81235761977</v>
      </c>
      <c r="M505">
        <v>22.0493328447971</v>
      </c>
      <c r="N505">
        <v>47.653160590318201</v>
      </c>
      <c r="O505">
        <v>45.696051314690401</v>
      </c>
      <c r="P505">
        <v>-8.9309557877556706E-2</v>
      </c>
      <c r="Q505">
        <v>0.25965935674646001</v>
      </c>
      <c r="R505">
        <v>0.910345624684472</v>
      </c>
      <c r="S505" t="s">
        <v>7151</v>
      </c>
      <c r="T505" t="s">
        <v>13290</v>
      </c>
      <c r="U505" t="s">
        <v>13290</v>
      </c>
      <c r="V505" t="s">
        <v>13290</v>
      </c>
      <c r="W505" t="s">
        <v>13789</v>
      </c>
      <c r="X505">
        <v>16</v>
      </c>
      <c r="Y505" t="s">
        <v>20377</v>
      </c>
      <c r="Z505" t="s">
        <v>26835</v>
      </c>
      <c r="AA505">
        <v>0.41855764379430072</v>
      </c>
      <c r="AB505" t="str">
        <f>HYPERLINK("Melting_Curves/meltCurve_E7ET15_U2SURP.pdf", "Melting_Curves/meltCurve_E7ET15_U2SURP.pdf")</f>
        <v>Melting_Curves/meltCurve_E7ET15_U2SURP.pdf</v>
      </c>
    </row>
    <row r="506" spans="1:28" x14ac:dyDescent="0.25">
      <c r="A506" t="s">
        <v>510</v>
      </c>
      <c r="B506">
        <v>0.99252571173614901</v>
      </c>
      <c r="C506">
        <v>0.94862246154971697</v>
      </c>
      <c r="D506">
        <v>1.04296862537988</v>
      </c>
      <c r="E506">
        <v>1.1243081202204099</v>
      </c>
      <c r="F506">
        <v>1.06434327292219</v>
      </c>
      <c r="G506">
        <v>0.97357934265796198</v>
      </c>
      <c r="H506">
        <v>1.3454100797109201</v>
      </c>
      <c r="I506">
        <v>2.12850863620403</v>
      </c>
      <c r="J506">
        <v>3.03801286694905</v>
      </c>
      <c r="K506">
        <v>2.0832808352447199</v>
      </c>
      <c r="L506">
        <v>15000</v>
      </c>
      <c r="M506">
        <v>247.51453683279101</v>
      </c>
      <c r="O506">
        <v>60.598528843207198</v>
      </c>
      <c r="P506">
        <v>0.510562048267174</v>
      </c>
      <c r="Q506">
        <v>1.5</v>
      </c>
      <c r="R506">
        <v>0.30487988232970598</v>
      </c>
      <c r="S506" t="s">
        <v>7152</v>
      </c>
      <c r="T506" t="s">
        <v>13290</v>
      </c>
      <c r="U506" t="s">
        <v>13290</v>
      </c>
      <c r="V506" t="s">
        <v>13290</v>
      </c>
      <c r="W506" t="s">
        <v>13790</v>
      </c>
      <c r="X506">
        <v>10</v>
      </c>
      <c r="Y506" t="s">
        <v>20378</v>
      </c>
      <c r="Z506" t="s">
        <v>26836</v>
      </c>
      <c r="AA506">
        <v>1.156570729213088</v>
      </c>
      <c r="AB506" t="str">
        <f>HYPERLINK("Melting_Curves/meltCurve_E7ETB3_DNPEP.pdf", "Melting_Curves/meltCurve_E7ETB3_DNPEP.pdf")</f>
        <v>Melting_Curves/meltCurve_E7ETB3_DNPEP.pdf</v>
      </c>
    </row>
    <row r="507" spans="1:28" x14ac:dyDescent="0.25">
      <c r="A507" t="s">
        <v>511</v>
      </c>
      <c r="B507">
        <v>0.99252571173614901</v>
      </c>
      <c r="C507">
        <v>1.0111847073165099</v>
      </c>
      <c r="D507">
        <v>0.97244450270668703</v>
      </c>
      <c r="E507">
        <v>0.69773069808108801</v>
      </c>
      <c r="F507">
        <v>0.39610450367716499</v>
      </c>
      <c r="G507">
        <v>0.211402973601237</v>
      </c>
      <c r="H507">
        <v>8.4679987101665993E-2</v>
      </c>
      <c r="I507">
        <v>7.6996435363932705E-2</v>
      </c>
      <c r="J507">
        <v>9.7273560475540505E-2</v>
      </c>
      <c r="K507">
        <v>9.4903787532205394E-2</v>
      </c>
      <c r="L507">
        <v>1119.9229070295501</v>
      </c>
      <c r="M507">
        <v>21.7337995895479</v>
      </c>
      <c r="N507">
        <v>51.946956266309797</v>
      </c>
      <c r="O507">
        <v>51.098796600583903</v>
      </c>
      <c r="P507">
        <v>-9.7807060068558799E-2</v>
      </c>
      <c r="Q507">
        <v>8.0196599377988897E-2</v>
      </c>
      <c r="R507">
        <v>0.997142656618342</v>
      </c>
      <c r="S507" t="s">
        <v>7153</v>
      </c>
      <c r="T507" t="s">
        <v>13290</v>
      </c>
      <c r="U507" t="s">
        <v>13290</v>
      </c>
      <c r="V507" t="s">
        <v>13290</v>
      </c>
      <c r="W507" t="s">
        <v>13791</v>
      </c>
      <c r="X507">
        <v>4</v>
      </c>
      <c r="Y507" t="s">
        <v>20379</v>
      </c>
      <c r="Z507" t="s">
        <v>26837</v>
      </c>
      <c r="AA507">
        <v>0.44460668958619398</v>
      </c>
      <c r="AB507" t="str">
        <f>HYPERLINK("Melting_Curves/meltCurve_E7ETK0_RPS24.pdf", "Melting_Curves/meltCurve_E7ETK0_RPS24.pdf")</f>
        <v>Melting_Curves/meltCurve_E7ETK0_RPS24.pdf</v>
      </c>
    </row>
    <row r="508" spans="1:28" x14ac:dyDescent="0.25">
      <c r="A508" t="s">
        <v>512</v>
      </c>
      <c r="B508">
        <v>0.99252571173614901</v>
      </c>
      <c r="C508">
        <v>0.97695614533474695</v>
      </c>
      <c r="D508">
        <v>0.81870561386374097</v>
      </c>
      <c r="E508">
        <v>0.69089176530462204</v>
      </c>
      <c r="F508">
        <v>0.16475089354832501</v>
      </c>
      <c r="G508">
        <v>9.3256691416971293E-2</v>
      </c>
      <c r="H508">
        <v>5.7241391992808803E-2</v>
      </c>
      <c r="I508">
        <v>5.4486876514945701E-2</v>
      </c>
      <c r="J508">
        <v>6.1089637850536199E-2</v>
      </c>
      <c r="K508">
        <v>5.9744066779525401E-2</v>
      </c>
      <c r="L508">
        <v>1378.91615552198</v>
      </c>
      <c r="M508">
        <v>27.388399794819101</v>
      </c>
      <c r="N508">
        <v>50.534498691316102</v>
      </c>
      <c r="O508">
        <v>50.0806198954199</v>
      </c>
      <c r="P508">
        <v>-0.13010803687623601</v>
      </c>
      <c r="Q508">
        <v>4.8381171832980102E-2</v>
      </c>
      <c r="R508">
        <v>0.98563172049667302</v>
      </c>
      <c r="S508" t="s">
        <v>7154</v>
      </c>
      <c r="T508" t="s">
        <v>13290</v>
      </c>
      <c r="U508" t="s">
        <v>13290</v>
      </c>
      <c r="V508" t="s">
        <v>13290</v>
      </c>
      <c r="W508" t="s">
        <v>13792</v>
      </c>
      <c r="X508">
        <v>20</v>
      </c>
      <c r="Y508" t="s">
        <v>20380</v>
      </c>
      <c r="Z508" t="s">
        <v>26838</v>
      </c>
      <c r="AA508">
        <v>0.38369610092670692</v>
      </c>
      <c r="AB508" t="str">
        <f>HYPERLINK("Melting_Curves/meltCurve_E7ETZ4_BZW2.pdf", "Melting_Curves/meltCurve_E7ETZ4_BZW2.pdf")</f>
        <v>Melting_Curves/meltCurve_E7ETZ4_BZW2.pdf</v>
      </c>
    </row>
    <row r="509" spans="1:28" x14ac:dyDescent="0.25">
      <c r="A509" t="s">
        <v>513</v>
      </c>
      <c r="B509">
        <v>0.99252571173614901</v>
      </c>
      <c r="C509">
        <v>1.04174343698502</v>
      </c>
      <c r="D509">
        <v>1.0027717488429799</v>
      </c>
      <c r="E509">
        <v>0.919025704490399</v>
      </c>
      <c r="F509">
        <v>0.68392853650663199</v>
      </c>
      <c r="G509">
        <v>0.312350424680161</v>
      </c>
      <c r="H509">
        <v>9.5837377731648701E-2</v>
      </c>
      <c r="I509">
        <v>9.7312892684397398E-2</v>
      </c>
      <c r="J509">
        <v>0.10679284240553399</v>
      </c>
      <c r="K509">
        <v>0.10252037002097</v>
      </c>
      <c r="L509">
        <v>1507.29389507924</v>
      </c>
      <c r="M509">
        <v>27.716603500439501</v>
      </c>
      <c r="N509">
        <v>54.757445536508001</v>
      </c>
      <c r="O509">
        <v>54.101614239497898</v>
      </c>
      <c r="P509">
        <v>-0.117003549848746</v>
      </c>
      <c r="Q509">
        <v>8.6464629601912299E-2</v>
      </c>
      <c r="R509">
        <v>0.99736425751152402</v>
      </c>
      <c r="S509" t="s">
        <v>7155</v>
      </c>
      <c r="T509" t="s">
        <v>13290</v>
      </c>
      <c r="U509" t="s">
        <v>13290</v>
      </c>
      <c r="V509" t="s">
        <v>13290</v>
      </c>
      <c r="W509" t="s">
        <v>13793</v>
      </c>
      <c r="X509">
        <v>52</v>
      </c>
      <c r="Y509" t="s">
        <v>20381</v>
      </c>
      <c r="Z509" t="s">
        <v>26839</v>
      </c>
      <c r="AA509">
        <v>0.53142427076630183</v>
      </c>
      <c r="AB509" t="str">
        <f>HYPERLINK("Melting_Curves/meltCurve_E7EU23_GDI2.pdf", "Melting_Curves/meltCurve_E7EU23_GDI2.pdf")</f>
        <v>Melting_Curves/meltCurve_E7EU23_GDI2.pdf</v>
      </c>
    </row>
    <row r="510" spans="1:28" x14ac:dyDescent="0.25">
      <c r="A510" t="s">
        <v>514</v>
      </c>
      <c r="B510">
        <v>0.99252571173614901</v>
      </c>
      <c r="C510">
        <v>0.95688651899953403</v>
      </c>
      <c r="D510">
        <v>1.0261625147376601</v>
      </c>
      <c r="E510">
        <v>1.0824946828867399</v>
      </c>
      <c r="F510">
        <v>0.72679676287654804</v>
      </c>
      <c r="G510">
        <v>0.391479470092923</v>
      </c>
      <c r="H510">
        <v>0.14231778860598401</v>
      </c>
      <c r="I510">
        <v>0.14200247882106001</v>
      </c>
      <c r="J510">
        <v>0.14473412759356599</v>
      </c>
      <c r="K510">
        <v>0.13930310948490901</v>
      </c>
      <c r="L510">
        <v>1745.2862235472001</v>
      </c>
      <c r="M510">
        <v>31.779613847135401</v>
      </c>
      <c r="N510">
        <v>55.461746863901602</v>
      </c>
      <c r="O510">
        <v>54.702335413952397</v>
      </c>
      <c r="P510">
        <v>-0.125811880331758</v>
      </c>
      <c r="Q510">
        <v>0.13376316311553799</v>
      </c>
      <c r="R510">
        <v>0.98806337997622695</v>
      </c>
      <c r="S510" t="s">
        <v>7156</v>
      </c>
      <c r="T510" t="s">
        <v>13290</v>
      </c>
      <c r="U510" t="s">
        <v>13290</v>
      </c>
      <c r="V510" t="s">
        <v>13290</v>
      </c>
      <c r="W510" t="s">
        <v>13794</v>
      </c>
      <c r="X510">
        <v>18</v>
      </c>
      <c r="Y510" t="s">
        <v>20382</v>
      </c>
      <c r="Z510" t="s">
        <v>26840</v>
      </c>
      <c r="AA510">
        <v>0.56967072060625445</v>
      </c>
      <c r="AB510" t="str">
        <f>HYPERLINK("Melting_Curves/meltCurve_E7EU96_CSNK2A1.pdf", "Melting_Curves/meltCurve_E7EU96_CSNK2A1.pdf")</f>
        <v>Melting_Curves/meltCurve_E7EU96_CSNK2A1.pdf</v>
      </c>
    </row>
    <row r="511" spans="1:28" x14ac:dyDescent="0.25">
      <c r="A511" t="s">
        <v>515</v>
      </c>
      <c r="B511">
        <v>0.99252571173614901</v>
      </c>
      <c r="C511">
        <v>0.93656815375188796</v>
      </c>
      <c r="D511">
        <v>0.83787648783966495</v>
      </c>
      <c r="E511">
        <v>0.69321239038901605</v>
      </c>
      <c r="F511">
        <v>0.63593836768264</v>
      </c>
      <c r="G511">
        <v>0.60388070471675903</v>
      </c>
      <c r="H511">
        <v>0.67131384860321697</v>
      </c>
      <c r="I511">
        <v>0.938288967505574</v>
      </c>
      <c r="J511">
        <v>0.769122684845719</v>
      </c>
      <c r="K511">
        <v>0.29239072259245702</v>
      </c>
      <c r="L511">
        <v>1178.71989569535</v>
      </c>
      <c r="M511">
        <v>25.6207018758567</v>
      </c>
      <c r="O511">
        <v>45.729008320479601</v>
      </c>
      <c r="P511">
        <v>-4.9065452978586603E-2</v>
      </c>
      <c r="Q511">
        <v>0.64970715573273896</v>
      </c>
      <c r="R511">
        <v>0.41111105717324098</v>
      </c>
      <c r="S511" t="s">
        <v>7157</v>
      </c>
      <c r="T511" t="s">
        <v>13290</v>
      </c>
      <c r="U511" t="s">
        <v>13290</v>
      </c>
      <c r="V511" t="s">
        <v>13290</v>
      </c>
      <c r="W511" t="s">
        <v>13795</v>
      </c>
      <c r="X511">
        <v>5</v>
      </c>
      <c r="Y511" t="s">
        <v>20383</v>
      </c>
      <c r="Z511" t="s">
        <v>26841</v>
      </c>
      <c r="AA511">
        <v>0.72289937938983406</v>
      </c>
      <c r="AB511" t="str">
        <f>HYPERLINK("Melting_Curves/meltCurve_E7EUE1_ABCD3.pdf", "Melting_Curves/meltCurve_E7EUE1_ABCD3.pdf")</f>
        <v>Melting_Curves/meltCurve_E7EUE1_ABCD3.pdf</v>
      </c>
    </row>
    <row r="512" spans="1:28" x14ac:dyDescent="0.25">
      <c r="A512" t="s">
        <v>516</v>
      </c>
      <c r="B512">
        <v>0.99252571173614901</v>
      </c>
      <c r="C512">
        <v>0.88703705289984602</v>
      </c>
      <c r="D512">
        <v>0.82416098006967498</v>
      </c>
      <c r="E512">
        <v>0.45759478063881298</v>
      </c>
      <c r="F512">
        <v>0.235464241070241</v>
      </c>
      <c r="G512">
        <v>0.18481839274992001</v>
      </c>
      <c r="H512">
        <v>0.18167998518737699</v>
      </c>
      <c r="I512">
        <v>0.21353489583357901</v>
      </c>
      <c r="J512">
        <v>0.28590155672913298</v>
      </c>
      <c r="K512">
        <v>0.30806641711808702</v>
      </c>
      <c r="L512">
        <v>1304.9142152868601</v>
      </c>
      <c r="M512">
        <v>27.264371203012601</v>
      </c>
      <c r="N512">
        <v>48.949845742611103</v>
      </c>
      <c r="O512">
        <v>47.606255096623798</v>
      </c>
      <c r="P512">
        <v>-0.110635147339048</v>
      </c>
      <c r="Q512">
        <v>0.22728821320412801</v>
      </c>
      <c r="R512">
        <v>0.97394583064376306</v>
      </c>
      <c r="S512" t="s">
        <v>7158</v>
      </c>
      <c r="T512" t="s">
        <v>13290</v>
      </c>
      <c r="U512" t="s">
        <v>13290</v>
      </c>
      <c r="V512" t="s">
        <v>13290</v>
      </c>
      <c r="W512" t="s">
        <v>13796</v>
      </c>
      <c r="X512">
        <v>1</v>
      </c>
      <c r="Y512" t="s">
        <v>20384</v>
      </c>
      <c r="Z512" t="s">
        <v>26842</v>
      </c>
      <c r="AA512">
        <v>0.43546013744995032</v>
      </c>
      <c r="AB512" t="str">
        <f>HYPERLINK("Melting_Curves/meltCurve_E7EUL7_SSFA2.pdf", "Melting_Curves/meltCurve_E7EUL7_SSFA2.pdf")</f>
        <v>Melting_Curves/meltCurve_E7EUL7_SSFA2.pdf</v>
      </c>
    </row>
    <row r="513" spans="1:28" x14ac:dyDescent="0.25">
      <c r="A513" t="s">
        <v>517</v>
      </c>
      <c r="B513">
        <v>0.99252571173614901</v>
      </c>
      <c r="C513">
        <v>0.916894529524936</v>
      </c>
      <c r="D513">
        <v>0.92101216391403795</v>
      </c>
      <c r="E513">
        <v>0.59004511770655499</v>
      </c>
      <c r="F513">
        <v>0.27061777710662399</v>
      </c>
      <c r="G513">
        <v>0.139312902842848</v>
      </c>
      <c r="H513">
        <v>0.105116922388821</v>
      </c>
      <c r="I513">
        <v>9.3982242908959596E-2</v>
      </c>
      <c r="J513">
        <v>0.10143201759571401</v>
      </c>
      <c r="K513">
        <v>8.9841633374379296E-2</v>
      </c>
      <c r="L513">
        <v>1181.47110992135</v>
      </c>
      <c r="M513">
        <v>23.609596565466699</v>
      </c>
      <c r="N513">
        <v>50.472152431753102</v>
      </c>
      <c r="O513">
        <v>49.6871211705013</v>
      </c>
      <c r="P513">
        <v>-0.107967315023279</v>
      </c>
      <c r="Q513">
        <v>9.1133211027545097E-2</v>
      </c>
      <c r="R513">
        <v>0.99640468850441</v>
      </c>
      <c r="S513" t="s">
        <v>7159</v>
      </c>
      <c r="T513" t="s">
        <v>13290</v>
      </c>
      <c r="U513" t="s">
        <v>13290</v>
      </c>
      <c r="V513" t="s">
        <v>13290</v>
      </c>
      <c r="W513" t="s">
        <v>13797</v>
      </c>
      <c r="X513">
        <v>15</v>
      </c>
      <c r="Y513" t="s">
        <v>20385</v>
      </c>
      <c r="Z513" t="s">
        <v>26843</v>
      </c>
      <c r="AA513">
        <v>0.40447503118802658</v>
      </c>
      <c r="AB513" t="str">
        <f>HYPERLINK("Melting_Curves/meltCurve_E7EUM5_NUP54.pdf", "Melting_Curves/meltCurve_E7EUM5_NUP54.pdf")</f>
        <v>Melting_Curves/meltCurve_E7EUM5_NUP54.pdf</v>
      </c>
    </row>
    <row r="514" spans="1:28" x14ac:dyDescent="0.25">
      <c r="A514" t="s">
        <v>518</v>
      </c>
      <c r="B514">
        <v>0.99252571173614901</v>
      </c>
      <c r="C514">
        <v>0.99212762445152802</v>
      </c>
      <c r="D514">
        <v>0.73113605822029404</v>
      </c>
      <c r="E514">
        <v>0.583505583174869</v>
      </c>
      <c r="F514">
        <v>0.43861003059655301</v>
      </c>
      <c r="G514">
        <v>0.36580668007767198</v>
      </c>
      <c r="H514">
        <v>0.29663078434157097</v>
      </c>
      <c r="I514">
        <v>0.33419815576665501</v>
      </c>
      <c r="J514">
        <v>0.47597974636766899</v>
      </c>
      <c r="K514">
        <v>0.51263762905186905</v>
      </c>
      <c r="L514">
        <v>1093.9231881498499</v>
      </c>
      <c r="M514">
        <v>23.243486441519501</v>
      </c>
      <c r="N514">
        <v>50.532844612784203</v>
      </c>
      <c r="O514">
        <v>46.7194353921115</v>
      </c>
      <c r="P514">
        <v>-7.4799963742028394E-2</v>
      </c>
      <c r="Q514">
        <v>0.39861877212601898</v>
      </c>
      <c r="R514">
        <v>0.92685915458935997</v>
      </c>
      <c r="S514" t="s">
        <v>7160</v>
      </c>
      <c r="T514" t="s">
        <v>13290</v>
      </c>
      <c r="U514" t="s">
        <v>13290</v>
      </c>
      <c r="V514" t="s">
        <v>13290</v>
      </c>
      <c r="W514" t="s">
        <v>13798</v>
      </c>
      <c r="X514">
        <v>4</v>
      </c>
      <c r="Y514" t="s">
        <v>20386</v>
      </c>
      <c r="Z514" t="s">
        <v>26844</v>
      </c>
      <c r="AA514">
        <v>0.54651490928489443</v>
      </c>
      <c r="AB514" t="str">
        <f>HYPERLINK("Melting_Curves/meltCurve_E7EV46_PGBD3.pdf", "Melting_Curves/meltCurve_E7EV46_PGBD3.pdf")</f>
        <v>Melting_Curves/meltCurve_E7EV46_PGBD3.pdf</v>
      </c>
    </row>
    <row r="515" spans="1:28" x14ac:dyDescent="0.25">
      <c r="A515" t="s">
        <v>519</v>
      </c>
      <c r="B515">
        <v>0.99252571173614901</v>
      </c>
      <c r="C515">
        <v>0.99220714078784999</v>
      </c>
      <c r="D515">
        <v>1.0009393120082899</v>
      </c>
      <c r="E515">
        <v>0.48724578067562901</v>
      </c>
      <c r="F515">
        <v>0.336670058979261</v>
      </c>
      <c r="G515">
        <v>0.215147397581227</v>
      </c>
      <c r="H515">
        <v>0.21351930696539101</v>
      </c>
      <c r="I515">
        <v>0.26726911028454198</v>
      </c>
      <c r="J515">
        <v>0.39193083839238702</v>
      </c>
      <c r="K515">
        <v>0.42825527592778301</v>
      </c>
      <c r="L515">
        <v>3779.0578648380801</v>
      </c>
      <c r="M515">
        <v>77.240798169623702</v>
      </c>
      <c r="N515">
        <v>49.541215834284799</v>
      </c>
      <c r="O515">
        <v>48.8929052129536</v>
      </c>
      <c r="P515">
        <v>-0.27310657766798802</v>
      </c>
      <c r="Q515">
        <v>0.30850160379677899</v>
      </c>
      <c r="R515">
        <v>0.95780819832919495</v>
      </c>
      <c r="S515" t="s">
        <v>7161</v>
      </c>
      <c r="T515" t="s">
        <v>13290</v>
      </c>
      <c r="U515" t="s">
        <v>13290</v>
      </c>
      <c r="V515" t="s">
        <v>13290</v>
      </c>
      <c r="W515" t="s">
        <v>13799</v>
      </c>
      <c r="X515">
        <v>5</v>
      </c>
      <c r="Y515" t="s">
        <v>20387</v>
      </c>
      <c r="Z515" t="s">
        <v>26845</v>
      </c>
      <c r="AA515">
        <v>0.51486114575135145</v>
      </c>
      <c r="AB515" t="str">
        <f>HYPERLINK("Melting_Curves/meltCurve_E7EV56_PCM1.pdf", "Melting_Curves/meltCurve_E7EV56_PCM1.pdf")</f>
        <v>Melting_Curves/meltCurve_E7EV56_PCM1.pdf</v>
      </c>
    </row>
    <row r="516" spans="1:28" x14ac:dyDescent="0.25">
      <c r="A516" t="s">
        <v>520</v>
      </c>
      <c r="B516">
        <v>0.99252571173614901</v>
      </c>
      <c r="C516">
        <v>1.0684115435272401</v>
      </c>
      <c r="D516">
        <v>0.94442497703858497</v>
      </c>
      <c r="E516">
        <v>0.892491449270297</v>
      </c>
      <c r="F516">
        <v>0.83190319259796797</v>
      </c>
      <c r="G516">
        <v>0.73619395538051102</v>
      </c>
      <c r="H516">
        <v>0.78068302782392995</v>
      </c>
      <c r="I516">
        <v>1.11362345498485</v>
      </c>
      <c r="J516">
        <v>1.63347468317189</v>
      </c>
      <c r="K516">
        <v>1.76052067097429</v>
      </c>
      <c r="L516">
        <v>15000</v>
      </c>
      <c r="M516">
        <v>233.15164264215201</v>
      </c>
      <c r="O516">
        <v>64.331077421048406</v>
      </c>
      <c r="P516">
        <v>0.45303073640525499</v>
      </c>
      <c r="Q516">
        <v>1.5</v>
      </c>
      <c r="R516">
        <v>0.77200677338098</v>
      </c>
      <c r="S516" t="s">
        <v>7162</v>
      </c>
      <c r="T516" t="s">
        <v>13290</v>
      </c>
      <c r="U516" t="s">
        <v>13290</v>
      </c>
      <c r="V516" t="s">
        <v>13290</v>
      </c>
      <c r="W516" t="s">
        <v>13800</v>
      </c>
      <c r="X516">
        <v>100</v>
      </c>
      <c r="Y516" t="s">
        <v>20388</v>
      </c>
      <c r="Z516" t="s">
        <v>26846</v>
      </c>
      <c r="AA516">
        <v>1.094338240850744</v>
      </c>
      <c r="AB516" t="str">
        <f>HYPERLINK("Melting_Curves/meltCurve_E7EVA0_MAP4.pdf", "Melting_Curves/meltCurve_E7EVA0_MAP4.pdf")</f>
        <v>Melting_Curves/meltCurve_E7EVA0_MAP4.pdf</v>
      </c>
    </row>
    <row r="517" spans="1:28" x14ac:dyDescent="0.25">
      <c r="A517" t="s">
        <v>521</v>
      </c>
      <c r="B517">
        <v>0.99252571173614901</v>
      </c>
      <c r="C517">
        <v>0.98928524124156203</v>
      </c>
      <c r="D517">
        <v>0.91462038131293399</v>
      </c>
      <c r="E517">
        <v>0.85456482052049498</v>
      </c>
      <c r="F517">
        <v>0.65927925957677302</v>
      </c>
      <c r="G517">
        <v>0.22254501586428099</v>
      </c>
      <c r="H517">
        <v>0.154613361217743</v>
      </c>
      <c r="I517">
        <v>0.162010005130414</v>
      </c>
      <c r="J517">
        <v>0.19445923186369199</v>
      </c>
      <c r="K517">
        <v>0.153821295875263</v>
      </c>
      <c r="L517">
        <v>1545.43974495711</v>
      </c>
      <c r="M517">
        <v>28.920623639126902</v>
      </c>
      <c r="N517">
        <v>54.1059138109391</v>
      </c>
      <c r="O517">
        <v>53.183734724434203</v>
      </c>
      <c r="P517">
        <v>-0.115520884977536</v>
      </c>
      <c r="Q517">
        <v>0.150255169770591</v>
      </c>
      <c r="R517">
        <v>0.98564716724776003</v>
      </c>
      <c r="S517" t="s">
        <v>7163</v>
      </c>
      <c r="T517" t="s">
        <v>13290</v>
      </c>
      <c r="U517" t="s">
        <v>13290</v>
      </c>
      <c r="V517" t="s">
        <v>13290</v>
      </c>
      <c r="W517" t="s">
        <v>13801</v>
      </c>
      <c r="X517">
        <v>11</v>
      </c>
      <c r="Y517" t="s">
        <v>20389</v>
      </c>
      <c r="Z517" t="s">
        <v>26847</v>
      </c>
      <c r="AA517">
        <v>0.53681569810175345</v>
      </c>
      <c r="AB517" t="str">
        <f>HYPERLINK("Melting_Curves/meltCurve_E7EVC7_ATG16L1.pdf", "Melting_Curves/meltCurve_E7EVC7_ATG16L1.pdf")</f>
        <v>Melting_Curves/meltCurve_E7EVC7_ATG16L1.pdf</v>
      </c>
    </row>
    <row r="518" spans="1:28" x14ac:dyDescent="0.25">
      <c r="A518" t="s">
        <v>522</v>
      </c>
      <c r="B518">
        <v>0.99252571173614901</v>
      </c>
      <c r="C518">
        <v>0.76103217988733196</v>
      </c>
      <c r="D518">
        <v>1.14373814157934</v>
      </c>
      <c r="E518">
        <v>1.0798371964498401</v>
      </c>
      <c r="F518">
        <v>0.53014680422349503</v>
      </c>
      <c r="G518">
        <v>0.16470073610144201</v>
      </c>
      <c r="H518">
        <v>7.5061720442895899E-2</v>
      </c>
      <c r="I518">
        <v>6.8097081007200896E-2</v>
      </c>
      <c r="J518">
        <v>8.4636226456130906E-2</v>
      </c>
      <c r="K518">
        <v>9.5157311005295606E-2</v>
      </c>
      <c r="L518">
        <v>3707.0027751468501</v>
      </c>
      <c r="M518">
        <v>69.735218148877806</v>
      </c>
      <c r="N518">
        <v>53.319239355093401</v>
      </c>
      <c r="O518">
        <v>53.114594016651999</v>
      </c>
      <c r="P518">
        <v>-0.297071826685679</v>
      </c>
      <c r="Q518">
        <v>9.49281391302053E-2</v>
      </c>
      <c r="R518">
        <v>0.95208268937376805</v>
      </c>
      <c r="S518" t="s">
        <v>7164</v>
      </c>
      <c r="T518" t="s">
        <v>13290</v>
      </c>
      <c r="U518" t="s">
        <v>13290</v>
      </c>
      <c r="V518" t="s">
        <v>13290</v>
      </c>
      <c r="W518" t="s">
        <v>13802</v>
      </c>
      <c r="X518">
        <v>9</v>
      </c>
      <c r="Y518" t="s">
        <v>20390</v>
      </c>
      <c r="Z518" t="s">
        <v>26848</v>
      </c>
      <c r="AA518">
        <v>0.49298850869569327</v>
      </c>
      <c r="AB518" t="str">
        <f>HYPERLINK("Melting_Curves/meltCurve_E7EVJ5_CYFIP2.pdf", "Melting_Curves/meltCurve_E7EVJ5_CYFIP2.pdf")</f>
        <v>Melting_Curves/meltCurve_E7EVJ5_CYFIP2.pdf</v>
      </c>
    </row>
    <row r="519" spans="1:28" x14ac:dyDescent="0.25">
      <c r="A519" t="s">
        <v>523</v>
      </c>
      <c r="B519">
        <v>0.99252571173614901</v>
      </c>
      <c r="C519">
        <v>0.92507089260118103</v>
      </c>
      <c r="D519">
        <v>0.82571868850218699</v>
      </c>
      <c r="E519">
        <v>0.83641120338356201</v>
      </c>
      <c r="F519">
        <v>0.48387205657653698</v>
      </c>
      <c r="G519">
        <v>0.26988091907739398</v>
      </c>
      <c r="H519">
        <v>0.19594940842627401</v>
      </c>
      <c r="I519">
        <v>0.23369958805930699</v>
      </c>
      <c r="J519">
        <v>0.37649157092921598</v>
      </c>
      <c r="K519">
        <v>0.48398493559981998</v>
      </c>
      <c r="L519">
        <v>1534.45720536677</v>
      </c>
      <c r="M519">
        <v>30.021737220688401</v>
      </c>
      <c r="N519">
        <v>52.791315190762496</v>
      </c>
      <c r="O519">
        <v>50.886370217675299</v>
      </c>
      <c r="P519">
        <v>-0.10211872852160001</v>
      </c>
      <c r="Q519">
        <v>0.307645982200624</v>
      </c>
      <c r="R519">
        <v>0.89290861199042104</v>
      </c>
      <c r="S519" t="s">
        <v>7165</v>
      </c>
      <c r="T519" t="s">
        <v>13290</v>
      </c>
      <c r="U519" t="s">
        <v>13290</v>
      </c>
      <c r="V519" t="s">
        <v>13290</v>
      </c>
      <c r="W519" t="s">
        <v>13803</v>
      </c>
      <c r="X519">
        <v>5</v>
      </c>
      <c r="Y519" t="s">
        <v>20391</v>
      </c>
      <c r="Z519" t="s">
        <v>26849</v>
      </c>
      <c r="AA519">
        <v>0.5684380631422884</v>
      </c>
      <c r="AB519" t="str">
        <f>HYPERLINK("Melting_Curves/meltCurve_E7EVZ3_RAI1.pdf", "Melting_Curves/meltCurve_E7EVZ3_RAI1.pdf")</f>
        <v>Melting_Curves/meltCurve_E7EVZ3_RAI1.pdf</v>
      </c>
    </row>
    <row r="520" spans="1:28" x14ac:dyDescent="0.25">
      <c r="A520" t="s">
        <v>524</v>
      </c>
      <c r="B520">
        <v>0.99252571173614901</v>
      </c>
      <c r="C520">
        <v>0.99175872598930703</v>
      </c>
      <c r="D520">
        <v>0.77710638013129496</v>
      </c>
      <c r="E520">
        <v>0.24574767513208201</v>
      </c>
      <c r="F520">
        <v>0.135912356596955</v>
      </c>
      <c r="G520">
        <v>7.5763534745943106E-2</v>
      </c>
      <c r="H520">
        <v>5.8282911170968302E-2</v>
      </c>
      <c r="I520">
        <v>5.2130858957554697E-2</v>
      </c>
      <c r="J520">
        <v>4.4463574706469201E-2</v>
      </c>
      <c r="K520">
        <v>3.5840141196494001E-2</v>
      </c>
      <c r="L520">
        <v>1557.8424117428699</v>
      </c>
      <c r="M520">
        <v>32.712268988425897</v>
      </c>
      <c r="N520">
        <v>47.806804597143397</v>
      </c>
      <c r="O520">
        <v>47.445661479136596</v>
      </c>
      <c r="P520">
        <v>-0.16216005080408</v>
      </c>
      <c r="Q520">
        <v>5.92208337810195E-2</v>
      </c>
      <c r="R520">
        <v>0.99753201603424602</v>
      </c>
      <c r="S520" t="s">
        <v>7166</v>
      </c>
      <c r="T520" t="s">
        <v>13290</v>
      </c>
      <c r="U520" t="s">
        <v>13290</v>
      </c>
      <c r="V520" t="s">
        <v>13290</v>
      </c>
      <c r="W520" t="s">
        <v>13804</v>
      </c>
      <c r="X520">
        <v>6</v>
      </c>
      <c r="Y520" t="s">
        <v>20392</v>
      </c>
      <c r="Z520" t="s">
        <v>26850</v>
      </c>
      <c r="AA520">
        <v>0.30296882864290819</v>
      </c>
      <c r="AB520" t="str">
        <f>HYPERLINK("Melting_Curves/meltCurve_E7EW05_SDAD1.pdf", "Melting_Curves/meltCurve_E7EW05_SDAD1.pdf")</f>
        <v>Melting_Curves/meltCurve_E7EW05_SDAD1.pdf</v>
      </c>
    </row>
    <row r="521" spans="1:28" x14ac:dyDescent="0.25">
      <c r="A521" t="s">
        <v>525</v>
      </c>
      <c r="B521">
        <v>0.99252571173614901</v>
      </c>
      <c r="C521">
        <v>1.0077900479512201</v>
      </c>
      <c r="D521">
        <v>0.67114557767298599</v>
      </c>
      <c r="E521">
        <v>0.35565185341779099</v>
      </c>
      <c r="F521">
        <v>0.21949811606469499</v>
      </c>
      <c r="G521">
        <v>0.13276415038015099</v>
      </c>
      <c r="H521">
        <v>8.9167645673142504E-2</v>
      </c>
      <c r="I521">
        <v>8.9579499526617007E-2</v>
      </c>
      <c r="J521">
        <v>0.101313940571026</v>
      </c>
      <c r="K521">
        <v>0.104179275166162</v>
      </c>
      <c r="L521">
        <v>1076.46802311445</v>
      </c>
      <c r="M521">
        <v>22.645129200919399</v>
      </c>
      <c r="N521">
        <v>48.027390028482003</v>
      </c>
      <c r="O521">
        <v>47.170359215624401</v>
      </c>
      <c r="P521">
        <v>-0.107618476617557</v>
      </c>
      <c r="Q521">
        <v>0.103330201427112</v>
      </c>
      <c r="R521">
        <v>0.99157754311779001</v>
      </c>
      <c r="S521" t="s">
        <v>7167</v>
      </c>
      <c r="T521" t="s">
        <v>13290</v>
      </c>
      <c r="U521" t="s">
        <v>13290</v>
      </c>
      <c r="V521" t="s">
        <v>13290</v>
      </c>
      <c r="W521" t="s">
        <v>13805</v>
      </c>
      <c r="X521">
        <v>3</v>
      </c>
      <c r="Y521" t="s">
        <v>20393</v>
      </c>
      <c r="Z521" t="s">
        <v>26851</v>
      </c>
      <c r="AA521">
        <v>0.3384301590913722</v>
      </c>
      <c r="AB521" t="str">
        <f>HYPERLINK("Melting_Curves/meltCurve_E7EW18_POLB.pdf", "Melting_Curves/meltCurve_E7EW18_POLB.pdf")</f>
        <v>Melting_Curves/meltCurve_E7EW18_POLB.pdf</v>
      </c>
    </row>
    <row r="522" spans="1:28" x14ac:dyDescent="0.25">
      <c r="A522" t="s">
        <v>526</v>
      </c>
      <c r="B522">
        <v>0.99252571173614901</v>
      </c>
      <c r="C522">
        <v>0.92101087933007397</v>
      </c>
      <c r="D522">
        <v>0.88836637894117199</v>
      </c>
      <c r="E522">
        <v>0.88057621356155702</v>
      </c>
      <c r="F522">
        <v>0.17972616797265401</v>
      </c>
      <c r="G522">
        <v>0.112922498084744</v>
      </c>
      <c r="H522">
        <v>8.0550239054332104E-2</v>
      </c>
      <c r="I522">
        <v>9.21351749366809E-2</v>
      </c>
      <c r="J522">
        <v>0.101525567187654</v>
      </c>
      <c r="K522">
        <v>9.2602779613474198E-2</v>
      </c>
      <c r="L522">
        <v>2993.5977831458799</v>
      </c>
      <c r="M522">
        <v>58.501185177716501</v>
      </c>
      <c r="N522">
        <v>51.356305924759603</v>
      </c>
      <c r="O522">
        <v>51.111884776937103</v>
      </c>
      <c r="P522">
        <v>-0.25899193003383397</v>
      </c>
      <c r="Q522">
        <v>9.48860797304798E-2</v>
      </c>
      <c r="R522">
        <v>0.98806645746452404</v>
      </c>
      <c r="S522" t="s">
        <v>7168</v>
      </c>
      <c r="T522" t="s">
        <v>13290</v>
      </c>
      <c r="U522" t="s">
        <v>13290</v>
      </c>
      <c r="V522" t="s">
        <v>13290</v>
      </c>
      <c r="W522" t="s">
        <v>13806</v>
      </c>
      <c r="X522">
        <v>43</v>
      </c>
      <c r="Y522" t="s">
        <v>20394</v>
      </c>
      <c r="Z522" t="s">
        <v>26852</v>
      </c>
      <c r="AA522">
        <v>0.43342781030187832</v>
      </c>
      <c r="AB522" t="str">
        <f>HYPERLINK("Melting_Curves/meltCurve_E7EW20_MYO6.pdf", "Melting_Curves/meltCurve_E7EW20_MYO6.pdf")</f>
        <v>Melting_Curves/meltCurve_E7EW20_MYO6.pdf</v>
      </c>
    </row>
    <row r="523" spans="1:28" x14ac:dyDescent="0.25">
      <c r="A523" t="s">
        <v>527</v>
      </c>
      <c r="B523">
        <v>0.99252571173614901</v>
      </c>
      <c r="C523">
        <v>0.93544213461093895</v>
      </c>
      <c r="D523">
        <v>0.97049155597524395</v>
      </c>
      <c r="E523">
        <v>0.90011935137969201</v>
      </c>
      <c r="F523">
        <v>0.60573893893507003</v>
      </c>
      <c r="G523">
        <v>0.43993688690338001</v>
      </c>
      <c r="H523">
        <v>0.168938848466021</v>
      </c>
      <c r="I523">
        <v>0.151692975339841</v>
      </c>
      <c r="J523">
        <v>0.14970957322185</v>
      </c>
      <c r="K523">
        <v>0.16265776977690899</v>
      </c>
      <c r="L523">
        <v>1047.1518482941999</v>
      </c>
      <c r="M523">
        <v>19.306159568546299</v>
      </c>
      <c r="N523">
        <v>55.0482502704387</v>
      </c>
      <c r="O523">
        <v>53.667384823890501</v>
      </c>
      <c r="P523">
        <v>-7.8829268480437101E-2</v>
      </c>
      <c r="Q523">
        <v>0.12351240926749001</v>
      </c>
      <c r="R523">
        <v>0.99010387730432803</v>
      </c>
      <c r="S523" t="s">
        <v>7169</v>
      </c>
      <c r="T523" t="s">
        <v>13290</v>
      </c>
      <c r="U523" t="s">
        <v>13290</v>
      </c>
      <c r="V523" t="s">
        <v>13290</v>
      </c>
      <c r="W523" t="s">
        <v>13807</v>
      </c>
      <c r="X523">
        <v>5</v>
      </c>
      <c r="Y523" t="s">
        <v>20395</v>
      </c>
      <c r="Z523" t="s">
        <v>26853</v>
      </c>
      <c r="AA523">
        <v>0.55206895030899106</v>
      </c>
      <c r="AB523" t="str">
        <f>HYPERLINK("Melting_Curves/meltCurve_E7EW32_MON1B.pdf", "Melting_Curves/meltCurve_E7EW32_MON1B.pdf")</f>
        <v>Melting_Curves/meltCurve_E7EW32_MON1B.pdf</v>
      </c>
    </row>
    <row r="524" spans="1:28" x14ac:dyDescent="0.25">
      <c r="A524" t="s">
        <v>528</v>
      </c>
      <c r="B524">
        <v>0.99252571173614901</v>
      </c>
      <c r="C524">
        <v>0.90674105338375</v>
      </c>
      <c r="D524">
        <v>1.04580197315739</v>
      </c>
      <c r="E524">
        <v>1.02234573752837</v>
      </c>
      <c r="F524">
        <v>0.690265417891191</v>
      </c>
      <c r="G524">
        <v>0.24324067807716701</v>
      </c>
      <c r="H524">
        <v>0.10682195844133099</v>
      </c>
      <c r="I524">
        <v>7.6582598979705097E-2</v>
      </c>
      <c r="J524">
        <v>9.4231546337246203E-2</v>
      </c>
      <c r="K524">
        <v>0.109701789804538</v>
      </c>
      <c r="L524">
        <v>2073.5580710958502</v>
      </c>
      <c r="M524">
        <v>38.254221351471898</v>
      </c>
      <c r="N524">
        <v>54.504032585199901</v>
      </c>
      <c r="O524">
        <v>54.0571958734117</v>
      </c>
      <c r="P524">
        <v>-0.16015265631381101</v>
      </c>
      <c r="Q524">
        <v>9.4752766052922099E-2</v>
      </c>
      <c r="R524">
        <v>0.99173244680348704</v>
      </c>
      <c r="S524" t="s">
        <v>7170</v>
      </c>
      <c r="T524" t="s">
        <v>13290</v>
      </c>
      <c r="U524" t="s">
        <v>13290</v>
      </c>
      <c r="V524" t="s">
        <v>13290</v>
      </c>
      <c r="W524" t="s">
        <v>13808</v>
      </c>
      <c r="X524">
        <v>11</v>
      </c>
      <c r="Y524" t="s">
        <v>20396</v>
      </c>
      <c r="Z524" t="s">
        <v>26854</v>
      </c>
      <c r="AA524">
        <v>0.5270767889421385</v>
      </c>
      <c r="AB524" t="str">
        <f>HYPERLINK("Melting_Curves/meltCurve_E7EW69_SEPT10.pdf", "Melting_Curves/meltCurve_E7EW69_SEPT10.pdf")</f>
        <v>Melting_Curves/meltCurve_E7EW69_SEPT10.pdf</v>
      </c>
    </row>
    <row r="525" spans="1:28" x14ac:dyDescent="0.25">
      <c r="A525" t="s">
        <v>529</v>
      </c>
      <c r="B525">
        <v>0.99252571173614901</v>
      </c>
      <c r="C525">
        <v>0.81642894446523095</v>
      </c>
      <c r="D525">
        <v>1.0982537443254501</v>
      </c>
      <c r="E525">
        <v>1.24838712621579</v>
      </c>
      <c r="F525">
        <v>0.53744153550071505</v>
      </c>
      <c r="G525">
        <v>0.44999094114684601</v>
      </c>
      <c r="H525">
        <v>0.372387760363315</v>
      </c>
      <c r="I525">
        <v>0.42048835131100198</v>
      </c>
      <c r="J525">
        <v>0.43969088182017801</v>
      </c>
      <c r="K525">
        <v>0.35995824525499798</v>
      </c>
      <c r="L525">
        <v>13232.040301265</v>
      </c>
      <c r="M525">
        <v>250</v>
      </c>
      <c r="N525">
        <v>53.290169951521101</v>
      </c>
      <c r="O525">
        <v>52.924785554340097</v>
      </c>
      <c r="P525">
        <v>-0.69851122440963298</v>
      </c>
      <c r="Q525">
        <v>0.40850321953271002</v>
      </c>
      <c r="R525">
        <v>0.88941952742374397</v>
      </c>
      <c r="S525" t="s">
        <v>7171</v>
      </c>
      <c r="T525" t="s">
        <v>13290</v>
      </c>
      <c r="U525" t="s">
        <v>13290</v>
      </c>
      <c r="V525" t="s">
        <v>13290</v>
      </c>
      <c r="W525" t="s">
        <v>13809</v>
      </c>
      <c r="X525">
        <v>3</v>
      </c>
      <c r="Y525" t="s">
        <v>20397</v>
      </c>
      <c r="Z525" t="s">
        <v>26855</v>
      </c>
      <c r="AA525">
        <v>0.66345702021615138</v>
      </c>
      <c r="AB525" t="str">
        <f>HYPERLINK("Melting_Curves/meltCurve_E7EW77_ABI2.pdf", "Melting_Curves/meltCurve_E7EW77_ABI2.pdf")</f>
        <v>Melting_Curves/meltCurve_E7EW77_ABI2.pdf</v>
      </c>
    </row>
    <row r="526" spans="1:28" x14ac:dyDescent="0.25">
      <c r="A526" t="s">
        <v>530</v>
      </c>
      <c r="B526">
        <v>0.99252571173614901</v>
      </c>
      <c r="C526">
        <v>0.91911759601789</v>
      </c>
      <c r="D526">
        <v>0.84597541755771</v>
      </c>
      <c r="E526">
        <v>0.440564338144802</v>
      </c>
      <c r="F526">
        <v>0.27064233807066601</v>
      </c>
      <c r="G526">
        <v>0.16850532871743701</v>
      </c>
      <c r="H526">
        <v>0.11466795838784</v>
      </c>
      <c r="I526">
        <v>0.126013481189064</v>
      </c>
      <c r="J526">
        <v>0.16141381818709899</v>
      </c>
      <c r="K526">
        <v>0.170898720369241</v>
      </c>
      <c r="L526">
        <v>1133.5988391891999</v>
      </c>
      <c r="M526">
        <v>23.3568188802296</v>
      </c>
      <c r="N526">
        <v>49.246048715256599</v>
      </c>
      <c r="O526">
        <v>48.182390951694799</v>
      </c>
      <c r="P526">
        <v>-0.10382394029297599</v>
      </c>
      <c r="Q526">
        <v>0.14330849705943899</v>
      </c>
      <c r="R526">
        <v>0.99384719723570003</v>
      </c>
      <c r="S526" t="s">
        <v>7172</v>
      </c>
      <c r="T526" t="s">
        <v>13290</v>
      </c>
      <c r="U526" t="s">
        <v>13290</v>
      </c>
      <c r="V526" t="s">
        <v>13290</v>
      </c>
      <c r="W526" t="s">
        <v>13810</v>
      </c>
      <c r="X526">
        <v>4</v>
      </c>
      <c r="Y526" t="s">
        <v>20398</v>
      </c>
      <c r="Z526" t="s">
        <v>26856</v>
      </c>
      <c r="AA526">
        <v>0.3957378836608958</v>
      </c>
      <c r="AB526" t="str">
        <f>HYPERLINK("Melting_Curves/meltCurve_E7EW84_EXOC6.pdf", "Melting_Curves/meltCurve_E7EW84_EXOC6.pdf")</f>
        <v>Melting_Curves/meltCurve_E7EW84_EXOC6.pdf</v>
      </c>
    </row>
    <row r="527" spans="1:28" x14ac:dyDescent="0.25">
      <c r="A527" t="s">
        <v>531</v>
      </c>
      <c r="B527">
        <v>0.99252571173614901</v>
      </c>
      <c r="C527">
        <v>0.86568025971907003</v>
      </c>
      <c r="D527">
        <v>0.87158059822715395</v>
      </c>
      <c r="E527">
        <v>0.78112082033770502</v>
      </c>
      <c r="F527">
        <v>0.58475469578867301</v>
      </c>
      <c r="G527">
        <v>0.36427350285705201</v>
      </c>
      <c r="H527">
        <v>0.29561519394531499</v>
      </c>
      <c r="I527">
        <v>0.302956416913021</v>
      </c>
      <c r="J527">
        <v>0.39678333126251503</v>
      </c>
      <c r="K527">
        <v>0.387209338666889</v>
      </c>
      <c r="L527">
        <v>847.31225634417001</v>
      </c>
      <c r="M527">
        <v>16.6346675363719</v>
      </c>
      <c r="N527">
        <v>54.299334293031002</v>
      </c>
      <c r="O527">
        <v>50.2174924007534</v>
      </c>
      <c r="P527">
        <v>-5.61898342560265E-2</v>
      </c>
      <c r="Q527">
        <v>0.32153208830251301</v>
      </c>
      <c r="R527">
        <v>0.94916503249159601</v>
      </c>
      <c r="S527" t="s">
        <v>7173</v>
      </c>
      <c r="T527" t="s">
        <v>13290</v>
      </c>
      <c r="U527" t="s">
        <v>13290</v>
      </c>
      <c r="V527" t="s">
        <v>13290</v>
      </c>
      <c r="W527" t="s">
        <v>13811</v>
      </c>
      <c r="X527">
        <v>1</v>
      </c>
      <c r="Y527" t="s">
        <v>20399</v>
      </c>
      <c r="Z527" t="s">
        <v>26857</v>
      </c>
      <c r="AA527">
        <v>0.58203363473559944</v>
      </c>
      <c r="AB527" t="str">
        <f>HYPERLINK("Melting_Curves/meltCurve_E7EWD6_ASXL2.pdf", "Melting_Curves/meltCurve_E7EWD6_ASXL2.pdf")</f>
        <v>Melting_Curves/meltCurve_E7EWD6_ASXL2.pdf</v>
      </c>
    </row>
    <row r="528" spans="1:28" x14ac:dyDescent="0.25">
      <c r="A528" t="s">
        <v>532</v>
      </c>
      <c r="B528">
        <v>0.99252571173614901</v>
      </c>
      <c r="C528">
        <v>1.0181861808352599</v>
      </c>
      <c r="D528">
        <v>0.968343884140898</v>
      </c>
      <c r="E528">
        <v>0.85929107727881404</v>
      </c>
      <c r="F528">
        <v>0.69373654060509204</v>
      </c>
      <c r="G528">
        <v>0.48365450671778598</v>
      </c>
      <c r="H528">
        <v>0.22016444266344201</v>
      </c>
      <c r="I528">
        <v>0.16075977830030799</v>
      </c>
      <c r="J528">
        <v>0.14922170241569299</v>
      </c>
      <c r="K528">
        <v>0.13302936614466099</v>
      </c>
      <c r="L528">
        <v>923.394818853365</v>
      </c>
      <c r="M528">
        <v>16.6866243985754</v>
      </c>
      <c r="N528">
        <v>56.010708372590699</v>
      </c>
      <c r="O528">
        <v>54.560997440871702</v>
      </c>
      <c r="P528">
        <v>-6.9515147413728107E-2</v>
      </c>
      <c r="Q528">
        <v>9.0873439661594002E-2</v>
      </c>
      <c r="R528">
        <v>0.99654256924238804</v>
      </c>
      <c r="S528" t="s">
        <v>7174</v>
      </c>
      <c r="T528" t="s">
        <v>13290</v>
      </c>
      <c r="U528" t="s">
        <v>13290</v>
      </c>
      <c r="V528" t="s">
        <v>13290</v>
      </c>
      <c r="W528" t="s">
        <v>13812</v>
      </c>
      <c r="X528">
        <v>7</v>
      </c>
      <c r="Y528" t="s">
        <v>20400</v>
      </c>
      <c r="Z528" t="s">
        <v>26858</v>
      </c>
      <c r="AA528">
        <v>0.57088561056206588</v>
      </c>
      <c r="AB528" t="str">
        <f>HYPERLINK("Melting_Curves/meltCurve_E7EWM3_ZMIZ2.pdf", "Melting_Curves/meltCurve_E7EWM3_ZMIZ2.pdf")</f>
        <v>Melting_Curves/meltCurve_E7EWM3_ZMIZ2.pdf</v>
      </c>
    </row>
    <row r="529" spans="1:28" x14ac:dyDescent="0.25">
      <c r="A529" t="s">
        <v>533</v>
      </c>
      <c r="B529">
        <v>0.99252571173614901</v>
      </c>
      <c r="C529">
        <v>0.82007958445976703</v>
      </c>
      <c r="D529">
        <v>0.74680112861848702</v>
      </c>
      <c r="E529">
        <v>0.55910394611607095</v>
      </c>
      <c r="F529">
        <v>0.451358975070206</v>
      </c>
      <c r="G529">
        <v>0.29007627277575798</v>
      </c>
      <c r="H529">
        <v>0.26264662460745303</v>
      </c>
      <c r="I529">
        <v>0.315226903995876</v>
      </c>
      <c r="J529">
        <v>0.48673269143471098</v>
      </c>
      <c r="K529">
        <v>0.75598430592450205</v>
      </c>
      <c r="L529">
        <v>912.86252831892796</v>
      </c>
      <c r="M529">
        <v>19.877973784424199</v>
      </c>
      <c r="N529">
        <v>50.716150261071597</v>
      </c>
      <c r="O529">
        <v>45.466117131865602</v>
      </c>
      <c r="P529">
        <v>-6.3004009892471499E-2</v>
      </c>
      <c r="Q529">
        <v>0.42359263493281202</v>
      </c>
      <c r="R529">
        <v>0.67822124599868405</v>
      </c>
      <c r="S529" t="s">
        <v>7175</v>
      </c>
      <c r="T529" t="s">
        <v>13290</v>
      </c>
      <c r="U529" t="s">
        <v>13290</v>
      </c>
      <c r="V529" t="s">
        <v>13290</v>
      </c>
      <c r="W529" t="s">
        <v>13813</v>
      </c>
      <c r="X529">
        <v>1</v>
      </c>
      <c r="Y529" t="s">
        <v>20401</v>
      </c>
      <c r="Z529" t="s">
        <v>26859</v>
      </c>
      <c r="AA529">
        <v>0.5464874135468577</v>
      </c>
      <c r="AB529" t="str">
        <f>HYPERLINK("Melting_Curves/meltCurve_E7EWN3_SETD5.pdf", "Melting_Curves/meltCurve_E7EWN3_SETD5.pdf")</f>
        <v>Melting_Curves/meltCurve_E7EWN3_SETD5.pdf</v>
      </c>
    </row>
    <row r="530" spans="1:28" x14ac:dyDescent="0.25">
      <c r="A530" t="s">
        <v>534</v>
      </c>
      <c r="B530">
        <v>0.99252571173614901</v>
      </c>
      <c r="C530">
        <v>0.94074301636288704</v>
      </c>
      <c r="D530">
        <v>0.88802570760215205</v>
      </c>
      <c r="E530">
        <v>0.801903233916063</v>
      </c>
      <c r="F530">
        <v>0.48287249773344698</v>
      </c>
      <c r="G530">
        <v>0.34710236701653302</v>
      </c>
      <c r="H530">
        <v>0.28754539681929497</v>
      </c>
      <c r="I530">
        <v>0.23645081352572</v>
      </c>
      <c r="J530">
        <v>0.205301107663697</v>
      </c>
      <c r="K530">
        <v>0.16269389219487901</v>
      </c>
      <c r="L530">
        <v>820.57205582879703</v>
      </c>
      <c r="M530">
        <v>15.737358036149701</v>
      </c>
      <c r="N530">
        <v>53.640937065407599</v>
      </c>
      <c r="O530">
        <v>51.321529761360601</v>
      </c>
      <c r="P530">
        <v>-6.30251228292905E-2</v>
      </c>
      <c r="Q530">
        <v>0.17793714568856001</v>
      </c>
      <c r="R530">
        <v>0.99144134580828702</v>
      </c>
      <c r="S530" t="s">
        <v>7176</v>
      </c>
      <c r="T530" t="s">
        <v>13290</v>
      </c>
      <c r="U530" t="s">
        <v>13290</v>
      </c>
      <c r="V530" t="s">
        <v>13290</v>
      </c>
      <c r="W530" t="s">
        <v>13814</v>
      </c>
      <c r="X530">
        <v>5</v>
      </c>
      <c r="Y530" t="s">
        <v>20402</v>
      </c>
      <c r="Z530" t="s">
        <v>26860</v>
      </c>
      <c r="AA530">
        <v>0.52763250791545013</v>
      </c>
      <c r="AB530" t="str">
        <f>HYPERLINK("Melting_Curves/meltCurve_E7EWP0_NDUFB5.pdf", "Melting_Curves/meltCurve_E7EWP0_NDUFB5.pdf")</f>
        <v>Melting_Curves/meltCurve_E7EWP0_NDUFB5.pdf</v>
      </c>
    </row>
    <row r="531" spans="1:28" x14ac:dyDescent="0.25">
      <c r="A531" t="s">
        <v>535</v>
      </c>
      <c r="B531">
        <v>0.99252571173614901</v>
      </c>
      <c r="C531">
        <v>1.0878639832631101</v>
      </c>
      <c r="D531">
        <v>1.07830977191702</v>
      </c>
      <c r="E531">
        <v>1.06981991527372</v>
      </c>
      <c r="F531">
        <v>0.64899519536398098</v>
      </c>
      <c r="G531">
        <v>0.57215270702796595</v>
      </c>
      <c r="H531">
        <v>0.45623367962685302</v>
      </c>
      <c r="I531">
        <v>0.57284923526309495</v>
      </c>
      <c r="J531">
        <v>0.60764566022955102</v>
      </c>
      <c r="K531">
        <v>0.507602867842461</v>
      </c>
      <c r="L531">
        <v>13236.148823424701</v>
      </c>
      <c r="M531">
        <v>250</v>
      </c>
      <c r="O531">
        <v>52.9412072722684</v>
      </c>
      <c r="P531">
        <v>-0.53916316116233898</v>
      </c>
      <c r="Q531">
        <v>0.54329682253965805</v>
      </c>
      <c r="R531">
        <v>0.94605382823407103</v>
      </c>
      <c r="S531" t="s">
        <v>7177</v>
      </c>
      <c r="T531" t="s">
        <v>13290</v>
      </c>
      <c r="U531" t="s">
        <v>13290</v>
      </c>
      <c r="V531" t="s">
        <v>13290</v>
      </c>
      <c r="W531" t="s">
        <v>13815</v>
      </c>
      <c r="X531">
        <v>3</v>
      </c>
      <c r="Y531" t="s">
        <v>20403</v>
      </c>
      <c r="Z531" t="s">
        <v>26861</v>
      </c>
      <c r="AA531">
        <v>0.74040051805408269</v>
      </c>
      <c r="AB531" t="str">
        <f>HYPERLINK("Melting_Curves/meltCurve_E7EWQ5_MAST4.pdf", "Melting_Curves/meltCurve_E7EWQ5_MAST4.pdf")</f>
        <v>Melting_Curves/meltCurve_E7EWQ5_MAST4.pdf</v>
      </c>
    </row>
    <row r="532" spans="1:28" x14ac:dyDescent="0.25">
      <c r="A532" t="s">
        <v>536</v>
      </c>
      <c r="B532">
        <v>0.99252571173614901</v>
      </c>
      <c r="C532">
        <v>1.0573539335736799</v>
      </c>
      <c r="D532">
        <v>0.95282483308502597</v>
      </c>
      <c r="E532">
        <v>0.72933316695402595</v>
      </c>
      <c r="F532">
        <v>0.32134181512529297</v>
      </c>
      <c r="G532">
        <v>0.21727598236114301</v>
      </c>
      <c r="H532">
        <v>0.199765211681705</v>
      </c>
      <c r="I532">
        <v>6.9797277970814295E-2</v>
      </c>
      <c r="J532">
        <v>5.0750067447198302E-2</v>
      </c>
      <c r="K532">
        <v>5.5509166038993897E-2</v>
      </c>
      <c r="L532">
        <v>1203.3511858710999</v>
      </c>
      <c r="M532">
        <v>23.454913440275899</v>
      </c>
      <c r="N532">
        <v>51.731802884339302</v>
      </c>
      <c r="O532">
        <v>50.936285126830697</v>
      </c>
      <c r="P532">
        <v>-0.10499089134629</v>
      </c>
      <c r="Q532">
        <v>8.7994304509347296E-2</v>
      </c>
      <c r="R532">
        <v>0.98745762820988603</v>
      </c>
      <c r="S532" t="s">
        <v>7178</v>
      </c>
      <c r="T532" t="s">
        <v>13290</v>
      </c>
      <c r="U532" t="s">
        <v>13290</v>
      </c>
      <c r="V532" t="s">
        <v>13290</v>
      </c>
      <c r="W532" t="s">
        <v>13816</v>
      </c>
      <c r="X532">
        <v>6</v>
      </c>
      <c r="Y532" t="s">
        <v>20404</v>
      </c>
      <c r="Z532" t="s">
        <v>26862</v>
      </c>
      <c r="AA532">
        <v>0.44102163289968582</v>
      </c>
      <c r="AB532" t="str">
        <f>HYPERLINK("Melting_Curves/meltCurve_E7EWX6_SIRT2.pdf", "Melting_Curves/meltCurve_E7EWX6_SIRT2.pdf")</f>
        <v>Melting_Curves/meltCurve_E7EWX6_SIRT2.pdf</v>
      </c>
    </row>
    <row r="533" spans="1:28" x14ac:dyDescent="0.25">
      <c r="A533" t="s">
        <v>537</v>
      </c>
      <c r="B533">
        <v>0.99252571173614901</v>
      </c>
      <c r="C533">
        <v>0.99777688711351997</v>
      </c>
      <c r="D533">
        <v>0.74131991895976501</v>
      </c>
      <c r="E533">
        <v>0.48812111363046201</v>
      </c>
      <c r="F533">
        <v>0.30476750879327202</v>
      </c>
      <c r="G533">
        <v>0.10052522298729601</v>
      </c>
      <c r="H533">
        <v>6.7103232113696495E-2</v>
      </c>
      <c r="I533">
        <v>6.2356953796674802E-2</v>
      </c>
      <c r="J533">
        <v>6.8692871828489196E-2</v>
      </c>
      <c r="K533">
        <v>5.7270606208086001E-2</v>
      </c>
      <c r="L533">
        <v>848.29160386974604</v>
      </c>
      <c r="M533">
        <v>17.212305864375001</v>
      </c>
      <c r="N533">
        <v>49.563045893469003</v>
      </c>
      <c r="O533">
        <v>48.633206515996498</v>
      </c>
      <c r="P533">
        <v>-8.43994301855161E-2</v>
      </c>
      <c r="Q533">
        <v>4.6176989075907601E-2</v>
      </c>
      <c r="R533">
        <v>0.99251100014480498</v>
      </c>
      <c r="S533" t="s">
        <v>7179</v>
      </c>
      <c r="T533" t="s">
        <v>13290</v>
      </c>
      <c r="U533" t="s">
        <v>13290</v>
      </c>
      <c r="V533" t="s">
        <v>13290</v>
      </c>
      <c r="W533" t="s">
        <v>13817</v>
      </c>
      <c r="X533">
        <v>5</v>
      </c>
      <c r="Y533" t="s">
        <v>20405</v>
      </c>
      <c r="Z533" t="s">
        <v>26863</v>
      </c>
      <c r="AA533">
        <v>0.35929508444584562</v>
      </c>
      <c r="AB533" t="str">
        <f>HYPERLINK("Melting_Curves/meltCurve_E7EX01_MPP2.pdf", "Melting_Curves/meltCurve_E7EX01_MPP2.pdf")</f>
        <v>Melting_Curves/meltCurve_E7EX01_MPP2.pdf</v>
      </c>
    </row>
    <row r="534" spans="1:28" x14ac:dyDescent="0.25">
      <c r="A534" t="s">
        <v>538</v>
      </c>
      <c r="B534">
        <v>0.99252571173614901</v>
      </c>
      <c r="C534">
        <v>1.10923219147793</v>
      </c>
      <c r="D534">
        <v>1.00209543938376</v>
      </c>
      <c r="E534">
        <v>1.07323578374748</v>
      </c>
      <c r="F534">
        <v>0.94200063049154503</v>
      </c>
      <c r="G534">
        <v>0.84862171133350495</v>
      </c>
      <c r="H534">
        <v>0.92107960374730402</v>
      </c>
      <c r="I534">
        <v>1.38016510504399</v>
      </c>
      <c r="J534">
        <v>1.9811060407107399</v>
      </c>
      <c r="K534">
        <v>2.0129919750640002</v>
      </c>
      <c r="L534">
        <v>15000</v>
      </c>
      <c r="M534">
        <v>235.529605639588</v>
      </c>
      <c r="O534">
        <v>63.681671924600401</v>
      </c>
      <c r="P534">
        <v>0.46231829196375701</v>
      </c>
      <c r="Q534">
        <v>1.5</v>
      </c>
      <c r="R534">
        <v>0.67414653669567404</v>
      </c>
      <c r="S534" t="s">
        <v>7180</v>
      </c>
      <c r="T534" t="s">
        <v>13290</v>
      </c>
      <c r="U534" t="s">
        <v>13290</v>
      </c>
      <c r="V534" t="s">
        <v>13290</v>
      </c>
      <c r="W534" t="s">
        <v>13818</v>
      </c>
      <c r="X534">
        <v>72</v>
      </c>
      <c r="Y534" t="s">
        <v>20406</v>
      </c>
      <c r="Z534" t="s">
        <v>26864</v>
      </c>
      <c r="AA534">
        <v>1.1051660152537379</v>
      </c>
      <c r="AB534" t="str">
        <f>HYPERLINK("Melting_Curves/meltCurve_E7EX17_EIF4B.pdf", "Melting_Curves/meltCurve_E7EX17_EIF4B.pdf")</f>
        <v>Melting_Curves/meltCurve_E7EX17_EIF4B.pdf</v>
      </c>
    </row>
    <row r="535" spans="1:28" x14ac:dyDescent="0.25">
      <c r="A535" t="s">
        <v>539</v>
      </c>
      <c r="B535">
        <v>0.99252571173614901</v>
      </c>
      <c r="C535">
        <v>0.89190097088390996</v>
      </c>
      <c r="D535">
        <v>1.2279375131337</v>
      </c>
      <c r="E535">
        <v>1.4662594792905499</v>
      </c>
      <c r="F535">
        <v>1.9927124750279299</v>
      </c>
      <c r="G535">
        <v>1.6590218252787801</v>
      </c>
      <c r="H535">
        <v>0.69955068641895501</v>
      </c>
      <c r="I535">
        <v>0.39810638209640398</v>
      </c>
      <c r="J535">
        <v>0.31396254261192402</v>
      </c>
      <c r="K535">
        <v>0.268374404183574</v>
      </c>
      <c r="L535">
        <v>6368.8582542172398</v>
      </c>
      <c r="M535">
        <v>104.510894063866</v>
      </c>
      <c r="N535">
        <v>61.557282030113299</v>
      </c>
      <c r="O535">
        <v>60.917357657048498</v>
      </c>
      <c r="P535">
        <v>-0.28960564268899702</v>
      </c>
      <c r="Q535">
        <v>0.32477817553133298</v>
      </c>
      <c r="R535">
        <v>0.45881356907586002</v>
      </c>
      <c r="S535" t="s">
        <v>7181</v>
      </c>
      <c r="T535" t="s">
        <v>13290</v>
      </c>
      <c r="U535" t="s">
        <v>13290</v>
      </c>
      <c r="V535" t="s">
        <v>13290</v>
      </c>
      <c r="W535" t="s">
        <v>13819</v>
      </c>
      <c r="X535">
        <v>23</v>
      </c>
      <c r="Y535" t="s">
        <v>20407</v>
      </c>
      <c r="Z535" t="s">
        <v>26865</v>
      </c>
      <c r="AA535">
        <v>0.79648896041009243</v>
      </c>
      <c r="AB535" t="str">
        <f>HYPERLINK("Melting_Curves/meltCurve_E7EX59_PCCB.pdf", "Melting_Curves/meltCurve_E7EX59_PCCB.pdf")</f>
        <v>Melting_Curves/meltCurve_E7EX59_PCCB.pdf</v>
      </c>
    </row>
    <row r="536" spans="1:28" x14ac:dyDescent="0.25">
      <c r="A536" t="s">
        <v>540</v>
      </c>
      <c r="B536">
        <v>0.99252571173614901</v>
      </c>
      <c r="C536">
        <v>0.917630762363706</v>
      </c>
      <c r="D536">
        <v>0.65219303779071602</v>
      </c>
      <c r="E536">
        <v>0.45778322810616201</v>
      </c>
      <c r="F536">
        <v>0.30789871934421598</v>
      </c>
      <c r="G536">
        <v>0.24001009777992299</v>
      </c>
      <c r="H536">
        <v>0.223278354645011</v>
      </c>
      <c r="I536">
        <v>0.25761565503014</v>
      </c>
      <c r="J536">
        <v>0.35590389192542599</v>
      </c>
      <c r="K536">
        <v>0.33835864530696003</v>
      </c>
      <c r="L536">
        <v>1055.03651416195</v>
      </c>
      <c r="M536">
        <v>22.729267721095699</v>
      </c>
      <c r="N536">
        <v>48.179655926117</v>
      </c>
      <c r="O536">
        <v>46.062726334041002</v>
      </c>
      <c r="P536">
        <v>-8.8542627310289598E-2</v>
      </c>
      <c r="Q536">
        <v>0.28225876807356298</v>
      </c>
      <c r="R536">
        <v>0.97428846048614903</v>
      </c>
      <c r="S536" t="s">
        <v>7182</v>
      </c>
      <c r="T536" t="s">
        <v>13290</v>
      </c>
      <c r="U536" t="s">
        <v>13290</v>
      </c>
      <c r="V536" t="s">
        <v>13290</v>
      </c>
      <c r="W536" t="s">
        <v>13820</v>
      </c>
      <c r="X536">
        <v>58</v>
      </c>
      <c r="Y536" t="s">
        <v>20408</v>
      </c>
      <c r="Z536" t="s">
        <v>26866</v>
      </c>
      <c r="AA536">
        <v>0.44387882026508441</v>
      </c>
      <c r="AB536" t="str">
        <f>HYPERLINK("Melting_Curves/meltCurve_E7EX73_EIF4G1.pdf", "Melting_Curves/meltCurve_E7EX73_EIF4G1.pdf")</f>
        <v>Melting_Curves/meltCurve_E7EX73_EIF4G1.pdf</v>
      </c>
    </row>
    <row r="537" spans="1:28" x14ac:dyDescent="0.25">
      <c r="A537" t="s">
        <v>541</v>
      </c>
      <c r="B537">
        <v>0.99252571173614901</v>
      </c>
      <c r="C537">
        <v>0.80586947532888997</v>
      </c>
      <c r="D537">
        <v>0.77404898047450399</v>
      </c>
      <c r="E537">
        <v>0.38295296317973199</v>
      </c>
      <c r="F537">
        <v>0.21204650349750101</v>
      </c>
      <c r="G537">
        <v>0.14208654157169801</v>
      </c>
      <c r="H537">
        <v>0.115692675216087</v>
      </c>
      <c r="I537">
        <v>0.112923158552147</v>
      </c>
      <c r="J537">
        <v>0.126478978107224</v>
      </c>
      <c r="K537">
        <v>0.12714955372133299</v>
      </c>
      <c r="L537">
        <v>885.07171046830501</v>
      </c>
      <c r="M537">
        <v>18.540719708034999</v>
      </c>
      <c r="N537">
        <v>48.3698821443814</v>
      </c>
      <c r="O537">
        <v>47.191712508654703</v>
      </c>
      <c r="P537">
        <v>-8.7640091706576898E-2</v>
      </c>
      <c r="Q537">
        <v>0.107757520655823</v>
      </c>
      <c r="R537">
        <v>0.98531002657132905</v>
      </c>
      <c r="S537" t="s">
        <v>7183</v>
      </c>
      <c r="T537" t="s">
        <v>13290</v>
      </c>
      <c r="U537" t="s">
        <v>13290</v>
      </c>
      <c r="V537" t="s">
        <v>13290</v>
      </c>
      <c r="W537" t="s">
        <v>13821</v>
      </c>
      <c r="X537">
        <v>35</v>
      </c>
      <c r="Y537" t="s">
        <v>20409</v>
      </c>
      <c r="Z537" t="s">
        <v>26867</v>
      </c>
      <c r="AA537">
        <v>0.3528521347195509</v>
      </c>
      <c r="AB537" t="str">
        <f>HYPERLINK("Melting_Curves/meltCurve_E7EX90_DCTN1.pdf", "Melting_Curves/meltCurve_E7EX90_DCTN1.pdf")</f>
        <v>Melting_Curves/meltCurve_E7EX90_DCTN1.pdf</v>
      </c>
    </row>
    <row r="538" spans="1:28" x14ac:dyDescent="0.25">
      <c r="A538" t="s">
        <v>542</v>
      </c>
      <c r="B538">
        <v>0.99252571173614901</v>
      </c>
      <c r="C538">
        <v>0.94426022264414</v>
      </c>
      <c r="D538">
        <v>1.03132465841946</v>
      </c>
      <c r="E538">
        <v>1.02688271435822</v>
      </c>
      <c r="F538">
        <v>0.80174034602286404</v>
      </c>
      <c r="G538">
        <v>0.56924942625059505</v>
      </c>
      <c r="H538">
        <v>0.30540228382950302</v>
      </c>
      <c r="I538">
        <v>0.13732499460484601</v>
      </c>
      <c r="J538">
        <v>0.12636978709677901</v>
      </c>
      <c r="K538">
        <v>0.124246358817779</v>
      </c>
      <c r="L538">
        <v>1225.91502940501</v>
      </c>
      <c r="M538">
        <v>21.508760903255599</v>
      </c>
      <c r="N538">
        <v>57.548604903007202</v>
      </c>
      <c r="O538">
        <v>56.5102606009672</v>
      </c>
      <c r="P538">
        <v>-8.6279445685508299E-2</v>
      </c>
      <c r="Q538">
        <v>9.3289483997982606E-2</v>
      </c>
      <c r="R538">
        <v>0.99180721026129304</v>
      </c>
      <c r="S538" t="s">
        <v>7184</v>
      </c>
      <c r="T538" t="s">
        <v>13290</v>
      </c>
      <c r="U538" t="s">
        <v>13290</v>
      </c>
      <c r="V538" t="s">
        <v>13290</v>
      </c>
      <c r="W538" t="s">
        <v>13822</v>
      </c>
      <c r="X538">
        <v>17</v>
      </c>
      <c r="Y538" t="s">
        <v>20410</v>
      </c>
      <c r="Z538" t="s">
        <v>26868</v>
      </c>
      <c r="AA538">
        <v>0.61710967190011357</v>
      </c>
      <c r="AB538" t="str">
        <f>HYPERLINK("Melting_Curves/meltCurve_E9PAL9_NT5DC2.pdf", "Melting_Curves/meltCurve_E9PAL9_NT5DC2.pdf")</f>
        <v>Melting_Curves/meltCurve_E9PAL9_NT5DC2.pdf</v>
      </c>
    </row>
    <row r="539" spans="1:28" x14ac:dyDescent="0.25">
      <c r="A539" t="s">
        <v>543</v>
      </c>
      <c r="B539">
        <v>0.99252571173614901</v>
      </c>
      <c r="C539">
        <v>0.82543156412085095</v>
      </c>
      <c r="D539">
        <v>0.39204199640021098</v>
      </c>
      <c r="E539">
        <v>0.17282659134555001</v>
      </c>
      <c r="F539">
        <v>0.117631358300501</v>
      </c>
      <c r="G539">
        <v>6.6118726773871303E-2</v>
      </c>
      <c r="H539">
        <v>5.4086130101837299E-2</v>
      </c>
      <c r="I539">
        <v>5.8041371286971302E-2</v>
      </c>
      <c r="J539">
        <v>6.6738660859661902E-2</v>
      </c>
      <c r="K539">
        <v>6.8315244944923803E-2</v>
      </c>
      <c r="L539">
        <v>1231.8006847996301</v>
      </c>
      <c r="M539">
        <v>27.3214815139081</v>
      </c>
      <c r="N539">
        <v>45.341601947527103</v>
      </c>
      <c r="O539">
        <v>44.845968071361199</v>
      </c>
      <c r="P539">
        <v>-0.141416437030428</v>
      </c>
      <c r="Q539">
        <v>7.1514890810886106E-2</v>
      </c>
      <c r="R539">
        <v>0.99679112753640897</v>
      </c>
      <c r="S539" t="s">
        <v>7185</v>
      </c>
      <c r="T539" t="s">
        <v>13290</v>
      </c>
      <c r="U539" t="s">
        <v>13290</v>
      </c>
      <c r="V539" t="s">
        <v>13290</v>
      </c>
      <c r="W539" t="s">
        <v>13823</v>
      </c>
      <c r="X539">
        <v>17</v>
      </c>
      <c r="Y539" t="s">
        <v>20411</v>
      </c>
      <c r="Z539" t="s">
        <v>26869</v>
      </c>
      <c r="AA539">
        <v>0.23632097897638391</v>
      </c>
      <c r="AB539" t="str">
        <f>HYPERLINK("Melting_Curves/meltCurve_E9PAU2_RAVER1.pdf", "Melting_Curves/meltCurve_E9PAU2_RAVER1.pdf")</f>
        <v>Melting_Curves/meltCurve_E9PAU2_RAVER1.pdf</v>
      </c>
    </row>
    <row r="540" spans="1:28" x14ac:dyDescent="0.25">
      <c r="A540" t="s">
        <v>544</v>
      </c>
      <c r="B540">
        <v>0.99252571173614901</v>
      </c>
      <c r="C540">
        <v>0.88188098262125703</v>
      </c>
      <c r="D540">
        <v>0.61712678446416103</v>
      </c>
      <c r="E540">
        <v>0.41810947415469002</v>
      </c>
      <c r="F540">
        <v>0.244297242690792</v>
      </c>
      <c r="G540">
        <v>0.16067429880766801</v>
      </c>
      <c r="H540">
        <v>0.121253979099073</v>
      </c>
      <c r="I540">
        <v>0.131687425767086</v>
      </c>
      <c r="J540">
        <v>0.19428261582602799</v>
      </c>
      <c r="K540">
        <v>0.25303578584188402</v>
      </c>
      <c r="L540">
        <v>891.92148886183497</v>
      </c>
      <c r="M540">
        <v>19.0689479064072</v>
      </c>
      <c r="N540">
        <v>47.794010551165798</v>
      </c>
      <c r="O540">
        <v>46.268216310354497</v>
      </c>
      <c r="P540">
        <v>-8.5807464781672504E-2</v>
      </c>
      <c r="Q540">
        <v>0.16723201448038</v>
      </c>
      <c r="R540">
        <v>0.981575400080825</v>
      </c>
      <c r="S540" t="s">
        <v>7186</v>
      </c>
      <c r="T540" t="s">
        <v>13290</v>
      </c>
      <c r="U540" t="s">
        <v>13290</v>
      </c>
      <c r="V540" t="s">
        <v>13290</v>
      </c>
      <c r="W540" t="s">
        <v>13824</v>
      </c>
      <c r="X540">
        <v>4</v>
      </c>
      <c r="Y540" t="s">
        <v>20412</v>
      </c>
      <c r="Z540" t="s">
        <v>26870</v>
      </c>
      <c r="AA540">
        <v>0.36894510455103791</v>
      </c>
      <c r="AB540" t="str">
        <f>HYPERLINK("Melting_Curves/meltCurve_E9PAV9_GPATCH4.pdf", "Melting_Curves/meltCurve_E9PAV9_GPATCH4.pdf")</f>
        <v>Melting_Curves/meltCurve_E9PAV9_GPATCH4.pdf</v>
      </c>
    </row>
    <row r="541" spans="1:28" x14ac:dyDescent="0.25">
      <c r="A541" t="s">
        <v>545</v>
      </c>
      <c r="B541">
        <v>0.99252571173614901</v>
      </c>
      <c r="C541">
        <v>1.12223889356625</v>
      </c>
      <c r="D541">
        <v>1.0635701500261501</v>
      </c>
      <c r="E541">
        <v>1.08733562656704</v>
      </c>
      <c r="F541">
        <v>0.87655495933884497</v>
      </c>
      <c r="G541">
        <v>0.58209259085063503</v>
      </c>
      <c r="H541">
        <v>0.374401380574922</v>
      </c>
      <c r="I541">
        <v>0.40807179634902901</v>
      </c>
      <c r="J541">
        <v>0.43898321457683698</v>
      </c>
      <c r="K541">
        <v>0.52246645169512096</v>
      </c>
      <c r="L541">
        <v>2336.0407304709202</v>
      </c>
      <c r="M541">
        <v>42.398767606524402</v>
      </c>
      <c r="N541">
        <v>57.922165450677902</v>
      </c>
      <c r="O541">
        <v>54.974757182046403</v>
      </c>
      <c r="P541">
        <v>-0.10859358385789</v>
      </c>
      <c r="Q541">
        <v>0.43678588419377401</v>
      </c>
      <c r="R541">
        <v>0.95106411349556796</v>
      </c>
      <c r="S541" t="s">
        <v>7187</v>
      </c>
      <c r="T541" t="s">
        <v>13290</v>
      </c>
      <c r="U541" t="s">
        <v>13290</v>
      </c>
      <c r="V541" t="s">
        <v>13290</v>
      </c>
      <c r="W541" t="s">
        <v>13825</v>
      </c>
      <c r="X541">
        <v>9</v>
      </c>
      <c r="Y541" t="s">
        <v>20413</v>
      </c>
      <c r="Z541" t="s">
        <v>26871</v>
      </c>
      <c r="AA541">
        <v>0.72211492808529387</v>
      </c>
      <c r="AB541" t="str">
        <f>HYPERLINK("Melting_Curves/meltCurve_E9PB61_ALYREF.pdf", "Melting_Curves/meltCurve_E9PB61_ALYREF.pdf")</f>
        <v>Melting_Curves/meltCurve_E9PB61_ALYREF.pdf</v>
      </c>
    </row>
    <row r="542" spans="1:28" x14ac:dyDescent="0.25">
      <c r="A542" t="s">
        <v>546</v>
      </c>
      <c r="B542">
        <v>0.99252571173614901</v>
      </c>
      <c r="C542">
        <v>1.02977802454626</v>
      </c>
      <c r="D542">
        <v>0.864862753342165</v>
      </c>
      <c r="E542">
        <v>0.72224834493309997</v>
      </c>
      <c r="F542">
        <v>0.29780258640010798</v>
      </c>
      <c r="G542">
        <v>0.151175993075501</v>
      </c>
      <c r="H542">
        <v>0.13101975488193199</v>
      </c>
      <c r="I542">
        <v>0.16036212799896299</v>
      </c>
      <c r="J542">
        <v>0.25218662190722102</v>
      </c>
      <c r="K542">
        <v>0.278652340249603</v>
      </c>
      <c r="L542">
        <v>1644.3946797164599</v>
      </c>
      <c r="M542">
        <v>32.6633659653845</v>
      </c>
      <c r="N542">
        <v>51.090428736698698</v>
      </c>
      <c r="O542">
        <v>50.156108471405702</v>
      </c>
      <c r="P542">
        <v>-0.13190793408495299</v>
      </c>
      <c r="Q542">
        <v>0.18980061882352101</v>
      </c>
      <c r="R542">
        <v>0.97403223134100303</v>
      </c>
      <c r="S542" t="s">
        <v>7188</v>
      </c>
      <c r="T542" t="s">
        <v>13290</v>
      </c>
      <c r="U542" t="s">
        <v>13290</v>
      </c>
      <c r="V542" t="s">
        <v>13290</v>
      </c>
      <c r="W542" t="s">
        <v>13826</v>
      </c>
      <c r="X542">
        <v>1</v>
      </c>
      <c r="Y542" t="s">
        <v>20414</v>
      </c>
      <c r="Z542" t="s">
        <v>26872</v>
      </c>
      <c r="AA542">
        <v>0.47339392068044478</v>
      </c>
      <c r="AB542" t="str">
        <f>HYPERLINK("Melting_Curves/meltCurve_E9PBP4_MLLT10.pdf", "Melting_Curves/meltCurve_E9PBP4_MLLT10.pdf")</f>
        <v>Melting_Curves/meltCurve_E9PBP4_MLLT10.pdf</v>
      </c>
    </row>
    <row r="543" spans="1:28" x14ac:dyDescent="0.25">
      <c r="A543" t="s">
        <v>547</v>
      </c>
      <c r="B543">
        <v>0.99252571173614901</v>
      </c>
      <c r="C543">
        <v>0.96371076361313102</v>
      </c>
      <c r="D543">
        <v>0.76013678084575598</v>
      </c>
      <c r="E543">
        <v>0.59608708730757398</v>
      </c>
      <c r="F543">
        <v>0.441523198170446</v>
      </c>
      <c r="G543">
        <v>0.305882996690508</v>
      </c>
      <c r="H543">
        <v>0.237729598944765</v>
      </c>
      <c r="I543">
        <v>0.27773889754713399</v>
      </c>
      <c r="J543">
        <v>0.38821628626578802</v>
      </c>
      <c r="K543">
        <v>0.389758683947733</v>
      </c>
      <c r="L543">
        <v>911.19119369386794</v>
      </c>
      <c r="M543">
        <v>18.913088733158801</v>
      </c>
      <c r="N543">
        <v>50.850771830147799</v>
      </c>
      <c r="O543">
        <v>47.648916835658</v>
      </c>
      <c r="P543">
        <v>-6.7977982317374203E-2</v>
      </c>
      <c r="Q543">
        <v>0.31498352188251699</v>
      </c>
      <c r="R543">
        <v>0.96261878496402897</v>
      </c>
      <c r="S543" t="s">
        <v>7189</v>
      </c>
      <c r="T543" t="s">
        <v>13290</v>
      </c>
      <c r="U543" t="s">
        <v>13290</v>
      </c>
      <c r="V543" t="s">
        <v>13290</v>
      </c>
      <c r="W543" t="s">
        <v>13827</v>
      </c>
      <c r="X543">
        <v>2</v>
      </c>
      <c r="Y543" t="s">
        <v>20415</v>
      </c>
      <c r="Z543" t="s">
        <v>26873</v>
      </c>
      <c r="AA543">
        <v>0.51262269651699333</v>
      </c>
      <c r="AB543" t="str">
        <f>HYPERLINK("Melting_Curves/meltCurve_E9PBR6_TMEM201.pdf", "Melting_Curves/meltCurve_E9PBR6_TMEM201.pdf")</f>
        <v>Melting_Curves/meltCurve_E9PBR6_TMEM201.pdf</v>
      </c>
    </row>
    <row r="544" spans="1:28" x14ac:dyDescent="0.25">
      <c r="A544" t="s">
        <v>548</v>
      </c>
      <c r="B544">
        <v>0.99252571173614901</v>
      </c>
      <c r="C544">
        <v>0.92725266562070296</v>
      </c>
      <c r="D544">
        <v>0.70923274507787704</v>
      </c>
      <c r="E544">
        <v>0.357628361367192</v>
      </c>
      <c r="F544">
        <v>0.14405351917891701</v>
      </c>
      <c r="G544">
        <v>8.1111375852408005E-2</v>
      </c>
      <c r="H544">
        <v>6.6042325002592203E-2</v>
      </c>
      <c r="I544">
        <v>6.8877224356525699E-2</v>
      </c>
      <c r="J544">
        <v>8.3992271442097505E-2</v>
      </c>
      <c r="K544">
        <v>7.6146122284226403E-2</v>
      </c>
      <c r="L544">
        <v>1059.7095068455101</v>
      </c>
      <c r="M544">
        <v>22.215050144414398</v>
      </c>
      <c r="N544">
        <v>48.014018878330198</v>
      </c>
      <c r="O544">
        <v>47.320825749378599</v>
      </c>
      <c r="P544">
        <v>-0.109485491502364</v>
      </c>
      <c r="Q544">
        <v>6.7149017208133502E-2</v>
      </c>
      <c r="R544">
        <v>0.99939496144326101</v>
      </c>
      <c r="S544" t="s">
        <v>7190</v>
      </c>
      <c r="T544" t="s">
        <v>13290</v>
      </c>
      <c r="U544" t="s">
        <v>13290</v>
      </c>
      <c r="V544" t="s">
        <v>13290</v>
      </c>
      <c r="W544" t="s">
        <v>13828</v>
      </c>
      <c r="X544">
        <v>20</v>
      </c>
      <c r="Y544" t="s">
        <v>20416</v>
      </c>
      <c r="Z544" t="s">
        <v>26874</v>
      </c>
      <c r="AA544">
        <v>0.31729883148905541</v>
      </c>
      <c r="AB544" t="str">
        <f>HYPERLINK("Melting_Curves/meltCurve_E9PC62_CELF2.pdf", "Melting_Curves/meltCurve_E9PC62_CELF2.pdf")</f>
        <v>Melting_Curves/meltCurve_E9PC62_CELF2.pdf</v>
      </c>
    </row>
    <row r="545" spans="1:28" x14ac:dyDescent="0.25">
      <c r="A545" t="s">
        <v>549</v>
      </c>
      <c r="B545">
        <v>0.99252571173614901</v>
      </c>
      <c r="C545">
        <v>0.96832153266088095</v>
      </c>
      <c r="D545">
        <v>0.68936922763255004</v>
      </c>
      <c r="E545">
        <v>0.37210591673688498</v>
      </c>
      <c r="F545">
        <v>0.21291757234620401</v>
      </c>
      <c r="G545">
        <v>0.156872007101407</v>
      </c>
      <c r="H545">
        <v>0.15980727700323299</v>
      </c>
      <c r="I545">
        <v>0.19577538785618001</v>
      </c>
      <c r="J545">
        <v>0.28036575090501498</v>
      </c>
      <c r="K545">
        <v>0.30801767391646201</v>
      </c>
      <c r="L545">
        <v>1365.0107097611799</v>
      </c>
      <c r="M545">
        <v>29.168151487766298</v>
      </c>
      <c r="N545">
        <v>47.732462394981901</v>
      </c>
      <c r="O545">
        <v>46.579669726242798</v>
      </c>
      <c r="P545">
        <v>-0.122496710517543</v>
      </c>
      <c r="Q545">
        <v>0.21752809572149301</v>
      </c>
      <c r="R545">
        <v>0.97663795610984105</v>
      </c>
      <c r="S545" t="s">
        <v>7191</v>
      </c>
      <c r="T545" t="s">
        <v>13290</v>
      </c>
      <c r="U545" t="s">
        <v>13290</v>
      </c>
      <c r="V545" t="s">
        <v>13290</v>
      </c>
      <c r="W545" t="s">
        <v>13829</v>
      </c>
      <c r="X545">
        <v>7</v>
      </c>
      <c r="Y545" t="s">
        <v>20417</v>
      </c>
      <c r="Z545" t="s">
        <v>26875</v>
      </c>
      <c r="AA545">
        <v>0.39983147096654592</v>
      </c>
      <c r="AB545" t="str">
        <f>HYPERLINK("Melting_Curves/meltCurve_E9PC69_MARK2.pdf", "Melting_Curves/meltCurve_E9PC69_MARK2.pdf")</f>
        <v>Melting_Curves/meltCurve_E9PC69_MARK2.pdf</v>
      </c>
    </row>
    <row r="546" spans="1:28" x14ac:dyDescent="0.25">
      <c r="A546" t="s">
        <v>550</v>
      </c>
      <c r="B546">
        <v>0.99252571173614901</v>
      </c>
      <c r="C546">
        <v>0.85831958506522299</v>
      </c>
      <c r="D546">
        <v>0.95918351285240699</v>
      </c>
      <c r="E546">
        <v>0.89368666943014696</v>
      </c>
      <c r="F546">
        <v>0.26005613285884299</v>
      </c>
      <c r="G546">
        <v>0.13296357501900299</v>
      </c>
      <c r="H546">
        <v>9.7530725323047601E-2</v>
      </c>
      <c r="I546">
        <v>0.10638793768007899</v>
      </c>
      <c r="J546">
        <v>0.14925612221637199</v>
      </c>
      <c r="K546">
        <v>0.163222494977211</v>
      </c>
      <c r="L546">
        <v>2699.4651348833299</v>
      </c>
      <c r="M546">
        <v>52.465931388122598</v>
      </c>
      <c r="N546">
        <v>51.744836142808801</v>
      </c>
      <c r="O546">
        <v>51.377170282974802</v>
      </c>
      <c r="P546">
        <v>-0.22248375389403799</v>
      </c>
      <c r="Q546">
        <v>0.128533054494854</v>
      </c>
      <c r="R546">
        <v>0.98312949654304904</v>
      </c>
      <c r="S546" t="s">
        <v>7192</v>
      </c>
      <c r="T546" t="s">
        <v>13290</v>
      </c>
      <c r="U546" t="s">
        <v>13290</v>
      </c>
      <c r="V546" t="s">
        <v>13290</v>
      </c>
      <c r="W546" t="s">
        <v>13830</v>
      </c>
      <c r="X546">
        <v>11</v>
      </c>
      <c r="Y546" t="s">
        <v>20418</v>
      </c>
      <c r="Z546" t="s">
        <v>26876</v>
      </c>
      <c r="AA546">
        <v>0.46298973232891272</v>
      </c>
      <c r="AB546" t="str">
        <f>HYPERLINK("Melting_Curves/meltCurve_E9PC74_EIF2B5.pdf", "Melting_Curves/meltCurve_E9PC74_EIF2B5.pdf")</f>
        <v>Melting_Curves/meltCurve_E9PC74_EIF2B5.pdf</v>
      </c>
    </row>
    <row r="547" spans="1:28" x14ac:dyDescent="0.25">
      <c r="A547" t="s">
        <v>551</v>
      </c>
      <c r="B547">
        <v>0.99252571173614901</v>
      </c>
      <c r="C547">
        <v>0.98585419647634798</v>
      </c>
      <c r="D547">
        <v>0.97522808695212104</v>
      </c>
      <c r="E547">
        <v>0.86164231561438398</v>
      </c>
      <c r="F547">
        <v>0.88708614060025703</v>
      </c>
      <c r="G547">
        <v>0.62693748329487398</v>
      </c>
      <c r="H547">
        <v>0.40709103118336398</v>
      </c>
      <c r="I547">
        <v>0.23135702084673501</v>
      </c>
      <c r="J547">
        <v>0.182072690919591</v>
      </c>
      <c r="K547">
        <v>0.117399093256242</v>
      </c>
      <c r="L547">
        <v>853.73512601590198</v>
      </c>
      <c r="M547">
        <v>14.5102199332014</v>
      </c>
      <c r="N547">
        <v>59.065977914257303</v>
      </c>
      <c r="O547">
        <v>57.7531744192883</v>
      </c>
      <c r="P547">
        <v>-6.1099203055358098E-2</v>
      </c>
      <c r="Q547">
        <v>2.73705150855834E-2</v>
      </c>
      <c r="R547">
        <v>0.99081961963903498</v>
      </c>
      <c r="S547" t="s">
        <v>7193</v>
      </c>
      <c r="T547" t="s">
        <v>13290</v>
      </c>
      <c r="U547" t="s">
        <v>13290</v>
      </c>
      <c r="V547" t="s">
        <v>13290</v>
      </c>
      <c r="W547" t="s">
        <v>13831</v>
      </c>
      <c r="X547">
        <v>5</v>
      </c>
      <c r="Y547" t="s">
        <v>20419</v>
      </c>
      <c r="Z547" t="s">
        <v>26877</v>
      </c>
      <c r="AA547">
        <v>0.64863724339690088</v>
      </c>
      <c r="AB547" t="str">
        <f>HYPERLINK("Melting_Curves/meltCurve_E9PCD7_MAN2B2.pdf", "Melting_Curves/meltCurve_E9PCD7_MAN2B2.pdf")</f>
        <v>Melting_Curves/meltCurve_E9PCD7_MAN2B2.pdf</v>
      </c>
    </row>
    <row r="548" spans="1:28" x14ac:dyDescent="0.25">
      <c r="A548" t="s">
        <v>552</v>
      </c>
      <c r="B548">
        <v>0.99252571173614901</v>
      </c>
      <c r="C548">
        <v>0.77539245434437098</v>
      </c>
      <c r="D548">
        <v>0.50074692076846405</v>
      </c>
      <c r="E548">
        <v>0.36130641651741802</v>
      </c>
      <c r="F548">
        <v>0.28806124720283899</v>
      </c>
      <c r="G548">
        <v>0.17262578631952599</v>
      </c>
      <c r="H548">
        <v>0.116122974703756</v>
      </c>
      <c r="I548">
        <v>0.12391007569866</v>
      </c>
      <c r="J548">
        <v>0.110427967869716</v>
      </c>
      <c r="K548">
        <v>0.11283084094785301</v>
      </c>
      <c r="L548">
        <v>678.54044805097703</v>
      </c>
      <c r="M548">
        <v>14.724199870403901</v>
      </c>
      <c r="N548">
        <v>46.917792201845003</v>
      </c>
      <c r="O548">
        <v>45.258384321155802</v>
      </c>
      <c r="P548">
        <v>-7.1972619900214099E-2</v>
      </c>
      <c r="Q548">
        <v>0.115195615914934</v>
      </c>
      <c r="R548">
        <v>0.98248957745886001</v>
      </c>
      <c r="S548" t="s">
        <v>7194</v>
      </c>
      <c r="T548" t="s">
        <v>13290</v>
      </c>
      <c r="U548" t="s">
        <v>13290</v>
      </c>
      <c r="V548" t="s">
        <v>13290</v>
      </c>
      <c r="W548" t="s">
        <v>13832</v>
      </c>
      <c r="X548">
        <v>1</v>
      </c>
      <c r="Y548" t="s">
        <v>20420</v>
      </c>
      <c r="Z548" t="s">
        <v>26878</v>
      </c>
      <c r="AA548">
        <v>0.32129594932602967</v>
      </c>
      <c r="AB548" t="str">
        <f>HYPERLINK("Melting_Curves/meltCurve_E9PCH4_FNIP1.pdf", "Melting_Curves/meltCurve_E9PCH4_FNIP1.pdf")</f>
        <v>Melting_Curves/meltCurve_E9PCH4_FNIP1.pdf</v>
      </c>
    </row>
    <row r="549" spans="1:28" x14ac:dyDescent="0.25">
      <c r="A549" t="s">
        <v>553</v>
      </c>
      <c r="B549">
        <v>0.99252571173614901</v>
      </c>
      <c r="C549">
        <v>0.89837853249849098</v>
      </c>
      <c r="D549">
        <v>0.85288387883124905</v>
      </c>
      <c r="E549">
        <v>0.70023817961256596</v>
      </c>
      <c r="F549">
        <v>0.57663237468742201</v>
      </c>
      <c r="G549">
        <v>0.393393433286294</v>
      </c>
      <c r="H549">
        <v>0.53484520276363001</v>
      </c>
      <c r="I549">
        <v>0.48030470126108998</v>
      </c>
      <c r="J549">
        <v>0.48028095565502599</v>
      </c>
      <c r="K549">
        <v>0.38313475520121099</v>
      </c>
      <c r="L549">
        <v>743.64046341750304</v>
      </c>
      <c r="M549">
        <v>15.240191108345799</v>
      </c>
      <c r="N549">
        <v>56.4734862036767</v>
      </c>
      <c r="O549">
        <v>47.977687377276297</v>
      </c>
      <c r="P549">
        <v>-4.4709910023359903E-2</v>
      </c>
      <c r="Q549">
        <v>0.43704761251702101</v>
      </c>
      <c r="R549">
        <v>0.94550674351708197</v>
      </c>
      <c r="S549" t="s">
        <v>7195</v>
      </c>
      <c r="T549" t="s">
        <v>13290</v>
      </c>
      <c r="U549" t="s">
        <v>13290</v>
      </c>
      <c r="V549" t="s">
        <v>13290</v>
      </c>
      <c r="W549" t="s">
        <v>13833</v>
      </c>
      <c r="X549">
        <v>2</v>
      </c>
      <c r="Y549" t="s">
        <v>20421</v>
      </c>
      <c r="Z549" t="s">
        <v>26879</v>
      </c>
      <c r="AA549">
        <v>0.61566554546296715</v>
      </c>
      <c r="AB549" t="str">
        <f>HYPERLINK("Melting_Curves/meltCurve_E9PCV0_GUSB.pdf", "Melting_Curves/meltCurve_E9PCV0_GUSB.pdf")</f>
        <v>Melting_Curves/meltCurve_E9PCV0_GUSB.pdf</v>
      </c>
    </row>
    <row r="550" spans="1:28" x14ac:dyDescent="0.25">
      <c r="A550" t="s">
        <v>554</v>
      </c>
      <c r="B550">
        <v>0.99252571173614901</v>
      </c>
      <c r="C550">
        <v>0.92050584698492899</v>
      </c>
      <c r="D550">
        <v>0.86008956238492795</v>
      </c>
      <c r="E550">
        <v>0.80214620129568304</v>
      </c>
      <c r="F550">
        <v>0.74688317965232898</v>
      </c>
      <c r="G550">
        <v>0.60598127457782702</v>
      </c>
      <c r="H550">
        <v>0.37142705382506502</v>
      </c>
      <c r="I550">
        <v>0.30643610681373101</v>
      </c>
      <c r="J550">
        <v>0.29453255659269401</v>
      </c>
      <c r="K550">
        <v>0.21391529930987499</v>
      </c>
      <c r="L550">
        <v>474.51456512111099</v>
      </c>
      <c r="M550">
        <v>8.0933855052291808</v>
      </c>
      <c r="N550">
        <v>58.629907467347799</v>
      </c>
      <c r="O550">
        <v>55.376033620042399</v>
      </c>
      <c r="P550">
        <v>-3.6577873982704401E-2</v>
      </c>
      <c r="Q550">
        <v>0</v>
      </c>
      <c r="R550">
        <v>0.98378327070720095</v>
      </c>
      <c r="S550" t="s">
        <v>7196</v>
      </c>
      <c r="T550" t="s">
        <v>13290</v>
      </c>
      <c r="U550" t="s">
        <v>13290</v>
      </c>
      <c r="V550" t="s">
        <v>13290</v>
      </c>
      <c r="W550" t="s">
        <v>13834</v>
      </c>
      <c r="X550">
        <v>18</v>
      </c>
      <c r="Y550" t="s">
        <v>20422</v>
      </c>
      <c r="Z550" t="s">
        <v>26880</v>
      </c>
      <c r="AA550">
        <v>0.61947482444584345</v>
      </c>
      <c r="AB550" t="str">
        <f>HYPERLINK("Melting_Curves/meltCurve_E9PCW1_GOSR1.pdf", "Melting_Curves/meltCurve_E9PCW1_GOSR1.pdf")</f>
        <v>Melting_Curves/meltCurve_E9PCW1_GOSR1.pdf</v>
      </c>
    </row>
    <row r="551" spans="1:28" x14ac:dyDescent="0.25">
      <c r="A551" t="s">
        <v>555</v>
      </c>
      <c r="B551">
        <v>0.99252571173614901</v>
      </c>
      <c r="C551">
        <v>1.4635291300484901</v>
      </c>
      <c r="D551">
        <v>0.89004290592827195</v>
      </c>
      <c r="E551">
        <v>0.46428431486848598</v>
      </c>
      <c r="F551">
        <v>0.12722144115501599</v>
      </c>
      <c r="G551">
        <v>6.6956157135456204E-2</v>
      </c>
      <c r="H551">
        <v>3.7418460371171698E-2</v>
      </c>
      <c r="I551">
        <v>3.6261618931463298E-2</v>
      </c>
      <c r="J551">
        <v>3.8180570066387198E-2</v>
      </c>
      <c r="K551">
        <v>3.5917923809776903E-2</v>
      </c>
      <c r="L551">
        <v>1795.3469619672601</v>
      </c>
      <c r="M551">
        <v>36.430207590395398</v>
      </c>
      <c r="N551">
        <v>49.408798384019697</v>
      </c>
      <c r="O551">
        <v>49.134029501908799</v>
      </c>
      <c r="P551">
        <v>-0.17707924607739201</v>
      </c>
      <c r="Q551">
        <v>4.4683924435625598E-2</v>
      </c>
      <c r="R551">
        <v>0.90901603094943195</v>
      </c>
      <c r="S551" t="s">
        <v>7197</v>
      </c>
      <c r="T551" t="s">
        <v>13290</v>
      </c>
      <c r="U551" t="s">
        <v>13290</v>
      </c>
      <c r="V551" t="s">
        <v>13290</v>
      </c>
      <c r="W551" t="s">
        <v>13835</v>
      </c>
      <c r="X551">
        <v>1</v>
      </c>
      <c r="Y551" t="s">
        <v>20423</v>
      </c>
      <c r="Z551" t="s">
        <v>26881</v>
      </c>
      <c r="AA551">
        <v>0.34418850334684858</v>
      </c>
      <c r="AB551" t="str">
        <f>HYPERLINK("Melting_Curves/meltCurve_E9PD25_TLL1.pdf", "Melting_Curves/meltCurve_E9PD25_TLL1.pdf")</f>
        <v>Melting_Curves/meltCurve_E9PD25_TLL1.pdf</v>
      </c>
    </row>
    <row r="552" spans="1:28" x14ac:dyDescent="0.25">
      <c r="A552" t="s">
        <v>556</v>
      </c>
      <c r="B552">
        <v>0.99252571173614901</v>
      </c>
      <c r="C552">
        <v>0.81418552330141702</v>
      </c>
      <c r="D552">
        <v>0.525008126448822</v>
      </c>
      <c r="E552">
        <v>0.37111863981701199</v>
      </c>
      <c r="F552">
        <v>0.20978606219448401</v>
      </c>
      <c r="G552">
        <v>0.13025266883398401</v>
      </c>
      <c r="H552">
        <v>9.86427052297741E-2</v>
      </c>
      <c r="I552">
        <v>9.4374092438966106E-2</v>
      </c>
      <c r="J552">
        <v>0.13442899868743999</v>
      </c>
      <c r="K552">
        <v>0.15104807536186901</v>
      </c>
      <c r="L552">
        <v>791.69238495592401</v>
      </c>
      <c r="M552">
        <v>17.143055233593799</v>
      </c>
      <c r="N552">
        <v>46.896838608946602</v>
      </c>
      <c r="O552">
        <v>45.566851389591598</v>
      </c>
      <c r="P552">
        <v>-8.3238861401586803E-2</v>
      </c>
      <c r="Q552">
        <v>0.115045486242773</v>
      </c>
      <c r="R552">
        <v>0.98858090114479802</v>
      </c>
      <c r="S552" t="s">
        <v>7198</v>
      </c>
      <c r="T552" t="s">
        <v>13290</v>
      </c>
      <c r="U552" t="s">
        <v>13290</v>
      </c>
      <c r="V552" t="s">
        <v>13290</v>
      </c>
      <c r="W552" t="s">
        <v>13836</v>
      </c>
      <c r="X552">
        <v>8</v>
      </c>
      <c r="Y552" t="s">
        <v>20424</v>
      </c>
      <c r="Z552" t="s">
        <v>26882</v>
      </c>
      <c r="AA552">
        <v>0.31649307782786812</v>
      </c>
      <c r="AB552" t="str">
        <f>HYPERLINK("Melting_Curves/meltCurve_E9PD90_CKAP2.pdf", "Melting_Curves/meltCurve_E9PD90_CKAP2.pdf")</f>
        <v>Melting_Curves/meltCurve_E9PD90_CKAP2.pdf</v>
      </c>
    </row>
    <row r="553" spans="1:28" x14ac:dyDescent="0.25">
      <c r="A553" t="s">
        <v>557</v>
      </c>
      <c r="B553">
        <v>0.99252571173614901</v>
      </c>
      <c r="C553">
        <v>0.91952030654777706</v>
      </c>
      <c r="D553">
        <v>0.76564156685682605</v>
      </c>
      <c r="E553">
        <v>0.69230049574293595</v>
      </c>
      <c r="F553">
        <v>0.45863656232314698</v>
      </c>
      <c r="G553">
        <v>0.28531739392675398</v>
      </c>
      <c r="H553">
        <v>0.23969690661603399</v>
      </c>
      <c r="I553">
        <v>0.27332275227473002</v>
      </c>
      <c r="J553">
        <v>0.40044280908305302</v>
      </c>
      <c r="K553">
        <v>0.42078544854608302</v>
      </c>
      <c r="L553">
        <v>839.43665278457297</v>
      </c>
      <c r="M553">
        <v>17.189138806386701</v>
      </c>
      <c r="N553">
        <v>51.803470578845399</v>
      </c>
      <c r="O553">
        <v>48.188704648157298</v>
      </c>
      <c r="P553">
        <v>-6.1244528365040997E-2</v>
      </c>
      <c r="Q553">
        <v>0.313259375832594</v>
      </c>
      <c r="R553">
        <v>0.93200984195137804</v>
      </c>
      <c r="S553" t="s">
        <v>7199</v>
      </c>
      <c r="T553" t="s">
        <v>13290</v>
      </c>
      <c r="U553" t="s">
        <v>13290</v>
      </c>
      <c r="V553" t="s">
        <v>13290</v>
      </c>
      <c r="W553" t="s">
        <v>13837</v>
      </c>
      <c r="X553">
        <v>9</v>
      </c>
      <c r="Y553" t="s">
        <v>20425</v>
      </c>
      <c r="Z553" t="s">
        <v>26883</v>
      </c>
      <c r="AA553">
        <v>0.52859612566475456</v>
      </c>
      <c r="AB553" t="str">
        <f>HYPERLINK("Melting_Curves/meltCurve_E9PDC3_ARVCF.pdf", "Melting_Curves/meltCurve_E9PDC3_ARVCF.pdf")</f>
        <v>Melting_Curves/meltCurve_E9PDC3_ARVCF.pdf</v>
      </c>
    </row>
    <row r="554" spans="1:28" x14ac:dyDescent="0.25">
      <c r="A554" t="s">
        <v>558</v>
      </c>
      <c r="B554">
        <v>0.99252571173614901</v>
      </c>
      <c r="C554">
        <v>0.99248864418680005</v>
      </c>
      <c r="D554">
        <v>0.84976028481620502</v>
      </c>
      <c r="E554">
        <v>0.61108048441896601</v>
      </c>
      <c r="F554">
        <v>0.35209784375451397</v>
      </c>
      <c r="G554">
        <v>0.23695429546718899</v>
      </c>
      <c r="H554">
        <v>0.185753502540352</v>
      </c>
      <c r="I554">
        <v>0.20094466165418001</v>
      </c>
      <c r="J554">
        <v>0.20488963365000301</v>
      </c>
      <c r="K554">
        <v>0.17040081739694099</v>
      </c>
      <c r="L554">
        <v>1013.4748929733501</v>
      </c>
      <c r="M554">
        <v>20.378192362739401</v>
      </c>
      <c r="N554">
        <v>50.857230031599698</v>
      </c>
      <c r="O554">
        <v>49.261817696828899</v>
      </c>
      <c r="P554">
        <v>-8.4670861278823797E-2</v>
      </c>
      <c r="Q554">
        <v>0.181298517947967</v>
      </c>
      <c r="R554">
        <v>0.99826040382580095</v>
      </c>
      <c r="S554" t="s">
        <v>7200</v>
      </c>
      <c r="T554" t="s">
        <v>13290</v>
      </c>
      <c r="U554" t="s">
        <v>13290</v>
      </c>
      <c r="V554" t="s">
        <v>13290</v>
      </c>
      <c r="W554" t="s">
        <v>13838</v>
      </c>
      <c r="X554">
        <v>7</v>
      </c>
      <c r="Y554" t="s">
        <v>20426</v>
      </c>
      <c r="Z554" t="s">
        <v>26884</v>
      </c>
      <c r="AA554">
        <v>0.45791690795403239</v>
      </c>
      <c r="AB554" t="str">
        <f>HYPERLINK("Melting_Curves/meltCurve_E9PDF6_MYO1B.pdf", "Melting_Curves/meltCurve_E9PDF6_MYO1B.pdf")</f>
        <v>Melting_Curves/meltCurve_E9PDF6_MYO1B.pdf</v>
      </c>
    </row>
    <row r="555" spans="1:28" x14ac:dyDescent="0.25">
      <c r="A555" t="s">
        <v>559</v>
      </c>
      <c r="B555">
        <v>0.99252571173614901</v>
      </c>
      <c r="C555">
        <v>1.06288622840002</v>
      </c>
      <c r="D555">
        <v>0.83423662566882995</v>
      </c>
      <c r="E555">
        <v>0.45562518414796799</v>
      </c>
      <c r="F555">
        <v>0.24583041737532399</v>
      </c>
      <c r="G555">
        <v>0.136304479269378</v>
      </c>
      <c r="H555">
        <v>0.105650068594987</v>
      </c>
      <c r="I555">
        <v>0.113017364494286</v>
      </c>
      <c r="J555">
        <v>0.13253230014442099</v>
      </c>
      <c r="K555">
        <v>0.10954233829580499</v>
      </c>
      <c r="L555">
        <v>1264.3436607669601</v>
      </c>
      <c r="M555">
        <v>25.904015079676601</v>
      </c>
      <c r="N555">
        <v>49.3207394284873</v>
      </c>
      <c r="O555">
        <v>48.520695891602401</v>
      </c>
      <c r="P555">
        <v>-0.117736427014118</v>
      </c>
      <c r="Q555">
        <v>0.11788399059936799</v>
      </c>
      <c r="R555">
        <v>0.99292692334553301</v>
      </c>
      <c r="S555" t="s">
        <v>7201</v>
      </c>
      <c r="T555" t="s">
        <v>13290</v>
      </c>
      <c r="U555" t="s">
        <v>13290</v>
      </c>
      <c r="V555" t="s">
        <v>13290</v>
      </c>
      <c r="W555" t="s">
        <v>13839</v>
      </c>
      <c r="X555">
        <v>2</v>
      </c>
      <c r="Y555" t="s">
        <v>20427</v>
      </c>
      <c r="Z555" t="s">
        <v>26885</v>
      </c>
      <c r="AA555">
        <v>0.38415090034102539</v>
      </c>
      <c r="AB555" t="str">
        <f>HYPERLINK("Melting_Curves/meltCurve_E9PDG9_RPAIN.pdf", "Melting_Curves/meltCurve_E9PDG9_RPAIN.pdf")</f>
        <v>Melting_Curves/meltCurve_E9PDG9_RPAIN.pdf</v>
      </c>
    </row>
    <row r="556" spans="1:28" x14ac:dyDescent="0.25">
      <c r="A556" t="s">
        <v>560</v>
      </c>
      <c r="B556">
        <v>0.99252571173614901</v>
      </c>
      <c r="C556">
        <v>0.91320039751867899</v>
      </c>
      <c r="D556">
        <v>0.91773806740771902</v>
      </c>
      <c r="E556">
        <v>0.88546159759390397</v>
      </c>
      <c r="F556">
        <v>0.55184902355757204</v>
      </c>
      <c r="G556">
        <v>0.38513183445281501</v>
      </c>
      <c r="H556">
        <v>0.29198683996935398</v>
      </c>
      <c r="I556">
        <v>0.38604084963554602</v>
      </c>
      <c r="J556">
        <v>0.63312329903950004</v>
      </c>
      <c r="K556">
        <v>0.476679637047773</v>
      </c>
      <c r="L556">
        <v>2070.84693506544</v>
      </c>
      <c r="M556">
        <v>40.400605589182803</v>
      </c>
      <c r="N556">
        <v>53.970467994840703</v>
      </c>
      <c r="O556">
        <v>51.132713647281797</v>
      </c>
      <c r="P556">
        <v>-0.111727793612905</v>
      </c>
      <c r="Q556">
        <v>0.43437145429143398</v>
      </c>
      <c r="R556">
        <v>0.86900680915532702</v>
      </c>
      <c r="S556" t="s">
        <v>7202</v>
      </c>
      <c r="T556" t="s">
        <v>13290</v>
      </c>
      <c r="U556" t="s">
        <v>13290</v>
      </c>
      <c r="V556" t="s">
        <v>13290</v>
      </c>
      <c r="W556" t="s">
        <v>13840</v>
      </c>
      <c r="X556">
        <v>5</v>
      </c>
      <c r="Y556" t="s">
        <v>20428</v>
      </c>
      <c r="Z556" t="s">
        <v>26886</v>
      </c>
      <c r="AA556">
        <v>0.64859352836684825</v>
      </c>
      <c r="AB556" t="str">
        <f>HYPERLINK("Melting_Curves/meltCurve_E9PEE8_ITGB6.pdf", "Melting_Curves/meltCurve_E9PEE8_ITGB6.pdf")</f>
        <v>Melting_Curves/meltCurve_E9PEE8_ITGB6.pdf</v>
      </c>
    </row>
    <row r="557" spans="1:28" x14ac:dyDescent="0.25">
      <c r="A557" t="s">
        <v>561</v>
      </c>
      <c r="B557">
        <v>0.99252571173614901</v>
      </c>
      <c r="C557">
        <v>0.89986348231635105</v>
      </c>
      <c r="D557">
        <v>0.856038896383294</v>
      </c>
      <c r="E557">
        <v>0.79228247159769505</v>
      </c>
      <c r="F557">
        <v>0.50950667288365303</v>
      </c>
      <c r="G557">
        <v>0.28663501604187502</v>
      </c>
      <c r="H557">
        <v>0.20638698820618401</v>
      </c>
      <c r="I557">
        <v>0.26158589973781099</v>
      </c>
      <c r="J557">
        <v>0.38817943377490999</v>
      </c>
      <c r="K557">
        <v>0.38066659131504599</v>
      </c>
      <c r="L557">
        <v>1159.7973849505099</v>
      </c>
      <c r="M557">
        <v>22.7969280128811</v>
      </c>
      <c r="N557">
        <v>52.934294376090001</v>
      </c>
      <c r="O557">
        <v>50.488537419954199</v>
      </c>
      <c r="P557">
        <v>-7.9694539091624494E-2</v>
      </c>
      <c r="Q557">
        <v>0.29401317029588397</v>
      </c>
      <c r="R557">
        <v>0.93636146620401595</v>
      </c>
      <c r="S557" t="s">
        <v>7203</v>
      </c>
      <c r="T557" t="s">
        <v>13290</v>
      </c>
      <c r="U557" t="s">
        <v>13290</v>
      </c>
      <c r="V557" t="s">
        <v>13290</v>
      </c>
      <c r="W557" t="s">
        <v>13841</v>
      </c>
      <c r="X557">
        <v>3</v>
      </c>
      <c r="Y557" t="s">
        <v>20429</v>
      </c>
      <c r="Z557" t="s">
        <v>26887</v>
      </c>
      <c r="AA557">
        <v>0.55756772216305683</v>
      </c>
      <c r="AB557" t="str">
        <f>HYPERLINK("Melting_Curves/meltCurve_E9PEJ6_ATP11A.pdf", "Melting_Curves/meltCurve_E9PEJ6_ATP11A.pdf")</f>
        <v>Melting_Curves/meltCurve_E9PEJ6_ATP11A.pdf</v>
      </c>
    </row>
    <row r="558" spans="1:28" x14ac:dyDescent="0.25">
      <c r="A558" t="s">
        <v>562</v>
      </c>
      <c r="B558">
        <v>0.99252571173614901</v>
      </c>
      <c r="C558">
        <v>0.99508115174171197</v>
      </c>
      <c r="D558">
        <v>0.91831898739462803</v>
      </c>
      <c r="E558">
        <v>0.79828255821361804</v>
      </c>
      <c r="F558">
        <v>0.22839365035748499</v>
      </c>
      <c r="G558">
        <v>0.14327291133662601</v>
      </c>
      <c r="H558">
        <v>0.100242091564367</v>
      </c>
      <c r="I558">
        <v>0.105131487211405</v>
      </c>
      <c r="J558">
        <v>0.11710240507698701</v>
      </c>
      <c r="K558">
        <v>0.107408154637851</v>
      </c>
      <c r="L558">
        <v>2156.05193453723</v>
      </c>
      <c r="M558">
        <v>42.305266702245</v>
      </c>
      <c r="N558">
        <v>51.266983109154602</v>
      </c>
      <c r="O558">
        <v>50.850677197693898</v>
      </c>
      <c r="P558">
        <v>-0.18499225285981999</v>
      </c>
      <c r="Q558">
        <v>0.110563301381885</v>
      </c>
      <c r="R558">
        <v>0.99597502779316305</v>
      </c>
      <c r="S558" t="s">
        <v>7204</v>
      </c>
      <c r="T558" t="s">
        <v>13290</v>
      </c>
      <c r="U558" t="s">
        <v>13290</v>
      </c>
      <c r="V558" t="s">
        <v>13290</v>
      </c>
      <c r="W558" t="s">
        <v>13842</v>
      </c>
      <c r="X558">
        <v>23</v>
      </c>
      <c r="Y558" t="s">
        <v>20430</v>
      </c>
      <c r="Z558" t="s">
        <v>26888</v>
      </c>
      <c r="AA558">
        <v>0.43842595634649151</v>
      </c>
      <c r="AB558" t="str">
        <f>HYPERLINK("Melting_Curves/meltCurve_E9PEN8_XPO7.pdf", "Melting_Curves/meltCurve_E9PEN8_XPO7.pdf")</f>
        <v>Melting_Curves/meltCurve_E9PEN8_XPO7.pdf</v>
      </c>
    </row>
    <row r="559" spans="1:28" x14ac:dyDescent="0.25">
      <c r="A559" t="s">
        <v>563</v>
      </c>
      <c r="B559">
        <v>0.99252571173614901</v>
      </c>
      <c r="C559">
        <v>0.903884680052635</v>
      </c>
      <c r="D559">
        <v>0.84437969470943097</v>
      </c>
      <c r="E559">
        <v>0.76381979825667201</v>
      </c>
      <c r="F559">
        <v>0.30250639473264301</v>
      </c>
      <c r="G559">
        <v>0.183773928826924</v>
      </c>
      <c r="H559">
        <v>7.7840489312609895E-2</v>
      </c>
      <c r="I559">
        <v>3.6666092392671601E-2</v>
      </c>
      <c r="J559">
        <v>5.1789826968729399E-2</v>
      </c>
      <c r="K559">
        <v>0</v>
      </c>
      <c r="L559">
        <v>938.66826769049703</v>
      </c>
      <c r="M559">
        <v>18.213367650139201</v>
      </c>
      <c r="N559">
        <v>51.610729901721299</v>
      </c>
      <c r="O559">
        <v>50.928089661660501</v>
      </c>
      <c r="P559">
        <v>-8.8268298374847606E-2</v>
      </c>
      <c r="Q559">
        <v>1.2785730509006501E-2</v>
      </c>
      <c r="R559">
        <v>0.98531682656067698</v>
      </c>
      <c r="S559" t="s">
        <v>7205</v>
      </c>
      <c r="T559" t="s">
        <v>13290</v>
      </c>
      <c r="U559" t="s">
        <v>13290</v>
      </c>
      <c r="V559" t="s">
        <v>13290</v>
      </c>
      <c r="W559" t="s">
        <v>13843</v>
      </c>
      <c r="X559">
        <v>2</v>
      </c>
      <c r="Y559" t="s">
        <v>20431</v>
      </c>
      <c r="Z559" t="s">
        <v>26889</v>
      </c>
      <c r="AA559">
        <v>0.40863509219342031</v>
      </c>
      <c r="AB559" t="str">
        <f>HYPERLINK("Melting_Curves/meltCurve_E9PER1_DIP2A.pdf", "Melting_Curves/meltCurve_E9PER1_DIP2A.pdf")</f>
        <v>Melting_Curves/meltCurve_E9PER1_DIP2A.pdf</v>
      </c>
    </row>
    <row r="560" spans="1:28" x14ac:dyDescent="0.25">
      <c r="A560" t="s">
        <v>564</v>
      </c>
      <c r="B560">
        <v>0.99252571173614901</v>
      </c>
      <c r="C560">
        <v>1.0482863046606701</v>
      </c>
      <c r="D560">
        <v>0.85513906312565902</v>
      </c>
      <c r="E560">
        <v>0.51500487063483102</v>
      </c>
      <c r="F560">
        <v>0.208203203468042</v>
      </c>
      <c r="G560">
        <v>0.103782798442974</v>
      </c>
      <c r="H560">
        <v>7.3485677280485107E-2</v>
      </c>
      <c r="I560">
        <v>8.0243612797894104E-2</v>
      </c>
      <c r="J560">
        <v>8.1592411324949599E-2</v>
      </c>
      <c r="K560">
        <v>8.0092473079594106E-2</v>
      </c>
      <c r="L560">
        <v>1261.2452248095501</v>
      </c>
      <c r="M560">
        <v>25.542263085957799</v>
      </c>
      <c r="N560">
        <v>49.6998365885513</v>
      </c>
      <c r="O560">
        <v>49.0790699334881</v>
      </c>
      <c r="P560">
        <v>-0.120213542721265</v>
      </c>
      <c r="Q560">
        <v>7.6057481378871597E-2</v>
      </c>
      <c r="R560">
        <v>0.99656775791894203</v>
      </c>
      <c r="S560" t="s">
        <v>7206</v>
      </c>
      <c r="T560" t="s">
        <v>13290</v>
      </c>
      <c r="U560" t="s">
        <v>13290</v>
      </c>
      <c r="V560" t="s">
        <v>13290</v>
      </c>
      <c r="W560" t="s">
        <v>13844</v>
      </c>
      <c r="X560">
        <v>13</v>
      </c>
      <c r="Y560" t="s">
        <v>20432</v>
      </c>
      <c r="Z560" t="s">
        <v>26890</v>
      </c>
      <c r="AA560">
        <v>0.37276379398278497</v>
      </c>
      <c r="AB560" t="str">
        <f>HYPERLINK("Melting_Curves/meltCurve_E9PER6_PDPK1.pdf", "Melting_Curves/meltCurve_E9PER6_PDPK1.pdf")</f>
        <v>Melting_Curves/meltCurve_E9PER6_PDPK1.pdf</v>
      </c>
    </row>
    <row r="561" spans="1:28" x14ac:dyDescent="0.25">
      <c r="A561" t="s">
        <v>565</v>
      </c>
      <c r="B561">
        <v>0.99252571173614901</v>
      </c>
      <c r="C561">
        <v>0.85294051056695197</v>
      </c>
      <c r="D561">
        <v>0.76544849059221598</v>
      </c>
      <c r="E561">
        <v>0.25983825894906798</v>
      </c>
      <c r="F561">
        <v>0.166932633525786</v>
      </c>
      <c r="G561">
        <v>0.104301750603709</v>
      </c>
      <c r="H561">
        <v>8.0731907145185397E-2</v>
      </c>
      <c r="I561">
        <v>8.1874280056862994E-2</v>
      </c>
      <c r="J561">
        <v>9.1315551147427204E-2</v>
      </c>
      <c r="K561">
        <v>8.0070902082464895E-2</v>
      </c>
      <c r="L561">
        <v>1212.8955993623999</v>
      </c>
      <c r="M561">
        <v>25.6002250489856</v>
      </c>
      <c r="N561">
        <v>47.725889061587303</v>
      </c>
      <c r="O561">
        <v>47.092036719870102</v>
      </c>
      <c r="P561">
        <v>-0.12434870560700299</v>
      </c>
      <c r="Q561">
        <v>8.5044830718692996E-2</v>
      </c>
      <c r="R561">
        <v>0.98859331263870398</v>
      </c>
      <c r="S561" t="s">
        <v>7207</v>
      </c>
      <c r="T561" t="s">
        <v>13290</v>
      </c>
      <c r="U561" t="s">
        <v>13290</v>
      </c>
      <c r="V561" t="s">
        <v>13290</v>
      </c>
      <c r="W561" t="s">
        <v>13845</v>
      </c>
      <c r="X561">
        <v>39</v>
      </c>
      <c r="Y561" t="s">
        <v>20433</v>
      </c>
      <c r="Z561" t="s">
        <v>26891</v>
      </c>
      <c r="AA561">
        <v>0.3177858913557276</v>
      </c>
      <c r="AB561" t="str">
        <f>HYPERLINK("Melting_Curves/meltCurve_E9PEZ3_DIAPH1.pdf", "Melting_Curves/meltCurve_E9PEZ3_DIAPH1.pdf")</f>
        <v>Melting_Curves/meltCurve_E9PEZ3_DIAPH1.pdf</v>
      </c>
    </row>
    <row r="562" spans="1:28" x14ac:dyDescent="0.25">
      <c r="A562" t="s">
        <v>566</v>
      </c>
      <c r="B562">
        <v>0.99252571173614901</v>
      </c>
      <c r="C562">
        <v>0.83456762806066598</v>
      </c>
      <c r="D562">
        <v>0.68490307854082699</v>
      </c>
      <c r="E562">
        <v>0.62855834205469496</v>
      </c>
      <c r="F562">
        <v>0.18649754047283901</v>
      </c>
      <c r="G562">
        <v>0.10706033040692001</v>
      </c>
      <c r="H562">
        <v>7.5264660274834499E-2</v>
      </c>
      <c r="I562">
        <v>7.59149039746157E-2</v>
      </c>
      <c r="J562">
        <v>9.2343598247993305E-2</v>
      </c>
      <c r="K562">
        <v>9.4317393423370199E-2</v>
      </c>
      <c r="L562">
        <v>729.06768864155902</v>
      </c>
      <c r="M562">
        <v>14.8716168291778</v>
      </c>
      <c r="N562">
        <v>49.339874878719101</v>
      </c>
      <c r="O562">
        <v>48.163283722917001</v>
      </c>
      <c r="P562">
        <v>-7.3697308889353205E-2</v>
      </c>
      <c r="Q562">
        <v>4.5394032913824503E-2</v>
      </c>
      <c r="R562">
        <v>0.96527946145034205</v>
      </c>
      <c r="S562" t="s">
        <v>7208</v>
      </c>
      <c r="T562" t="s">
        <v>13290</v>
      </c>
      <c r="U562" t="s">
        <v>13290</v>
      </c>
      <c r="V562" t="s">
        <v>13290</v>
      </c>
      <c r="W562" t="s">
        <v>13846</v>
      </c>
      <c r="X562">
        <v>26</v>
      </c>
      <c r="Y562" t="s">
        <v>20434</v>
      </c>
      <c r="Z562" t="s">
        <v>26892</v>
      </c>
      <c r="AA562">
        <v>0.35646430174699251</v>
      </c>
      <c r="AB562" t="str">
        <f>HYPERLINK("Melting_Curves/meltCurve_E9PF10_NUP155.pdf", "Melting_Curves/meltCurve_E9PF10_NUP155.pdf")</f>
        <v>Melting_Curves/meltCurve_E9PF10_NUP155.pdf</v>
      </c>
    </row>
    <row r="563" spans="1:28" x14ac:dyDescent="0.25">
      <c r="A563" t="s">
        <v>567</v>
      </c>
      <c r="B563">
        <v>0.99252571173614901</v>
      </c>
      <c r="C563">
        <v>1.03895762115032</v>
      </c>
      <c r="D563">
        <v>0.91823568641751097</v>
      </c>
      <c r="E563">
        <v>0.72445190303201301</v>
      </c>
      <c r="F563">
        <v>0.28388299094824698</v>
      </c>
      <c r="G563">
        <v>0.17371449378044701</v>
      </c>
      <c r="H563">
        <v>0.11685053424691901</v>
      </c>
      <c r="I563">
        <v>9.7425960398867695E-2</v>
      </c>
      <c r="J563">
        <v>0.11164424920353699</v>
      </c>
      <c r="K563">
        <v>9.7996586103645006E-2</v>
      </c>
      <c r="L563">
        <v>1439.86071464729</v>
      </c>
      <c r="M563">
        <v>28.314979507297</v>
      </c>
      <c r="N563">
        <v>51.2813519016726</v>
      </c>
      <c r="O563">
        <v>50.599937641215199</v>
      </c>
      <c r="P563">
        <v>-0.12512049950471399</v>
      </c>
      <c r="Q563">
        <v>0.10562710973604</v>
      </c>
      <c r="R563">
        <v>0.99667145636931898</v>
      </c>
      <c r="S563" t="s">
        <v>7209</v>
      </c>
      <c r="T563" t="s">
        <v>13290</v>
      </c>
      <c r="U563" t="s">
        <v>13290</v>
      </c>
      <c r="V563" t="s">
        <v>13290</v>
      </c>
      <c r="W563" t="s">
        <v>13847</v>
      </c>
      <c r="X563">
        <v>13</v>
      </c>
      <c r="Y563" t="s">
        <v>20435</v>
      </c>
      <c r="Z563" t="s">
        <v>26893</v>
      </c>
      <c r="AA563">
        <v>0.43543639833632841</v>
      </c>
      <c r="AB563" t="str">
        <f>HYPERLINK("Melting_Curves/meltCurve_E9PF16_ACSF2.pdf", "Melting_Curves/meltCurve_E9PF16_ACSF2.pdf")</f>
        <v>Melting_Curves/meltCurve_E9PF16_ACSF2.pdf</v>
      </c>
    </row>
    <row r="564" spans="1:28" x14ac:dyDescent="0.25">
      <c r="A564" t="s">
        <v>568</v>
      </c>
      <c r="B564">
        <v>0.99252571173614901</v>
      </c>
      <c r="C564">
        <v>1.03624664347826</v>
      </c>
      <c r="D564">
        <v>0.89937749013657897</v>
      </c>
      <c r="E564">
        <v>0.87008504184562296</v>
      </c>
      <c r="F564">
        <v>0.395707399447288</v>
      </c>
      <c r="G564">
        <v>0.109317771949345</v>
      </c>
      <c r="H564">
        <v>7.1872471122232898E-2</v>
      </c>
      <c r="I564">
        <v>7.2270377673448405E-2</v>
      </c>
      <c r="J564">
        <v>8.2670750939644405E-2</v>
      </c>
      <c r="K564">
        <v>8.0884889789519701E-2</v>
      </c>
      <c r="L564">
        <v>1751.3511402353799</v>
      </c>
      <c r="M564">
        <v>33.562623908097002</v>
      </c>
      <c r="N564">
        <v>52.420069146524703</v>
      </c>
      <c r="O564">
        <v>51.997389742454203</v>
      </c>
      <c r="P564">
        <v>-0.14994267507943099</v>
      </c>
      <c r="Q564">
        <v>7.0800356056443803E-2</v>
      </c>
      <c r="R564">
        <v>0.99390384688123301</v>
      </c>
      <c r="S564" t="s">
        <v>7210</v>
      </c>
      <c r="T564" t="s">
        <v>13290</v>
      </c>
      <c r="U564" t="s">
        <v>13290</v>
      </c>
      <c r="V564" t="s">
        <v>13290</v>
      </c>
      <c r="W564" t="s">
        <v>13848</v>
      </c>
      <c r="X564">
        <v>23</v>
      </c>
      <c r="Y564" t="s">
        <v>20436</v>
      </c>
      <c r="Z564" t="s">
        <v>26894</v>
      </c>
      <c r="AA564">
        <v>0.45286719059390901</v>
      </c>
      <c r="AB564" t="str">
        <f>HYPERLINK("Melting_Curves/meltCurve_E9PF18_HADH.pdf", "Melting_Curves/meltCurve_E9PF18_HADH.pdf")</f>
        <v>Melting_Curves/meltCurve_E9PF18_HADH.pdf</v>
      </c>
    </row>
    <row r="565" spans="1:28" x14ac:dyDescent="0.25">
      <c r="A565" t="s">
        <v>569</v>
      </c>
      <c r="B565">
        <v>0.99252571173614901</v>
      </c>
      <c r="C565">
        <v>0.89191659113539901</v>
      </c>
      <c r="D565">
        <v>0.73123281948119101</v>
      </c>
      <c r="E565">
        <v>0.36094905487162199</v>
      </c>
      <c r="F565">
        <v>0.124469189381591</v>
      </c>
      <c r="G565">
        <v>7.2846165284943198E-2</v>
      </c>
      <c r="H565">
        <v>4.7603542219592503E-2</v>
      </c>
      <c r="I565">
        <v>5.2465843002476503E-2</v>
      </c>
      <c r="J565">
        <v>6.3858008711094996E-2</v>
      </c>
      <c r="K565">
        <v>6.4852120908847094E-2</v>
      </c>
      <c r="L565">
        <v>1033.04879270689</v>
      </c>
      <c r="M565">
        <v>21.589030695464501</v>
      </c>
      <c r="N565">
        <v>48.078236121876998</v>
      </c>
      <c r="O565">
        <v>47.445759911023401</v>
      </c>
      <c r="P565">
        <v>-0.10823301021316201</v>
      </c>
      <c r="Q565">
        <v>4.8577358229274503E-2</v>
      </c>
      <c r="R565">
        <v>0.99806719691364498</v>
      </c>
      <c r="S565" t="s">
        <v>7211</v>
      </c>
      <c r="T565" t="s">
        <v>13290</v>
      </c>
      <c r="U565" t="s">
        <v>13290</v>
      </c>
      <c r="V565" t="s">
        <v>13290</v>
      </c>
      <c r="W565" t="s">
        <v>13849</v>
      </c>
      <c r="X565">
        <v>11</v>
      </c>
      <c r="Y565" t="s">
        <v>20437</v>
      </c>
      <c r="Z565" t="s">
        <v>26895</v>
      </c>
      <c r="AA565">
        <v>0.30907134901791378</v>
      </c>
      <c r="AB565" t="str">
        <f>HYPERLINK("Melting_Curves/meltCurve_E9PF19_TBL2.pdf", "Melting_Curves/meltCurve_E9PF19_TBL2.pdf")</f>
        <v>Melting_Curves/meltCurve_E9PF19_TBL2.pdf</v>
      </c>
    </row>
    <row r="566" spans="1:28" x14ac:dyDescent="0.25">
      <c r="A566" t="s">
        <v>570</v>
      </c>
      <c r="B566">
        <v>0.99252571173614901</v>
      </c>
      <c r="C566">
        <v>0.96098242079028595</v>
      </c>
      <c r="D566">
        <v>0.84858442869233897</v>
      </c>
      <c r="E566">
        <v>0.64077506091624403</v>
      </c>
      <c r="F566">
        <v>0.51480346907044705</v>
      </c>
      <c r="G566">
        <v>0.45878129224683301</v>
      </c>
      <c r="H566">
        <v>0.56783825702528001</v>
      </c>
      <c r="I566">
        <v>0.67232739354917004</v>
      </c>
      <c r="J566">
        <v>0.93957279022126405</v>
      </c>
      <c r="K566">
        <v>0.98487112018021605</v>
      </c>
      <c r="L566">
        <v>11504.1953536976</v>
      </c>
      <c r="M566">
        <v>250</v>
      </c>
      <c r="O566">
        <v>46.0138364979816</v>
      </c>
      <c r="P566">
        <v>-0.43097102943967103</v>
      </c>
      <c r="Q566">
        <v>0.68270991160710504</v>
      </c>
      <c r="R566">
        <v>0.361000620841256</v>
      </c>
      <c r="S566" t="s">
        <v>7212</v>
      </c>
      <c r="T566" t="s">
        <v>13290</v>
      </c>
      <c r="U566" t="s">
        <v>13290</v>
      </c>
      <c r="V566" t="s">
        <v>13290</v>
      </c>
      <c r="W566" t="s">
        <v>13850</v>
      </c>
      <c r="X566">
        <v>4</v>
      </c>
      <c r="Y566" t="s">
        <v>20438</v>
      </c>
      <c r="Z566" t="s">
        <v>26896</v>
      </c>
      <c r="AA566">
        <v>0.74637103911798863</v>
      </c>
      <c r="AB566" t="str">
        <f>HYPERLINK("Melting_Curves/meltCurve_E9PF36_VPS41.pdf", "Melting_Curves/meltCurve_E9PF36_VPS41.pdf")</f>
        <v>Melting_Curves/meltCurve_E9PF36_VPS41.pdf</v>
      </c>
    </row>
    <row r="567" spans="1:28" x14ac:dyDescent="0.25">
      <c r="A567" t="s">
        <v>571</v>
      </c>
      <c r="B567">
        <v>0.99252571173614901</v>
      </c>
      <c r="C567">
        <v>0.882807936591675</v>
      </c>
      <c r="D567">
        <v>0.86057233364611396</v>
      </c>
      <c r="E567">
        <v>0.778622034092601</v>
      </c>
      <c r="F567">
        <v>0.81674434871766699</v>
      </c>
      <c r="G567">
        <v>0.63742190069736404</v>
      </c>
      <c r="H567">
        <v>0.55249952222223397</v>
      </c>
      <c r="I567">
        <v>0.72352799604717699</v>
      </c>
      <c r="J567">
        <v>1.12951814058954</v>
      </c>
      <c r="K567">
        <v>0.85157094672151601</v>
      </c>
      <c r="L567">
        <v>1035.5659596825899</v>
      </c>
      <c r="M567">
        <v>23.871006268973701</v>
      </c>
      <c r="O567">
        <v>43.080736117085202</v>
      </c>
      <c r="P567">
        <v>-2.98035957520849E-2</v>
      </c>
      <c r="Q567">
        <v>0.78485362838413897</v>
      </c>
      <c r="R567">
        <v>0.16911657176066799</v>
      </c>
      <c r="S567" t="s">
        <v>7213</v>
      </c>
      <c r="T567" t="s">
        <v>13290</v>
      </c>
      <c r="U567" t="s">
        <v>13290</v>
      </c>
      <c r="V567" t="s">
        <v>13290</v>
      </c>
      <c r="W567" t="s">
        <v>13851</v>
      </c>
      <c r="X567">
        <v>12</v>
      </c>
      <c r="Y567" t="s">
        <v>20439</v>
      </c>
      <c r="Z567" t="s">
        <v>26897</v>
      </c>
      <c r="AA567">
        <v>0.81222758853391663</v>
      </c>
      <c r="AB567" t="str">
        <f>HYPERLINK("Melting_Curves/meltCurve_E9PF74_SLC25A19.pdf", "Melting_Curves/meltCurve_E9PF74_SLC25A19.pdf")</f>
        <v>Melting_Curves/meltCurve_E9PF74_SLC25A19.pdf</v>
      </c>
    </row>
    <row r="568" spans="1:28" x14ac:dyDescent="0.25">
      <c r="A568" t="s">
        <v>572</v>
      </c>
      <c r="B568">
        <v>0.99252571173614901</v>
      </c>
      <c r="C568">
        <v>0.89670731111754098</v>
      </c>
      <c r="D568">
        <v>0.870632763982359</v>
      </c>
      <c r="E568">
        <v>0.54090327784334802</v>
      </c>
      <c r="F568">
        <v>0.34286113923696898</v>
      </c>
      <c r="G568">
        <v>0.18275511049189999</v>
      </c>
      <c r="H568">
        <v>0.15377681551401401</v>
      </c>
      <c r="I568">
        <v>0.20866605131105301</v>
      </c>
      <c r="J568">
        <v>0.20399114392759299</v>
      </c>
      <c r="K568">
        <v>0.17946558302054799</v>
      </c>
      <c r="L568">
        <v>1016.68062745353</v>
      </c>
      <c r="M568">
        <v>20.669108996077401</v>
      </c>
      <c r="N568">
        <v>50.231472005136602</v>
      </c>
      <c r="O568">
        <v>48.7349105858531</v>
      </c>
      <c r="P568">
        <v>-8.7530647655886099E-2</v>
      </c>
      <c r="Q568">
        <v>0.17448264037845901</v>
      </c>
      <c r="R568">
        <v>0.99013030507645505</v>
      </c>
      <c r="S568" t="s">
        <v>7214</v>
      </c>
      <c r="T568" t="s">
        <v>13290</v>
      </c>
      <c r="U568" t="s">
        <v>13290</v>
      </c>
      <c r="V568" t="s">
        <v>13290</v>
      </c>
      <c r="W568" t="s">
        <v>13852</v>
      </c>
      <c r="X568">
        <v>4</v>
      </c>
      <c r="Y568" t="s">
        <v>20440</v>
      </c>
      <c r="Z568" t="s">
        <v>26898</v>
      </c>
      <c r="AA568">
        <v>0.43812417057652558</v>
      </c>
      <c r="AB568" t="str">
        <f>HYPERLINK("Melting_Curves/meltCurve_E9PFH7_MAPK8IP3.pdf", "Melting_Curves/meltCurve_E9PFH7_MAPK8IP3.pdf")</f>
        <v>Melting_Curves/meltCurve_E9PFH7_MAPK8IP3.pdf</v>
      </c>
    </row>
    <row r="569" spans="1:28" x14ac:dyDescent="0.25">
      <c r="A569" t="s">
        <v>573</v>
      </c>
      <c r="B569">
        <v>0.99252571173614901</v>
      </c>
      <c r="C569">
        <v>0.98739764695568799</v>
      </c>
      <c r="D569">
        <v>0.70034444747681002</v>
      </c>
      <c r="E569">
        <v>0.53701212470970505</v>
      </c>
      <c r="F569">
        <v>0.35498979317642598</v>
      </c>
      <c r="G569">
        <v>0.205437253594489</v>
      </c>
      <c r="H569">
        <v>0.13721503610402</v>
      </c>
      <c r="I569">
        <v>0.11528856001642</v>
      </c>
      <c r="J569">
        <v>0.127202327469389</v>
      </c>
      <c r="K569">
        <v>0.104190850249615</v>
      </c>
      <c r="L569">
        <v>728.95580124718401</v>
      </c>
      <c r="M569">
        <v>14.774462036819701</v>
      </c>
      <c r="N569">
        <v>50.062677265303499</v>
      </c>
      <c r="O569">
        <v>48.4614616890279</v>
      </c>
      <c r="P569">
        <v>-6.8895599297422894E-2</v>
      </c>
      <c r="Q569">
        <v>9.6163738738672497E-2</v>
      </c>
      <c r="R569">
        <v>0.98930594763513102</v>
      </c>
      <c r="S569" t="s">
        <v>7215</v>
      </c>
      <c r="T569" t="s">
        <v>13290</v>
      </c>
      <c r="U569" t="s">
        <v>13290</v>
      </c>
      <c r="V569" t="s">
        <v>13290</v>
      </c>
      <c r="W569" t="s">
        <v>13853</v>
      </c>
      <c r="X569">
        <v>13</v>
      </c>
      <c r="Y569" t="s">
        <v>20441</v>
      </c>
      <c r="Z569" t="s">
        <v>26899</v>
      </c>
      <c r="AA569">
        <v>0.40018337589036851</v>
      </c>
      <c r="AB569" t="str">
        <f>HYPERLINK("Melting_Curves/meltCurve_E9PFK9_RABGEF1.pdf", "Melting_Curves/meltCurve_E9PFK9_RABGEF1.pdf")</f>
        <v>Melting_Curves/meltCurve_E9PFK9_RABGEF1.pdf</v>
      </c>
    </row>
    <row r="570" spans="1:28" x14ac:dyDescent="0.25">
      <c r="A570" t="s">
        <v>574</v>
      </c>
      <c r="B570">
        <v>0.99252571173614901</v>
      </c>
      <c r="C570">
        <v>0.86703390712065498</v>
      </c>
      <c r="D570">
        <v>0.60906578448073401</v>
      </c>
      <c r="E570">
        <v>0.212449865080546</v>
      </c>
      <c r="F570">
        <v>0.12899195006202499</v>
      </c>
      <c r="G570">
        <v>7.0281178531855101E-2</v>
      </c>
      <c r="H570">
        <v>5.3576264172318901E-2</v>
      </c>
      <c r="I570">
        <v>5.8307071786640498E-2</v>
      </c>
      <c r="J570">
        <v>7.3190567307336293E-2</v>
      </c>
      <c r="K570">
        <v>9.6254222372159803E-2</v>
      </c>
      <c r="L570">
        <v>1128.2878946201199</v>
      </c>
      <c r="M570">
        <v>24.285912688496101</v>
      </c>
      <c r="N570">
        <v>46.7424093685336</v>
      </c>
      <c r="O570">
        <v>46.146971250586603</v>
      </c>
      <c r="P570">
        <v>-0.122549211059664</v>
      </c>
      <c r="Q570">
        <v>6.8564591132738398E-2</v>
      </c>
      <c r="R570">
        <v>0.99738456791387298</v>
      </c>
      <c r="S570" t="s">
        <v>7216</v>
      </c>
      <c r="T570" t="s">
        <v>13290</v>
      </c>
      <c r="U570" t="s">
        <v>13290</v>
      </c>
      <c r="V570" t="s">
        <v>13290</v>
      </c>
      <c r="W570" t="s">
        <v>13854</v>
      </c>
      <c r="X570">
        <v>16</v>
      </c>
      <c r="Y570" t="s">
        <v>20442</v>
      </c>
      <c r="Z570" t="s">
        <v>26900</v>
      </c>
      <c r="AA570">
        <v>0.27809744159800509</v>
      </c>
      <c r="AB570" t="str">
        <f>HYPERLINK("Melting_Curves/meltCurve_E9PFR3_PPP2R5D.pdf", "Melting_Curves/meltCurve_E9PFR3_PPP2R5D.pdf")</f>
        <v>Melting_Curves/meltCurve_E9PFR3_PPP2R5D.pdf</v>
      </c>
    </row>
    <row r="571" spans="1:28" x14ac:dyDescent="0.25">
      <c r="A571" t="s">
        <v>575</v>
      </c>
      <c r="B571">
        <v>0.99252571173614901</v>
      </c>
      <c r="C571">
        <v>0.88609416043886902</v>
      </c>
      <c r="D571">
        <v>0.76498849062646801</v>
      </c>
      <c r="E571">
        <v>0.46628491076667999</v>
      </c>
      <c r="F571">
        <v>0.23144850874970899</v>
      </c>
      <c r="G571">
        <v>0.14512768781626201</v>
      </c>
      <c r="H571">
        <v>0.109995652746276</v>
      </c>
      <c r="I571">
        <v>0.10679102023574701</v>
      </c>
      <c r="J571">
        <v>0.114636284600323</v>
      </c>
      <c r="K571">
        <v>9.4916400963828598E-2</v>
      </c>
      <c r="L571">
        <v>876.56422981660603</v>
      </c>
      <c r="M571">
        <v>18.0761390066769</v>
      </c>
      <c r="N571">
        <v>49.0494175873893</v>
      </c>
      <c r="O571">
        <v>47.911080838203901</v>
      </c>
      <c r="P571">
        <v>-8.5580384487276007E-2</v>
      </c>
      <c r="Q571">
        <v>9.2715607348941506E-2</v>
      </c>
      <c r="R571">
        <v>0.99811005420337295</v>
      </c>
      <c r="S571" t="s">
        <v>7217</v>
      </c>
      <c r="T571" t="s">
        <v>13290</v>
      </c>
      <c r="U571" t="s">
        <v>13290</v>
      </c>
      <c r="V571" t="s">
        <v>13290</v>
      </c>
      <c r="W571" t="s">
        <v>13855</v>
      </c>
      <c r="X571">
        <v>3</v>
      </c>
      <c r="Y571" t="s">
        <v>20443</v>
      </c>
      <c r="Z571" t="s">
        <v>26901</v>
      </c>
      <c r="AA571">
        <v>0.36531311157773982</v>
      </c>
      <c r="AB571" t="str">
        <f>HYPERLINK("Melting_Curves/meltCurve_E9PG22_CEP97.pdf", "Melting_Curves/meltCurve_E9PG22_CEP97.pdf")</f>
        <v>Melting_Curves/meltCurve_E9PG22_CEP97.pdf</v>
      </c>
    </row>
    <row r="572" spans="1:28" x14ac:dyDescent="0.25">
      <c r="A572" t="s">
        <v>576</v>
      </c>
      <c r="B572">
        <v>0.99252571173614901</v>
      </c>
      <c r="C572">
        <v>0.97236100210378595</v>
      </c>
      <c r="D572">
        <v>0.72749991782222401</v>
      </c>
      <c r="E572">
        <v>0.244024562890612</v>
      </c>
      <c r="F572">
        <v>0.14512451906754101</v>
      </c>
      <c r="G572">
        <v>9.9838104390621601E-2</v>
      </c>
      <c r="H572">
        <v>8.7888458897867894E-2</v>
      </c>
      <c r="I572">
        <v>8.8008054325975804E-2</v>
      </c>
      <c r="J572">
        <v>9.0398202357754698E-2</v>
      </c>
      <c r="K572">
        <v>5.9003688174575401E-2</v>
      </c>
      <c r="L572">
        <v>1494.8014707719401</v>
      </c>
      <c r="M572">
        <v>31.648549079737101</v>
      </c>
      <c r="N572">
        <v>47.524057621402797</v>
      </c>
      <c r="O572">
        <v>47.043907965192197</v>
      </c>
      <c r="P572">
        <v>-0.15329043688320201</v>
      </c>
      <c r="Q572">
        <v>8.8572028027690403E-2</v>
      </c>
      <c r="R572">
        <v>0.99846241293849103</v>
      </c>
      <c r="S572" t="s">
        <v>7218</v>
      </c>
      <c r="T572" t="s">
        <v>13290</v>
      </c>
      <c r="U572" t="s">
        <v>13290</v>
      </c>
      <c r="V572" t="s">
        <v>13290</v>
      </c>
      <c r="W572" t="s">
        <v>13856</v>
      </c>
      <c r="X572">
        <v>4</v>
      </c>
      <c r="Y572" t="s">
        <v>20444</v>
      </c>
      <c r="Z572" t="s">
        <v>26902</v>
      </c>
      <c r="AA572">
        <v>0.3131425603946198</v>
      </c>
      <c r="AB572" t="str">
        <f>HYPERLINK("Melting_Curves/meltCurve_E9PGC0_RASA1.pdf", "Melting_Curves/meltCurve_E9PGC0_RASA1.pdf")</f>
        <v>Melting_Curves/meltCurve_E9PGC0_RASA1.pdf</v>
      </c>
    </row>
    <row r="573" spans="1:28" x14ac:dyDescent="0.25">
      <c r="A573" t="s">
        <v>577</v>
      </c>
      <c r="B573">
        <v>0.99252571173614901</v>
      </c>
      <c r="C573">
        <v>0.92436479281100203</v>
      </c>
      <c r="D573">
        <v>1.14990284013942</v>
      </c>
      <c r="E573">
        <v>1.2108713578065999</v>
      </c>
      <c r="F573">
        <v>1.1411030830599</v>
      </c>
      <c r="G573">
        <v>0.94204871669393897</v>
      </c>
      <c r="H573">
        <v>0.85949011152137</v>
      </c>
      <c r="I573">
        <v>0.52745035955540298</v>
      </c>
      <c r="J573">
        <v>0.16229906311953199</v>
      </c>
      <c r="K573">
        <v>0.13581463135170599</v>
      </c>
      <c r="L573">
        <v>2430.4924680211102</v>
      </c>
      <c r="M573">
        <v>38.135971254985598</v>
      </c>
      <c r="N573">
        <v>64.035003216302997</v>
      </c>
      <c r="O573">
        <v>63.557794184893602</v>
      </c>
      <c r="P573">
        <v>-0.13763236420274</v>
      </c>
      <c r="Q573">
        <v>8.2484356799644096E-2</v>
      </c>
      <c r="R573">
        <v>0.93031037399608996</v>
      </c>
      <c r="S573" t="s">
        <v>7219</v>
      </c>
      <c r="T573" t="s">
        <v>13290</v>
      </c>
      <c r="U573" t="s">
        <v>13290</v>
      </c>
      <c r="V573" t="s">
        <v>13290</v>
      </c>
      <c r="W573" t="s">
        <v>13857</v>
      </c>
      <c r="X573">
        <v>15</v>
      </c>
      <c r="Y573" t="s">
        <v>20445</v>
      </c>
      <c r="Z573" t="s">
        <v>26903</v>
      </c>
      <c r="AA573">
        <v>0.8106385865589647</v>
      </c>
      <c r="AB573" t="str">
        <f>HYPERLINK("Melting_Curves/meltCurve_E9PGT1_TSN.pdf", "Melting_Curves/meltCurve_E9PGT1_TSN.pdf")</f>
        <v>Melting_Curves/meltCurve_E9PGT1_TSN.pdf</v>
      </c>
    </row>
    <row r="574" spans="1:28" x14ac:dyDescent="0.25">
      <c r="A574" t="s">
        <v>578</v>
      </c>
      <c r="B574">
        <v>0.99252571173614901</v>
      </c>
      <c r="C574">
        <v>1.00576890433469</v>
      </c>
      <c r="D574">
        <v>0.83976283689082598</v>
      </c>
      <c r="E574">
        <v>0.46235077242813399</v>
      </c>
      <c r="F574">
        <v>0.20429292233994201</v>
      </c>
      <c r="G574">
        <v>0.12827847292047401</v>
      </c>
      <c r="H574">
        <v>0.12938244209706201</v>
      </c>
      <c r="I574">
        <v>7.2676602739873003E-2</v>
      </c>
      <c r="J574">
        <v>7.8368987096887305E-2</v>
      </c>
      <c r="K574">
        <v>7.1210112416799101E-2</v>
      </c>
      <c r="L574">
        <v>1205.45327185784</v>
      </c>
      <c r="M574">
        <v>24.635135588871599</v>
      </c>
      <c r="N574">
        <v>49.319510446033398</v>
      </c>
      <c r="O574">
        <v>48.613263240020501</v>
      </c>
      <c r="P574">
        <v>-0.115550819341301</v>
      </c>
      <c r="Q574">
        <v>8.7933193177854002E-2</v>
      </c>
      <c r="R574">
        <v>0.99771630380465803</v>
      </c>
      <c r="S574" t="s">
        <v>7220</v>
      </c>
      <c r="T574" t="s">
        <v>13290</v>
      </c>
      <c r="U574" t="s">
        <v>13290</v>
      </c>
      <c r="V574" t="s">
        <v>13290</v>
      </c>
      <c r="W574" t="s">
        <v>13531</v>
      </c>
      <c r="X574">
        <v>19</v>
      </c>
      <c r="Y574" t="s">
        <v>20446</v>
      </c>
      <c r="Z574" t="s">
        <v>26904</v>
      </c>
      <c r="AA574">
        <v>0.36782206961833669</v>
      </c>
      <c r="AB574" t="str">
        <f>HYPERLINK("Melting_Curves/meltCurve_E9PGT3_RPS6KA1.pdf", "Melting_Curves/meltCurve_E9PGT3_RPS6KA1.pdf")</f>
        <v>Melting_Curves/meltCurve_E9PGT3_RPS6KA1.pdf</v>
      </c>
    </row>
    <row r="575" spans="1:28" x14ac:dyDescent="0.25">
      <c r="A575" t="s">
        <v>579</v>
      </c>
      <c r="B575">
        <v>0.99252571173614901</v>
      </c>
      <c r="C575">
        <v>0.96761565558337903</v>
      </c>
      <c r="D575">
        <v>0.87756145137436103</v>
      </c>
      <c r="E575">
        <v>0.69857701648037396</v>
      </c>
      <c r="F575">
        <v>0.54457338424107804</v>
      </c>
      <c r="G575">
        <v>0.40815366146899901</v>
      </c>
      <c r="H575">
        <v>0.361006264202681</v>
      </c>
      <c r="I575">
        <v>0.38570328193377801</v>
      </c>
      <c r="J575">
        <v>0.62615966049278704</v>
      </c>
      <c r="K575">
        <v>0.72444239587224801</v>
      </c>
      <c r="L575">
        <v>1286.1701562994899</v>
      </c>
      <c r="M575">
        <v>26.602834399383202</v>
      </c>
      <c r="O575">
        <v>48.076411043883198</v>
      </c>
      <c r="P575">
        <v>-6.8862545203755607E-2</v>
      </c>
      <c r="Q575">
        <v>0.50221420108429604</v>
      </c>
      <c r="R575">
        <v>0.77810602968199005</v>
      </c>
      <c r="S575" t="s">
        <v>7221</v>
      </c>
      <c r="T575" t="s">
        <v>13290</v>
      </c>
      <c r="U575" t="s">
        <v>13290</v>
      </c>
      <c r="V575" t="s">
        <v>13290</v>
      </c>
      <c r="W575" t="s">
        <v>13858</v>
      </c>
      <c r="X575">
        <v>1</v>
      </c>
      <c r="Y575" t="s">
        <v>20447</v>
      </c>
      <c r="Z575" t="s">
        <v>26905</v>
      </c>
      <c r="AA575">
        <v>0.64457845117480905</v>
      </c>
      <c r="AB575" t="str">
        <f>HYPERLINK("Melting_Curves/meltCurve_E9PGW7_MED22.pdf", "Melting_Curves/meltCurve_E9PGW7_MED22.pdf")</f>
        <v>Melting_Curves/meltCurve_E9PGW7_MED22.pdf</v>
      </c>
    </row>
    <row r="576" spans="1:28" x14ac:dyDescent="0.25">
      <c r="A576" t="s">
        <v>580</v>
      </c>
      <c r="B576">
        <v>0.99252571173614901</v>
      </c>
      <c r="C576">
        <v>0.88801704748834198</v>
      </c>
      <c r="D576">
        <v>0.54606584083499898</v>
      </c>
      <c r="E576">
        <v>0.70383500469733795</v>
      </c>
      <c r="F576">
        <v>0.64934350438038402</v>
      </c>
      <c r="G576">
        <v>0.350657055359894</v>
      </c>
      <c r="H576">
        <v>0.391275114757139</v>
      </c>
      <c r="I576">
        <v>0.328033045170747</v>
      </c>
      <c r="J576">
        <v>0.18858807569232899</v>
      </c>
      <c r="K576">
        <v>0.30712994246254799</v>
      </c>
      <c r="L576">
        <v>366.52638723140001</v>
      </c>
      <c r="M576">
        <v>7.0378476069782696</v>
      </c>
      <c r="N576">
        <v>54.3583019967596</v>
      </c>
      <c r="O576">
        <v>48.364280238609602</v>
      </c>
      <c r="P576">
        <v>-3.1789318323927299E-2</v>
      </c>
      <c r="Q576">
        <v>0.127757200947308</v>
      </c>
      <c r="R576">
        <v>0.859771991100163</v>
      </c>
      <c r="S576" t="s">
        <v>7222</v>
      </c>
      <c r="T576" t="s">
        <v>13290</v>
      </c>
      <c r="U576" t="s">
        <v>13290</v>
      </c>
      <c r="V576" t="s">
        <v>13290</v>
      </c>
      <c r="W576" t="s">
        <v>13859</v>
      </c>
      <c r="X576">
        <v>1</v>
      </c>
      <c r="Y576" t="s">
        <v>20448</v>
      </c>
      <c r="Z576" t="s">
        <v>26906</v>
      </c>
      <c r="AA576">
        <v>0.5239233302277424</v>
      </c>
      <c r="AB576" t="str">
        <f>HYPERLINK("Melting_Curves/meltCurve_E9PH18_DNAJB6.pdf", "Melting_Curves/meltCurve_E9PH18_DNAJB6.pdf")</f>
        <v>Melting_Curves/meltCurve_E9PH18_DNAJB6.pdf</v>
      </c>
    </row>
    <row r="577" spans="1:28" x14ac:dyDescent="0.25">
      <c r="A577" t="s">
        <v>581</v>
      </c>
      <c r="B577">
        <v>0.99252571173614901</v>
      </c>
      <c r="C577">
        <v>0.94114446101986504</v>
      </c>
      <c r="D577">
        <v>1.0664908041394401</v>
      </c>
      <c r="E577">
        <v>1.0070649820357001</v>
      </c>
      <c r="F577">
        <v>1.25065788856543</v>
      </c>
      <c r="G577">
        <v>1.12283917181432</v>
      </c>
      <c r="H577">
        <v>0.87840720560862395</v>
      </c>
      <c r="I577">
        <v>0.30523542027547401</v>
      </c>
      <c r="J577">
        <v>0.17752473122946399</v>
      </c>
      <c r="K577">
        <v>0.109557163963951</v>
      </c>
      <c r="L577">
        <v>3914.7255291947099</v>
      </c>
      <c r="M577">
        <v>62.559409457673297</v>
      </c>
      <c r="N577">
        <v>62.893954734141403</v>
      </c>
      <c r="O577">
        <v>62.512279870391602</v>
      </c>
      <c r="P577">
        <v>-0.21628362970547299</v>
      </c>
      <c r="Q577">
        <v>0.13551754791609899</v>
      </c>
      <c r="R577">
        <v>0.94475841815073303</v>
      </c>
      <c r="S577" t="s">
        <v>7223</v>
      </c>
      <c r="T577" t="s">
        <v>13290</v>
      </c>
      <c r="U577" t="s">
        <v>13290</v>
      </c>
      <c r="V577" t="s">
        <v>13290</v>
      </c>
      <c r="W577" t="s">
        <v>13860</v>
      </c>
      <c r="X577">
        <v>13</v>
      </c>
      <c r="Y577" t="s">
        <v>20449</v>
      </c>
      <c r="Z577" t="s">
        <v>26907</v>
      </c>
      <c r="AA577">
        <v>0.78754508418041458</v>
      </c>
      <c r="AB577" t="str">
        <f>HYPERLINK("Melting_Curves/meltCurve_E9PH29_PRDX3.pdf", "Melting_Curves/meltCurve_E9PH29_PRDX3.pdf")</f>
        <v>Melting_Curves/meltCurve_E9PH29_PRDX3.pdf</v>
      </c>
    </row>
    <row r="578" spans="1:28" x14ac:dyDescent="0.25">
      <c r="A578" t="s">
        <v>582</v>
      </c>
      <c r="B578">
        <v>0.99252571173614901</v>
      </c>
      <c r="C578">
        <v>0.85351910428002697</v>
      </c>
      <c r="D578">
        <v>1.18680050850326</v>
      </c>
      <c r="E578">
        <v>1.2779828574734999</v>
      </c>
      <c r="F578">
        <v>0.392176297868641</v>
      </c>
      <c r="G578">
        <v>0.209385517402704</v>
      </c>
      <c r="H578">
        <v>0.12797704363224399</v>
      </c>
      <c r="I578">
        <v>0.120686838883793</v>
      </c>
      <c r="J578">
        <v>0.16870534335041101</v>
      </c>
      <c r="K578">
        <v>0.159773808287973</v>
      </c>
      <c r="L578">
        <v>13249.4147939825</v>
      </c>
      <c r="M578">
        <v>250</v>
      </c>
      <c r="N578">
        <v>53.077859017945102</v>
      </c>
      <c r="O578">
        <v>52.994267691412603</v>
      </c>
      <c r="P578">
        <v>-0.99385077902631402</v>
      </c>
      <c r="Q578">
        <v>0.15730569354804</v>
      </c>
      <c r="R578">
        <v>0.93147120989862797</v>
      </c>
      <c r="S578" t="s">
        <v>7224</v>
      </c>
      <c r="T578" t="s">
        <v>13290</v>
      </c>
      <c r="U578" t="s">
        <v>13290</v>
      </c>
      <c r="V578" t="s">
        <v>13290</v>
      </c>
      <c r="W578" t="s">
        <v>13861</v>
      </c>
      <c r="X578">
        <v>8</v>
      </c>
      <c r="Y578" t="s">
        <v>20450</v>
      </c>
      <c r="Z578" t="s">
        <v>26908</v>
      </c>
      <c r="AA578">
        <v>0.52248585209394327</v>
      </c>
      <c r="AB578" t="str">
        <f>HYPERLINK("Melting_Curves/meltCurve_E9PHF7_MCCC1.pdf", "Melting_Curves/meltCurve_E9PHF7_MCCC1.pdf")</f>
        <v>Melting_Curves/meltCurve_E9PHF7_MCCC1.pdf</v>
      </c>
    </row>
    <row r="579" spans="1:28" x14ac:dyDescent="0.25">
      <c r="A579" t="s">
        <v>583</v>
      </c>
      <c r="B579">
        <v>0.99252571173614901</v>
      </c>
      <c r="C579">
        <v>0.96393974358019396</v>
      </c>
      <c r="D579">
        <v>0.92829703207992798</v>
      </c>
      <c r="E579">
        <v>0.97313624000503696</v>
      </c>
      <c r="F579">
        <v>0.63473118438861498</v>
      </c>
      <c r="G579">
        <v>0.33350389236672501</v>
      </c>
      <c r="H579">
        <v>0.19664903544181001</v>
      </c>
      <c r="I579">
        <v>0.18087609710300201</v>
      </c>
      <c r="J579">
        <v>0.14704944794653901</v>
      </c>
      <c r="K579">
        <v>0.16838822226918701</v>
      </c>
      <c r="L579">
        <v>1522.0032303099099</v>
      </c>
      <c r="M579">
        <v>28.260467982550601</v>
      </c>
      <c r="N579">
        <v>54.619948627313399</v>
      </c>
      <c r="O579">
        <v>53.588759565032703</v>
      </c>
      <c r="P579">
        <v>-0.11032390796460401</v>
      </c>
      <c r="Q579">
        <v>0.163202463835291</v>
      </c>
      <c r="R579">
        <v>0.99372666308437396</v>
      </c>
      <c r="S579" t="s">
        <v>7225</v>
      </c>
      <c r="T579" t="s">
        <v>13290</v>
      </c>
      <c r="U579" t="s">
        <v>13290</v>
      </c>
      <c r="V579" t="s">
        <v>13290</v>
      </c>
      <c r="W579" t="s">
        <v>13862</v>
      </c>
      <c r="X579">
        <v>4</v>
      </c>
      <c r="Y579" t="s">
        <v>20451</v>
      </c>
      <c r="Z579" t="s">
        <v>26909</v>
      </c>
      <c r="AA579">
        <v>0.55585308207076656</v>
      </c>
      <c r="AB579" t="str">
        <f>HYPERLINK("Melting_Curves/meltCurve_E9PHG5_CYP20A1.pdf", "Melting_Curves/meltCurve_E9PHG5_CYP20A1.pdf")</f>
        <v>Melting_Curves/meltCurve_E9PHG5_CYP20A1.pdf</v>
      </c>
    </row>
    <row r="580" spans="1:28" x14ac:dyDescent="0.25">
      <c r="A580" t="s">
        <v>584</v>
      </c>
      <c r="B580">
        <v>0.99252571173614901</v>
      </c>
      <c r="C580">
        <v>0.721988917189198</v>
      </c>
      <c r="D580">
        <v>0.387815279169338</v>
      </c>
      <c r="E580">
        <v>0.20127522646506099</v>
      </c>
      <c r="F580">
        <v>0.142024059699803</v>
      </c>
      <c r="G580">
        <v>8.6821441739130104E-2</v>
      </c>
      <c r="H580">
        <v>5.2077969695140197E-2</v>
      </c>
      <c r="I580">
        <v>8.9358092000953696E-2</v>
      </c>
      <c r="J580">
        <v>7.6400443574322796E-2</v>
      </c>
      <c r="K580">
        <v>3.9008125842962302E-2</v>
      </c>
      <c r="L580">
        <v>970.23963922006999</v>
      </c>
      <c r="M580">
        <v>21.682636963264301</v>
      </c>
      <c r="N580">
        <v>45.088017816380599</v>
      </c>
      <c r="O580">
        <v>44.371905826161203</v>
      </c>
      <c r="P580">
        <v>-0.112935140430377</v>
      </c>
      <c r="Q580">
        <v>7.5568420174170203E-2</v>
      </c>
      <c r="R580">
        <v>0.99135864071097002</v>
      </c>
      <c r="S580" t="s">
        <v>7226</v>
      </c>
      <c r="T580" t="s">
        <v>13290</v>
      </c>
      <c r="U580" t="s">
        <v>13290</v>
      </c>
      <c r="V580" t="s">
        <v>13290</v>
      </c>
      <c r="W580" t="s">
        <v>13863</v>
      </c>
      <c r="X580">
        <v>2</v>
      </c>
      <c r="Y580" t="s">
        <v>20452</v>
      </c>
      <c r="Z580" t="s">
        <v>26910</v>
      </c>
      <c r="AA580">
        <v>0.2351891755995946</v>
      </c>
      <c r="AB580" t="str">
        <f>HYPERLINK("Melting_Curves/meltCurve_E9PHH8_PIAS3.pdf", "Melting_Curves/meltCurve_E9PHH8_PIAS3.pdf")</f>
        <v>Melting_Curves/meltCurve_E9PHH8_PIAS3.pdf</v>
      </c>
    </row>
    <row r="581" spans="1:28" x14ac:dyDescent="0.25">
      <c r="A581" t="s">
        <v>585</v>
      </c>
      <c r="B581">
        <v>0.99252571173614901</v>
      </c>
      <c r="C581">
        <v>0.93918193032539399</v>
      </c>
      <c r="D581">
        <v>0.79911620325594401</v>
      </c>
      <c r="E581">
        <v>0.77696703714349102</v>
      </c>
      <c r="F581">
        <v>0.37738288396708503</v>
      </c>
      <c r="G581">
        <v>0.15331744017116</v>
      </c>
      <c r="H581">
        <v>0.120714425976697</v>
      </c>
      <c r="I581">
        <v>0.145001636960781</v>
      </c>
      <c r="J581">
        <v>0.19759391657123301</v>
      </c>
      <c r="K581">
        <v>0.20435645031135599</v>
      </c>
      <c r="L581">
        <v>1160.40669161751</v>
      </c>
      <c r="M581">
        <v>22.780671568724799</v>
      </c>
      <c r="N581">
        <v>51.725098213426399</v>
      </c>
      <c r="O581">
        <v>50.550559915660401</v>
      </c>
      <c r="P581">
        <v>-9.6165969444645699E-2</v>
      </c>
      <c r="Q581">
        <v>0.14644315894559501</v>
      </c>
      <c r="R581">
        <v>0.96757478266932895</v>
      </c>
      <c r="S581" t="s">
        <v>7227</v>
      </c>
      <c r="T581" t="s">
        <v>13290</v>
      </c>
      <c r="U581" t="s">
        <v>13290</v>
      </c>
      <c r="V581" t="s">
        <v>13290</v>
      </c>
      <c r="W581" t="s">
        <v>13864</v>
      </c>
      <c r="X581">
        <v>43</v>
      </c>
      <c r="Y581" t="s">
        <v>20453</v>
      </c>
      <c r="Z581" t="s">
        <v>26911</v>
      </c>
      <c r="AA581">
        <v>0.46689804013116309</v>
      </c>
      <c r="AB581" t="str">
        <f>HYPERLINK("Melting_Curves/meltCurve_E9PHY5_EPB41L2.pdf", "Melting_Curves/meltCurve_E9PHY5_EPB41L2.pdf")</f>
        <v>Melting_Curves/meltCurve_E9PHY5_EPB41L2.pdf</v>
      </c>
    </row>
    <row r="582" spans="1:28" x14ac:dyDescent="0.25">
      <c r="A582" t="s">
        <v>586</v>
      </c>
      <c r="B582">
        <v>0.99252571173614901</v>
      </c>
      <c r="C582">
        <v>1.03645794611398</v>
      </c>
      <c r="D582">
        <v>0.97039276023097598</v>
      </c>
      <c r="E582">
        <v>0.70194388222711301</v>
      </c>
      <c r="F582">
        <v>0.25861269745409898</v>
      </c>
      <c r="G582">
        <v>0.167820296758803</v>
      </c>
      <c r="H582">
        <v>0.119303733385448</v>
      </c>
      <c r="I582">
        <v>0.13080748958688801</v>
      </c>
      <c r="J582">
        <v>0.17683826437486899</v>
      </c>
      <c r="K582">
        <v>0.15204402329956199</v>
      </c>
      <c r="L582">
        <v>1831.14375467952</v>
      </c>
      <c r="M582">
        <v>36.296632259446902</v>
      </c>
      <c r="N582">
        <v>50.933514007490103</v>
      </c>
      <c r="O582">
        <v>50.297009749881902</v>
      </c>
      <c r="P582">
        <v>-0.15409295310660001</v>
      </c>
      <c r="Q582">
        <v>0.145883179754872</v>
      </c>
      <c r="R582">
        <v>0.99753151766566694</v>
      </c>
      <c r="S582" t="s">
        <v>7228</v>
      </c>
      <c r="T582" t="s">
        <v>13290</v>
      </c>
      <c r="U582" t="s">
        <v>13290</v>
      </c>
      <c r="V582" t="s">
        <v>13290</v>
      </c>
      <c r="W582" t="s">
        <v>13865</v>
      </c>
      <c r="X582">
        <v>5</v>
      </c>
      <c r="Y582" t="s">
        <v>20454</v>
      </c>
      <c r="Z582" t="s">
        <v>26912</v>
      </c>
      <c r="AA582">
        <v>0.44700761373775189</v>
      </c>
      <c r="AB582" t="str">
        <f>HYPERLINK("Melting_Curves/meltCurve_E9PHY8_MROH1.pdf", "Melting_Curves/meltCurve_E9PHY8_MROH1.pdf")</f>
        <v>Melting_Curves/meltCurve_E9PHY8_MROH1.pdf</v>
      </c>
    </row>
    <row r="583" spans="1:28" x14ac:dyDescent="0.25">
      <c r="A583" t="s">
        <v>587</v>
      </c>
      <c r="B583">
        <v>0.99252571173614901</v>
      </c>
      <c r="C583">
        <v>1.0642404455127299</v>
      </c>
      <c r="D583">
        <v>1.1606184792738501</v>
      </c>
      <c r="E583">
        <v>0.85578696075299998</v>
      </c>
      <c r="F583">
        <v>0.16889204517082801</v>
      </c>
      <c r="G583">
        <v>6.7178816201859101E-2</v>
      </c>
      <c r="H583">
        <v>3.25321533127279E-2</v>
      </c>
      <c r="I583">
        <v>4.6646003383882403E-2</v>
      </c>
      <c r="J583">
        <v>5.9789896639376901E-2</v>
      </c>
      <c r="K583">
        <v>6.5545918213443799E-2</v>
      </c>
      <c r="L583">
        <v>2767.1722571270702</v>
      </c>
      <c r="M583">
        <v>54.024933039294197</v>
      </c>
      <c r="N583">
        <v>51.328517400214402</v>
      </c>
      <c r="O583">
        <v>51.1502655011382</v>
      </c>
      <c r="P583">
        <v>-0.24983499112652299</v>
      </c>
      <c r="Q583">
        <v>5.3835903144896897E-2</v>
      </c>
      <c r="R583">
        <v>0.985727096201092</v>
      </c>
      <c r="S583" t="s">
        <v>7229</v>
      </c>
      <c r="T583" t="s">
        <v>13290</v>
      </c>
      <c r="U583" t="s">
        <v>13290</v>
      </c>
      <c r="V583" t="s">
        <v>13290</v>
      </c>
      <c r="W583" t="s">
        <v>13307</v>
      </c>
      <c r="X583">
        <v>1</v>
      </c>
      <c r="Y583" t="s">
        <v>19893</v>
      </c>
      <c r="Z583" t="s">
        <v>26913</v>
      </c>
      <c r="AA583">
        <v>0.40953969280842972</v>
      </c>
      <c r="AB583" t="str">
        <f>HYPERLINK("Melting_Curves/meltCurve_E9PIB1_HLA_DQB1.pdf", "Melting_Curves/meltCurve_E9PIB1_HLA_DQB1.pdf")</f>
        <v>Melting_Curves/meltCurve_E9PIB1_HLA_DQB1.pdf</v>
      </c>
    </row>
    <row r="584" spans="1:28" x14ac:dyDescent="0.25">
      <c r="A584" t="s">
        <v>588</v>
      </c>
      <c r="B584">
        <v>0.99252571173614901</v>
      </c>
      <c r="C584">
        <v>0.89079124190080206</v>
      </c>
      <c r="D584">
        <v>0.81197963657436001</v>
      </c>
      <c r="E584">
        <v>0.66687534897796497</v>
      </c>
      <c r="F584">
        <v>0.60475369749897501</v>
      </c>
      <c r="G584">
        <v>0.312167321064865</v>
      </c>
      <c r="H584">
        <v>0.123612592199771</v>
      </c>
      <c r="I584">
        <v>8.7014104550088997E-2</v>
      </c>
      <c r="J584">
        <v>9.1133281509578001E-2</v>
      </c>
      <c r="K584">
        <v>6.2659844956718697E-2</v>
      </c>
      <c r="L584">
        <v>612.35597602449604</v>
      </c>
      <c r="M584">
        <v>11.5347495870007</v>
      </c>
      <c r="N584">
        <v>53.087927747882503</v>
      </c>
      <c r="O584">
        <v>51.567524931450301</v>
      </c>
      <c r="P584">
        <v>-5.5936314860603201E-2</v>
      </c>
      <c r="Q584">
        <v>0</v>
      </c>
      <c r="R584">
        <v>0.98124384557398503</v>
      </c>
      <c r="S584" t="s">
        <v>7230</v>
      </c>
      <c r="T584" t="s">
        <v>13290</v>
      </c>
      <c r="U584" t="s">
        <v>13290</v>
      </c>
      <c r="V584" t="s">
        <v>13290</v>
      </c>
      <c r="W584" t="s">
        <v>13866</v>
      </c>
      <c r="X584">
        <v>8</v>
      </c>
      <c r="Y584" t="s">
        <v>20455</v>
      </c>
      <c r="Z584" t="s">
        <v>26914</v>
      </c>
      <c r="AA584">
        <v>0.46576814751225731</v>
      </c>
      <c r="AB584" t="str">
        <f>HYPERLINK("Melting_Curves/meltCurve_E9PIE4_MTCH2.pdf", "Melting_Curves/meltCurve_E9PIE4_MTCH2.pdf")</f>
        <v>Melting_Curves/meltCurve_E9PIE4_MTCH2.pdf</v>
      </c>
    </row>
    <row r="585" spans="1:28" x14ac:dyDescent="0.25">
      <c r="A585" t="s">
        <v>589</v>
      </c>
      <c r="B585">
        <v>0.99252571173614901</v>
      </c>
      <c r="C585">
        <v>0.86495848497037497</v>
      </c>
      <c r="D585">
        <v>0.53019459618557097</v>
      </c>
      <c r="E585">
        <v>0.37672902688101101</v>
      </c>
      <c r="F585">
        <v>0.28403657993759202</v>
      </c>
      <c r="G585">
        <v>0.176596713328174</v>
      </c>
      <c r="H585">
        <v>0.15324444100162099</v>
      </c>
      <c r="I585">
        <v>0.185295417865325</v>
      </c>
      <c r="J585">
        <v>0.26542049790717298</v>
      </c>
      <c r="K585">
        <v>0.33832052916942801</v>
      </c>
      <c r="L585">
        <v>1056.8988291097101</v>
      </c>
      <c r="M585">
        <v>23.2369629543381</v>
      </c>
      <c r="N585">
        <v>46.737136349889902</v>
      </c>
      <c r="O585">
        <v>45.1506816028202</v>
      </c>
      <c r="P585">
        <v>-9.8827003289320897E-2</v>
      </c>
      <c r="Q585">
        <v>0.23190891792148199</v>
      </c>
      <c r="R585">
        <v>0.961040705041458</v>
      </c>
      <c r="S585" t="s">
        <v>7231</v>
      </c>
      <c r="T585" t="s">
        <v>13290</v>
      </c>
      <c r="U585" t="s">
        <v>13290</v>
      </c>
      <c r="V585" t="s">
        <v>13290</v>
      </c>
      <c r="W585" t="s">
        <v>13867</v>
      </c>
      <c r="X585">
        <v>3</v>
      </c>
      <c r="Y585" t="s">
        <v>20456</v>
      </c>
      <c r="Z585" t="s">
        <v>26915</v>
      </c>
      <c r="AA585">
        <v>0.38101427476979782</v>
      </c>
      <c r="AB585" t="str">
        <f>HYPERLINK("Melting_Curves/meltCurve_E9PJ24_PHRF1.pdf", "Melting_Curves/meltCurve_E9PJ24_PHRF1.pdf")</f>
        <v>Melting_Curves/meltCurve_E9PJ24_PHRF1.pdf</v>
      </c>
    </row>
    <row r="586" spans="1:28" x14ac:dyDescent="0.25">
      <c r="A586" t="s">
        <v>590</v>
      </c>
      <c r="B586">
        <v>0.99252571173614901</v>
      </c>
      <c r="C586">
        <v>0.89325344585996103</v>
      </c>
      <c r="D586">
        <v>0.71772125618180704</v>
      </c>
      <c r="E586">
        <v>0.291570320928004</v>
      </c>
      <c r="F586">
        <v>0.27337458053638702</v>
      </c>
      <c r="G586">
        <v>8.9309431409284101E-2</v>
      </c>
      <c r="H586">
        <v>6.0255308681398299E-2</v>
      </c>
      <c r="I586">
        <v>4.5127248503806401E-2</v>
      </c>
      <c r="J586">
        <v>5.2022430450213299E-2</v>
      </c>
      <c r="K586">
        <v>6.1087963263053997E-2</v>
      </c>
      <c r="L586">
        <v>890.29658048142301</v>
      </c>
      <c r="M586">
        <v>18.652776366878101</v>
      </c>
      <c r="N586">
        <v>48.030350983615797</v>
      </c>
      <c r="O586">
        <v>47.191527419111701</v>
      </c>
      <c r="P586">
        <v>-9.3378246840626997E-2</v>
      </c>
      <c r="Q586">
        <v>5.5052592141852999E-2</v>
      </c>
      <c r="R586">
        <v>0.98642658198402999</v>
      </c>
      <c r="S586" t="s">
        <v>7232</v>
      </c>
      <c r="T586" t="s">
        <v>13290</v>
      </c>
      <c r="U586" t="s">
        <v>13290</v>
      </c>
      <c r="V586" t="s">
        <v>13290</v>
      </c>
      <c r="W586" t="s">
        <v>13868</v>
      </c>
      <c r="X586">
        <v>1</v>
      </c>
      <c r="Y586" t="s">
        <v>20457</v>
      </c>
      <c r="Z586" t="s">
        <v>26916</v>
      </c>
      <c r="AA586">
        <v>0.31421624522878849</v>
      </c>
      <c r="AB586" t="str">
        <f>HYPERLINK("Melting_Curves/meltCurve_E9PJ55_TCP11L1.pdf", "Melting_Curves/meltCurve_E9PJ55_TCP11L1.pdf")</f>
        <v>Melting_Curves/meltCurve_E9PJ55_TCP11L1.pdf</v>
      </c>
    </row>
    <row r="587" spans="1:28" x14ac:dyDescent="0.25">
      <c r="A587" t="s">
        <v>591</v>
      </c>
      <c r="B587">
        <v>0.99252571173614901</v>
      </c>
      <c r="C587">
        <v>1.0256405423338</v>
      </c>
      <c r="D587">
        <v>0.811076407119804</v>
      </c>
      <c r="E587">
        <v>0.51741626487061498</v>
      </c>
      <c r="F587">
        <v>0.224586622263478</v>
      </c>
      <c r="G587">
        <v>0.14241462394628901</v>
      </c>
      <c r="H587">
        <v>0.11875100676285801</v>
      </c>
      <c r="I587">
        <v>0.13399717915312701</v>
      </c>
      <c r="J587">
        <v>0.16643971493911699</v>
      </c>
      <c r="K587">
        <v>0.18634692689107299</v>
      </c>
      <c r="L587">
        <v>1229.1646015096901</v>
      </c>
      <c r="M587">
        <v>25.1648429095282</v>
      </c>
      <c r="N587">
        <v>49.504402091715697</v>
      </c>
      <c r="O587">
        <v>48.539203957182998</v>
      </c>
      <c r="P587">
        <v>-0.11114416540126899</v>
      </c>
      <c r="Q587">
        <v>0.142489608794307</v>
      </c>
      <c r="R587">
        <v>0.99272421551263001</v>
      </c>
      <c r="S587" t="s">
        <v>7233</v>
      </c>
      <c r="T587" t="s">
        <v>13290</v>
      </c>
      <c r="U587" t="s">
        <v>13290</v>
      </c>
      <c r="V587" t="s">
        <v>13290</v>
      </c>
      <c r="W587" t="s">
        <v>13869</v>
      </c>
      <c r="X587">
        <v>11</v>
      </c>
      <c r="Y587" t="s">
        <v>20458</v>
      </c>
      <c r="Z587" t="s">
        <v>26917</v>
      </c>
      <c r="AA587">
        <v>0.4027876613625031</v>
      </c>
      <c r="AB587" t="str">
        <f>HYPERLINK("Melting_Curves/meltCurve_E9PJ81_UBXN1.pdf", "Melting_Curves/meltCurve_E9PJ81_UBXN1.pdf")</f>
        <v>Melting_Curves/meltCurve_E9PJ81_UBXN1.pdf</v>
      </c>
    </row>
    <row r="588" spans="1:28" x14ac:dyDescent="0.25">
      <c r="A588" t="s">
        <v>592</v>
      </c>
      <c r="B588">
        <v>0.99252571173614901</v>
      </c>
      <c r="C588">
        <v>1.05961456779158</v>
      </c>
      <c r="D588">
        <v>0.97704950278630698</v>
      </c>
      <c r="E588">
        <v>0.96676167832215798</v>
      </c>
      <c r="F588">
        <v>0.85905990882904304</v>
      </c>
      <c r="G588">
        <v>0.53795047878481195</v>
      </c>
      <c r="H588">
        <v>0.25536741629149601</v>
      </c>
      <c r="I588">
        <v>0.116264636382663</v>
      </c>
      <c r="J588">
        <v>9.9516467086237098E-2</v>
      </c>
      <c r="K588">
        <v>9.1335292561190995E-2</v>
      </c>
      <c r="L588">
        <v>1352.8222818347999</v>
      </c>
      <c r="M588">
        <v>23.776360196246198</v>
      </c>
      <c r="N588">
        <v>57.283076917547497</v>
      </c>
      <c r="O588">
        <v>56.499859280009197</v>
      </c>
      <c r="P588">
        <v>-9.7432834794024897E-2</v>
      </c>
      <c r="Q588">
        <v>7.3894730351478893E-2</v>
      </c>
      <c r="R588">
        <v>0.99689061272982604</v>
      </c>
      <c r="S588" t="s">
        <v>7234</v>
      </c>
      <c r="T588" t="s">
        <v>13290</v>
      </c>
      <c r="U588" t="s">
        <v>13290</v>
      </c>
      <c r="V588" t="s">
        <v>13290</v>
      </c>
      <c r="W588" t="s">
        <v>13870</v>
      </c>
      <c r="X588">
        <v>5</v>
      </c>
      <c r="Y588" t="s">
        <v>20459</v>
      </c>
      <c r="Z588" t="s">
        <v>26918</v>
      </c>
      <c r="AA588">
        <v>0.60456136967619545</v>
      </c>
      <c r="AB588" t="str">
        <f>HYPERLINK("Melting_Curves/meltCurve_E9PJD7_CYHR1.pdf", "Melting_Curves/meltCurve_E9PJD7_CYHR1.pdf")</f>
        <v>Melting_Curves/meltCurve_E9PJD7_CYHR1.pdf</v>
      </c>
    </row>
    <row r="589" spans="1:28" x14ac:dyDescent="0.25">
      <c r="A589" t="s">
        <v>593</v>
      </c>
      <c r="B589">
        <v>0.99252571173614901</v>
      </c>
      <c r="C589">
        <v>0.93880537590659396</v>
      </c>
      <c r="D589">
        <v>0.994588745472608</v>
      </c>
      <c r="E589">
        <v>0.83915494055631201</v>
      </c>
      <c r="F589">
        <v>0.69147680306686898</v>
      </c>
      <c r="G589">
        <v>0.58735788643743403</v>
      </c>
      <c r="H589">
        <v>0.50392179458189801</v>
      </c>
      <c r="I589">
        <v>0.57872545271969</v>
      </c>
      <c r="J589">
        <v>0.94981177297739405</v>
      </c>
      <c r="K589">
        <v>0.60672649613827401</v>
      </c>
      <c r="L589">
        <v>1993.3509527952999</v>
      </c>
      <c r="M589">
        <v>39.980429552189698</v>
      </c>
      <c r="O589">
        <v>49.733918065960196</v>
      </c>
      <c r="P589">
        <v>-7.0786315397393301E-2</v>
      </c>
      <c r="Q589">
        <v>0.64778032324710899</v>
      </c>
      <c r="R589">
        <v>0.62693265687548405</v>
      </c>
      <c r="S589" t="s">
        <v>7235</v>
      </c>
      <c r="T589" t="s">
        <v>13290</v>
      </c>
      <c r="U589" t="s">
        <v>13290</v>
      </c>
      <c r="V589" t="s">
        <v>13290</v>
      </c>
      <c r="W589" t="s">
        <v>13871</v>
      </c>
      <c r="X589">
        <v>3</v>
      </c>
      <c r="Y589" t="s">
        <v>20460</v>
      </c>
      <c r="Z589" t="s">
        <v>26919</v>
      </c>
      <c r="AA589">
        <v>0.76473725610517229</v>
      </c>
      <c r="AB589" t="str">
        <f>HYPERLINK("Melting_Curves/meltCurve_E9PJK1_CD81.pdf", "Melting_Curves/meltCurve_E9PJK1_CD81.pdf")</f>
        <v>Melting_Curves/meltCurve_E9PJK1_CD81.pdf</v>
      </c>
    </row>
    <row r="590" spans="1:28" x14ac:dyDescent="0.25">
      <c r="A590" t="s">
        <v>594</v>
      </c>
      <c r="B590">
        <v>0.99252571173614901</v>
      </c>
      <c r="C590">
        <v>1.01942488067078</v>
      </c>
      <c r="D590">
        <v>0.91597649479404597</v>
      </c>
      <c r="E590">
        <v>0.81924256743803003</v>
      </c>
      <c r="F590">
        <v>0.56950911018000605</v>
      </c>
      <c r="G590">
        <v>0.256055313419498</v>
      </c>
      <c r="H590">
        <v>8.4314659343110596E-2</v>
      </c>
      <c r="I590">
        <v>7.5692040691914195E-2</v>
      </c>
      <c r="J590">
        <v>8.9969730925062594E-2</v>
      </c>
      <c r="K590">
        <v>8.2204201056036499E-2</v>
      </c>
      <c r="L590">
        <v>1094.65075490146</v>
      </c>
      <c r="M590">
        <v>20.527172209251599</v>
      </c>
      <c r="N590">
        <v>53.629124506750003</v>
      </c>
      <c r="O590">
        <v>52.8285502042174</v>
      </c>
      <c r="P590">
        <v>-9.1837656718304295E-2</v>
      </c>
      <c r="Q590">
        <v>5.4617416306508397E-2</v>
      </c>
      <c r="R590">
        <v>0.99549872151346297</v>
      </c>
      <c r="S590" t="s">
        <v>7236</v>
      </c>
      <c r="T590" t="s">
        <v>13290</v>
      </c>
      <c r="U590" t="s">
        <v>13290</v>
      </c>
      <c r="V590" t="s">
        <v>13290</v>
      </c>
      <c r="W590" t="s">
        <v>13872</v>
      </c>
      <c r="X590">
        <v>6</v>
      </c>
      <c r="Y590" t="s">
        <v>20461</v>
      </c>
      <c r="Z590" t="s">
        <v>26920</v>
      </c>
      <c r="AA590">
        <v>0.48698989445983659</v>
      </c>
      <c r="AB590" t="str">
        <f>HYPERLINK("Melting_Curves/meltCurve_E9PJM3_FBXO3.pdf", "Melting_Curves/meltCurve_E9PJM3_FBXO3.pdf")</f>
        <v>Melting_Curves/meltCurve_E9PJM3_FBXO3.pdf</v>
      </c>
    </row>
    <row r="591" spans="1:28" x14ac:dyDescent="0.25">
      <c r="A591" t="s">
        <v>595</v>
      </c>
      <c r="B591">
        <v>0.99252571173614901</v>
      </c>
      <c r="C591">
        <v>0.69852643835428596</v>
      </c>
      <c r="D591">
        <v>0.64585131503933302</v>
      </c>
      <c r="E591">
        <v>0.493992408997045</v>
      </c>
      <c r="F591">
        <v>0.130372439193396</v>
      </c>
      <c r="G591">
        <v>7.1766397384109795E-2</v>
      </c>
      <c r="H591">
        <v>5.4360733054453499E-2</v>
      </c>
      <c r="I591">
        <v>6.6430664406088996E-2</v>
      </c>
      <c r="J591">
        <v>9.6230921166692407E-2</v>
      </c>
      <c r="K591">
        <v>0.11306958733339199</v>
      </c>
      <c r="L591">
        <v>656.78950651543198</v>
      </c>
      <c r="M591">
        <v>13.8606482478259</v>
      </c>
      <c r="N591">
        <v>47.704106545970298</v>
      </c>
      <c r="O591">
        <v>46.4315345401196</v>
      </c>
      <c r="P591">
        <v>-7.1336900599653502E-2</v>
      </c>
      <c r="Q591">
        <v>4.4250850899256199E-2</v>
      </c>
      <c r="R591">
        <v>0.95378758513890904</v>
      </c>
      <c r="S591" t="s">
        <v>7237</v>
      </c>
      <c r="T591" t="s">
        <v>13290</v>
      </c>
      <c r="U591" t="s">
        <v>13290</v>
      </c>
      <c r="V591" t="s">
        <v>13290</v>
      </c>
      <c r="W591" t="s">
        <v>13873</v>
      </c>
      <c r="X591">
        <v>19</v>
      </c>
      <c r="Y591" t="s">
        <v>20462</v>
      </c>
      <c r="Z591" t="s">
        <v>26921</v>
      </c>
      <c r="AA591">
        <v>0.3092503804168179</v>
      </c>
      <c r="AB591" t="str">
        <f>HYPERLINK("Melting_Curves/meltCurve_E9PK01_EEF1D.pdf", "Melting_Curves/meltCurve_E9PK01_EEF1D.pdf")</f>
        <v>Melting_Curves/meltCurve_E9PK01_EEF1D.pdf</v>
      </c>
    </row>
    <row r="592" spans="1:28" x14ac:dyDescent="0.25">
      <c r="A592" t="s">
        <v>596</v>
      </c>
      <c r="B592">
        <v>0.99252571173614901</v>
      </c>
      <c r="C592">
        <v>1.00095852292833</v>
      </c>
      <c r="D592">
        <v>0.47896179615303602</v>
      </c>
      <c r="E592">
        <v>0.25787941518116603</v>
      </c>
      <c r="F592">
        <v>0.1862526562756</v>
      </c>
      <c r="G592">
        <v>0.115704215401096</v>
      </c>
      <c r="H592">
        <v>9.8954524456522794E-2</v>
      </c>
      <c r="I592">
        <v>7.2511524304580702E-2</v>
      </c>
      <c r="J592">
        <v>7.1807894855446502E-2</v>
      </c>
      <c r="K592">
        <v>8.3717645747004604E-2</v>
      </c>
      <c r="L592">
        <v>1554.46999930372</v>
      </c>
      <c r="M592">
        <v>33.914656498804099</v>
      </c>
      <c r="N592">
        <v>46.182329261911299</v>
      </c>
      <c r="O592">
        <v>45.676281226514298</v>
      </c>
      <c r="P592">
        <v>-0.164717793030557</v>
      </c>
      <c r="Q592">
        <v>0.112635518379084</v>
      </c>
      <c r="R592">
        <v>0.980154464216074</v>
      </c>
      <c r="S592" t="s">
        <v>7238</v>
      </c>
      <c r="T592" t="s">
        <v>13290</v>
      </c>
      <c r="U592" t="s">
        <v>13290</v>
      </c>
      <c r="V592" t="s">
        <v>13290</v>
      </c>
      <c r="W592" t="s">
        <v>13874</v>
      </c>
      <c r="X592">
        <v>5</v>
      </c>
      <c r="Y592" t="s">
        <v>20463</v>
      </c>
      <c r="Z592" t="s">
        <v>26922</v>
      </c>
      <c r="AA592">
        <v>0.28935068880755599</v>
      </c>
      <c r="AB592" t="str">
        <f>HYPERLINK("Melting_Curves/meltCurve_E9PK26_SNX15.pdf", "Melting_Curves/meltCurve_E9PK26_SNX15.pdf")</f>
        <v>Melting_Curves/meltCurve_E9PK26_SNX15.pdf</v>
      </c>
    </row>
    <row r="593" spans="1:28" x14ac:dyDescent="0.25">
      <c r="A593" t="s">
        <v>597</v>
      </c>
      <c r="B593">
        <v>0.99252571173614901</v>
      </c>
      <c r="C593">
        <v>0.92746859033423601</v>
      </c>
      <c r="D593">
        <v>0.96267339300110599</v>
      </c>
      <c r="E593">
        <v>0.97190838652218603</v>
      </c>
      <c r="F593">
        <v>0.56279920500453096</v>
      </c>
      <c r="G593">
        <v>0.34085897459154202</v>
      </c>
      <c r="H593">
        <v>0.30518283610326502</v>
      </c>
      <c r="I593">
        <v>0.39926861226836702</v>
      </c>
      <c r="J593">
        <v>0.75854223795959996</v>
      </c>
      <c r="K593">
        <v>0.77588788789572105</v>
      </c>
      <c r="L593">
        <v>3847.8849613726902</v>
      </c>
      <c r="M593">
        <v>74.677014233324996</v>
      </c>
      <c r="O593">
        <v>51.490118046407702</v>
      </c>
      <c r="P593">
        <v>-0.17527234041665399</v>
      </c>
      <c r="Q593">
        <v>0.51659599634959597</v>
      </c>
      <c r="R593">
        <v>0.67520832274529996</v>
      </c>
      <c r="S593" t="s">
        <v>7239</v>
      </c>
      <c r="T593" t="s">
        <v>13290</v>
      </c>
      <c r="U593" t="s">
        <v>13290</v>
      </c>
      <c r="V593" t="s">
        <v>13290</v>
      </c>
      <c r="W593" t="s">
        <v>13875</v>
      </c>
      <c r="X593">
        <v>34</v>
      </c>
      <c r="Y593" t="s">
        <v>20464</v>
      </c>
      <c r="Z593" t="s">
        <v>26923</v>
      </c>
      <c r="AA593">
        <v>0.70282748808716866</v>
      </c>
      <c r="AB593" t="str">
        <f>HYPERLINK("Melting_Curves/meltCurve_E9PK91_BCLAF1.pdf", "Melting_Curves/meltCurve_E9PK91_BCLAF1.pdf")</f>
        <v>Melting_Curves/meltCurve_E9PK91_BCLAF1.pdf</v>
      </c>
    </row>
    <row r="594" spans="1:28" x14ac:dyDescent="0.25">
      <c r="A594" t="s">
        <v>598</v>
      </c>
      <c r="B594">
        <v>0.99252571173614901</v>
      </c>
      <c r="C594">
        <v>0.87966094594094901</v>
      </c>
      <c r="D594">
        <v>0.81636666987385198</v>
      </c>
      <c r="E594">
        <v>0.57972965993355496</v>
      </c>
      <c r="F594">
        <v>0.286162226188928</v>
      </c>
      <c r="G594">
        <v>0.185996413100214</v>
      </c>
      <c r="H594">
        <v>0.14511815847082099</v>
      </c>
      <c r="I594">
        <v>0.156305361177279</v>
      </c>
      <c r="J594">
        <v>0.14524892523581601</v>
      </c>
      <c r="K594">
        <v>0.12063771750899099</v>
      </c>
      <c r="L594">
        <v>860.08172989817899</v>
      </c>
      <c r="M594">
        <v>17.415115153758901</v>
      </c>
      <c r="N594">
        <v>50.181894460151803</v>
      </c>
      <c r="O594">
        <v>48.749688049176697</v>
      </c>
      <c r="P594">
        <v>-7.8548934925816702E-2</v>
      </c>
      <c r="Q594">
        <v>0.120529299901866</v>
      </c>
      <c r="R594">
        <v>0.99357235028685198</v>
      </c>
      <c r="S594" t="s">
        <v>7240</v>
      </c>
      <c r="T594" t="s">
        <v>13290</v>
      </c>
      <c r="U594" t="s">
        <v>13290</v>
      </c>
      <c r="V594" t="s">
        <v>13290</v>
      </c>
      <c r="W594" t="s">
        <v>13876</v>
      </c>
      <c r="X594">
        <v>2</v>
      </c>
      <c r="Y594" t="s">
        <v>20465</v>
      </c>
      <c r="Z594" t="s">
        <v>26924</v>
      </c>
      <c r="AA594">
        <v>0.41185512689263543</v>
      </c>
      <c r="AB594" t="str">
        <f>HYPERLINK("Melting_Curves/meltCurve_E9PKC0_PLEKHA7.pdf", "Melting_Curves/meltCurve_E9PKC0_PLEKHA7.pdf")</f>
        <v>Melting_Curves/meltCurve_E9PKC0_PLEKHA7.pdf</v>
      </c>
    </row>
    <row r="595" spans="1:28" x14ac:dyDescent="0.25">
      <c r="A595" t="s">
        <v>599</v>
      </c>
      <c r="B595">
        <v>0.99252571173614901</v>
      </c>
      <c r="C595">
        <v>1.1603605802230901</v>
      </c>
      <c r="D595">
        <v>1.0265274409483001</v>
      </c>
      <c r="E595">
        <v>2.0007663336994899</v>
      </c>
      <c r="F595">
        <v>1.57214609311718</v>
      </c>
      <c r="G595">
        <v>1.9742617434830201</v>
      </c>
      <c r="H595">
        <v>1.59784173633768</v>
      </c>
      <c r="I595">
        <v>1.3412436031921899</v>
      </c>
      <c r="J595">
        <v>1.6192900277620701</v>
      </c>
      <c r="K595">
        <v>1.2945603043073499</v>
      </c>
      <c r="L595">
        <v>11632.564823725599</v>
      </c>
      <c r="M595">
        <v>250</v>
      </c>
      <c r="O595">
        <v>46.527274770722897</v>
      </c>
      <c r="P595">
        <v>0.67164895317923401</v>
      </c>
      <c r="Q595">
        <v>1.5</v>
      </c>
      <c r="R595">
        <v>0.48077707421937099</v>
      </c>
      <c r="S595" t="s">
        <v>7241</v>
      </c>
      <c r="T595" t="s">
        <v>13290</v>
      </c>
      <c r="U595" t="s">
        <v>13290</v>
      </c>
      <c r="V595" t="s">
        <v>13290</v>
      </c>
      <c r="W595" t="s">
        <v>13877</v>
      </c>
      <c r="X595">
        <v>5</v>
      </c>
      <c r="Y595" t="s">
        <v>20466</v>
      </c>
      <c r="Z595" t="s">
        <v>26925</v>
      </c>
      <c r="AA595">
        <v>1.391121515144514</v>
      </c>
      <c r="AB595" t="str">
        <f>HYPERLINK("Melting_Curves/meltCurve_E9PKF3_ACAT1.pdf", "Melting_Curves/meltCurve_E9PKF3_ACAT1.pdf")</f>
        <v>Melting_Curves/meltCurve_E9PKF3_ACAT1.pdf</v>
      </c>
    </row>
    <row r="596" spans="1:28" x14ac:dyDescent="0.25">
      <c r="A596" t="s">
        <v>600</v>
      </c>
      <c r="B596">
        <v>0.99252571173614901</v>
      </c>
      <c r="C596">
        <v>0.77467903835074303</v>
      </c>
      <c r="D596">
        <v>1.1621894037240601</v>
      </c>
      <c r="E596">
        <v>1.0129311038290201</v>
      </c>
      <c r="F596">
        <v>0.68617940504582997</v>
      </c>
      <c r="G596">
        <v>0.139635131768125</v>
      </c>
      <c r="H596">
        <v>9.1305875192848704E-2</v>
      </c>
      <c r="I596">
        <v>7.6133190831307096E-2</v>
      </c>
      <c r="J596">
        <v>8.12774652287441E-2</v>
      </c>
      <c r="K596">
        <v>7.27468740709937E-2</v>
      </c>
      <c r="L596">
        <v>2884.2458599299498</v>
      </c>
      <c r="M596">
        <v>53.547066476657598</v>
      </c>
      <c r="N596">
        <v>54.041482005541198</v>
      </c>
      <c r="O596">
        <v>53.788783369742802</v>
      </c>
      <c r="P596">
        <v>-0.228781486343069</v>
      </c>
      <c r="Q596">
        <v>8.0743685579198504E-2</v>
      </c>
      <c r="R596">
        <v>0.95877232644544896</v>
      </c>
      <c r="S596" t="s">
        <v>7242</v>
      </c>
      <c r="T596" t="s">
        <v>13290</v>
      </c>
      <c r="U596" t="s">
        <v>13290</v>
      </c>
      <c r="V596" t="s">
        <v>13290</v>
      </c>
      <c r="W596" t="s">
        <v>13878</v>
      </c>
      <c r="X596">
        <v>16</v>
      </c>
      <c r="Y596" t="s">
        <v>20467</v>
      </c>
      <c r="Z596" t="s">
        <v>26926</v>
      </c>
      <c r="AA596">
        <v>0.50745776622379823</v>
      </c>
      <c r="AB596" t="str">
        <f>HYPERLINK("Melting_Curves/meltCurve_E9PKG1_PRMT1.pdf", "Melting_Curves/meltCurve_E9PKG1_PRMT1.pdf")</f>
        <v>Melting_Curves/meltCurve_E9PKG1_PRMT1.pdf</v>
      </c>
    </row>
    <row r="597" spans="1:28" x14ac:dyDescent="0.25">
      <c r="A597" t="s">
        <v>601</v>
      </c>
      <c r="B597">
        <v>0.99252571173614901</v>
      </c>
      <c r="C597">
        <v>0.73035165808678604</v>
      </c>
      <c r="D597">
        <v>0.39223076522125</v>
      </c>
      <c r="E597">
        <v>0.292205917136524</v>
      </c>
      <c r="F597">
        <v>0.16560923721319801</v>
      </c>
      <c r="G597">
        <v>9.9783151675318399E-2</v>
      </c>
      <c r="H597">
        <v>7.9492551329427105E-2</v>
      </c>
      <c r="I597">
        <v>8.3715473478519598E-2</v>
      </c>
      <c r="J597">
        <v>9.6779172524838794E-2</v>
      </c>
      <c r="K597">
        <v>9.9395961808737707E-2</v>
      </c>
      <c r="L597">
        <v>872.67830094850603</v>
      </c>
      <c r="M597">
        <v>19.440301458264901</v>
      </c>
      <c r="N597">
        <v>45.400701877096402</v>
      </c>
      <c r="O597">
        <v>44.423255540284401</v>
      </c>
      <c r="P597">
        <v>-9.8666265778748097E-2</v>
      </c>
      <c r="Q597">
        <v>9.8179184547773801E-2</v>
      </c>
      <c r="R597">
        <v>0.98405580839760998</v>
      </c>
      <c r="S597" t="s">
        <v>7243</v>
      </c>
      <c r="T597" t="s">
        <v>13290</v>
      </c>
      <c r="U597" t="s">
        <v>13290</v>
      </c>
      <c r="V597" t="s">
        <v>13290</v>
      </c>
      <c r="W597" t="s">
        <v>13879</v>
      </c>
      <c r="X597">
        <v>16</v>
      </c>
      <c r="Y597" t="s">
        <v>20468</v>
      </c>
      <c r="Z597" t="s">
        <v>26927</v>
      </c>
      <c r="AA597">
        <v>0.26169656602696478</v>
      </c>
      <c r="AB597" t="str">
        <f>HYPERLINK("Melting_Curves/meltCurve_E9PKP7_UBTF.pdf", "Melting_Curves/meltCurve_E9PKP7_UBTF.pdf")</f>
        <v>Melting_Curves/meltCurve_E9PKP7_UBTF.pdf</v>
      </c>
    </row>
    <row r="598" spans="1:28" x14ac:dyDescent="0.25">
      <c r="A598" t="s">
        <v>602</v>
      </c>
      <c r="B598">
        <v>0.99252571173614901</v>
      </c>
      <c r="C598">
        <v>0.97038194028706604</v>
      </c>
      <c r="D598">
        <v>0.89931189142673995</v>
      </c>
      <c r="E598">
        <v>0.93794254835290403</v>
      </c>
      <c r="F598">
        <v>0.67755191092809197</v>
      </c>
      <c r="G598">
        <v>0.56282804714367096</v>
      </c>
      <c r="H598">
        <v>0.43003740557833697</v>
      </c>
      <c r="I598">
        <v>0.43965371089115102</v>
      </c>
      <c r="J598">
        <v>0.49994212731756499</v>
      </c>
      <c r="K598">
        <v>0.47476840370245599</v>
      </c>
      <c r="L598">
        <v>1289.3862983864201</v>
      </c>
      <c r="M598">
        <v>24.485142078106598</v>
      </c>
      <c r="N598">
        <v>58.592918028740399</v>
      </c>
      <c r="O598">
        <v>52.312454493343097</v>
      </c>
      <c r="P598">
        <v>-6.3410857801387596E-2</v>
      </c>
      <c r="Q598">
        <v>0.45809921021625599</v>
      </c>
      <c r="R598">
        <v>0.96997251434663201</v>
      </c>
      <c r="S598" t="s">
        <v>7244</v>
      </c>
      <c r="T598" t="s">
        <v>13290</v>
      </c>
      <c r="U598" t="s">
        <v>13290</v>
      </c>
      <c r="V598" t="s">
        <v>13290</v>
      </c>
      <c r="W598" t="s">
        <v>13880</v>
      </c>
      <c r="X598">
        <v>2</v>
      </c>
      <c r="Y598" t="s">
        <v>20469</v>
      </c>
      <c r="Z598" t="s">
        <v>26928</v>
      </c>
      <c r="AA598">
        <v>0.69195636748954514</v>
      </c>
      <c r="AB598" t="str">
        <f>HYPERLINK("Melting_Curves/meltCurve_E9PKT4_TMEM123.pdf", "Melting_Curves/meltCurve_E9PKT4_TMEM123.pdf")</f>
        <v>Melting_Curves/meltCurve_E9PKT4_TMEM123.pdf</v>
      </c>
    </row>
    <row r="599" spans="1:28" x14ac:dyDescent="0.25">
      <c r="A599" t="s">
        <v>603</v>
      </c>
      <c r="B599">
        <v>0.99252571173614901</v>
      </c>
      <c r="C599">
        <v>1.1086949556802499</v>
      </c>
      <c r="D599">
        <v>1.07280160802506</v>
      </c>
      <c r="E599">
        <v>0.63774609980226105</v>
      </c>
      <c r="F599">
        <v>0.22194754284732399</v>
      </c>
      <c r="G599">
        <v>0.14347951790653099</v>
      </c>
      <c r="H599">
        <v>0.119407328098043</v>
      </c>
      <c r="I599">
        <v>0.12863372674675699</v>
      </c>
      <c r="J599">
        <v>0.112115323802675</v>
      </c>
      <c r="K599">
        <v>0.115331160012224</v>
      </c>
      <c r="L599">
        <v>2193.91757553054</v>
      </c>
      <c r="M599">
        <v>43.809818743134002</v>
      </c>
      <c r="N599">
        <v>50.417768767583901</v>
      </c>
      <c r="O599">
        <v>49.974211234171698</v>
      </c>
      <c r="P599">
        <v>-0.19116513523058901</v>
      </c>
      <c r="Q599">
        <v>0.12774687911779201</v>
      </c>
      <c r="R599">
        <v>0.98726344568264301</v>
      </c>
      <c r="S599" t="s">
        <v>7245</v>
      </c>
      <c r="T599" t="s">
        <v>13290</v>
      </c>
      <c r="U599" t="s">
        <v>13290</v>
      </c>
      <c r="V599" t="s">
        <v>13290</v>
      </c>
      <c r="W599" t="s">
        <v>13881</v>
      </c>
      <c r="X599">
        <v>5</v>
      </c>
      <c r="Y599" t="s">
        <v>20470</v>
      </c>
      <c r="Z599" t="s">
        <v>26929</v>
      </c>
      <c r="AA599">
        <v>0.42328617121059259</v>
      </c>
      <c r="AB599" t="str">
        <f>HYPERLINK("Melting_Curves/meltCurve_E9PKV2_MRPL17.pdf", "Melting_Curves/meltCurve_E9PKV2_MRPL17.pdf")</f>
        <v>Melting_Curves/meltCurve_E9PKV2_MRPL17.pdf</v>
      </c>
    </row>
    <row r="600" spans="1:28" x14ac:dyDescent="0.25">
      <c r="A600" t="s">
        <v>604</v>
      </c>
      <c r="B600">
        <v>0.99252571173614901</v>
      </c>
      <c r="C600">
        <v>1.1008247465016401</v>
      </c>
      <c r="D600">
        <v>0.93937925016321999</v>
      </c>
      <c r="E600">
        <v>0.56619691558876495</v>
      </c>
      <c r="F600">
        <v>0.159420226315026</v>
      </c>
      <c r="G600">
        <v>6.3013309738519901E-2</v>
      </c>
      <c r="H600">
        <v>4.3739008542306203E-2</v>
      </c>
      <c r="I600">
        <v>4.9820580221889198E-2</v>
      </c>
      <c r="J600">
        <v>7.6862222252860199E-2</v>
      </c>
      <c r="K600">
        <v>8.4892532345134095E-2</v>
      </c>
      <c r="L600">
        <v>1743.5169894097901</v>
      </c>
      <c r="M600">
        <v>34.998335323579198</v>
      </c>
      <c r="N600">
        <v>50.005540820609603</v>
      </c>
      <c r="O600">
        <v>49.655336847357198</v>
      </c>
      <c r="P600">
        <v>-0.16532335279105401</v>
      </c>
      <c r="Q600">
        <v>6.1765912149894499E-2</v>
      </c>
      <c r="R600">
        <v>0.99299508155978899</v>
      </c>
      <c r="S600" t="s">
        <v>7246</v>
      </c>
      <c r="T600" t="s">
        <v>13290</v>
      </c>
      <c r="U600" t="s">
        <v>13290</v>
      </c>
      <c r="V600" t="s">
        <v>13290</v>
      </c>
      <c r="W600" t="s">
        <v>13882</v>
      </c>
      <c r="X600">
        <v>4</v>
      </c>
      <c r="Y600" t="s">
        <v>20471</v>
      </c>
      <c r="Z600" t="s">
        <v>26930</v>
      </c>
      <c r="AA600">
        <v>0.37302595997517229</v>
      </c>
      <c r="AB600" t="str">
        <f>HYPERLINK("Melting_Curves/meltCurve_E9PKV8_TTC9C.pdf", "Melting_Curves/meltCurve_E9PKV8_TTC9C.pdf")</f>
        <v>Melting_Curves/meltCurve_E9PKV8_TTC9C.pdf</v>
      </c>
    </row>
    <row r="601" spans="1:28" x14ac:dyDescent="0.25">
      <c r="A601" t="s">
        <v>605</v>
      </c>
      <c r="B601">
        <v>0.99252571173614901</v>
      </c>
      <c r="C601">
        <v>1.1322151525617501</v>
      </c>
      <c r="D601">
        <v>1.04002531908857</v>
      </c>
      <c r="E601">
        <v>0.99097001544903396</v>
      </c>
      <c r="F601">
        <v>0.89354219612937202</v>
      </c>
      <c r="G601">
        <v>0.79467565771457105</v>
      </c>
      <c r="H601">
        <v>0.90326051928512396</v>
      </c>
      <c r="I601">
        <v>1.3678244741652501</v>
      </c>
      <c r="J601">
        <v>2.2251435853186301</v>
      </c>
      <c r="K601">
        <v>2.4033219804899799</v>
      </c>
      <c r="L601">
        <v>15000</v>
      </c>
      <c r="M601">
        <v>235.39868585074399</v>
      </c>
      <c r="O601">
        <v>63.717085260737903</v>
      </c>
      <c r="P601">
        <v>0.461804510015563</v>
      </c>
      <c r="Q601">
        <v>1.5</v>
      </c>
      <c r="R601">
        <v>0.51485056038822696</v>
      </c>
      <c r="S601" t="s">
        <v>7247</v>
      </c>
      <c r="T601" t="s">
        <v>13290</v>
      </c>
      <c r="U601" t="s">
        <v>13290</v>
      </c>
      <c r="V601" t="s">
        <v>13290</v>
      </c>
      <c r="W601" t="s">
        <v>13883</v>
      </c>
      <c r="X601">
        <v>5</v>
      </c>
      <c r="Y601" t="s">
        <v>20472</v>
      </c>
      <c r="Z601" t="s">
        <v>26931</v>
      </c>
      <c r="AA601">
        <v>1.104575578884933</v>
      </c>
      <c r="AB601" t="str">
        <f>HYPERLINK("Melting_Curves/meltCurve_E9PL10_BTF3L4.pdf", "Melting_Curves/meltCurve_E9PL10_BTF3L4.pdf")</f>
        <v>Melting_Curves/meltCurve_E9PL10_BTF3L4.pdf</v>
      </c>
    </row>
    <row r="602" spans="1:28" x14ac:dyDescent="0.25">
      <c r="A602" t="s">
        <v>606</v>
      </c>
      <c r="B602">
        <v>0.99252571173614901</v>
      </c>
      <c r="C602">
        <v>0.70914009202683204</v>
      </c>
      <c r="D602">
        <v>0.45149079924862601</v>
      </c>
      <c r="E602">
        <v>0.28166604016559699</v>
      </c>
      <c r="F602">
        <v>0.15538723493212001</v>
      </c>
      <c r="G602">
        <v>0.10225196722339699</v>
      </c>
      <c r="H602">
        <v>7.0632120401822707E-2</v>
      </c>
      <c r="I602">
        <v>7.1609289957406702E-2</v>
      </c>
      <c r="J602">
        <v>8.7022522455379697E-2</v>
      </c>
      <c r="K602">
        <v>9.1393504630856701E-2</v>
      </c>
      <c r="L602">
        <v>796.44374792254905</v>
      </c>
      <c r="M602">
        <v>17.610773609798802</v>
      </c>
      <c r="N602">
        <v>45.686900591352902</v>
      </c>
      <c r="O602">
        <v>44.653753905837299</v>
      </c>
      <c r="P602">
        <v>-9.0557322996884307E-2</v>
      </c>
      <c r="Q602">
        <v>8.1583343882668205E-2</v>
      </c>
      <c r="R602">
        <v>0.98914411125110502</v>
      </c>
      <c r="S602" t="s">
        <v>7248</v>
      </c>
      <c r="T602" t="s">
        <v>13290</v>
      </c>
      <c r="U602" t="s">
        <v>13290</v>
      </c>
      <c r="V602" t="s">
        <v>13290</v>
      </c>
      <c r="W602" t="s">
        <v>13884</v>
      </c>
      <c r="X602">
        <v>4</v>
      </c>
      <c r="Y602" t="s">
        <v>20473</v>
      </c>
      <c r="Z602" t="s">
        <v>26932</v>
      </c>
      <c r="AA602">
        <v>0.26184316728710377</v>
      </c>
      <c r="AB602" t="str">
        <f>HYPERLINK("Melting_Curves/meltCurve_E9PL17_CLP1.pdf", "Melting_Curves/meltCurve_E9PL17_CLP1.pdf")</f>
        <v>Melting_Curves/meltCurve_E9PL17_CLP1.pdf</v>
      </c>
    </row>
    <row r="603" spans="1:28" x14ac:dyDescent="0.25">
      <c r="A603" t="s">
        <v>607</v>
      </c>
      <c r="B603">
        <v>0.99252571173614901</v>
      </c>
      <c r="C603">
        <v>0.90201449824975299</v>
      </c>
      <c r="D603">
        <v>0.92486348599148704</v>
      </c>
      <c r="E603">
        <v>0.79457687361889395</v>
      </c>
      <c r="F603">
        <v>0.49292147753035398</v>
      </c>
      <c r="G603">
        <v>0.25289634275182099</v>
      </c>
      <c r="H603">
        <v>9.1926499762698996E-2</v>
      </c>
      <c r="I603">
        <v>9.3187925849679207E-2</v>
      </c>
      <c r="J603">
        <v>0.164149477096841</v>
      </c>
      <c r="K603">
        <v>0.144703697913207</v>
      </c>
      <c r="L603">
        <v>1101.2071676482999</v>
      </c>
      <c r="M603">
        <v>21.041742802081099</v>
      </c>
      <c r="N603">
        <v>52.9433721587422</v>
      </c>
      <c r="O603">
        <v>51.8686105338247</v>
      </c>
      <c r="P603">
        <v>-9.0520423341732895E-2</v>
      </c>
      <c r="Q603">
        <v>0.10748028439582601</v>
      </c>
      <c r="R603">
        <v>0.98671056757262998</v>
      </c>
      <c r="S603" t="s">
        <v>7249</v>
      </c>
      <c r="T603" t="s">
        <v>13290</v>
      </c>
      <c r="U603" t="s">
        <v>13290</v>
      </c>
      <c r="V603" t="s">
        <v>13290</v>
      </c>
      <c r="W603" t="s">
        <v>13885</v>
      </c>
      <c r="X603">
        <v>2</v>
      </c>
      <c r="Y603" t="s">
        <v>20474</v>
      </c>
      <c r="Z603" t="s">
        <v>26933</v>
      </c>
      <c r="AA603">
        <v>0.48570061572412498</v>
      </c>
      <c r="AB603" t="str">
        <f>HYPERLINK("Melting_Curves/meltCurve_E9PL33_EI24.pdf", "Melting_Curves/meltCurve_E9PL33_EI24.pdf")</f>
        <v>Melting_Curves/meltCurve_E9PL33_EI24.pdf</v>
      </c>
    </row>
    <row r="604" spans="1:28" x14ac:dyDescent="0.25">
      <c r="A604" t="s">
        <v>608</v>
      </c>
      <c r="B604">
        <v>0.99252571173614901</v>
      </c>
      <c r="C604">
        <v>1.08720451562564</v>
      </c>
      <c r="D604">
        <v>0.94220745068656098</v>
      </c>
      <c r="E604">
        <v>0.79243679899892605</v>
      </c>
      <c r="F604">
        <v>0.64285983837398197</v>
      </c>
      <c r="G604">
        <v>0.431216137059381</v>
      </c>
      <c r="H604">
        <v>0.346799774330662</v>
      </c>
      <c r="I604">
        <v>0.34896819882964297</v>
      </c>
      <c r="J604">
        <v>0.36465175571254399</v>
      </c>
      <c r="K604">
        <v>0.33683391632347398</v>
      </c>
      <c r="L604">
        <v>1020.13243001846</v>
      </c>
      <c r="M604">
        <v>19.539236652931798</v>
      </c>
      <c r="N604">
        <v>55.300485494909701</v>
      </c>
      <c r="O604">
        <v>51.6717860457413</v>
      </c>
      <c r="P604">
        <v>-6.3127723408037004E-2</v>
      </c>
      <c r="Q604">
        <v>0.33225521551043202</v>
      </c>
      <c r="R604">
        <v>0.98372092923096899</v>
      </c>
      <c r="S604" t="s">
        <v>7250</v>
      </c>
      <c r="T604" t="s">
        <v>13290</v>
      </c>
      <c r="U604" t="s">
        <v>13290</v>
      </c>
      <c r="V604" t="s">
        <v>13290</v>
      </c>
      <c r="W604" t="s">
        <v>13886</v>
      </c>
      <c r="X604">
        <v>11</v>
      </c>
      <c r="Y604" t="s">
        <v>20475</v>
      </c>
      <c r="Z604" t="s">
        <v>26934</v>
      </c>
      <c r="AA604">
        <v>0.61363451052643514</v>
      </c>
      <c r="AB604" t="str">
        <f>HYPERLINK("Melting_Curves/meltCurve_E9PL57_NEDD8_MDP1.pdf", "Melting_Curves/meltCurve_E9PL57_NEDD8_MDP1.pdf")</f>
        <v>Melting_Curves/meltCurve_E9PL57_NEDD8_MDP1.pdf</v>
      </c>
    </row>
    <row r="605" spans="1:28" x14ac:dyDescent="0.25">
      <c r="A605" t="s">
        <v>609</v>
      </c>
      <c r="B605">
        <v>0.99252571173614901</v>
      </c>
      <c r="C605">
        <v>1.0049990802861799</v>
      </c>
      <c r="D605">
        <v>0.95292600871529198</v>
      </c>
      <c r="E605">
        <v>0.84195654284624599</v>
      </c>
      <c r="F605">
        <v>0.69220999919110104</v>
      </c>
      <c r="G605">
        <v>0.49593300871305901</v>
      </c>
      <c r="H605">
        <v>0.277634679085557</v>
      </c>
      <c r="I605">
        <v>0.116386148937525</v>
      </c>
      <c r="J605">
        <v>9.1957247751615401E-2</v>
      </c>
      <c r="K605">
        <v>8.9334580374202305E-2</v>
      </c>
      <c r="L605">
        <v>774.46201154177504</v>
      </c>
      <c r="M605">
        <v>13.746898491596401</v>
      </c>
      <c r="N605">
        <v>56.337216311163601</v>
      </c>
      <c r="O605">
        <v>55.1852003667262</v>
      </c>
      <c r="P605">
        <v>-6.2285072706362701E-2</v>
      </c>
      <c r="Q605">
        <v>0</v>
      </c>
      <c r="R605">
        <v>0.99677713501107101</v>
      </c>
      <c r="S605" t="s">
        <v>7251</v>
      </c>
      <c r="T605" t="s">
        <v>13290</v>
      </c>
      <c r="U605" t="s">
        <v>13290</v>
      </c>
      <c r="V605" t="s">
        <v>13290</v>
      </c>
      <c r="W605" t="s">
        <v>13535</v>
      </c>
      <c r="X605">
        <v>51</v>
      </c>
      <c r="Y605" t="s">
        <v>20122</v>
      </c>
      <c r="Z605" t="s">
        <v>26935</v>
      </c>
      <c r="AA605">
        <v>0.56274655645207416</v>
      </c>
      <c r="AB605" t="str">
        <f>HYPERLINK("Melting_Curves/meltCurve_E9PLK3_NPEPPS.pdf", "Melting_Curves/meltCurve_E9PLK3_NPEPPS.pdf")</f>
        <v>Melting_Curves/meltCurve_E9PLK3_NPEPPS.pdf</v>
      </c>
    </row>
    <row r="606" spans="1:28" x14ac:dyDescent="0.25">
      <c r="A606" t="s">
        <v>610</v>
      </c>
      <c r="B606">
        <v>0.99252571173614901</v>
      </c>
      <c r="C606">
        <v>1.1204821874397599</v>
      </c>
      <c r="D606">
        <v>1.1098362174793901</v>
      </c>
      <c r="E606">
        <v>0.95951272207998906</v>
      </c>
      <c r="F606">
        <v>0.40565719283408003</v>
      </c>
      <c r="G606">
        <v>0.150563329042949</v>
      </c>
      <c r="H606">
        <v>7.6230840394066607E-2</v>
      </c>
      <c r="I606">
        <v>8.6552442173705599E-2</v>
      </c>
      <c r="J606">
        <v>9.8008834866365802E-2</v>
      </c>
      <c r="K606">
        <v>8.9343430488808995E-2</v>
      </c>
      <c r="L606">
        <v>2556.0853877835102</v>
      </c>
      <c r="M606">
        <v>48.665791885320203</v>
      </c>
      <c r="N606">
        <v>52.7504101704831</v>
      </c>
      <c r="O606">
        <v>52.434787942528303</v>
      </c>
      <c r="P606">
        <v>-0.21009466368480001</v>
      </c>
      <c r="Q606">
        <v>9.4537815313105594E-2</v>
      </c>
      <c r="R606">
        <v>0.98588130404933705</v>
      </c>
      <c r="S606" t="s">
        <v>7252</v>
      </c>
      <c r="T606" t="s">
        <v>13290</v>
      </c>
      <c r="U606" t="s">
        <v>13290</v>
      </c>
      <c r="V606" t="s">
        <v>13290</v>
      </c>
      <c r="W606" t="s">
        <v>13887</v>
      </c>
      <c r="X606">
        <v>8</v>
      </c>
      <c r="Y606" t="s">
        <v>20476</v>
      </c>
      <c r="Z606" t="s">
        <v>26936</v>
      </c>
      <c r="AA606">
        <v>0.47473012908465467</v>
      </c>
      <c r="AB606" t="str">
        <f>HYPERLINK("Melting_Curves/meltCurve_E9PLL6_RPL27A.pdf", "Melting_Curves/meltCurve_E9PLL6_RPL27A.pdf")</f>
        <v>Melting_Curves/meltCurve_E9PLL6_RPL27A.pdf</v>
      </c>
    </row>
    <row r="607" spans="1:28" x14ac:dyDescent="0.25">
      <c r="A607" t="s">
        <v>611</v>
      </c>
      <c r="B607">
        <v>0.99252571173614901</v>
      </c>
      <c r="C607">
        <v>0.89849576119184205</v>
      </c>
      <c r="D607">
        <v>0.58861798169888502</v>
      </c>
      <c r="E607">
        <v>0.17801370074558401</v>
      </c>
      <c r="F607">
        <v>0.18499842850398801</v>
      </c>
      <c r="G607">
        <v>7.7851386195568598E-2</v>
      </c>
      <c r="H607">
        <v>6.2486001429203498E-2</v>
      </c>
      <c r="I607">
        <v>6.6386180692788302E-2</v>
      </c>
      <c r="J607">
        <v>7.7487605345892094E-2</v>
      </c>
      <c r="K607">
        <v>6.39379448445037E-2</v>
      </c>
      <c r="L607">
        <v>1238.0254724076401</v>
      </c>
      <c r="M607">
        <v>26.735461494607101</v>
      </c>
      <c r="N607">
        <v>46.602641894260003</v>
      </c>
      <c r="O607">
        <v>46.049749471981499</v>
      </c>
      <c r="P607">
        <v>-0.13380695812495799</v>
      </c>
      <c r="Q607">
        <v>7.8121254774215498E-2</v>
      </c>
      <c r="R607">
        <v>0.99324844685008395</v>
      </c>
      <c r="S607" t="s">
        <v>7253</v>
      </c>
      <c r="T607" t="s">
        <v>13290</v>
      </c>
      <c r="U607" t="s">
        <v>13290</v>
      </c>
      <c r="V607" t="s">
        <v>13290</v>
      </c>
      <c r="W607" t="s">
        <v>13512</v>
      </c>
      <c r="X607">
        <v>26</v>
      </c>
      <c r="Y607" t="s">
        <v>20477</v>
      </c>
      <c r="Z607" t="s">
        <v>26937</v>
      </c>
      <c r="AA607">
        <v>0.2791288153052956</v>
      </c>
      <c r="AB607" t="str">
        <f>HYPERLINK("Melting_Curves/meltCurve_E9PM46_USP47.pdf", "Melting_Curves/meltCurve_E9PM46_USP47.pdf")</f>
        <v>Melting_Curves/meltCurve_E9PM46_USP47.pdf</v>
      </c>
    </row>
    <row r="608" spans="1:28" x14ac:dyDescent="0.25">
      <c r="A608" t="s">
        <v>612</v>
      </c>
      <c r="B608">
        <v>0.99252571173614901</v>
      </c>
      <c r="C608">
        <v>1.1069463618192199</v>
      </c>
      <c r="D608">
        <v>0.97343402424884895</v>
      </c>
      <c r="E608">
        <v>1.0161444074692001</v>
      </c>
      <c r="F608">
        <v>0.93404324773603498</v>
      </c>
      <c r="G608">
        <v>0.87350610343505797</v>
      </c>
      <c r="H608">
        <v>0.92304085650685097</v>
      </c>
      <c r="I608">
        <v>1.2520300236212301</v>
      </c>
      <c r="J608">
        <v>1.8305542596390501</v>
      </c>
      <c r="K608">
        <v>1.8865251410352</v>
      </c>
      <c r="L608">
        <v>15000</v>
      </c>
      <c r="M608">
        <v>234.39143598388699</v>
      </c>
      <c r="O608">
        <v>63.990872963559099</v>
      </c>
      <c r="P608">
        <v>0.45786120912499301</v>
      </c>
      <c r="Q608">
        <v>1.5</v>
      </c>
      <c r="R608">
        <v>0.76359355090016601</v>
      </c>
      <c r="S608" t="s">
        <v>7254</v>
      </c>
      <c r="T608" t="s">
        <v>13290</v>
      </c>
      <c r="U608" t="s">
        <v>13290</v>
      </c>
      <c r="V608" t="s">
        <v>13290</v>
      </c>
      <c r="W608" t="s">
        <v>13888</v>
      </c>
      <c r="X608">
        <v>8</v>
      </c>
      <c r="Y608" t="s">
        <v>20478</v>
      </c>
      <c r="Z608" t="s">
        <v>26938</v>
      </c>
      <c r="AA608">
        <v>1.100010911216003</v>
      </c>
      <c r="AB608" t="str">
        <f>HYPERLINK("Melting_Curves/meltCurve_E9PM92_C11orf58.pdf", "Melting_Curves/meltCurve_E9PM92_C11orf58.pdf")</f>
        <v>Melting_Curves/meltCurve_E9PM92_C11orf58.pdf</v>
      </c>
    </row>
    <row r="609" spans="1:28" x14ac:dyDescent="0.25">
      <c r="A609" t="s">
        <v>613</v>
      </c>
      <c r="B609">
        <v>0.99252571173614901</v>
      </c>
      <c r="C609">
        <v>0.94170296910135998</v>
      </c>
      <c r="D609">
        <v>0.96363178805336003</v>
      </c>
      <c r="E609">
        <v>0.76350434381414101</v>
      </c>
      <c r="F609">
        <v>0.44824265377335698</v>
      </c>
      <c r="G609">
        <v>0.29261460934967298</v>
      </c>
      <c r="H609">
        <v>0.218852134854474</v>
      </c>
      <c r="I609">
        <v>0.17902278859882001</v>
      </c>
      <c r="J609">
        <v>0.20851593990863401</v>
      </c>
      <c r="K609">
        <v>0.19406797506618401</v>
      </c>
      <c r="L609">
        <v>1155.9236457074701</v>
      </c>
      <c r="M609">
        <v>22.438979566630799</v>
      </c>
      <c r="N609">
        <v>52.644277942404301</v>
      </c>
      <c r="O609">
        <v>51.110199896144501</v>
      </c>
      <c r="P609">
        <v>-8.8780169628616706E-2</v>
      </c>
      <c r="Q609">
        <v>0.191143716154517</v>
      </c>
      <c r="R609">
        <v>0.99677718989508901</v>
      </c>
      <c r="S609" t="s">
        <v>7255</v>
      </c>
      <c r="T609" t="s">
        <v>13290</v>
      </c>
      <c r="U609" t="s">
        <v>13290</v>
      </c>
      <c r="V609" t="s">
        <v>13290</v>
      </c>
      <c r="W609" t="s">
        <v>13889</v>
      </c>
      <c r="X609">
        <v>3</v>
      </c>
      <c r="Y609" t="s">
        <v>20479</v>
      </c>
      <c r="Z609" t="s">
        <v>26939</v>
      </c>
      <c r="AA609">
        <v>0.51063083161481748</v>
      </c>
      <c r="AB609" t="str">
        <f>HYPERLINK("Melting_Curves/meltCurve_E9PMH5_BIRC2.pdf", "Melting_Curves/meltCurve_E9PMH5_BIRC2.pdf")</f>
        <v>Melting_Curves/meltCurve_E9PMH5_BIRC2.pdf</v>
      </c>
    </row>
    <row r="610" spans="1:28" x14ac:dyDescent="0.25">
      <c r="A610" t="s">
        <v>614</v>
      </c>
      <c r="B610">
        <v>0.99252571173614901</v>
      </c>
      <c r="C610">
        <v>1.0222024654149999</v>
      </c>
      <c r="D610">
        <v>0.85706962164998901</v>
      </c>
      <c r="E610">
        <v>0.63492151926011497</v>
      </c>
      <c r="F610">
        <v>0.29933576072145202</v>
      </c>
      <c r="G610">
        <v>0.140236014430625</v>
      </c>
      <c r="H610">
        <v>0.10653904648876</v>
      </c>
      <c r="I610">
        <v>0.103853772055087</v>
      </c>
      <c r="J610">
        <v>0.116489109984752</v>
      </c>
      <c r="K610">
        <v>0.147659260464583</v>
      </c>
      <c r="L610">
        <v>1154.04044115385</v>
      </c>
      <c r="M610">
        <v>22.997546135129902</v>
      </c>
      <c r="N610">
        <v>50.717021253482301</v>
      </c>
      <c r="O610">
        <v>49.806218208572702</v>
      </c>
      <c r="P610">
        <v>-0.102983801282025</v>
      </c>
      <c r="Q610">
        <v>0.107880869842871</v>
      </c>
      <c r="R610">
        <v>0.99521828259036504</v>
      </c>
      <c r="S610" t="s">
        <v>7256</v>
      </c>
      <c r="T610" t="s">
        <v>13290</v>
      </c>
      <c r="U610" t="s">
        <v>13290</v>
      </c>
      <c r="V610" t="s">
        <v>13290</v>
      </c>
      <c r="W610" t="s">
        <v>13890</v>
      </c>
      <c r="X610">
        <v>5</v>
      </c>
      <c r="Y610" t="s">
        <v>20480</v>
      </c>
      <c r="Z610" t="s">
        <v>26940</v>
      </c>
      <c r="AA610">
        <v>0.42007287062921328</v>
      </c>
      <c r="AB610" t="str">
        <f>HYPERLINK("Melting_Curves/meltCurve_E9PMI6_CLNS1A.pdf", "Melting_Curves/meltCurve_E9PMI6_CLNS1A.pdf")</f>
        <v>Melting_Curves/meltCurve_E9PMI6_CLNS1A.pdf</v>
      </c>
    </row>
    <row r="611" spans="1:28" x14ac:dyDescent="0.25">
      <c r="A611" t="s">
        <v>615</v>
      </c>
      <c r="B611">
        <v>0.99252571173614901</v>
      </c>
      <c r="C611">
        <v>1.0014055684124299</v>
      </c>
      <c r="D611">
        <v>0.29459301650974301</v>
      </c>
      <c r="E611">
        <v>0.39036129312889201</v>
      </c>
      <c r="F611">
        <v>0.26220605070708902</v>
      </c>
      <c r="G611">
        <v>0.15389931674817101</v>
      </c>
      <c r="H611">
        <v>0.100784782952444</v>
      </c>
      <c r="I611">
        <v>9.3585512422490594E-2</v>
      </c>
      <c r="J611">
        <v>7.6994435104031006E-2</v>
      </c>
      <c r="K611">
        <v>6.7981581639534994E-2</v>
      </c>
      <c r="L611">
        <v>4152.6286697180203</v>
      </c>
      <c r="M611">
        <v>91.949488469309401</v>
      </c>
      <c r="N611">
        <v>45.357476665844104</v>
      </c>
      <c r="O611">
        <v>45.140707998233097</v>
      </c>
      <c r="P611">
        <v>-0.425954560312646</v>
      </c>
      <c r="Q611">
        <v>0.16354546761223199</v>
      </c>
      <c r="R611">
        <v>0.92582704485895495</v>
      </c>
      <c r="S611" t="s">
        <v>7257</v>
      </c>
      <c r="T611" t="s">
        <v>13290</v>
      </c>
      <c r="U611" t="s">
        <v>13290</v>
      </c>
      <c r="V611" t="s">
        <v>13290</v>
      </c>
      <c r="W611" t="s">
        <v>13891</v>
      </c>
      <c r="X611">
        <v>9</v>
      </c>
      <c r="Y611" t="s">
        <v>20481</v>
      </c>
      <c r="Z611" t="s">
        <v>26941</v>
      </c>
      <c r="AA611">
        <v>0.30796404490265289</v>
      </c>
      <c r="AB611" t="str">
        <f>HYPERLINK("Melting_Curves/meltCurve_E9PMJ2_FAM118B.pdf", "Melting_Curves/meltCurve_E9PMJ2_FAM118B.pdf")</f>
        <v>Melting_Curves/meltCurve_E9PMJ2_FAM118B.pdf</v>
      </c>
    </row>
    <row r="612" spans="1:28" x14ac:dyDescent="0.25">
      <c r="A612" t="s">
        <v>616</v>
      </c>
      <c r="B612">
        <v>0.99252571173614901</v>
      </c>
      <c r="C612">
        <v>0.91768193179203095</v>
      </c>
      <c r="D612">
        <v>0.80173928277689499</v>
      </c>
      <c r="E612">
        <v>0.65613991879379696</v>
      </c>
      <c r="F612">
        <v>0.41925480681772198</v>
      </c>
      <c r="G612">
        <v>0.333489885201881</v>
      </c>
      <c r="H612">
        <v>0.29839672462393002</v>
      </c>
      <c r="I612">
        <v>0.377761061827183</v>
      </c>
      <c r="J612">
        <v>0.49291509335808598</v>
      </c>
      <c r="K612">
        <v>0.41803952487252899</v>
      </c>
      <c r="L612">
        <v>982.65996262038095</v>
      </c>
      <c r="M612">
        <v>20.4349890135571</v>
      </c>
      <c r="N612">
        <v>51.627721642648403</v>
      </c>
      <c r="O612">
        <v>47.633709479840803</v>
      </c>
      <c r="P612">
        <v>-6.6832430769151796E-2</v>
      </c>
      <c r="Q612">
        <v>0.37687600132012999</v>
      </c>
      <c r="R612">
        <v>0.94189352904131396</v>
      </c>
      <c r="S612" t="s">
        <v>7258</v>
      </c>
      <c r="T612" t="s">
        <v>13290</v>
      </c>
      <c r="U612" t="s">
        <v>13290</v>
      </c>
      <c r="V612" t="s">
        <v>13290</v>
      </c>
      <c r="W612" t="s">
        <v>13892</v>
      </c>
      <c r="X612">
        <v>6</v>
      </c>
      <c r="Y612" t="s">
        <v>20482</v>
      </c>
      <c r="Z612" t="s">
        <v>26942</v>
      </c>
      <c r="AA612">
        <v>0.55329893211854697</v>
      </c>
      <c r="AB612" t="str">
        <f>HYPERLINK("Melting_Curves/meltCurve_E9PML6_ATG13.pdf", "Melting_Curves/meltCurve_E9PML6_ATG13.pdf")</f>
        <v>Melting_Curves/meltCurve_E9PML6_ATG13.pdf</v>
      </c>
    </row>
    <row r="613" spans="1:28" x14ac:dyDescent="0.25">
      <c r="A613" t="s">
        <v>617</v>
      </c>
      <c r="B613">
        <v>0.99252571173614901</v>
      </c>
      <c r="C613">
        <v>0.99087265140313496</v>
      </c>
      <c r="D613">
        <v>0.92012872494565001</v>
      </c>
      <c r="E613">
        <v>0.88143712248494399</v>
      </c>
      <c r="F613">
        <v>0.78556839515298005</v>
      </c>
      <c r="G613">
        <v>0.56997998709840902</v>
      </c>
      <c r="H613">
        <v>0.49384833259769501</v>
      </c>
      <c r="I613">
        <v>0.65138626934738997</v>
      </c>
      <c r="J613">
        <v>0.97109382836333802</v>
      </c>
      <c r="K613">
        <v>0.80460697342396303</v>
      </c>
      <c r="L613">
        <v>1467.61168091679</v>
      </c>
      <c r="M613">
        <v>29.417808220077099</v>
      </c>
      <c r="O613">
        <v>49.659707147963999</v>
      </c>
      <c r="P613">
        <v>-4.3739787300952002E-2</v>
      </c>
      <c r="Q613">
        <v>0.70465642549016505</v>
      </c>
      <c r="R613">
        <v>0.47179113013176699</v>
      </c>
      <c r="S613" t="s">
        <v>7259</v>
      </c>
      <c r="T613" t="s">
        <v>13290</v>
      </c>
      <c r="U613" t="s">
        <v>13290</v>
      </c>
      <c r="V613" t="s">
        <v>13290</v>
      </c>
      <c r="W613" t="s">
        <v>13893</v>
      </c>
      <c r="X613">
        <v>3</v>
      </c>
      <c r="Y613" t="s">
        <v>20483</v>
      </c>
      <c r="Z613" t="s">
        <v>26943</v>
      </c>
      <c r="AA613">
        <v>0.80390436556891831</v>
      </c>
      <c r="AB613" t="str">
        <f>HYPERLINK("Melting_Curves/meltCurve_E9PMR4_CD151.pdf", "Melting_Curves/meltCurve_E9PMR4_CD151.pdf")</f>
        <v>Melting_Curves/meltCurve_E9PMR4_CD151.pdf</v>
      </c>
    </row>
    <row r="614" spans="1:28" x14ac:dyDescent="0.25">
      <c r="A614" t="s">
        <v>618</v>
      </c>
      <c r="B614">
        <v>0.99252571173614901</v>
      </c>
      <c r="C614">
        <v>0.82069218609950201</v>
      </c>
      <c r="D614">
        <v>0.47719757142790697</v>
      </c>
      <c r="E614">
        <v>0.14931313878140201</v>
      </c>
      <c r="F614">
        <v>0.105076517902089</v>
      </c>
      <c r="G614">
        <v>8.5888399347503197E-2</v>
      </c>
      <c r="H614">
        <v>0.105428098289285</v>
      </c>
      <c r="I614">
        <v>9.3346825140531997E-2</v>
      </c>
      <c r="J614">
        <v>0.13405506084048899</v>
      </c>
      <c r="K614">
        <v>0.175057692195904</v>
      </c>
      <c r="L614">
        <v>1284.9843096357499</v>
      </c>
      <c r="M614">
        <v>28.400946201727301</v>
      </c>
      <c r="N614">
        <v>45.648070256421597</v>
      </c>
      <c r="O614">
        <v>45.021865180073902</v>
      </c>
      <c r="P614">
        <v>-0.14019520823332399</v>
      </c>
      <c r="Q614">
        <v>0.11104342989683801</v>
      </c>
      <c r="R614">
        <v>0.99180687872672901</v>
      </c>
      <c r="S614" t="s">
        <v>7260</v>
      </c>
      <c r="T614" t="s">
        <v>13290</v>
      </c>
      <c r="U614" t="s">
        <v>13290</v>
      </c>
      <c r="V614" t="s">
        <v>13290</v>
      </c>
      <c r="W614" t="s">
        <v>13894</v>
      </c>
      <c r="X614">
        <v>4</v>
      </c>
      <c r="Y614" t="s">
        <v>20484</v>
      </c>
      <c r="Z614" t="s">
        <v>26944</v>
      </c>
      <c r="AA614">
        <v>0.27283534942863158</v>
      </c>
      <c r="AB614" t="str">
        <f>HYPERLINK("Melting_Curves/meltCurve_E9PMR6_ARHGEF12.pdf", "Melting_Curves/meltCurve_E9PMR6_ARHGEF12.pdf")</f>
        <v>Melting_Curves/meltCurve_E9PMR6_ARHGEF12.pdf</v>
      </c>
    </row>
    <row r="615" spans="1:28" x14ac:dyDescent="0.25">
      <c r="A615" t="s">
        <v>619</v>
      </c>
      <c r="B615">
        <v>0.99252571173614901</v>
      </c>
      <c r="C615">
        <v>1.13808304674317</v>
      </c>
      <c r="D615">
        <v>0.91077354715927095</v>
      </c>
      <c r="E615">
        <v>0.85295266172446704</v>
      </c>
      <c r="F615">
        <v>0.87532546201577</v>
      </c>
      <c r="G615">
        <v>0.64519463631739704</v>
      </c>
      <c r="H615">
        <v>0.52859471886103804</v>
      </c>
      <c r="I615">
        <v>0.540052304092281</v>
      </c>
      <c r="J615">
        <v>0.199873715108874</v>
      </c>
      <c r="K615">
        <v>0.16293221053787499</v>
      </c>
      <c r="L615">
        <v>647.79756025707604</v>
      </c>
      <c r="M615">
        <v>10.563356047304101</v>
      </c>
      <c r="N615">
        <v>61.324976409368404</v>
      </c>
      <c r="O615">
        <v>59.249561799859002</v>
      </c>
      <c r="P615">
        <v>-4.4589024776334203E-2</v>
      </c>
      <c r="Q615">
        <v>0</v>
      </c>
      <c r="R615">
        <v>0.93028986263930302</v>
      </c>
      <c r="S615" t="s">
        <v>7261</v>
      </c>
      <c r="T615" t="s">
        <v>13290</v>
      </c>
      <c r="U615" t="s">
        <v>13290</v>
      </c>
      <c r="V615" t="s">
        <v>13290</v>
      </c>
      <c r="W615" t="s">
        <v>13895</v>
      </c>
      <c r="X615">
        <v>1</v>
      </c>
      <c r="Y615" t="s">
        <v>20485</v>
      </c>
      <c r="Z615" t="s">
        <v>26945</v>
      </c>
      <c r="AA615">
        <v>0.69873022877148172</v>
      </c>
      <c r="AB615" t="str">
        <f>HYPERLINK("Melting_Curves/meltCurve_E9PMS5_KCTD21.pdf", "Melting_Curves/meltCurve_E9PMS5_KCTD21.pdf")</f>
        <v>Melting_Curves/meltCurve_E9PMS5_KCTD21.pdf</v>
      </c>
    </row>
    <row r="616" spans="1:28" x14ac:dyDescent="0.25">
      <c r="A616" t="s">
        <v>620</v>
      </c>
      <c r="B616">
        <v>0.99252571173614901</v>
      </c>
      <c r="C616">
        <v>0.94981866571576701</v>
      </c>
      <c r="D616">
        <v>0.89727509024893304</v>
      </c>
      <c r="E616">
        <v>0.69348653978309605</v>
      </c>
      <c r="F616">
        <v>0.35567577060300298</v>
      </c>
      <c r="G616">
        <v>0.260113978774765</v>
      </c>
      <c r="H616">
        <v>0.271482603748679</v>
      </c>
      <c r="I616">
        <v>0.36293953608845497</v>
      </c>
      <c r="J616">
        <v>0.55961489753051197</v>
      </c>
      <c r="K616">
        <v>0.59994376576056296</v>
      </c>
      <c r="L616">
        <v>2167.8712913690701</v>
      </c>
      <c r="M616">
        <v>43.915329104808201</v>
      </c>
      <c r="N616">
        <v>51.237103996599899</v>
      </c>
      <c r="O616">
        <v>49.262762070009003</v>
      </c>
      <c r="P616">
        <v>-0.13382198499005801</v>
      </c>
      <c r="Q616">
        <v>0.39953256940045601</v>
      </c>
      <c r="R616">
        <v>0.83532032850083104</v>
      </c>
      <c r="S616" t="s">
        <v>7262</v>
      </c>
      <c r="T616" t="s">
        <v>13290</v>
      </c>
      <c r="U616" t="s">
        <v>13290</v>
      </c>
      <c r="V616" t="s">
        <v>13290</v>
      </c>
      <c r="W616" t="s">
        <v>13896</v>
      </c>
      <c r="X616">
        <v>60</v>
      </c>
      <c r="Y616" t="s">
        <v>20486</v>
      </c>
      <c r="Z616" t="s">
        <v>26946</v>
      </c>
      <c r="AA616">
        <v>0.58867257762263658</v>
      </c>
      <c r="AB616" t="str">
        <f>HYPERLINK("Melting_Curves/meltCurve_E9PMS6_LMO7.pdf", "Melting_Curves/meltCurve_E9PMS6_LMO7.pdf")</f>
        <v>Melting_Curves/meltCurve_E9PMS6_LMO7.pdf</v>
      </c>
    </row>
    <row r="617" spans="1:28" x14ac:dyDescent="0.25">
      <c r="A617" t="s">
        <v>621</v>
      </c>
      <c r="B617">
        <v>0.99252571173614901</v>
      </c>
      <c r="C617">
        <v>0.72384896691155098</v>
      </c>
      <c r="D617">
        <v>0.57092801835061202</v>
      </c>
      <c r="E617">
        <v>0.48566042210179999</v>
      </c>
      <c r="F617">
        <v>9.24048095225741E-2</v>
      </c>
      <c r="G617">
        <v>3.86888698865165E-2</v>
      </c>
      <c r="H617">
        <v>1.8378621958298001E-2</v>
      </c>
      <c r="I617">
        <v>2.3859377981707799E-2</v>
      </c>
      <c r="J617">
        <v>2.78075200548401E-2</v>
      </c>
      <c r="K617">
        <v>2.14426980458624E-2</v>
      </c>
      <c r="L617">
        <v>658.66307895759905</v>
      </c>
      <c r="M617">
        <v>13.9236837637149</v>
      </c>
      <c r="N617">
        <v>47.305234517203303</v>
      </c>
      <c r="O617">
        <v>46.361497555103</v>
      </c>
      <c r="P617">
        <v>-7.5092306873285705E-2</v>
      </c>
      <c r="Q617">
        <v>0</v>
      </c>
      <c r="R617">
        <v>0.96434924507656306</v>
      </c>
      <c r="S617" t="s">
        <v>7263</v>
      </c>
      <c r="T617" t="s">
        <v>13290</v>
      </c>
      <c r="U617" t="s">
        <v>13290</v>
      </c>
      <c r="V617" t="s">
        <v>13290</v>
      </c>
      <c r="W617" t="s">
        <v>13897</v>
      </c>
      <c r="X617">
        <v>6</v>
      </c>
      <c r="Y617" t="s">
        <v>20487</v>
      </c>
      <c r="Z617" t="s">
        <v>26947</v>
      </c>
      <c r="AA617">
        <v>0.27448067417034239</v>
      </c>
      <c r="AB617" t="str">
        <f>HYPERLINK("Melting_Curves/meltCurve_E9PN48_ARFGAP2.pdf", "Melting_Curves/meltCurve_E9PN48_ARFGAP2.pdf")</f>
        <v>Melting_Curves/meltCurve_E9PN48_ARFGAP2.pdf</v>
      </c>
    </row>
    <row r="618" spans="1:28" x14ac:dyDescent="0.25">
      <c r="A618" t="s">
        <v>622</v>
      </c>
      <c r="B618">
        <v>0.99252571173614901</v>
      </c>
      <c r="C618">
        <v>0.91363179328342703</v>
      </c>
      <c r="D618">
        <v>0.87846313754198002</v>
      </c>
      <c r="E618">
        <v>0.809392729992923</v>
      </c>
      <c r="F618">
        <v>0.47784952886397802</v>
      </c>
      <c r="G618">
        <v>0.41125738150678698</v>
      </c>
      <c r="H618">
        <v>0.41905837664807699</v>
      </c>
      <c r="I618">
        <v>0.558630196518621</v>
      </c>
      <c r="J618">
        <v>0.88381693625951596</v>
      </c>
      <c r="K618">
        <v>0.71586951260931297</v>
      </c>
      <c r="L618">
        <v>1467.5789772790399</v>
      </c>
      <c r="M618">
        <v>30.290103959372999</v>
      </c>
      <c r="O618">
        <v>48.241064248667897</v>
      </c>
      <c r="P618">
        <v>-6.5595641239489105E-2</v>
      </c>
      <c r="Q618">
        <v>0.58212309786108696</v>
      </c>
      <c r="R618">
        <v>0.54365868712719301</v>
      </c>
      <c r="S618" t="s">
        <v>7264</v>
      </c>
      <c r="T618" t="s">
        <v>13290</v>
      </c>
      <c r="U618" t="s">
        <v>13290</v>
      </c>
      <c r="V618" t="s">
        <v>13290</v>
      </c>
      <c r="W618" t="s">
        <v>13898</v>
      </c>
      <c r="X618">
        <v>2</v>
      </c>
      <c r="Y618" t="s">
        <v>20488</v>
      </c>
      <c r="Z618" t="s">
        <v>26948</v>
      </c>
      <c r="AA618">
        <v>0.70231292085418806</v>
      </c>
      <c r="AB618" t="str">
        <f>HYPERLINK("Melting_Curves/meltCurve_E9PND3_EBAG9.pdf", "Melting_Curves/meltCurve_E9PND3_EBAG9.pdf")</f>
        <v>Melting_Curves/meltCurve_E9PND3_EBAG9.pdf</v>
      </c>
    </row>
    <row r="619" spans="1:28" x14ac:dyDescent="0.25">
      <c r="A619" t="s">
        <v>623</v>
      </c>
      <c r="B619">
        <v>0.99252571173614901</v>
      </c>
      <c r="C619">
        <v>0.95978991581332296</v>
      </c>
      <c r="D619">
        <v>1.0279165519721101</v>
      </c>
      <c r="E619">
        <v>0.875924280514638</v>
      </c>
      <c r="F619">
        <v>0.40668426875573799</v>
      </c>
      <c r="G619">
        <v>0.28039582962117598</v>
      </c>
      <c r="H619">
        <v>0.33934832794847702</v>
      </c>
      <c r="I619">
        <v>0.282694031026479</v>
      </c>
      <c r="J619">
        <v>0.66070328359280495</v>
      </c>
      <c r="K619">
        <v>0.45667399324500701</v>
      </c>
      <c r="L619">
        <v>5401.7116088392204</v>
      </c>
      <c r="M619">
        <v>107.569706787515</v>
      </c>
      <c r="N619">
        <v>50.999213379995702</v>
      </c>
      <c r="O619">
        <v>50.1985699733779</v>
      </c>
      <c r="P619">
        <v>-0.31919436956647002</v>
      </c>
      <c r="Q619">
        <v>0.40417797666834299</v>
      </c>
      <c r="R619">
        <v>0.87856789389708101</v>
      </c>
      <c r="S619" t="s">
        <v>7265</v>
      </c>
      <c r="T619" t="s">
        <v>13290</v>
      </c>
      <c r="U619" t="s">
        <v>13290</v>
      </c>
      <c r="V619" t="s">
        <v>13290</v>
      </c>
      <c r="W619" t="s">
        <v>13899</v>
      </c>
      <c r="X619">
        <v>1</v>
      </c>
      <c r="Y619" t="s">
        <v>20489</v>
      </c>
      <c r="Z619" t="s">
        <v>26949</v>
      </c>
      <c r="AA619">
        <v>0.60735750710976533</v>
      </c>
      <c r="AB619" t="str">
        <f>HYPERLINK("Melting_Curves/meltCurve_E9PNL8_DGKZ.pdf", "Melting_Curves/meltCurve_E9PNL8_DGKZ.pdf")</f>
        <v>Melting_Curves/meltCurve_E9PNL8_DGKZ.pdf</v>
      </c>
    </row>
    <row r="620" spans="1:28" x14ac:dyDescent="0.25">
      <c r="A620" t="s">
        <v>624</v>
      </c>
      <c r="B620">
        <v>0.99252571173614901</v>
      </c>
      <c r="C620">
        <v>0.93737554209047902</v>
      </c>
      <c r="D620">
        <v>0.92838872898364799</v>
      </c>
      <c r="E620">
        <v>0.56934461693086102</v>
      </c>
      <c r="F620">
        <v>0.33495667720829397</v>
      </c>
      <c r="G620">
        <v>0.15764475899477501</v>
      </c>
      <c r="H620">
        <v>0.118838517381779</v>
      </c>
      <c r="I620">
        <v>0.12853252004056501</v>
      </c>
      <c r="J620">
        <v>0.15166722217753101</v>
      </c>
      <c r="K620">
        <v>0.123384881955001</v>
      </c>
      <c r="L620">
        <v>1127.3400998847601</v>
      </c>
      <c r="M620">
        <v>22.562622534259901</v>
      </c>
      <c r="N620">
        <v>50.603076906878201</v>
      </c>
      <c r="O620">
        <v>49.577409704142099</v>
      </c>
      <c r="P620">
        <v>-9.9689963618366503E-2</v>
      </c>
      <c r="Q620">
        <v>0.123812789464234</v>
      </c>
      <c r="R620">
        <v>0.994798587389228</v>
      </c>
      <c r="S620" t="s">
        <v>7266</v>
      </c>
      <c r="T620" t="s">
        <v>13290</v>
      </c>
      <c r="U620" t="s">
        <v>13290</v>
      </c>
      <c r="V620" t="s">
        <v>13290</v>
      </c>
      <c r="W620" t="s">
        <v>13900</v>
      </c>
      <c r="X620">
        <v>32</v>
      </c>
      <c r="Y620" t="s">
        <v>20490</v>
      </c>
      <c r="Z620" t="s">
        <v>26950</v>
      </c>
      <c r="AA620">
        <v>0.42446591127091449</v>
      </c>
      <c r="AB620" t="str">
        <f>HYPERLINK("Melting_Curves/meltCurve_E9PNQ6_TXNRD1.pdf", "Melting_Curves/meltCurve_E9PNQ6_TXNRD1.pdf")</f>
        <v>Melting_Curves/meltCurve_E9PNQ6_TXNRD1.pdf</v>
      </c>
    </row>
    <row r="621" spans="1:28" x14ac:dyDescent="0.25">
      <c r="A621" t="s">
        <v>625</v>
      </c>
      <c r="B621">
        <v>0.99252571173614901</v>
      </c>
      <c r="C621">
        <v>0.922727996406984</v>
      </c>
      <c r="D621">
        <v>0.92420749977643601</v>
      </c>
      <c r="E621">
        <v>0.71813480713317501</v>
      </c>
      <c r="F621">
        <v>0.44089208103449301</v>
      </c>
      <c r="G621">
        <v>0.22606995290274001</v>
      </c>
      <c r="H621">
        <v>0.128415706014817</v>
      </c>
      <c r="I621">
        <v>0.123779524307601</v>
      </c>
      <c r="J621">
        <v>9.9040379297395897E-2</v>
      </c>
      <c r="K621">
        <v>4.0732980065308302E-2</v>
      </c>
      <c r="L621">
        <v>886.701760740743</v>
      </c>
      <c r="M621">
        <v>17.056491285289699</v>
      </c>
      <c r="N621">
        <v>52.3816962159257</v>
      </c>
      <c r="O621">
        <v>51.287361543491201</v>
      </c>
      <c r="P621">
        <v>-7.8123109139448005E-2</v>
      </c>
      <c r="Q621">
        <v>6.0420180384288001E-2</v>
      </c>
      <c r="R621">
        <v>0.99610620492299295</v>
      </c>
      <c r="S621" t="s">
        <v>7267</v>
      </c>
      <c r="T621" t="s">
        <v>13290</v>
      </c>
      <c r="U621" t="s">
        <v>13290</v>
      </c>
      <c r="V621" t="s">
        <v>13290</v>
      </c>
      <c r="W621" t="s">
        <v>13901</v>
      </c>
      <c r="X621">
        <v>4</v>
      </c>
      <c r="Y621" t="s">
        <v>20491</v>
      </c>
      <c r="Z621" t="s">
        <v>26951</v>
      </c>
      <c r="AA621">
        <v>0.4529406784601408</v>
      </c>
      <c r="AB621" t="str">
        <f>HYPERLINK("Melting_Curves/meltCurve_E9PNT2_ARHGAP27.pdf", "Melting_Curves/meltCurve_E9PNT2_ARHGAP27.pdf")</f>
        <v>Melting_Curves/meltCurve_E9PNT2_ARHGAP27.pdf</v>
      </c>
    </row>
    <row r="622" spans="1:28" x14ac:dyDescent="0.25">
      <c r="A622" t="s">
        <v>626</v>
      </c>
      <c r="B622">
        <v>0.99252571173614901</v>
      </c>
      <c r="C622">
        <v>0.96674616291291604</v>
      </c>
      <c r="D622">
        <v>0.87779406042284003</v>
      </c>
      <c r="E622">
        <v>1.0224665110132301</v>
      </c>
      <c r="F622">
        <v>0.68529591546488999</v>
      </c>
      <c r="G622">
        <v>0.68633697269291305</v>
      </c>
      <c r="H622">
        <v>0.62052803985782401</v>
      </c>
      <c r="I622">
        <v>0.85892209103978001</v>
      </c>
      <c r="J622">
        <v>1.35510881298908</v>
      </c>
      <c r="K622">
        <v>1.07467511203504</v>
      </c>
      <c r="L622">
        <v>10756.379625437799</v>
      </c>
      <c r="M622">
        <v>250</v>
      </c>
      <c r="O622">
        <v>43.022765409709997</v>
      </c>
      <c r="P622">
        <v>-0.148698980875651</v>
      </c>
      <c r="Q622">
        <v>0.89764093879441098</v>
      </c>
      <c r="R622">
        <v>2.5322887218600799E-2</v>
      </c>
      <c r="S622" t="s">
        <v>7268</v>
      </c>
      <c r="T622" t="s">
        <v>13290</v>
      </c>
      <c r="U622" t="s">
        <v>13290</v>
      </c>
      <c r="V622" t="s">
        <v>13290</v>
      </c>
      <c r="W622" t="s">
        <v>13902</v>
      </c>
      <c r="X622">
        <v>6</v>
      </c>
      <c r="Y622" t="s">
        <v>20492</v>
      </c>
      <c r="Z622" t="s">
        <v>26952</v>
      </c>
      <c r="AA622">
        <v>0.90797164228964011</v>
      </c>
      <c r="AB622" t="str">
        <f>HYPERLINK("Melting_Curves/meltCurve_E9PNW4_CD59.pdf", "Melting_Curves/meltCurve_E9PNW4_CD59.pdf")</f>
        <v>Melting_Curves/meltCurve_E9PNW4_CD59.pdf</v>
      </c>
    </row>
    <row r="623" spans="1:28" x14ac:dyDescent="0.25">
      <c r="A623" t="s">
        <v>627</v>
      </c>
      <c r="B623">
        <v>0.99252571173614901</v>
      </c>
      <c r="C623">
        <v>0.91525681783658697</v>
      </c>
      <c r="D623">
        <v>0.91194864956316002</v>
      </c>
      <c r="E623">
        <v>0.95174076706086896</v>
      </c>
      <c r="F623">
        <v>0.499794066960358</v>
      </c>
      <c r="G623">
        <v>0.34494048814026601</v>
      </c>
      <c r="H623">
        <v>0.33366678503054598</v>
      </c>
      <c r="I623">
        <v>0.48712498772218898</v>
      </c>
      <c r="J623">
        <v>0.73919130501508401</v>
      </c>
      <c r="K623">
        <v>0.764054732339569</v>
      </c>
      <c r="L623">
        <v>12507.7425411695</v>
      </c>
      <c r="M623">
        <v>250</v>
      </c>
      <c r="O623">
        <v>50.027768526756603</v>
      </c>
      <c r="P623">
        <v>-0.58951172338154201</v>
      </c>
      <c r="Q623">
        <v>0.52812870401105305</v>
      </c>
      <c r="R623">
        <v>0.68018875703690596</v>
      </c>
      <c r="S623" t="s">
        <v>7269</v>
      </c>
      <c r="T623" t="s">
        <v>13290</v>
      </c>
      <c r="U623" t="s">
        <v>13290</v>
      </c>
      <c r="V623" t="s">
        <v>13290</v>
      </c>
      <c r="W623" t="s">
        <v>13903</v>
      </c>
      <c r="X623">
        <v>2</v>
      </c>
      <c r="Y623" t="s">
        <v>20493</v>
      </c>
      <c r="Z623" t="s">
        <v>26953</v>
      </c>
      <c r="AA623">
        <v>0.68594769905173747</v>
      </c>
      <c r="AB623" t="str">
        <f>HYPERLINK("Melting_Curves/meltCurve_E9PPT7_LTBP3.pdf", "Melting_Curves/meltCurve_E9PPT7_LTBP3.pdf")</f>
        <v>Melting_Curves/meltCurve_E9PPT7_LTBP3.pdf</v>
      </c>
    </row>
    <row r="624" spans="1:28" x14ac:dyDescent="0.25">
      <c r="A624" t="s">
        <v>628</v>
      </c>
      <c r="B624">
        <v>0.99252571173614901</v>
      </c>
      <c r="C624">
        <v>1.1299475795359499</v>
      </c>
      <c r="D624">
        <v>0.87834201579849502</v>
      </c>
      <c r="E624">
        <v>0.86198186622765005</v>
      </c>
      <c r="F624">
        <v>0.67656049166250298</v>
      </c>
      <c r="G624">
        <v>0.50168791224689702</v>
      </c>
      <c r="H624">
        <v>0.417004695738316</v>
      </c>
      <c r="I624">
        <v>0.617585837928742</v>
      </c>
      <c r="J624">
        <v>0.932376521096975</v>
      </c>
      <c r="K624">
        <v>0.96949220398074099</v>
      </c>
      <c r="L624">
        <v>1637.42525998111</v>
      </c>
      <c r="M624">
        <v>33.364730151179003</v>
      </c>
      <c r="O624">
        <v>48.901238532829602</v>
      </c>
      <c r="P624">
        <v>-5.3649552919050499E-2</v>
      </c>
      <c r="Q624">
        <v>0.68547404963136205</v>
      </c>
      <c r="R624">
        <v>0.41879146589761201</v>
      </c>
      <c r="S624" t="s">
        <v>7270</v>
      </c>
      <c r="T624" t="s">
        <v>13290</v>
      </c>
      <c r="U624" t="s">
        <v>13290</v>
      </c>
      <c r="V624" t="s">
        <v>13290</v>
      </c>
      <c r="W624" t="s">
        <v>13904</v>
      </c>
      <c r="X624">
        <v>1</v>
      </c>
      <c r="Y624" t="s">
        <v>20494</v>
      </c>
      <c r="Z624" t="s">
        <v>26954</v>
      </c>
      <c r="AA624">
        <v>0.78217766727197391</v>
      </c>
      <c r="AB624" t="str">
        <f>HYPERLINK("Melting_Curves/meltCurve_E9PPY3_RRP8.pdf", "Melting_Curves/meltCurve_E9PPY3_RRP8.pdf")</f>
        <v>Melting_Curves/meltCurve_E9PPY3_RRP8.pdf</v>
      </c>
    </row>
    <row r="625" spans="1:28" x14ac:dyDescent="0.25">
      <c r="A625" t="s">
        <v>629</v>
      </c>
      <c r="B625">
        <v>0.99252571173614901</v>
      </c>
      <c r="C625">
        <v>0.99561166975269</v>
      </c>
      <c r="D625">
        <v>0.92702976767907097</v>
      </c>
      <c r="E625">
        <v>0.725399601651598</v>
      </c>
      <c r="F625">
        <v>0.57888715277119196</v>
      </c>
      <c r="G625">
        <v>0.32579979737593101</v>
      </c>
      <c r="H625">
        <v>0.31537366483553603</v>
      </c>
      <c r="I625">
        <v>0.212599853624591</v>
      </c>
      <c r="J625">
        <v>0.250444790580655</v>
      </c>
      <c r="K625">
        <v>0.259472244387909</v>
      </c>
      <c r="L625">
        <v>891.06584819783097</v>
      </c>
      <c r="M625">
        <v>17.1875115237622</v>
      </c>
      <c r="N625">
        <v>53.749095435259797</v>
      </c>
      <c r="O625">
        <v>51.157248029091598</v>
      </c>
      <c r="P625">
        <v>-6.4836396769582194E-2</v>
      </c>
      <c r="Q625">
        <v>0.22812436903628799</v>
      </c>
      <c r="R625">
        <v>0.99075106991704398</v>
      </c>
      <c r="S625" t="s">
        <v>7271</v>
      </c>
      <c r="T625" t="s">
        <v>13290</v>
      </c>
      <c r="U625" t="s">
        <v>13290</v>
      </c>
      <c r="V625" t="s">
        <v>13290</v>
      </c>
      <c r="W625" t="s">
        <v>13905</v>
      </c>
      <c r="X625">
        <v>1</v>
      </c>
      <c r="Y625" t="s">
        <v>20495</v>
      </c>
      <c r="Z625" t="s">
        <v>26955</v>
      </c>
      <c r="AA625">
        <v>0.54677963950455621</v>
      </c>
      <c r="AB625" t="str">
        <f>HYPERLINK("Melting_Curves/meltCurve_E9PQL5_C11orf57.pdf", "Melting_Curves/meltCurve_E9PQL5_C11orf57.pdf")</f>
        <v>Melting_Curves/meltCurve_E9PQL5_C11orf57.pdf</v>
      </c>
    </row>
    <row r="626" spans="1:28" x14ac:dyDescent="0.25">
      <c r="A626" t="s">
        <v>630</v>
      </c>
      <c r="B626">
        <v>0.99252571173614901</v>
      </c>
      <c r="C626">
        <v>1.0127589590393899</v>
      </c>
      <c r="D626">
        <v>0.99197006321957504</v>
      </c>
      <c r="E626">
        <v>0.97148949828630604</v>
      </c>
      <c r="F626">
        <v>0.98856470061420498</v>
      </c>
      <c r="G626">
        <v>0.86904712614230195</v>
      </c>
      <c r="H626">
        <v>0.77888377302110501</v>
      </c>
      <c r="I626">
        <v>0.86147648281251898</v>
      </c>
      <c r="J626">
        <v>1.0429543214274299</v>
      </c>
      <c r="K626">
        <v>1.0638059680846299</v>
      </c>
      <c r="L626">
        <v>13392.7135776219</v>
      </c>
      <c r="M626">
        <v>250</v>
      </c>
      <c r="O626">
        <v>53.567426731864003</v>
      </c>
      <c r="P626">
        <v>-8.9567562751250496E-2</v>
      </c>
      <c r="Q626">
        <v>0.92323353926705398</v>
      </c>
      <c r="R626">
        <v>0.153732773319917</v>
      </c>
      <c r="S626" t="s">
        <v>7272</v>
      </c>
      <c r="T626" t="s">
        <v>13290</v>
      </c>
      <c r="U626" t="s">
        <v>13290</v>
      </c>
      <c r="V626" t="s">
        <v>13290</v>
      </c>
      <c r="W626" t="s">
        <v>13906</v>
      </c>
      <c r="X626">
        <v>8</v>
      </c>
      <c r="Y626" t="s">
        <v>20496</v>
      </c>
      <c r="Z626" t="s">
        <v>26956</v>
      </c>
      <c r="AA626">
        <v>0.95796697169510681</v>
      </c>
      <c r="AB626" t="str">
        <f>HYPERLINK("Melting_Curves/meltCurve_E9PQY2_PFDN4.pdf", "Melting_Curves/meltCurve_E9PQY2_PFDN4.pdf")</f>
        <v>Melting_Curves/meltCurve_E9PQY2_PFDN4.pdf</v>
      </c>
    </row>
    <row r="627" spans="1:28" x14ac:dyDescent="0.25">
      <c r="A627" t="s">
        <v>631</v>
      </c>
      <c r="B627">
        <v>0.99252571173614901</v>
      </c>
      <c r="C627">
        <v>1.1321254928125399</v>
      </c>
      <c r="D627">
        <v>1.07470265558324</v>
      </c>
      <c r="E627">
        <v>1.0718252550074701</v>
      </c>
      <c r="F627">
        <v>1.02162111837188</v>
      </c>
      <c r="G627">
        <v>0.89729638309904602</v>
      </c>
      <c r="H627">
        <v>0.63720416829779802</v>
      </c>
      <c r="I627">
        <v>0.64631582712079305</v>
      </c>
      <c r="J627">
        <v>0.72739288209509501</v>
      </c>
      <c r="K627">
        <v>0.81464100140302997</v>
      </c>
      <c r="L627">
        <v>14235.212782798</v>
      </c>
      <c r="M627">
        <v>250</v>
      </c>
      <c r="O627">
        <v>56.937192402520303</v>
      </c>
      <c r="P627">
        <v>-0.32229752343647999</v>
      </c>
      <c r="Q627">
        <v>0.706388465591821</v>
      </c>
      <c r="R627">
        <v>0.83989170926506695</v>
      </c>
      <c r="S627" t="s">
        <v>7273</v>
      </c>
      <c r="T627" t="s">
        <v>13290</v>
      </c>
      <c r="U627" t="s">
        <v>13290</v>
      </c>
      <c r="V627" t="s">
        <v>13290</v>
      </c>
      <c r="W627" t="s">
        <v>13907</v>
      </c>
      <c r="X627">
        <v>2</v>
      </c>
      <c r="Y627" t="s">
        <v>20497</v>
      </c>
      <c r="Z627" t="s">
        <v>26957</v>
      </c>
      <c r="AA627">
        <v>0.87221878277641229</v>
      </c>
      <c r="AB627" t="str">
        <f>HYPERLINK("Melting_Curves/meltCurve_E9PR30_FAU.pdf", "Melting_Curves/meltCurve_E9PR30_FAU.pdf")</f>
        <v>Melting_Curves/meltCurve_E9PR30_FAU.pdf</v>
      </c>
    </row>
    <row r="628" spans="1:28" x14ac:dyDescent="0.25">
      <c r="A628" t="s">
        <v>632</v>
      </c>
      <c r="B628">
        <v>0.99252571173614901</v>
      </c>
      <c r="C628">
        <v>1.0564201293012501</v>
      </c>
      <c r="D628">
        <v>0.54423851752079599</v>
      </c>
      <c r="E628">
        <v>0.21254781144690699</v>
      </c>
      <c r="F628">
        <v>0.13482568029615499</v>
      </c>
      <c r="G628">
        <v>7.2495979459370502E-2</v>
      </c>
      <c r="H628">
        <v>5.5461699770405902E-2</v>
      </c>
      <c r="I628">
        <v>6.09816863565062E-2</v>
      </c>
      <c r="J628">
        <v>0.103432509432777</v>
      </c>
      <c r="K628">
        <v>8.7883160356102399E-2</v>
      </c>
      <c r="L628">
        <v>1925.2452591266899</v>
      </c>
      <c r="M628">
        <v>41.737195439264497</v>
      </c>
      <c r="N628">
        <v>46.361378580066599</v>
      </c>
      <c r="O628">
        <v>46.022290424762701</v>
      </c>
      <c r="P628">
        <v>-0.20522545182708299</v>
      </c>
      <c r="Q628">
        <v>9.4819028988055304E-2</v>
      </c>
      <c r="R628">
        <v>0.98595193962785299</v>
      </c>
      <c r="S628" t="s">
        <v>7274</v>
      </c>
      <c r="T628" t="s">
        <v>13290</v>
      </c>
      <c r="U628" t="s">
        <v>13290</v>
      </c>
      <c r="V628" t="s">
        <v>13290</v>
      </c>
      <c r="W628" t="s">
        <v>13908</v>
      </c>
      <c r="X628">
        <v>2</v>
      </c>
      <c r="Y628" t="s">
        <v>20498</v>
      </c>
      <c r="Z628" t="s">
        <v>26958</v>
      </c>
      <c r="AA628">
        <v>0.28240140738794012</v>
      </c>
      <c r="AB628" t="str">
        <f>HYPERLINK("Melting_Curves/meltCurve_E9PR76_MAF1.pdf", "Melting_Curves/meltCurve_E9PR76_MAF1.pdf")</f>
        <v>Melting_Curves/meltCurve_E9PR76_MAF1.pdf</v>
      </c>
    </row>
    <row r="629" spans="1:28" x14ac:dyDescent="0.25">
      <c r="A629" t="s">
        <v>633</v>
      </c>
      <c r="B629">
        <v>0.99252571173614901</v>
      </c>
      <c r="C629">
        <v>0.938441326524733</v>
      </c>
      <c r="D629">
        <v>0.87315667201665403</v>
      </c>
      <c r="E629">
        <v>0.84794476369388105</v>
      </c>
      <c r="F629">
        <v>0.68599683104015896</v>
      </c>
      <c r="G629">
        <v>0.371811918569523</v>
      </c>
      <c r="H629">
        <v>0.202808215433181</v>
      </c>
      <c r="I629">
        <v>8.9421942316773806E-2</v>
      </c>
      <c r="J629">
        <v>0.12772019449730601</v>
      </c>
      <c r="K629">
        <v>8.3465012337282596E-2</v>
      </c>
      <c r="L629">
        <v>847.36596852457399</v>
      </c>
      <c r="M629">
        <v>15.4417652512386</v>
      </c>
      <c r="N629">
        <v>55.153261364741901</v>
      </c>
      <c r="O629">
        <v>53.979345539717499</v>
      </c>
      <c r="P629">
        <v>-6.8842583577097605E-2</v>
      </c>
      <c r="Q629">
        <v>3.7482486928676499E-2</v>
      </c>
      <c r="R629">
        <v>0.98805564441665905</v>
      </c>
      <c r="S629" t="s">
        <v>7275</v>
      </c>
      <c r="T629" t="s">
        <v>13290</v>
      </c>
      <c r="U629" t="s">
        <v>13290</v>
      </c>
      <c r="V629" t="s">
        <v>13290</v>
      </c>
      <c r="W629" t="s">
        <v>13909</v>
      </c>
      <c r="X629">
        <v>2</v>
      </c>
      <c r="Y629" t="s">
        <v>20499</v>
      </c>
      <c r="Z629" t="s">
        <v>26959</v>
      </c>
      <c r="AA629">
        <v>0.53285840577318722</v>
      </c>
      <c r="AB629" t="str">
        <f>HYPERLINK("Melting_Curves/meltCurve_E9PRM7_SLC22A18.pdf", "Melting_Curves/meltCurve_E9PRM7_SLC22A18.pdf")</f>
        <v>Melting_Curves/meltCurve_E9PRM7_SLC22A18.pdf</v>
      </c>
    </row>
    <row r="630" spans="1:28" x14ac:dyDescent="0.25">
      <c r="A630" t="s">
        <v>634</v>
      </c>
      <c r="B630">
        <v>0.99252571173614901</v>
      </c>
      <c r="C630">
        <v>1.06221950179138</v>
      </c>
      <c r="D630">
        <v>0.960961265783983</v>
      </c>
      <c r="E630">
        <v>0.78057753205932301</v>
      </c>
      <c r="F630">
        <v>0.60566034155910997</v>
      </c>
      <c r="G630">
        <v>0.41724851294425103</v>
      </c>
      <c r="H630">
        <v>0.34656364390427402</v>
      </c>
      <c r="I630">
        <v>0.366001153391187</v>
      </c>
      <c r="J630">
        <v>0.44006288775680902</v>
      </c>
      <c r="K630">
        <v>0.44406161544356798</v>
      </c>
      <c r="L630">
        <v>1241.7040097204999</v>
      </c>
      <c r="M630">
        <v>24.2776094250186</v>
      </c>
      <c r="N630">
        <v>54.635439127303599</v>
      </c>
      <c r="O630">
        <v>50.802828661763201</v>
      </c>
      <c r="P630">
        <v>-7.2407854610251204E-2</v>
      </c>
      <c r="Q630">
        <v>0.39393237641956702</v>
      </c>
      <c r="R630">
        <v>0.97660270733852605</v>
      </c>
      <c r="S630" t="s">
        <v>7276</v>
      </c>
      <c r="T630" t="s">
        <v>13290</v>
      </c>
      <c r="U630" t="s">
        <v>13290</v>
      </c>
      <c r="V630" t="s">
        <v>13290</v>
      </c>
      <c r="W630" t="s">
        <v>13910</v>
      </c>
      <c r="X630">
        <v>6</v>
      </c>
      <c r="Y630" t="s">
        <v>20500</v>
      </c>
      <c r="Z630" t="s">
        <v>26960</v>
      </c>
      <c r="AA630">
        <v>0.62491558137984393</v>
      </c>
      <c r="AB630" t="str">
        <f>HYPERLINK("Melting_Curves/meltCurve_E9PRR8_EIF1AD.pdf", "Melting_Curves/meltCurve_E9PRR8_EIF1AD.pdf")</f>
        <v>Melting_Curves/meltCurve_E9PRR8_EIF1AD.pdf</v>
      </c>
    </row>
    <row r="631" spans="1:28" x14ac:dyDescent="0.25">
      <c r="A631" t="s">
        <v>635</v>
      </c>
      <c r="B631">
        <v>0.99252571173614901</v>
      </c>
      <c r="C631">
        <v>0.61015268001188105</v>
      </c>
      <c r="D631">
        <v>1.3912061714614099</v>
      </c>
      <c r="E631">
        <v>0.99881268688523395</v>
      </c>
      <c r="F631">
        <v>0.118959602732783</v>
      </c>
      <c r="G631">
        <v>8.08237555562588E-2</v>
      </c>
      <c r="H631">
        <v>6.9044658360895197E-2</v>
      </c>
      <c r="I631">
        <v>7.8513908316168404E-2</v>
      </c>
      <c r="J631">
        <v>0.10042441041186401</v>
      </c>
      <c r="K631">
        <v>0.115219257007662</v>
      </c>
      <c r="L631">
        <v>7365.1969750545904</v>
      </c>
      <c r="M631">
        <v>141.81840063273799</v>
      </c>
      <c r="N631">
        <v>52.005703185170098</v>
      </c>
      <c r="O631">
        <v>51.923675857408298</v>
      </c>
      <c r="P631">
        <v>-0.62218367917063599</v>
      </c>
      <c r="Q631">
        <v>8.8804750921788606E-2</v>
      </c>
      <c r="R631">
        <v>0.86499189643173902</v>
      </c>
      <c r="S631" t="s">
        <v>7277</v>
      </c>
      <c r="T631" t="s">
        <v>13290</v>
      </c>
      <c r="U631" t="s">
        <v>13290</v>
      </c>
      <c r="V631" t="s">
        <v>13290</v>
      </c>
      <c r="W631" t="s">
        <v>13911</v>
      </c>
      <c r="X631">
        <v>19</v>
      </c>
      <c r="Y631" t="s">
        <v>20462</v>
      </c>
      <c r="Z631" t="s">
        <v>26961</v>
      </c>
      <c r="AA631">
        <v>0.45153645322708558</v>
      </c>
      <c r="AB631" t="str">
        <f>HYPERLINK("Melting_Curves/meltCurve_E9PRY8_EEF1D.pdf", "Melting_Curves/meltCurve_E9PRY8_EEF1D.pdf")</f>
        <v>Melting_Curves/meltCurve_E9PRY8_EEF1D.pdf</v>
      </c>
    </row>
    <row r="632" spans="1:28" x14ac:dyDescent="0.25">
      <c r="A632" t="s">
        <v>636</v>
      </c>
      <c r="B632">
        <v>0.99252571173614901</v>
      </c>
      <c r="C632">
        <v>0.95470837432634903</v>
      </c>
      <c r="D632">
        <v>0.99092971477733005</v>
      </c>
      <c r="E632">
        <v>0.86376967907221802</v>
      </c>
      <c r="F632">
        <v>0.220660059541359</v>
      </c>
      <c r="G632">
        <v>0.119474021329442</v>
      </c>
      <c r="H632">
        <v>7.98192507446122E-2</v>
      </c>
      <c r="I632">
        <v>7.8885696454235002E-2</v>
      </c>
      <c r="J632">
        <v>8.4272081086329498E-2</v>
      </c>
      <c r="K632">
        <v>8.3360894863381399E-2</v>
      </c>
      <c r="L632">
        <v>2536.64514502368</v>
      </c>
      <c r="M632">
        <v>49.416385699193803</v>
      </c>
      <c r="N632">
        <v>51.531320247402597</v>
      </c>
      <c r="O632">
        <v>51.248212017819498</v>
      </c>
      <c r="P632">
        <v>-0.22009797303214301</v>
      </c>
      <c r="Q632">
        <v>8.6973498650725498E-2</v>
      </c>
      <c r="R632">
        <v>0.99830678878552803</v>
      </c>
      <c r="S632" t="s">
        <v>7278</v>
      </c>
      <c r="T632" t="s">
        <v>13290</v>
      </c>
      <c r="U632" t="s">
        <v>13290</v>
      </c>
      <c r="V632" t="s">
        <v>13290</v>
      </c>
      <c r="W632" t="s">
        <v>13912</v>
      </c>
      <c r="X632">
        <v>14</v>
      </c>
      <c r="Y632" t="s">
        <v>20501</v>
      </c>
      <c r="Z632" t="s">
        <v>26962</v>
      </c>
      <c r="AA632">
        <v>0.43397268328384941</v>
      </c>
      <c r="AB632" t="str">
        <f>HYPERLINK("Melting_Curves/meltCurve_E9PS17_SCYL1.pdf", "Melting_Curves/meltCurve_E9PS17_SCYL1.pdf")</f>
        <v>Melting_Curves/meltCurve_E9PS17_SCYL1.pdf</v>
      </c>
    </row>
    <row r="633" spans="1:28" x14ac:dyDescent="0.25">
      <c r="A633" t="s">
        <v>637</v>
      </c>
      <c r="B633">
        <v>0.99252571173614901</v>
      </c>
      <c r="C633">
        <v>1.0108870198740201</v>
      </c>
      <c r="D633">
        <v>1.07356940774493</v>
      </c>
      <c r="E633">
        <v>0.49011122430974302</v>
      </c>
      <c r="F633">
        <v>0.22610255199542301</v>
      </c>
      <c r="G633">
        <v>0.12973486426830999</v>
      </c>
      <c r="H633">
        <v>9.1515066807210901E-2</v>
      </c>
      <c r="I633">
        <v>0.14049473145522101</v>
      </c>
      <c r="J633">
        <v>2.4572443312131799E-2</v>
      </c>
      <c r="K633">
        <v>4.45195629557816E-3</v>
      </c>
      <c r="L633">
        <v>2174.7584928494498</v>
      </c>
      <c r="M633">
        <v>43.959720783942501</v>
      </c>
      <c r="N633">
        <v>49.703827035107402</v>
      </c>
      <c r="O633">
        <v>49.369564275427003</v>
      </c>
      <c r="P633">
        <v>-0.201941503554944</v>
      </c>
      <c r="Q633">
        <v>9.2828577907610302E-2</v>
      </c>
      <c r="R633">
        <v>0.97890337207645395</v>
      </c>
      <c r="S633" t="s">
        <v>7279</v>
      </c>
      <c r="T633" t="s">
        <v>13290</v>
      </c>
      <c r="U633" t="s">
        <v>13290</v>
      </c>
      <c r="V633" t="s">
        <v>13290</v>
      </c>
      <c r="W633" t="s">
        <v>13913</v>
      </c>
      <c r="X633">
        <v>2</v>
      </c>
      <c r="Y633" t="s">
        <v>20502</v>
      </c>
      <c r="Z633" t="s">
        <v>26963</v>
      </c>
      <c r="AA633">
        <v>0.3818070341861835</v>
      </c>
      <c r="AB633" t="str">
        <f>HYPERLINK("Melting_Curves/meltCurve_E9PSB8_SMCO4.pdf", "Melting_Curves/meltCurve_E9PSB8_SMCO4.pdf")</f>
        <v>Melting_Curves/meltCurve_E9PSB8_SMCO4.pdf</v>
      </c>
    </row>
    <row r="634" spans="1:28" x14ac:dyDescent="0.25">
      <c r="A634" t="s">
        <v>638</v>
      </c>
      <c r="B634">
        <v>0.99252571173614901</v>
      </c>
      <c r="C634">
        <v>1.0614673877173999</v>
      </c>
      <c r="D634">
        <v>0.96655715935786002</v>
      </c>
      <c r="E634">
        <v>0.93196663469392704</v>
      </c>
      <c r="F634">
        <v>0.74693414024513505</v>
      </c>
      <c r="G634">
        <v>0.72206659955404595</v>
      </c>
      <c r="H634">
        <v>0.76824694610849498</v>
      </c>
      <c r="I634">
        <v>1.03669490908664</v>
      </c>
      <c r="J634">
        <v>1.5475550806831599</v>
      </c>
      <c r="K634">
        <v>1.67138668108974</v>
      </c>
      <c r="L634">
        <v>15000</v>
      </c>
      <c r="M634">
        <v>231.844321536694</v>
      </c>
      <c r="O634">
        <v>64.693773999632896</v>
      </c>
      <c r="P634">
        <v>0.44796491107838499</v>
      </c>
      <c r="Q634">
        <v>1.5</v>
      </c>
      <c r="R634">
        <v>0.74780016134932503</v>
      </c>
      <c r="S634" t="s">
        <v>7280</v>
      </c>
      <c r="T634" t="s">
        <v>13290</v>
      </c>
      <c r="U634" t="s">
        <v>13290</v>
      </c>
      <c r="V634" t="s">
        <v>13290</v>
      </c>
      <c r="W634" t="s">
        <v>13914</v>
      </c>
      <c r="X634">
        <v>15</v>
      </c>
      <c r="Y634" t="s">
        <v>20503</v>
      </c>
      <c r="Z634" t="s">
        <v>26964</v>
      </c>
      <c r="AA634">
        <v>1.0882908692731561</v>
      </c>
      <c r="AB634" t="str">
        <f>HYPERLINK("Melting_Curves/meltCurve_E9PSI1_TM9SF1.pdf", "Melting_Curves/meltCurve_E9PSI1_TM9SF1.pdf")</f>
        <v>Melting_Curves/meltCurve_E9PSI1_TM9SF1.pdf</v>
      </c>
    </row>
    <row r="635" spans="1:28" x14ac:dyDescent="0.25">
      <c r="A635" t="s">
        <v>639</v>
      </c>
      <c r="B635">
        <v>0.99252571173614901</v>
      </c>
      <c r="C635">
        <v>1.0184842191835299</v>
      </c>
      <c r="D635">
        <v>0.92599217175178505</v>
      </c>
      <c r="E635">
        <v>0.81817496936696099</v>
      </c>
      <c r="F635">
        <v>0.47559391251342298</v>
      </c>
      <c r="G635">
        <v>0.28937689932148197</v>
      </c>
      <c r="H635">
        <v>0.186732616712805</v>
      </c>
      <c r="I635">
        <v>0.15705813456395701</v>
      </c>
      <c r="J635">
        <v>0.139839272355061</v>
      </c>
      <c r="K635">
        <v>0.11419562862942299</v>
      </c>
      <c r="L635">
        <v>1075.8914467612301</v>
      </c>
      <c r="M635">
        <v>20.524905085632302</v>
      </c>
      <c r="N635">
        <v>53.189762227200603</v>
      </c>
      <c r="O635">
        <v>51.928842601390002</v>
      </c>
      <c r="P635">
        <v>-8.6101678193968495E-2</v>
      </c>
      <c r="Q635">
        <v>0.128662643925649</v>
      </c>
      <c r="R635">
        <v>0.99745402843171105</v>
      </c>
      <c r="S635" t="s">
        <v>7281</v>
      </c>
      <c r="T635" t="s">
        <v>13290</v>
      </c>
      <c r="U635" t="s">
        <v>13290</v>
      </c>
      <c r="V635" t="s">
        <v>13290</v>
      </c>
      <c r="W635" t="s">
        <v>13915</v>
      </c>
      <c r="X635">
        <v>19</v>
      </c>
      <c r="Y635" t="s">
        <v>20504</v>
      </c>
      <c r="Z635" t="s">
        <v>26965</v>
      </c>
      <c r="AA635">
        <v>0.5008570287217009</v>
      </c>
      <c r="AB635" t="str">
        <f>HYPERLINK("Melting_Curves/meltCurve_F2Z2I2_PFKFB3.pdf", "Melting_Curves/meltCurve_F2Z2I2_PFKFB3.pdf")</f>
        <v>Melting_Curves/meltCurve_F2Z2I2_PFKFB3.pdf</v>
      </c>
    </row>
    <row r="636" spans="1:28" x14ac:dyDescent="0.25">
      <c r="A636" t="s">
        <v>640</v>
      </c>
      <c r="B636">
        <v>0.99252571173614901</v>
      </c>
      <c r="C636">
        <v>0.93515488985924999</v>
      </c>
      <c r="D636">
        <v>0.93736341207766505</v>
      </c>
      <c r="E636">
        <v>0.60278405736715301</v>
      </c>
      <c r="F636">
        <v>0.33304511174158102</v>
      </c>
      <c r="G636">
        <v>0.23579333961027299</v>
      </c>
      <c r="H636">
        <v>0.21208098230879699</v>
      </c>
      <c r="I636">
        <v>0.268493781349878</v>
      </c>
      <c r="J636">
        <v>0.361061795652524</v>
      </c>
      <c r="K636">
        <v>0.40065248497283001</v>
      </c>
      <c r="L636">
        <v>1772.96264522466</v>
      </c>
      <c r="M636">
        <v>36.0407153944453</v>
      </c>
      <c r="N636">
        <v>50.435218977170699</v>
      </c>
      <c r="O636">
        <v>49.042612472726503</v>
      </c>
      <c r="P636">
        <v>-0.12968059259039699</v>
      </c>
      <c r="Q636">
        <v>0.29414777571557699</v>
      </c>
      <c r="R636">
        <v>0.964694500538123</v>
      </c>
      <c r="S636" t="s">
        <v>7282</v>
      </c>
      <c r="T636" t="s">
        <v>13290</v>
      </c>
      <c r="U636" t="s">
        <v>13290</v>
      </c>
      <c r="V636" t="s">
        <v>13290</v>
      </c>
      <c r="W636" t="s">
        <v>13916</v>
      </c>
      <c r="X636">
        <v>70</v>
      </c>
      <c r="Y636" t="s">
        <v>20505</v>
      </c>
      <c r="Z636" t="s">
        <v>26966</v>
      </c>
      <c r="AA636">
        <v>0.51341911682716701</v>
      </c>
      <c r="AB636" t="str">
        <f>HYPERLINK("Melting_Curves/meltCurve_F2Z2U8_MYH14.pdf", "Melting_Curves/meltCurve_F2Z2U8_MYH14.pdf")</f>
        <v>Melting_Curves/meltCurve_F2Z2U8_MYH14.pdf</v>
      </c>
    </row>
    <row r="637" spans="1:28" x14ac:dyDescent="0.25">
      <c r="A637" t="s">
        <v>641</v>
      </c>
      <c r="B637">
        <v>0.99252571173614901</v>
      </c>
      <c r="C637">
        <v>1.0714886736695799</v>
      </c>
      <c r="D637">
        <v>1.02769729363576</v>
      </c>
      <c r="E637">
        <v>1.0629330921339399</v>
      </c>
      <c r="F637">
        <v>0.90074840915891197</v>
      </c>
      <c r="G637">
        <v>0.677095415815677</v>
      </c>
      <c r="H637">
        <v>0.38308892454568499</v>
      </c>
      <c r="I637">
        <v>0.11240701489530699</v>
      </c>
      <c r="J637">
        <v>0.14784820222065501</v>
      </c>
      <c r="K637">
        <v>0.14281843598153099</v>
      </c>
      <c r="L637">
        <v>1464.0866688958299</v>
      </c>
      <c r="M637">
        <v>25.142054682774301</v>
      </c>
      <c r="N637">
        <v>58.777880266257597</v>
      </c>
      <c r="O637">
        <v>57.867929185585297</v>
      </c>
      <c r="P637">
        <v>-9.7321192632582001E-2</v>
      </c>
      <c r="Q637">
        <v>0.104018840731674</v>
      </c>
      <c r="R637">
        <v>0.98627430152491402</v>
      </c>
      <c r="S637" t="s">
        <v>7283</v>
      </c>
      <c r="T637" t="s">
        <v>13290</v>
      </c>
      <c r="U637" t="s">
        <v>13290</v>
      </c>
      <c r="V637" t="s">
        <v>13290</v>
      </c>
      <c r="W637" t="s">
        <v>13917</v>
      </c>
      <c r="X637">
        <v>4</v>
      </c>
      <c r="Y637" t="s">
        <v>20506</v>
      </c>
      <c r="Z637" t="s">
        <v>26967</v>
      </c>
      <c r="AA637">
        <v>0.65620092347614722</v>
      </c>
      <c r="AB637" t="str">
        <f>HYPERLINK("Melting_Curves/meltCurve_F2Z2V1_FGGY.pdf", "Melting_Curves/meltCurve_F2Z2V1_FGGY.pdf")</f>
        <v>Melting_Curves/meltCurve_F2Z2V1_FGGY.pdf</v>
      </c>
    </row>
    <row r="638" spans="1:28" x14ac:dyDescent="0.25">
      <c r="A638" t="s">
        <v>642</v>
      </c>
      <c r="B638">
        <v>0.99252571173614901</v>
      </c>
      <c r="C638">
        <v>0.76559925860734501</v>
      </c>
      <c r="D638">
        <v>0.45788340714695203</v>
      </c>
      <c r="E638">
        <v>0.43043698478873599</v>
      </c>
      <c r="F638">
        <v>0.27699746417828702</v>
      </c>
      <c r="G638">
        <v>0.18978059885177301</v>
      </c>
      <c r="H638">
        <v>9.9121920948745307E-2</v>
      </c>
      <c r="I638">
        <v>8.1299982840115304E-2</v>
      </c>
      <c r="J638">
        <v>7.3131065643569401E-2</v>
      </c>
      <c r="K638">
        <v>5.2189023991820099E-2</v>
      </c>
      <c r="L638">
        <v>548.957594548933</v>
      </c>
      <c r="M638">
        <v>11.706998412714899</v>
      </c>
      <c r="N638">
        <v>47.334251209609803</v>
      </c>
      <c r="O638">
        <v>45.585894019304099</v>
      </c>
      <c r="P638">
        <v>-6.0888737632335703E-2</v>
      </c>
      <c r="Q638">
        <v>5.1872504278730101E-2</v>
      </c>
      <c r="R638">
        <v>0.96680480830249604</v>
      </c>
      <c r="S638" t="s">
        <v>7284</v>
      </c>
      <c r="T638" t="s">
        <v>13290</v>
      </c>
      <c r="U638" t="s">
        <v>13290</v>
      </c>
      <c r="V638" t="s">
        <v>13290</v>
      </c>
      <c r="W638" t="s">
        <v>13918</v>
      </c>
      <c r="X638">
        <v>6</v>
      </c>
      <c r="Y638" t="s">
        <v>20507</v>
      </c>
      <c r="Z638" t="s">
        <v>26968</v>
      </c>
      <c r="AA638">
        <v>0.31164985003305079</v>
      </c>
      <c r="AB638" t="str">
        <f>HYPERLINK("Melting_Curves/meltCurve_F2Z2W7_TRMT2A.pdf", "Melting_Curves/meltCurve_F2Z2W7_TRMT2A.pdf")</f>
        <v>Melting_Curves/meltCurve_F2Z2W7_TRMT2A.pdf</v>
      </c>
    </row>
    <row r="639" spans="1:28" x14ac:dyDescent="0.25">
      <c r="A639" t="s">
        <v>643</v>
      </c>
      <c r="B639">
        <v>0.99252571173614901</v>
      </c>
      <c r="C639">
        <v>1.0390759437124499</v>
      </c>
      <c r="D639">
        <v>0.93948312061962602</v>
      </c>
      <c r="E639">
        <v>0.80844368464661498</v>
      </c>
      <c r="F639">
        <v>0.30472620620435897</v>
      </c>
      <c r="G639">
        <v>0.16277762377628999</v>
      </c>
      <c r="H639">
        <v>0.109157119169368</v>
      </c>
      <c r="I639">
        <v>0.119899213679333</v>
      </c>
      <c r="J639">
        <v>0.120275689254545</v>
      </c>
      <c r="K639">
        <v>0.119643623133665</v>
      </c>
      <c r="L639">
        <v>1810.4042039000401</v>
      </c>
      <c r="M639">
        <v>35.287137870017901</v>
      </c>
      <c r="N639">
        <v>51.701731917346898</v>
      </c>
      <c r="O639">
        <v>51.140997758110601</v>
      </c>
      <c r="P639">
        <v>-0.152036875970885</v>
      </c>
      <c r="Q639">
        <v>0.118626052158794</v>
      </c>
      <c r="R639">
        <v>0.99718720427451102</v>
      </c>
      <c r="S639" t="s">
        <v>7285</v>
      </c>
      <c r="T639" t="s">
        <v>13290</v>
      </c>
      <c r="U639" t="s">
        <v>13290</v>
      </c>
      <c r="V639" t="s">
        <v>13290</v>
      </c>
      <c r="W639" t="s">
        <v>13919</v>
      </c>
      <c r="X639">
        <v>17</v>
      </c>
      <c r="Y639" t="s">
        <v>20508</v>
      </c>
      <c r="Z639" t="s">
        <v>26969</v>
      </c>
      <c r="AA639">
        <v>0.45477705122005901</v>
      </c>
      <c r="AB639" t="str">
        <f>HYPERLINK("Melting_Curves/meltCurve_F2Z2X4_XPO4.pdf", "Melting_Curves/meltCurve_F2Z2X4_XPO4.pdf")</f>
        <v>Melting_Curves/meltCurve_F2Z2X4_XPO4.pdf</v>
      </c>
    </row>
    <row r="640" spans="1:28" x14ac:dyDescent="0.25">
      <c r="A640" t="s">
        <v>644</v>
      </c>
      <c r="B640">
        <v>0.99252571173614901</v>
      </c>
      <c r="C640">
        <v>1.1027193981330601</v>
      </c>
      <c r="D640">
        <v>0.96168883834119201</v>
      </c>
      <c r="E640">
        <v>0.75574261392428399</v>
      </c>
      <c r="F640">
        <v>0.47280132085610099</v>
      </c>
      <c r="G640">
        <v>0.27755526705496403</v>
      </c>
      <c r="H640">
        <v>0.16164998555673801</v>
      </c>
      <c r="I640">
        <v>0.123481072092225</v>
      </c>
      <c r="J640">
        <v>8.3223663647983004E-2</v>
      </c>
      <c r="K640">
        <v>6.1654639502797898E-2</v>
      </c>
      <c r="L640">
        <v>993.27632196808702</v>
      </c>
      <c r="M640">
        <v>18.8997003110115</v>
      </c>
      <c r="N640">
        <v>53.035268337320602</v>
      </c>
      <c r="O640">
        <v>51.977363791355998</v>
      </c>
      <c r="P640">
        <v>-8.3759048317269005E-2</v>
      </c>
      <c r="Q640">
        <v>7.8631459998934797E-2</v>
      </c>
      <c r="R640">
        <v>0.98976741957024506</v>
      </c>
      <c r="S640" t="s">
        <v>7286</v>
      </c>
      <c r="T640" t="s">
        <v>13290</v>
      </c>
      <c r="U640" t="s">
        <v>13290</v>
      </c>
      <c r="V640" t="s">
        <v>13290</v>
      </c>
      <c r="W640" t="s">
        <v>13920</v>
      </c>
      <c r="X640">
        <v>3</v>
      </c>
      <c r="Y640" t="s">
        <v>20509</v>
      </c>
      <c r="Z640" t="s">
        <v>26970</v>
      </c>
      <c r="AA640">
        <v>0.47824277884661343</v>
      </c>
      <c r="AB640" t="str">
        <f>HYPERLINK("Melting_Curves/meltCurve_F2Z384_TRMT2B.pdf", "Melting_Curves/meltCurve_F2Z384_TRMT2B.pdf")</f>
        <v>Melting_Curves/meltCurve_F2Z384_TRMT2B.pdf</v>
      </c>
    </row>
    <row r="641" spans="1:28" x14ac:dyDescent="0.25">
      <c r="A641" t="s">
        <v>645</v>
      </c>
      <c r="B641">
        <v>0.99252571173614901</v>
      </c>
      <c r="C641">
        <v>0.777453224962254</v>
      </c>
      <c r="D641">
        <v>0.80559754280726803</v>
      </c>
      <c r="E641">
        <v>0.57692226357850296</v>
      </c>
      <c r="F641">
        <v>0.21351660500667</v>
      </c>
      <c r="G641">
        <v>6.2510593804275594E-2</v>
      </c>
      <c r="H641">
        <v>3.1935137850128199E-2</v>
      </c>
      <c r="I641">
        <v>3.82775477900128E-2</v>
      </c>
      <c r="J641">
        <v>3.1718292263720402E-2</v>
      </c>
      <c r="K641">
        <v>4.1594973881321697E-2</v>
      </c>
      <c r="L641">
        <v>793.75330717446695</v>
      </c>
      <c r="M641">
        <v>15.9959143618849</v>
      </c>
      <c r="N641">
        <v>49.622249849517203</v>
      </c>
      <c r="O641">
        <v>48.866133257791098</v>
      </c>
      <c r="P641">
        <v>-8.1841805253237504E-2</v>
      </c>
      <c r="Q641">
        <v>0</v>
      </c>
      <c r="R641">
        <v>0.97438235641214899</v>
      </c>
      <c r="S641" t="s">
        <v>7287</v>
      </c>
      <c r="T641" t="s">
        <v>13290</v>
      </c>
      <c r="U641" t="s">
        <v>13290</v>
      </c>
      <c r="V641" t="s">
        <v>13290</v>
      </c>
      <c r="W641" t="s">
        <v>13921</v>
      </c>
      <c r="X641">
        <v>2</v>
      </c>
      <c r="Y641" t="s">
        <v>20510</v>
      </c>
      <c r="Z641" t="s">
        <v>26971</v>
      </c>
      <c r="AA641">
        <v>0.34219498842850588</v>
      </c>
      <c r="AB641" t="str">
        <f>HYPERLINK("Melting_Curves/meltCurve_F5GWD3_GTF2H3.pdf", "Melting_Curves/meltCurve_F5GWD3_GTF2H3.pdf")</f>
        <v>Melting_Curves/meltCurve_F5GWD3_GTF2H3.pdf</v>
      </c>
    </row>
    <row r="642" spans="1:28" x14ac:dyDescent="0.25">
      <c r="A642" t="s">
        <v>646</v>
      </c>
      <c r="B642">
        <v>0.99252571173614901</v>
      </c>
      <c r="C642">
        <v>0.92774303433307903</v>
      </c>
      <c r="D642">
        <v>0.96049188332952895</v>
      </c>
      <c r="E642">
        <v>1.0082706158007799</v>
      </c>
      <c r="F642">
        <v>0.69870461636026604</v>
      </c>
      <c r="G642">
        <v>0.42207325755560998</v>
      </c>
      <c r="H642">
        <v>0.39815210843897197</v>
      </c>
      <c r="I642">
        <v>0.491441734372702</v>
      </c>
      <c r="J642">
        <v>0.811346920018441</v>
      </c>
      <c r="K642">
        <v>0.67414010796824797</v>
      </c>
      <c r="L642">
        <v>13258.948230317401</v>
      </c>
      <c r="M642">
        <v>250</v>
      </c>
      <c r="O642">
        <v>53.032399264905401</v>
      </c>
      <c r="P642">
        <v>-0.51922171873529899</v>
      </c>
      <c r="Q642">
        <v>0.55943082694427904</v>
      </c>
      <c r="R642">
        <v>0.73938398097751901</v>
      </c>
      <c r="S642" t="s">
        <v>7288</v>
      </c>
      <c r="T642" t="s">
        <v>13290</v>
      </c>
      <c r="U642" t="s">
        <v>13290</v>
      </c>
      <c r="V642" t="s">
        <v>13290</v>
      </c>
      <c r="W642" t="s">
        <v>13922</v>
      </c>
      <c r="X642">
        <v>1</v>
      </c>
      <c r="Y642" t="s">
        <v>20511</v>
      </c>
      <c r="Z642" t="s">
        <v>26972</v>
      </c>
      <c r="AA642">
        <v>0.75091078404561595</v>
      </c>
      <c r="AB642" t="str">
        <f>HYPERLINK("Melting_Curves/meltCurve_F5GWH5_TMEM258.pdf", "Melting_Curves/meltCurve_F5GWH5_TMEM258.pdf")</f>
        <v>Melting_Curves/meltCurve_F5GWH5_TMEM258.pdf</v>
      </c>
    </row>
    <row r="643" spans="1:28" x14ac:dyDescent="0.25">
      <c r="A643" t="s">
        <v>647</v>
      </c>
      <c r="B643">
        <v>0.99252571173614901</v>
      </c>
      <c r="C643">
        <v>1.02900266497105</v>
      </c>
      <c r="D643">
        <v>1.2517994692357499</v>
      </c>
      <c r="E643">
        <v>1.5893632122343699</v>
      </c>
      <c r="F643">
        <v>0.97152927813368595</v>
      </c>
      <c r="G643">
        <v>0.74465070696951996</v>
      </c>
      <c r="H643">
        <v>0.52213497259526498</v>
      </c>
      <c r="I643">
        <v>0.46580546335121498</v>
      </c>
      <c r="J643">
        <v>0.64587963476710797</v>
      </c>
      <c r="K643">
        <v>0.47316144521780501</v>
      </c>
      <c r="L643">
        <v>3584.7272026186602</v>
      </c>
      <c r="M643">
        <v>63.277543787195199</v>
      </c>
      <c r="O643">
        <v>56.594359867474097</v>
      </c>
      <c r="P643">
        <v>-0.13269044012022199</v>
      </c>
      <c r="Q643">
        <v>0.52529586293939901</v>
      </c>
      <c r="R643">
        <v>0.64550022154801201</v>
      </c>
      <c r="S643" t="s">
        <v>7289</v>
      </c>
      <c r="T643" t="s">
        <v>13290</v>
      </c>
      <c r="U643" t="s">
        <v>13290</v>
      </c>
      <c r="V643" t="s">
        <v>13290</v>
      </c>
      <c r="W643" t="s">
        <v>13923</v>
      </c>
      <c r="X643">
        <v>4</v>
      </c>
      <c r="Y643" t="s">
        <v>20512</v>
      </c>
      <c r="Z643" t="s">
        <v>26973</v>
      </c>
      <c r="AA643">
        <v>0.7895092066713284</v>
      </c>
      <c r="AB643" t="str">
        <f>HYPERLINK("Melting_Curves/meltCurve_F5GWI9_CCDC53.pdf", "Melting_Curves/meltCurve_F5GWI9_CCDC53.pdf")</f>
        <v>Melting_Curves/meltCurve_F5GWI9_CCDC53.pdf</v>
      </c>
    </row>
    <row r="644" spans="1:28" x14ac:dyDescent="0.25">
      <c r="A644" t="s">
        <v>648</v>
      </c>
      <c r="B644">
        <v>0.99252571173614901</v>
      </c>
      <c r="C644">
        <v>0.81806847275668904</v>
      </c>
      <c r="D644">
        <v>0.75028631758018505</v>
      </c>
      <c r="E644">
        <v>0.65633900204083495</v>
      </c>
      <c r="F644">
        <v>0.44576068492750298</v>
      </c>
      <c r="G644">
        <v>0.347937753119406</v>
      </c>
      <c r="H644">
        <v>0.28244221115733098</v>
      </c>
      <c r="I644">
        <v>0.27076147833752201</v>
      </c>
      <c r="J644">
        <v>0.34569868314501101</v>
      </c>
      <c r="K644">
        <v>0.33917419421033701</v>
      </c>
      <c r="L644">
        <v>611.62390676694599</v>
      </c>
      <c r="M644">
        <v>12.6121444344914</v>
      </c>
      <c r="N644">
        <v>51.845525437676599</v>
      </c>
      <c r="O644">
        <v>47.324103405490803</v>
      </c>
      <c r="P644">
        <v>-4.8067038736443801E-2</v>
      </c>
      <c r="Q644">
        <v>0.27870220534087897</v>
      </c>
      <c r="R644">
        <v>0.96750891824615304</v>
      </c>
      <c r="S644" t="s">
        <v>7290</v>
      </c>
      <c r="T644" t="s">
        <v>13290</v>
      </c>
      <c r="U644" t="s">
        <v>13290</v>
      </c>
      <c r="V644" t="s">
        <v>13290</v>
      </c>
      <c r="W644" t="s">
        <v>13924</v>
      </c>
      <c r="X644">
        <v>15</v>
      </c>
      <c r="Y644" t="s">
        <v>20513</v>
      </c>
      <c r="Z644" t="s">
        <v>26974</v>
      </c>
      <c r="AA644">
        <v>0.50800581343719875</v>
      </c>
      <c r="AB644" t="str">
        <f>HYPERLINK("Melting_Curves/meltCurve_F5GWP8_JUP.pdf", "Melting_Curves/meltCurve_F5GWP8_JUP.pdf")</f>
        <v>Melting_Curves/meltCurve_F5GWP8_JUP.pdf</v>
      </c>
    </row>
    <row r="645" spans="1:28" x14ac:dyDescent="0.25">
      <c r="A645" t="s">
        <v>649</v>
      </c>
      <c r="B645">
        <v>0.99252571173614901</v>
      </c>
      <c r="C645">
        <v>1.08707300438295</v>
      </c>
      <c r="D645">
        <v>0.87471652944711498</v>
      </c>
      <c r="E645">
        <v>0.84517067041666105</v>
      </c>
      <c r="F645">
        <v>0.31070519843632799</v>
      </c>
      <c r="G645">
        <v>0.231556832440689</v>
      </c>
      <c r="H645">
        <v>0.23864839153667</v>
      </c>
      <c r="I645">
        <v>0.26388820308807298</v>
      </c>
      <c r="J645">
        <v>0.43592043549679499</v>
      </c>
      <c r="K645">
        <v>0.36957168243079203</v>
      </c>
      <c r="L645">
        <v>4206.7163997272801</v>
      </c>
      <c r="M645">
        <v>83.571837168210294</v>
      </c>
      <c r="N645">
        <v>50.916882729232903</v>
      </c>
      <c r="O645">
        <v>50.307730342410601</v>
      </c>
      <c r="P645">
        <v>-0.28775384215639399</v>
      </c>
      <c r="Q645">
        <v>0.307123472555206</v>
      </c>
      <c r="R645">
        <v>0.94700513655413299</v>
      </c>
      <c r="S645" t="s">
        <v>7291</v>
      </c>
      <c r="T645" t="s">
        <v>13290</v>
      </c>
      <c r="U645" t="s">
        <v>13290</v>
      </c>
      <c r="V645" t="s">
        <v>13290</v>
      </c>
      <c r="W645" t="s">
        <v>13925</v>
      </c>
      <c r="X645">
        <v>2</v>
      </c>
      <c r="Y645" t="s">
        <v>20514</v>
      </c>
      <c r="Z645" t="s">
        <v>26975</v>
      </c>
      <c r="AA645">
        <v>0.54640350833148521</v>
      </c>
      <c r="AB645" t="str">
        <f>HYPERLINK("Melting_Curves/meltCurve_F5GWS3_TLDC1.pdf", "Melting_Curves/meltCurve_F5GWS3_TLDC1.pdf")</f>
        <v>Melting_Curves/meltCurve_F5GWS3_TLDC1.pdf</v>
      </c>
    </row>
    <row r="646" spans="1:28" x14ac:dyDescent="0.25">
      <c r="A646" t="s">
        <v>650</v>
      </c>
      <c r="B646">
        <v>0.99252571173614901</v>
      </c>
      <c r="C646">
        <v>0.97645836167957101</v>
      </c>
      <c r="D646">
        <v>0.82504817848996304</v>
      </c>
      <c r="E646">
        <v>0.69907658808311601</v>
      </c>
      <c r="F646">
        <v>0.29801575015258402</v>
      </c>
      <c r="G646">
        <v>0.104964439608497</v>
      </c>
      <c r="H646">
        <v>7.3059033645738902E-2</v>
      </c>
      <c r="I646">
        <v>7.7514213418213407E-2</v>
      </c>
      <c r="J646">
        <v>0.10655415736108</v>
      </c>
      <c r="K646">
        <v>0.13915127611198699</v>
      </c>
      <c r="L646">
        <v>1154.9128272835601</v>
      </c>
      <c r="M646">
        <v>22.830881630538698</v>
      </c>
      <c r="N646">
        <v>50.985197597882298</v>
      </c>
      <c r="O646">
        <v>50.202261225258198</v>
      </c>
      <c r="P646">
        <v>-0.104381600592028</v>
      </c>
      <c r="Q646">
        <v>8.1929213360575501E-2</v>
      </c>
      <c r="R646">
        <v>0.98723318043565</v>
      </c>
      <c r="S646" t="s">
        <v>7292</v>
      </c>
      <c r="T646" t="s">
        <v>13290</v>
      </c>
      <c r="U646" t="s">
        <v>13290</v>
      </c>
      <c r="V646" t="s">
        <v>13290</v>
      </c>
      <c r="W646" t="s">
        <v>13926</v>
      </c>
      <c r="X646">
        <v>27</v>
      </c>
      <c r="Y646" t="s">
        <v>20515</v>
      </c>
      <c r="Z646" t="s">
        <v>26976</v>
      </c>
      <c r="AA646">
        <v>0.41574794826100209</v>
      </c>
      <c r="AB646" t="str">
        <f>HYPERLINK("Melting_Curves/meltCurve_F5GWT4_WNK1.pdf", "Melting_Curves/meltCurve_F5GWT4_WNK1.pdf")</f>
        <v>Melting_Curves/meltCurve_F5GWT4_WNK1.pdf</v>
      </c>
    </row>
    <row r="647" spans="1:28" x14ac:dyDescent="0.25">
      <c r="A647" t="s">
        <v>651</v>
      </c>
      <c r="B647">
        <v>0.99252571173614901</v>
      </c>
      <c r="C647">
        <v>0.75837702449639199</v>
      </c>
      <c r="D647">
        <v>0.54614835343361501</v>
      </c>
      <c r="E647">
        <v>0.22152260614761199</v>
      </c>
      <c r="F647">
        <v>0.150365875937886</v>
      </c>
      <c r="G647">
        <v>8.6285883734607702E-2</v>
      </c>
      <c r="H647">
        <v>6.8787348636875897E-2</v>
      </c>
      <c r="I647">
        <v>7.0057704601410503E-2</v>
      </c>
      <c r="J647">
        <v>7.8369398720232297E-2</v>
      </c>
      <c r="K647">
        <v>7.7593977299502806E-2</v>
      </c>
      <c r="L647">
        <v>879.28788525364303</v>
      </c>
      <c r="M647">
        <v>19.193182148251299</v>
      </c>
      <c r="N647">
        <v>46.177367138727803</v>
      </c>
      <c r="O647">
        <v>45.323880892574699</v>
      </c>
      <c r="P647">
        <v>-9.8422299821276593E-2</v>
      </c>
      <c r="Q647">
        <v>7.0355374953659303E-2</v>
      </c>
      <c r="R647">
        <v>0.99417760603390004</v>
      </c>
      <c r="S647" t="s">
        <v>7293</v>
      </c>
      <c r="T647" t="s">
        <v>13290</v>
      </c>
      <c r="U647" t="s">
        <v>13290</v>
      </c>
      <c r="V647" t="s">
        <v>13290</v>
      </c>
      <c r="W647" t="s">
        <v>13927</v>
      </c>
      <c r="X647">
        <v>36</v>
      </c>
      <c r="Y647" t="s">
        <v>20516</v>
      </c>
      <c r="Z647" t="s">
        <v>26977</v>
      </c>
      <c r="AA647">
        <v>0.26649002378631897</v>
      </c>
      <c r="AB647" t="str">
        <f>HYPERLINK("Melting_Curves/meltCurve_F5GWX5_CHD4.pdf", "Melting_Curves/meltCurve_F5GWX5_CHD4.pdf")</f>
        <v>Melting_Curves/meltCurve_F5GWX5_CHD4.pdf</v>
      </c>
    </row>
    <row r="648" spans="1:28" x14ac:dyDescent="0.25">
      <c r="A648" t="s">
        <v>652</v>
      </c>
      <c r="B648">
        <v>0.99252571173614901</v>
      </c>
      <c r="C648">
        <v>1.00602450309736</v>
      </c>
      <c r="D648">
        <v>0.89430683526385002</v>
      </c>
      <c r="E648">
        <v>1.07059215827409</v>
      </c>
      <c r="F648">
        <v>0.77585342119190204</v>
      </c>
      <c r="G648">
        <v>0.70601177149048699</v>
      </c>
      <c r="H648">
        <v>0.62819396505686398</v>
      </c>
      <c r="I648">
        <v>0.99472853587535404</v>
      </c>
      <c r="J648">
        <v>1.7326596619460499</v>
      </c>
      <c r="K648">
        <v>1.3106042101156501</v>
      </c>
      <c r="L648">
        <v>15000</v>
      </c>
      <c r="M648">
        <v>230.37533425168601</v>
      </c>
      <c r="O648">
        <v>65.106241209251493</v>
      </c>
      <c r="P648">
        <v>0.44230662093440998</v>
      </c>
      <c r="Q648">
        <v>1.5</v>
      </c>
      <c r="R648">
        <v>0.58664324581975302</v>
      </c>
      <c r="S648" t="s">
        <v>7294</v>
      </c>
      <c r="T648" t="s">
        <v>13290</v>
      </c>
      <c r="U648" t="s">
        <v>13290</v>
      </c>
      <c r="V648" t="s">
        <v>13290</v>
      </c>
      <c r="W648" t="s">
        <v>13928</v>
      </c>
      <c r="X648">
        <v>9</v>
      </c>
      <c r="Y648" t="s">
        <v>20517</v>
      </c>
      <c r="Z648" t="s">
        <v>26978</v>
      </c>
      <c r="AA648">
        <v>1.0814137610987871</v>
      </c>
      <c r="AB648" t="str">
        <f>HYPERLINK("Melting_Curves/meltCurve_F5GWY5_PODXL.pdf", "Melting_Curves/meltCurve_F5GWY5_PODXL.pdf")</f>
        <v>Melting_Curves/meltCurve_F5GWY5_PODXL.pdf</v>
      </c>
    </row>
    <row r="649" spans="1:28" x14ac:dyDescent="0.25">
      <c r="A649" t="s">
        <v>653</v>
      </c>
      <c r="B649">
        <v>0.99252571173614901</v>
      </c>
      <c r="C649">
        <v>1.0867317541807799</v>
      </c>
      <c r="D649">
        <v>1.01832843195814</v>
      </c>
      <c r="E649">
        <v>1.02325932436101</v>
      </c>
      <c r="F649">
        <v>0.53960282362870404</v>
      </c>
      <c r="G649">
        <v>0.27899087789357702</v>
      </c>
      <c r="H649">
        <v>0.168743572440541</v>
      </c>
      <c r="I649">
        <v>0.11358563287793901</v>
      </c>
      <c r="J649">
        <v>0.130503610555637</v>
      </c>
      <c r="K649">
        <v>0.110509178413509</v>
      </c>
      <c r="L649">
        <v>1949.5995922079301</v>
      </c>
      <c r="M649">
        <v>36.599447855618003</v>
      </c>
      <c r="N649">
        <v>53.742925220515502</v>
      </c>
      <c r="O649">
        <v>53.1102940104334</v>
      </c>
      <c r="P649">
        <v>-0.148499968666474</v>
      </c>
      <c r="Q649">
        <v>0.13803613468443199</v>
      </c>
      <c r="R649">
        <v>0.98755445226118699</v>
      </c>
      <c r="S649" t="s">
        <v>7295</v>
      </c>
      <c r="T649" t="s">
        <v>13290</v>
      </c>
      <c r="U649" t="s">
        <v>13290</v>
      </c>
      <c r="V649" t="s">
        <v>13290</v>
      </c>
      <c r="W649" t="s">
        <v>13929</v>
      </c>
      <c r="X649">
        <v>9</v>
      </c>
      <c r="Y649" t="s">
        <v>20518</v>
      </c>
      <c r="Z649" t="s">
        <v>26979</v>
      </c>
      <c r="AA649">
        <v>0.52305629255563502</v>
      </c>
      <c r="AB649" t="str">
        <f>HYPERLINK("Melting_Curves/meltCurve_F5GX09_FAM76B.pdf", "Melting_Curves/meltCurve_F5GX09_FAM76B.pdf")</f>
        <v>Melting_Curves/meltCurve_F5GX09_FAM76B.pdf</v>
      </c>
    </row>
    <row r="650" spans="1:28" x14ac:dyDescent="0.25">
      <c r="A650" t="s">
        <v>654</v>
      </c>
      <c r="B650">
        <v>0.99252571173614901</v>
      </c>
      <c r="C650">
        <v>0.67591170741568796</v>
      </c>
      <c r="D650">
        <v>0.31751015935747301</v>
      </c>
      <c r="E650">
        <v>0.14199466339160799</v>
      </c>
      <c r="F650">
        <v>9.9071535999901802E-2</v>
      </c>
      <c r="G650">
        <v>6.1723657946076198E-2</v>
      </c>
      <c r="H650">
        <v>5.6698672703376501E-2</v>
      </c>
      <c r="I650">
        <v>6.9915259444370506E-2</v>
      </c>
      <c r="J650">
        <v>8.1138491361234993E-2</v>
      </c>
      <c r="K650">
        <v>0.103668415710859</v>
      </c>
      <c r="L650">
        <v>1165.8808778504999</v>
      </c>
      <c r="M650">
        <v>26.447142265568498</v>
      </c>
      <c r="N650">
        <v>44.373380102592201</v>
      </c>
      <c r="O650">
        <v>43.833712779037199</v>
      </c>
      <c r="P650">
        <v>-0.13886965390964701</v>
      </c>
      <c r="Q650">
        <v>7.9355121116004207E-2</v>
      </c>
      <c r="R650">
        <v>0.99434963226839601</v>
      </c>
      <c r="S650" t="s">
        <v>7296</v>
      </c>
      <c r="T650" t="s">
        <v>13290</v>
      </c>
      <c r="U650" t="s">
        <v>13290</v>
      </c>
      <c r="V650" t="s">
        <v>13290</v>
      </c>
      <c r="W650" t="s">
        <v>13930</v>
      </c>
      <c r="X650">
        <v>8</v>
      </c>
      <c r="Y650" t="s">
        <v>20519</v>
      </c>
      <c r="Z650" t="s">
        <v>26980</v>
      </c>
      <c r="AA650">
        <v>0.21372091652018901</v>
      </c>
      <c r="AB650" t="str">
        <f>HYPERLINK("Melting_Curves/meltCurve_F5GX28_KDM4B.pdf", "Melting_Curves/meltCurve_F5GX28_KDM4B.pdf")</f>
        <v>Melting_Curves/meltCurve_F5GX28_KDM4B.pdf</v>
      </c>
    </row>
    <row r="651" spans="1:28" x14ac:dyDescent="0.25">
      <c r="A651" t="s">
        <v>655</v>
      </c>
      <c r="B651">
        <v>0.99252571173614901</v>
      </c>
      <c r="C651">
        <v>0.87235689175529196</v>
      </c>
      <c r="D651">
        <v>1.2948480666877</v>
      </c>
      <c r="E651">
        <v>1.0790461929583699</v>
      </c>
      <c r="F651">
        <v>0.343662149540583</v>
      </c>
      <c r="G651">
        <v>0.13485586355347401</v>
      </c>
      <c r="H651">
        <v>7.9245398164333694E-2</v>
      </c>
      <c r="I651">
        <v>7.6591351660744503E-2</v>
      </c>
      <c r="J651">
        <v>9.3134124688151507E-2</v>
      </c>
      <c r="K651">
        <v>0.100374711280157</v>
      </c>
      <c r="L651">
        <v>13247.969941691001</v>
      </c>
      <c r="M651">
        <v>250</v>
      </c>
      <c r="N651">
        <v>53.0375506225595</v>
      </c>
      <c r="O651">
        <v>52.9884899473834</v>
      </c>
      <c r="P651">
        <v>-1.0652782188641701</v>
      </c>
      <c r="Q651">
        <v>9.6840276305568102E-2</v>
      </c>
      <c r="R651">
        <v>0.94891915678083905</v>
      </c>
      <c r="S651" t="s">
        <v>7297</v>
      </c>
      <c r="T651" t="s">
        <v>13290</v>
      </c>
      <c r="U651" t="s">
        <v>13290</v>
      </c>
      <c r="V651" t="s">
        <v>13290</v>
      </c>
      <c r="W651" t="s">
        <v>13931</v>
      </c>
      <c r="X651">
        <v>3</v>
      </c>
      <c r="Y651" t="s">
        <v>20520</v>
      </c>
      <c r="Z651" t="s">
        <v>26981</v>
      </c>
      <c r="AA651">
        <v>0.48804902143885709</v>
      </c>
      <c r="AB651" t="str">
        <f>HYPERLINK("Melting_Curves/meltCurve_F5GX82_FRYL.pdf", "Melting_Curves/meltCurve_F5GX82_FRYL.pdf")</f>
        <v>Melting_Curves/meltCurve_F5GX82_FRYL.pdf</v>
      </c>
    </row>
    <row r="652" spans="1:28" x14ac:dyDescent="0.25">
      <c r="A652" t="s">
        <v>656</v>
      </c>
      <c r="B652">
        <v>0.99252571173614901</v>
      </c>
      <c r="C652">
        <v>0.91802967286630299</v>
      </c>
      <c r="D652">
        <v>0.94994978874509695</v>
      </c>
      <c r="E652">
        <v>0.802865296941213</v>
      </c>
      <c r="F652">
        <v>0.11830513400621499</v>
      </c>
      <c r="G652">
        <v>8.1950511813139296E-2</v>
      </c>
      <c r="H652">
        <v>5.06732438964951E-2</v>
      </c>
      <c r="I652">
        <v>5.24823999294367E-2</v>
      </c>
      <c r="J652">
        <v>5.6053424244685901E-2</v>
      </c>
      <c r="K652">
        <v>5.6531514169116101E-2</v>
      </c>
      <c r="L652">
        <v>2885.0236700089999</v>
      </c>
      <c r="M652">
        <v>56.849959728065997</v>
      </c>
      <c r="N652">
        <v>50.859135603754801</v>
      </c>
      <c r="O652">
        <v>50.6853544238013</v>
      </c>
      <c r="P652">
        <v>-0.26403367639688602</v>
      </c>
      <c r="Q652">
        <v>5.83892267367195E-2</v>
      </c>
      <c r="R652">
        <v>0.994494171922225</v>
      </c>
      <c r="S652" t="s">
        <v>7298</v>
      </c>
      <c r="T652" t="s">
        <v>13290</v>
      </c>
      <c r="U652" t="s">
        <v>13290</v>
      </c>
      <c r="V652" t="s">
        <v>13290</v>
      </c>
      <c r="W652" t="s">
        <v>13932</v>
      </c>
      <c r="X652">
        <v>28</v>
      </c>
      <c r="Y652" t="s">
        <v>20521</v>
      </c>
      <c r="Z652" t="s">
        <v>26982</v>
      </c>
      <c r="AA652">
        <v>0.39736642152961432</v>
      </c>
      <c r="AB652" t="str">
        <f>HYPERLINK("Melting_Curves/meltCurve_F5GXC8_SUCLA2.pdf", "Melting_Curves/meltCurve_F5GXC8_SUCLA2.pdf")</f>
        <v>Melting_Curves/meltCurve_F5GXC8_SUCLA2.pdf</v>
      </c>
    </row>
    <row r="653" spans="1:28" x14ac:dyDescent="0.25">
      <c r="A653" t="s">
        <v>657</v>
      </c>
      <c r="B653">
        <v>0.99252571173614901</v>
      </c>
      <c r="C653">
        <v>0.87136811953481197</v>
      </c>
      <c r="D653">
        <v>0.82334085948674995</v>
      </c>
      <c r="E653">
        <v>0.71026286504313296</v>
      </c>
      <c r="F653">
        <v>0.24880886231913599</v>
      </c>
      <c r="G653">
        <v>0.14228892439129601</v>
      </c>
      <c r="H653">
        <v>9.8253197246534293E-2</v>
      </c>
      <c r="I653">
        <v>0.100153044853678</v>
      </c>
      <c r="J653">
        <v>0.107081880564492</v>
      </c>
      <c r="K653">
        <v>0.10242152166170899</v>
      </c>
      <c r="L653">
        <v>1051.96014796297</v>
      </c>
      <c r="M653">
        <v>20.876773145016799</v>
      </c>
      <c r="N653">
        <v>50.826148240226701</v>
      </c>
      <c r="O653">
        <v>49.933517042692301</v>
      </c>
      <c r="P653">
        <v>-9.5936144607437698E-2</v>
      </c>
      <c r="Q653">
        <v>8.2176637673547201E-2</v>
      </c>
      <c r="R653">
        <v>0.97724348467881605</v>
      </c>
      <c r="S653" t="s">
        <v>7299</v>
      </c>
      <c r="T653" t="s">
        <v>13290</v>
      </c>
      <c r="U653" t="s">
        <v>13290</v>
      </c>
      <c r="V653" t="s">
        <v>13290</v>
      </c>
      <c r="W653" t="s">
        <v>13933</v>
      </c>
      <c r="X653">
        <v>12</v>
      </c>
      <c r="Y653" t="s">
        <v>20522</v>
      </c>
      <c r="Z653" t="s">
        <v>26983</v>
      </c>
      <c r="AA653">
        <v>0.41176641311032042</v>
      </c>
      <c r="AB653" t="str">
        <f>HYPERLINK("Melting_Curves/meltCurve_F5GXE4_ATE1.pdf", "Melting_Curves/meltCurve_F5GXE4_ATE1.pdf")</f>
        <v>Melting_Curves/meltCurve_F5GXE4_ATE1.pdf</v>
      </c>
    </row>
    <row r="654" spans="1:28" x14ac:dyDescent="0.25">
      <c r="A654" t="s">
        <v>658</v>
      </c>
      <c r="B654">
        <v>0.99252571173614901</v>
      </c>
      <c r="C654">
        <v>0.54963405381279595</v>
      </c>
      <c r="D654">
        <v>0.258192173926998</v>
      </c>
      <c r="E654">
        <v>0.22724121927621499</v>
      </c>
      <c r="F654">
        <v>6.9590940898072606E-2</v>
      </c>
      <c r="G654">
        <v>6.0971652022041002E-2</v>
      </c>
      <c r="H654">
        <v>0</v>
      </c>
      <c r="I654">
        <v>0</v>
      </c>
      <c r="J654">
        <v>0</v>
      </c>
      <c r="K654">
        <v>0</v>
      </c>
      <c r="L654">
        <v>909.54258054363595</v>
      </c>
      <c r="M654">
        <v>20.779720949799898</v>
      </c>
      <c r="N654">
        <v>43.893972542149697</v>
      </c>
      <c r="O654">
        <v>43.371359289529799</v>
      </c>
      <c r="P654">
        <v>-0.116385797992339</v>
      </c>
      <c r="Q654">
        <v>2.8347102851126502E-2</v>
      </c>
      <c r="R654">
        <v>0.96099970496491005</v>
      </c>
      <c r="S654" t="s">
        <v>7300</v>
      </c>
      <c r="T654" t="s">
        <v>13290</v>
      </c>
      <c r="U654" t="s">
        <v>13290</v>
      </c>
      <c r="V654" t="s">
        <v>13290</v>
      </c>
      <c r="W654" t="s">
        <v>13934</v>
      </c>
      <c r="X654">
        <v>1</v>
      </c>
      <c r="Y654" t="s">
        <v>20523</v>
      </c>
      <c r="Z654" t="s">
        <v>26984</v>
      </c>
      <c r="AA654">
        <v>0.16847357152769279</v>
      </c>
      <c r="AB654" t="str">
        <f>HYPERLINK("Melting_Curves/meltCurve_F5GXF0_NR4A1.pdf", "Melting_Curves/meltCurve_F5GXF0_NR4A1.pdf")</f>
        <v>Melting_Curves/meltCurve_F5GXF0_NR4A1.pdf</v>
      </c>
    </row>
    <row r="655" spans="1:28" x14ac:dyDescent="0.25">
      <c r="A655" t="s">
        <v>659</v>
      </c>
      <c r="B655">
        <v>0.99252571173614901</v>
      </c>
      <c r="C655">
        <v>0.99683496313244502</v>
      </c>
      <c r="D655">
        <v>0.94353980567443696</v>
      </c>
      <c r="E655">
        <v>0.87658971806702701</v>
      </c>
      <c r="F655">
        <v>0.76672419944154802</v>
      </c>
      <c r="G655">
        <v>0.68084734232824295</v>
      </c>
      <c r="H655">
        <v>0.57619473313678105</v>
      </c>
      <c r="I655">
        <v>0.51771614195545601</v>
      </c>
      <c r="J655">
        <v>0.495016084207755</v>
      </c>
      <c r="K655">
        <v>0.42588224734876201</v>
      </c>
      <c r="L655">
        <v>568.79836875517503</v>
      </c>
      <c r="M655">
        <v>10.050774259401599</v>
      </c>
      <c r="N655">
        <v>65.056633894174496</v>
      </c>
      <c r="O655">
        <v>54.489092929657097</v>
      </c>
      <c r="P655">
        <v>-2.9306661424478499E-2</v>
      </c>
      <c r="Q655">
        <v>0.36477253724925401</v>
      </c>
      <c r="R655">
        <v>0.99642276892223303</v>
      </c>
      <c r="S655" t="s">
        <v>7301</v>
      </c>
      <c r="T655" t="s">
        <v>13290</v>
      </c>
      <c r="U655" t="s">
        <v>13290</v>
      </c>
      <c r="V655" t="s">
        <v>13290</v>
      </c>
      <c r="W655" t="s">
        <v>13935</v>
      </c>
      <c r="X655">
        <v>2</v>
      </c>
      <c r="Y655" t="s">
        <v>20524</v>
      </c>
      <c r="Z655" t="s">
        <v>26985</v>
      </c>
      <c r="AA655">
        <v>0.72758072702708776</v>
      </c>
      <c r="AB655" t="str">
        <f>HYPERLINK("Melting_Curves/meltCurve_F5GXK8_DNAJB11.pdf", "Melting_Curves/meltCurve_F5GXK8_DNAJB11.pdf")</f>
        <v>Melting_Curves/meltCurve_F5GXK8_DNAJB11.pdf</v>
      </c>
    </row>
    <row r="656" spans="1:28" x14ac:dyDescent="0.25">
      <c r="A656" t="s">
        <v>660</v>
      </c>
      <c r="B656">
        <v>0.99252571173614901</v>
      </c>
      <c r="C656">
        <v>0.869343169639477</v>
      </c>
      <c r="D656">
        <v>0.81731708087331401</v>
      </c>
      <c r="E656">
        <v>0.54973034997534198</v>
      </c>
      <c r="F656">
        <v>0.46586318295815599</v>
      </c>
      <c r="G656">
        <v>0.291203516804104</v>
      </c>
      <c r="H656">
        <v>0.211038877917198</v>
      </c>
      <c r="I656">
        <v>0.23243251376694199</v>
      </c>
      <c r="J656">
        <v>0.31833373797598302</v>
      </c>
      <c r="K656">
        <v>0.27716786914504199</v>
      </c>
      <c r="L656">
        <v>748.43297334430804</v>
      </c>
      <c r="M656">
        <v>15.336735414359101</v>
      </c>
      <c r="N656">
        <v>51.023135984073598</v>
      </c>
      <c r="O656">
        <v>47.992912035075001</v>
      </c>
      <c r="P656">
        <v>-6.0427433982567197E-2</v>
      </c>
      <c r="Q656">
        <v>0.24369290771977001</v>
      </c>
      <c r="R656">
        <v>0.97569234557365003</v>
      </c>
      <c r="S656" t="s">
        <v>7302</v>
      </c>
      <c r="T656" t="s">
        <v>13290</v>
      </c>
      <c r="U656" t="s">
        <v>13290</v>
      </c>
      <c r="V656" t="s">
        <v>13290</v>
      </c>
      <c r="W656" t="s">
        <v>13936</v>
      </c>
      <c r="X656">
        <v>2</v>
      </c>
      <c r="Y656" t="s">
        <v>20525</v>
      </c>
      <c r="Z656" t="s">
        <v>26986</v>
      </c>
      <c r="AA656">
        <v>0.48357109684056909</v>
      </c>
      <c r="AB656" t="str">
        <f>HYPERLINK("Melting_Curves/meltCurve_F5GXX5_DAD1.pdf", "Melting_Curves/meltCurve_F5GXX5_DAD1.pdf")</f>
        <v>Melting_Curves/meltCurve_F5GXX5_DAD1.pdf</v>
      </c>
    </row>
    <row r="657" spans="1:28" x14ac:dyDescent="0.25">
      <c r="A657" t="s">
        <v>661</v>
      </c>
      <c r="B657">
        <v>0.99252571173614901</v>
      </c>
      <c r="C657">
        <v>0.88342714990662696</v>
      </c>
      <c r="D657">
        <v>0.38821722388936802</v>
      </c>
      <c r="E657">
        <v>0.23145658841005101</v>
      </c>
      <c r="F657">
        <v>0.104776876927153</v>
      </c>
      <c r="G657">
        <v>7.9098080525115397E-2</v>
      </c>
      <c r="H657">
        <v>6.6081069174152796E-2</v>
      </c>
      <c r="I657">
        <v>9.33820964380188E-2</v>
      </c>
      <c r="J657">
        <v>0.11288288020180599</v>
      </c>
      <c r="K657">
        <v>0.104659718098256</v>
      </c>
      <c r="L657">
        <v>1424.9364308555801</v>
      </c>
      <c r="M657">
        <v>31.562079131871201</v>
      </c>
      <c r="N657">
        <v>45.474317866041297</v>
      </c>
      <c r="O657">
        <v>44.967023595269197</v>
      </c>
      <c r="P657">
        <v>-0.157649250289225</v>
      </c>
      <c r="Q657">
        <v>0.101582667222867</v>
      </c>
      <c r="R657">
        <v>0.990355666764973</v>
      </c>
      <c r="S657" t="s">
        <v>7303</v>
      </c>
      <c r="T657" t="s">
        <v>13290</v>
      </c>
      <c r="U657" t="s">
        <v>13290</v>
      </c>
      <c r="V657" t="s">
        <v>13290</v>
      </c>
      <c r="W657" t="s">
        <v>13937</v>
      </c>
      <c r="X657">
        <v>1</v>
      </c>
      <c r="Y657" t="s">
        <v>20526</v>
      </c>
      <c r="Z657" t="s">
        <v>26987</v>
      </c>
      <c r="AA657">
        <v>0.26079617597925808</v>
      </c>
      <c r="AB657" t="str">
        <f>HYPERLINK("Melting_Curves/meltCurve_F5GXY5_SASS6.pdf", "Melting_Curves/meltCurve_F5GXY5_SASS6.pdf")</f>
        <v>Melting_Curves/meltCurve_F5GXY5_SASS6.pdf</v>
      </c>
    </row>
    <row r="658" spans="1:28" x14ac:dyDescent="0.25">
      <c r="A658" t="s">
        <v>662</v>
      </c>
      <c r="B658">
        <v>0.99252571173614901</v>
      </c>
      <c r="C658">
        <v>0.96900847162202297</v>
      </c>
      <c r="D658">
        <v>1.0941142225852301</v>
      </c>
      <c r="E658">
        <v>0.83112241709568002</v>
      </c>
      <c r="F658">
        <v>0.80875796199845096</v>
      </c>
      <c r="G658">
        <v>0.43492718612100401</v>
      </c>
      <c r="H658">
        <v>0.19329939246879799</v>
      </c>
      <c r="I658">
        <v>0.158989839798166</v>
      </c>
      <c r="J658">
        <v>0.19815359988342601</v>
      </c>
      <c r="K658">
        <v>0.198410261854191</v>
      </c>
      <c r="L658">
        <v>1437.54084352831</v>
      </c>
      <c r="M658">
        <v>26.065386990860901</v>
      </c>
      <c r="N658">
        <v>56.009711155527299</v>
      </c>
      <c r="O658">
        <v>54.8297731109719</v>
      </c>
      <c r="P658">
        <v>-9.9278561306507099E-2</v>
      </c>
      <c r="Q658">
        <v>0.16466083710865401</v>
      </c>
      <c r="R658">
        <v>0.97596767268586804</v>
      </c>
      <c r="S658" t="s">
        <v>7304</v>
      </c>
      <c r="T658" t="s">
        <v>13290</v>
      </c>
      <c r="U658" t="s">
        <v>13290</v>
      </c>
      <c r="V658" t="s">
        <v>13290</v>
      </c>
      <c r="W658" t="s">
        <v>13938</v>
      </c>
      <c r="X658">
        <v>11</v>
      </c>
      <c r="Y658" t="s">
        <v>20527</v>
      </c>
      <c r="Z658" t="s">
        <v>26988</v>
      </c>
      <c r="AA658">
        <v>0.59372131204951117</v>
      </c>
      <c r="AB658" t="str">
        <f>HYPERLINK("Melting_Curves/meltCurve_F5GY56_PRPF19.pdf", "Melting_Curves/meltCurve_F5GY56_PRPF19.pdf")</f>
        <v>Melting_Curves/meltCurve_F5GY56_PRPF19.pdf</v>
      </c>
    </row>
    <row r="659" spans="1:28" x14ac:dyDescent="0.25">
      <c r="A659" t="s">
        <v>663</v>
      </c>
      <c r="B659">
        <v>0.99252571173614901</v>
      </c>
      <c r="C659">
        <v>0.77667419292845596</v>
      </c>
      <c r="D659">
        <v>0.63754855492178497</v>
      </c>
      <c r="E659">
        <v>0.424873056611133</v>
      </c>
      <c r="F659">
        <v>0.36019065193359001</v>
      </c>
      <c r="G659">
        <v>0.26807873353344502</v>
      </c>
      <c r="H659">
        <v>0.21762978924301701</v>
      </c>
      <c r="I659">
        <v>0.26778069029422502</v>
      </c>
      <c r="J659">
        <v>0.36532489280747898</v>
      </c>
      <c r="K659">
        <v>0.44297871597113597</v>
      </c>
      <c r="L659">
        <v>872.05190704297502</v>
      </c>
      <c r="M659">
        <v>19.242694540968099</v>
      </c>
      <c r="N659">
        <v>47.7466110481868</v>
      </c>
      <c r="O659">
        <v>44.837673360945999</v>
      </c>
      <c r="P659">
        <v>-7.3811566725484501E-2</v>
      </c>
      <c r="Q659">
        <v>0.312068604595443</v>
      </c>
      <c r="R659">
        <v>0.92877842586157899</v>
      </c>
      <c r="S659" t="s">
        <v>7305</v>
      </c>
      <c r="T659" t="s">
        <v>13290</v>
      </c>
      <c r="U659" t="s">
        <v>13290</v>
      </c>
      <c r="V659" t="s">
        <v>13290</v>
      </c>
      <c r="W659" t="s">
        <v>13939</v>
      </c>
      <c r="X659">
        <v>3</v>
      </c>
      <c r="Y659" t="s">
        <v>20528</v>
      </c>
      <c r="Z659" t="s">
        <v>26989</v>
      </c>
      <c r="AA659">
        <v>0.44634292511458662</v>
      </c>
      <c r="AB659" t="str">
        <f>HYPERLINK("Melting_Curves/meltCurve_F5GY92_GPBP1.pdf", "Melting_Curves/meltCurve_F5GY92_GPBP1.pdf")</f>
        <v>Melting_Curves/meltCurve_F5GY92_GPBP1.pdf</v>
      </c>
    </row>
    <row r="660" spans="1:28" x14ac:dyDescent="0.25">
      <c r="A660" t="s">
        <v>664</v>
      </c>
      <c r="B660">
        <v>0.99252571173614901</v>
      </c>
      <c r="C660">
        <v>1.2167397293979201</v>
      </c>
      <c r="D660">
        <v>1.1045504947507501</v>
      </c>
      <c r="E660">
        <v>1.4484628334733101</v>
      </c>
      <c r="F660">
        <v>1.1622783593493999</v>
      </c>
      <c r="G660">
        <v>1.85034767049048</v>
      </c>
      <c r="H660">
        <v>2.06748802683587</v>
      </c>
      <c r="I660">
        <v>6.3063899567202899</v>
      </c>
      <c r="J660">
        <v>7.4042334203154399</v>
      </c>
      <c r="K660">
        <v>3.9408642526875299</v>
      </c>
      <c r="L660">
        <v>1390.2786111338</v>
      </c>
      <c r="M660">
        <v>29.456832935064899</v>
      </c>
      <c r="O660">
        <v>46.981236365738503</v>
      </c>
      <c r="P660">
        <v>7.8374478941497794E-2</v>
      </c>
      <c r="Q660">
        <v>1.5</v>
      </c>
      <c r="R660">
        <v>-0.30689183070305698</v>
      </c>
      <c r="S660" t="s">
        <v>7306</v>
      </c>
      <c r="T660" t="s">
        <v>13290</v>
      </c>
      <c r="U660" t="s">
        <v>13290</v>
      </c>
      <c r="V660" t="s">
        <v>13290</v>
      </c>
      <c r="W660" t="s">
        <v>13940</v>
      </c>
      <c r="X660">
        <v>6</v>
      </c>
      <c r="Y660" t="s">
        <v>20529</v>
      </c>
      <c r="Z660" t="s">
        <v>26990</v>
      </c>
      <c r="AA660">
        <v>1.3769297689452029</v>
      </c>
      <c r="AB660" t="str">
        <f>HYPERLINK("Melting_Curves/meltCurve_F5GY98_HN1.pdf", "Melting_Curves/meltCurve_F5GY98_HN1.pdf")</f>
        <v>Melting_Curves/meltCurve_F5GY98_HN1.pdf</v>
      </c>
    </row>
    <row r="661" spans="1:28" x14ac:dyDescent="0.25">
      <c r="A661" t="s">
        <v>665</v>
      </c>
      <c r="B661">
        <v>0.99252571173614901</v>
      </c>
      <c r="C661">
        <v>0.87950596414608195</v>
      </c>
      <c r="D661">
        <v>0.788937818502084</v>
      </c>
      <c r="E661">
        <v>0.80805897881751798</v>
      </c>
      <c r="F661">
        <v>0.27954325938579999</v>
      </c>
      <c r="G661">
        <v>0.182049471027114</v>
      </c>
      <c r="H661">
        <v>0.13824730749070099</v>
      </c>
      <c r="I661">
        <v>0.123498040350287</v>
      </c>
      <c r="J661">
        <v>0.17735530942791999</v>
      </c>
      <c r="K661">
        <v>0.18842128811894901</v>
      </c>
      <c r="S661" t="s">
        <v>7307</v>
      </c>
      <c r="T661" t="s">
        <v>13290</v>
      </c>
      <c r="U661" t="s">
        <v>13291</v>
      </c>
      <c r="V661" t="s">
        <v>13290</v>
      </c>
      <c r="W661" t="s">
        <v>13941</v>
      </c>
      <c r="X661">
        <v>3</v>
      </c>
      <c r="Y661" t="s">
        <v>20530</v>
      </c>
      <c r="Z661" t="s">
        <v>26991</v>
      </c>
      <c r="AB661" t="str">
        <f>HYPERLINK("Melting_Curves/meltCurve_F5GY99_GALNT1.pdf", "Melting_Curves/meltCurve_F5GY99_GALNT1.pdf")</f>
        <v>Melting_Curves/meltCurve_F5GY99_GALNT1.pdf</v>
      </c>
    </row>
    <row r="662" spans="1:28" x14ac:dyDescent="0.25">
      <c r="A662" t="s">
        <v>666</v>
      </c>
      <c r="B662">
        <v>0.99252571173614901</v>
      </c>
      <c r="C662">
        <v>1.0514687896750501</v>
      </c>
      <c r="D662">
        <v>1.0367925490476</v>
      </c>
      <c r="E662">
        <v>1.0869406539033599</v>
      </c>
      <c r="F662">
        <v>0.92501695459581401</v>
      </c>
      <c r="G662">
        <v>0.82772667188776805</v>
      </c>
      <c r="H662">
        <v>0.54756936711360504</v>
      </c>
      <c r="I662">
        <v>0.39909222583530901</v>
      </c>
      <c r="J662">
        <v>0.42926324082759199</v>
      </c>
      <c r="K662">
        <v>0.43549634881732402</v>
      </c>
      <c r="L662">
        <v>1834.9538814092</v>
      </c>
      <c r="M662">
        <v>31.4906168032654</v>
      </c>
      <c r="N662">
        <v>61.632920013054701</v>
      </c>
      <c r="O662">
        <v>58.036390180544998</v>
      </c>
      <c r="P662">
        <v>-7.9991260318579505E-2</v>
      </c>
      <c r="Q662">
        <v>0.41031589928082701</v>
      </c>
      <c r="R662">
        <v>0.97705506123142705</v>
      </c>
      <c r="S662" t="s">
        <v>7308</v>
      </c>
      <c r="T662" t="s">
        <v>13290</v>
      </c>
      <c r="U662" t="s">
        <v>13290</v>
      </c>
      <c r="V662" t="s">
        <v>13290</v>
      </c>
      <c r="W662" t="s">
        <v>13740</v>
      </c>
      <c r="X662">
        <v>2</v>
      </c>
      <c r="Z662" t="s">
        <v>26992</v>
      </c>
      <c r="AA662">
        <v>0.77299466415866713</v>
      </c>
      <c r="AB662" t="str">
        <f>HYPERLINK("Melting_Curves/meltCurve_F5GYJ5_.pdf", "Melting_Curves/meltCurve_F5GYJ5_.pdf")</f>
        <v>Melting_Curves/meltCurve_F5GYJ5_.pdf</v>
      </c>
    </row>
    <row r="663" spans="1:28" x14ac:dyDescent="0.25">
      <c r="A663" t="s">
        <v>667</v>
      </c>
      <c r="B663">
        <v>0.99252571173614901</v>
      </c>
      <c r="C663">
        <v>1.09326045942165</v>
      </c>
      <c r="D663">
        <v>0.96044120424888202</v>
      </c>
      <c r="E663">
        <v>0.73228297465719305</v>
      </c>
      <c r="F663">
        <v>0.381260524113265</v>
      </c>
      <c r="G663">
        <v>0.12611408782792299</v>
      </c>
      <c r="H663">
        <v>8.3569964176411105E-2</v>
      </c>
      <c r="I663">
        <v>8.3785213901293107E-2</v>
      </c>
      <c r="J663">
        <v>9.4080317996857704E-2</v>
      </c>
      <c r="K663">
        <v>8.8985613836183697E-2</v>
      </c>
      <c r="L663">
        <v>1342.52803457143</v>
      </c>
      <c r="M663">
        <v>26.075135864839801</v>
      </c>
      <c r="N663">
        <v>51.826287738280698</v>
      </c>
      <c r="O663">
        <v>51.186915872703402</v>
      </c>
      <c r="P663">
        <v>-0.117358584404674</v>
      </c>
      <c r="Q663">
        <v>7.8484831435854496E-2</v>
      </c>
      <c r="R663">
        <v>0.99301122340232795</v>
      </c>
      <c r="S663" t="s">
        <v>7309</v>
      </c>
      <c r="T663" t="s">
        <v>13290</v>
      </c>
      <c r="U663" t="s">
        <v>13290</v>
      </c>
      <c r="V663" t="s">
        <v>13290</v>
      </c>
      <c r="W663" t="s">
        <v>13942</v>
      </c>
      <c r="X663">
        <v>17</v>
      </c>
      <c r="Y663" t="s">
        <v>20531</v>
      </c>
      <c r="Z663" t="s">
        <v>26993</v>
      </c>
      <c r="AA663">
        <v>0.43903770074254239</v>
      </c>
      <c r="AB663" t="str">
        <f>HYPERLINK("Melting_Curves/meltCurve_F5GYN4_OTUB1.pdf", "Melting_Curves/meltCurve_F5GYN4_OTUB1.pdf")</f>
        <v>Melting_Curves/meltCurve_F5GYN4_OTUB1.pdf</v>
      </c>
    </row>
    <row r="664" spans="1:28" x14ac:dyDescent="0.25">
      <c r="A664" t="s">
        <v>668</v>
      </c>
      <c r="B664">
        <v>0.99252571173614901</v>
      </c>
      <c r="C664">
        <v>0.98418341678551902</v>
      </c>
      <c r="D664">
        <v>0.87296746592475305</v>
      </c>
      <c r="E664">
        <v>0.76898556354788605</v>
      </c>
      <c r="F664">
        <v>0.555523174296088</v>
      </c>
      <c r="G664">
        <v>0.37112014905412599</v>
      </c>
      <c r="H664">
        <v>0.17795782259402701</v>
      </c>
      <c r="I664">
        <v>0.156803011673392</v>
      </c>
      <c r="J664">
        <v>0.16538882908393501</v>
      </c>
      <c r="K664">
        <v>0.126664045730455</v>
      </c>
      <c r="L664">
        <v>754.45921348043601</v>
      </c>
      <c r="M664">
        <v>14.185302133813799</v>
      </c>
      <c r="N664">
        <v>53.957972822908502</v>
      </c>
      <c r="O664">
        <v>52.162478655986199</v>
      </c>
      <c r="P664">
        <v>-6.1749950121074898E-2</v>
      </c>
      <c r="Q664">
        <v>9.1841690455147201E-2</v>
      </c>
      <c r="R664">
        <v>0.99568951260128502</v>
      </c>
      <c r="S664" t="s">
        <v>7310</v>
      </c>
      <c r="T664" t="s">
        <v>13290</v>
      </c>
      <c r="U664" t="s">
        <v>13290</v>
      </c>
      <c r="V664" t="s">
        <v>13290</v>
      </c>
      <c r="W664" t="s">
        <v>13943</v>
      </c>
      <c r="X664">
        <v>10</v>
      </c>
      <c r="Y664" t="s">
        <v>20532</v>
      </c>
      <c r="Z664" t="s">
        <v>26994</v>
      </c>
      <c r="AA664">
        <v>0.51188816483041732</v>
      </c>
      <c r="AB664" t="str">
        <f>HYPERLINK("Melting_Curves/meltCurve_F5GYQ1_ATP6V0D1.pdf", "Melting_Curves/meltCurve_F5GYQ1_ATP6V0D1.pdf")</f>
        <v>Melting_Curves/meltCurve_F5GYQ1_ATP6V0D1.pdf</v>
      </c>
    </row>
    <row r="665" spans="1:28" x14ac:dyDescent="0.25">
      <c r="A665" t="s">
        <v>669</v>
      </c>
      <c r="B665">
        <v>0.99252571173614901</v>
      </c>
      <c r="C665">
        <v>0.86508350925907096</v>
      </c>
      <c r="D665">
        <v>0.80929939462643297</v>
      </c>
      <c r="E665">
        <v>0.56801615164032004</v>
      </c>
      <c r="F665">
        <v>0.23352575935498099</v>
      </c>
      <c r="G665">
        <v>0.15341187016897101</v>
      </c>
      <c r="H665">
        <v>0.110408507191012</v>
      </c>
      <c r="I665">
        <v>0.11130288712667399</v>
      </c>
      <c r="J665">
        <v>8.0128149014835295E-2</v>
      </c>
      <c r="K665">
        <v>6.7636869897799601E-2</v>
      </c>
      <c r="L665">
        <v>848.16294144278095</v>
      </c>
      <c r="M665">
        <v>17.149828673380199</v>
      </c>
      <c r="N665">
        <v>49.885183772785602</v>
      </c>
      <c r="O665">
        <v>48.798312943587</v>
      </c>
      <c r="P665">
        <v>-8.1840125490916196E-2</v>
      </c>
      <c r="Q665">
        <v>6.8580400994454102E-2</v>
      </c>
      <c r="R665">
        <v>0.99143806488247499</v>
      </c>
      <c r="S665" t="s">
        <v>7311</v>
      </c>
      <c r="T665" t="s">
        <v>13290</v>
      </c>
      <c r="U665" t="s">
        <v>13290</v>
      </c>
      <c r="V665" t="s">
        <v>13290</v>
      </c>
      <c r="W665" t="s">
        <v>13944</v>
      </c>
      <c r="X665">
        <v>2</v>
      </c>
      <c r="Y665" t="s">
        <v>20533</v>
      </c>
      <c r="Z665" t="s">
        <v>26995</v>
      </c>
      <c r="AA665">
        <v>0.37974635822289288</v>
      </c>
      <c r="AB665" t="str">
        <f>HYPERLINK("Melting_Curves/meltCurve_F5GYV3_TM7SF2.pdf", "Melting_Curves/meltCurve_F5GYV3_TM7SF2.pdf")</f>
        <v>Melting_Curves/meltCurve_F5GYV3_TM7SF2.pdf</v>
      </c>
    </row>
    <row r="666" spans="1:28" x14ac:dyDescent="0.25">
      <c r="A666" t="s">
        <v>670</v>
      </c>
      <c r="B666">
        <v>0.99252571173614901</v>
      </c>
      <c r="C666">
        <v>1.04342335811534</v>
      </c>
      <c r="D666">
        <v>0.92210713557686597</v>
      </c>
      <c r="E666">
        <v>0.73813066641124103</v>
      </c>
      <c r="F666">
        <v>0.61694799733671701</v>
      </c>
      <c r="G666">
        <v>0.44641589223265299</v>
      </c>
      <c r="H666">
        <v>0.29947318382201499</v>
      </c>
      <c r="I666">
        <v>0.20333188891328799</v>
      </c>
      <c r="J666">
        <v>0.18779207033311901</v>
      </c>
      <c r="K666">
        <v>0.19636606718087199</v>
      </c>
      <c r="L666">
        <v>705.83591153693806</v>
      </c>
      <c r="M666">
        <v>13.109099163240501</v>
      </c>
      <c r="N666">
        <v>55.185723169440301</v>
      </c>
      <c r="O666">
        <v>52.636478459413397</v>
      </c>
      <c r="P666">
        <v>-5.3770990523863998E-2</v>
      </c>
      <c r="Q666">
        <v>0.13652902566672701</v>
      </c>
      <c r="R666">
        <v>0.99082818337392697</v>
      </c>
      <c r="S666" t="s">
        <v>7312</v>
      </c>
      <c r="T666" t="s">
        <v>13290</v>
      </c>
      <c r="U666" t="s">
        <v>13290</v>
      </c>
      <c r="V666" t="s">
        <v>13290</v>
      </c>
      <c r="W666" t="s">
        <v>13945</v>
      </c>
      <c r="X666">
        <v>9</v>
      </c>
      <c r="Y666" t="s">
        <v>20534</v>
      </c>
      <c r="Z666" t="s">
        <v>26996</v>
      </c>
      <c r="AA666">
        <v>0.5558879815221609</v>
      </c>
      <c r="AB666" t="str">
        <f>HYPERLINK("Melting_Curves/meltCurve_F5GZ78_PXN.pdf", "Melting_Curves/meltCurve_F5GZ78_PXN.pdf")</f>
        <v>Melting_Curves/meltCurve_F5GZ78_PXN.pdf</v>
      </c>
    </row>
    <row r="667" spans="1:28" x14ac:dyDescent="0.25">
      <c r="A667" t="s">
        <v>671</v>
      </c>
      <c r="B667">
        <v>0.99252571173614901</v>
      </c>
      <c r="C667">
        <v>0.93716317743056199</v>
      </c>
      <c r="D667">
        <v>0.73748258993657101</v>
      </c>
      <c r="E667">
        <v>0.65701483968038499</v>
      </c>
      <c r="F667">
        <v>0.559318980367006</v>
      </c>
      <c r="G667">
        <v>0.414438380535189</v>
      </c>
      <c r="H667">
        <v>0.42074504895055698</v>
      </c>
      <c r="I667">
        <v>0.44543406503289101</v>
      </c>
      <c r="J667">
        <v>0.70180793169780797</v>
      </c>
      <c r="K667">
        <v>0.63177052926586397</v>
      </c>
      <c r="L667">
        <v>1042.0724370181299</v>
      </c>
      <c r="M667">
        <v>22.636614740312901</v>
      </c>
      <c r="O667">
        <v>45.680064371003802</v>
      </c>
      <c r="P667">
        <v>-5.8344978292699301E-2</v>
      </c>
      <c r="Q667">
        <v>0.52905510823742297</v>
      </c>
      <c r="R667">
        <v>0.78882653126643298</v>
      </c>
      <c r="S667" t="s">
        <v>7313</v>
      </c>
      <c r="T667" t="s">
        <v>13290</v>
      </c>
      <c r="U667" t="s">
        <v>13290</v>
      </c>
      <c r="V667" t="s">
        <v>13290</v>
      </c>
      <c r="W667" t="s">
        <v>13946</v>
      </c>
      <c r="X667">
        <v>4</v>
      </c>
      <c r="Y667" t="s">
        <v>20535</v>
      </c>
      <c r="Z667" t="s">
        <v>26997</v>
      </c>
      <c r="AA667">
        <v>0.62925212266771946</v>
      </c>
      <c r="AB667" t="str">
        <f>HYPERLINK("Melting_Curves/meltCurve_F5GZH3_PLEKHB1.pdf", "Melting_Curves/meltCurve_F5GZH3_PLEKHB1.pdf")</f>
        <v>Melting_Curves/meltCurve_F5GZH3_PLEKHB1.pdf</v>
      </c>
    </row>
    <row r="668" spans="1:28" x14ac:dyDescent="0.25">
      <c r="A668" t="s">
        <v>672</v>
      </c>
      <c r="B668">
        <v>0.99252571173614901</v>
      </c>
      <c r="C668">
        <v>0.96304371980317505</v>
      </c>
      <c r="D668">
        <v>0.94882994130629905</v>
      </c>
      <c r="E668">
        <v>0.83199670801765602</v>
      </c>
      <c r="F668">
        <v>0.25255723409241598</v>
      </c>
      <c r="G668">
        <v>0.12411731370067899</v>
      </c>
      <c r="H668">
        <v>8.9807964559436307E-2</v>
      </c>
      <c r="I668">
        <v>9.7574808189750395E-2</v>
      </c>
      <c r="J668">
        <v>0.118012178872632</v>
      </c>
      <c r="K668">
        <v>0.13219009157518899</v>
      </c>
      <c r="L668">
        <v>2240.0755490377201</v>
      </c>
      <c r="M668">
        <v>43.735953317745299</v>
      </c>
      <c r="N668">
        <v>51.508868602774101</v>
      </c>
      <c r="O668">
        <v>51.111438477746802</v>
      </c>
      <c r="P668">
        <v>-0.19052823597589899</v>
      </c>
      <c r="Q668">
        <v>0.109368159528703</v>
      </c>
      <c r="R668">
        <v>0.99704171264538899</v>
      </c>
      <c r="S668" t="s">
        <v>7314</v>
      </c>
      <c r="T668" t="s">
        <v>13290</v>
      </c>
      <c r="U668" t="s">
        <v>13290</v>
      </c>
      <c r="V668" t="s">
        <v>13290</v>
      </c>
      <c r="W668" t="s">
        <v>13947</v>
      </c>
      <c r="X668">
        <v>25</v>
      </c>
      <c r="Y668" t="s">
        <v>20536</v>
      </c>
      <c r="Z668" t="s">
        <v>26998</v>
      </c>
      <c r="AA668">
        <v>0.44504411155873252</v>
      </c>
      <c r="AB668" t="str">
        <f>HYPERLINK("Melting_Curves/meltCurve_F5GZS0_DHX36.pdf", "Melting_Curves/meltCurve_F5GZS0_DHX36.pdf")</f>
        <v>Melting_Curves/meltCurve_F5GZS0_DHX36.pdf</v>
      </c>
    </row>
    <row r="669" spans="1:28" x14ac:dyDescent="0.25">
      <c r="A669" t="s">
        <v>673</v>
      </c>
      <c r="B669">
        <v>0.99252571173614901</v>
      </c>
      <c r="C669">
        <v>0.88073354076560095</v>
      </c>
      <c r="D669">
        <v>0.90380672162770703</v>
      </c>
      <c r="E669">
        <v>0.87701354990574398</v>
      </c>
      <c r="F669">
        <v>0.80176224022366704</v>
      </c>
      <c r="G669">
        <v>0.71134076078665498</v>
      </c>
      <c r="H669">
        <v>0.45586310147053299</v>
      </c>
      <c r="I669">
        <v>0.29406382715857199</v>
      </c>
      <c r="J669">
        <v>0.37277301631086102</v>
      </c>
      <c r="K669">
        <v>0.207542544922342</v>
      </c>
      <c r="L669">
        <v>545.563825513648</v>
      </c>
      <c r="M669">
        <v>9.0147163464495303</v>
      </c>
      <c r="N669">
        <v>60.519239513207502</v>
      </c>
      <c r="O669">
        <v>57.763780679350702</v>
      </c>
      <c r="P669">
        <v>-3.9043595242497897E-2</v>
      </c>
      <c r="Q669">
        <v>0</v>
      </c>
      <c r="R669">
        <v>0.95809054872785804</v>
      </c>
      <c r="S669" t="s">
        <v>7315</v>
      </c>
      <c r="T669" t="s">
        <v>13290</v>
      </c>
      <c r="U669" t="s">
        <v>13290</v>
      </c>
      <c r="V669" t="s">
        <v>13290</v>
      </c>
      <c r="W669" t="s">
        <v>13948</v>
      </c>
      <c r="X669">
        <v>24</v>
      </c>
      <c r="Y669" t="s">
        <v>20537</v>
      </c>
      <c r="Z669" t="s">
        <v>26999</v>
      </c>
      <c r="AA669">
        <v>0.67057460946037561</v>
      </c>
      <c r="AB669" t="str">
        <f>HYPERLINK("Melting_Curves/meltCurve_F5GZS6_SLC3A2.pdf", "Melting_Curves/meltCurve_F5GZS6_SLC3A2.pdf")</f>
        <v>Melting_Curves/meltCurve_F5GZS6_SLC3A2.pdf</v>
      </c>
    </row>
    <row r="670" spans="1:28" x14ac:dyDescent="0.25">
      <c r="A670" t="s">
        <v>674</v>
      </c>
      <c r="B670">
        <v>0.99252571173614901</v>
      </c>
      <c r="C670">
        <v>0.96287782366752495</v>
      </c>
      <c r="D670">
        <v>0.77377911440574898</v>
      </c>
      <c r="E670">
        <v>0.32714229296228903</v>
      </c>
      <c r="F670">
        <v>0.11304860746874899</v>
      </c>
      <c r="G670">
        <v>6.9809232821706299E-2</v>
      </c>
      <c r="H670">
        <v>5.3052012196033199E-2</v>
      </c>
      <c r="I670">
        <v>6.9187768304224795E-2</v>
      </c>
      <c r="J670">
        <v>8.1523389670445701E-2</v>
      </c>
      <c r="K670">
        <v>8.8878578500987404E-2</v>
      </c>
      <c r="L670">
        <v>1352.1588474913699</v>
      </c>
      <c r="M670">
        <v>28.246867113315599</v>
      </c>
      <c r="N670">
        <v>48.121754242683302</v>
      </c>
      <c r="O670">
        <v>47.631345553439203</v>
      </c>
      <c r="P670">
        <v>-0.13805062979028601</v>
      </c>
      <c r="Q670">
        <v>6.8854958452589599E-2</v>
      </c>
      <c r="R670">
        <v>0.99922776334515395</v>
      </c>
      <c r="S670" t="s">
        <v>7316</v>
      </c>
      <c r="T670" t="s">
        <v>13290</v>
      </c>
      <c r="U670" t="s">
        <v>13290</v>
      </c>
      <c r="V670" t="s">
        <v>13290</v>
      </c>
      <c r="W670" t="s">
        <v>13949</v>
      </c>
      <c r="X670">
        <v>12</v>
      </c>
      <c r="Y670" t="s">
        <v>20538</v>
      </c>
      <c r="Z670" t="s">
        <v>27000</v>
      </c>
      <c r="AA670">
        <v>0.31945864360184101</v>
      </c>
      <c r="AB670" t="str">
        <f>HYPERLINK("Melting_Curves/meltCurve_F5GZX9_FAM120B.pdf", "Melting_Curves/meltCurve_F5GZX9_FAM120B.pdf")</f>
        <v>Melting_Curves/meltCurve_F5GZX9_FAM120B.pdf</v>
      </c>
    </row>
    <row r="671" spans="1:28" x14ac:dyDescent="0.25">
      <c r="A671" t="s">
        <v>675</v>
      </c>
      <c r="B671">
        <v>0.99252571173614901</v>
      </c>
      <c r="C671">
        <v>0.99279759054945904</v>
      </c>
      <c r="D671">
        <v>0.74120198823718197</v>
      </c>
      <c r="E671">
        <v>0.54352618341094905</v>
      </c>
      <c r="F671">
        <v>0.33128790334770097</v>
      </c>
      <c r="G671">
        <v>0.253749940223711</v>
      </c>
      <c r="H671">
        <v>0.225480130265512</v>
      </c>
      <c r="I671">
        <v>0.32409401162750501</v>
      </c>
      <c r="J671">
        <v>0.385371897684266</v>
      </c>
      <c r="K671">
        <v>0.37686294277432397</v>
      </c>
      <c r="L671">
        <v>1152.6527888539399</v>
      </c>
      <c r="M671">
        <v>24.2677789150978</v>
      </c>
      <c r="N671">
        <v>49.472721199355398</v>
      </c>
      <c r="O671">
        <v>47.178256338960402</v>
      </c>
      <c r="P671">
        <v>-8.8697750322392396E-2</v>
      </c>
      <c r="Q671">
        <v>0.31027201004860999</v>
      </c>
      <c r="R671">
        <v>0.96140622762162198</v>
      </c>
      <c r="S671" t="s">
        <v>7317</v>
      </c>
      <c r="T671" t="s">
        <v>13290</v>
      </c>
      <c r="U671" t="s">
        <v>13290</v>
      </c>
      <c r="V671" t="s">
        <v>13290</v>
      </c>
      <c r="W671" t="s">
        <v>13950</v>
      </c>
      <c r="X671">
        <v>1</v>
      </c>
      <c r="Y671" t="s">
        <v>20539</v>
      </c>
      <c r="Z671" t="s">
        <v>27001</v>
      </c>
      <c r="AA671">
        <v>0.48916126332272891</v>
      </c>
      <c r="AB671" t="str">
        <f>HYPERLINK("Melting_Curves/meltCurve_F5GZZ0_ALKBH2.pdf", "Melting_Curves/meltCurve_F5GZZ0_ALKBH2.pdf")</f>
        <v>Melting_Curves/meltCurve_F5GZZ0_ALKBH2.pdf</v>
      </c>
    </row>
    <row r="672" spans="1:28" x14ac:dyDescent="0.25">
      <c r="A672" t="s">
        <v>676</v>
      </c>
      <c r="B672">
        <v>0.99252571173614901</v>
      </c>
      <c r="C672">
        <v>0.84702437630385297</v>
      </c>
      <c r="D672">
        <v>0.73016281436545805</v>
      </c>
      <c r="E672">
        <v>0.30968273162718402</v>
      </c>
      <c r="F672">
        <v>0.13953712449160199</v>
      </c>
      <c r="G672">
        <v>8.5495648603392996E-2</v>
      </c>
      <c r="H672">
        <v>7.0831607352480702E-2</v>
      </c>
      <c r="I672">
        <v>6.8036173201046393E-2</v>
      </c>
      <c r="J672">
        <v>7.8585369654860099E-2</v>
      </c>
      <c r="K672">
        <v>7.3554913781584699E-2</v>
      </c>
      <c r="L672">
        <v>1025.1093244338001</v>
      </c>
      <c r="M672">
        <v>21.605034812564899</v>
      </c>
      <c r="N672">
        <v>47.755653285782401</v>
      </c>
      <c r="O672">
        <v>47.046805677896003</v>
      </c>
      <c r="P672">
        <v>-0.107343492102003</v>
      </c>
      <c r="Q672">
        <v>6.50236984797119E-2</v>
      </c>
      <c r="R672">
        <v>0.99413298831080998</v>
      </c>
      <c r="S672" t="s">
        <v>7318</v>
      </c>
      <c r="T672" t="s">
        <v>13290</v>
      </c>
      <c r="U672" t="s">
        <v>13290</v>
      </c>
      <c r="V672" t="s">
        <v>13290</v>
      </c>
      <c r="W672" t="s">
        <v>13951</v>
      </c>
      <c r="X672">
        <v>5</v>
      </c>
      <c r="Y672" t="s">
        <v>20540</v>
      </c>
      <c r="Z672" t="s">
        <v>27002</v>
      </c>
      <c r="AA672">
        <v>0.30852884703788841</v>
      </c>
      <c r="AB672" t="str">
        <f>HYPERLINK("Melting_Curves/meltCurve_F5H012_TRIM21.pdf", "Melting_Curves/meltCurve_F5H012_TRIM21.pdf")</f>
        <v>Melting_Curves/meltCurve_F5H012_TRIM21.pdf</v>
      </c>
    </row>
    <row r="673" spans="1:28" x14ac:dyDescent="0.25">
      <c r="A673" t="s">
        <v>677</v>
      </c>
      <c r="B673">
        <v>0.99252571173614901</v>
      </c>
      <c r="C673">
        <v>1.1273122963103801</v>
      </c>
      <c r="D673">
        <v>1.0191776277300899</v>
      </c>
      <c r="E673">
        <v>0.93640214941583599</v>
      </c>
      <c r="F673">
        <v>0.81535426045330395</v>
      </c>
      <c r="G673">
        <v>0.78400584358852499</v>
      </c>
      <c r="H673">
        <v>0.84184756638921998</v>
      </c>
      <c r="I673">
        <v>1.1055400958205199</v>
      </c>
      <c r="J673">
        <v>1.5309338669452</v>
      </c>
      <c r="K673">
        <v>1.6893465676268999</v>
      </c>
      <c r="L673">
        <v>15000</v>
      </c>
      <c r="M673">
        <v>233.05672565018699</v>
      </c>
      <c r="O673">
        <v>64.357274606305793</v>
      </c>
      <c r="P673">
        <v>0.45266197727044</v>
      </c>
      <c r="Q673">
        <v>1.5</v>
      </c>
      <c r="R673">
        <v>0.80180970906537796</v>
      </c>
      <c r="S673" t="s">
        <v>7319</v>
      </c>
      <c r="T673" t="s">
        <v>13290</v>
      </c>
      <c r="U673" t="s">
        <v>13290</v>
      </c>
      <c r="V673" t="s">
        <v>13290</v>
      </c>
      <c r="W673" t="s">
        <v>13952</v>
      </c>
      <c r="X673">
        <v>18</v>
      </c>
      <c r="Y673" t="s">
        <v>20541</v>
      </c>
      <c r="Z673" t="s">
        <v>27003</v>
      </c>
      <c r="AA673">
        <v>1.093901460833669</v>
      </c>
      <c r="AB673" t="str">
        <f>HYPERLINK("Melting_Curves/meltCurve_F5H0B0_TPD52.pdf", "Melting_Curves/meltCurve_F5H0B0_TPD52.pdf")</f>
        <v>Melting_Curves/meltCurve_F5H0B0_TPD52.pdf</v>
      </c>
    </row>
    <row r="674" spans="1:28" x14ac:dyDescent="0.25">
      <c r="A674" t="s">
        <v>678</v>
      </c>
      <c r="B674">
        <v>0.99252571173614901</v>
      </c>
      <c r="C674">
        <v>0.65269524487434805</v>
      </c>
      <c r="D674">
        <v>0.857724727211439</v>
      </c>
      <c r="E674">
        <v>0.65428055685437703</v>
      </c>
      <c r="F674">
        <v>0.28151094896926399</v>
      </c>
      <c r="G674">
        <v>0.113147000691822</v>
      </c>
      <c r="H674">
        <v>6.0302605314324902E-2</v>
      </c>
      <c r="I674">
        <v>8.3244127720555894E-2</v>
      </c>
      <c r="J674">
        <v>9.3097978322114097E-2</v>
      </c>
      <c r="K674">
        <v>9.1333908059351807E-2</v>
      </c>
      <c r="L674">
        <v>671.50378026283499</v>
      </c>
      <c r="M674">
        <v>13.4126282778711</v>
      </c>
      <c r="N674">
        <v>50.250634873868002</v>
      </c>
      <c r="O674">
        <v>48.991424987342903</v>
      </c>
      <c r="P674">
        <v>-6.6800230774099606E-2</v>
      </c>
      <c r="Q674">
        <v>2.4165406788807801E-2</v>
      </c>
      <c r="R674">
        <v>0.91705563663555001</v>
      </c>
      <c r="S674" t="s">
        <v>7320</v>
      </c>
      <c r="T674" t="s">
        <v>13290</v>
      </c>
      <c r="U674" t="s">
        <v>13290</v>
      </c>
      <c r="V674" t="s">
        <v>13290</v>
      </c>
      <c r="W674" t="s">
        <v>13953</v>
      </c>
      <c r="X674">
        <v>1</v>
      </c>
      <c r="Y674" t="s">
        <v>20542</v>
      </c>
      <c r="Z674" t="s">
        <v>27004</v>
      </c>
      <c r="AA674">
        <v>0.37969137862204771</v>
      </c>
      <c r="AB674" t="str">
        <f>HYPERLINK("Melting_Curves/meltCurve_F5H0F9_ANAPC5.pdf", "Melting_Curves/meltCurve_F5H0F9_ANAPC5.pdf")</f>
        <v>Melting_Curves/meltCurve_F5H0F9_ANAPC5.pdf</v>
      </c>
    </row>
    <row r="675" spans="1:28" x14ac:dyDescent="0.25">
      <c r="A675" t="s">
        <v>679</v>
      </c>
      <c r="B675">
        <v>0.99252571173614901</v>
      </c>
      <c r="C675">
        <v>0.87122211505717395</v>
      </c>
      <c r="D675">
        <v>0.53584667846019196</v>
      </c>
      <c r="E675">
        <v>0.47504696404282998</v>
      </c>
      <c r="F675">
        <v>0.19628723614700999</v>
      </c>
      <c r="G675">
        <v>0.106802388922917</v>
      </c>
      <c r="H675">
        <v>0.15238634230359899</v>
      </c>
      <c r="I675">
        <v>0.185951781053878</v>
      </c>
      <c r="J675">
        <v>0.34321574149818401</v>
      </c>
      <c r="K675">
        <v>0.31207627474662603</v>
      </c>
      <c r="L675">
        <v>963.53615667768804</v>
      </c>
      <c r="M675">
        <v>21.001033153448599</v>
      </c>
      <c r="N675">
        <v>47.173899928180603</v>
      </c>
      <c r="O675">
        <v>45.4704907837733</v>
      </c>
      <c r="P675">
        <v>-9.0194310203022002E-2</v>
      </c>
      <c r="Q675">
        <v>0.218882326139369</v>
      </c>
      <c r="R675">
        <v>0.91684522235917598</v>
      </c>
      <c r="S675" t="s">
        <v>7321</v>
      </c>
      <c r="T675" t="s">
        <v>13290</v>
      </c>
      <c r="U675" t="s">
        <v>13290</v>
      </c>
      <c r="V675" t="s">
        <v>13290</v>
      </c>
      <c r="W675" t="s">
        <v>13954</v>
      </c>
      <c r="X675">
        <v>3</v>
      </c>
      <c r="Y675" t="s">
        <v>20543</v>
      </c>
      <c r="Z675" t="s">
        <v>27005</v>
      </c>
      <c r="AA675">
        <v>0.38287604975708689</v>
      </c>
      <c r="AB675" t="str">
        <f>HYPERLINK("Melting_Curves/meltCurve_F5H0I3_SOX5.pdf", "Melting_Curves/meltCurve_F5H0I3_SOX5.pdf")</f>
        <v>Melting_Curves/meltCurve_F5H0I3_SOX5.pdf</v>
      </c>
    </row>
    <row r="676" spans="1:28" x14ac:dyDescent="0.25">
      <c r="A676" t="s">
        <v>680</v>
      </c>
      <c r="B676">
        <v>0.99252571173614901</v>
      </c>
      <c r="C676">
        <v>0.79804511905987396</v>
      </c>
      <c r="D676">
        <v>0.86057754715706503</v>
      </c>
      <c r="E676">
        <v>0.65296146872181005</v>
      </c>
      <c r="F676">
        <v>0.24709785538770501</v>
      </c>
      <c r="G676">
        <v>0.12076694955194001</v>
      </c>
      <c r="H676">
        <v>8.0507770400772297E-2</v>
      </c>
      <c r="I676">
        <v>7.2501331676829303E-2</v>
      </c>
      <c r="J676">
        <v>7.6842749915866898E-2</v>
      </c>
      <c r="K676">
        <v>8.1373557440046596E-2</v>
      </c>
      <c r="L676">
        <v>947.57650442905697</v>
      </c>
      <c r="M676">
        <v>18.871286969590699</v>
      </c>
      <c r="N676">
        <v>50.512954940270603</v>
      </c>
      <c r="O676">
        <v>49.658968903322801</v>
      </c>
      <c r="P676">
        <v>-8.9966166330596994E-2</v>
      </c>
      <c r="Q676">
        <v>5.3070883625462202E-2</v>
      </c>
      <c r="R676">
        <v>0.97189194927753797</v>
      </c>
      <c r="S676" t="s">
        <v>7322</v>
      </c>
      <c r="T676" t="s">
        <v>13290</v>
      </c>
      <c r="U676" t="s">
        <v>13290</v>
      </c>
      <c r="V676" t="s">
        <v>13290</v>
      </c>
      <c r="W676" t="s">
        <v>13955</v>
      </c>
      <c r="X676">
        <v>27</v>
      </c>
      <c r="Y676" t="s">
        <v>20544</v>
      </c>
      <c r="Z676" t="s">
        <v>27006</v>
      </c>
      <c r="AA676">
        <v>0.3901515333899685</v>
      </c>
      <c r="AB676" t="str">
        <f>HYPERLINK("Melting_Curves/meltCurve_F5H0L8_SEC23IP.pdf", "Melting_Curves/meltCurve_F5H0L8_SEC23IP.pdf")</f>
        <v>Melting_Curves/meltCurve_F5H0L8_SEC23IP.pdf</v>
      </c>
    </row>
    <row r="677" spans="1:28" x14ac:dyDescent="0.25">
      <c r="A677" t="s">
        <v>681</v>
      </c>
      <c r="B677">
        <v>0.99252571173614901</v>
      </c>
      <c r="C677">
        <v>0.98753200845280298</v>
      </c>
      <c r="D677">
        <v>0.84886910901351198</v>
      </c>
      <c r="E677">
        <v>0.68355857067426395</v>
      </c>
      <c r="F677">
        <v>0.49205138596595499</v>
      </c>
      <c r="G677">
        <v>0.27848885494465803</v>
      </c>
      <c r="H677">
        <v>0.225662665884444</v>
      </c>
      <c r="I677">
        <v>0.22677062228160499</v>
      </c>
      <c r="J677">
        <v>0.32304360535031901</v>
      </c>
      <c r="K677">
        <v>0.33255644398332401</v>
      </c>
      <c r="L677">
        <v>969.74899815696494</v>
      </c>
      <c r="M677">
        <v>19.330593626755</v>
      </c>
      <c r="N677">
        <v>52.178219257536703</v>
      </c>
      <c r="O677">
        <v>49.638933473634097</v>
      </c>
      <c r="P677">
        <v>-7.1783546434013704E-2</v>
      </c>
      <c r="Q677">
        <v>0.26269728785930602</v>
      </c>
      <c r="R677">
        <v>0.976624124752838</v>
      </c>
      <c r="S677" t="s">
        <v>7323</v>
      </c>
      <c r="T677" t="s">
        <v>13290</v>
      </c>
      <c r="U677" t="s">
        <v>13290</v>
      </c>
      <c r="V677" t="s">
        <v>13290</v>
      </c>
      <c r="W677" t="s">
        <v>13956</v>
      </c>
      <c r="X677">
        <v>5</v>
      </c>
      <c r="Y677" t="s">
        <v>20545</v>
      </c>
      <c r="Z677" t="s">
        <v>27007</v>
      </c>
      <c r="AA677">
        <v>0.52351245342515218</v>
      </c>
      <c r="AB677" t="str">
        <f>HYPERLINK("Melting_Curves/meltCurve_F5H0Q6_CLASRP.pdf", "Melting_Curves/meltCurve_F5H0Q6_CLASRP.pdf")</f>
        <v>Melting_Curves/meltCurve_F5H0Q6_CLASRP.pdf</v>
      </c>
    </row>
    <row r="678" spans="1:28" x14ac:dyDescent="0.25">
      <c r="A678" t="s">
        <v>682</v>
      </c>
      <c r="B678">
        <v>0.99252571173614901</v>
      </c>
      <c r="C678">
        <v>0.89637900814950999</v>
      </c>
      <c r="D678">
        <v>0.85933887466280401</v>
      </c>
      <c r="E678">
        <v>0.92695650874666202</v>
      </c>
      <c r="F678">
        <v>0.64317876233427596</v>
      </c>
      <c r="G678">
        <v>0.53558252606078105</v>
      </c>
      <c r="H678">
        <v>0.49197020576665901</v>
      </c>
      <c r="I678">
        <v>0.50801507032392901</v>
      </c>
      <c r="J678">
        <v>0.67059325831931904</v>
      </c>
      <c r="K678">
        <v>0.75597370174669798</v>
      </c>
      <c r="L678">
        <v>2486.3026354324402</v>
      </c>
      <c r="M678">
        <v>48.708303293311701</v>
      </c>
      <c r="O678">
        <v>50.958919785390698</v>
      </c>
      <c r="P678">
        <v>-9.7441358591537006E-2</v>
      </c>
      <c r="Q678">
        <v>0.59222544630614604</v>
      </c>
      <c r="R678">
        <v>0.72769440944921004</v>
      </c>
      <c r="S678" t="s">
        <v>7324</v>
      </c>
      <c r="T678" t="s">
        <v>13290</v>
      </c>
      <c r="U678" t="s">
        <v>13290</v>
      </c>
      <c r="V678" t="s">
        <v>13290</v>
      </c>
      <c r="W678" t="s">
        <v>13957</v>
      </c>
      <c r="X678">
        <v>3</v>
      </c>
      <c r="Y678" t="s">
        <v>20546</v>
      </c>
      <c r="Z678" t="s">
        <v>27008</v>
      </c>
      <c r="AA678">
        <v>0.74331864135347281</v>
      </c>
      <c r="AB678" t="str">
        <f>HYPERLINK("Melting_Curves/meltCurve_F5H144_GPR56.pdf", "Melting_Curves/meltCurve_F5H144_GPR56.pdf")</f>
        <v>Melting_Curves/meltCurve_F5H144_GPR56.pdf</v>
      </c>
    </row>
    <row r="679" spans="1:28" x14ac:dyDescent="0.25">
      <c r="A679" t="s">
        <v>683</v>
      </c>
      <c r="B679">
        <v>0.99252571173614901</v>
      </c>
      <c r="C679">
        <v>0.94400493188888701</v>
      </c>
      <c r="D679">
        <v>0.78749828471495797</v>
      </c>
      <c r="E679">
        <v>0.63297592260518898</v>
      </c>
      <c r="F679">
        <v>0.457427369432237</v>
      </c>
      <c r="G679">
        <v>0.208980962504692</v>
      </c>
      <c r="H679">
        <v>0.159285896848992</v>
      </c>
      <c r="I679">
        <v>0.137984801567612</v>
      </c>
      <c r="J679">
        <v>0.25442885379024399</v>
      </c>
      <c r="K679">
        <v>0.21097139614372001</v>
      </c>
      <c r="L679">
        <v>792.95365247761799</v>
      </c>
      <c r="M679">
        <v>15.846211554536699</v>
      </c>
      <c r="N679">
        <v>51.326824076527998</v>
      </c>
      <c r="O679">
        <v>49.263963489398201</v>
      </c>
      <c r="P679">
        <v>-6.7242957140625406E-2</v>
      </c>
      <c r="Q679">
        <v>0.163866728486633</v>
      </c>
      <c r="R679">
        <v>0.97734685597913795</v>
      </c>
      <c r="S679" t="s">
        <v>7325</v>
      </c>
      <c r="T679" t="s">
        <v>13290</v>
      </c>
      <c r="U679" t="s">
        <v>13290</v>
      </c>
      <c r="V679" t="s">
        <v>13290</v>
      </c>
      <c r="W679" t="s">
        <v>13958</v>
      </c>
      <c r="X679">
        <v>2</v>
      </c>
      <c r="Y679" t="s">
        <v>20547</v>
      </c>
      <c r="Z679" t="s">
        <v>27009</v>
      </c>
      <c r="AA679">
        <v>0.46175974536473208</v>
      </c>
      <c r="AB679" t="str">
        <f>HYPERLINK("Melting_Curves/meltCurve_F5H148_RRN3.pdf", "Melting_Curves/meltCurve_F5H148_RRN3.pdf")</f>
        <v>Melting_Curves/meltCurve_F5H148_RRN3.pdf</v>
      </c>
    </row>
    <row r="680" spans="1:28" x14ac:dyDescent="0.25">
      <c r="A680" t="s">
        <v>684</v>
      </c>
      <c r="B680">
        <v>0.99252571173614901</v>
      </c>
      <c r="C680">
        <v>0.87645629558027605</v>
      </c>
      <c r="D680">
        <v>0.84881484739149904</v>
      </c>
      <c r="E680">
        <v>0.62189802887977597</v>
      </c>
      <c r="F680">
        <v>0.53876807320789</v>
      </c>
      <c r="G680">
        <v>0.39168568352133898</v>
      </c>
      <c r="H680">
        <v>0.212298966770889</v>
      </c>
      <c r="I680">
        <v>0.214678815188827</v>
      </c>
      <c r="J680">
        <v>0.489802834015094</v>
      </c>
      <c r="K680">
        <v>0.38619079453199401</v>
      </c>
      <c r="L680">
        <v>768.36137746922702</v>
      </c>
      <c r="M680">
        <v>15.633526642617801</v>
      </c>
      <c r="N680">
        <v>52.586721766794703</v>
      </c>
      <c r="O680">
        <v>48.3652120492713</v>
      </c>
      <c r="P680">
        <v>-5.4947273973168002E-2</v>
      </c>
      <c r="Q680">
        <v>0.32010008189560901</v>
      </c>
      <c r="R680">
        <v>0.89408387494082997</v>
      </c>
      <c r="S680" t="s">
        <v>7326</v>
      </c>
      <c r="T680" t="s">
        <v>13290</v>
      </c>
      <c r="U680" t="s">
        <v>13290</v>
      </c>
      <c r="V680" t="s">
        <v>13290</v>
      </c>
      <c r="W680" t="s">
        <v>13959</v>
      </c>
      <c r="X680">
        <v>2</v>
      </c>
      <c r="Y680" t="s">
        <v>20548</v>
      </c>
      <c r="Z680" t="s">
        <v>27010</v>
      </c>
      <c r="AA680">
        <v>0.5428709733754562</v>
      </c>
      <c r="AB680" t="str">
        <f>HYPERLINK("Melting_Curves/meltCurve_F5H170_DNAJA4.pdf", "Melting_Curves/meltCurve_F5H170_DNAJA4.pdf")</f>
        <v>Melting_Curves/meltCurve_F5H170_DNAJA4.pdf</v>
      </c>
    </row>
    <row r="681" spans="1:28" x14ac:dyDescent="0.25">
      <c r="A681" t="s">
        <v>685</v>
      </c>
      <c r="B681">
        <v>0.99252571173614901</v>
      </c>
      <c r="C681">
        <v>0.87619143107116304</v>
      </c>
      <c r="D681">
        <v>1.09578539088571</v>
      </c>
      <c r="E681">
        <v>0.86143072696282896</v>
      </c>
      <c r="F681">
        <v>0.27975778351984298</v>
      </c>
      <c r="G681">
        <v>0.18801613534668099</v>
      </c>
      <c r="H681">
        <v>0.15083411419644899</v>
      </c>
      <c r="I681">
        <v>0.16986466727154001</v>
      </c>
      <c r="J681">
        <v>0.230490595618141</v>
      </c>
      <c r="K681">
        <v>0.22317781083487001</v>
      </c>
      <c r="L681">
        <v>2763.72196418356</v>
      </c>
      <c r="M681">
        <v>54.109880691228398</v>
      </c>
      <c r="N681">
        <v>51.5387527467905</v>
      </c>
      <c r="O681">
        <v>51.0064850105855</v>
      </c>
      <c r="P681">
        <v>-0.21419088566588901</v>
      </c>
      <c r="Q681">
        <v>0.19237542288201601</v>
      </c>
      <c r="R681">
        <v>0.97872101729011796</v>
      </c>
      <c r="S681" t="s">
        <v>7327</v>
      </c>
      <c r="T681" t="s">
        <v>13290</v>
      </c>
      <c r="U681" t="s">
        <v>13290</v>
      </c>
      <c r="V681" t="s">
        <v>13290</v>
      </c>
      <c r="W681" t="s">
        <v>13960</v>
      </c>
      <c r="X681">
        <v>7</v>
      </c>
      <c r="Y681" t="s">
        <v>20549</v>
      </c>
      <c r="Z681" t="s">
        <v>27011</v>
      </c>
      <c r="AA681">
        <v>0.49210561493576321</v>
      </c>
      <c r="AB681" t="str">
        <f>HYPERLINK("Melting_Curves/meltCurve_F5H1G9_ABI1.pdf", "Melting_Curves/meltCurve_F5H1G9_ABI1.pdf")</f>
        <v>Melting_Curves/meltCurve_F5H1G9_ABI1.pdf</v>
      </c>
    </row>
    <row r="682" spans="1:28" x14ac:dyDescent="0.25">
      <c r="A682" t="s">
        <v>686</v>
      </c>
      <c r="B682">
        <v>0.99252571173614901</v>
      </c>
      <c r="C682">
        <v>1.1341755404777201</v>
      </c>
      <c r="D682">
        <v>1.0606469082019701</v>
      </c>
      <c r="E682">
        <v>1.11112886753047</v>
      </c>
      <c r="F682">
        <v>0.69018395412730504</v>
      </c>
      <c r="G682">
        <v>0.37465933015468</v>
      </c>
      <c r="H682">
        <v>0.211160632424682</v>
      </c>
      <c r="I682">
        <v>0.28152894036266202</v>
      </c>
      <c r="J682">
        <v>0.34859907198409101</v>
      </c>
      <c r="K682">
        <v>0.24936372200849899</v>
      </c>
      <c r="L682">
        <v>2708.9547076538702</v>
      </c>
      <c r="M682">
        <v>50.538925398204903</v>
      </c>
      <c r="N682">
        <v>54.502179236918501</v>
      </c>
      <c r="O682">
        <v>53.517627251781001</v>
      </c>
      <c r="P682">
        <v>-0.169242444494733</v>
      </c>
      <c r="Q682">
        <v>0.28313104452881699</v>
      </c>
      <c r="R682">
        <v>0.96341132503710503</v>
      </c>
      <c r="S682" t="s">
        <v>7328</v>
      </c>
      <c r="T682" t="s">
        <v>13290</v>
      </c>
      <c r="U682" t="s">
        <v>13290</v>
      </c>
      <c r="V682" t="s">
        <v>13290</v>
      </c>
      <c r="W682" t="s">
        <v>13961</v>
      </c>
      <c r="X682">
        <v>1</v>
      </c>
      <c r="Y682" t="s">
        <v>20550</v>
      </c>
      <c r="Z682" t="s">
        <v>27012</v>
      </c>
      <c r="AA682">
        <v>0.60980240145348241</v>
      </c>
      <c r="AB682" t="str">
        <f>HYPERLINK("Melting_Curves/meltCurve_F5H1I4_HELB.pdf", "Melting_Curves/meltCurve_F5H1I4_HELB.pdf")</f>
        <v>Melting_Curves/meltCurve_F5H1I4_HELB.pdf</v>
      </c>
    </row>
    <row r="683" spans="1:28" x14ac:dyDescent="0.25">
      <c r="A683" t="s">
        <v>687</v>
      </c>
      <c r="B683">
        <v>0.99252571173614901</v>
      </c>
      <c r="C683">
        <v>1.0424684186989599</v>
      </c>
      <c r="D683">
        <v>1.02805275551096</v>
      </c>
      <c r="E683">
        <v>0.97561669991233402</v>
      </c>
      <c r="F683">
        <v>0.65751090357779896</v>
      </c>
      <c r="G683">
        <v>0.544269743975478</v>
      </c>
      <c r="H683">
        <v>0.439973252029289</v>
      </c>
      <c r="I683">
        <v>0.486110409546814</v>
      </c>
      <c r="J683">
        <v>0.46781356678327002</v>
      </c>
      <c r="K683">
        <v>0.29364203934021299</v>
      </c>
      <c r="L683">
        <v>1526.5625327319201</v>
      </c>
      <c r="M683">
        <v>28.767930738914998</v>
      </c>
      <c r="N683">
        <v>56.7404662017764</v>
      </c>
      <c r="O683">
        <v>52.810295986323602</v>
      </c>
      <c r="P683">
        <v>-7.8654976833380699E-2</v>
      </c>
      <c r="Q683">
        <v>0.422445621148622</v>
      </c>
      <c r="R683">
        <v>0.95800500052484205</v>
      </c>
      <c r="S683" t="s">
        <v>7329</v>
      </c>
      <c r="T683" t="s">
        <v>13290</v>
      </c>
      <c r="U683" t="s">
        <v>13290</v>
      </c>
      <c r="V683" t="s">
        <v>13290</v>
      </c>
      <c r="W683" t="s">
        <v>13962</v>
      </c>
      <c r="X683">
        <v>20</v>
      </c>
      <c r="Y683" t="s">
        <v>20551</v>
      </c>
      <c r="Z683" t="s">
        <v>27013</v>
      </c>
      <c r="AA683">
        <v>0.67803367431714756</v>
      </c>
      <c r="AB683" t="str">
        <f>HYPERLINK("Melting_Curves/meltCurve_F5H1L4_TXNRD2.pdf", "Melting_Curves/meltCurve_F5H1L4_TXNRD2.pdf")</f>
        <v>Melting_Curves/meltCurve_F5H1L4_TXNRD2.pdf</v>
      </c>
    </row>
    <row r="684" spans="1:28" x14ac:dyDescent="0.25">
      <c r="A684" t="s">
        <v>688</v>
      </c>
      <c r="B684">
        <v>0.99252571173614901</v>
      </c>
      <c r="C684">
        <v>1.0439191567475701</v>
      </c>
      <c r="D684">
        <v>1.2055655965118</v>
      </c>
      <c r="E684">
        <v>1.19052457258949</v>
      </c>
      <c r="F684">
        <v>0.73794347057364396</v>
      </c>
      <c r="G684">
        <v>0.36286713411042698</v>
      </c>
      <c r="H684">
        <v>0.37560623470014098</v>
      </c>
      <c r="I684">
        <v>0.47865078010617901</v>
      </c>
      <c r="J684">
        <v>1.34373915102071</v>
      </c>
      <c r="K684">
        <v>1.68732120574502</v>
      </c>
      <c r="L684">
        <v>15000</v>
      </c>
      <c r="M684">
        <v>224.334667488142</v>
      </c>
      <c r="O684">
        <v>66.859073105263306</v>
      </c>
      <c r="P684">
        <v>0.41941702442541401</v>
      </c>
      <c r="Q684">
        <v>1.5</v>
      </c>
      <c r="R684">
        <v>0.29412062199526801</v>
      </c>
      <c r="S684" t="s">
        <v>7330</v>
      </c>
      <c r="T684" t="s">
        <v>13290</v>
      </c>
      <c r="U684" t="s">
        <v>13290</v>
      </c>
      <c r="V684" t="s">
        <v>13290</v>
      </c>
      <c r="W684" t="s">
        <v>13963</v>
      </c>
      <c r="X684">
        <v>4</v>
      </c>
      <c r="Y684" t="s">
        <v>20552</v>
      </c>
      <c r="Z684" t="s">
        <v>27014</v>
      </c>
      <c r="AA684">
        <v>1.0521875860995431</v>
      </c>
      <c r="AB684" t="str">
        <f>HYPERLINK("Melting_Curves/meltCurve_F5H1N7_KIAA1211.pdf", "Melting_Curves/meltCurve_F5H1N7_KIAA1211.pdf")</f>
        <v>Melting_Curves/meltCurve_F5H1N7_KIAA1211.pdf</v>
      </c>
    </row>
    <row r="685" spans="1:28" x14ac:dyDescent="0.25">
      <c r="A685" t="s">
        <v>689</v>
      </c>
      <c r="B685">
        <v>0.99252571173614901</v>
      </c>
      <c r="C685">
        <v>1.0666640412514801</v>
      </c>
      <c r="D685">
        <v>1.3219627424723099</v>
      </c>
      <c r="E685">
        <v>1.81164465001479</v>
      </c>
      <c r="F685">
        <v>0.28320803630823699</v>
      </c>
      <c r="G685">
        <v>0.20388351756856399</v>
      </c>
      <c r="H685">
        <v>0.11872233942077499</v>
      </c>
      <c r="I685">
        <v>0.16765409061282299</v>
      </c>
      <c r="J685">
        <v>0.23510739900355601</v>
      </c>
      <c r="K685">
        <v>0.261577564192775</v>
      </c>
      <c r="L685">
        <v>13187.0815567175</v>
      </c>
      <c r="M685">
        <v>250</v>
      </c>
      <c r="N685">
        <v>52.854473749713797</v>
      </c>
      <c r="O685">
        <v>52.744950700026699</v>
      </c>
      <c r="P685">
        <v>-0.95105218120490198</v>
      </c>
      <c r="Q685">
        <v>0.19738879461383499</v>
      </c>
      <c r="R685">
        <v>0.76109991918588704</v>
      </c>
      <c r="S685" t="s">
        <v>7331</v>
      </c>
      <c r="T685" t="s">
        <v>13290</v>
      </c>
      <c r="U685" t="s">
        <v>13290</v>
      </c>
      <c r="V685" t="s">
        <v>13290</v>
      </c>
      <c r="W685" t="s">
        <v>13964</v>
      </c>
      <c r="X685">
        <v>4</v>
      </c>
      <c r="Y685" t="s">
        <v>20553</v>
      </c>
      <c r="Z685" t="s">
        <v>27015</v>
      </c>
      <c r="AA685">
        <v>0.53852807698636296</v>
      </c>
      <c r="AB685" t="str">
        <f>HYPERLINK("Melting_Curves/meltCurve_F5H1R7_FLJ22184.pdf", "Melting_Curves/meltCurve_F5H1R7_FLJ22184.pdf")</f>
        <v>Melting_Curves/meltCurve_F5H1R7_FLJ22184.pdf</v>
      </c>
    </row>
    <row r="686" spans="1:28" x14ac:dyDescent="0.25">
      <c r="A686" t="s">
        <v>690</v>
      </c>
      <c r="B686">
        <v>0.99252571173614901</v>
      </c>
      <c r="C686">
        <v>0.91322030316126601</v>
      </c>
      <c r="D686">
        <v>0.89718316866082604</v>
      </c>
      <c r="E686">
        <v>0.47111013170338101</v>
      </c>
      <c r="F686">
        <v>0.15494433470785299</v>
      </c>
      <c r="G686">
        <v>9.9246392510108694E-2</v>
      </c>
      <c r="H686">
        <v>6.81785641059523E-2</v>
      </c>
      <c r="I686">
        <v>7.0184942427942598E-2</v>
      </c>
      <c r="J686">
        <v>8.06552091363507E-2</v>
      </c>
      <c r="K686">
        <v>7.83130526899527E-2</v>
      </c>
      <c r="L686">
        <v>1404.77687584113</v>
      </c>
      <c r="M686">
        <v>28.6105270724637</v>
      </c>
      <c r="N686">
        <v>49.371912396170501</v>
      </c>
      <c r="O686">
        <v>48.862023548040703</v>
      </c>
      <c r="P686">
        <v>-0.135715388205843</v>
      </c>
      <c r="Q686">
        <v>7.2890406840983302E-2</v>
      </c>
      <c r="R686">
        <v>0.99597169792372697</v>
      </c>
      <c r="S686" t="s">
        <v>7332</v>
      </c>
      <c r="T686" t="s">
        <v>13290</v>
      </c>
      <c r="U686" t="s">
        <v>13290</v>
      </c>
      <c r="V686" t="s">
        <v>13290</v>
      </c>
      <c r="W686" t="s">
        <v>13965</v>
      </c>
      <c r="X686">
        <v>54</v>
      </c>
      <c r="Y686" t="s">
        <v>20554</v>
      </c>
      <c r="Z686" t="s">
        <v>27016</v>
      </c>
      <c r="AA686">
        <v>0.36034539150120343</v>
      </c>
      <c r="AB686" t="str">
        <f>HYPERLINK("Melting_Curves/meltCurve_F5H1X8_LRBA.pdf", "Melting_Curves/meltCurve_F5H1X8_LRBA.pdf")</f>
        <v>Melting_Curves/meltCurve_F5H1X8_LRBA.pdf</v>
      </c>
    </row>
    <row r="687" spans="1:28" x14ac:dyDescent="0.25">
      <c r="A687" t="s">
        <v>691</v>
      </c>
      <c r="B687">
        <v>0.99252571173614901</v>
      </c>
      <c r="C687">
        <v>0.95003002307258899</v>
      </c>
      <c r="D687">
        <v>0.68671404313513495</v>
      </c>
      <c r="E687">
        <v>0.28633617045709597</v>
      </c>
      <c r="F687">
        <v>0.128334716705061</v>
      </c>
      <c r="G687">
        <v>7.3707252430174106E-2</v>
      </c>
      <c r="H687">
        <v>6.41922394123315E-2</v>
      </c>
      <c r="I687">
        <v>7.8853278570022306E-2</v>
      </c>
      <c r="J687">
        <v>7.9792280596378704E-2</v>
      </c>
      <c r="K687">
        <v>7.5221502324744199E-2</v>
      </c>
      <c r="L687">
        <v>1224.54873169704</v>
      </c>
      <c r="M687">
        <v>25.9140119260306</v>
      </c>
      <c r="N687">
        <v>47.542454324303698</v>
      </c>
      <c r="O687">
        <v>46.975621482679699</v>
      </c>
      <c r="P687">
        <v>-0.127891030374541</v>
      </c>
      <c r="Q687">
        <v>7.2673409338644496E-2</v>
      </c>
      <c r="R687">
        <v>0.99955779568789704</v>
      </c>
      <c r="S687" t="s">
        <v>7333</v>
      </c>
      <c r="T687" t="s">
        <v>13290</v>
      </c>
      <c r="U687" t="s">
        <v>13290</v>
      </c>
      <c r="V687" t="s">
        <v>13290</v>
      </c>
      <c r="W687" t="s">
        <v>13966</v>
      </c>
      <c r="X687">
        <v>5</v>
      </c>
      <c r="Y687" t="s">
        <v>20555</v>
      </c>
      <c r="Z687" t="s">
        <v>27017</v>
      </c>
      <c r="AA687">
        <v>0.30453400652400042</v>
      </c>
      <c r="AB687" t="str">
        <f>HYPERLINK("Melting_Curves/meltCurve_F5H1Y4_GOPC.pdf", "Melting_Curves/meltCurve_F5H1Y4_GOPC.pdf")</f>
        <v>Melting_Curves/meltCurve_F5H1Y4_GOPC.pdf</v>
      </c>
    </row>
    <row r="688" spans="1:28" x14ac:dyDescent="0.25">
      <c r="A688" t="s">
        <v>692</v>
      </c>
      <c r="B688">
        <v>0.99252571173614901</v>
      </c>
      <c r="C688">
        <v>0.92180428301585804</v>
      </c>
      <c r="D688">
        <v>0.43167782601940602</v>
      </c>
      <c r="E688">
        <v>0.25080879038519299</v>
      </c>
      <c r="F688">
        <v>0.12420042558555899</v>
      </c>
      <c r="G688">
        <v>7.8191691188631604E-2</v>
      </c>
      <c r="H688">
        <v>5.5504565106278402E-2</v>
      </c>
      <c r="I688">
        <v>4.8031191953511597E-2</v>
      </c>
      <c r="J688">
        <v>4.5173189579053599E-2</v>
      </c>
      <c r="K688">
        <v>4.0599153625760699E-2</v>
      </c>
      <c r="L688">
        <v>1169.25954608189</v>
      </c>
      <c r="M688">
        <v>25.550819079496701</v>
      </c>
      <c r="N688">
        <v>46.0143981131964</v>
      </c>
      <c r="O688">
        <v>45.484560875210299</v>
      </c>
      <c r="P688">
        <v>-0.13125963225943299</v>
      </c>
      <c r="Q688">
        <v>6.5358655079633399E-2</v>
      </c>
      <c r="R688">
        <v>0.98586826660217497</v>
      </c>
      <c r="S688" t="s">
        <v>7334</v>
      </c>
      <c r="T688" t="s">
        <v>13290</v>
      </c>
      <c r="U688" t="s">
        <v>13290</v>
      </c>
      <c r="V688" t="s">
        <v>13290</v>
      </c>
      <c r="W688" t="s">
        <v>13967</v>
      </c>
      <c r="X688">
        <v>12</v>
      </c>
      <c r="Y688" t="s">
        <v>20556</v>
      </c>
      <c r="Z688" t="s">
        <v>27018</v>
      </c>
      <c r="AA688">
        <v>0.25319359116687468</v>
      </c>
      <c r="AB688" t="str">
        <f>HYPERLINK("Melting_Curves/meltCurve_F5H1Z6_STARD10.pdf", "Melting_Curves/meltCurve_F5H1Z6_STARD10.pdf")</f>
        <v>Melting_Curves/meltCurve_F5H1Z6_STARD10.pdf</v>
      </c>
    </row>
    <row r="689" spans="1:28" x14ac:dyDescent="0.25">
      <c r="A689" t="s">
        <v>693</v>
      </c>
      <c r="B689">
        <v>0.99252571173614901</v>
      </c>
      <c r="C689">
        <v>1.04474211873907</v>
      </c>
      <c r="D689">
        <v>0.67928717252863602</v>
      </c>
      <c r="E689">
        <v>0.34057850407808798</v>
      </c>
      <c r="F689">
        <v>0.19658781353075999</v>
      </c>
      <c r="G689">
        <v>0.13767534164773801</v>
      </c>
      <c r="H689">
        <v>0.112275624579337</v>
      </c>
      <c r="I689">
        <v>0.110667816514245</v>
      </c>
      <c r="J689">
        <v>0.12750332511836701</v>
      </c>
      <c r="K689">
        <v>0.119767734923686</v>
      </c>
      <c r="L689">
        <v>1268.07091852896</v>
      </c>
      <c r="M689">
        <v>26.792523534928701</v>
      </c>
      <c r="N689">
        <v>47.843884627666299</v>
      </c>
      <c r="O689">
        <v>47.067987554807303</v>
      </c>
      <c r="P689">
        <v>-0.12449409975036101</v>
      </c>
      <c r="Q689">
        <v>0.12518502245847199</v>
      </c>
      <c r="R689">
        <v>0.98988953093381604</v>
      </c>
      <c r="S689" t="s">
        <v>7335</v>
      </c>
      <c r="T689" t="s">
        <v>13290</v>
      </c>
      <c r="U689" t="s">
        <v>13290</v>
      </c>
      <c r="V689" t="s">
        <v>13290</v>
      </c>
      <c r="W689" t="s">
        <v>13968</v>
      </c>
      <c r="X689">
        <v>9</v>
      </c>
      <c r="Y689" t="s">
        <v>20557</v>
      </c>
      <c r="Z689" t="s">
        <v>27019</v>
      </c>
      <c r="AA689">
        <v>0.34559635118095988</v>
      </c>
      <c r="AB689" t="str">
        <f>HYPERLINK("Melting_Curves/meltCurve_F5H211_ATXN3.pdf", "Melting_Curves/meltCurve_F5H211_ATXN3.pdf")</f>
        <v>Melting_Curves/meltCurve_F5H211_ATXN3.pdf</v>
      </c>
    </row>
    <row r="690" spans="1:28" x14ac:dyDescent="0.25">
      <c r="A690" t="s">
        <v>694</v>
      </c>
      <c r="B690">
        <v>0.99252571173614901</v>
      </c>
      <c r="C690">
        <v>0.94292182975376004</v>
      </c>
      <c r="D690">
        <v>0.80923947254086703</v>
      </c>
      <c r="E690">
        <v>0.23313906415230501</v>
      </c>
      <c r="F690">
        <v>5.7223635270317298E-2</v>
      </c>
      <c r="G690">
        <v>1.7303360301242299E-2</v>
      </c>
      <c r="H690">
        <v>6.1647470863229704E-3</v>
      </c>
      <c r="I690">
        <v>5.86644915215694E-3</v>
      </c>
      <c r="J690">
        <v>0</v>
      </c>
      <c r="K690">
        <v>2.16377780658258E-2</v>
      </c>
      <c r="L690">
        <v>1613.5403614837101</v>
      </c>
      <c r="M690">
        <v>33.718265776968998</v>
      </c>
      <c r="N690">
        <v>47.8844093384904</v>
      </c>
      <c r="O690">
        <v>47.686218705192999</v>
      </c>
      <c r="P690">
        <v>-0.17487634169664601</v>
      </c>
      <c r="Q690">
        <v>1.07252637111021E-2</v>
      </c>
      <c r="R690">
        <v>0.99869468542670203</v>
      </c>
      <c r="S690" t="s">
        <v>7336</v>
      </c>
      <c r="T690" t="s">
        <v>13290</v>
      </c>
      <c r="U690" t="s">
        <v>13290</v>
      </c>
      <c r="V690" t="s">
        <v>13290</v>
      </c>
      <c r="W690" t="s">
        <v>13969</v>
      </c>
      <c r="X690">
        <v>2</v>
      </c>
      <c r="Y690" t="s">
        <v>20558</v>
      </c>
      <c r="Z690" t="s">
        <v>27020</v>
      </c>
      <c r="AA690">
        <v>0.27436647778253032</v>
      </c>
      <c r="AB690" t="str">
        <f>HYPERLINK("Melting_Curves/meltCurve_F5H232_CDKN3.pdf", "Melting_Curves/meltCurve_F5H232_CDKN3.pdf")</f>
        <v>Melting_Curves/meltCurve_F5H232_CDKN3.pdf</v>
      </c>
    </row>
    <row r="691" spans="1:28" x14ac:dyDescent="0.25">
      <c r="A691" t="s">
        <v>695</v>
      </c>
      <c r="B691">
        <v>0.99252571173614901</v>
      </c>
      <c r="C691">
        <v>0.576768039549442</v>
      </c>
      <c r="D691">
        <v>0.23006078168559899</v>
      </c>
      <c r="E691">
        <v>0.162874441571976</v>
      </c>
      <c r="F691">
        <v>0.105627948092927</v>
      </c>
      <c r="G691">
        <v>8.1545620146769707E-2</v>
      </c>
      <c r="H691">
        <v>5.5754509121783501E-2</v>
      </c>
      <c r="I691">
        <v>6.3408545520335702E-2</v>
      </c>
      <c r="J691">
        <v>7.5726110603278801E-2</v>
      </c>
      <c r="K691">
        <v>0.12740473079644701</v>
      </c>
      <c r="L691">
        <v>1381.8966459252699</v>
      </c>
      <c r="M691">
        <v>31.960704588423798</v>
      </c>
      <c r="N691">
        <v>43.523327342370301</v>
      </c>
      <c r="O691">
        <v>43.069157690591197</v>
      </c>
      <c r="P691">
        <v>-0.16795096218015099</v>
      </c>
      <c r="Q691">
        <v>9.4704742446463805E-2</v>
      </c>
      <c r="R691">
        <v>0.98644755362740699</v>
      </c>
      <c r="S691" t="s">
        <v>7337</v>
      </c>
      <c r="T691" t="s">
        <v>13290</v>
      </c>
      <c r="U691" t="s">
        <v>13290</v>
      </c>
      <c r="V691" t="s">
        <v>13290</v>
      </c>
      <c r="W691" t="s">
        <v>13970</v>
      </c>
      <c r="X691">
        <v>12</v>
      </c>
      <c r="Y691" t="s">
        <v>20559</v>
      </c>
      <c r="Z691" t="s">
        <v>27021</v>
      </c>
      <c r="AA691">
        <v>0.1990551840218569</v>
      </c>
      <c r="AB691" t="str">
        <f>HYPERLINK("Melting_Curves/meltCurve_F5H2H5_ANKLE2.pdf", "Melting_Curves/meltCurve_F5H2H5_ANKLE2.pdf")</f>
        <v>Melting_Curves/meltCurve_F5H2H5_ANKLE2.pdf</v>
      </c>
    </row>
    <row r="692" spans="1:28" x14ac:dyDescent="0.25">
      <c r="A692" t="s">
        <v>696</v>
      </c>
      <c r="B692">
        <v>0.99252571173614901</v>
      </c>
      <c r="C692">
        <v>1.1864628825688901</v>
      </c>
      <c r="D692">
        <v>0.70339760593157297</v>
      </c>
      <c r="E692">
        <v>1.2746324901048001</v>
      </c>
      <c r="F692">
        <v>0.620894767544381</v>
      </c>
      <c r="G692">
        <v>0.53167086591652002</v>
      </c>
      <c r="H692">
        <v>0.25934417383242597</v>
      </c>
      <c r="I692">
        <v>0.23988695034539001</v>
      </c>
      <c r="J692">
        <v>0.13634190461773599</v>
      </c>
      <c r="K692">
        <v>0.114317923580138</v>
      </c>
      <c r="L692">
        <v>1226.2355090174201</v>
      </c>
      <c r="M692">
        <v>21.9956178554499</v>
      </c>
      <c r="N692">
        <v>56.5889771614114</v>
      </c>
      <c r="O692">
        <v>55.294419535316202</v>
      </c>
      <c r="P692">
        <v>-8.5600346252740905E-2</v>
      </c>
      <c r="Q692">
        <v>0.139262134747862</v>
      </c>
      <c r="R692">
        <v>0.84554972520607197</v>
      </c>
      <c r="S692" t="s">
        <v>7338</v>
      </c>
      <c r="T692" t="s">
        <v>13290</v>
      </c>
      <c r="U692" t="s">
        <v>13290</v>
      </c>
      <c r="V692" t="s">
        <v>13290</v>
      </c>
      <c r="W692" t="s">
        <v>13971</v>
      </c>
      <c r="X692">
        <v>5</v>
      </c>
      <c r="Y692" t="s">
        <v>20560</v>
      </c>
      <c r="Z692" t="s">
        <v>27022</v>
      </c>
      <c r="AA692">
        <v>0.60086272755918602</v>
      </c>
      <c r="AB692" t="str">
        <f>HYPERLINK("Melting_Curves/meltCurve_F5H2J3_VMP1.pdf", "Melting_Curves/meltCurve_F5H2J3_VMP1.pdf")</f>
        <v>Melting_Curves/meltCurve_F5H2J3_VMP1.pdf</v>
      </c>
    </row>
    <row r="693" spans="1:28" x14ac:dyDescent="0.25">
      <c r="A693" t="s">
        <v>697</v>
      </c>
      <c r="B693">
        <v>0.99252571173614901</v>
      </c>
      <c r="C693">
        <v>0.88740867434783199</v>
      </c>
      <c r="D693">
        <v>0.84276087225298402</v>
      </c>
      <c r="E693">
        <v>0.72941360048104797</v>
      </c>
      <c r="F693">
        <v>0.659952458653143</v>
      </c>
      <c r="G693">
        <v>0.49582613655025598</v>
      </c>
      <c r="H693">
        <v>0.37769920418319303</v>
      </c>
      <c r="I693">
        <v>0.386782138085912</v>
      </c>
      <c r="J693">
        <v>0.44457943651693599</v>
      </c>
      <c r="K693">
        <v>0.277344709090796</v>
      </c>
      <c r="L693">
        <v>480.74858538720702</v>
      </c>
      <c r="M693">
        <v>9.1131076763081005</v>
      </c>
      <c r="N693">
        <v>57.3792067524384</v>
      </c>
      <c r="O693">
        <v>50.399475563126401</v>
      </c>
      <c r="P693">
        <v>-3.34669323877003E-2</v>
      </c>
      <c r="Q693">
        <v>0.26016530524208098</v>
      </c>
      <c r="R693">
        <v>0.96644763848356297</v>
      </c>
      <c r="S693" t="s">
        <v>7339</v>
      </c>
      <c r="T693" t="s">
        <v>13290</v>
      </c>
      <c r="U693" t="s">
        <v>13290</v>
      </c>
      <c r="V693" t="s">
        <v>13290</v>
      </c>
      <c r="W693" t="s">
        <v>13972</v>
      </c>
      <c r="X693">
        <v>11</v>
      </c>
      <c r="Y693" t="s">
        <v>20561</v>
      </c>
      <c r="Z693" t="s">
        <v>27023</v>
      </c>
      <c r="AA693">
        <v>0.60295198828562568</v>
      </c>
      <c r="AB693" t="str">
        <f>HYPERLINK("Melting_Curves/meltCurve_F5H2Q7_KIAA1715.pdf", "Melting_Curves/meltCurve_F5H2Q7_KIAA1715.pdf")</f>
        <v>Melting_Curves/meltCurve_F5H2Q7_KIAA1715.pdf</v>
      </c>
    </row>
    <row r="694" spans="1:28" x14ac:dyDescent="0.25">
      <c r="A694" t="s">
        <v>698</v>
      </c>
      <c r="B694">
        <v>0.99252571173614901</v>
      </c>
      <c r="C694">
        <v>1.0042302293374801</v>
      </c>
      <c r="D694">
        <v>1.0285053911345701</v>
      </c>
      <c r="E694">
        <v>0.79352284935923101</v>
      </c>
      <c r="F694">
        <v>0.29142617215079197</v>
      </c>
      <c r="G694">
        <v>0.19424280827793899</v>
      </c>
      <c r="H694">
        <v>0.15994090667549099</v>
      </c>
      <c r="I694">
        <v>0.191540019884543</v>
      </c>
      <c r="J694">
        <v>0.26551637732807898</v>
      </c>
      <c r="K694">
        <v>0.28160155918659202</v>
      </c>
      <c r="L694">
        <v>2518.65116126666</v>
      </c>
      <c r="M694">
        <v>49.734847262612</v>
      </c>
      <c r="N694">
        <v>51.235215754493098</v>
      </c>
      <c r="O694">
        <v>50.559909710631203</v>
      </c>
      <c r="P694">
        <v>-0.192063533042025</v>
      </c>
      <c r="Q694">
        <v>0.219001871745405</v>
      </c>
      <c r="R694">
        <v>0.99051390631766201</v>
      </c>
      <c r="S694" t="s">
        <v>7340</v>
      </c>
      <c r="T694" t="s">
        <v>13290</v>
      </c>
      <c r="U694" t="s">
        <v>13290</v>
      </c>
      <c r="V694" t="s">
        <v>13290</v>
      </c>
      <c r="W694" t="s">
        <v>13973</v>
      </c>
      <c r="X694">
        <v>26</v>
      </c>
      <c r="Y694" t="s">
        <v>20562</v>
      </c>
      <c r="Z694" t="s">
        <v>27024</v>
      </c>
      <c r="AA694">
        <v>0.49780030359838712</v>
      </c>
      <c r="AB694" t="str">
        <f>HYPERLINK("Melting_Curves/meltCurve_F5H2S7_DCTN2.pdf", "Melting_Curves/meltCurve_F5H2S7_DCTN2.pdf")</f>
        <v>Melting_Curves/meltCurve_F5H2S7_DCTN2.pdf</v>
      </c>
    </row>
    <row r="695" spans="1:28" x14ac:dyDescent="0.25">
      <c r="A695" t="s">
        <v>699</v>
      </c>
      <c r="B695">
        <v>0.99252571173614901</v>
      </c>
      <c r="C695">
        <v>0.92709180881928999</v>
      </c>
      <c r="D695">
        <v>0.94312110744338096</v>
      </c>
      <c r="E695">
        <v>1.0668376135659901</v>
      </c>
      <c r="F695">
        <v>0.57511955503819201</v>
      </c>
      <c r="G695">
        <v>0.16717584852193601</v>
      </c>
      <c r="H695">
        <v>9.3528265720364101E-2</v>
      </c>
      <c r="I695">
        <v>8.1471886387658898E-2</v>
      </c>
      <c r="J695">
        <v>7.6002022761928606E-2</v>
      </c>
      <c r="K695">
        <v>7.8279915541932699E-2</v>
      </c>
      <c r="L695">
        <v>2847.0601055854099</v>
      </c>
      <c r="M695">
        <v>53.333845112817301</v>
      </c>
      <c r="N695">
        <v>53.583287676584497</v>
      </c>
      <c r="O695">
        <v>53.306973329769498</v>
      </c>
      <c r="P695">
        <v>-0.22740642882933301</v>
      </c>
      <c r="Q695">
        <v>9.0833187760800002E-2</v>
      </c>
      <c r="R695">
        <v>0.98996797317266605</v>
      </c>
      <c r="S695" t="s">
        <v>7341</v>
      </c>
      <c r="T695" t="s">
        <v>13290</v>
      </c>
      <c r="U695" t="s">
        <v>13290</v>
      </c>
      <c r="V695" t="s">
        <v>13290</v>
      </c>
      <c r="W695" t="s">
        <v>13974</v>
      </c>
      <c r="X695">
        <v>20</v>
      </c>
      <c r="Y695" t="s">
        <v>20563</v>
      </c>
      <c r="Z695" t="s">
        <v>27025</v>
      </c>
      <c r="AA695">
        <v>0.49825817916260751</v>
      </c>
      <c r="AB695" t="str">
        <f>HYPERLINK("Melting_Curves/meltCurve_F5H2U2_PRPF4B.pdf", "Melting_Curves/meltCurve_F5H2U2_PRPF4B.pdf")</f>
        <v>Melting_Curves/meltCurve_F5H2U2_PRPF4B.pdf</v>
      </c>
    </row>
    <row r="696" spans="1:28" x14ac:dyDescent="0.25">
      <c r="A696" t="s">
        <v>700</v>
      </c>
      <c r="B696">
        <v>0.99252571173614901</v>
      </c>
      <c r="C696">
        <v>0.73301786055552998</v>
      </c>
      <c r="D696">
        <v>0.49161669191417501</v>
      </c>
      <c r="E696">
        <v>0.54228498420207205</v>
      </c>
      <c r="F696">
        <v>0.32469261130768201</v>
      </c>
      <c r="G696">
        <v>0.193048463107267</v>
      </c>
      <c r="H696">
        <v>0.15177601639221799</v>
      </c>
      <c r="I696">
        <v>0.16690562676692799</v>
      </c>
      <c r="J696">
        <v>0.20858572621049001</v>
      </c>
      <c r="K696">
        <v>0.20084636297598801</v>
      </c>
      <c r="L696">
        <v>565.69650321125698</v>
      </c>
      <c r="M696">
        <v>12.209034444828401</v>
      </c>
      <c r="N696">
        <v>47.840015947324602</v>
      </c>
      <c r="O696">
        <v>45.143758900817197</v>
      </c>
      <c r="P696">
        <v>-5.6838762245348902E-2</v>
      </c>
      <c r="Q696">
        <v>0.15952790847845799</v>
      </c>
      <c r="R696">
        <v>0.93844702842861205</v>
      </c>
      <c r="S696" t="s">
        <v>7342</v>
      </c>
      <c r="T696" t="s">
        <v>13290</v>
      </c>
      <c r="U696" t="s">
        <v>13290</v>
      </c>
      <c r="V696" t="s">
        <v>13290</v>
      </c>
      <c r="W696" t="s">
        <v>13975</v>
      </c>
      <c r="X696">
        <v>3</v>
      </c>
      <c r="Y696" t="s">
        <v>20564</v>
      </c>
      <c r="Z696" t="s">
        <v>27026</v>
      </c>
      <c r="AA696">
        <v>0.37298769701369833</v>
      </c>
      <c r="AB696" t="str">
        <f>HYPERLINK("Melting_Curves/meltCurve_F5H315_XAB2.pdf", "Melting_Curves/meltCurve_F5H315_XAB2.pdf")</f>
        <v>Melting_Curves/meltCurve_F5H315_XAB2.pdf</v>
      </c>
    </row>
    <row r="697" spans="1:28" x14ac:dyDescent="0.25">
      <c r="A697" t="s">
        <v>701</v>
      </c>
      <c r="B697">
        <v>0.99252571173614901</v>
      </c>
      <c r="C697">
        <v>0.925636306940539</v>
      </c>
      <c r="D697">
        <v>0.93084011975699199</v>
      </c>
      <c r="E697">
        <v>0.635157203803421</v>
      </c>
      <c r="F697">
        <v>0.30761108959995598</v>
      </c>
      <c r="G697">
        <v>0.14159684915005599</v>
      </c>
      <c r="H697">
        <v>0.10224354340425799</v>
      </c>
      <c r="I697">
        <v>0.10542226353834799</v>
      </c>
      <c r="J697">
        <v>0.123767364797014</v>
      </c>
      <c r="K697">
        <v>0.124451611896487</v>
      </c>
      <c r="L697">
        <v>1225.4530238805701</v>
      </c>
      <c r="M697">
        <v>24.328328182582698</v>
      </c>
      <c r="N697">
        <v>50.870021572916599</v>
      </c>
      <c r="O697">
        <v>50.034807786346597</v>
      </c>
      <c r="P697">
        <v>-0.108664960989819</v>
      </c>
      <c r="Q697">
        <v>0.10607112477325401</v>
      </c>
      <c r="R697">
        <v>0.99611478488552396</v>
      </c>
      <c r="S697" t="s">
        <v>7343</v>
      </c>
      <c r="T697" t="s">
        <v>13290</v>
      </c>
      <c r="U697" t="s">
        <v>13290</v>
      </c>
      <c r="V697" t="s">
        <v>13290</v>
      </c>
      <c r="W697" t="s">
        <v>13976</v>
      </c>
      <c r="X697">
        <v>14</v>
      </c>
      <c r="Y697" t="s">
        <v>20565</v>
      </c>
      <c r="Z697" t="s">
        <v>27027</v>
      </c>
      <c r="AA697">
        <v>0.4235833600427984</v>
      </c>
      <c r="AB697" t="str">
        <f>HYPERLINK("Melting_Curves/meltCurve_F5H365_SEC23A.pdf", "Melting_Curves/meltCurve_F5H365_SEC23A.pdf")</f>
        <v>Melting_Curves/meltCurve_F5H365_SEC23A.pdf</v>
      </c>
    </row>
    <row r="698" spans="1:28" x14ac:dyDescent="0.25">
      <c r="A698" t="s">
        <v>702</v>
      </c>
      <c r="B698">
        <v>0.99252571173614901</v>
      </c>
      <c r="C698">
        <v>0.28286882683269399</v>
      </c>
      <c r="D698">
        <v>0.341767609129906</v>
      </c>
      <c r="E698">
        <v>0.40603926844358401</v>
      </c>
      <c r="F698">
        <v>0.88167986254026398</v>
      </c>
      <c r="G698">
        <v>0.59361177029593504</v>
      </c>
      <c r="H698">
        <v>0.77795375739094597</v>
      </c>
      <c r="I698">
        <v>1.2523375084486399</v>
      </c>
      <c r="J698">
        <v>0.57721881231914796</v>
      </c>
      <c r="K698">
        <v>1.8891301913905001</v>
      </c>
      <c r="L698">
        <v>55.891303871477</v>
      </c>
      <c r="M698">
        <v>19.758865776553201</v>
      </c>
      <c r="Q698">
        <v>0.79951333318989504</v>
      </c>
      <c r="R698">
        <v>-6.1024696407230305E-10</v>
      </c>
      <c r="S698" t="s">
        <v>7344</v>
      </c>
      <c r="T698" t="s">
        <v>13290</v>
      </c>
      <c r="U698" t="s">
        <v>13290</v>
      </c>
      <c r="V698" t="s">
        <v>13290</v>
      </c>
      <c r="W698" t="s">
        <v>13977</v>
      </c>
      <c r="X698">
        <v>3</v>
      </c>
      <c r="Y698" t="s">
        <v>20566</v>
      </c>
      <c r="Z698" t="s">
        <v>27028</v>
      </c>
      <c r="AA698">
        <v>0.79951333470364949</v>
      </c>
      <c r="AB698" t="str">
        <f>HYPERLINK("Melting_Curves/meltCurve_F5H3Q5_COL4A6.pdf", "Melting_Curves/meltCurve_F5H3Q5_COL4A6.pdf")</f>
        <v>Melting_Curves/meltCurve_F5H3Q5_COL4A6.pdf</v>
      </c>
    </row>
    <row r="699" spans="1:28" x14ac:dyDescent="0.25">
      <c r="A699" t="s">
        <v>703</v>
      </c>
      <c r="B699">
        <v>0.99252571173614901</v>
      </c>
      <c r="C699">
        <v>0.892879912949889</v>
      </c>
      <c r="D699">
        <v>0.570243904633564</v>
      </c>
      <c r="E699">
        <v>0.31262068810251997</v>
      </c>
      <c r="F699">
        <v>0.18757672972686201</v>
      </c>
      <c r="G699">
        <v>0.106830275436664</v>
      </c>
      <c r="H699">
        <v>9.8046709578166802E-2</v>
      </c>
      <c r="I699">
        <v>0.109104599368127</v>
      </c>
      <c r="J699">
        <v>8.4349230076822906E-2</v>
      </c>
      <c r="K699">
        <v>6.4890139975752006E-2</v>
      </c>
      <c r="L699">
        <v>933.25559578528896</v>
      </c>
      <c r="M699">
        <v>20.020010519669299</v>
      </c>
      <c r="N699">
        <v>47.081206748388801</v>
      </c>
      <c r="O699">
        <v>46.158502128087797</v>
      </c>
      <c r="P699">
        <v>-9.87060678764108E-2</v>
      </c>
      <c r="Q699">
        <v>8.9715456617556297E-2</v>
      </c>
      <c r="R699">
        <v>0.99583046105926898</v>
      </c>
      <c r="S699" t="s">
        <v>7345</v>
      </c>
      <c r="T699" t="s">
        <v>13290</v>
      </c>
      <c r="U699" t="s">
        <v>13290</v>
      </c>
      <c r="V699" t="s">
        <v>13290</v>
      </c>
      <c r="W699" t="s">
        <v>13978</v>
      </c>
      <c r="X699">
        <v>9</v>
      </c>
      <c r="Y699" t="s">
        <v>20567</v>
      </c>
      <c r="Z699" t="s">
        <v>27029</v>
      </c>
      <c r="AA699">
        <v>0.3039969472729383</v>
      </c>
      <c r="AB699" t="str">
        <f>HYPERLINK("Melting_Curves/meltCurve_F5H4G7_KPNA6.pdf", "Melting_Curves/meltCurve_F5H4G7_KPNA6.pdf")</f>
        <v>Melting_Curves/meltCurve_F5H4G7_KPNA6.pdf</v>
      </c>
    </row>
    <row r="700" spans="1:28" x14ac:dyDescent="0.25">
      <c r="A700" t="s">
        <v>704</v>
      </c>
      <c r="B700">
        <v>0.99252571173614901</v>
      </c>
      <c r="C700">
        <v>0.95455145747120596</v>
      </c>
      <c r="D700">
        <v>0.99781031393081998</v>
      </c>
      <c r="E700">
        <v>0.87771098708866002</v>
      </c>
      <c r="F700">
        <v>0.626678548101956</v>
      </c>
      <c r="G700">
        <v>0.54690581791429504</v>
      </c>
      <c r="H700">
        <v>0.62004420526417603</v>
      </c>
      <c r="I700">
        <v>0.71181693511867195</v>
      </c>
      <c r="J700">
        <v>1.20119928401095</v>
      </c>
      <c r="K700">
        <v>0.93765360599931702</v>
      </c>
      <c r="L700">
        <v>12391.803144498999</v>
      </c>
      <c r="M700">
        <v>250</v>
      </c>
      <c r="O700">
        <v>49.564038391466497</v>
      </c>
      <c r="P700">
        <v>-0.284922122143977</v>
      </c>
      <c r="Q700">
        <v>0.77404973415768696</v>
      </c>
      <c r="R700">
        <v>0.21640624216423801</v>
      </c>
      <c r="S700" t="s">
        <v>7346</v>
      </c>
      <c r="T700" t="s">
        <v>13290</v>
      </c>
      <c r="U700" t="s">
        <v>13290</v>
      </c>
      <c r="V700" t="s">
        <v>13290</v>
      </c>
      <c r="W700" t="s">
        <v>13979</v>
      </c>
      <c r="X700">
        <v>3</v>
      </c>
      <c r="Y700" t="s">
        <v>20568</v>
      </c>
      <c r="Z700" t="s">
        <v>27030</v>
      </c>
      <c r="AA700">
        <v>0.84612653034611152</v>
      </c>
      <c r="AB700" t="str">
        <f>HYPERLINK("Melting_Curves/meltCurve_F5H4H2_ATP5J2.pdf", "Melting_Curves/meltCurve_F5H4H2_ATP5J2.pdf")</f>
        <v>Melting_Curves/meltCurve_F5H4H2_ATP5J2.pdf</v>
      </c>
    </row>
    <row r="701" spans="1:28" x14ac:dyDescent="0.25">
      <c r="A701" t="s">
        <v>705</v>
      </c>
      <c r="B701">
        <v>0.99252571173614901</v>
      </c>
      <c r="C701">
        <v>0.91152175904326105</v>
      </c>
      <c r="D701">
        <v>0.484643216879524</v>
      </c>
      <c r="E701">
        <v>0.23936139790198799</v>
      </c>
      <c r="F701">
        <v>0.122871381954844</v>
      </c>
      <c r="G701">
        <v>8.8159490212878E-2</v>
      </c>
      <c r="H701">
        <v>6.4313565645731693E-2</v>
      </c>
      <c r="I701">
        <v>6.86258403724848E-2</v>
      </c>
      <c r="J701">
        <v>7.7996580691553796E-2</v>
      </c>
      <c r="K701">
        <v>0.11772415720022</v>
      </c>
      <c r="L701">
        <v>1227.72766589773</v>
      </c>
      <c r="M701">
        <v>26.787480083625699</v>
      </c>
      <c r="N701">
        <v>46.171254971216101</v>
      </c>
      <c r="O701">
        <v>45.579007689523202</v>
      </c>
      <c r="P701">
        <v>-0.13380953160600101</v>
      </c>
      <c r="Q701">
        <v>8.9299431829936604E-2</v>
      </c>
      <c r="R701">
        <v>0.99378696635515995</v>
      </c>
      <c r="S701" t="s">
        <v>7347</v>
      </c>
      <c r="T701" t="s">
        <v>13290</v>
      </c>
      <c r="U701" t="s">
        <v>13290</v>
      </c>
      <c r="V701" t="s">
        <v>13290</v>
      </c>
      <c r="W701" t="s">
        <v>13980</v>
      </c>
      <c r="X701">
        <v>2</v>
      </c>
      <c r="Y701" t="s">
        <v>20569</v>
      </c>
      <c r="Z701" t="s">
        <v>27031</v>
      </c>
      <c r="AA701">
        <v>0.27357938584335212</v>
      </c>
      <c r="AB701" t="str">
        <f>HYPERLINK("Melting_Curves/meltCurve_F5H4V9_PDCD2.pdf", "Melting_Curves/meltCurve_F5H4V9_PDCD2.pdf")</f>
        <v>Melting_Curves/meltCurve_F5H4V9_PDCD2.pdf</v>
      </c>
    </row>
    <row r="702" spans="1:28" x14ac:dyDescent="0.25">
      <c r="A702" t="s">
        <v>706</v>
      </c>
      <c r="B702">
        <v>0.99252571173614901</v>
      </c>
      <c r="C702">
        <v>0.92647017970046797</v>
      </c>
      <c r="D702">
        <v>0.90313133605860996</v>
      </c>
      <c r="E702">
        <v>0.90141297964984501</v>
      </c>
      <c r="F702">
        <v>0.45200221865386297</v>
      </c>
      <c r="G702">
        <v>0.212555347312127</v>
      </c>
      <c r="H702">
        <v>0.173133127058165</v>
      </c>
      <c r="I702">
        <v>0.14554994573983501</v>
      </c>
      <c r="J702">
        <v>0.21109690103936801</v>
      </c>
      <c r="K702">
        <v>0.23598980164938499</v>
      </c>
      <c r="L702">
        <v>1940.3864884848499</v>
      </c>
      <c r="M702">
        <v>37.216734414022497</v>
      </c>
      <c r="N702">
        <v>52.805879662426896</v>
      </c>
      <c r="O702">
        <v>51.9876404124552</v>
      </c>
      <c r="P702">
        <v>-0.14535258888625499</v>
      </c>
      <c r="Q702">
        <v>0.187836846251734</v>
      </c>
      <c r="R702">
        <v>0.98438498200448799</v>
      </c>
      <c r="S702" t="s">
        <v>7348</v>
      </c>
      <c r="T702" t="s">
        <v>13290</v>
      </c>
      <c r="U702" t="s">
        <v>13290</v>
      </c>
      <c r="V702" t="s">
        <v>13290</v>
      </c>
      <c r="W702" t="s">
        <v>13981</v>
      </c>
      <c r="X702">
        <v>2</v>
      </c>
      <c r="Y702" t="s">
        <v>20570</v>
      </c>
      <c r="Z702" t="s">
        <v>27032</v>
      </c>
      <c r="AA702">
        <v>0.51980528180048191</v>
      </c>
      <c r="AB702" t="str">
        <f>HYPERLINK("Melting_Curves/meltCurve_F5H562_ATP7B.pdf", "Melting_Curves/meltCurve_F5H562_ATP7B.pdf")</f>
        <v>Melting_Curves/meltCurve_F5H562_ATP7B.pdf</v>
      </c>
    </row>
    <row r="703" spans="1:28" x14ac:dyDescent="0.25">
      <c r="A703" t="s">
        <v>707</v>
      </c>
      <c r="B703">
        <v>0.99252571173614901</v>
      </c>
      <c r="C703">
        <v>0.95633878214052803</v>
      </c>
      <c r="D703">
        <v>0.87803367527258103</v>
      </c>
      <c r="E703">
        <v>0.74991751135308904</v>
      </c>
      <c r="F703">
        <v>0.59509875537457702</v>
      </c>
      <c r="G703">
        <v>0.36558738561133902</v>
      </c>
      <c r="H703">
        <v>0.19905135522728401</v>
      </c>
      <c r="I703">
        <v>0.17012428685175701</v>
      </c>
      <c r="J703">
        <v>0.192530112024976</v>
      </c>
      <c r="K703">
        <v>0.120048131836098</v>
      </c>
      <c r="L703">
        <v>704.23775316965498</v>
      </c>
      <c r="M703">
        <v>13.191335236041301</v>
      </c>
      <c r="N703">
        <v>54.195750264775597</v>
      </c>
      <c r="O703">
        <v>52.2042073143636</v>
      </c>
      <c r="P703">
        <v>-5.7533525373034099E-2</v>
      </c>
      <c r="Q703">
        <v>8.9404636112495398E-2</v>
      </c>
      <c r="R703">
        <v>0.99426497557675797</v>
      </c>
      <c r="S703" t="s">
        <v>7349</v>
      </c>
      <c r="T703" t="s">
        <v>13290</v>
      </c>
      <c r="U703" t="s">
        <v>13290</v>
      </c>
      <c r="V703" t="s">
        <v>13290</v>
      </c>
      <c r="W703" t="s">
        <v>13982</v>
      </c>
      <c r="X703">
        <v>10</v>
      </c>
      <c r="Y703" t="s">
        <v>20571</v>
      </c>
      <c r="Z703" t="s">
        <v>27033</v>
      </c>
      <c r="AA703">
        <v>0.51835057479047775</v>
      </c>
      <c r="AB703" t="str">
        <f>HYPERLINK("Melting_Curves/meltCurve_F5H569_ATP6V0A1.pdf", "Melting_Curves/meltCurve_F5H569_ATP6V0A1.pdf")</f>
        <v>Melting_Curves/meltCurve_F5H569_ATP6V0A1.pdf</v>
      </c>
    </row>
    <row r="704" spans="1:28" x14ac:dyDescent="0.25">
      <c r="A704" t="s">
        <v>708</v>
      </c>
      <c r="B704">
        <v>0.99252571173614901</v>
      </c>
      <c r="C704">
        <v>1.03963719126195</v>
      </c>
      <c r="D704">
        <v>0.98981854574919903</v>
      </c>
      <c r="E704">
        <v>0.883407727381886</v>
      </c>
      <c r="F704">
        <v>0.73676068833915398</v>
      </c>
      <c r="G704">
        <v>0.56075354045419101</v>
      </c>
      <c r="H704">
        <v>0.48954438730602701</v>
      </c>
      <c r="I704">
        <v>0.57158984361061105</v>
      </c>
      <c r="J704">
        <v>0.694354224067395</v>
      </c>
      <c r="K704">
        <v>0.51561051951788495</v>
      </c>
      <c r="L704">
        <v>1489.1118069136</v>
      </c>
      <c r="M704">
        <v>28.7196116164857</v>
      </c>
      <c r="O704">
        <v>51.600561739017103</v>
      </c>
      <c r="P704">
        <v>-6.09422859462002E-2</v>
      </c>
      <c r="Q704">
        <v>0.562023071736799</v>
      </c>
      <c r="R704">
        <v>0.92651718299582198</v>
      </c>
      <c r="S704" t="s">
        <v>7350</v>
      </c>
      <c r="T704" t="s">
        <v>13290</v>
      </c>
      <c r="U704" t="s">
        <v>13290</v>
      </c>
      <c r="V704" t="s">
        <v>13290</v>
      </c>
      <c r="W704" t="s">
        <v>13983</v>
      </c>
      <c r="X704">
        <v>9</v>
      </c>
      <c r="Y704" t="s">
        <v>20572</v>
      </c>
      <c r="Z704" t="s">
        <v>27034</v>
      </c>
      <c r="AA704">
        <v>0.73806771803032167</v>
      </c>
      <c r="AB704" t="str">
        <f>HYPERLINK("Melting_Curves/meltCurve_F5H577_BRK1.pdf", "Melting_Curves/meltCurve_F5H577_BRK1.pdf")</f>
        <v>Melting_Curves/meltCurve_F5H577_BRK1.pdf</v>
      </c>
    </row>
    <row r="705" spans="1:28" x14ac:dyDescent="0.25">
      <c r="A705" t="s">
        <v>709</v>
      </c>
      <c r="B705">
        <v>0.99252571173614901</v>
      </c>
      <c r="C705">
        <v>0.89018490016733998</v>
      </c>
      <c r="D705">
        <v>0.88963684407028998</v>
      </c>
      <c r="E705">
        <v>0.74419850936961296</v>
      </c>
      <c r="F705">
        <v>0.777275846767988</v>
      </c>
      <c r="G705">
        <v>0.53245847928040502</v>
      </c>
      <c r="H705">
        <v>0.227115850961604</v>
      </c>
      <c r="I705">
        <v>7.6264186575771803E-2</v>
      </c>
      <c r="J705">
        <v>7.0942252204431303E-2</v>
      </c>
      <c r="K705">
        <v>6.6978078676875802E-2</v>
      </c>
      <c r="L705">
        <v>782.91658215695497</v>
      </c>
      <c r="M705">
        <v>13.927679497622499</v>
      </c>
      <c r="N705">
        <v>56.212994651015102</v>
      </c>
      <c r="O705">
        <v>55.092186289006001</v>
      </c>
      <c r="P705">
        <v>-6.3210253297749805E-2</v>
      </c>
      <c r="Q705">
        <v>0</v>
      </c>
      <c r="R705">
        <v>0.96238761776399095</v>
      </c>
      <c r="S705" t="s">
        <v>7351</v>
      </c>
      <c r="T705" t="s">
        <v>13290</v>
      </c>
      <c r="U705" t="s">
        <v>13290</v>
      </c>
      <c r="V705" t="s">
        <v>13290</v>
      </c>
      <c r="W705" t="s">
        <v>13984</v>
      </c>
      <c r="X705">
        <v>35</v>
      </c>
      <c r="Y705" t="s">
        <v>20573</v>
      </c>
      <c r="Z705" t="s">
        <v>27035</v>
      </c>
      <c r="AA705">
        <v>0.55875140701611814</v>
      </c>
      <c r="AB705" t="str">
        <f>HYPERLINK("Melting_Curves/meltCurve_F5H5D3_TUBA1C.pdf", "Melting_Curves/meltCurve_F5H5D3_TUBA1C.pdf")</f>
        <v>Melting_Curves/meltCurve_F5H5D3_TUBA1C.pdf</v>
      </c>
    </row>
    <row r="706" spans="1:28" x14ac:dyDescent="0.25">
      <c r="A706" t="s">
        <v>710</v>
      </c>
      <c r="B706">
        <v>0.99252571173614901</v>
      </c>
      <c r="C706">
        <v>1.03995550953996</v>
      </c>
      <c r="D706">
        <v>0.92784408940264396</v>
      </c>
      <c r="E706">
        <v>0.64203703162963399</v>
      </c>
      <c r="F706">
        <v>0.26068283829392402</v>
      </c>
      <c r="G706">
        <v>0.14632175579168999</v>
      </c>
      <c r="H706">
        <v>0.102046995273202</v>
      </c>
      <c r="I706">
        <v>0.102094902318192</v>
      </c>
      <c r="J706">
        <v>0.1157947010693</v>
      </c>
      <c r="K706">
        <v>0.11422481412140199</v>
      </c>
      <c r="L706">
        <v>1427.46968805655</v>
      </c>
      <c r="M706">
        <v>28.390128300583498</v>
      </c>
      <c r="N706">
        <v>50.712123304915103</v>
      </c>
      <c r="O706">
        <v>50.033018588167899</v>
      </c>
      <c r="P706">
        <v>-0.12663182991727101</v>
      </c>
      <c r="Q706">
        <v>0.107334795119415</v>
      </c>
      <c r="R706">
        <v>0.99818308089546903</v>
      </c>
      <c r="S706" t="s">
        <v>7352</v>
      </c>
      <c r="T706" t="s">
        <v>13290</v>
      </c>
      <c r="U706" t="s">
        <v>13290</v>
      </c>
      <c r="V706" t="s">
        <v>13290</v>
      </c>
      <c r="W706" t="s">
        <v>13985</v>
      </c>
      <c r="X706">
        <v>7</v>
      </c>
      <c r="Y706" t="s">
        <v>20574</v>
      </c>
      <c r="Z706" t="s">
        <v>27036</v>
      </c>
      <c r="AA706">
        <v>0.41943503906805901</v>
      </c>
      <c r="AB706" t="str">
        <f>HYPERLINK("Melting_Curves/meltCurve_F5H5I6_GRSF1.pdf", "Melting_Curves/meltCurve_F5H5I6_GRSF1.pdf")</f>
        <v>Melting_Curves/meltCurve_F5H5I6_GRSF1.pdf</v>
      </c>
    </row>
    <row r="707" spans="1:28" x14ac:dyDescent="0.25">
      <c r="A707" t="s">
        <v>711</v>
      </c>
      <c r="B707">
        <v>0.99252571173614901</v>
      </c>
      <c r="C707">
        <v>1.0456108905027299</v>
      </c>
      <c r="D707">
        <v>0.95582780404680501</v>
      </c>
      <c r="E707">
        <v>0.98447842871642199</v>
      </c>
      <c r="F707">
        <v>0.69327152116710999</v>
      </c>
      <c r="G707">
        <v>0.61685625880968697</v>
      </c>
      <c r="H707">
        <v>0.39790690770478698</v>
      </c>
      <c r="I707">
        <v>0.46188234548347601</v>
      </c>
      <c r="J707">
        <v>0.63191768823607897</v>
      </c>
      <c r="K707">
        <v>0.53909486500228498</v>
      </c>
      <c r="L707">
        <v>1980.22710909587</v>
      </c>
      <c r="M707">
        <v>37.608791877292099</v>
      </c>
      <c r="O707">
        <v>52.505096793001201</v>
      </c>
      <c r="P707">
        <v>-8.5906526937190295E-2</v>
      </c>
      <c r="Q707">
        <v>0.520269773141675</v>
      </c>
      <c r="R707">
        <v>0.92081416789121096</v>
      </c>
      <c r="S707" t="s">
        <v>7353</v>
      </c>
      <c r="T707" t="s">
        <v>13290</v>
      </c>
      <c r="U707" t="s">
        <v>13290</v>
      </c>
      <c r="V707" t="s">
        <v>13290</v>
      </c>
      <c r="W707" t="s">
        <v>13986</v>
      </c>
      <c r="X707">
        <v>1</v>
      </c>
      <c r="Y707" t="s">
        <v>20575</v>
      </c>
      <c r="Z707" t="s">
        <v>27037</v>
      </c>
      <c r="AA707">
        <v>0.72458306218127044</v>
      </c>
      <c r="AB707" t="str">
        <f>HYPERLINK("Melting_Curves/meltCurve_F5H5M7_IFNGR1.pdf", "Melting_Curves/meltCurve_F5H5M7_IFNGR1.pdf")</f>
        <v>Melting_Curves/meltCurve_F5H5M7_IFNGR1.pdf</v>
      </c>
    </row>
    <row r="708" spans="1:28" x14ac:dyDescent="0.25">
      <c r="A708" t="s">
        <v>712</v>
      </c>
      <c r="B708">
        <v>0.99252571173614901</v>
      </c>
      <c r="C708">
        <v>1.00881238375479</v>
      </c>
      <c r="D708">
        <v>0.946366000163676</v>
      </c>
      <c r="E708">
        <v>0.44745911433367103</v>
      </c>
      <c r="F708">
        <v>0.35244793720557099</v>
      </c>
      <c r="G708">
        <v>0.15983494944738399</v>
      </c>
      <c r="H708">
        <v>0.104115075802718</v>
      </c>
      <c r="I708">
        <v>0.10683523988601799</v>
      </c>
      <c r="J708">
        <v>0.125102539301744</v>
      </c>
      <c r="K708">
        <v>0.14963010135791999</v>
      </c>
      <c r="L708">
        <v>1252.6260358228899</v>
      </c>
      <c r="M708">
        <v>25.4213913565419</v>
      </c>
      <c r="N708">
        <v>49.878457046753198</v>
      </c>
      <c r="O708">
        <v>48.972608548482903</v>
      </c>
      <c r="P708">
        <v>-0.112583287291667</v>
      </c>
      <c r="Q708">
        <v>0.13247425348193601</v>
      </c>
      <c r="R708">
        <v>0.98136673981060796</v>
      </c>
      <c r="S708" t="s">
        <v>7354</v>
      </c>
      <c r="T708" t="s">
        <v>13290</v>
      </c>
      <c r="U708" t="s">
        <v>13290</v>
      </c>
      <c r="V708" t="s">
        <v>13290</v>
      </c>
      <c r="W708" t="s">
        <v>13987</v>
      </c>
      <c r="X708">
        <v>6</v>
      </c>
      <c r="Y708" t="s">
        <v>20576</v>
      </c>
      <c r="Z708" t="s">
        <v>27038</v>
      </c>
      <c r="AA708">
        <v>0.40811307462685897</v>
      </c>
      <c r="AB708" t="str">
        <f>HYPERLINK("Melting_Curves/meltCurve_F5H5N0_CDC42BPA.pdf", "Melting_Curves/meltCurve_F5H5N0_CDC42BPA.pdf")</f>
        <v>Melting_Curves/meltCurve_F5H5N0_CDC42BPA.pdf</v>
      </c>
    </row>
    <row r="709" spans="1:28" x14ac:dyDescent="0.25">
      <c r="A709" t="s">
        <v>713</v>
      </c>
      <c r="B709">
        <v>0.99252571173614901</v>
      </c>
      <c r="C709">
        <v>0.87577593491774897</v>
      </c>
      <c r="D709">
        <v>0.98797007647864599</v>
      </c>
      <c r="E709">
        <v>0.99986761019656201</v>
      </c>
      <c r="F709">
        <v>0.65143746979873596</v>
      </c>
      <c r="G709">
        <v>0.27138646192813398</v>
      </c>
      <c r="H709">
        <v>0.103690716530144</v>
      </c>
      <c r="I709">
        <v>8.9556961676409197E-2</v>
      </c>
      <c r="J709">
        <v>9.3753186586894605E-2</v>
      </c>
      <c r="K709">
        <v>8.9760580741469406E-2</v>
      </c>
      <c r="L709">
        <v>1754.6332091644299</v>
      </c>
      <c r="M709">
        <v>32.4099920514792</v>
      </c>
      <c r="N709">
        <v>54.4659134297858</v>
      </c>
      <c r="O709">
        <v>53.933786626429303</v>
      </c>
      <c r="P709">
        <v>-0.136939350672838</v>
      </c>
      <c r="Q709">
        <v>8.8475888885069298E-2</v>
      </c>
      <c r="R709">
        <v>0.98852267109944503</v>
      </c>
      <c r="S709" t="s">
        <v>7355</v>
      </c>
      <c r="T709" t="s">
        <v>13290</v>
      </c>
      <c r="U709" t="s">
        <v>13290</v>
      </c>
      <c r="V709" t="s">
        <v>13290</v>
      </c>
      <c r="W709" t="s">
        <v>13988</v>
      </c>
      <c r="X709">
        <v>5</v>
      </c>
      <c r="Y709" t="s">
        <v>20577</v>
      </c>
      <c r="Z709" t="s">
        <v>27039</v>
      </c>
      <c r="AA709">
        <v>0.52322888412400159</v>
      </c>
      <c r="AB709" t="str">
        <f>HYPERLINK("Melting_Curves/meltCurve_F5H5N1_NDUFS7.pdf", "Melting_Curves/meltCurve_F5H5N1_NDUFS7.pdf")</f>
        <v>Melting_Curves/meltCurve_F5H5N1_NDUFS7.pdf</v>
      </c>
    </row>
    <row r="710" spans="1:28" x14ac:dyDescent="0.25">
      <c r="A710" t="s">
        <v>714</v>
      </c>
      <c r="B710">
        <v>0.99252571173614901</v>
      </c>
      <c r="C710">
        <v>0.95172801794959205</v>
      </c>
      <c r="D710">
        <v>0.94551171687972602</v>
      </c>
      <c r="E710">
        <v>0.88286910184784795</v>
      </c>
      <c r="F710">
        <v>0.56481103230218299</v>
      </c>
      <c r="G710">
        <v>0.23488449233984299</v>
      </c>
      <c r="H710">
        <v>0.14183050072276099</v>
      </c>
      <c r="I710">
        <v>0.14604546100051199</v>
      </c>
      <c r="J710">
        <v>0.16108351722924499</v>
      </c>
      <c r="K710">
        <v>0.16934015040441899</v>
      </c>
      <c r="L710">
        <v>1525.8980292482599</v>
      </c>
      <c r="M710">
        <v>28.801799177451102</v>
      </c>
      <c r="N710">
        <v>53.6183615429794</v>
      </c>
      <c r="O710">
        <v>52.7258518594574</v>
      </c>
      <c r="P710">
        <v>-0.116723800478901</v>
      </c>
      <c r="Q710">
        <v>0.14528777928307399</v>
      </c>
      <c r="R710">
        <v>0.99528312804284302</v>
      </c>
      <c r="S710" t="s">
        <v>7356</v>
      </c>
      <c r="T710" t="s">
        <v>13290</v>
      </c>
      <c r="U710" t="s">
        <v>13290</v>
      </c>
      <c r="V710" t="s">
        <v>13290</v>
      </c>
      <c r="W710" t="s">
        <v>13989</v>
      </c>
      <c r="X710">
        <v>13</v>
      </c>
      <c r="Y710" t="s">
        <v>20578</v>
      </c>
      <c r="Z710" t="s">
        <v>27040</v>
      </c>
      <c r="AA710">
        <v>0.52107248519338845</v>
      </c>
      <c r="AB710" t="str">
        <f>HYPERLINK("Melting_Curves/meltCurve_F5H5P2_BCKDHA.pdf", "Melting_Curves/meltCurve_F5H5P2_BCKDHA.pdf")</f>
        <v>Melting_Curves/meltCurve_F5H5P2_BCKDHA.pdf</v>
      </c>
    </row>
    <row r="711" spans="1:28" x14ac:dyDescent="0.25">
      <c r="A711" t="s">
        <v>715</v>
      </c>
      <c r="B711">
        <v>0.99252571173614901</v>
      </c>
      <c r="C711">
        <v>0.71189839582463199</v>
      </c>
      <c r="D711">
        <v>0.24335701779129101</v>
      </c>
      <c r="E711">
        <v>0.14592669211415299</v>
      </c>
      <c r="F711">
        <v>0.12736495946363599</v>
      </c>
      <c r="G711">
        <v>6.2414667197027297E-2</v>
      </c>
      <c r="H711">
        <v>4.7229923329243202E-2</v>
      </c>
      <c r="I711">
        <v>5.0505826720689401E-2</v>
      </c>
      <c r="J711">
        <v>6.4764218689797606E-2</v>
      </c>
      <c r="K711">
        <v>6.4460683973376301E-2</v>
      </c>
      <c r="L711">
        <v>1425.0803747057901</v>
      </c>
      <c r="M711">
        <v>32.4086942019254</v>
      </c>
      <c r="N711">
        <v>44.194200955122803</v>
      </c>
      <c r="O711">
        <v>43.805755579299699</v>
      </c>
      <c r="P711">
        <v>-0.17106144584256999</v>
      </c>
      <c r="Q711">
        <v>7.5132111327458201E-2</v>
      </c>
      <c r="R711">
        <v>0.99241482372974998</v>
      </c>
      <c r="S711" t="s">
        <v>7357</v>
      </c>
      <c r="T711" t="s">
        <v>13290</v>
      </c>
      <c r="U711" t="s">
        <v>13290</v>
      </c>
      <c r="V711" t="s">
        <v>13290</v>
      </c>
      <c r="W711" t="s">
        <v>13990</v>
      </c>
      <c r="X711">
        <v>6</v>
      </c>
      <c r="Y711" t="s">
        <v>20579</v>
      </c>
      <c r="Z711" t="s">
        <v>27041</v>
      </c>
      <c r="AA711">
        <v>0.20317983880818241</v>
      </c>
      <c r="AB711" t="str">
        <f>HYPERLINK("Melting_Curves/meltCurve_F5H5R8_NAT1.pdf", "Melting_Curves/meltCurve_F5H5R8_NAT1.pdf")</f>
        <v>Melting_Curves/meltCurve_F5H5R8_NAT1.pdf</v>
      </c>
    </row>
    <row r="712" spans="1:28" x14ac:dyDescent="0.25">
      <c r="A712" t="s">
        <v>716</v>
      </c>
      <c r="B712">
        <v>0.99252571173614901</v>
      </c>
      <c r="C712">
        <v>0.94856053077304703</v>
      </c>
      <c r="D712">
        <v>0.91046476824085998</v>
      </c>
      <c r="E712">
        <v>0.62707589796931895</v>
      </c>
      <c r="F712">
        <v>0.22743943478978401</v>
      </c>
      <c r="G712">
        <v>0.145215541965213</v>
      </c>
      <c r="H712">
        <v>0.14587772982788</v>
      </c>
      <c r="I712">
        <v>0.25020835265055902</v>
      </c>
      <c r="J712">
        <v>0.13107823435763599</v>
      </c>
      <c r="K712">
        <v>0.12891288166355599</v>
      </c>
      <c r="L712">
        <v>1603.87091448806</v>
      </c>
      <c r="M712">
        <v>32.195803290858201</v>
      </c>
      <c r="N712">
        <v>50.391491689784097</v>
      </c>
      <c r="O712">
        <v>49.625141138678401</v>
      </c>
      <c r="P712">
        <v>-0.137249957092346</v>
      </c>
      <c r="Q712">
        <v>0.15380089516814299</v>
      </c>
      <c r="R712">
        <v>0.98781864801821495</v>
      </c>
      <c r="S712" t="s">
        <v>7358</v>
      </c>
      <c r="T712" t="s">
        <v>13290</v>
      </c>
      <c r="U712" t="s">
        <v>13290</v>
      </c>
      <c r="V712" t="s">
        <v>13290</v>
      </c>
      <c r="W712" t="s">
        <v>13991</v>
      </c>
      <c r="X712">
        <v>37</v>
      </c>
      <c r="Y712" t="s">
        <v>20580</v>
      </c>
      <c r="Z712" t="s">
        <v>27042</v>
      </c>
      <c r="AA712">
        <v>0.43520354373786979</v>
      </c>
      <c r="AB712" t="str">
        <f>HYPERLINK("Melting_Curves/meltCurve_F5H604_CLASP2.pdf", "Melting_Curves/meltCurve_F5H604_CLASP2.pdf")</f>
        <v>Melting_Curves/meltCurve_F5H604_CLASP2.pdf</v>
      </c>
    </row>
    <row r="713" spans="1:28" x14ac:dyDescent="0.25">
      <c r="A713" t="s">
        <v>717</v>
      </c>
      <c r="B713">
        <v>0.99252571173614901</v>
      </c>
      <c r="C713">
        <v>0.835664484047411</v>
      </c>
      <c r="D713">
        <v>0.47869681247986201</v>
      </c>
      <c r="E713">
        <v>0.30760202347771998</v>
      </c>
      <c r="F713">
        <v>0.225824830599413</v>
      </c>
      <c r="G713">
        <v>0.176187202936222</v>
      </c>
      <c r="H713">
        <v>0.18573960917986801</v>
      </c>
      <c r="I713">
        <v>0.28237354770536899</v>
      </c>
      <c r="J713">
        <v>0.44028273261918</v>
      </c>
      <c r="K713">
        <v>0.64444526546950298</v>
      </c>
      <c r="L713">
        <v>1604.50877570288</v>
      </c>
      <c r="M713">
        <v>36.196805975865097</v>
      </c>
      <c r="N713">
        <v>45.631312732724197</v>
      </c>
      <c r="O713">
        <v>44.192715166574096</v>
      </c>
      <c r="P713">
        <v>-0.13877657600992099</v>
      </c>
      <c r="Q713">
        <v>0.32227229786369299</v>
      </c>
      <c r="R713">
        <v>0.76531200581403702</v>
      </c>
      <c r="S713" t="s">
        <v>7359</v>
      </c>
      <c r="T713" t="s">
        <v>13290</v>
      </c>
      <c r="U713" t="s">
        <v>13290</v>
      </c>
      <c r="V713" t="s">
        <v>13290</v>
      </c>
      <c r="W713" t="s">
        <v>13992</v>
      </c>
      <c r="X713">
        <v>4</v>
      </c>
      <c r="Y713" t="s">
        <v>20581</v>
      </c>
      <c r="Z713" t="s">
        <v>27043</v>
      </c>
      <c r="AA713">
        <v>0.42299645498015498</v>
      </c>
      <c r="AB713" t="str">
        <f>HYPERLINK("Melting_Curves/meltCurve_F5H607_TUFT1.pdf", "Melting_Curves/meltCurve_F5H607_TUFT1.pdf")</f>
        <v>Melting_Curves/meltCurve_F5H607_TUFT1.pdf</v>
      </c>
    </row>
    <row r="714" spans="1:28" x14ac:dyDescent="0.25">
      <c r="A714" t="s">
        <v>718</v>
      </c>
      <c r="B714">
        <v>0.99252571173614901</v>
      </c>
      <c r="C714">
        <v>1.0129061367328001</v>
      </c>
      <c r="D714">
        <v>0.93471487126124697</v>
      </c>
      <c r="E714">
        <v>0.72829938931826699</v>
      </c>
      <c r="F714">
        <v>0.52757434638084399</v>
      </c>
      <c r="G714">
        <v>0.25840371234201598</v>
      </c>
      <c r="H714">
        <v>0.12249365161849</v>
      </c>
      <c r="I714">
        <v>0.163597203422404</v>
      </c>
      <c r="J714">
        <v>0.17856976241938</v>
      </c>
      <c r="K714">
        <v>0.17891047186029799</v>
      </c>
      <c r="L714">
        <v>1033.5754755088701</v>
      </c>
      <c r="M714">
        <v>19.879927946716801</v>
      </c>
      <c r="N714">
        <v>52.887337529446597</v>
      </c>
      <c r="O714">
        <v>51.473393516061201</v>
      </c>
      <c r="P714">
        <v>-8.2746783318955394E-2</v>
      </c>
      <c r="Q714">
        <v>0.14303175168051999</v>
      </c>
      <c r="R714">
        <v>0.99144960298001805</v>
      </c>
      <c r="S714" t="s">
        <v>7360</v>
      </c>
      <c r="T714" t="s">
        <v>13290</v>
      </c>
      <c r="U714" t="s">
        <v>13290</v>
      </c>
      <c r="V714" t="s">
        <v>13290</v>
      </c>
      <c r="W714" t="s">
        <v>13993</v>
      </c>
      <c r="X714">
        <v>9</v>
      </c>
      <c r="Y714" t="s">
        <v>20582</v>
      </c>
      <c r="Z714" t="s">
        <v>27044</v>
      </c>
      <c r="AA714">
        <v>0.4975476753756386</v>
      </c>
      <c r="AB714" t="str">
        <f>HYPERLINK("Melting_Curves/meltCurve_F5H620_OXNAD1.pdf", "Melting_Curves/meltCurve_F5H620_OXNAD1.pdf")</f>
        <v>Melting_Curves/meltCurve_F5H620_OXNAD1.pdf</v>
      </c>
    </row>
    <row r="715" spans="1:28" x14ac:dyDescent="0.25">
      <c r="A715" t="s">
        <v>719</v>
      </c>
      <c r="B715">
        <v>0.99252571173614901</v>
      </c>
      <c r="C715">
        <v>0.84261349822150999</v>
      </c>
      <c r="D715">
        <v>0.93725656173323402</v>
      </c>
      <c r="E715">
        <v>0.54556416475560798</v>
      </c>
      <c r="F715">
        <v>0.20302530646203901</v>
      </c>
      <c r="G715">
        <v>0.127131695076421</v>
      </c>
      <c r="H715">
        <v>0.100716497081642</v>
      </c>
      <c r="I715">
        <v>0.106420417740968</v>
      </c>
      <c r="J715">
        <v>0.16483644240639</v>
      </c>
      <c r="K715">
        <v>0.19870068039382</v>
      </c>
      <c r="L715">
        <v>1594.4526920046801</v>
      </c>
      <c r="M715">
        <v>32.2780585668771</v>
      </c>
      <c r="N715">
        <v>49.884886985574902</v>
      </c>
      <c r="O715">
        <v>49.208972194424497</v>
      </c>
      <c r="P715">
        <v>-0.14180550924339999</v>
      </c>
      <c r="Q715">
        <v>0.135255376054325</v>
      </c>
      <c r="R715">
        <v>0.97526101300165702</v>
      </c>
      <c r="S715" t="s">
        <v>7361</v>
      </c>
      <c r="T715" t="s">
        <v>13290</v>
      </c>
      <c r="U715" t="s">
        <v>13290</v>
      </c>
      <c r="V715" t="s">
        <v>13290</v>
      </c>
      <c r="W715" t="s">
        <v>13994</v>
      </c>
      <c r="X715">
        <v>13</v>
      </c>
      <c r="Y715" t="s">
        <v>20583</v>
      </c>
      <c r="Z715" t="s">
        <v>27045</v>
      </c>
      <c r="AA715">
        <v>0.41069854208730028</v>
      </c>
      <c r="AB715" t="str">
        <f>HYPERLINK("Melting_Curves/meltCurve_F5H698_LARS.pdf", "Melting_Curves/meltCurve_F5H698_LARS.pdf")</f>
        <v>Melting_Curves/meltCurve_F5H698_LARS.pdf</v>
      </c>
    </row>
    <row r="716" spans="1:28" x14ac:dyDescent="0.25">
      <c r="A716" t="s">
        <v>720</v>
      </c>
      <c r="B716">
        <v>0.99252571173614901</v>
      </c>
      <c r="C716">
        <v>0.93659259695049601</v>
      </c>
      <c r="D716">
        <v>0.72655578422893796</v>
      </c>
      <c r="E716">
        <v>0.49330372443375903</v>
      </c>
      <c r="F716">
        <v>0.22800837528439799</v>
      </c>
      <c r="G716">
        <v>9.5876653277768703E-2</v>
      </c>
      <c r="H716">
        <v>0.201501100478121</v>
      </c>
      <c r="I716">
        <v>0.19734252904410399</v>
      </c>
      <c r="J716">
        <v>0.13077241219883401</v>
      </c>
      <c r="K716">
        <v>0.41394131016152902</v>
      </c>
      <c r="L716">
        <v>1102.0948078056799</v>
      </c>
      <c r="M716">
        <v>23.132881394583499</v>
      </c>
      <c r="N716">
        <v>48.7364050108634</v>
      </c>
      <c r="O716">
        <v>47.290172769342703</v>
      </c>
      <c r="P716">
        <v>-9.7518641921129606E-2</v>
      </c>
      <c r="Q716">
        <v>0.202591449650318</v>
      </c>
      <c r="R716">
        <v>0.92883176255598798</v>
      </c>
      <c r="S716" t="s">
        <v>7362</v>
      </c>
      <c r="T716" t="s">
        <v>13290</v>
      </c>
      <c r="U716" t="s">
        <v>13290</v>
      </c>
      <c r="V716" t="s">
        <v>13290</v>
      </c>
      <c r="W716" t="s">
        <v>13995</v>
      </c>
      <c r="X716">
        <v>1</v>
      </c>
      <c r="Y716" t="s">
        <v>20584</v>
      </c>
      <c r="Z716" t="s">
        <v>27046</v>
      </c>
      <c r="AA716">
        <v>0.41406186944584689</v>
      </c>
      <c r="AB716" t="str">
        <f>HYPERLINK("Melting_Curves/meltCurve_F5H6G7_NOL10.pdf", "Melting_Curves/meltCurve_F5H6G7_NOL10.pdf")</f>
        <v>Melting_Curves/meltCurve_F5H6G7_NOL10.pdf</v>
      </c>
    </row>
    <row r="717" spans="1:28" x14ac:dyDescent="0.25">
      <c r="A717" t="s">
        <v>721</v>
      </c>
      <c r="B717">
        <v>0.99252571173614901</v>
      </c>
      <c r="C717">
        <v>0.82578479253136905</v>
      </c>
      <c r="D717">
        <v>0.70897411740295102</v>
      </c>
      <c r="E717">
        <v>0.41794666023788601</v>
      </c>
      <c r="F717">
        <v>0.131346421741146</v>
      </c>
      <c r="G717">
        <v>6.4662617108069295E-2</v>
      </c>
      <c r="H717">
        <v>3.9741324821305699E-2</v>
      </c>
      <c r="I717">
        <v>3.4393078701834202E-2</v>
      </c>
      <c r="J717">
        <v>3.5794170284342501E-2</v>
      </c>
      <c r="K717">
        <v>5.3890279059541198E-2</v>
      </c>
      <c r="L717">
        <v>829.32741786683903</v>
      </c>
      <c r="M717">
        <v>17.2602929795951</v>
      </c>
      <c r="N717">
        <v>48.1637371955456</v>
      </c>
      <c r="O717">
        <v>47.417234100489203</v>
      </c>
      <c r="P717">
        <v>-8.9163192526632504E-2</v>
      </c>
      <c r="Q717">
        <v>2.0265556839391699E-2</v>
      </c>
      <c r="R717">
        <v>0.99244302369799497</v>
      </c>
      <c r="S717" t="s">
        <v>7363</v>
      </c>
      <c r="T717" t="s">
        <v>13290</v>
      </c>
      <c r="U717" t="s">
        <v>13290</v>
      </c>
      <c r="V717" t="s">
        <v>13290</v>
      </c>
      <c r="W717" t="s">
        <v>13996</v>
      </c>
      <c r="X717">
        <v>1</v>
      </c>
      <c r="Y717" t="s">
        <v>20585</v>
      </c>
      <c r="Z717" t="s">
        <v>27047</v>
      </c>
      <c r="AA717">
        <v>0.30204159113127937</v>
      </c>
      <c r="AB717" t="str">
        <f>HYPERLINK("Melting_Curves/meltCurve_F5H6U2_FAM60A.pdf", "Melting_Curves/meltCurve_F5H6U2_FAM60A.pdf")</f>
        <v>Melting_Curves/meltCurve_F5H6U2_FAM60A.pdf</v>
      </c>
    </row>
    <row r="718" spans="1:28" x14ac:dyDescent="0.25">
      <c r="A718" t="s">
        <v>722</v>
      </c>
      <c r="B718">
        <v>0.99252571173614901</v>
      </c>
      <c r="C718">
        <v>0.98873331339954995</v>
      </c>
      <c r="D718">
        <v>0.74634527389105698</v>
      </c>
      <c r="E718">
        <v>0.39259709634840601</v>
      </c>
      <c r="F718">
        <v>0.112160141405806</v>
      </c>
      <c r="G718">
        <v>6.2542518612560299E-2</v>
      </c>
      <c r="H718">
        <v>3.8151004501522701E-2</v>
      </c>
      <c r="I718">
        <v>4.1433023923661397E-2</v>
      </c>
      <c r="J718">
        <v>5.6484060180917402E-2</v>
      </c>
      <c r="K718">
        <v>5.1703224382233903E-2</v>
      </c>
      <c r="L718">
        <v>1160.67731204388</v>
      </c>
      <c r="M718">
        <v>24.057528255620198</v>
      </c>
      <c r="N718">
        <v>48.4192877104459</v>
      </c>
      <c r="O718">
        <v>47.916259025398197</v>
      </c>
      <c r="P718">
        <v>-0.120340425803326</v>
      </c>
      <c r="Q718">
        <v>4.1269310171089001E-2</v>
      </c>
      <c r="R718">
        <v>0.99773596453302305</v>
      </c>
      <c r="S718" t="s">
        <v>7364</v>
      </c>
      <c r="T718" t="s">
        <v>13290</v>
      </c>
      <c r="U718" t="s">
        <v>13290</v>
      </c>
      <c r="V718" t="s">
        <v>13290</v>
      </c>
      <c r="W718" t="s">
        <v>13997</v>
      </c>
      <c r="X718">
        <v>4</v>
      </c>
      <c r="Y718" t="s">
        <v>20586</v>
      </c>
      <c r="Z718" t="s">
        <v>27048</v>
      </c>
      <c r="AA718">
        <v>0.31397641989031078</v>
      </c>
      <c r="AB718" t="str">
        <f>HYPERLINK("Melting_Curves/meltCurve_F5H702_MRPL48.pdf", "Melting_Curves/meltCurve_F5H702_MRPL48.pdf")</f>
        <v>Melting_Curves/meltCurve_F5H702_MRPL48.pdf</v>
      </c>
    </row>
    <row r="719" spans="1:28" x14ac:dyDescent="0.25">
      <c r="A719" t="s">
        <v>723</v>
      </c>
      <c r="B719">
        <v>0.99252571173614901</v>
      </c>
      <c r="C719">
        <v>1.06029887395991</v>
      </c>
      <c r="D719">
        <v>1.0457712089489399</v>
      </c>
      <c r="E719">
        <v>1.04964463821888</v>
      </c>
      <c r="F719">
        <v>0.86991625118887095</v>
      </c>
      <c r="G719">
        <v>0.69284957314301998</v>
      </c>
      <c r="H719">
        <v>0.64627425489713097</v>
      </c>
      <c r="I719">
        <v>0.85116392364037796</v>
      </c>
      <c r="J719">
        <v>1.2015245978044</v>
      </c>
      <c r="K719">
        <v>1.39929118312877</v>
      </c>
      <c r="L719">
        <v>15000</v>
      </c>
      <c r="M719">
        <v>223.56544445753201</v>
      </c>
      <c r="O719">
        <v>67.089075222896696</v>
      </c>
      <c r="P719">
        <v>0.33267979786445401</v>
      </c>
      <c r="Q719">
        <v>1.3993315009012</v>
      </c>
      <c r="R719">
        <v>0.424021362769398</v>
      </c>
      <c r="S719" t="s">
        <v>7365</v>
      </c>
      <c r="T719" t="s">
        <v>13290</v>
      </c>
      <c r="U719" t="s">
        <v>13290</v>
      </c>
      <c r="V719" t="s">
        <v>13290</v>
      </c>
      <c r="W719" t="s">
        <v>13998</v>
      </c>
      <c r="X719">
        <v>29</v>
      </c>
      <c r="Y719" t="s">
        <v>20587</v>
      </c>
      <c r="Z719" t="s">
        <v>27049</v>
      </c>
      <c r="AA719">
        <v>1.038617561295178</v>
      </c>
      <c r="AB719" t="str">
        <f>HYPERLINK("Melting_Curves/meltCurve_F5H721_WBP11.pdf", "Melting_Curves/meltCurve_F5H721_WBP11.pdf")</f>
        <v>Melting_Curves/meltCurve_F5H721_WBP11.pdf</v>
      </c>
    </row>
    <row r="720" spans="1:28" x14ac:dyDescent="0.25">
      <c r="A720" t="s">
        <v>724</v>
      </c>
      <c r="B720">
        <v>0.99252571173614901</v>
      </c>
      <c r="C720">
        <v>1.1304886199783499</v>
      </c>
      <c r="D720">
        <v>0.99413445961760905</v>
      </c>
      <c r="E720">
        <v>0.88302206518096604</v>
      </c>
      <c r="F720">
        <v>0.74181508370342197</v>
      </c>
      <c r="G720">
        <v>0.619981800675103</v>
      </c>
      <c r="H720">
        <v>0.60897187858194401</v>
      </c>
      <c r="I720">
        <v>0.64839055574767002</v>
      </c>
      <c r="J720">
        <v>0.661503832760304</v>
      </c>
      <c r="K720">
        <v>0.70359018023034903</v>
      </c>
      <c r="L720">
        <v>1663.6844431536299</v>
      </c>
      <c r="M720">
        <v>32.679327868814397</v>
      </c>
      <c r="O720">
        <v>50.7198871636243</v>
      </c>
      <c r="P720">
        <v>-5.6513204286080303E-2</v>
      </c>
      <c r="Q720">
        <v>0.64915682191575697</v>
      </c>
      <c r="R720">
        <v>0.92197033575634901</v>
      </c>
      <c r="S720" t="s">
        <v>7366</v>
      </c>
      <c r="T720" t="s">
        <v>13290</v>
      </c>
      <c r="U720" t="s">
        <v>13290</v>
      </c>
      <c r="V720" t="s">
        <v>13290</v>
      </c>
      <c r="W720" t="s">
        <v>13999</v>
      </c>
      <c r="X720">
        <v>5</v>
      </c>
      <c r="Y720" t="s">
        <v>20588</v>
      </c>
      <c r="Z720" t="s">
        <v>27050</v>
      </c>
      <c r="AA720">
        <v>0.77859450011925369</v>
      </c>
      <c r="AB720" t="str">
        <f>HYPERLINK("Melting_Curves/meltCurve_F5H7C4_MSRB3.pdf", "Melting_Curves/meltCurve_F5H7C4_MSRB3.pdf")</f>
        <v>Melting_Curves/meltCurve_F5H7C4_MSRB3.pdf</v>
      </c>
    </row>
    <row r="721" spans="1:28" x14ac:dyDescent="0.25">
      <c r="A721" t="s">
        <v>725</v>
      </c>
      <c r="B721">
        <v>0.99252571173614901</v>
      </c>
      <c r="C721">
        <v>0.86779241366531601</v>
      </c>
      <c r="D721">
        <v>0.80348701248482401</v>
      </c>
      <c r="E721">
        <v>0.75555848922791802</v>
      </c>
      <c r="F721">
        <v>0.59357753095212595</v>
      </c>
      <c r="G721">
        <v>0.465543332095056</v>
      </c>
      <c r="H721">
        <v>0.48471989602646598</v>
      </c>
      <c r="I721">
        <v>0.57537116505449204</v>
      </c>
      <c r="J721">
        <v>0.662448997681643</v>
      </c>
      <c r="K721">
        <v>0.46115529600850802</v>
      </c>
      <c r="L721">
        <v>684.11739626803603</v>
      </c>
      <c r="M721">
        <v>14.436120277645999</v>
      </c>
      <c r="O721">
        <v>46.507781619865803</v>
      </c>
      <c r="P721">
        <v>-3.7195993418106199E-2</v>
      </c>
      <c r="Q721">
        <v>0.52073002084563302</v>
      </c>
      <c r="R721">
        <v>0.85472578332701699</v>
      </c>
      <c r="S721" t="s">
        <v>7367</v>
      </c>
      <c r="T721" t="s">
        <v>13290</v>
      </c>
      <c r="U721" t="s">
        <v>13290</v>
      </c>
      <c r="V721" t="s">
        <v>13290</v>
      </c>
      <c r="W721" t="s">
        <v>14000</v>
      </c>
      <c r="X721">
        <v>7</v>
      </c>
      <c r="Y721" t="s">
        <v>20589</v>
      </c>
      <c r="Z721" t="s">
        <v>27051</v>
      </c>
      <c r="AA721">
        <v>0.65252557912163023</v>
      </c>
      <c r="AB721" t="str">
        <f>HYPERLINK("Melting_Curves/meltCurve_F5H7F6_MGST1.pdf", "Melting_Curves/meltCurve_F5H7F6_MGST1.pdf")</f>
        <v>Melting_Curves/meltCurve_F5H7F6_MGST1.pdf</v>
      </c>
    </row>
    <row r="722" spans="1:28" x14ac:dyDescent="0.25">
      <c r="A722" t="s">
        <v>726</v>
      </c>
      <c r="B722">
        <v>0.99252571173614901</v>
      </c>
      <c r="C722">
        <v>0.94440850257512099</v>
      </c>
      <c r="D722">
        <v>0.63734469234341695</v>
      </c>
      <c r="E722">
        <v>0.43907844244626498</v>
      </c>
      <c r="F722">
        <v>0.20754708528809099</v>
      </c>
      <c r="G722">
        <v>0.13342576158245101</v>
      </c>
      <c r="H722">
        <v>0.103197883951943</v>
      </c>
      <c r="I722">
        <v>0.11445684077257599</v>
      </c>
      <c r="J722">
        <v>0.16370824667960401</v>
      </c>
      <c r="K722">
        <v>0.164507916864674</v>
      </c>
      <c r="L722">
        <v>932.22782933415897</v>
      </c>
      <c r="M722">
        <v>19.6534670631188</v>
      </c>
      <c r="N722">
        <v>48.154310279228397</v>
      </c>
      <c r="O722">
        <v>46.950345935561202</v>
      </c>
      <c r="P722">
        <v>-9.1313664533586095E-2</v>
      </c>
      <c r="Q722">
        <v>0.12747006456849799</v>
      </c>
      <c r="R722">
        <v>0.98843728467663705</v>
      </c>
      <c r="S722" t="s">
        <v>7368</v>
      </c>
      <c r="T722" t="s">
        <v>13290</v>
      </c>
      <c r="U722" t="s">
        <v>13290</v>
      </c>
      <c r="V722" t="s">
        <v>13290</v>
      </c>
      <c r="W722" t="s">
        <v>14001</v>
      </c>
      <c r="X722">
        <v>6</v>
      </c>
      <c r="Y722" t="s">
        <v>20590</v>
      </c>
      <c r="Z722" t="s">
        <v>27052</v>
      </c>
      <c r="AA722">
        <v>0.35672709609847969</v>
      </c>
      <c r="AB722" t="str">
        <f>HYPERLINK("Melting_Curves/meltCurve_F5H7I4_GABPB1.pdf", "Melting_Curves/meltCurve_F5H7I4_GABPB1.pdf")</f>
        <v>Melting_Curves/meltCurve_F5H7I4_GABPB1.pdf</v>
      </c>
    </row>
    <row r="723" spans="1:28" x14ac:dyDescent="0.25">
      <c r="A723" t="s">
        <v>727</v>
      </c>
      <c r="B723">
        <v>0.99252571173614901</v>
      </c>
      <c r="C723">
        <v>0.77811309524252403</v>
      </c>
      <c r="D723">
        <v>0.41545698409367299</v>
      </c>
      <c r="E723">
        <v>0.354061841261538</v>
      </c>
      <c r="F723">
        <v>0.17886713522995701</v>
      </c>
      <c r="G723">
        <v>0.137113350098159</v>
      </c>
      <c r="H723">
        <v>0.115775777212697</v>
      </c>
      <c r="I723">
        <v>0.241361315685727</v>
      </c>
      <c r="J723">
        <v>0.33928649295508501</v>
      </c>
      <c r="K723">
        <v>0.37916639015923298</v>
      </c>
      <c r="L723">
        <v>1273.97543203637</v>
      </c>
      <c r="M723">
        <v>28.7923621951367</v>
      </c>
      <c r="N723">
        <v>45.2851372007501</v>
      </c>
      <c r="O723">
        <v>44.035174529064001</v>
      </c>
      <c r="P723">
        <v>-0.123972614280376</v>
      </c>
      <c r="Q723">
        <v>0.241588212541823</v>
      </c>
      <c r="R723">
        <v>0.90658050101041399</v>
      </c>
      <c r="S723" t="s">
        <v>7369</v>
      </c>
      <c r="T723" t="s">
        <v>13290</v>
      </c>
      <c r="U723" t="s">
        <v>13290</v>
      </c>
      <c r="V723" t="s">
        <v>13290</v>
      </c>
      <c r="W723" t="s">
        <v>14002</v>
      </c>
      <c r="X723">
        <v>2</v>
      </c>
      <c r="Y723" t="s">
        <v>20591</v>
      </c>
      <c r="Z723" t="s">
        <v>27053</v>
      </c>
      <c r="AA723">
        <v>0.35484135123217542</v>
      </c>
      <c r="AB723" t="str">
        <f>HYPERLINK("Melting_Curves/meltCurve_F5H7K2_MGA.pdf", "Melting_Curves/meltCurve_F5H7K2_MGA.pdf")</f>
        <v>Melting_Curves/meltCurve_F5H7K2_MGA.pdf</v>
      </c>
    </row>
    <row r="724" spans="1:28" x14ac:dyDescent="0.25">
      <c r="A724" t="s">
        <v>728</v>
      </c>
      <c r="B724">
        <v>0.99252571173614901</v>
      </c>
      <c r="C724">
        <v>0.95812389465713299</v>
      </c>
      <c r="D724">
        <v>0.87266939975785496</v>
      </c>
      <c r="E724">
        <v>0.79183120283525299</v>
      </c>
      <c r="F724">
        <v>0.66260658082644197</v>
      </c>
      <c r="G724">
        <v>0.48394281769356601</v>
      </c>
      <c r="H724">
        <v>0.33472227263769799</v>
      </c>
      <c r="I724">
        <v>0.24070184512255</v>
      </c>
      <c r="J724">
        <v>0.217980637871209</v>
      </c>
      <c r="K724">
        <v>0.19764945847648799</v>
      </c>
      <c r="L724">
        <v>582.05370144886501</v>
      </c>
      <c r="M724">
        <v>10.52717956499</v>
      </c>
      <c r="N724">
        <v>56.362928838309102</v>
      </c>
      <c r="O724">
        <v>53.4071878773969</v>
      </c>
      <c r="P724">
        <v>-4.4823647876659198E-2</v>
      </c>
      <c r="Q724">
        <v>9.0753632867457107E-2</v>
      </c>
      <c r="R724">
        <v>0.99711512865879903</v>
      </c>
      <c r="S724" t="s">
        <v>7370</v>
      </c>
      <c r="T724" t="s">
        <v>13290</v>
      </c>
      <c r="U724" t="s">
        <v>13290</v>
      </c>
      <c r="V724" t="s">
        <v>13290</v>
      </c>
      <c r="W724" t="s">
        <v>14003</v>
      </c>
      <c r="X724">
        <v>4</v>
      </c>
      <c r="Y724" t="s">
        <v>20592</v>
      </c>
      <c r="Z724" t="s">
        <v>27054</v>
      </c>
      <c r="AA724">
        <v>0.5761117491238622</v>
      </c>
      <c r="AB724" t="str">
        <f>HYPERLINK("Melting_Curves/meltCurve_F5H7N9_MFGE8.pdf", "Melting_Curves/meltCurve_F5H7N9_MFGE8.pdf")</f>
        <v>Melting_Curves/meltCurve_F5H7N9_MFGE8.pdf</v>
      </c>
    </row>
    <row r="725" spans="1:28" x14ac:dyDescent="0.25">
      <c r="A725" t="s">
        <v>729</v>
      </c>
      <c r="B725">
        <v>0.99252571173614901</v>
      </c>
      <c r="C725">
        <v>0.96917534809853301</v>
      </c>
      <c r="D725">
        <v>0.88813633958316296</v>
      </c>
      <c r="E725">
        <v>0.70810635996462101</v>
      </c>
      <c r="F725">
        <v>0.50005857699781198</v>
      </c>
      <c r="G725">
        <v>0</v>
      </c>
      <c r="H725">
        <v>9.9802111203535104E-2</v>
      </c>
      <c r="I725">
        <v>0.104116360247408</v>
      </c>
      <c r="J725">
        <v>0</v>
      </c>
      <c r="K725">
        <v>0</v>
      </c>
      <c r="L725">
        <v>1059.4163291084301</v>
      </c>
      <c r="M725">
        <v>20.365842180575701</v>
      </c>
      <c r="N725">
        <v>52.062589657049301</v>
      </c>
      <c r="O725">
        <v>51.525526185698098</v>
      </c>
      <c r="P725">
        <v>-9.7987219840086404E-2</v>
      </c>
      <c r="Q725">
        <v>8.4005549120423299E-3</v>
      </c>
      <c r="R725">
        <v>0.97141633588798004</v>
      </c>
      <c r="S725" t="s">
        <v>7371</v>
      </c>
      <c r="T725" t="s">
        <v>13290</v>
      </c>
      <c r="U725" t="s">
        <v>13290</v>
      </c>
      <c r="V725" t="s">
        <v>13290</v>
      </c>
      <c r="W725" t="s">
        <v>14004</v>
      </c>
      <c r="X725">
        <v>1</v>
      </c>
      <c r="Y725" t="s">
        <v>20593</v>
      </c>
      <c r="Z725" t="s">
        <v>27055</v>
      </c>
      <c r="AA725">
        <v>0.41895896476925532</v>
      </c>
      <c r="AB725" t="str">
        <f>HYPERLINK("Melting_Curves/meltCurve_F5H7T0_RPS6KC1.pdf", "Melting_Curves/meltCurve_F5H7T0_RPS6KC1.pdf")</f>
        <v>Melting_Curves/meltCurve_F5H7T0_RPS6KC1.pdf</v>
      </c>
    </row>
    <row r="726" spans="1:28" x14ac:dyDescent="0.25">
      <c r="A726" t="s">
        <v>730</v>
      </c>
      <c r="B726">
        <v>0.99252571173614901</v>
      </c>
      <c r="C726">
        <v>1.0263053412305301</v>
      </c>
      <c r="D726">
        <v>0.90834525255583498</v>
      </c>
      <c r="E726">
        <v>0.93851611258440504</v>
      </c>
      <c r="F726">
        <v>0.65322977474445798</v>
      </c>
      <c r="G726">
        <v>0.53263588883707502</v>
      </c>
      <c r="H726">
        <v>0.37926340934094999</v>
      </c>
      <c r="I726">
        <v>0.40853993339254002</v>
      </c>
      <c r="J726">
        <v>0.56877562267016601</v>
      </c>
      <c r="K726">
        <v>0.44111162070515603</v>
      </c>
      <c r="L726">
        <v>1609.1781430558001</v>
      </c>
      <c r="M726">
        <v>30.704700361877101</v>
      </c>
      <c r="N726">
        <v>56.789000253798299</v>
      </c>
      <c r="O726">
        <v>52.187405824414</v>
      </c>
      <c r="P726">
        <v>-8.0429338892384905E-2</v>
      </c>
      <c r="Q726">
        <v>0.453194652710874</v>
      </c>
      <c r="R726">
        <v>0.94644840752554504</v>
      </c>
      <c r="S726" t="s">
        <v>7372</v>
      </c>
      <c r="T726" t="s">
        <v>13290</v>
      </c>
      <c r="U726" t="s">
        <v>13290</v>
      </c>
      <c r="V726" t="s">
        <v>13290</v>
      </c>
      <c r="W726" t="s">
        <v>14005</v>
      </c>
      <c r="X726">
        <v>4</v>
      </c>
      <c r="Y726" t="s">
        <v>20594</v>
      </c>
      <c r="Z726" t="s">
        <v>27056</v>
      </c>
      <c r="AA726">
        <v>0.68271499741945496</v>
      </c>
      <c r="AB726" t="str">
        <f>HYPERLINK("Melting_Curves/meltCurve_F5H7Z9_REEP1.pdf", "Melting_Curves/meltCurve_F5H7Z9_REEP1.pdf")</f>
        <v>Melting_Curves/meltCurve_F5H7Z9_REEP1.pdf</v>
      </c>
    </row>
    <row r="727" spans="1:28" x14ac:dyDescent="0.25">
      <c r="A727" t="s">
        <v>731</v>
      </c>
      <c r="B727">
        <v>0.99252571173614901</v>
      </c>
      <c r="C727">
        <v>0.85817587001560103</v>
      </c>
      <c r="D727">
        <v>0.86437164335856898</v>
      </c>
      <c r="E727">
        <v>0.61000687861015801</v>
      </c>
      <c r="F727">
        <v>0.216295961657827</v>
      </c>
      <c r="G727">
        <v>0.108673772721415</v>
      </c>
      <c r="H727">
        <v>7.3442929282869898E-2</v>
      </c>
      <c r="I727">
        <v>6.7851826055690206E-2</v>
      </c>
      <c r="J727">
        <v>8.6337526927127706E-2</v>
      </c>
      <c r="K727">
        <v>8.5513038470578603E-2</v>
      </c>
      <c r="L727">
        <v>1089.4156808095099</v>
      </c>
      <c r="M727">
        <v>21.829358847856099</v>
      </c>
      <c r="N727">
        <v>50.216850283632802</v>
      </c>
      <c r="O727">
        <v>49.492834578626201</v>
      </c>
      <c r="P727">
        <v>-0.10329884871364101</v>
      </c>
      <c r="Q727">
        <v>6.3200131860387601E-2</v>
      </c>
      <c r="R727">
        <v>0.98635582753025297</v>
      </c>
      <c r="S727" t="s">
        <v>7373</v>
      </c>
      <c r="T727" t="s">
        <v>13290</v>
      </c>
      <c r="U727" t="s">
        <v>13290</v>
      </c>
      <c r="V727" t="s">
        <v>13290</v>
      </c>
      <c r="W727" t="s">
        <v>14006</v>
      </c>
      <c r="X727">
        <v>17</v>
      </c>
      <c r="Y727" t="s">
        <v>20595</v>
      </c>
      <c r="Z727" t="s">
        <v>27057</v>
      </c>
      <c r="AA727">
        <v>0.38350734516685298</v>
      </c>
      <c r="AB727" t="str">
        <f>HYPERLINK("Melting_Curves/meltCurve_F5H801_OGDH.pdf", "Melting_Curves/meltCurve_F5H801_OGDH.pdf")</f>
        <v>Melting_Curves/meltCurve_F5H801_OGDH.pdf</v>
      </c>
    </row>
    <row r="728" spans="1:28" x14ac:dyDescent="0.25">
      <c r="A728" t="s">
        <v>732</v>
      </c>
      <c r="B728">
        <v>0.99252571173614901</v>
      </c>
      <c r="C728">
        <v>1.0339503123076901</v>
      </c>
      <c r="D728">
        <v>1.05016385333053</v>
      </c>
      <c r="E728">
        <v>0.87436855720518003</v>
      </c>
      <c r="F728">
        <v>0.80922839935616198</v>
      </c>
      <c r="G728">
        <v>0.215936475972801</v>
      </c>
      <c r="H728">
        <v>0.121706490307292</v>
      </c>
      <c r="I728">
        <v>0.12823496589087</v>
      </c>
      <c r="J728">
        <v>0.148556108874184</v>
      </c>
      <c r="K728">
        <v>0.17397543008619101</v>
      </c>
      <c r="L728">
        <v>2895.6900356892502</v>
      </c>
      <c r="M728">
        <v>53.228368991676902</v>
      </c>
      <c r="N728">
        <v>54.741800031051802</v>
      </c>
      <c r="O728">
        <v>54.324647017946198</v>
      </c>
      <c r="P728">
        <v>-0.21043019575528699</v>
      </c>
      <c r="Q728">
        <v>0.14094417511899901</v>
      </c>
      <c r="R728">
        <v>0.98757520805981103</v>
      </c>
      <c r="S728" t="s">
        <v>7374</v>
      </c>
      <c r="T728" t="s">
        <v>13290</v>
      </c>
      <c r="U728" t="s">
        <v>13290</v>
      </c>
      <c r="V728" t="s">
        <v>13290</v>
      </c>
      <c r="W728" t="s">
        <v>14007</v>
      </c>
      <c r="X728">
        <v>6</v>
      </c>
      <c r="Y728" t="s">
        <v>20596</v>
      </c>
      <c r="Z728" t="s">
        <v>27058</v>
      </c>
      <c r="AA728">
        <v>0.5551442925846829</v>
      </c>
      <c r="AB728" t="str">
        <f>HYPERLINK("Melting_Curves/meltCurve_F5H860_INPP4A.pdf", "Melting_Curves/meltCurve_F5H860_INPP4A.pdf")</f>
        <v>Melting_Curves/meltCurve_F5H860_INPP4A.pdf</v>
      </c>
    </row>
    <row r="729" spans="1:28" x14ac:dyDescent="0.25">
      <c r="A729" t="s">
        <v>733</v>
      </c>
      <c r="B729">
        <v>0.99252571173614901</v>
      </c>
      <c r="C729">
        <v>0.95056478398778199</v>
      </c>
      <c r="D729">
        <v>0.92567376273494295</v>
      </c>
      <c r="E729">
        <v>1.08574636812074</v>
      </c>
      <c r="F729">
        <v>0.84062374309990795</v>
      </c>
      <c r="G729">
        <v>0.82092805136953995</v>
      </c>
      <c r="H729">
        <v>0.56281819367864805</v>
      </c>
      <c r="I729">
        <v>0.60004996297391899</v>
      </c>
      <c r="J729">
        <v>1.0054362478509999</v>
      </c>
      <c r="K729">
        <v>1.17431047786165</v>
      </c>
      <c r="L729">
        <v>13140.273175616299</v>
      </c>
      <c r="M729">
        <v>250</v>
      </c>
      <c r="O729">
        <v>52.557730140749896</v>
      </c>
      <c r="P729">
        <v>-0.198937837718559</v>
      </c>
      <c r="Q729">
        <v>0.83270846434331303</v>
      </c>
      <c r="R729">
        <v>0.16448641630725699</v>
      </c>
      <c r="S729" t="s">
        <v>7375</v>
      </c>
      <c r="T729" t="s">
        <v>13290</v>
      </c>
      <c r="U729" t="s">
        <v>13290</v>
      </c>
      <c r="V729" t="s">
        <v>13290</v>
      </c>
      <c r="W729" t="s">
        <v>14008</v>
      </c>
      <c r="X729">
        <v>1</v>
      </c>
      <c r="Y729" t="s">
        <v>20597</v>
      </c>
      <c r="Z729" t="s">
        <v>27059</v>
      </c>
      <c r="AA729">
        <v>0.90276937889098907</v>
      </c>
      <c r="AB729" t="str">
        <f>HYPERLINK("Melting_Curves/meltCurve_F5H872_MED21.pdf", "Melting_Curves/meltCurve_F5H872_MED21.pdf")</f>
        <v>Melting_Curves/meltCurve_F5H872_MED21.pdf</v>
      </c>
    </row>
    <row r="730" spans="1:28" x14ac:dyDescent="0.25">
      <c r="A730" t="s">
        <v>734</v>
      </c>
      <c r="B730">
        <v>0.99252571173614901</v>
      </c>
      <c r="C730">
        <v>1.0007685033114799</v>
      </c>
      <c r="D730">
        <v>0.91225603788403198</v>
      </c>
      <c r="E730">
        <v>0.79696836937812898</v>
      </c>
      <c r="F730">
        <v>0.61415474739397802</v>
      </c>
      <c r="G730">
        <v>0.453907345075302</v>
      </c>
      <c r="H730">
        <v>0.26195729328096001</v>
      </c>
      <c r="I730">
        <v>0.22590605512130699</v>
      </c>
      <c r="J730">
        <v>0.26397368332906002</v>
      </c>
      <c r="K730">
        <v>0.20070279591995899</v>
      </c>
      <c r="L730">
        <v>781.74628796886998</v>
      </c>
      <c r="M730">
        <v>14.6047075428755</v>
      </c>
      <c r="N730">
        <v>55.215927696684197</v>
      </c>
      <c r="O730">
        <v>52.553516494036899</v>
      </c>
      <c r="P730">
        <v>-5.6966626295181698E-2</v>
      </c>
      <c r="Q730">
        <v>0.18013847237477901</v>
      </c>
      <c r="R730">
        <v>0.99428580982938597</v>
      </c>
      <c r="S730" t="s">
        <v>7376</v>
      </c>
      <c r="T730" t="s">
        <v>13290</v>
      </c>
      <c r="U730" t="s">
        <v>13290</v>
      </c>
      <c r="V730" t="s">
        <v>13290</v>
      </c>
      <c r="W730" t="s">
        <v>14009</v>
      </c>
      <c r="X730">
        <v>26</v>
      </c>
      <c r="Y730" t="s">
        <v>20598</v>
      </c>
      <c r="Z730" t="s">
        <v>27060</v>
      </c>
      <c r="AA730">
        <v>0.56765145526987881</v>
      </c>
      <c r="AB730" t="str">
        <f>HYPERLINK("Melting_Curves/meltCurve_F5H877_SPINT1.pdf", "Melting_Curves/meltCurve_F5H877_SPINT1.pdf")</f>
        <v>Melting_Curves/meltCurve_F5H877_SPINT1.pdf</v>
      </c>
    </row>
    <row r="731" spans="1:28" x14ac:dyDescent="0.25">
      <c r="A731" t="s">
        <v>735</v>
      </c>
      <c r="B731">
        <v>0.99252571173614901</v>
      </c>
      <c r="C731">
        <v>0.90304442377982996</v>
      </c>
      <c r="D731">
        <v>1.05893947934499</v>
      </c>
      <c r="E731">
        <v>0.89845173516856802</v>
      </c>
      <c r="F731">
        <v>0.56302573486487995</v>
      </c>
      <c r="G731">
        <v>0.142157570994252</v>
      </c>
      <c r="H731">
        <v>7.0315648477315695E-2</v>
      </c>
      <c r="I731">
        <v>6.5686819788970799E-2</v>
      </c>
      <c r="J731">
        <v>7.4041558679095301E-2</v>
      </c>
      <c r="K731">
        <v>7.3354344848322706E-2</v>
      </c>
      <c r="L731">
        <v>1841.3626198310101</v>
      </c>
      <c r="M731">
        <v>34.548898777859101</v>
      </c>
      <c r="N731">
        <v>53.5074493353235</v>
      </c>
      <c r="O731">
        <v>53.119673281295199</v>
      </c>
      <c r="P731">
        <v>-0.152283356856974</v>
      </c>
      <c r="Q731">
        <v>6.3447761874109401E-2</v>
      </c>
      <c r="R731">
        <v>0.99108330970505998</v>
      </c>
      <c r="S731" t="s">
        <v>7377</v>
      </c>
      <c r="T731" t="s">
        <v>13290</v>
      </c>
      <c r="U731" t="s">
        <v>13290</v>
      </c>
      <c r="V731" t="s">
        <v>13290</v>
      </c>
      <c r="W731" t="s">
        <v>14010</v>
      </c>
      <c r="X731">
        <v>49</v>
      </c>
      <c r="Y731" t="s">
        <v>20599</v>
      </c>
      <c r="Z731" t="s">
        <v>27061</v>
      </c>
      <c r="AA731">
        <v>0.48318493844058991</v>
      </c>
      <c r="AB731" t="str">
        <f>HYPERLINK("Melting_Curves/meltCurve_F5H897_TRAP1.pdf", "Melting_Curves/meltCurve_F5H897_TRAP1.pdf")</f>
        <v>Melting_Curves/meltCurve_F5H897_TRAP1.pdf</v>
      </c>
    </row>
    <row r="732" spans="1:28" x14ac:dyDescent="0.25">
      <c r="A732" t="s">
        <v>736</v>
      </c>
      <c r="B732">
        <v>0.99252571173614901</v>
      </c>
      <c r="C732">
        <v>0.97303938928911804</v>
      </c>
      <c r="D732">
        <v>0.781640766542263</v>
      </c>
      <c r="E732">
        <v>0.349293768337682</v>
      </c>
      <c r="F732">
        <v>0.14834198744118601</v>
      </c>
      <c r="G732">
        <v>9.2298579464709499E-2</v>
      </c>
      <c r="H732">
        <v>7.1175553753121901E-2</v>
      </c>
      <c r="I732">
        <v>8.2523211723071602E-2</v>
      </c>
      <c r="J732">
        <v>0.123973070302917</v>
      </c>
      <c r="K732">
        <v>0.105221619282414</v>
      </c>
      <c r="L732">
        <v>1340.6503503397901</v>
      </c>
      <c r="M732">
        <v>27.974181699512702</v>
      </c>
      <c r="N732">
        <v>48.278710686866098</v>
      </c>
      <c r="O732">
        <v>47.681681443845399</v>
      </c>
      <c r="P732">
        <v>-0.13306746250354101</v>
      </c>
      <c r="Q732">
        <v>9.2760137631145906E-2</v>
      </c>
      <c r="R732">
        <v>0.99850297570884206</v>
      </c>
      <c r="S732" t="s">
        <v>7378</v>
      </c>
      <c r="T732" t="s">
        <v>13290</v>
      </c>
      <c r="U732" t="s">
        <v>13290</v>
      </c>
      <c r="V732" t="s">
        <v>13290</v>
      </c>
      <c r="W732" t="s">
        <v>14011</v>
      </c>
      <c r="X732">
        <v>9</v>
      </c>
      <c r="Y732" t="s">
        <v>20600</v>
      </c>
      <c r="Z732" t="s">
        <v>27062</v>
      </c>
      <c r="AA732">
        <v>0.33872951860020412</v>
      </c>
      <c r="AB732" t="str">
        <f>HYPERLINK("Melting_Curves/meltCurve_F5H8D7_XRCC1.pdf", "Melting_Curves/meltCurve_F5H8D7_XRCC1.pdf")</f>
        <v>Melting_Curves/meltCurve_F5H8D7_XRCC1.pdf</v>
      </c>
    </row>
    <row r="733" spans="1:28" x14ac:dyDescent="0.25">
      <c r="A733" t="s">
        <v>737</v>
      </c>
      <c r="B733">
        <v>0.99252571173614901</v>
      </c>
      <c r="C733">
        <v>1.0096137900192901</v>
      </c>
      <c r="D733">
        <v>0.94781613040729695</v>
      </c>
      <c r="E733">
        <v>0.83095736804241305</v>
      </c>
      <c r="F733">
        <v>0.70280484885512695</v>
      </c>
      <c r="G733">
        <v>0.38259466742545001</v>
      </c>
      <c r="H733">
        <v>0.111847975824937</v>
      </c>
      <c r="I733">
        <v>0.106865085030325</v>
      </c>
      <c r="J733">
        <v>8.7496144947966106E-2</v>
      </c>
      <c r="K733">
        <v>7.0012300739935196E-2</v>
      </c>
      <c r="L733">
        <v>1035.5447277978001</v>
      </c>
      <c r="M733">
        <v>18.868329038229</v>
      </c>
      <c r="N733">
        <v>55.1253387619549</v>
      </c>
      <c r="O733">
        <v>54.277361973433898</v>
      </c>
      <c r="P733">
        <v>-8.3447287562333397E-2</v>
      </c>
      <c r="Q733">
        <v>3.9848615001154601E-2</v>
      </c>
      <c r="R733">
        <v>0.99324392751235901</v>
      </c>
      <c r="S733" t="s">
        <v>7379</v>
      </c>
      <c r="T733" t="s">
        <v>13290</v>
      </c>
      <c r="U733" t="s">
        <v>13290</v>
      </c>
      <c r="V733" t="s">
        <v>13290</v>
      </c>
      <c r="W733" t="s">
        <v>14012</v>
      </c>
      <c r="X733">
        <v>13</v>
      </c>
      <c r="Y733" t="s">
        <v>20601</v>
      </c>
      <c r="Z733" t="s">
        <v>27063</v>
      </c>
      <c r="AA733">
        <v>0.53014034362108609</v>
      </c>
      <c r="AB733" t="str">
        <f>HYPERLINK("Melting_Curves/meltCurve_F5H8H2_MVK.pdf", "Melting_Curves/meltCurve_F5H8H2_MVK.pdf")</f>
        <v>Melting_Curves/meltCurve_F5H8H2_MVK.pdf</v>
      </c>
    </row>
    <row r="734" spans="1:28" x14ac:dyDescent="0.25">
      <c r="A734" t="s">
        <v>738</v>
      </c>
      <c r="B734">
        <v>0.99252571173614901</v>
      </c>
      <c r="C734">
        <v>1.0187985723358799</v>
      </c>
      <c r="D734">
        <v>1.0708072768995101</v>
      </c>
      <c r="E734">
        <v>1.2317103039334001</v>
      </c>
      <c r="F734">
        <v>0.73988814027138206</v>
      </c>
      <c r="G734">
        <v>0.523314430253908</v>
      </c>
      <c r="H734">
        <v>0.47247034145588401</v>
      </c>
      <c r="I734">
        <v>0.599833896231877</v>
      </c>
      <c r="J734">
        <v>0.93078719691123601</v>
      </c>
      <c r="K734">
        <v>0.95303915139574602</v>
      </c>
      <c r="L734">
        <v>13205.4669303185</v>
      </c>
      <c r="M734">
        <v>250</v>
      </c>
      <c r="O734">
        <v>52.818464439694402</v>
      </c>
      <c r="P734">
        <v>-0.35985389769854598</v>
      </c>
      <c r="Q734">
        <v>0.695888982053949</v>
      </c>
      <c r="R734">
        <v>0.53900471691866703</v>
      </c>
      <c r="S734" t="s">
        <v>7380</v>
      </c>
      <c r="T734" t="s">
        <v>13290</v>
      </c>
      <c r="U734" t="s">
        <v>13290</v>
      </c>
      <c r="V734" t="s">
        <v>13290</v>
      </c>
      <c r="W734" t="s">
        <v>14013</v>
      </c>
      <c r="X734">
        <v>6</v>
      </c>
      <c r="Y734" t="s">
        <v>20602</v>
      </c>
      <c r="Z734" t="s">
        <v>27064</v>
      </c>
      <c r="AA734">
        <v>0.82589288177464271</v>
      </c>
      <c r="AB734" t="str">
        <f>HYPERLINK("Melting_Curves/meltCurve_F5H8L0_RABGAP1L.pdf", "Melting_Curves/meltCurve_F5H8L0_RABGAP1L.pdf")</f>
        <v>Melting_Curves/meltCurve_F5H8L0_RABGAP1L.pdf</v>
      </c>
    </row>
    <row r="735" spans="1:28" x14ac:dyDescent="0.25">
      <c r="A735" t="s">
        <v>739</v>
      </c>
      <c r="B735">
        <v>0.99252571173614901</v>
      </c>
      <c r="C735">
        <v>0.661964201470154</v>
      </c>
      <c r="D735">
        <v>0.67418500504368195</v>
      </c>
      <c r="E735">
        <v>0.69128092212185499</v>
      </c>
      <c r="F735">
        <v>0.56323883452929002</v>
      </c>
      <c r="G735">
        <v>0.409989408839178</v>
      </c>
      <c r="H735">
        <v>9.0238984855145005E-2</v>
      </c>
      <c r="I735">
        <v>0.30568194771653401</v>
      </c>
      <c r="J735">
        <v>0.32902389402669702</v>
      </c>
      <c r="K735">
        <v>0.12271271294743601</v>
      </c>
      <c r="L735">
        <v>331.401318071866</v>
      </c>
      <c r="M735">
        <v>6.2698336128337298</v>
      </c>
      <c r="N735">
        <v>52.856477091361</v>
      </c>
      <c r="O735">
        <v>48.242674307622401</v>
      </c>
      <c r="P735">
        <v>-3.2580993699165402E-2</v>
      </c>
      <c r="Q735">
        <v>0</v>
      </c>
      <c r="R735">
        <v>0.83835806082105901</v>
      </c>
      <c r="S735" t="s">
        <v>7381</v>
      </c>
      <c r="T735" t="s">
        <v>13290</v>
      </c>
      <c r="U735" t="s">
        <v>13290</v>
      </c>
      <c r="V735" t="s">
        <v>13290</v>
      </c>
      <c r="W735" t="s">
        <v>14014</v>
      </c>
      <c r="X735">
        <v>3</v>
      </c>
      <c r="Y735" t="s">
        <v>20603</v>
      </c>
      <c r="Z735" t="s">
        <v>27065</v>
      </c>
      <c r="AA735">
        <v>0.47669726359728798</v>
      </c>
      <c r="AB735" t="str">
        <f>HYPERLINK("Melting_Curves/meltCurve_F5H8L4_SIDT2.pdf", "Melting_Curves/meltCurve_F5H8L4_SIDT2.pdf")</f>
        <v>Melting_Curves/meltCurve_F5H8L4_SIDT2.pdf</v>
      </c>
    </row>
    <row r="736" spans="1:28" x14ac:dyDescent="0.25">
      <c r="A736" t="s">
        <v>740</v>
      </c>
      <c r="B736">
        <v>0.99252571173614901</v>
      </c>
      <c r="C736">
        <v>1.0493145064593701</v>
      </c>
      <c r="D736">
        <v>0.93376303233101698</v>
      </c>
      <c r="E736">
        <v>0.72524708757544898</v>
      </c>
      <c r="F736">
        <v>0.85937020703813005</v>
      </c>
      <c r="G736">
        <v>0.47545829518188698</v>
      </c>
      <c r="H736">
        <v>0.30099404613788</v>
      </c>
      <c r="I736">
        <v>0.29427668153257802</v>
      </c>
      <c r="J736">
        <v>0.39817998486100298</v>
      </c>
      <c r="K736">
        <v>0.418383336933908</v>
      </c>
      <c r="L736">
        <v>944.56004644904999</v>
      </c>
      <c r="M736">
        <v>17.587213707957201</v>
      </c>
      <c r="N736">
        <v>57.120963430463803</v>
      </c>
      <c r="O736">
        <v>53.027266262286901</v>
      </c>
      <c r="P736">
        <v>-5.5953058257518597E-2</v>
      </c>
      <c r="Q736">
        <v>0.325219453258215</v>
      </c>
      <c r="R736">
        <v>0.89989977630943896</v>
      </c>
      <c r="S736" t="s">
        <v>7382</v>
      </c>
      <c r="T736" t="s">
        <v>13290</v>
      </c>
      <c r="U736" t="s">
        <v>13290</v>
      </c>
      <c r="V736" t="s">
        <v>13290</v>
      </c>
      <c r="W736" t="s">
        <v>14015</v>
      </c>
      <c r="X736">
        <v>9</v>
      </c>
      <c r="Y736" t="s">
        <v>20604</v>
      </c>
      <c r="Z736" t="s">
        <v>27066</v>
      </c>
      <c r="AA736">
        <v>0.64479778357967676</v>
      </c>
      <c r="AB736" t="str">
        <f>HYPERLINK("Melting_Curves/meltCurve_F6PQP6_EPN2.pdf", "Melting_Curves/meltCurve_F6PQP6_EPN2.pdf")</f>
        <v>Melting_Curves/meltCurve_F6PQP6_EPN2.pdf</v>
      </c>
    </row>
    <row r="737" spans="1:28" x14ac:dyDescent="0.25">
      <c r="A737" t="s">
        <v>741</v>
      </c>
      <c r="B737">
        <v>0.99252571173614901</v>
      </c>
      <c r="C737">
        <v>0.96642128606602196</v>
      </c>
      <c r="D737">
        <v>0.74737340063969804</v>
      </c>
      <c r="E737">
        <v>0.46839782025497301</v>
      </c>
      <c r="F737">
        <v>0.260336828369364</v>
      </c>
      <c r="G737">
        <v>0.13943568550461799</v>
      </c>
      <c r="H737">
        <v>7.2138206852825404E-2</v>
      </c>
      <c r="I737">
        <v>7.3043760589800694E-2</v>
      </c>
      <c r="J737">
        <v>7.7201568652377497E-2</v>
      </c>
      <c r="K737">
        <v>9.2188406541350201E-2</v>
      </c>
      <c r="L737">
        <v>885.60223192655201</v>
      </c>
      <c r="M737">
        <v>18.1327124928684</v>
      </c>
      <c r="N737">
        <v>49.248652518033197</v>
      </c>
      <c r="O737">
        <v>48.257631980453702</v>
      </c>
      <c r="P737">
        <v>-8.7380709073366203E-2</v>
      </c>
      <c r="Q737">
        <v>6.9839295722815498E-2</v>
      </c>
      <c r="R737">
        <v>0.99745799014146697</v>
      </c>
      <c r="S737" t="s">
        <v>7383</v>
      </c>
      <c r="T737" t="s">
        <v>13290</v>
      </c>
      <c r="U737" t="s">
        <v>13290</v>
      </c>
      <c r="V737" t="s">
        <v>13290</v>
      </c>
      <c r="W737" t="s">
        <v>14016</v>
      </c>
      <c r="X737">
        <v>2</v>
      </c>
      <c r="Y737" t="s">
        <v>20605</v>
      </c>
      <c r="Z737" t="s">
        <v>27067</v>
      </c>
      <c r="AA737">
        <v>0.35985222058353389</v>
      </c>
      <c r="AB737" t="str">
        <f>HYPERLINK("Melting_Curves/meltCurve_F6RIS4_TXNIP.pdf", "Melting_Curves/meltCurve_F6RIS4_TXNIP.pdf")</f>
        <v>Melting_Curves/meltCurve_F6RIS4_TXNIP.pdf</v>
      </c>
    </row>
    <row r="738" spans="1:28" x14ac:dyDescent="0.25">
      <c r="A738" t="s">
        <v>742</v>
      </c>
      <c r="B738">
        <v>0.99252571173614901</v>
      </c>
      <c r="C738">
        <v>1.1354130166012399</v>
      </c>
      <c r="D738">
        <v>0.93894947200702095</v>
      </c>
      <c r="E738">
        <v>0.88631106897952705</v>
      </c>
      <c r="F738">
        <v>0.74685716573902095</v>
      </c>
      <c r="G738">
        <v>0.63516702632636901</v>
      </c>
      <c r="H738">
        <v>0.69032565324043005</v>
      </c>
      <c r="I738">
        <v>1.0154668056977001</v>
      </c>
      <c r="J738">
        <v>1.7023140493265401</v>
      </c>
      <c r="K738">
        <v>1.86636431755496</v>
      </c>
      <c r="L738">
        <v>15000</v>
      </c>
      <c r="M738">
        <v>231.111550213778</v>
      </c>
      <c r="O738">
        <v>64.898880159598505</v>
      </c>
      <c r="P738">
        <v>0.44513790409861898</v>
      </c>
      <c r="Q738">
        <v>1.5</v>
      </c>
      <c r="R738">
        <v>0.67206096628092304</v>
      </c>
      <c r="S738" t="s">
        <v>7384</v>
      </c>
      <c r="T738" t="s">
        <v>13290</v>
      </c>
      <c r="U738" t="s">
        <v>13290</v>
      </c>
      <c r="V738" t="s">
        <v>13290</v>
      </c>
      <c r="W738" t="s">
        <v>14017</v>
      </c>
      <c r="X738">
        <v>6</v>
      </c>
      <c r="Y738" t="s">
        <v>20606</v>
      </c>
      <c r="Z738" t="s">
        <v>27068</v>
      </c>
      <c r="AA738">
        <v>1.0848713082010939</v>
      </c>
      <c r="AB738" t="str">
        <f>HYPERLINK("Melting_Curves/meltCurve_F6RY50_SIPA1.pdf", "Melting_Curves/meltCurve_F6RY50_SIPA1.pdf")</f>
        <v>Melting_Curves/meltCurve_F6RY50_SIPA1.pdf</v>
      </c>
    </row>
    <row r="739" spans="1:28" x14ac:dyDescent="0.25">
      <c r="A739" t="s">
        <v>743</v>
      </c>
      <c r="B739">
        <v>0.99252571173614901</v>
      </c>
      <c r="C739">
        <v>1.00330148510774</v>
      </c>
      <c r="D739">
        <v>0.798371959914012</v>
      </c>
      <c r="E739">
        <v>0.49178627779930401</v>
      </c>
      <c r="F739">
        <v>0.27714354930760898</v>
      </c>
      <c r="G739">
        <v>0.14648870459629201</v>
      </c>
      <c r="H739">
        <v>0.13545627488821199</v>
      </c>
      <c r="I739">
        <v>0.123323826879846</v>
      </c>
      <c r="J739">
        <v>0.157837371912287</v>
      </c>
      <c r="K739">
        <v>0.155267208910634</v>
      </c>
      <c r="L739">
        <v>1078.1347291714001</v>
      </c>
      <c r="M739">
        <v>22.101287310089798</v>
      </c>
      <c r="N739">
        <v>49.494851857770499</v>
      </c>
      <c r="O739">
        <v>48.387447312074798</v>
      </c>
      <c r="P739">
        <v>-9.8617268277940998E-2</v>
      </c>
      <c r="Q739">
        <v>0.13638836544010699</v>
      </c>
      <c r="R739">
        <v>0.99617694619319397</v>
      </c>
      <c r="S739" t="s">
        <v>7385</v>
      </c>
      <c r="T739" t="s">
        <v>13290</v>
      </c>
      <c r="U739" t="s">
        <v>13290</v>
      </c>
      <c r="V739" t="s">
        <v>13290</v>
      </c>
      <c r="W739" t="s">
        <v>14018</v>
      </c>
      <c r="X739">
        <v>10</v>
      </c>
      <c r="Y739" t="s">
        <v>20607</v>
      </c>
      <c r="Z739" t="s">
        <v>27069</v>
      </c>
      <c r="AA739">
        <v>0.39905040390254221</v>
      </c>
      <c r="AB739" t="str">
        <f>HYPERLINK("Melting_Curves/meltCurve_F6TQG2_SMARCA1.pdf", "Melting_Curves/meltCurve_F6TQG2_SMARCA1.pdf")</f>
        <v>Melting_Curves/meltCurve_F6TQG2_SMARCA1.pdf</v>
      </c>
    </row>
    <row r="740" spans="1:28" x14ac:dyDescent="0.25">
      <c r="A740" t="s">
        <v>744</v>
      </c>
      <c r="B740">
        <v>0.99252571173614901</v>
      </c>
      <c r="C740">
        <v>0.92478248040850397</v>
      </c>
      <c r="D740">
        <v>0.69360287643357299</v>
      </c>
      <c r="E740">
        <v>0.26825549981085201</v>
      </c>
      <c r="F740">
        <v>7.8184371498974503E-2</v>
      </c>
      <c r="G740">
        <v>7.1670980271714299E-2</v>
      </c>
      <c r="H740">
        <v>3.2095566068902202E-2</v>
      </c>
      <c r="I740">
        <v>5.92498992778396E-2</v>
      </c>
      <c r="J740">
        <v>5.3230182840739999E-2</v>
      </c>
      <c r="K740">
        <v>4.8174446334162603E-2</v>
      </c>
      <c r="L740">
        <v>1231.1276107358999</v>
      </c>
      <c r="M740">
        <v>26.0369758496015</v>
      </c>
      <c r="N740">
        <v>47.462552542194899</v>
      </c>
      <c r="O740">
        <v>47.007555916810901</v>
      </c>
      <c r="P740">
        <v>-0.13200679966505499</v>
      </c>
      <c r="Q740">
        <v>4.6702851905877099E-2</v>
      </c>
      <c r="R740">
        <v>0.99913886857548495</v>
      </c>
      <c r="S740" t="s">
        <v>7386</v>
      </c>
      <c r="T740" t="s">
        <v>13290</v>
      </c>
      <c r="U740" t="s">
        <v>13290</v>
      </c>
      <c r="V740" t="s">
        <v>13290</v>
      </c>
      <c r="W740" t="s">
        <v>14019</v>
      </c>
      <c r="X740">
        <v>6</v>
      </c>
      <c r="Y740" t="s">
        <v>19975</v>
      </c>
      <c r="Z740" t="s">
        <v>27070</v>
      </c>
      <c r="AA740">
        <v>0.28591191933173382</v>
      </c>
      <c r="AB740" t="str">
        <f>HYPERLINK("Melting_Curves/meltCurve_F6U1F2_BAG6.pdf", "Melting_Curves/meltCurve_F6U1F2_BAG6.pdf")</f>
        <v>Melting_Curves/meltCurve_F6U1F2_BAG6.pdf</v>
      </c>
    </row>
    <row r="741" spans="1:28" x14ac:dyDescent="0.25">
      <c r="A741" t="s">
        <v>745</v>
      </c>
      <c r="B741">
        <v>0.99252571173614901</v>
      </c>
      <c r="C741">
        <v>0.99377605078827203</v>
      </c>
      <c r="D741">
        <v>0.95451785193515204</v>
      </c>
      <c r="E741">
        <v>0.79647828443761304</v>
      </c>
      <c r="F741">
        <v>0.65668622096727003</v>
      </c>
      <c r="G741">
        <v>0.37613404300651898</v>
      </c>
      <c r="H741">
        <v>0.28616752332346901</v>
      </c>
      <c r="I741">
        <v>0.40345394419068797</v>
      </c>
      <c r="J741">
        <v>0.58804867498602298</v>
      </c>
      <c r="K741">
        <v>0.62915381379271795</v>
      </c>
      <c r="L741">
        <v>1431.77453235438</v>
      </c>
      <c r="M741">
        <v>28.1730417182482</v>
      </c>
      <c r="N741">
        <v>55.898594191712803</v>
      </c>
      <c r="O741">
        <v>50.5667548545768</v>
      </c>
      <c r="P741">
        <v>-7.5031582889014597E-2</v>
      </c>
      <c r="Q741">
        <v>0.46131890229347999</v>
      </c>
      <c r="R741">
        <v>0.83951531527738898</v>
      </c>
      <c r="S741" t="s">
        <v>7387</v>
      </c>
      <c r="T741" t="s">
        <v>13290</v>
      </c>
      <c r="U741" t="s">
        <v>13290</v>
      </c>
      <c r="V741" t="s">
        <v>13290</v>
      </c>
      <c r="W741" t="s">
        <v>14020</v>
      </c>
      <c r="X741">
        <v>9</v>
      </c>
      <c r="Y741" t="s">
        <v>20608</v>
      </c>
      <c r="Z741" t="s">
        <v>27071</v>
      </c>
      <c r="AA741">
        <v>0.65944617987022336</v>
      </c>
      <c r="AB741" t="str">
        <f>HYPERLINK("Melting_Curves/meltCurve_F6U1T9_PPP3R1.pdf", "Melting_Curves/meltCurve_F6U1T9_PPP3R1.pdf")</f>
        <v>Melting_Curves/meltCurve_F6U1T9_PPP3R1.pdf</v>
      </c>
    </row>
    <row r="742" spans="1:28" x14ac:dyDescent="0.25">
      <c r="A742" t="s">
        <v>746</v>
      </c>
      <c r="B742">
        <v>0.99252571173614901</v>
      </c>
      <c r="C742">
        <v>1.0082266183904001</v>
      </c>
      <c r="D742">
        <v>0.87969904520456799</v>
      </c>
      <c r="E742">
        <v>0.84151486749401705</v>
      </c>
      <c r="F742">
        <v>0.81016706409100003</v>
      </c>
      <c r="G742">
        <v>0.71932170833329201</v>
      </c>
      <c r="H742">
        <v>0.76411232104172899</v>
      </c>
      <c r="I742">
        <v>0.89674846259160801</v>
      </c>
      <c r="J742">
        <v>1.1169569839576201</v>
      </c>
      <c r="K742">
        <v>1.2469537220732001</v>
      </c>
      <c r="L742">
        <v>11072.0530426736</v>
      </c>
      <c r="M742">
        <v>250</v>
      </c>
      <c r="O742">
        <v>44.285379375977598</v>
      </c>
      <c r="P742">
        <v>-0.12781603774580999</v>
      </c>
      <c r="Q742">
        <v>0.909433895329681</v>
      </c>
      <c r="R742">
        <v>5.4424804390580103E-2</v>
      </c>
      <c r="S742" t="s">
        <v>7388</v>
      </c>
      <c r="T742" t="s">
        <v>13290</v>
      </c>
      <c r="U742" t="s">
        <v>13290</v>
      </c>
      <c r="V742" t="s">
        <v>13290</v>
      </c>
      <c r="W742" t="s">
        <v>14021</v>
      </c>
      <c r="X742">
        <v>4</v>
      </c>
      <c r="Y742" t="s">
        <v>20609</v>
      </c>
      <c r="Z742" t="s">
        <v>27072</v>
      </c>
      <c r="AA742">
        <v>0.92238649033463604</v>
      </c>
      <c r="AB742" t="str">
        <f>HYPERLINK("Melting_Curves/meltCurve_F6UJY9_HYI.pdf", "Melting_Curves/meltCurve_F6UJY9_HYI.pdf")</f>
        <v>Melting_Curves/meltCurve_F6UJY9_HYI.pdf</v>
      </c>
    </row>
    <row r="743" spans="1:28" x14ac:dyDescent="0.25">
      <c r="A743" t="s">
        <v>747</v>
      </c>
      <c r="B743">
        <v>0.99252571173614901</v>
      </c>
      <c r="C743">
        <v>1.02652285108132</v>
      </c>
      <c r="D743">
        <v>0.92618747083586495</v>
      </c>
      <c r="E743">
        <v>0.79635218939006602</v>
      </c>
      <c r="F743">
        <v>0.59657248108792704</v>
      </c>
      <c r="G743">
        <v>0.49420989158482598</v>
      </c>
      <c r="H743">
        <v>0.49176336425261602</v>
      </c>
      <c r="I743">
        <v>0.63817972828832603</v>
      </c>
      <c r="J743">
        <v>0.897030602684742</v>
      </c>
      <c r="K743">
        <v>0.918652511726615</v>
      </c>
      <c r="L743">
        <v>1860.1692583824199</v>
      </c>
      <c r="M743">
        <v>38.484707166487603</v>
      </c>
      <c r="O743">
        <v>48.205327957365697</v>
      </c>
      <c r="P743">
        <v>-6.4899611697241705E-2</v>
      </c>
      <c r="Q743">
        <v>0.67483193109508</v>
      </c>
      <c r="R743">
        <v>0.50524878483783497</v>
      </c>
      <c r="S743" t="s">
        <v>7389</v>
      </c>
      <c r="T743" t="s">
        <v>13290</v>
      </c>
      <c r="U743" t="s">
        <v>13290</v>
      </c>
      <c r="V743" t="s">
        <v>13290</v>
      </c>
      <c r="W743" t="s">
        <v>14022</v>
      </c>
      <c r="X743">
        <v>9</v>
      </c>
      <c r="Y743" t="s">
        <v>20610</v>
      </c>
      <c r="Z743" t="s">
        <v>27073</v>
      </c>
      <c r="AA743">
        <v>0.76635510157556541</v>
      </c>
      <c r="AB743" t="str">
        <f>HYPERLINK("Melting_Curves/meltCurve_F6V707_TPD52L1.pdf", "Melting_Curves/meltCurve_F6V707_TPD52L1.pdf")</f>
        <v>Melting_Curves/meltCurve_F6V707_TPD52L1.pdf</v>
      </c>
    </row>
    <row r="744" spans="1:28" x14ac:dyDescent="0.25">
      <c r="A744" t="s">
        <v>748</v>
      </c>
      <c r="B744">
        <v>0.99252571173614901</v>
      </c>
      <c r="C744">
        <v>1.0794039803193001</v>
      </c>
      <c r="D744">
        <v>0.94027636274561399</v>
      </c>
      <c r="E744">
        <v>1.3054483536113</v>
      </c>
      <c r="F744">
        <v>1.3715274314472401</v>
      </c>
      <c r="G744">
        <v>1.22475984618856</v>
      </c>
      <c r="H744">
        <v>0.82427765307128398</v>
      </c>
      <c r="I744">
        <v>1.9044218495699601</v>
      </c>
      <c r="J744">
        <v>1.53414005970846</v>
      </c>
      <c r="K744">
        <v>0.41123811682623601</v>
      </c>
      <c r="L744">
        <v>1.0000000000000001E-5</v>
      </c>
      <c r="M744">
        <v>1.0000000000000001E-5</v>
      </c>
      <c r="Q744">
        <v>1.31760231579591</v>
      </c>
      <c r="R744">
        <v>1.6495549370887399E-9</v>
      </c>
      <c r="S744" t="s">
        <v>7390</v>
      </c>
      <c r="T744" t="s">
        <v>13290</v>
      </c>
      <c r="U744" t="s">
        <v>13290</v>
      </c>
      <c r="V744" t="s">
        <v>13290</v>
      </c>
      <c r="W744" t="s">
        <v>13654</v>
      </c>
      <c r="X744">
        <v>10</v>
      </c>
      <c r="Y744" t="s">
        <v>20611</v>
      </c>
      <c r="Z744" t="s">
        <v>27074</v>
      </c>
      <c r="AA744">
        <v>1.158801937092472</v>
      </c>
      <c r="AB744" t="str">
        <f>HYPERLINK("Melting_Curves/meltCurve_F6XY72_NME2.pdf", "Melting_Curves/meltCurve_F6XY72_NME2.pdf")</f>
        <v>Melting_Curves/meltCurve_F6XY72_NME2.pdf</v>
      </c>
    </row>
    <row r="745" spans="1:28" x14ac:dyDescent="0.25">
      <c r="A745" t="s">
        <v>749</v>
      </c>
      <c r="B745">
        <v>0.99252571173614901</v>
      </c>
      <c r="C745">
        <v>1.17381062810388</v>
      </c>
      <c r="D745">
        <v>1.0360490090987</v>
      </c>
      <c r="E745">
        <v>1.0700942560083599</v>
      </c>
      <c r="F745">
        <v>0.84110862286355503</v>
      </c>
      <c r="G745">
        <v>0.65543550363055303</v>
      </c>
      <c r="H745">
        <v>0.76040134347555699</v>
      </c>
      <c r="I745">
        <v>0.968017826724483</v>
      </c>
      <c r="J745">
        <v>1.48228018989865</v>
      </c>
      <c r="K745">
        <v>1.4151081699402701</v>
      </c>
      <c r="L745">
        <v>15000</v>
      </c>
      <c r="M745">
        <v>228.97161667456899</v>
      </c>
      <c r="O745">
        <v>65.505317415889706</v>
      </c>
      <c r="P745">
        <v>0.39282755711140799</v>
      </c>
      <c r="Q745">
        <v>1.4495280157905901</v>
      </c>
      <c r="R745">
        <v>0.61572166753602897</v>
      </c>
      <c r="S745" t="s">
        <v>7391</v>
      </c>
      <c r="T745" t="s">
        <v>13290</v>
      </c>
      <c r="U745" t="s">
        <v>13290</v>
      </c>
      <c r="V745" t="s">
        <v>13290</v>
      </c>
      <c r="W745" t="s">
        <v>14023</v>
      </c>
      <c r="X745">
        <v>29</v>
      </c>
      <c r="Y745" t="s">
        <v>20406</v>
      </c>
      <c r="Z745" t="s">
        <v>27075</v>
      </c>
      <c r="AA745">
        <v>1.0672132073165379</v>
      </c>
      <c r="AB745" t="str">
        <f>HYPERLINK("Melting_Curves/meltCurve_F8VP89_EIF4B.pdf", "Melting_Curves/meltCurve_F8VP89_EIF4B.pdf")</f>
        <v>Melting_Curves/meltCurve_F8VP89_EIF4B.pdf</v>
      </c>
    </row>
    <row r="746" spans="1:28" x14ac:dyDescent="0.25">
      <c r="A746" t="s">
        <v>750</v>
      </c>
      <c r="B746">
        <v>0.99252571173614901</v>
      </c>
      <c r="C746">
        <v>0.63664354911669896</v>
      </c>
      <c r="D746">
        <v>1.19139964986045</v>
      </c>
      <c r="E746">
        <v>0.70580666422548399</v>
      </c>
      <c r="F746">
        <v>0.209269982459593</v>
      </c>
      <c r="G746">
        <v>0.12839895758980099</v>
      </c>
      <c r="H746">
        <v>0.106074846522725</v>
      </c>
      <c r="I746">
        <v>0.106934945625829</v>
      </c>
      <c r="J746">
        <v>9.7211051638523005E-2</v>
      </c>
      <c r="K746">
        <v>9.2338378485813999E-2</v>
      </c>
      <c r="L746">
        <v>2371.2767257022201</v>
      </c>
      <c r="M746">
        <v>47.001690761068602</v>
      </c>
      <c r="N746">
        <v>50.717533579998502</v>
      </c>
      <c r="O746">
        <v>50.359814716971002</v>
      </c>
      <c r="P746">
        <v>-0.20778584529416</v>
      </c>
      <c r="Q746">
        <v>0.10947511715767</v>
      </c>
      <c r="R746">
        <v>0.89045581753582703</v>
      </c>
      <c r="S746" t="s">
        <v>7392</v>
      </c>
      <c r="T746" t="s">
        <v>13290</v>
      </c>
      <c r="U746" t="s">
        <v>13290</v>
      </c>
      <c r="V746" t="s">
        <v>13290</v>
      </c>
      <c r="W746" t="s">
        <v>14024</v>
      </c>
      <c r="X746">
        <v>28</v>
      </c>
      <c r="Y746" t="s">
        <v>20612</v>
      </c>
      <c r="Z746" t="s">
        <v>27076</v>
      </c>
      <c r="AA746">
        <v>0.42194509925595919</v>
      </c>
      <c r="AB746" t="str">
        <f>HYPERLINK("Melting_Curves/meltCurve_F8VPD4_CAD.pdf", "Melting_Curves/meltCurve_F8VPD4_CAD.pdf")</f>
        <v>Melting_Curves/meltCurve_F8VPD4_CAD.pdf</v>
      </c>
    </row>
    <row r="747" spans="1:28" x14ac:dyDescent="0.25">
      <c r="A747" t="s">
        <v>751</v>
      </c>
      <c r="B747">
        <v>0.99252571173614901</v>
      </c>
      <c r="C747">
        <v>1.0861703119505499</v>
      </c>
      <c r="D747">
        <v>0.921771448076533</v>
      </c>
      <c r="E747">
        <v>0.78350908430767496</v>
      </c>
      <c r="F747">
        <v>0.48831644605391</v>
      </c>
      <c r="G747">
        <v>0.182941556842977</v>
      </c>
      <c r="H747">
        <v>8.8428581612493298E-2</v>
      </c>
      <c r="I747">
        <v>8.2572774136862398E-2</v>
      </c>
      <c r="J747">
        <v>8.6599777834515002E-2</v>
      </c>
      <c r="K747">
        <v>8.3357459179078899E-2</v>
      </c>
      <c r="L747">
        <v>1176.80209419266</v>
      </c>
      <c r="M747">
        <v>22.442460149690099</v>
      </c>
      <c r="N747">
        <v>52.772903024319398</v>
      </c>
      <c r="O747">
        <v>52.0253992942773</v>
      </c>
      <c r="P747">
        <v>-0.10065640588845</v>
      </c>
      <c r="Q747">
        <v>6.6665253698470706E-2</v>
      </c>
      <c r="R747">
        <v>0.99229173076853705</v>
      </c>
      <c r="S747" t="s">
        <v>7393</v>
      </c>
      <c r="T747" t="s">
        <v>13290</v>
      </c>
      <c r="U747" t="s">
        <v>13290</v>
      </c>
      <c r="V747" t="s">
        <v>13290</v>
      </c>
      <c r="W747" t="s">
        <v>14025</v>
      </c>
      <c r="X747">
        <v>40</v>
      </c>
      <c r="Y747" t="s">
        <v>20613</v>
      </c>
      <c r="Z747" t="s">
        <v>27077</v>
      </c>
      <c r="AA747">
        <v>0.46405011974701921</v>
      </c>
      <c r="AB747" t="str">
        <f>HYPERLINK("Melting_Curves/meltCurve_F8VQ10_DDX39B.pdf", "Melting_Curves/meltCurve_F8VQ10_DDX39B.pdf")</f>
        <v>Melting_Curves/meltCurve_F8VQ10_DDX39B.pdf</v>
      </c>
    </row>
    <row r="748" spans="1:28" x14ac:dyDescent="0.25">
      <c r="A748" t="s">
        <v>752</v>
      </c>
      <c r="B748">
        <v>0.99252571173614901</v>
      </c>
      <c r="C748">
        <v>0.67655956991779898</v>
      </c>
      <c r="D748">
        <v>1.2452099326405801</v>
      </c>
      <c r="E748">
        <v>0.69770145645912496</v>
      </c>
      <c r="F748">
        <v>0.496962902336271</v>
      </c>
      <c r="G748">
        <v>0.13178994614609499</v>
      </c>
      <c r="H748">
        <v>0.11219233249605</v>
      </c>
      <c r="I748">
        <v>0.102616712236703</v>
      </c>
      <c r="J748">
        <v>0.19957944086444099</v>
      </c>
      <c r="K748">
        <v>0.11960922494003599</v>
      </c>
      <c r="L748">
        <v>1412.0215108730799</v>
      </c>
      <c r="M748">
        <v>27.210760700348501</v>
      </c>
      <c r="N748">
        <v>52.427474589696601</v>
      </c>
      <c r="O748">
        <v>51.6141889860316</v>
      </c>
      <c r="P748">
        <v>-0.11581060122190399</v>
      </c>
      <c r="Q748">
        <v>0.12131632941248099</v>
      </c>
      <c r="R748">
        <v>0.86673025834638395</v>
      </c>
      <c r="S748" t="s">
        <v>7394</v>
      </c>
      <c r="T748" t="s">
        <v>13290</v>
      </c>
      <c r="U748" t="s">
        <v>13290</v>
      </c>
      <c r="V748" t="s">
        <v>13290</v>
      </c>
      <c r="W748" t="s">
        <v>14026</v>
      </c>
      <c r="X748">
        <v>1</v>
      </c>
      <c r="Y748" t="s">
        <v>20614</v>
      </c>
      <c r="Z748" t="s">
        <v>27078</v>
      </c>
      <c r="AA748">
        <v>0.47642234516880139</v>
      </c>
      <c r="AB748" t="str">
        <f>HYPERLINK("Melting_Curves/meltCurve_F8VQ19_BRF1.pdf", "Melting_Curves/meltCurve_F8VQ19_BRF1.pdf")</f>
        <v>Melting_Curves/meltCurve_F8VQ19_BRF1.pdf</v>
      </c>
    </row>
    <row r="749" spans="1:28" x14ac:dyDescent="0.25">
      <c r="A749" t="s">
        <v>753</v>
      </c>
      <c r="B749">
        <v>0.99252571173614901</v>
      </c>
      <c r="C749">
        <v>1.0633802090245501</v>
      </c>
      <c r="D749">
        <v>0.97370806014123801</v>
      </c>
      <c r="E749">
        <v>1.1173520006293101</v>
      </c>
      <c r="F749">
        <v>0.83231995064548203</v>
      </c>
      <c r="G749">
        <v>0.61161813932605302</v>
      </c>
      <c r="H749">
        <v>0.63970661912427795</v>
      </c>
      <c r="I749">
        <v>0.98108859672049198</v>
      </c>
      <c r="J749">
        <v>1.7336891334950999</v>
      </c>
      <c r="K749">
        <v>1.5500772587162399</v>
      </c>
      <c r="L749">
        <v>15000</v>
      </c>
      <c r="M749">
        <v>230.079611090719</v>
      </c>
      <c r="O749">
        <v>65.189899466196806</v>
      </c>
      <c r="P749">
        <v>0.441171894490968</v>
      </c>
      <c r="Q749">
        <v>1.5</v>
      </c>
      <c r="R749">
        <v>0.66309403590199301</v>
      </c>
      <c r="S749" t="s">
        <v>7395</v>
      </c>
      <c r="T749" t="s">
        <v>13290</v>
      </c>
      <c r="U749" t="s">
        <v>13290</v>
      </c>
      <c r="V749" t="s">
        <v>13290</v>
      </c>
      <c r="W749" t="s">
        <v>14027</v>
      </c>
      <c r="X749">
        <v>1</v>
      </c>
      <c r="Y749" t="s">
        <v>20615</v>
      </c>
      <c r="Z749" t="s">
        <v>27079</v>
      </c>
      <c r="AA749">
        <v>1.0800187037240869</v>
      </c>
      <c r="AB749" t="str">
        <f>HYPERLINK("Melting_Curves/meltCurve_F8VQD4_C12orf75.pdf", "Melting_Curves/meltCurve_F8VQD4_C12orf75.pdf")</f>
        <v>Melting_Curves/meltCurve_F8VQD4_C12orf75.pdf</v>
      </c>
    </row>
    <row r="750" spans="1:28" x14ac:dyDescent="0.25">
      <c r="A750" t="s">
        <v>754</v>
      </c>
      <c r="B750">
        <v>0.99252571173614901</v>
      </c>
      <c r="C750">
        <v>0.91783416188820799</v>
      </c>
      <c r="D750">
        <v>0.78276442472277596</v>
      </c>
      <c r="E750">
        <v>0.73481476906336496</v>
      </c>
      <c r="F750">
        <v>0.54104703809356103</v>
      </c>
      <c r="G750">
        <v>0.31233259986163298</v>
      </c>
      <c r="H750">
        <v>0.25658441956515499</v>
      </c>
      <c r="I750">
        <v>0.32394690117137698</v>
      </c>
      <c r="J750">
        <v>0.44176800733093502</v>
      </c>
      <c r="K750">
        <v>0.47707105106623199</v>
      </c>
      <c r="L750">
        <v>823.42542977315895</v>
      </c>
      <c r="M750">
        <v>16.725166322740399</v>
      </c>
      <c r="N750">
        <v>53.140239853051497</v>
      </c>
      <c r="O750">
        <v>48.545054588972498</v>
      </c>
      <c r="P750">
        <v>-5.5659698317367001E-2</v>
      </c>
      <c r="Q750">
        <v>0.35383008874370198</v>
      </c>
      <c r="R750">
        <v>0.90099175128056497</v>
      </c>
      <c r="S750" t="s">
        <v>7396</v>
      </c>
      <c r="T750" t="s">
        <v>13290</v>
      </c>
      <c r="U750" t="s">
        <v>13290</v>
      </c>
      <c r="V750" t="s">
        <v>13290</v>
      </c>
      <c r="W750" t="s">
        <v>14028</v>
      </c>
      <c r="X750">
        <v>5</v>
      </c>
      <c r="Y750" t="s">
        <v>20616</v>
      </c>
      <c r="Z750" t="s">
        <v>27080</v>
      </c>
      <c r="AA750">
        <v>0.56555811858914729</v>
      </c>
      <c r="AB750" t="str">
        <f>HYPERLINK("Melting_Curves/meltCurve_F8VQY2_UIMC1.pdf", "Melting_Curves/meltCurve_F8VQY2_UIMC1.pdf")</f>
        <v>Melting_Curves/meltCurve_F8VQY2_UIMC1.pdf</v>
      </c>
    </row>
    <row r="751" spans="1:28" x14ac:dyDescent="0.25">
      <c r="A751" t="s">
        <v>755</v>
      </c>
      <c r="B751">
        <v>0.99252571173614901</v>
      </c>
      <c r="C751">
        <v>1.10001686225055</v>
      </c>
      <c r="D751">
        <v>0.98943029398704796</v>
      </c>
      <c r="E751">
        <v>1.10588144840514</v>
      </c>
      <c r="F751">
        <v>0.86321149909064998</v>
      </c>
      <c r="G751">
        <v>0.65003163105672401</v>
      </c>
      <c r="H751">
        <v>0.54973766667670898</v>
      </c>
      <c r="I751">
        <v>0.73738644599182401</v>
      </c>
      <c r="J751">
        <v>0.76743043773683695</v>
      </c>
      <c r="K751">
        <v>0.48250308168906603</v>
      </c>
      <c r="L751">
        <v>7340.8725109860898</v>
      </c>
      <c r="M751">
        <v>137.484734169278</v>
      </c>
      <c r="O751">
        <v>53.3827966448778</v>
      </c>
      <c r="P751">
        <v>-0.23346668994094499</v>
      </c>
      <c r="Q751">
        <v>0.63739669810671595</v>
      </c>
      <c r="R751">
        <v>0.82025087614479397</v>
      </c>
      <c r="S751" t="s">
        <v>7397</v>
      </c>
      <c r="T751" t="s">
        <v>13290</v>
      </c>
      <c r="U751" t="s">
        <v>13290</v>
      </c>
      <c r="V751" t="s">
        <v>13290</v>
      </c>
      <c r="W751" t="s">
        <v>14029</v>
      </c>
      <c r="X751">
        <v>24</v>
      </c>
      <c r="Y751" t="s">
        <v>20617</v>
      </c>
      <c r="Z751" t="s">
        <v>27081</v>
      </c>
      <c r="AA751">
        <v>0.79940050105369875</v>
      </c>
      <c r="AB751" t="str">
        <f>HYPERLINK("Melting_Curves/meltCurve_F8VQZ7_METAP2.pdf", "Melting_Curves/meltCurve_F8VQZ7_METAP2.pdf")</f>
        <v>Melting_Curves/meltCurve_F8VQZ7_METAP2.pdf</v>
      </c>
    </row>
    <row r="752" spans="1:28" x14ac:dyDescent="0.25">
      <c r="A752" t="s">
        <v>756</v>
      </c>
      <c r="B752">
        <v>0.99252571173614901</v>
      </c>
      <c r="C752">
        <v>0.99113247409805705</v>
      </c>
      <c r="D752">
        <v>0.85803107005051005</v>
      </c>
      <c r="E752">
        <v>0.92591031712790905</v>
      </c>
      <c r="F752">
        <v>0.58430862349674595</v>
      </c>
      <c r="G752">
        <v>0.45542617041275002</v>
      </c>
      <c r="H752">
        <v>0.38791999070163002</v>
      </c>
      <c r="I752">
        <v>0.30759295183396601</v>
      </c>
      <c r="J752">
        <v>0.16330660340698</v>
      </c>
      <c r="K752">
        <v>0.16092370933212999</v>
      </c>
      <c r="L752">
        <v>627.67972089035595</v>
      </c>
      <c r="M752">
        <v>11.2989799785536</v>
      </c>
      <c r="N752">
        <v>56.562923674394902</v>
      </c>
      <c r="O752">
        <v>53.8971156690654</v>
      </c>
      <c r="P752">
        <v>-4.7632200556946301E-2</v>
      </c>
      <c r="Q752">
        <v>9.1437454600624801E-2</v>
      </c>
      <c r="R752">
        <v>0.97035153449598699</v>
      </c>
      <c r="S752" t="s">
        <v>7398</v>
      </c>
      <c r="T752" t="s">
        <v>13290</v>
      </c>
      <c r="U752" t="s">
        <v>13290</v>
      </c>
      <c r="V752" t="s">
        <v>13290</v>
      </c>
      <c r="W752" t="s">
        <v>14030</v>
      </c>
      <c r="X752">
        <v>2</v>
      </c>
      <c r="Y752" t="s">
        <v>20618</v>
      </c>
      <c r="Z752" t="s">
        <v>27082</v>
      </c>
      <c r="AA752">
        <v>0.58283012525414335</v>
      </c>
      <c r="AB752" t="str">
        <f>HYPERLINK("Melting_Curves/meltCurve_F8VRE8_TMEM19.pdf", "Melting_Curves/meltCurve_F8VRE8_TMEM19.pdf")</f>
        <v>Melting_Curves/meltCurve_F8VRE8_TMEM19.pdf</v>
      </c>
    </row>
    <row r="753" spans="1:28" x14ac:dyDescent="0.25">
      <c r="A753" t="s">
        <v>757</v>
      </c>
      <c r="B753">
        <v>0.99252571173614901</v>
      </c>
      <c r="C753">
        <v>1.0296008019388101</v>
      </c>
      <c r="D753">
        <v>0.99550170981320096</v>
      </c>
      <c r="E753">
        <v>1.1681677642820301</v>
      </c>
      <c r="F753">
        <v>0.97454001912663502</v>
      </c>
      <c r="G753">
        <v>0.83062781739506797</v>
      </c>
      <c r="H753">
        <v>0.75060057774190903</v>
      </c>
      <c r="I753">
        <v>0.87349537256681797</v>
      </c>
      <c r="J753">
        <v>1.22774483324475</v>
      </c>
      <c r="K753">
        <v>0.83520214454319197</v>
      </c>
      <c r="L753">
        <v>13354.564495841199</v>
      </c>
      <c r="M753">
        <v>250</v>
      </c>
      <c r="O753">
        <v>53.4148397353324</v>
      </c>
      <c r="P753">
        <v>-0.112873415900551</v>
      </c>
      <c r="Q753">
        <v>0.90353415368182499</v>
      </c>
      <c r="R753">
        <v>0.179178534190085</v>
      </c>
      <c r="S753" t="s">
        <v>7399</v>
      </c>
      <c r="T753" t="s">
        <v>13290</v>
      </c>
      <c r="U753" t="s">
        <v>13290</v>
      </c>
      <c r="V753" t="s">
        <v>13290</v>
      </c>
      <c r="W753" t="s">
        <v>14031</v>
      </c>
      <c r="X753">
        <v>1</v>
      </c>
      <c r="Y753" t="s">
        <v>20619</v>
      </c>
      <c r="Z753" t="s">
        <v>27083</v>
      </c>
      <c r="AA753">
        <v>0.94668998426507434</v>
      </c>
      <c r="AB753" t="str">
        <f>HYPERLINK("Melting_Curves/meltCurve_F8VS78_TSPAN31.pdf", "Melting_Curves/meltCurve_F8VS78_TSPAN31.pdf")</f>
        <v>Melting_Curves/meltCurve_F8VS78_TSPAN31.pdf</v>
      </c>
    </row>
    <row r="754" spans="1:28" x14ac:dyDescent="0.25">
      <c r="A754" t="s">
        <v>758</v>
      </c>
      <c r="B754">
        <v>0.99252571173614901</v>
      </c>
      <c r="C754">
        <v>0.96951684774959901</v>
      </c>
      <c r="D754">
        <v>0.79873047933626795</v>
      </c>
      <c r="E754">
        <v>0.69001562678159101</v>
      </c>
      <c r="F754">
        <v>0.59292755264002195</v>
      </c>
      <c r="G754">
        <v>0.41477207461959198</v>
      </c>
      <c r="H754">
        <v>0.28369932737265902</v>
      </c>
      <c r="I754">
        <v>0.28619614022316198</v>
      </c>
      <c r="J754">
        <v>0.43177405895151399</v>
      </c>
      <c r="K754">
        <v>0.50291204084485996</v>
      </c>
      <c r="L754">
        <v>784.44157426760501</v>
      </c>
      <c r="M754">
        <v>15.867384582203901</v>
      </c>
      <c r="N754">
        <v>53.982201519490602</v>
      </c>
      <c r="O754">
        <v>48.672117800809701</v>
      </c>
      <c r="P754">
        <v>-5.1469140669377203E-2</v>
      </c>
      <c r="Q754">
        <v>0.368538907834073</v>
      </c>
      <c r="R754">
        <v>0.91524827729179703</v>
      </c>
      <c r="S754" t="s">
        <v>7400</v>
      </c>
      <c r="T754" t="s">
        <v>13290</v>
      </c>
      <c r="U754" t="s">
        <v>13290</v>
      </c>
      <c r="V754" t="s">
        <v>13290</v>
      </c>
      <c r="W754" t="s">
        <v>14032</v>
      </c>
      <c r="X754">
        <v>2</v>
      </c>
      <c r="Y754" t="s">
        <v>20620</v>
      </c>
      <c r="Z754" t="s">
        <v>27084</v>
      </c>
      <c r="AA754">
        <v>0.58100592813901242</v>
      </c>
      <c r="AB754" t="str">
        <f>HYPERLINK("Melting_Curves/meltCurve_F8VSL3_NFYB.pdf", "Melting_Curves/meltCurve_F8VSL3_NFYB.pdf")</f>
        <v>Melting_Curves/meltCurve_F8VSL3_NFYB.pdf</v>
      </c>
    </row>
    <row r="755" spans="1:28" x14ac:dyDescent="0.25">
      <c r="A755" t="s">
        <v>759</v>
      </c>
      <c r="B755">
        <v>0.99252571173614901</v>
      </c>
      <c r="C755">
        <v>0.866706412671017</v>
      </c>
      <c r="D755">
        <v>0.94624589277670901</v>
      </c>
      <c r="E755">
        <v>0.82670496112153202</v>
      </c>
      <c r="F755">
        <v>0.461167240217005</v>
      </c>
      <c r="G755">
        <v>0.19505206613053999</v>
      </c>
      <c r="H755">
        <v>0.119915118379931</v>
      </c>
      <c r="I755">
        <v>0.122580186301618</v>
      </c>
      <c r="J755">
        <v>0.19721768024040001</v>
      </c>
      <c r="K755">
        <v>0.190226877485239</v>
      </c>
      <c r="L755">
        <v>1472.7540974531501</v>
      </c>
      <c r="M755">
        <v>28.320898580008301</v>
      </c>
      <c r="N755">
        <v>52.662102861461896</v>
      </c>
      <c r="O755">
        <v>51.745194276634301</v>
      </c>
      <c r="P755">
        <v>-0.116395670349536</v>
      </c>
      <c r="Q755">
        <v>0.14933985824439999</v>
      </c>
      <c r="R755">
        <v>0.97926337610366498</v>
      </c>
      <c r="S755" t="s">
        <v>7401</v>
      </c>
      <c r="T755" t="s">
        <v>13290</v>
      </c>
      <c r="U755" t="s">
        <v>13290</v>
      </c>
      <c r="V755" t="s">
        <v>13290</v>
      </c>
      <c r="W755" t="s">
        <v>14033</v>
      </c>
      <c r="X755">
        <v>6</v>
      </c>
      <c r="Y755" t="s">
        <v>20621</v>
      </c>
      <c r="Z755" t="s">
        <v>27085</v>
      </c>
      <c r="AA755">
        <v>0.4957618848331754</v>
      </c>
      <c r="AB755" t="str">
        <f>HYPERLINK("Melting_Curves/meltCurve_F8VSZ4_PLXNA1.pdf", "Melting_Curves/meltCurve_F8VSZ4_PLXNA1.pdf")</f>
        <v>Melting_Curves/meltCurve_F8VSZ4_PLXNA1.pdf</v>
      </c>
    </row>
    <row r="756" spans="1:28" x14ac:dyDescent="0.25">
      <c r="A756" t="s">
        <v>760</v>
      </c>
      <c r="B756">
        <v>0.99252571173614901</v>
      </c>
      <c r="C756">
        <v>0.87875137514089596</v>
      </c>
      <c r="D756">
        <v>0.79022984363550297</v>
      </c>
      <c r="E756">
        <v>0.72145846674696101</v>
      </c>
      <c r="F756">
        <v>0.50252889157094904</v>
      </c>
      <c r="G756">
        <v>0.35513406642353701</v>
      </c>
      <c r="H756">
        <v>0.221659921669975</v>
      </c>
      <c r="I756">
        <v>0.241609888093688</v>
      </c>
      <c r="J756">
        <v>0.32339934712342899</v>
      </c>
      <c r="K756">
        <v>0.26795865697506399</v>
      </c>
      <c r="L756">
        <v>650.20343571022795</v>
      </c>
      <c r="M756">
        <v>12.8724582569624</v>
      </c>
      <c r="N756">
        <v>52.938655259454499</v>
      </c>
      <c r="O756">
        <v>49.338762322634999</v>
      </c>
      <c r="P756">
        <v>-5.0695082596838303E-2</v>
      </c>
      <c r="Q756">
        <v>0.22290725271787701</v>
      </c>
      <c r="R756">
        <v>0.97158390369021896</v>
      </c>
      <c r="S756" t="s">
        <v>7402</v>
      </c>
      <c r="T756" t="s">
        <v>13290</v>
      </c>
      <c r="U756" t="s">
        <v>13290</v>
      </c>
      <c r="V756" t="s">
        <v>13290</v>
      </c>
      <c r="W756" t="s">
        <v>14034</v>
      </c>
      <c r="X756">
        <v>7</v>
      </c>
      <c r="Y756" t="s">
        <v>20622</v>
      </c>
      <c r="Z756" t="s">
        <v>27086</v>
      </c>
      <c r="AA756">
        <v>0.5186180356471769</v>
      </c>
      <c r="AB756" t="str">
        <f>HYPERLINK("Melting_Curves/meltCurve_F8VU90_FKBP11.pdf", "Melting_Curves/meltCurve_F8VU90_FKBP11.pdf")</f>
        <v>Melting_Curves/meltCurve_F8VU90_FKBP11.pdf</v>
      </c>
    </row>
    <row r="757" spans="1:28" x14ac:dyDescent="0.25">
      <c r="A757" t="s">
        <v>761</v>
      </c>
      <c r="B757">
        <v>0.99252571173614901</v>
      </c>
      <c r="C757">
        <v>0.95029270306258595</v>
      </c>
      <c r="D757">
        <v>0.74473913730640295</v>
      </c>
      <c r="E757">
        <v>0.62720962545177195</v>
      </c>
      <c r="F757">
        <v>0.41322479268352003</v>
      </c>
      <c r="G757">
        <v>0.21828220548378899</v>
      </c>
      <c r="H757">
        <v>0.14629325340851601</v>
      </c>
      <c r="I757">
        <v>0.11092341963464999</v>
      </c>
      <c r="J757">
        <v>0.100778546661263</v>
      </c>
      <c r="K757">
        <v>0.212470344407274</v>
      </c>
      <c r="L757">
        <v>720.86671469502596</v>
      </c>
      <c r="M757">
        <v>14.365239600727501</v>
      </c>
      <c r="N757">
        <v>51.043308310743299</v>
      </c>
      <c r="O757">
        <v>49.238924323093499</v>
      </c>
      <c r="P757">
        <v>-6.5088667749166204E-2</v>
      </c>
      <c r="Q757">
        <v>0.107703654459421</v>
      </c>
      <c r="R757">
        <v>0.98263115009691004</v>
      </c>
      <c r="S757" t="s">
        <v>7403</v>
      </c>
      <c r="T757" t="s">
        <v>13290</v>
      </c>
      <c r="U757" t="s">
        <v>13290</v>
      </c>
      <c r="V757" t="s">
        <v>13290</v>
      </c>
      <c r="W757" t="s">
        <v>14035</v>
      </c>
      <c r="X757">
        <v>1</v>
      </c>
      <c r="Y757" t="s">
        <v>20623</v>
      </c>
      <c r="Z757" t="s">
        <v>27087</v>
      </c>
      <c r="AA757">
        <v>0.4333286671569701</v>
      </c>
      <c r="AB757" t="str">
        <f>HYPERLINK("Melting_Curves/meltCurve_F8VUW5_DAZAP2.pdf", "Melting_Curves/meltCurve_F8VUW5_DAZAP2.pdf")</f>
        <v>Melting_Curves/meltCurve_F8VUW5_DAZAP2.pdf</v>
      </c>
    </row>
    <row r="758" spans="1:28" x14ac:dyDescent="0.25">
      <c r="A758" t="s">
        <v>762</v>
      </c>
      <c r="B758">
        <v>0.99252571173614901</v>
      </c>
      <c r="C758">
        <v>0.86329108671655197</v>
      </c>
      <c r="D758">
        <v>1.1507341219601199</v>
      </c>
      <c r="E758">
        <v>0.77937632824831404</v>
      </c>
      <c r="F758">
        <v>0.2807013140654</v>
      </c>
      <c r="G758">
        <v>0.18263450493674399</v>
      </c>
      <c r="H758">
        <v>0.152754576463907</v>
      </c>
      <c r="I758">
        <v>0.17736486981125499</v>
      </c>
      <c r="J758">
        <v>0.220742178332579</v>
      </c>
      <c r="K758">
        <v>0.22683644532321401</v>
      </c>
      <c r="L758">
        <v>2496.6560605351401</v>
      </c>
      <c r="M758">
        <v>49.284366068260503</v>
      </c>
      <c r="N758">
        <v>51.167731771802799</v>
      </c>
      <c r="O758">
        <v>50.574979420181002</v>
      </c>
      <c r="P758">
        <v>-0.19637461911496801</v>
      </c>
      <c r="Q758">
        <v>0.19393233939410301</v>
      </c>
      <c r="R758">
        <v>0.96608280454211304</v>
      </c>
      <c r="S758" t="s">
        <v>7404</v>
      </c>
      <c r="T758" t="s">
        <v>13290</v>
      </c>
      <c r="U758" t="s">
        <v>13290</v>
      </c>
      <c r="V758" t="s">
        <v>13290</v>
      </c>
      <c r="W758" t="s">
        <v>14036</v>
      </c>
      <c r="X758">
        <v>3</v>
      </c>
      <c r="Y758" t="s">
        <v>20624</v>
      </c>
      <c r="Z758" t="s">
        <v>27088</v>
      </c>
      <c r="AA758">
        <v>0.48216018458222087</v>
      </c>
      <c r="AB758" t="str">
        <f>HYPERLINK("Melting_Curves/meltCurve_F8VV52_CNOT2.pdf", "Melting_Curves/meltCurve_F8VV52_CNOT2.pdf")</f>
        <v>Melting_Curves/meltCurve_F8VV52_CNOT2.pdf</v>
      </c>
    </row>
    <row r="759" spans="1:28" x14ac:dyDescent="0.25">
      <c r="A759" t="s">
        <v>763</v>
      </c>
      <c r="B759">
        <v>0.99252571173614901</v>
      </c>
      <c r="C759">
        <v>0.96274160824527999</v>
      </c>
      <c r="D759">
        <v>1.0653432877164</v>
      </c>
      <c r="E759">
        <v>0.88995006540350297</v>
      </c>
      <c r="F759">
        <v>0.82904104277790602</v>
      </c>
      <c r="G759">
        <v>0.727674033275022</v>
      </c>
      <c r="H759">
        <v>0.63768150206090102</v>
      </c>
      <c r="I759">
        <v>0.87409184665450601</v>
      </c>
      <c r="J759">
        <v>1.3133923171961499</v>
      </c>
      <c r="K759">
        <v>1.2740120371338199</v>
      </c>
      <c r="L759">
        <v>15000</v>
      </c>
      <c r="M759">
        <v>228.066205507158</v>
      </c>
      <c r="O759">
        <v>65.765317588771694</v>
      </c>
      <c r="P759">
        <v>0.25580974875440898</v>
      </c>
      <c r="Q759">
        <v>1.2950618571587</v>
      </c>
      <c r="R759">
        <v>0.36292526882916398</v>
      </c>
      <c r="S759" t="s">
        <v>7405</v>
      </c>
      <c r="T759" t="s">
        <v>13290</v>
      </c>
      <c r="U759" t="s">
        <v>13290</v>
      </c>
      <c r="V759" t="s">
        <v>13290</v>
      </c>
      <c r="W759" t="s">
        <v>14037</v>
      </c>
      <c r="X759">
        <v>2</v>
      </c>
      <c r="Y759" t="s">
        <v>20625</v>
      </c>
      <c r="Z759" t="s">
        <v>27089</v>
      </c>
      <c r="AA759">
        <v>1.041559105434652</v>
      </c>
      <c r="AB759" t="str">
        <f>HYPERLINK("Melting_Curves/meltCurve_F8VV56_CD63.pdf", "Melting_Curves/meltCurve_F8VV56_CD63.pdf")</f>
        <v>Melting_Curves/meltCurve_F8VV56_CD63.pdf</v>
      </c>
    </row>
    <row r="760" spans="1:28" x14ac:dyDescent="0.25">
      <c r="A760" t="s">
        <v>764</v>
      </c>
      <c r="B760">
        <v>0.99252571173614901</v>
      </c>
      <c r="C760">
        <v>0.94395861212648202</v>
      </c>
      <c r="D760">
        <v>1.12528553927092</v>
      </c>
      <c r="E760">
        <v>1.0588329910013501</v>
      </c>
      <c r="F760">
        <v>0.56129529174778403</v>
      </c>
      <c r="G760">
        <v>0.33182713030064898</v>
      </c>
      <c r="H760">
        <v>0.168628078676063</v>
      </c>
      <c r="I760">
        <v>0.118347993118453</v>
      </c>
      <c r="J760">
        <v>9.2093534203101304E-2</v>
      </c>
      <c r="K760">
        <v>7.9231354056833E-2</v>
      </c>
      <c r="L760">
        <v>1626.3175191381599</v>
      </c>
      <c r="M760">
        <v>30.195826143486599</v>
      </c>
      <c r="N760">
        <v>54.319174506917001</v>
      </c>
      <c r="O760">
        <v>53.6244517073754</v>
      </c>
      <c r="P760">
        <v>-0.124888684534548</v>
      </c>
      <c r="Q760">
        <v>0.112851600413056</v>
      </c>
      <c r="R760">
        <v>0.97291894750115204</v>
      </c>
      <c r="S760" t="s">
        <v>7406</v>
      </c>
      <c r="T760" t="s">
        <v>13290</v>
      </c>
      <c r="U760" t="s">
        <v>13290</v>
      </c>
      <c r="V760" t="s">
        <v>13290</v>
      </c>
      <c r="W760" t="s">
        <v>14038</v>
      </c>
      <c r="X760">
        <v>4</v>
      </c>
      <c r="Y760" t="s">
        <v>20626</v>
      </c>
      <c r="Z760" t="s">
        <v>27090</v>
      </c>
      <c r="AA760">
        <v>0.52843016392921494</v>
      </c>
      <c r="AB760" t="str">
        <f>HYPERLINK("Melting_Curves/meltCurve_F8VVA7_COPZ1.pdf", "Melting_Curves/meltCurve_F8VVA7_COPZ1.pdf")</f>
        <v>Melting_Curves/meltCurve_F8VVA7_COPZ1.pdf</v>
      </c>
    </row>
    <row r="761" spans="1:28" x14ac:dyDescent="0.25">
      <c r="A761" t="s">
        <v>765</v>
      </c>
      <c r="B761">
        <v>0.99252571173614901</v>
      </c>
      <c r="C761">
        <v>0.937537027640718</v>
      </c>
      <c r="D761">
        <v>1.00453280913404</v>
      </c>
      <c r="E761">
        <v>0.95637787660748397</v>
      </c>
      <c r="F761">
        <v>0.76335241036164603</v>
      </c>
      <c r="G761">
        <v>0.47393336605037001</v>
      </c>
      <c r="H761">
        <v>0.25662178803339603</v>
      </c>
      <c r="I761">
        <v>0.18653869934966499</v>
      </c>
      <c r="J761">
        <v>0.17079113650979499</v>
      </c>
      <c r="K761">
        <v>0.18564156319160099</v>
      </c>
      <c r="L761">
        <v>1296.4666039025601</v>
      </c>
      <c r="M761">
        <v>23.3913654956743</v>
      </c>
      <c r="N761">
        <v>56.379466560297097</v>
      </c>
      <c r="O761">
        <v>55.024665184014196</v>
      </c>
      <c r="P761">
        <v>-8.8902461103941594E-2</v>
      </c>
      <c r="Q761">
        <v>0.163495657811708</v>
      </c>
      <c r="R761">
        <v>0.996324253800142</v>
      </c>
      <c r="S761" t="s">
        <v>7407</v>
      </c>
      <c r="T761" t="s">
        <v>13290</v>
      </c>
      <c r="U761" t="s">
        <v>13290</v>
      </c>
      <c r="V761" t="s">
        <v>13290</v>
      </c>
      <c r="W761" t="s">
        <v>14039</v>
      </c>
      <c r="X761">
        <v>7</v>
      </c>
      <c r="Y761" t="s">
        <v>20627</v>
      </c>
      <c r="Z761" t="s">
        <v>27091</v>
      </c>
      <c r="AA761">
        <v>0.60223358914965419</v>
      </c>
      <c r="AB761" t="str">
        <f>HYPERLINK("Melting_Curves/meltCurve_F8VW41_PACS2.pdf", "Melting_Curves/meltCurve_F8VW41_PACS2.pdf")</f>
        <v>Melting_Curves/meltCurve_F8VW41_PACS2.pdf</v>
      </c>
    </row>
    <row r="762" spans="1:28" x14ac:dyDescent="0.25">
      <c r="A762" t="s">
        <v>766</v>
      </c>
      <c r="B762">
        <v>0.99252571173614901</v>
      </c>
      <c r="C762">
        <v>1.00037996077597</v>
      </c>
      <c r="D762">
        <v>0.97514134921094298</v>
      </c>
      <c r="E762">
        <v>0.89768265639224798</v>
      </c>
      <c r="F762">
        <v>0.68020486261796298</v>
      </c>
      <c r="G762">
        <v>0.551243624341343</v>
      </c>
      <c r="H762">
        <v>0.52954606919701697</v>
      </c>
      <c r="I762">
        <v>0.61148886920073997</v>
      </c>
      <c r="J762">
        <v>0.72620099424402196</v>
      </c>
      <c r="K762">
        <v>0.60630400958479902</v>
      </c>
      <c r="L762">
        <v>2037.77903599305</v>
      </c>
      <c r="M762">
        <v>40.005030301737101</v>
      </c>
      <c r="O762">
        <v>50.811292703433402</v>
      </c>
      <c r="P762">
        <v>-7.7574723660395806E-2</v>
      </c>
      <c r="Q762">
        <v>0.60588324202193899</v>
      </c>
      <c r="R762">
        <v>0.92427660755678498</v>
      </c>
      <c r="S762" t="s">
        <v>7408</v>
      </c>
      <c r="T762" t="s">
        <v>13290</v>
      </c>
      <c r="U762" t="s">
        <v>13290</v>
      </c>
      <c r="V762" t="s">
        <v>13290</v>
      </c>
      <c r="W762" t="s">
        <v>14040</v>
      </c>
      <c r="X762">
        <v>13</v>
      </c>
      <c r="Y762" t="s">
        <v>20628</v>
      </c>
      <c r="Z762" t="s">
        <v>27092</v>
      </c>
      <c r="AA762">
        <v>0.75096640405172677</v>
      </c>
      <c r="AB762" t="str">
        <f>HYPERLINK("Melting_Curves/meltCurve_F8VW96_CSRP2.pdf", "Melting_Curves/meltCurve_F8VW96_CSRP2.pdf")</f>
        <v>Melting_Curves/meltCurve_F8VW96_CSRP2.pdf</v>
      </c>
    </row>
    <row r="763" spans="1:28" x14ac:dyDescent="0.25">
      <c r="A763" t="s">
        <v>767</v>
      </c>
      <c r="B763">
        <v>0.99252571173614901</v>
      </c>
      <c r="C763">
        <v>0.88842076503209899</v>
      </c>
      <c r="D763">
        <v>1.0032399850100999</v>
      </c>
      <c r="E763">
        <v>0.55679381867359301</v>
      </c>
      <c r="F763">
        <v>0.21082919135639999</v>
      </c>
      <c r="G763">
        <v>0.15238800081454801</v>
      </c>
      <c r="H763">
        <v>0.14832642529953999</v>
      </c>
      <c r="I763">
        <v>0.231114964893193</v>
      </c>
      <c r="J763">
        <v>0.19072875320845001</v>
      </c>
      <c r="K763">
        <v>0.31372873709171101</v>
      </c>
      <c r="L763">
        <v>5068.7700016589097</v>
      </c>
      <c r="M763">
        <v>102.431706118256</v>
      </c>
      <c r="N763">
        <v>49.745160330657498</v>
      </c>
      <c r="O763">
        <v>49.465520399522703</v>
      </c>
      <c r="P763">
        <v>-0.41014281065682401</v>
      </c>
      <c r="Q763">
        <v>0.20774798584742499</v>
      </c>
      <c r="R763">
        <v>0.97336570842218795</v>
      </c>
      <c r="S763" t="s">
        <v>7409</v>
      </c>
      <c r="T763" t="s">
        <v>13290</v>
      </c>
      <c r="U763" t="s">
        <v>13290</v>
      </c>
      <c r="V763" t="s">
        <v>13290</v>
      </c>
      <c r="W763" t="s">
        <v>14041</v>
      </c>
      <c r="X763">
        <v>12</v>
      </c>
      <c r="Y763" t="s">
        <v>20629</v>
      </c>
      <c r="Z763" t="s">
        <v>27093</v>
      </c>
      <c r="AA763">
        <v>0.45862572044412281</v>
      </c>
      <c r="AB763" t="str">
        <f>HYPERLINK("Melting_Curves/meltCurve_F8VWA6_MON2.pdf", "Melting_Curves/meltCurve_F8VWA6_MON2.pdf")</f>
        <v>Melting_Curves/meltCurve_F8VWA6_MON2.pdf</v>
      </c>
    </row>
    <row r="764" spans="1:28" x14ac:dyDescent="0.25">
      <c r="A764" t="s">
        <v>768</v>
      </c>
      <c r="B764">
        <v>0.99252571173614901</v>
      </c>
      <c r="C764">
        <v>0.90999375014300199</v>
      </c>
      <c r="D764">
        <v>0.90886087358751599</v>
      </c>
      <c r="E764">
        <v>0.73488925750263001</v>
      </c>
      <c r="F764">
        <v>0.36836361330931899</v>
      </c>
      <c r="G764">
        <v>0.15499634816830801</v>
      </c>
      <c r="H764">
        <v>9.8552330721298598E-2</v>
      </c>
      <c r="I764">
        <v>7.1908203834523607E-2</v>
      </c>
      <c r="J764">
        <v>7.8748023226200003E-2</v>
      </c>
      <c r="K764">
        <v>7.9789579662788004E-2</v>
      </c>
      <c r="L764">
        <v>1108.7546116354199</v>
      </c>
      <c r="M764">
        <v>21.554827613184099</v>
      </c>
      <c r="N764">
        <v>51.773313065500403</v>
      </c>
      <c r="O764">
        <v>51.002206977612197</v>
      </c>
      <c r="P764">
        <v>-9.8791096881813506E-2</v>
      </c>
      <c r="Q764">
        <v>6.4999881133710094E-2</v>
      </c>
      <c r="R764">
        <v>0.99457498584513004</v>
      </c>
      <c r="S764" t="s">
        <v>7410</v>
      </c>
      <c r="T764" t="s">
        <v>13290</v>
      </c>
      <c r="U764" t="s">
        <v>13290</v>
      </c>
      <c r="V764" t="s">
        <v>13290</v>
      </c>
      <c r="W764" t="s">
        <v>14042</v>
      </c>
      <c r="X764">
        <v>1</v>
      </c>
      <c r="Y764" t="s">
        <v>20630</v>
      </c>
      <c r="Z764" t="s">
        <v>27094</v>
      </c>
      <c r="AA764">
        <v>0.43278815380605767</v>
      </c>
      <c r="AB764" t="str">
        <f>HYPERLINK("Melting_Curves/meltCurve_F8VWA9_ALG10B.pdf", "Melting_Curves/meltCurve_F8VWA9_ALG10B.pdf")</f>
        <v>Melting_Curves/meltCurve_F8VWA9_ALG10B.pdf</v>
      </c>
    </row>
    <row r="765" spans="1:28" x14ac:dyDescent="0.25">
      <c r="A765" t="s">
        <v>769</v>
      </c>
      <c r="B765">
        <v>0.99252571173614901</v>
      </c>
      <c r="C765">
        <v>0.90653438813273202</v>
      </c>
      <c r="D765">
        <v>0.80816665615212202</v>
      </c>
      <c r="E765">
        <v>0.84364553087980798</v>
      </c>
      <c r="F765">
        <v>0.69377001572392705</v>
      </c>
      <c r="G765">
        <v>0.63823690472753403</v>
      </c>
      <c r="H765">
        <v>0.51066653679502105</v>
      </c>
      <c r="I765">
        <v>0.53148006506941903</v>
      </c>
      <c r="J765">
        <v>0.58818916174148395</v>
      </c>
      <c r="K765">
        <v>0.34067140829428699</v>
      </c>
      <c r="L765">
        <v>329.63880648561798</v>
      </c>
      <c r="M765">
        <v>5.5969307799563497</v>
      </c>
      <c r="N765">
        <v>64.676776242365605</v>
      </c>
      <c r="O765">
        <v>52.6648651079243</v>
      </c>
      <c r="P765">
        <v>-2.1428296058081199E-2</v>
      </c>
      <c r="Q765">
        <v>0.196801081390756</v>
      </c>
      <c r="R765">
        <v>0.90649412389109696</v>
      </c>
      <c r="S765" t="s">
        <v>7411</v>
      </c>
      <c r="T765" t="s">
        <v>13290</v>
      </c>
      <c r="U765" t="s">
        <v>13290</v>
      </c>
      <c r="V765" t="s">
        <v>13290</v>
      </c>
      <c r="W765" t="s">
        <v>14043</v>
      </c>
      <c r="X765">
        <v>6</v>
      </c>
      <c r="Y765" t="s">
        <v>20631</v>
      </c>
      <c r="Z765" t="s">
        <v>27095</v>
      </c>
      <c r="AA765">
        <v>0.68356720669178017</v>
      </c>
      <c r="AB765" t="str">
        <f>HYPERLINK("Melting_Curves/meltCurve_F8VX04_SLC38A1.pdf", "Melting_Curves/meltCurve_F8VX04_SLC38A1.pdf")</f>
        <v>Melting_Curves/meltCurve_F8VX04_SLC38A1.pdf</v>
      </c>
    </row>
    <row r="766" spans="1:28" x14ac:dyDescent="0.25">
      <c r="A766" t="s">
        <v>770</v>
      </c>
      <c r="B766">
        <v>0.99252571173614901</v>
      </c>
      <c r="C766">
        <v>1.0483961232072001</v>
      </c>
      <c r="D766">
        <v>0.943697878119093</v>
      </c>
      <c r="E766">
        <v>0.84999921995070504</v>
      </c>
      <c r="F766">
        <v>0.69230604512847405</v>
      </c>
      <c r="G766">
        <v>0.49066113621801999</v>
      </c>
      <c r="H766">
        <v>0.42048395057508198</v>
      </c>
      <c r="I766">
        <v>0.62358703487862399</v>
      </c>
      <c r="J766">
        <v>1.2077342918901399</v>
      </c>
      <c r="K766">
        <v>1.67512151789262</v>
      </c>
      <c r="L766">
        <v>15000</v>
      </c>
      <c r="M766">
        <v>223.206154819711</v>
      </c>
      <c r="O766">
        <v>67.1970744277031</v>
      </c>
      <c r="P766">
        <v>0.41520822816785902</v>
      </c>
      <c r="Q766">
        <v>1.5</v>
      </c>
      <c r="R766">
        <v>0.286106214553002</v>
      </c>
      <c r="S766" t="s">
        <v>7412</v>
      </c>
      <c r="T766" t="s">
        <v>13290</v>
      </c>
      <c r="U766" t="s">
        <v>13290</v>
      </c>
      <c r="V766" t="s">
        <v>13290</v>
      </c>
      <c r="W766" t="s">
        <v>14044</v>
      </c>
      <c r="X766">
        <v>26</v>
      </c>
      <c r="Y766" t="s">
        <v>20632</v>
      </c>
      <c r="Z766" t="s">
        <v>27096</v>
      </c>
      <c r="AA766">
        <v>1.046552620926938</v>
      </c>
      <c r="AB766" t="str">
        <f>HYPERLINK("Melting_Curves/meltCurve_F8VXG7_SCAF11.pdf", "Melting_Curves/meltCurve_F8VXG7_SCAF11.pdf")</f>
        <v>Melting_Curves/meltCurve_F8VXG7_SCAF11.pdf</v>
      </c>
    </row>
    <row r="767" spans="1:28" x14ac:dyDescent="0.25">
      <c r="A767" t="s">
        <v>771</v>
      </c>
      <c r="B767">
        <v>0.99252571173614901</v>
      </c>
      <c r="C767">
        <v>0.90228749524586405</v>
      </c>
      <c r="D767">
        <v>0.87486428337002298</v>
      </c>
      <c r="E767">
        <v>0.81775774844899696</v>
      </c>
      <c r="F767">
        <v>0.32013650151866802</v>
      </c>
      <c r="G767">
        <v>0.10563747335366699</v>
      </c>
      <c r="H767">
        <v>5.8714501348330998E-2</v>
      </c>
      <c r="I767">
        <v>5.5506203806949601E-2</v>
      </c>
      <c r="J767">
        <v>5.8300940613692301E-2</v>
      </c>
      <c r="K767">
        <v>6.11850648629223E-2</v>
      </c>
      <c r="L767">
        <v>1533.64581109096</v>
      </c>
      <c r="M767">
        <v>29.694333786990398</v>
      </c>
      <c r="N767">
        <v>51.839767031888599</v>
      </c>
      <c r="O767">
        <v>51.415220553177797</v>
      </c>
      <c r="P767">
        <v>-0.13686722228205001</v>
      </c>
      <c r="Q767">
        <v>5.2073618774914003E-2</v>
      </c>
      <c r="R767">
        <v>0.986657061566238</v>
      </c>
      <c r="S767" t="s">
        <v>7413</v>
      </c>
      <c r="T767" t="s">
        <v>13290</v>
      </c>
      <c r="U767" t="s">
        <v>13290</v>
      </c>
      <c r="V767" t="s">
        <v>13290</v>
      </c>
      <c r="W767" t="s">
        <v>14045</v>
      </c>
      <c r="X767">
        <v>11</v>
      </c>
      <c r="Y767" t="s">
        <v>20633</v>
      </c>
      <c r="Z767" t="s">
        <v>27097</v>
      </c>
      <c r="AA767">
        <v>0.42626118633072729</v>
      </c>
      <c r="AB767" t="str">
        <f>HYPERLINK("Melting_Curves/meltCurve_F8VY35_NAP1L1.pdf", "Melting_Curves/meltCurve_F8VY35_NAP1L1.pdf")</f>
        <v>Melting_Curves/meltCurve_F8VY35_NAP1L1.pdf</v>
      </c>
    </row>
    <row r="768" spans="1:28" x14ac:dyDescent="0.25">
      <c r="A768" t="s">
        <v>772</v>
      </c>
      <c r="B768">
        <v>0.99252571173614901</v>
      </c>
      <c r="C768">
        <v>0.93269169737778301</v>
      </c>
      <c r="D768">
        <v>0.825489645409761</v>
      </c>
      <c r="E768">
        <v>0.55578319133373</v>
      </c>
      <c r="F768">
        <v>0.35807059523734902</v>
      </c>
      <c r="G768">
        <v>0.14578886779436301</v>
      </c>
      <c r="H768">
        <v>8.6291965123227898E-2</v>
      </c>
      <c r="I768">
        <v>6.9211072362319201E-2</v>
      </c>
      <c r="J768">
        <v>7.0320600302435199E-2</v>
      </c>
      <c r="K768">
        <v>5.6266197170405097E-2</v>
      </c>
      <c r="L768">
        <v>796.42718381651605</v>
      </c>
      <c r="M768">
        <v>15.8409082416514</v>
      </c>
      <c r="N768">
        <v>50.540402040746201</v>
      </c>
      <c r="O768">
        <v>49.495841671530897</v>
      </c>
      <c r="P768">
        <v>-7.6842951255703701E-2</v>
      </c>
      <c r="Q768">
        <v>3.96772055107599E-2</v>
      </c>
      <c r="R768">
        <v>0.99795421184086397</v>
      </c>
      <c r="S768" t="s">
        <v>7414</v>
      </c>
      <c r="T768" t="s">
        <v>13290</v>
      </c>
      <c r="U768" t="s">
        <v>13290</v>
      </c>
      <c r="V768" t="s">
        <v>13290</v>
      </c>
      <c r="W768" t="s">
        <v>14046</v>
      </c>
      <c r="X768">
        <v>5</v>
      </c>
      <c r="Y768" t="s">
        <v>20634</v>
      </c>
      <c r="Z768" t="s">
        <v>27098</v>
      </c>
      <c r="AA768">
        <v>0.38925814922759833</v>
      </c>
      <c r="AB768" t="str">
        <f>HYPERLINK("Melting_Curves/meltCurve_F8VYN9_ARL1.pdf", "Melting_Curves/meltCurve_F8VYN9_ARL1.pdf")</f>
        <v>Melting_Curves/meltCurve_F8VYN9_ARL1.pdf</v>
      </c>
    </row>
    <row r="769" spans="1:28" x14ac:dyDescent="0.25">
      <c r="A769" t="s">
        <v>773</v>
      </c>
      <c r="B769">
        <v>0.99252571173614901</v>
      </c>
      <c r="C769">
        <v>0.87851808847457902</v>
      </c>
      <c r="D769">
        <v>0.77065318529062898</v>
      </c>
      <c r="E769">
        <v>0.67859118697919996</v>
      </c>
      <c r="F769">
        <v>0.61117763535020297</v>
      </c>
      <c r="G769">
        <v>0.35959318971799697</v>
      </c>
      <c r="H769">
        <v>0.158604079343311</v>
      </c>
      <c r="I769">
        <v>0.13718513154098799</v>
      </c>
      <c r="J769">
        <v>0.14297667848701401</v>
      </c>
      <c r="K769">
        <v>0.13241666990407799</v>
      </c>
      <c r="L769">
        <v>512.05427381758795</v>
      </c>
      <c r="M769">
        <v>9.5767437803403492</v>
      </c>
      <c r="N769">
        <v>53.468514938831397</v>
      </c>
      <c r="O769">
        <v>51.293005090825901</v>
      </c>
      <c r="P769">
        <v>-4.6703411906251699E-2</v>
      </c>
      <c r="Q769">
        <v>0</v>
      </c>
      <c r="R769">
        <v>0.976220901504955</v>
      </c>
      <c r="S769" t="s">
        <v>7415</v>
      </c>
      <c r="T769" t="s">
        <v>13290</v>
      </c>
      <c r="U769" t="s">
        <v>13290</v>
      </c>
      <c r="V769" t="s">
        <v>13290</v>
      </c>
      <c r="W769" t="s">
        <v>14047</v>
      </c>
      <c r="X769">
        <v>9</v>
      </c>
      <c r="Y769" t="s">
        <v>20635</v>
      </c>
      <c r="Z769" t="s">
        <v>27099</v>
      </c>
      <c r="AA769">
        <v>0.48242875216878622</v>
      </c>
      <c r="AB769" t="str">
        <f>HYPERLINK("Melting_Curves/meltCurve_F8VZA2_LETMD1.pdf", "Melting_Curves/meltCurve_F8VZA2_LETMD1.pdf")</f>
        <v>Melting_Curves/meltCurve_F8VZA2_LETMD1.pdf</v>
      </c>
    </row>
    <row r="770" spans="1:28" x14ac:dyDescent="0.25">
      <c r="A770" t="s">
        <v>774</v>
      </c>
      <c r="B770">
        <v>0.99252571173614901</v>
      </c>
      <c r="C770">
        <v>1.0177534687455101</v>
      </c>
      <c r="D770">
        <v>0.89950951044861405</v>
      </c>
      <c r="E770">
        <v>0.68888198776876697</v>
      </c>
      <c r="F770">
        <v>0.71176381708197201</v>
      </c>
      <c r="G770">
        <v>0.57994292449940699</v>
      </c>
      <c r="H770">
        <v>0.49237166046184799</v>
      </c>
      <c r="I770">
        <v>0.64935831990069703</v>
      </c>
      <c r="J770">
        <v>0.94212631398129199</v>
      </c>
      <c r="K770">
        <v>0.93660154837708098</v>
      </c>
      <c r="L770">
        <v>11528.091932027201</v>
      </c>
      <c r="M770">
        <v>250</v>
      </c>
      <c r="O770">
        <v>46.1094177456891</v>
      </c>
      <c r="P770">
        <v>-0.38707491339299599</v>
      </c>
      <c r="Q770">
        <v>0.71443522383887503</v>
      </c>
      <c r="R770">
        <v>0.45382300715024698</v>
      </c>
      <c r="S770" t="s">
        <v>7416</v>
      </c>
      <c r="T770" t="s">
        <v>13290</v>
      </c>
      <c r="U770" t="s">
        <v>13290</v>
      </c>
      <c r="V770" t="s">
        <v>13290</v>
      </c>
      <c r="W770" t="s">
        <v>14048</v>
      </c>
      <c r="X770">
        <v>8</v>
      </c>
      <c r="Y770" t="s">
        <v>20636</v>
      </c>
      <c r="Z770" t="s">
        <v>27100</v>
      </c>
      <c r="AA770">
        <v>0.77264089766294863</v>
      </c>
      <c r="AB770" t="str">
        <f>HYPERLINK("Melting_Curves/meltCurve_F8VZJ2_NACA.pdf", "Melting_Curves/meltCurve_F8VZJ2_NACA.pdf")</f>
        <v>Melting_Curves/meltCurve_F8VZJ2_NACA.pdf</v>
      </c>
    </row>
    <row r="771" spans="1:28" x14ac:dyDescent="0.25">
      <c r="A771" t="s">
        <v>775</v>
      </c>
      <c r="B771">
        <v>0.99252571173614901</v>
      </c>
      <c r="C771">
        <v>1.14180494388305</v>
      </c>
      <c r="D771">
        <v>1.06179784064993</v>
      </c>
      <c r="E771">
        <v>1.0108800485807701</v>
      </c>
      <c r="F771">
        <v>0.63789925698467798</v>
      </c>
      <c r="G771">
        <v>0.37330717763944798</v>
      </c>
      <c r="H771">
        <v>0.34357518811160298</v>
      </c>
      <c r="I771">
        <v>0.522121380948253</v>
      </c>
      <c r="J771">
        <v>0.79726060650277797</v>
      </c>
      <c r="K771">
        <v>0.82208405526532002</v>
      </c>
      <c r="L771">
        <v>13209.6240548557</v>
      </c>
      <c r="M771">
        <v>250</v>
      </c>
      <c r="O771">
        <v>52.835116059981203</v>
      </c>
      <c r="P771">
        <v>-0.50668281338699395</v>
      </c>
      <c r="Q771">
        <v>0.57166968583867706</v>
      </c>
      <c r="R771">
        <v>0.69230968460503495</v>
      </c>
      <c r="S771" t="s">
        <v>7417</v>
      </c>
      <c r="T771" t="s">
        <v>13290</v>
      </c>
      <c r="U771" t="s">
        <v>13290</v>
      </c>
      <c r="V771" t="s">
        <v>13290</v>
      </c>
      <c r="W771" t="s">
        <v>14049</v>
      </c>
      <c r="X771">
        <v>17</v>
      </c>
      <c r="Z771" t="s">
        <v>27101</v>
      </c>
      <c r="AA771">
        <v>0.75501330919251319</v>
      </c>
      <c r="AB771" t="str">
        <f>HYPERLINK("Melting_Curves/meltCurve_F8W031_.pdf", "Melting_Curves/meltCurve_F8W031_.pdf")</f>
        <v>Melting_Curves/meltCurve_F8W031_.pdf</v>
      </c>
    </row>
    <row r="772" spans="1:28" x14ac:dyDescent="0.25">
      <c r="A772" t="s">
        <v>776</v>
      </c>
      <c r="B772">
        <v>0.99252571173614901</v>
      </c>
      <c r="C772">
        <v>1.0554330413767099</v>
      </c>
      <c r="D772">
        <v>0.93192108049091704</v>
      </c>
      <c r="E772">
        <v>0.77709552925375802</v>
      </c>
      <c r="F772">
        <v>0.57769876592233305</v>
      </c>
      <c r="G772">
        <v>0.41677699753515302</v>
      </c>
      <c r="H772">
        <v>0.31233276800820298</v>
      </c>
      <c r="I772">
        <v>0.28803020682570801</v>
      </c>
      <c r="J772">
        <v>0.34010292899613498</v>
      </c>
      <c r="K772">
        <v>0.32778817137106903</v>
      </c>
      <c r="L772">
        <v>1019.99010483164</v>
      </c>
      <c r="M772">
        <v>19.7082890916464</v>
      </c>
      <c r="N772">
        <v>54.353123753643402</v>
      </c>
      <c r="O772">
        <v>51.2303637615274</v>
      </c>
      <c r="P772">
        <v>-6.6830808086811605E-2</v>
      </c>
      <c r="Q772">
        <v>0.30513531819397899</v>
      </c>
      <c r="R772">
        <v>0.99039105346456302</v>
      </c>
      <c r="S772" t="s">
        <v>7418</v>
      </c>
      <c r="T772" t="s">
        <v>13290</v>
      </c>
      <c r="U772" t="s">
        <v>13290</v>
      </c>
      <c r="V772" t="s">
        <v>13290</v>
      </c>
      <c r="W772" t="s">
        <v>14050</v>
      </c>
      <c r="X772">
        <v>7</v>
      </c>
      <c r="Y772" t="s">
        <v>20637</v>
      </c>
      <c r="Z772" t="s">
        <v>27102</v>
      </c>
      <c r="AA772">
        <v>0.58727593319075733</v>
      </c>
      <c r="AB772" t="str">
        <f>HYPERLINK("Melting_Curves/meltCurve_F8W038_C17orf49.pdf", "Melting_Curves/meltCurve_F8W038_C17orf49.pdf")</f>
        <v>Melting_Curves/meltCurve_F8W038_C17orf49.pdf</v>
      </c>
    </row>
    <row r="773" spans="1:28" x14ac:dyDescent="0.25">
      <c r="A773" t="s">
        <v>777</v>
      </c>
      <c r="B773">
        <v>0.99252571173614901</v>
      </c>
      <c r="C773">
        <v>0.954256185327919</v>
      </c>
      <c r="D773">
        <v>0.82419736519638997</v>
      </c>
      <c r="E773">
        <v>0.87929601371976596</v>
      </c>
      <c r="F773">
        <v>0.79170108622694702</v>
      </c>
      <c r="G773">
        <v>0.74296277556863799</v>
      </c>
      <c r="H773">
        <v>0.75367848753645195</v>
      </c>
      <c r="I773">
        <v>1.04073390589471</v>
      </c>
      <c r="J773">
        <v>1.7469949553155</v>
      </c>
      <c r="K773">
        <v>2.1507281101579401</v>
      </c>
      <c r="L773">
        <v>15000</v>
      </c>
      <c r="M773">
        <v>231.971308576566</v>
      </c>
      <c r="O773">
        <v>64.658363722352107</v>
      </c>
      <c r="P773">
        <v>0.44845573252975002</v>
      </c>
      <c r="Q773">
        <v>1.5</v>
      </c>
      <c r="R773">
        <v>0.65314578421191405</v>
      </c>
      <c r="S773" t="s">
        <v>7419</v>
      </c>
      <c r="T773" t="s">
        <v>13290</v>
      </c>
      <c r="U773" t="s">
        <v>13290</v>
      </c>
      <c r="V773" t="s">
        <v>13290</v>
      </c>
      <c r="W773" t="s">
        <v>14051</v>
      </c>
      <c r="X773">
        <v>10</v>
      </c>
      <c r="Y773" t="s">
        <v>20638</v>
      </c>
      <c r="Z773" t="s">
        <v>27103</v>
      </c>
      <c r="AA773">
        <v>1.0888812720441119</v>
      </c>
      <c r="AB773" t="str">
        <f>HYPERLINK("Melting_Curves/meltCurve_F8W0Q9_PPHLN1.pdf", "Melting_Curves/meltCurve_F8W0Q9_PPHLN1.pdf")</f>
        <v>Melting_Curves/meltCurve_F8W0Q9_PPHLN1.pdf</v>
      </c>
    </row>
    <row r="774" spans="1:28" x14ac:dyDescent="0.25">
      <c r="A774" t="s">
        <v>778</v>
      </c>
      <c r="B774">
        <v>0.99252571173614901</v>
      </c>
      <c r="C774">
        <v>0.87837885231989699</v>
      </c>
      <c r="D774">
        <v>0.87573229778476203</v>
      </c>
      <c r="E774">
        <v>0.84104377377060402</v>
      </c>
      <c r="F774">
        <v>0.64366136687059805</v>
      </c>
      <c r="G774">
        <v>0.43353270754263601</v>
      </c>
      <c r="H774">
        <v>0.40529907080041599</v>
      </c>
      <c r="I774">
        <v>0.55239158049727499</v>
      </c>
      <c r="J774">
        <v>0.65461369754832199</v>
      </c>
      <c r="K774">
        <v>0.44999129423828099</v>
      </c>
      <c r="L774">
        <v>972.28304421949497</v>
      </c>
      <c r="M774">
        <v>19.373663502084501</v>
      </c>
      <c r="N774">
        <v>64.4014594537487</v>
      </c>
      <c r="O774">
        <v>49.6603014825657</v>
      </c>
      <c r="P774">
        <v>-4.9444754646921503E-2</v>
      </c>
      <c r="Q774">
        <v>0.49305401927395798</v>
      </c>
      <c r="R774">
        <v>0.82806654447406203</v>
      </c>
      <c r="S774" t="s">
        <v>7420</v>
      </c>
      <c r="T774" t="s">
        <v>13290</v>
      </c>
      <c r="U774" t="s">
        <v>13290</v>
      </c>
      <c r="V774" t="s">
        <v>13290</v>
      </c>
      <c r="W774" t="s">
        <v>14052</v>
      </c>
      <c r="X774">
        <v>2</v>
      </c>
      <c r="Y774" t="s">
        <v>20639</v>
      </c>
      <c r="Z774" t="s">
        <v>27104</v>
      </c>
      <c r="AA774">
        <v>0.67267492227927916</v>
      </c>
      <c r="AB774" t="str">
        <f>HYPERLINK("Melting_Curves/meltCurve_F8W1P7_SLC11A2.pdf", "Melting_Curves/meltCurve_F8W1P7_SLC11A2.pdf")</f>
        <v>Melting_Curves/meltCurve_F8W1P7_SLC11A2.pdf</v>
      </c>
    </row>
    <row r="775" spans="1:28" x14ac:dyDescent="0.25">
      <c r="A775" t="s">
        <v>779</v>
      </c>
      <c r="B775">
        <v>0.99252571173614901</v>
      </c>
      <c r="C775">
        <v>1.00032701896804</v>
      </c>
      <c r="D775">
        <v>0.96573547816628602</v>
      </c>
      <c r="E775">
        <v>0.93158872954107697</v>
      </c>
      <c r="F775">
        <v>0.68804883389166305</v>
      </c>
      <c r="G775">
        <v>0.59653165766989602</v>
      </c>
      <c r="H775">
        <v>0.44759741801925401</v>
      </c>
      <c r="I775">
        <v>0.24456691913620099</v>
      </c>
      <c r="J775">
        <v>0.158350017562881</v>
      </c>
      <c r="K775">
        <v>0.12407661852662701</v>
      </c>
      <c r="L775">
        <v>682.95470733534796</v>
      </c>
      <c r="M775">
        <v>11.6826876106641</v>
      </c>
      <c r="N775">
        <v>58.458708188079903</v>
      </c>
      <c r="O775">
        <v>56.824661724378402</v>
      </c>
      <c r="P775">
        <v>-5.1411692609856598E-2</v>
      </c>
      <c r="Q775">
        <v>0</v>
      </c>
      <c r="R775">
        <v>0.98956814794725501</v>
      </c>
      <c r="S775" t="s">
        <v>7421</v>
      </c>
      <c r="T775" t="s">
        <v>13290</v>
      </c>
      <c r="U775" t="s">
        <v>13290</v>
      </c>
      <c r="V775" t="s">
        <v>13290</v>
      </c>
      <c r="W775" t="s">
        <v>14053</v>
      </c>
      <c r="X775">
        <v>2</v>
      </c>
      <c r="Y775" t="s">
        <v>20640</v>
      </c>
      <c r="Z775" t="s">
        <v>27105</v>
      </c>
      <c r="AA775">
        <v>0.62549322873597812</v>
      </c>
      <c r="AB775" t="str">
        <f>HYPERLINK("Melting_Curves/meltCurve_F8W1Q3_BTD.pdf", "Melting_Curves/meltCurve_F8W1Q3_BTD.pdf")</f>
        <v>Melting_Curves/meltCurve_F8W1Q3_BTD.pdf</v>
      </c>
    </row>
    <row r="776" spans="1:28" x14ac:dyDescent="0.25">
      <c r="A776" t="s">
        <v>780</v>
      </c>
      <c r="B776">
        <v>0.99252571173614901</v>
      </c>
      <c r="C776">
        <v>1.0343061224788499</v>
      </c>
      <c r="D776">
        <v>0.88938219990068101</v>
      </c>
      <c r="E776">
        <v>0.72895274978261704</v>
      </c>
      <c r="F776">
        <v>0.274853280493779</v>
      </c>
      <c r="G776">
        <v>0.139873382580112</v>
      </c>
      <c r="H776">
        <v>9.6440779982032404E-2</v>
      </c>
      <c r="I776">
        <v>0.103668690213125</v>
      </c>
      <c r="J776">
        <v>0.16931421231337199</v>
      </c>
      <c r="K776">
        <v>0.189464527572099</v>
      </c>
      <c r="L776">
        <v>1627.7106791865599</v>
      </c>
      <c r="M776">
        <v>32.144279132370599</v>
      </c>
      <c r="N776">
        <v>51.129159635655199</v>
      </c>
      <c r="O776">
        <v>50.4428709319088</v>
      </c>
      <c r="P776">
        <v>-0.13813669010839499</v>
      </c>
      <c r="Q776">
        <v>0.13291235586080799</v>
      </c>
      <c r="R776">
        <v>0.98913015492617895</v>
      </c>
      <c r="S776" t="s">
        <v>7422</v>
      </c>
      <c r="T776" t="s">
        <v>13290</v>
      </c>
      <c r="U776" t="s">
        <v>13290</v>
      </c>
      <c r="V776" t="s">
        <v>13290</v>
      </c>
      <c r="W776" t="s">
        <v>14054</v>
      </c>
      <c r="X776">
        <v>15</v>
      </c>
      <c r="Y776" t="s">
        <v>20641</v>
      </c>
      <c r="Z776" t="s">
        <v>27106</v>
      </c>
      <c r="AA776">
        <v>0.44508785950879459</v>
      </c>
      <c r="AB776" t="str">
        <f>HYPERLINK("Melting_Curves/meltCurve_F8W689_RFX5.pdf", "Melting_Curves/meltCurve_F8W689_RFX5.pdf")</f>
        <v>Melting_Curves/meltCurve_F8W689_RFX5.pdf</v>
      </c>
    </row>
    <row r="777" spans="1:28" x14ac:dyDescent="0.25">
      <c r="A777" t="s">
        <v>781</v>
      </c>
      <c r="B777">
        <v>0.99252571173614901</v>
      </c>
      <c r="C777">
        <v>1.0704673220374501</v>
      </c>
      <c r="D777">
        <v>0.96551336051147696</v>
      </c>
      <c r="E777">
        <v>0.81943074952894102</v>
      </c>
      <c r="F777">
        <v>0.27970420627569897</v>
      </c>
      <c r="G777">
        <v>0.181935844964557</v>
      </c>
      <c r="H777">
        <v>0.124664299899251</v>
      </c>
      <c r="I777">
        <v>0.121385510868264</v>
      </c>
      <c r="J777">
        <v>0.15024854560782799</v>
      </c>
      <c r="K777">
        <v>0.19362118352144</v>
      </c>
      <c r="L777">
        <v>2173.03962106682</v>
      </c>
      <c r="M777">
        <v>42.5275061224987</v>
      </c>
      <c r="N777">
        <v>51.533219999561098</v>
      </c>
      <c r="O777">
        <v>50.984678296590403</v>
      </c>
      <c r="P777">
        <v>-0.17702605784660899</v>
      </c>
      <c r="Q777">
        <v>0.15108100252943599</v>
      </c>
      <c r="R777">
        <v>0.99372779293732105</v>
      </c>
      <c r="S777" t="s">
        <v>7423</v>
      </c>
      <c r="T777" t="s">
        <v>13290</v>
      </c>
      <c r="U777" t="s">
        <v>13290</v>
      </c>
      <c r="V777" t="s">
        <v>13290</v>
      </c>
      <c r="W777" t="s">
        <v>14055</v>
      </c>
      <c r="X777">
        <v>22</v>
      </c>
      <c r="Y777" t="s">
        <v>20642</v>
      </c>
      <c r="Z777" t="s">
        <v>27107</v>
      </c>
      <c r="AA777">
        <v>0.46775394035009837</v>
      </c>
      <c r="AB777" t="str">
        <f>HYPERLINK("Melting_Curves/meltCurve_F8W6I7_HNRNPA1.pdf", "Melting_Curves/meltCurve_F8W6I7_HNRNPA1.pdf")</f>
        <v>Melting_Curves/meltCurve_F8W6I7_HNRNPA1.pdf</v>
      </c>
    </row>
    <row r="778" spans="1:28" x14ac:dyDescent="0.25">
      <c r="A778" t="s">
        <v>782</v>
      </c>
      <c r="B778">
        <v>0.99252571173614901</v>
      </c>
      <c r="C778">
        <v>1.04026580733519</v>
      </c>
      <c r="D778">
        <v>1.1131949607550899</v>
      </c>
      <c r="E778">
        <v>1.1054749679117499</v>
      </c>
      <c r="F778">
        <v>0.67107859532883796</v>
      </c>
      <c r="G778">
        <v>0.51476378067781903</v>
      </c>
      <c r="H778">
        <v>0.61776114193180998</v>
      </c>
      <c r="I778">
        <v>0.84812782622881699</v>
      </c>
      <c r="J778">
        <v>1.49507938087924</v>
      </c>
      <c r="K778">
        <v>1.7400438065113899</v>
      </c>
      <c r="L778">
        <v>15000</v>
      </c>
      <c r="M778">
        <v>227.33582995163599</v>
      </c>
      <c r="O778">
        <v>65.976559726179204</v>
      </c>
      <c r="P778">
        <v>0.43071316204669702</v>
      </c>
      <c r="Q778">
        <v>1.5</v>
      </c>
      <c r="R778">
        <v>0.55147120436178398</v>
      </c>
      <c r="S778" t="s">
        <v>7424</v>
      </c>
      <c r="T778" t="s">
        <v>13290</v>
      </c>
      <c r="U778" t="s">
        <v>13290</v>
      </c>
      <c r="V778" t="s">
        <v>13290</v>
      </c>
      <c r="W778" t="s">
        <v>14056</v>
      </c>
      <c r="X778">
        <v>29</v>
      </c>
      <c r="Y778" t="s">
        <v>20643</v>
      </c>
      <c r="Z778" t="s">
        <v>27108</v>
      </c>
      <c r="AA778">
        <v>1.0669019892385441</v>
      </c>
      <c r="AB778" t="str">
        <f>HYPERLINK("Melting_Curves/meltCurve_F8W726_UBAP2L.pdf", "Melting_Curves/meltCurve_F8W726_UBAP2L.pdf")</f>
        <v>Melting_Curves/meltCurve_F8W726_UBAP2L.pdf</v>
      </c>
    </row>
    <row r="779" spans="1:28" x14ac:dyDescent="0.25">
      <c r="A779" t="s">
        <v>783</v>
      </c>
      <c r="B779">
        <v>0.99252571173614901</v>
      </c>
      <c r="C779">
        <v>0.85687044722154904</v>
      </c>
      <c r="D779">
        <v>0.74237689893775605</v>
      </c>
      <c r="E779">
        <v>0.67372747289933999</v>
      </c>
      <c r="F779">
        <v>0.29756755306362098</v>
      </c>
      <c r="G779">
        <v>0.201241201517732</v>
      </c>
      <c r="H779">
        <v>0.17994607454671099</v>
      </c>
      <c r="I779">
        <v>0.27842565148048898</v>
      </c>
      <c r="J779">
        <v>0.48384008732702199</v>
      </c>
      <c r="K779">
        <v>0.44815628456617501</v>
      </c>
      <c r="L779">
        <v>928.91422749020398</v>
      </c>
      <c r="M779">
        <v>19.4583860386469</v>
      </c>
      <c r="N779">
        <v>50.219295627472199</v>
      </c>
      <c r="O779">
        <v>47.242876636791301</v>
      </c>
      <c r="P779">
        <v>-7.1176606481430399E-2</v>
      </c>
      <c r="Q779">
        <v>0.30878837824653199</v>
      </c>
      <c r="R779">
        <v>0.83354685195190503</v>
      </c>
      <c r="S779" t="s">
        <v>7425</v>
      </c>
      <c r="T779" t="s">
        <v>13290</v>
      </c>
      <c r="U779" t="s">
        <v>13290</v>
      </c>
      <c r="V779" t="s">
        <v>13290</v>
      </c>
      <c r="W779" t="s">
        <v>14057</v>
      </c>
      <c r="X779">
        <v>16</v>
      </c>
      <c r="Y779" t="s">
        <v>20644</v>
      </c>
      <c r="Z779" t="s">
        <v>27109</v>
      </c>
      <c r="AA779">
        <v>0.49756645063316463</v>
      </c>
      <c r="AB779" t="str">
        <f>HYPERLINK("Melting_Curves/meltCurve_F8W785_GOLIM4.pdf", "Melting_Curves/meltCurve_F8W785_GOLIM4.pdf")</f>
        <v>Melting_Curves/meltCurve_F8W785_GOLIM4.pdf</v>
      </c>
    </row>
    <row r="780" spans="1:28" x14ac:dyDescent="0.25">
      <c r="A780" t="s">
        <v>784</v>
      </c>
      <c r="B780">
        <v>0.99252571173614901</v>
      </c>
      <c r="C780">
        <v>1.0017353617087701</v>
      </c>
      <c r="D780">
        <v>0.825148652901185</v>
      </c>
      <c r="E780">
        <v>0.660097328932991</v>
      </c>
      <c r="F780">
        <v>0.73730250899195104</v>
      </c>
      <c r="G780">
        <v>0.54593135044685703</v>
      </c>
      <c r="H780">
        <v>0.113683887342792</v>
      </c>
      <c r="I780">
        <v>0</v>
      </c>
      <c r="J780">
        <v>0</v>
      </c>
      <c r="K780">
        <v>0</v>
      </c>
      <c r="L780">
        <v>815.803894856493</v>
      </c>
      <c r="M780">
        <v>14.797721508018601</v>
      </c>
      <c r="N780">
        <v>55.130365986730602</v>
      </c>
      <c r="O780">
        <v>54.152925428327201</v>
      </c>
      <c r="P780">
        <v>-6.83217886974751E-2</v>
      </c>
      <c r="Q780">
        <v>0</v>
      </c>
      <c r="R780">
        <v>0.93096699894171298</v>
      </c>
      <c r="S780" t="s">
        <v>7426</v>
      </c>
      <c r="T780" t="s">
        <v>13290</v>
      </c>
      <c r="U780" t="s">
        <v>13290</v>
      </c>
      <c r="V780" t="s">
        <v>13290</v>
      </c>
      <c r="W780" t="s">
        <v>14058</v>
      </c>
      <c r="X780">
        <v>1</v>
      </c>
      <c r="Y780" t="s">
        <v>20645</v>
      </c>
      <c r="Z780" t="s">
        <v>27110</v>
      </c>
      <c r="AA780">
        <v>0.52371435494910434</v>
      </c>
      <c r="AB780" t="str">
        <f>HYPERLINK("Melting_Curves/meltCurve_F8W7D0_PBLD.pdf", "Melting_Curves/meltCurve_F8W7D0_PBLD.pdf")</f>
        <v>Melting_Curves/meltCurve_F8W7D0_PBLD.pdf</v>
      </c>
    </row>
    <row r="781" spans="1:28" x14ac:dyDescent="0.25">
      <c r="A781" t="s">
        <v>785</v>
      </c>
      <c r="B781">
        <v>0.99252571173614901</v>
      </c>
      <c r="C781">
        <v>0.879429118068079</v>
      </c>
      <c r="D781">
        <v>1.1111786191552799</v>
      </c>
      <c r="E781">
        <v>1.2081450753537599</v>
      </c>
      <c r="F781">
        <v>1.07265712499482</v>
      </c>
      <c r="G781">
        <v>0.79839777250506205</v>
      </c>
      <c r="H781">
        <v>0.86501773057514797</v>
      </c>
      <c r="I781">
        <v>0.22033032237919301</v>
      </c>
      <c r="J781">
        <v>0.188416751613182</v>
      </c>
      <c r="K781">
        <v>0.13856158809570299</v>
      </c>
      <c r="L781">
        <v>5034.18523119771</v>
      </c>
      <c r="M781">
        <v>81.167982165414202</v>
      </c>
      <c r="N781">
        <v>62.320013832250197</v>
      </c>
      <c r="O781">
        <v>61.9841938393647</v>
      </c>
      <c r="P781">
        <v>-0.27468899022297399</v>
      </c>
      <c r="Q781">
        <v>0.160931550609866</v>
      </c>
      <c r="R781">
        <v>0.92214903751643595</v>
      </c>
      <c r="S781" t="s">
        <v>7427</v>
      </c>
      <c r="T781" t="s">
        <v>13290</v>
      </c>
      <c r="U781" t="s">
        <v>13290</v>
      </c>
      <c r="V781" t="s">
        <v>13290</v>
      </c>
      <c r="W781" t="s">
        <v>14059</v>
      </c>
      <c r="X781">
        <v>6</v>
      </c>
      <c r="Y781" t="s">
        <v>20646</v>
      </c>
      <c r="Z781" t="s">
        <v>27111</v>
      </c>
      <c r="AA781">
        <v>0.77772379665775493</v>
      </c>
      <c r="AB781" t="str">
        <f>HYPERLINK("Melting_Curves/meltCurve_F8W7D6_GPHN.pdf", "Melting_Curves/meltCurve_F8W7D6_GPHN.pdf")</f>
        <v>Melting_Curves/meltCurve_F8W7D6_GPHN.pdf</v>
      </c>
    </row>
    <row r="782" spans="1:28" x14ac:dyDescent="0.25">
      <c r="A782" t="s">
        <v>786</v>
      </c>
      <c r="B782">
        <v>0.99252571173614901</v>
      </c>
      <c r="C782">
        <v>0.93616551158133299</v>
      </c>
      <c r="D782">
        <v>0.860159775808086</v>
      </c>
      <c r="E782">
        <v>0.815981651634614</v>
      </c>
      <c r="F782">
        <v>0.68723248669205195</v>
      </c>
      <c r="G782">
        <v>0.60329575589795803</v>
      </c>
      <c r="H782">
        <v>0.516911301365646</v>
      </c>
      <c r="I782">
        <v>0.69233434042590403</v>
      </c>
      <c r="J782">
        <v>1.00213712837333</v>
      </c>
      <c r="K782">
        <v>0.81461119780083502</v>
      </c>
      <c r="L782">
        <v>1062.84437167429</v>
      </c>
      <c r="M782">
        <v>23.1305385245164</v>
      </c>
      <c r="O782">
        <v>45.610509203919598</v>
      </c>
      <c r="P782">
        <v>-3.5011978187542897E-2</v>
      </c>
      <c r="Q782">
        <v>0.72384816202377</v>
      </c>
      <c r="R782">
        <v>0.38183340955900802</v>
      </c>
      <c r="S782" t="s">
        <v>7428</v>
      </c>
      <c r="T782" t="s">
        <v>13290</v>
      </c>
      <c r="U782" t="s">
        <v>13290</v>
      </c>
      <c r="V782" t="s">
        <v>13290</v>
      </c>
      <c r="W782" t="s">
        <v>14060</v>
      </c>
      <c r="X782">
        <v>5</v>
      </c>
      <c r="Y782" t="s">
        <v>20647</v>
      </c>
      <c r="Z782" t="s">
        <v>27112</v>
      </c>
      <c r="AA782">
        <v>0.78167888666880148</v>
      </c>
      <c r="AB782" t="str">
        <f>HYPERLINK("Melting_Curves/meltCurve_F8W7Q4_FAM162A.pdf", "Melting_Curves/meltCurve_F8W7Q4_FAM162A.pdf")</f>
        <v>Melting_Curves/meltCurve_F8W7Q4_FAM162A.pdf</v>
      </c>
    </row>
    <row r="783" spans="1:28" x14ac:dyDescent="0.25">
      <c r="A783" t="s">
        <v>787</v>
      </c>
      <c r="B783">
        <v>0.99252571173614901</v>
      </c>
      <c r="C783">
        <v>0.88315075940514498</v>
      </c>
      <c r="D783">
        <v>0.95241193925607404</v>
      </c>
      <c r="E783">
        <v>0.53747942493283096</v>
      </c>
      <c r="F783">
        <v>0.44990822438504202</v>
      </c>
      <c r="G783">
        <v>0.210773424905037</v>
      </c>
      <c r="H783">
        <v>0.119058116742344</v>
      </c>
      <c r="I783">
        <v>0.119774834102022</v>
      </c>
      <c r="J783">
        <v>0.143134608222381</v>
      </c>
      <c r="K783">
        <v>0.19782999605030599</v>
      </c>
      <c r="L783">
        <v>900.22714132223803</v>
      </c>
      <c r="M783">
        <v>17.8975512317061</v>
      </c>
      <c r="N783">
        <v>51.171782502715701</v>
      </c>
      <c r="O783">
        <v>49.683577932047797</v>
      </c>
      <c r="P783">
        <v>-7.8214931647147296E-2</v>
      </c>
      <c r="Q783">
        <v>0.13154590518623599</v>
      </c>
      <c r="R783">
        <v>0.97006696075853405</v>
      </c>
      <c r="S783" t="s">
        <v>7429</v>
      </c>
      <c r="T783" t="s">
        <v>13290</v>
      </c>
      <c r="U783" t="s">
        <v>13290</v>
      </c>
      <c r="V783" t="s">
        <v>13290</v>
      </c>
      <c r="W783" t="s">
        <v>13740</v>
      </c>
      <c r="X783">
        <v>21</v>
      </c>
      <c r="Z783" t="s">
        <v>27113</v>
      </c>
      <c r="AA783">
        <v>0.44459596536367652</v>
      </c>
      <c r="AB783" t="str">
        <f>HYPERLINK("Melting_Curves/meltCurve_F8W810_.pdf", "Melting_Curves/meltCurve_F8W810_.pdf")</f>
        <v>Melting_Curves/meltCurve_F8W810_.pdf</v>
      </c>
    </row>
    <row r="784" spans="1:28" x14ac:dyDescent="0.25">
      <c r="A784" t="s">
        <v>788</v>
      </c>
      <c r="B784">
        <v>0.99252571173614901</v>
      </c>
      <c r="C784">
        <v>0.90697424923598102</v>
      </c>
      <c r="D784">
        <v>0.80121569134721604</v>
      </c>
      <c r="E784">
        <v>0.696618364416281</v>
      </c>
      <c r="F784">
        <v>0.19374015025456501</v>
      </c>
      <c r="G784">
        <v>0.145374042584237</v>
      </c>
      <c r="H784">
        <v>0.109768394731215</v>
      </c>
      <c r="I784">
        <v>0.152982540829397</v>
      </c>
      <c r="J784">
        <v>0.27712321404758999</v>
      </c>
      <c r="K784">
        <v>0.25134785004858101</v>
      </c>
      <c r="L784">
        <v>1438.80623789381</v>
      </c>
      <c r="M784">
        <v>28.917092199939301</v>
      </c>
      <c r="N784">
        <v>50.496741158901401</v>
      </c>
      <c r="O784">
        <v>49.520124438939497</v>
      </c>
      <c r="P784">
        <v>-0.12076080148736</v>
      </c>
      <c r="Q784">
        <v>0.17280136265717499</v>
      </c>
      <c r="R784">
        <v>0.94259646687488097</v>
      </c>
      <c r="S784" t="s">
        <v>7430</v>
      </c>
      <c r="T784" t="s">
        <v>13290</v>
      </c>
      <c r="U784" t="s">
        <v>13290</v>
      </c>
      <c r="V784" t="s">
        <v>13290</v>
      </c>
      <c r="W784" t="s">
        <v>14061</v>
      </c>
      <c r="X784">
        <v>4</v>
      </c>
      <c r="Y784" t="s">
        <v>20648</v>
      </c>
      <c r="Z784" t="s">
        <v>27114</v>
      </c>
      <c r="AA784">
        <v>0.44730454982263051</v>
      </c>
      <c r="AB784" t="str">
        <f>HYPERLINK("Melting_Curves/meltCurve_F8W8C2_VEZT.pdf", "Melting_Curves/meltCurve_F8W8C2_VEZT.pdf")</f>
        <v>Melting_Curves/meltCurve_F8W8C2_VEZT.pdf</v>
      </c>
    </row>
    <row r="785" spans="1:28" x14ac:dyDescent="0.25">
      <c r="A785" t="s">
        <v>789</v>
      </c>
      <c r="B785">
        <v>0.99252571173614901</v>
      </c>
      <c r="C785">
        <v>1.0197797237831601</v>
      </c>
      <c r="D785">
        <v>0.75056922376719404</v>
      </c>
      <c r="E785">
        <v>0.49611064010289302</v>
      </c>
      <c r="F785">
        <v>0.277070227447347</v>
      </c>
      <c r="G785">
        <v>0.17769850862146799</v>
      </c>
      <c r="H785">
        <v>0.16229179230321</v>
      </c>
      <c r="I785">
        <v>0.192698353116527</v>
      </c>
      <c r="J785">
        <v>0.29953891303392799</v>
      </c>
      <c r="K785">
        <v>0.32411510523762299</v>
      </c>
      <c r="L785">
        <v>1205.0293631221</v>
      </c>
      <c r="M785">
        <v>25.1705523990051</v>
      </c>
      <c r="N785">
        <v>49.072403235710198</v>
      </c>
      <c r="O785">
        <v>47.575434276774601</v>
      </c>
      <c r="P785">
        <v>-0.10191047965324999</v>
      </c>
      <c r="Q785">
        <v>0.22951650781907901</v>
      </c>
      <c r="R785">
        <v>0.96804351131550004</v>
      </c>
      <c r="S785" t="s">
        <v>7431</v>
      </c>
      <c r="T785" t="s">
        <v>13290</v>
      </c>
      <c r="U785" t="s">
        <v>13290</v>
      </c>
      <c r="V785" t="s">
        <v>13290</v>
      </c>
      <c r="W785" t="s">
        <v>14062</v>
      </c>
      <c r="X785">
        <v>7</v>
      </c>
      <c r="Y785" t="s">
        <v>20649</v>
      </c>
      <c r="Z785" t="s">
        <v>27115</v>
      </c>
      <c r="AA785">
        <v>0.43847197960784712</v>
      </c>
      <c r="AB785" t="str">
        <f>HYPERLINK("Melting_Curves/meltCurve_F8W8D3_SLBP.pdf", "Melting_Curves/meltCurve_F8W8D3_SLBP.pdf")</f>
        <v>Melting_Curves/meltCurve_F8W8D3_SLBP.pdf</v>
      </c>
    </row>
    <row r="786" spans="1:28" x14ac:dyDescent="0.25">
      <c r="A786" t="s">
        <v>790</v>
      </c>
      <c r="B786">
        <v>0.99252571173614901</v>
      </c>
      <c r="C786">
        <v>1.0803208916973199</v>
      </c>
      <c r="D786">
        <v>1.0016120825072199</v>
      </c>
      <c r="E786">
        <v>0.83310356834400001</v>
      </c>
      <c r="F786">
        <v>0.174046558295232</v>
      </c>
      <c r="G786">
        <v>8.3648751479818304E-2</v>
      </c>
      <c r="H786">
        <v>4.8135211580327103E-2</v>
      </c>
      <c r="I786">
        <v>5.1488549524108501E-2</v>
      </c>
      <c r="J786">
        <v>6.3006095546319002E-2</v>
      </c>
      <c r="K786">
        <v>6.4113482659396398E-2</v>
      </c>
      <c r="L786">
        <v>2565.8938960074802</v>
      </c>
      <c r="M786">
        <v>50.200785433007702</v>
      </c>
      <c r="N786">
        <v>51.2443080901052</v>
      </c>
      <c r="O786">
        <v>51.031709465768699</v>
      </c>
      <c r="P786">
        <v>-0.231047765165623</v>
      </c>
      <c r="Q786">
        <v>6.0512472239322102E-2</v>
      </c>
      <c r="R786">
        <v>0.99639857017034705</v>
      </c>
      <c r="S786" t="s">
        <v>7432</v>
      </c>
      <c r="T786" t="s">
        <v>13290</v>
      </c>
      <c r="U786" t="s">
        <v>13290</v>
      </c>
      <c r="V786" t="s">
        <v>13290</v>
      </c>
      <c r="W786" t="s">
        <v>14063</v>
      </c>
      <c r="X786">
        <v>3</v>
      </c>
      <c r="Y786" t="s">
        <v>20650</v>
      </c>
      <c r="Z786" t="s">
        <v>27116</v>
      </c>
      <c r="AA786">
        <v>0.41061930818611092</v>
      </c>
      <c r="AB786" t="str">
        <f>HYPERLINK("Melting_Curves/meltCurve_F8W8D8_PLS3.pdf", "Melting_Curves/meltCurve_F8W8D8_PLS3.pdf")</f>
        <v>Melting_Curves/meltCurve_F8W8D8_PLS3.pdf</v>
      </c>
    </row>
    <row r="787" spans="1:28" x14ac:dyDescent="0.25">
      <c r="A787" t="s">
        <v>791</v>
      </c>
      <c r="B787">
        <v>0.99252571173614901</v>
      </c>
      <c r="C787">
        <v>0.57951064835524801</v>
      </c>
      <c r="D787">
        <v>0.53214293605891005</v>
      </c>
      <c r="E787">
        <v>0.40192230236100401</v>
      </c>
      <c r="F787">
        <v>0.33273232358982002</v>
      </c>
      <c r="G787">
        <v>0.23058022316863699</v>
      </c>
      <c r="H787">
        <v>0.198861432905973</v>
      </c>
      <c r="I787">
        <v>0.21302798680486801</v>
      </c>
      <c r="J787">
        <v>0.45041525129730797</v>
      </c>
      <c r="K787">
        <v>0.331751174016652</v>
      </c>
      <c r="L787">
        <v>841.20474219522703</v>
      </c>
      <c r="M787">
        <v>19.361656203800798</v>
      </c>
      <c r="N787">
        <v>45.561316201414598</v>
      </c>
      <c r="O787">
        <v>42.991431159719802</v>
      </c>
      <c r="P787">
        <v>-7.9219797067521705E-2</v>
      </c>
      <c r="Q787">
        <v>0.29641424602491401</v>
      </c>
      <c r="R787">
        <v>0.85014076838469899</v>
      </c>
      <c r="S787" t="s">
        <v>7433</v>
      </c>
      <c r="T787" t="s">
        <v>13290</v>
      </c>
      <c r="U787" t="s">
        <v>13290</v>
      </c>
      <c r="V787" t="s">
        <v>13290</v>
      </c>
      <c r="W787" t="s">
        <v>14064</v>
      </c>
      <c r="X787">
        <v>1</v>
      </c>
      <c r="Y787" t="s">
        <v>20651</v>
      </c>
      <c r="Z787" t="s">
        <v>27117</v>
      </c>
      <c r="AA787">
        <v>0.39348501923647461</v>
      </c>
      <c r="AB787" t="str">
        <f>HYPERLINK("Melting_Curves/meltCurve_F8W8E4_FAM179A.pdf", "Melting_Curves/meltCurve_F8W8E4_FAM179A.pdf")</f>
        <v>Melting_Curves/meltCurve_F8W8E4_FAM179A.pdf</v>
      </c>
    </row>
    <row r="788" spans="1:28" x14ac:dyDescent="0.25">
      <c r="A788" t="s">
        <v>792</v>
      </c>
      <c r="B788">
        <v>0.99252571173614901</v>
      </c>
      <c r="C788">
        <v>0.93642861686662004</v>
      </c>
      <c r="D788">
        <v>0.83428574295137803</v>
      </c>
      <c r="E788">
        <v>0.71864579536648099</v>
      </c>
      <c r="F788">
        <v>0.618444218911404</v>
      </c>
      <c r="G788">
        <v>0.52396793048316703</v>
      </c>
      <c r="H788">
        <v>0.41085307715914698</v>
      </c>
      <c r="I788">
        <v>0.36828780277294398</v>
      </c>
      <c r="J788">
        <v>0.23910479984132499</v>
      </c>
      <c r="K788">
        <v>0.183680898077829</v>
      </c>
      <c r="L788">
        <v>406.00081048922198</v>
      </c>
      <c r="M788">
        <v>7.0954942107130199</v>
      </c>
      <c r="N788">
        <v>57.219525297380002</v>
      </c>
      <c r="O788">
        <v>53.196397658561999</v>
      </c>
      <c r="P788">
        <v>-3.3404574163591702E-2</v>
      </c>
      <c r="Q788">
        <v>0</v>
      </c>
      <c r="R788">
        <v>0.99018662954052294</v>
      </c>
      <c r="S788" t="s">
        <v>7434</v>
      </c>
      <c r="T788" t="s">
        <v>13290</v>
      </c>
      <c r="U788" t="s">
        <v>13290</v>
      </c>
      <c r="V788" t="s">
        <v>13290</v>
      </c>
      <c r="W788" t="s">
        <v>14065</v>
      </c>
      <c r="X788">
        <v>7</v>
      </c>
      <c r="Y788" t="s">
        <v>20652</v>
      </c>
      <c r="Z788" t="s">
        <v>27118</v>
      </c>
      <c r="AA788">
        <v>0.58069931148520282</v>
      </c>
      <c r="AB788" t="str">
        <f>HYPERLINK("Melting_Curves/meltCurve_F8W8H5_RAB24.pdf", "Melting_Curves/meltCurve_F8W8H5_RAB24.pdf")</f>
        <v>Melting_Curves/meltCurve_F8W8H5_RAB24.pdf</v>
      </c>
    </row>
    <row r="789" spans="1:28" x14ac:dyDescent="0.25">
      <c r="A789" t="s">
        <v>793</v>
      </c>
      <c r="B789">
        <v>0.99252571173614901</v>
      </c>
      <c r="C789">
        <v>1.0695921056370901</v>
      </c>
      <c r="D789">
        <v>0.93951769013102604</v>
      </c>
      <c r="E789">
        <v>0.86476979490457395</v>
      </c>
      <c r="F789">
        <v>0.53703290773822299</v>
      </c>
      <c r="G789">
        <v>0.34488402012657599</v>
      </c>
      <c r="H789">
        <v>0.27677865504740701</v>
      </c>
      <c r="I789">
        <v>0.34216616071976702</v>
      </c>
      <c r="J789">
        <v>0.42173912197566299</v>
      </c>
      <c r="K789">
        <v>0.45475557224491803</v>
      </c>
      <c r="L789">
        <v>1814.5716349173899</v>
      </c>
      <c r="M789">
        <v>35.243833414081898</v>
      </c>
      <c r="N789">
        <v>53.478664773256597</v>
      </c>
      <c r="O789">
        <v>51.321300813879702</v>
      </c>
      <c r="P789">
        <v>-0.108932054922678</v>
      </c>
      <c r="Q789">
        <v>0.36550425579871698</v>
      </c>
      <c r="R789">
        <v>0.96477519598402905</v>
      </c>
      <c r="S789" t="s">
        <v>7435</v>
      </c>
      <c r="T789" t="s">
        <v>13290</v>
      </c>
      <c r="U789" t="s">
        <v>13290</v>
      </c>
      <c r="V789" t="s">
        <v>13290</v>
      </c>
      <c r="W789" t="s">
        <v>14066</v>
      </c>
      <c r="X789">
        <v>7</v>
      </c>
      <c r="Y789" t="s">
        <v>20653</v>
      </c>
      <c r="Z789" t="s">
        <v>27119</v>
      </c>
      <c r="AA789">
        <v>0.61134829489227249</v>
      </c>
      <c r="AB789" t="str">
        <f>HYPERLINK("Melting_Curves/meltCurve_F8W8I6_TIA1.pdf", "Melting_Curves/meltCurve_F8W8I6_TIA1.pdf")</f>
        <v>Melting_Curves/meltCurve_F8W8I6_TIA1.pdf</v>
      </c>
    </row>
    <row r="790" spans="1:28" x14ac:dyDescent="0.25">
      <c r="A790" t="s">
        <v>794</v>
      </c>
      <c r="B790">
        <v>0.99252571173614901</v>
      </c>
      <c r="C790">
        <v>0.81525614724562001</v>
      </c>
      <c r="D790">
        <v>0.65246862681425299</v>
      </c>
      <c r="E790">
        <v>0.41531939510475002</v>
      </c>
      <c r="F790">
        <v>0.26806642261981001</v>
      </c>
      <c r="G790">
        <v>0.175505146947116</v>
      </c>
      <c r="H790">
        <v>0.15383818446511099</v>
      </c>
      <c r="I790">
        <v>9.6101395700377706E-2</v>
      </c>
      <c r="J790">
        <v>8.3816098287172694E-2</v>
      </c>
      <c r="K790">
        <v>7.5679127688229195E-2</v>
      </c>
      <c r="L790">
        <v>651.50961763194698</v>
      </c>
      <c r="M790">
        <v>13.644528438748599</v>
      </c>
      <c r="N790">
        <v>48.341245265454702</v>
      </c>
      <c r="O790">
        <v>46.758166713084201</v>
      </c>
      <c r="P790">
        <v>-6.7345420171728995E-2</v>
      </c>
      <c r="Q790">
        <v>7.6996247990680403E-2</v>
      </c>
      <c r="R790">
        <v>0.99520972318717105</v>
      </c>
      <c r="S790" t="s">
        <v>7436</v>
      </c>
      <c r="T790" t="s">
        <v>13290</v>
      </c>
      <c r="U790" t="s">
        <v>13290</v>
      </c>
      <c r="V790" t="s">
        <v>13290</v>
      </c>
      <c r="W790" t="s">
        <v>14067</v>
      </c>
      <c r="X790">
        <v>3</v>
      </c>
      <c r="Y790" t="s">
        <v>20654</v>
      </c>
      <c r="Z790" t="s">
        <v>27120</v>
      </c>
      <c r="AA790">
        <v>0.34435395531989738</v>
      </c>
      <c r="AB790" t="str">
        <f>HYPERLINK("Melting_Curves/meltCurve_F8W8M9_UNC13B.pdf", "Melting_Curves/meltCurve_F8W8M9_UNC13B.pdf")</f>
        <v>Melting_Curves/meltCurve_F8W8M9_UNC13B.pdf</v>
      </c>
    </row>
    <row r="791" spans="1:28" x14ac:dyDescent="0.25">
      <c r="A791" t="s">
        <v>795</v>
      </c>
      <c r="B791">
        <v>0.99252571173614901</v>
      </c>
      <c r="C791">
        <v>0.99091543079166999</v>
      </c>
      <c r="D791">
        <v>0.90360439543581905</v>
      </c>
      <c r="E791">
        <v>0.60794769691137096</v>
      </c>
      <c r="F791">
        <v>0.16624011577240599</v>
      </c>
      <c r="G791">
        <v>9.7836615317731093E-2</v>
      </c>
      <c r="H791">
        <v>7.5480137881787507E-2</v>
      </c>
      <c r="I791">
        <v>9.2542243995501094E-2</v>
      </c>
      <c r="J791">
        <v>0.112739911761409</v>
      </c>
      <c r="K791">
        <v>9.9325413595571593E-2</v>
      </c>
      <c r="L791">
        <v>1651.3222613064099</v>
      </c>
      <c r="M791">
        <v>33.102876068664798</v>
      </c>
      <c r="N791">
        <v>50.180427573720102</v>
      </c>
      <c r="O791">
        <v>49.703562142503898</v>
      </c>
      <c r="P791">
        <v>-0.15174034878702999</v>
      </c>
      <c r="Q791">
        <v>8.8658927442700403E-2</v>
      </c>
      <c r="R791">
        <v>0.99733092820050895</v>
      </c>
      <c r="S791" t="s">
        <v>7437</v>
      </c>
      <c r="T791" t="s">
        <v>13290</v>
      </c>
      <c r="U791" t="s">
        <v>13290</v>
      </c>
      <c r="V791" t="s">
        <v>13290</v>
      </c>
      <c r="W791" t="s">
        <v>14068</v>
      </c>
      <c r="X791">
        <v>9</v>
      </c>
      <c r="Y791" t="s">
        <v>20655</v>
      </c>
      <c r="Z791" t="s">
        <v>27121</v>
      </c>
      <c r="AA791">
        <v>0.39354155779979699</v>
      </c>
      <c r="AB791" t="str">
        <f>HYPERLINK("Melting_Curves/meltCurve_F8W8P5_CADPS2.pdf", "Melting_Curves/meltCurve_F8W8P5_CADPS2.pdf")</f>
        <v>Melting_Curves/meltCurve_F8W8P5_CADPS2.pdf</v>
      </c>
    </row>
    <row r="792" spans="1:28" x14ac:dyDescent="0.25">
      <c r="A792" t="s">
        <v>796</v>
      </c>
      <c r="B792">
        <v>0.99252571173614901</v>
      </c>
      <c r="C792">
        <v>0.76546510651857202</v>
      </c>
      <c r="D792">
        <v>0.40535375006797097</v>
      </c>
      <c r="E792">
        <v>0.36481066684270602</v>
      </c>
      <c r="F792">
        <v>0.10603634926950201</v>
      </c>
      <c r="G792">
        <v>5.92701279186615E-2</v>
      </c>
      <c r="H792">
        <v>3.80250596183987E-2</v>
      </c>
      <c r="I792">
        <v>4.0201178481143802E-2</v>
      </c>
      <c r="J792">
        <v>5.59621285131124E-2</v>
      </c>
      <c r="K792">
        <v>5.2048072814792901E-2</v>
      </c>
      <c r="L792">
        <v>752.00569015442602</v>
      </c>
      <c r="M792">
        <v>16.433181414923499</v>
      </c>
      <c r="N792">
        <v>45.998486952242899</v>
      </c>
      <c r="O792">
        <v>45.0998560118556</v>
      </c>
      <c r="P792">
        <v>-8.7400776319133594E-2</v>
      </c>
      <c r="Q792">
        <v>4.0603288068726401E-2</v>
      </c>
      <c r="R792">
        <v>0.97266421401859904</v>
      </c>
      <c r="S792" t="s">
        <v>7438</v>
      </c>
      <c r="T792" t="s">
        <v>13290</v>
      </c>
      <c r="U792" t="s">
        <v>13290</v>
      </c>
      <c r="V792" t="s">
        <v>13290</v>
      </c>
      <c r="W792" t="s">
        <v>14069</v>
      </c>
      <c r="X792">
        <v>7</v>
      </c>
      <c r="Y792" t="s">
        <v>20656</v>
      </c>
      <c r="Z792" t="s">
        <v>27122</v>
      </c>
      <c r="AA792">
        <v>0.24835881639483881</v>
      </c>
      <c r="AB792" t="str">
        <f>HYPERLINK("Melting_Curves/meltCurve_F8W8Q9_STX5.pdf", "Melting_Curves/meltCurve_F8W8Q9_STX5.pdf")</f>
        <v>Melting_Curves/meltCurve_F8W8Q9_STX5.pdf</v>
      </c>
    </row>
    <row r="793" spans="1:28" x14ac:dyDescent="0.25">
      <c r="A793" t="s">
        <v>797</v>
      </c>
      <c r="B793">
        <v>0.99252571173614901</v>
      </c>
      <c r="C793">
        <v>0.94948826212950399</v>
      </c>
      <c r="D793">
        <v>0.59623773971449001</v>
      </c>
      <c r="E793">
        <v>0.24027192408449799</v>
      </c>
      <c r="F793">
        <v>0.14812768450114899</v>
      </c>
      <c r="G793">
        <v>8.91219614396319E-2</v>
      </c>
      <c r="H793">
        <v>7.1897147343588097E-2</v>
      </c>
      <c r="I793">
        <v>9.0780128767650306E-2</v>
      </c>
      <c r="J793">
        <v>0.11543674331421</v>
      </c>
      <c r="K793">
        <v>0.14294266940485501</v>
      </c>
      <c r="L793">
        <v>1342.5613169350499</v>
      </c>
      <c r="M793">
        <v>28.9209689068994</v>
      </c>
      <c r="N793">
        <v>46.8078436062927</v>
      </c>
      <c r="O793">
        <v>46.201478790924597</v>
      </c>
      <c r="P793">
        <v>-0.13988702007257001</v>
      </c>
      <c r="Q793">
        <v>0.106124209965439</v>
      </c>
      <c r="R793">
        <v>0.99593454996834396</v>
      </c>
      <c r="S793" t="s">
        <v>7439</v>
      </c>
      <c r="T793" t="s">
        <v>13290</v>
      </c>
      <c r="U793" t="s">
        <v>13290</v>
      </c>
      <c r="V793" t="s">
        <v>13290</v>
      </c>
      <c r="W793" t="s">
        <v>14070</v>
      </c>
      <c r="X793">
        <v>5</v>
      </c>
      <c r="Y793" t="s">
        <v>20657</v>
      </c>
      <c r="Z793" t="s">
        <v>27123</v>
      </c>
      <c r="AA793">
        <v>0.30331331940603901</v>
      </c>
      <c r="AB793" t="str">
        <f>HYPERLINK("Melting_Curves/meltCurve_F8W930_IGF2BP2.pdf", "Melting_Curves/meltCurve_F8W930_IGF2BP2.pdf")</f>
        <v>Melting_Curves/meltCurve_F8W930_IGF2BP2.pdf</v>
      </c>
    </row>
    <row r="794" spans="1:28" x14ac:dyDescent="0.25">
      <c r="A794" t="s">
        <v>798</v>
      </c>
      <c r="B794">
        <v>0.99252571173614901</v>
      </c>
      <c r="C794">
        <v>0.98380924247594204</v>
      </c>
      <c r="D794">
        <v>0.63045089587548997</v>
      </c>
      <c r="E794">
        <v>0.26683108936716898</v>
      </c>
      <c r="F794">
        <v>0.18444659914849301</v>
      </c>
      <c r="G794">
        <v>0.124776809058504</v>
      </c>
      <c r="H794">
        <v>0.121892550170746</v>
      </c>
      <c r="I794">
        <v>0.14664467006992199</v>
      </c>
      <c r="J794">
        <v>0.22109837581470099</v>
      </c>
      <c r="K794">
        <v>0.20603084677682201</v>
      </c>
      <c r="L794">
        <v>1608.96375763419</v>
      </c>
      <c r="M794">
        <v>34.6871366779461</v>
      </c>
      <c r="N794">
        <v>46.938528490538502</v>
      </c>
      <c r="O794">
        <v>46.231671560092899</v>
      </c>
      <c r="P794">
        <v>-0.15608899721151701</v>
      </c>
      <c r="Q794">
        <v>0.167849608089845</v>
      </c>
      <c r="R794">
        <v>0.99047403654190902</v>
      </c>
      <c r="S794" t="s">
        <v>7440</v>
      </c>
      <c r="T794" t="s">
        <v>13290</v>
      </c>
      <c r="U794" t="s">
        <v>13290</v>
      </c>
      <c r="V794" t="s">
        <v>13290</v>
      </c>
      <c r="W794" t="s">
        <v>14071</v>
      </c>
      <c r="X794">
        <v>5</v>
      </c>
      <c r="Y794" t="s">
        <v>20658</v>
      </c>
      <c r="Z794" t="s">
        <v>27124</v>
      </c>
      <c r="AA794">
        <v>0.34862184995505779</v>
      </c>
      <c r="AB794" t="str">
        <f>HYPERLINK("Melting_Curves/meltCurve_F8W946_FSD1L.pdf", "Melting_Curves/meltCurve_F8W946_FSD1L.pdf")</f>
        <v>Melting_Curves/meltCurve_F8W946_FSD1L.pdf</v>
      </c>
    </row>
    <row r="795" spans="1:28" x14ac:dyDescent="0.25">
      <c r="A795" t="s">
        <v>799</v>
      </c>
      <c r="B795">
        <v>0.99252571173614901</v>
      </c>
      <c r="C795">
        <v>0.90138396498748297</v>
      </c>
      <c r="D795">
        <v>0.92603300206392103</v>
      </c>
      <c r="E795">
        <v>0.909434890958565</v>
      </c>
      <c r="F795">
        <v>0.41689576441437298</v>
      </c>
      <c r="G795">
        <v>0.18223032522638399</v>
      </c>
      <c r="H795">
        <v>0.13122104757254199</v>
      </c>
      <c r="I795">
        <v>0.120711351637599</v>
      </c>
      <c r="J795">
        <v>0.15692154212620901</v>
      </c>
      <c r="K795">
        <v>0.15683272999900399</v>
      </c>
      <c r="L795">
        <v>2024.9495972664099</v>
      </c>
      <c r="M795">
        <v>38.795517944841002</v>
      </c>
      <c r="N795">
        <v>52.646098721760197</v>
      </c>
      <c r="O795">
        <v>52.057356177761903</v>
      </c>
      <c r="P795">
        <v>-0.15998835275966999</v>
      </c>
      <c r="Q795">
        <v>0.141287441319419</v>
      </c>
      <c r="R795">
        <v>0.98851219117790901</v>
      </c>
      <c r="S795" t="s">
        <v>7441</v>
      </c>
      <c r="T795" t="s">
        <v>13290</v>
      </c>
      <c r="U795" t="s">
        <v>13290</v>
      </c>
      <c r="V795" t="s">
        <v>13290</v>
      </c>
      <c r="W795" t="s">
        <v>14072</v>
      </c>
      <c r="X795">
        <v>10</v>
      </c>
      <c r="Y795" t="s">
        <v>20659</v>
      </c>
      <c r="Z795" t="s">
        <v>27125</v>
      </c>
      <c r="AA795">
        <v>0.49365964213461261</v>
      </c>
      <c r="AB795" t="str">
        <f>HYPERLINK("Melting_Curves/meltCurve_F8W998_CASK.pdf", "Melting_Curves/meltCurve_F8W998_CASK.pdf")</f>
        <v>Melting_Curves/meltCurve_F8W998_CASK.pdf</v>
      </c>
    </row>
    <row r="796" spans="1:28" x14ac:dyDescent="0.25">
      <c r="A796" t="s">
        <v>800</v>
      </c>
      <c r="B796">
        <v>0.99252571173614901</v>
      </c>
      <c r="C796">
        <v>0.98691687993394495</v>
      </c>
      <c r="D796">
        <v>0.74823012586393201</v>
      </c>
      <c r="E796">
        <v>0.41717677050288499</v>
      </c>
      <c r="F796">
        <v>0.26618054483405501</v>
      </c>
      <c r="G796">
        <v>0.15318133049538701</v>
      </c>
      <c r="H796">
        <v>0.13142058883135899</v>
      </c>
      <c r="I796">
        <v>0.14038851584849901</v>
      </c>
      <c r="J796">
        <v>0.16774251491541001</v>
      </c>
      <c r="K796">
        <v>0.175163950032275</v>
      </c>
      <c r="L796">
        <v>1100.4673123415</v>
      </c>
      <c r="M796">
        <v>22.953937151750399</v>
      </c>
      <c r="N796">
        <v>48.712465787744598</v>
      </c>
      <c r="O796">
        <v>47.5830100894362</v>
      </c>
      <c r="P796">
        <v>-0.102251435682052</v>
      </c>
      <c r="Q796">
        <v>0.15215638904169701</v>
      </c>
      <c r="R796">
        <v>0.99530991693412996</v>
      </c>
      <c r="S796" t="s">
        <v>7442</v>
      </c>
      <c r="T796" t="s">
        <v>13290</v>
      </c>
      <c r="U796" t="s">
        <v>13290</v>
      </c>
      <c r="V796" t="s">
        <v>13290</v>
      </c>
      <c r="W796" t="s">
        <v>14073</v>
      </c>
      <c r="X796">
        <v>28</v>
      </c>
      <c r="Y796" t="s">
        <v>20660</v>
      </c>
      <c r="Z796" t="s">
        <v>27126</v>
      </c>
      <c r="AA796">
        <v>0.38561251946205177</v>
      </c>
      <c r="AB796" t="str">
        <f>HYPERLINK("Melting_Curves/meltCurve_F8W9F9_WNK2.pdf", "Melting_Curves/meltCurve_F8W9F9_WNK2.pdf")</f>
        <v>Melting_Curves/meltCurve_F8W9F9_WNK2.pdf</v>
      </c>
    </row>
    <row r="797" spans="1:28" x14ac:dyDescent="0.25">
      <c r="A797" t="s">
        <v>801</v>
      </c>
      <c r="B797">
        <v>0.99252571173614901</v>
      </c>
      <c r="C797">
        <v>0.90708367911936605</v>
      </c>
      <c r="D797">
        <v>0.87444232722231197</v>
      </c>
      <c r="E797">
        <v>0.76336302661791</v>
      </c>
      <c r="F797">
        <v>0.28726173652586301</v>
      </c>
      <c r="G797">
        <v>0.10704948607804</v>
      </c>
      <c r="H797">
        <v>7.5761499651355299E-2</v>
      </c>
      <c r="I797">
        <v>7.1794983070217006E-2</v>
      </c>
      <c r="J797">
        <v>0.12830726555764399</v>
      </c>
      <c r="K797">
        <v>0.107614282559181</v>
      </c>
      <c r="L797">
        <v>1510.6284406724501</v>
      </c>
      <c r="M797">
        <v>29.588712968696001</v>
      </c>
      <c r="N797">
        <v>51.385290518026402</v>
      </c>
      <c r="O797">
        <v>50.822689671540203</v>
      </c>
      <c r="P797">
        <v>-0.132918045077139</v>
      </c>
      <c r="Q797">
        <v>8.6785657180524695E-2</v>
      </c>
      <c r="R797">
        <v>0.985271005956464</v>
      </c>
      <c r="S797" t="s">
        <v>7443</v>
      </c>
      <c r="T797" t="s">
        <v>13290</v>
      </c>
      <c r="U797" t="s">
        <v>13290</v>
      </c>
      <c r="V797" t="s">
        <v>13290</v>
      </c>
      <c r="W797" t="s">
        <v>14074</v>
      </c>
      <c r="X797">
        <v>5</v>
      </c>
      <c r="Y797" t="s">
        <v>20661</v>
      </c>
      <c r="Z797" t="s">
        <v>27127</v>
      </c>
      <c r="AA797">
        <v>0.42918901897720318</v>
      </c>
      <c r="AB797" t="str">
        <f>HYPERLINK("Melting_Curves/meltCurve_F8W9I9_DYRK1A.pdf", "Melting_Curves/meltCurve_F8W9I9_DYRK1A.pdf")</f>
        <v>Melting_Curves/meltCurve_F8W9I9_DYRK1A.pdf</v>
      </c>
    </row>
    <row r="798" spans="1:28" x14ac:dyDescent="0.25">
      <c r="A798" t="s">
        <v>802</v>
      </c>
      <c r="B798">
        <v>0.99252571173614901</v>
      </c>
      <c r="C798">
        <v>0.95203486464842102</v>
      </c>
      <c r="D798">
        <v>0.78930241661247702</v>
      </c>
      <c r="E798">
        <v>0.41973530507321</v>
      </c>
      <c r="F798">
        <v>0.22497686670051101</v>
      </c>
      <c r="G798">
        <v>0.14426580200334199</v>
      </c>
      <c r="H798">
        <v>0.114399108876855</v>
      </c>
      <c r="I798">
        <v>0.13547219527426799</v>
      </c>
      <c r="J798">
        <v>0.19756960904912199</v>
      </c>
      <c r="K798">
        <v>0.20811125443657499</v>
      </c>
      <c r="L798">
        <v>1223.4632435338499</v>
      </c>
      <c r="M798">
        <v>25.489172025810898</v>
      </c>
      <c r="N798">
        <v>48.719393360688599</v>
      </c>
      <c r="O798">
        <v>47.706813311908</v>
      </c>
      <c r="P798">
        <v>-0.112609588483014</v>
      </c>
      <c r="Q798">
        <v>0.156947502230321</v>
      </c>
      <c r="R798">
        <v>0.993072569687942</v>
      </c>
      <c r="S798" t="s">
        <v>7444</v>
      </c>
      <c r="T798" t="s">
        <v>13290</v>
      </c>
      <c r="U798" t="s">
        <v>13290</v>
      </c>
      <c r="V798" t="s">
        <v>13290</v>
      </c>
      <c r="W798" t="s">
        <v>14075</v>
      </c>
      <c r="X798">
        <v>3</v>
      </c>
      <c r="Y798" t="s">
        <v>20662</v>
      </c>
      <c r="Z798" t="s">
        <v>27128</v>
      </c>
      <c r="AA798">
        <v>0.38889392167508158</v>
      </c>
      <c r="AB798" t="str">
        <f>HYPERLINK("Melting_Curves/meltCurve_F8W9Q9_LENG8.pdf", "Melting_Curves/meltCurve_F8W9Q9_LENG8.pdf")</f>
        <v>Melting_Curves/meltCurve_F8W9Q9_LENG8.pdf</v>
      </c>
    </row>
    <row r="799" spans="1:28" x14ac:dyDescent="0.25">
      <c r="A799" t="s">
        <v>803</v>
      </c>
      <c r="B799">
        <v>0.99252571173614901</v>
      </c>
      <c r="C799">
        <v>0.95475062201195204</v>
      </c>
      <c r="D799">
        <v>0.97687198529428099</v>
      </c>
      <c r="E799">
        <v>1.0348949416600499</v>
      </c>
      <c r="F799">
        <v>0.88927472686028097</v>
      </c>
      <c r="G799">
        <v>0.279615210117448</v>
      </c>
      <c r="H799">
        <v>0.170232214375727</v>
      </c>
      <c r="I799">
        <v>0.19243681703667301</v>
      </c>
      <c r="J799">
        <v>0.26582390182792098</v>
      </c>
      <c r="K799">
        <v>0.17859272380619801</v>
      </c>
      <c r="L799">
        <v>3440.4528152960402</v>
      </c>
      <c r="M799">
        <v>62.828676110834103</v>
      </c>
      <c r="N799">
        <v>55.2135471267501</v>
      </c>
      <c r="O799">
        <v>54.703881177493102</v>
      </c>
      <c r="P799">
        <v>-0.229178866382618</v>
      </c>
      <c r="Q799">
        <v>0.201831395016074</v>
      </c>
      <c r="R799">
        <v>0.99320301460375904</v>
      </c>
      <c r="S799" t="s">
        <v>7445</v>
      </c>
      <c r="T799" t="s">
        <v>13290</v>
      </c>
      <c r="U799" t="s">
        <v>13290</v>
      </c>
      <c r="V799" t="s">
        <v>13290</v>
      </c>
      <c r="W799" t="s">
        <v>14076</v>
      </c>
      <c r="X799">
        <v>6</v>
      </c>
      <c r="Y799" t="s">
        <v>20663</v>
      </c>
      <c r="Z799" t="s">
        <v>27129</v>
      </c>
      <c r="AA799">
        <v>0.59572953479217794</v>
      </c>
      <c r="AB799" t="str">
        <f>HYPERLINK("Melting_Curves/meltCurve_F8W9R9_MED24.pdf", "Melting_Curves/meltCurve_F8W9R9_MED24.pdf")</f>
        <v>Melting_Curves/meltCurve_F8W9R9_MED24.pdf</v>
      </c>
    </row>
    <row r="800" spans="1:28" x14ac:dyDescent="0.25">
      <c r="A800" t="s">
        <v>804</v>
      </c>
      <c r="B800">
        <v>0.99252571173614901</v>
      </c>
      <c r="C800">
        <v>0.86633413613588495</v>
      </c>
      <c r="D800">
        <v>1.2075588704017599</v>
      </c>
      <c r="E800">
        <v>0.68601911851596897</v>
      </c>
      <c r="F800">
        <v>0.18403268681917501</v>
      </c>
      <c r="G800">
        <v>0.119319186674562</v>
      </c>
      <c r="H800">
        <v>9.8471697068247793E-2</v>
      </c>
      <c r="I800">
        <v>0.11784942626721701</v>
      </c>
      <c r="J800">
        <v>0.125459528717388</v>
      </c>
      <c r="K800">
        <v>0.13183045016150199</v>
      </c>
      <c r="L800">
        <v>3172.1974361849202</v>
      </c>
      <c r="M800">
        <v>63.340362911444601</v>
      </c>
      <c r="N800">
        <v>50.311326457437602</v>
      </c>
      <c r="O800">
        <v>50.0319200796323</v>
      </c>
      <c r="P800">
        <v>-0.27678037524756099</v>
      </c>
      <c r="Q800">
        <v>0.125496072743701</v>
      </c>
      <c r="R800">
        <v>0.96235500286472198</v>
      </c>
      <c r="S800" t="s">
        <v>7446</v>
      </c>
      <c r="T800" t="s">
        <v>13290</v>
      </c>
      <c r="U800" t="s">
        <v>13290</v>
      </c>
      <c r="V800" t="s">
        <v>13290</v>
      </c>
      <c r="W800" t="s">
        <v>14077</v>
      </c>
      <c r="X800">
        <v>2</v>
      </c>
      <c r="Y800" t="s">
        <v>20664</v>
      </c>
      <c r="Z800" t="s">
        <v>27130</v>
      </c>
      <c r="AA800">
        <v>0.42058224072984179</v>
      </c>
      <c r="AB800" t="str">
        <f>HYPERLINK("Melting_Curves/meltCurve_F8W9X7_CCDC93.pdf", "Melting_Curves/meltCurve_F8W9X7_CCDC93.pdf")</f>
        <v>Melting_Curves/meltCurve_F8W9X7_CCDC93.pdf</v>
      </c>
    </row>
    <row r="801" spans="1:28" x14ac:dyDescent="0.25">
      <c r="A801" t="s">
        <v>805</v>
      </c>
      <c r="B801">
        <v>0.99252571173614901</v>
      </c>
      <c r="C801">
        <v>0.94585658473213097</v>
      </c>
      <c r="D801">
        <v>1.0191232264938901</v>
      </c>
      <c r="E801">
        <v>1.3268352755002999</v>
      </c>
      <c r="F801">
        <v>0.96313013971704997</v>
      </c>
      <c r="G801">
        <v>0.78501447102251898</v>
      </c>
      <c r="H801">
        <v>0.90084327815838305</v>
      </c>
      <c r="I801">
        <v>1.27415667205551</v>
      </c>
      <c r="J801">
        <v>1.71857058346974</v>
      </c>
      <c r="K801">
        <v>1.49095434920407</v>
      </c>
      <c r="L801">
        <v>15000</v>
      </c>
      <c r="M801">
        <v>234.568957413634</v>
      </c>
      <c r="O801">
        <v>63.942442801768102</v>
      </c>
      <c r="P801">
        <v>0.45855496387202599</v>
      </c>
      <c r="Q801">
        <v>1.5</v>
      </c>
      <c r="R801">
        <v>0.73047127281469704</v>
      </c>
      <c r="S801" t="s">
        <v>7447</v>
      </c>
      <c r="T801" t="s">
        <v>13290</v>
      </c>
      <c r="U801" t="s">
        <v>13290</v>
      </c>
      <c r="V801" t="s">
        <v>13290</v>
      </c>
      <c r="W801" t="s">
        <v>14078</v>
      </c>
      <c r="X801">
        <v>3</v>
      </c>
      <c r="Y801" t="s">
        <v>20665</v>
      </c>
      <c r="Z801" t="s">
        <v>27131</v>
      </c>
      <c r="AA801">
        <v>1.100818251277164</v>
      </c>
      <c r="AB801" t="str">
        <f>HYPERLINK("Melting_Curves/meltCurve_F8WAB8_SLC25A26.pdf", "Melting_Curves/meltCurve_F8WAB8_SLC25A26.pdf")</f>
        <v>Melting_Curves/meltCurve_F8WAB8_SLC25A26.pdf</v>
      </c>
    </row>
    <row r="802" spans="1:28" x14ac:dyDescent="0.25">
      <c r="A802" t="s">
        <v>806</v>
      </c>
      <c r="B802">
        <v>0.99252571173614901</v>
      </c>
      <c r="C802">
        <v>0.92684014712810703</v>
      </c>
      <c r="D802">
        <v>0.88351283553091597</v>
      </c>
      <c r="E802">
        <v>0.81593755045473904</v>
      </c>
      <c r="F802">
        <v>0.48413673861155998</v>
      </c>
      <c r="G802">
        <v>0.27482215780347502</v>
      </c>
      <c r="H802">
        <v>0.20874055807956199</v>
      </c>
      <c r="I802">
        <v>0.22684085710374699</v>
      </c>
      <c r="J802">
        <v>0.351101491506351</v>
      </c>
      <c r="K802">
        <v>0.28479849141322799</v>
      </c>
      <c r="L802">
        <v>1347.97460850532</v>
      </c>
      <c r="M802">
        <v>26.2401281477397</v>
      </c>
      <c r="N802">
        <v>52.826932221539202</v>
      </c>
      <c r="O802">
        <v>51.075169947705298</v>
      </c>
      <c r="P802">
        <v>-9.5375735228130795E-2</v>
      </c>
      <c r="Q802">
        <v>0.25743093870905198</v>
      </c>
      <c r="R802">
        <v>0.96972968474653898</v>
      </c>
      <c r="S802" t="s">
        <v>7448</v>
      </c>
      <c r="T802" t="s">
        <v>13290</v>
      </c>
      <c r="U802" t="s">
        <v>13290</v>
      </c>
      <c r="V802" t="s">
        <v>13290</v>
      </c>
      <c r="W802" t="s">
        <v>14079</v>
      </c>
      <c r="X802">
        <v>1</v>
      </c>
      <c r="Y802" t="s">
        <v>20666</v>
      </c>
      <c r="Z802" t="s">
        <v>27132</v>
      </c>
      <c r="AA802">
        <v>0.54500837553606796</v>
      </c>
      <c r="AB802" t="str">
        <f>HYPERLINK("Melting_Curves/meltCurve_F8WAD8_ADAM22.pdf", "Melting_Curves/meltCurve_F8WAD8_ADAM22.pdf")</f>
        <v>Melting_Curves/meltCurve_F8WAD8_ADAM22.pdf</v>
      </c>
    </row>
    <row r="803" spans="1:28" x14ac:dyDescent="0.25">
      <c r="A803" t="s">
        <v>807</v>
      </c>
      <c r="B803">
        <v>0.99252571173614901</v>
      </c>
      <c r="C803">
        <v>0.883168619811597</v>
      </c>
      <c r="D803">
        <v>1.0232825118345401</v>
      </c>
      <c r="E803">
        <v>0.99609051102037904</v>
      </c>
      <c r="F803">
        <v>0.63132834981281505</v>
      </c>
      <c r="G803">
        <v>0.235393834786637</v>
      </c>
      <c r="H803">
        <v>0.16176155897386801</v>
      </c>
      <c r="I803">
        <v>0.16010049538099599</v>
      </c>
      <c r="J803">
        <v>0.13740034565965001</v>
      </c>
      <c r="K803">
        <v>0.12565846892403801</v>
      </c>
      <c r="L803">
        <v>2188.79645675558</v>
      </c>
      <c r="M803">
        <v>40.829961962958301</v>
      </c>
      <c r="N803">
        <v>54.065195769655801</v>
      </c>
      <c r="O803">
        <v>53.479492329514301</v>
      </c>
      <c r="P803">
        <v>-0.162983666219704</v>
      </c>
      <c r="Q803">
        <v>0.14609111410121101</v>
      </c>
      <c r="R803">
        <v>0.98928665939608995</v>
      </c>
      <c r="S803" t="s">
        <v>7449</v>
      </c>
      <c r="T803" t="s">
        <v>13290</v>
      </c>
      <c r="U803" t="s">
        <v>13290</v>
      </c>
      <c r="V803" t="s">
        <v>13290</v>
      </c>
      <c r="W803" t="s">
        <v>14080</v>
      </c>
      <c r="X803">
        <v>15</v>
      </c>
      <c r="Y803" t="s">
        <v>20667</v>
      </c>
      <c r="Z803" t="s">
        <v>27133</v>
      </c>
      <c r="AA803">
        <v>0.536444770540354</v>
      </c>
      <c r="AB803" t="str">
        <f>HYPERLINK("Melting_Curves/meltCurve_F8WAK8_STAG2.pdf", "Melting_Curves/meltCurve_F8WAK8_STAG2.pdf")</f>
        <v>Melting_Curves/meltCurve_F8WAK8_STAG2.pdf</v>
      </c>
    </row>
    <row r="804" spans="1:28" x14ac:dyDescent="0.25">
      <c r="A804" t="s">
        <v>808</v>
      </c>
      <c r="B804">
        <v>0.99252571173614901</v>
      </c>
      <c r="C804">
        <v>0.95743038872303998</v>
      </c>
      <c r="D804">
        <v>0.78064006443109202</v>
      </c>
      <c r="E804">
        <v>0.59295981081940397</v>
      </c>
      <c r="F804">
        <v>0.48098963626577401</v>
      </c>
      <c r="G804">
        <v>0.26791347572308299</v>
      </c>
      <c r="H804">
        <v>0.172059398646772</v>
      </c>
      <c r="I804">
        <v>0.155979197457951</v>
      </c>
      <c r="J804">
        <v>0.18389369543905301</v>
      </c>
      <c r="K804">
        <v>0.16623304711315701</v>
      </c>
      <c r="L804">
        <v>678.13036876372803</v>
      </c>
      <c r="M804">
        <v>13.4403531954499</v>
      </c>
      <c r="N804">
        <v>51.598134643557202</v>
      </c>
      <c r="O804">
        <v>49.377142830772598</v>
      </c>
      <c r="P804">
        <v>-5.9295195666703798E-2</v>
      </c>
      <c r="Q804">
        <v>0.12878110614171401</v>
      </c>
      <c r="R804">
        <v>0.99037757724520803</v>
      </c>
      <c r="S804" t="s">
        <v>7450</v>
      </c>
      <c r="T804" t="s">
        <v>13290</v>
      </c>
      <c r="U804" t="s">
        <v>13290</v>
      </c>
      <c r="V804" t="s">
        <v>13290</v>
      </c>
      <c r="W804" t="s">
        <v>14081</v>
      </c>
      <c r="X804">
        <v>2</v>
      </c>
      <c r="Y804" t="s">
        <v>20668</v>
      </c>
      <c r="Z804" t="s">
        <v>27134</v>
      </c>
      <c r="AA804">
        <v>0.45699116223443192</v>
      </c>
      <c r="AB804" t="str">
        <f>HYPERLINK("Melting_Curves/meltCurve_F8WB74_SEPW1.pdf", "Melting_Curves/meltCurve_F8WB74_SEPW1.pdf")</f>
        <v>Melting_Curves/meltCurve_F8WB74_SEPW1.pdf</v>
      </c>
    </row>
    <row r="805" spans="1:28" x14ac:dyDescent="0.25">
      <c r="A805" t="s">
        <v>809</v>
      </c>
      <c r="B805">
        <v>0.99252571173614901</v>
      </c>
      <c r="C805">
        <v>1.0797850991771401</v>
      </c>
      <c r="D805">
        <v>1.1796815206378299</v>
      </c>
      <c r="E805">
        <v>0.92288216435798998</v>
      </c>
      <c r="F805">
        <v>0.472198247108228</v>
      </c>
      <c r="G805">
        <v>0.27750249505334201</v>
      </c>
      <c r="H805">
        <v>0.19746969235853401</v>
      </c>
      <c r="I805">
        <v>0.21364323816991301</v>
      </c>
      <c r="J805">
        <v>0.29398900424038099</v>
      </c>
      <c r="K805">
        <v>0.39255222980307403</v>
      </c>
      <c r="L805">
        <v>2460.1440890313302</v>
      </c>
      <c r="M805">
        <v>47.251535192228303</v>
      </c>
      <c r="N805">
        <v>52.948186872554402</v>
      </c>
      <c r="O805">
        <v>51.971851166319802</v>
      </c>
      <c r="P805">
        <v>-0.165312309889703</v>
      </c>
      <c r="Q805">
        <v>0.27269431298361901</v>
      </c>
      <c r="R805">
        <v>0.95432068420807703</v>
      </c>
      <c r="S805" t="s">
        <v>7451</v>
      </c>
      <c r="T805" t="s">
        <v>13290</v>
      </c>
      <c r="U805" t="s">
        <v>13290</v>
      </c>
      <c r="V805" t="s">
        <v>13290</v>
      </c>
      <c r="W805" t="s">
        <v>14082</v>
      </c>
      <c r="X805">
        <v>3</v>
      </c>
      <c r="Y805" t="s">
        <v>20669</v>
      </c>
      <c r="Z805" t="s">
        <v>27135</v>
      </c>
      <c r="AA805">
        <v>0.5670600695174971</v>
      </c>
      <c r="AB805" t="str">
        <f>HYPERLINK("Melting_Curves/meltCurve_F8WBK5_MRPL40.pdf", "Melting_Curves/meltCurve_F8WBK5_MRPL40.pdf")</f>
        <v>Melting_Curves/meltCurve_F8WBK5_MRPL40.pdf</v>
      </c>
    </row>
    <row r="806" spans="1:28" x14ac:dyDescent="0.25">
      <c r="A806" t="s">
        <v>810</v>
      </c>
      <c r="B806">
        <v>0.99252571173614901</v>
      </c>
      <c r="C806">
        <v>1.1618917621841101</v>
      </c>
      <c r="D806">
        <v>0.937452919259813</v>
      </c>
      <c r="E806">
        <v>0.80257641347820896</v>
      </c>
      <c r="F806">
        <v>0.45107265475150699</v>
      </c>
      <c r="G806">
        <v>0.21032890905039001</v>
      </c>
      <c r="H806">
        <v>0.103120825585109</v>
      </c>
      <c r="I806">
        <v>0.13050966794132601</v>
      </c>
      <c r="J806">
        <v>5.2094423318740701E-2</v>
      </c>
      <c r="K806">
        <v>6.4978977303753599E-2</v>
      </c>
      <c r="L806">
        <v>1218.69491553693</v>
      </c>
      <c r="M806">
        <v>23.266659498799701</v>
      </c>
      <c r="N806">
        <v>52.743132145421598</v>
      </c>
      <c r="O806">
        <v>51.997116252167103</v>
      </c>
      <c r="P806">
        <v>-0.10357654193189</v>
      </c>
      <c r="Q806">
        <v>7.4111144541440702E-2</v>
      </c>
      <c r="R806">
        <v>0.981756333198188</v>
      </c>
      <c r="S806" t="s">
        <v>7452</v>
      </c>
      <c r="T806" t="s">
        <v>13290</v>
      </c>
      <c r="U806" t="s">
        <v>13290</v>
      </c>
      <c r="V806" t="s">
        <v>13290</v>
      </c>
      <c r="W806" t="s">
        <v>14083</v>
      </c>
      <c r="X806">
        <v>1</v>
      </c>
      <c r="Y806" t="s">
        <v>20670</v>
      </c>
      <c r="Z806" t="s">
        <v>27136</v>
      </c>
      <c r="AA806">
        <v>0.46589311299195119</v>
      </c>
      <c r="AB806" t="str">
        <f>HYPERLINK("Melting_Curves/meltCurve_F8WBV7_PLD1.pdf", "Melting_Curves/meltCurve_F8WBV7_PLD1.pdf")</f>
        <v>Melting_Curves/meltCurve_F8WBV7_PLD1.pdf</v>
      </c>
    </row>
    <row r="807" spans="1:28" x14ac:dyDescent="0.25">
      <c r="A807" t="s">
        <v>811</v>
      </c>
      <c r="B807">
        <v>0.99252571173614901</v>
      </c>
      <c r="C807">
        <v>1.0527212853594099</v>
      </c>
      <c r="D807">
        <v>0.90722003962365005</v>
      </c>
      <c r="E807">
        <v>0.651472587135554</v>
      </c>
      <c r="F807">
        <v>0.38275756687026202</v>
      </c>
      <c r="G807">
        <v>0.158085952828558</v>
      </c>
      <c r="H807">
        <v>0.125489057676308</v>
      </c>
      <c r="I807">
        <v>0.14035362579152899</v>
      </c>
      <c r="J807">
        <v>0.16947914491715199</v>
      </c>
      <c r="K807">
        <v>0.189582960491084</v>
      </c>
      <c r="L807">
        <v>1204.9573505417</v>
      </c>
      <c r="M807">
        <v>23.856092663248798</v>
      </c>
      <c r="N807">
        <v>51.252240794741901</v>
      </c>
      <c r="O807">
        <v>50.158516752963003</v>
      </c>
      <c r="P807">
        <v>-0.101526444421982</v>
      </c>
      <c r="Q807">
        <v>0.146158013220969</v>
      </c>
      <c r="R807">
        <v>0.99104901499320097</v>
      </c>
      <c r="S807" t="s">
        <v>7453</v>
      </c>
      <c r="T807" t="s">
        <v>13290</v>
      </c>
      <c r="U807" t="s">
        <v>13290</v>
      </c>
      <c r="V807" t="s">
        <v>13290</v>
      </c>
      <c r="W807" t="s">
        <v>14084</v>
      </c>
      <c r="X807">
        <v>3</v>
      </c>
      <c r="Y807" t="s">
        <v>20671</v>
      </c>
      <c r="Z807" t="s">
        <v>27137</v>
      </c>
      <c r="AA807">
        <v>0.45368988136497401</v>
      </c>
      <c r="AB807" t="str">
        <f>HYPERLINK("Melting_Curves/meltCurve_F8WBY6_GTPBP8.pdf", "Melting_Curves/meltCurve_F8WBY6_GTPBP8.pdf")</f>
        <v>Melting_Curves/meltCurve_F8WBY6_GTPBP8.pdf</v>
      </c>
    </row>
    <row r="808" spans="1:28" x14ac:dyDescent="0.25">
      <c r="A808" t="s">
        <v>812</v>
      </c>
      <c r="B808">
        <v>0.99252571173614901</v>
      </c>
      <c r="C808">
        <v>1.1052352866323101</v>
      </c>
      <c r="D808">
        <v>0.85710001527319801</v>
      </c>
      <c r="E808">
        <v>0.39693984975595897</v>
      </c>
      <c r="F808">
        <v>0.11034315041786399</v>
      </c>
      <c r="G808">
        <v>6.05657907717519E-2</v>
      </c>
      <c r="H808">
        <v>3.0719066327781E-2</v>
      </c>
      <c r="I808">
        <v>4.9752182828819498E-2</v>
      </c>
      <c r="J808">
        <v>0</v>
      </c>
      <c r="K808">
        <v>1.3648576981434899E-2</v>
      </c>
      <c r="L808">
        <v>1522.0167134506501</v>
      </c>
      <c r="M808">
        <v>31.172437081860501</v>
      </c>
      <c r="N808">
        <v>48.9214220256234</v>
      </c>
      <c r="O808">
        <v>48.626099823982202</v>
      </c>
      <c r="P808">
        <v>-0.155526372081259</v>
      </c>
      <c r="Q808">
        <v>2.9578729708626801E-2</v>
      </c>
      <c r="R808">
        <v>0.99096538628944097</v>
      </c>
      <c r="S808" t="s">
        <v>7454</v>
      </c>
      <c r="T808" t="s">
        <v>13290</v>
      </c>
      <c r="U808" t="s">
        <v>13290</v>
      </c>
      <c r="V808" t="s">
        <v>13290</v>
      </c>
      <c r="W808" t="s">
        <v>14085</v>
      </c>
      <c r="X808">
        <v>1</v>
      </c>
      <c r="Y808" t="s">
        <v>20672</v>
      </c>
      <c r="Z808" t="s">
        <v>27138</v>
      </c>
      <c r="AA808">
        <v>0.32051749204074548</v>
      </c>
      <c r="AB808" t="str">
        <f>HYPERLINK("Melting_Curves/meltCurve_F8WC89_SAC3D1.pdf", "Melting_Curves/meltCurve_F8WC89_SAC3D1.pdf")</f>
        <v>Melting_Curves/meltCurve_F8WC89_SAC3D1.pdf</v>
      </c>
    </row>
    <row r="809" spans="1:28" x14ac:dyDescent="0.25">
      <c r="A809" t="s">
        <v>813</v>
      </c>
      <c r="B809">
        <v>0.99252571173614901</v>
      </c>
      <c r="C809">
        <v>1.0792888650246599</v>
      </c>
      <c r="D809">
        <v>0.89356363928569904</v>
      </c>
      <c r="E809">
        <v>0.98103363801036403</v>
      </c>
      <c r="F809">
        <v>1.10540922724365</v>
      </c>
      <c r="G809">
        <v>0.88526639538784901</v>
      </c>
      <c r="H809">
        <v>1.0061221293598701</v>
      </c>
      <c r="I809">
        <v>1.29664360944193</v>
      </c>
      <c r="J809">
        <v>2.1905569974044101</v>
      </c>
      <c r="K809">
        <v>2.3605539869955101</v>
      </c>
      <c r="L809">
        <v>15000</v>
      </c>
      <c r="M809">
        <v>234.75289523582001</v>
      </c>
      <c r="O809">
        <v>63.892349581914097</v>
      </c>
      <c r="P809">
        <v>0.45927434750652701</v>
      </c>
      <c r="Q809">
        <v>1.5</v>
      </c>
      <c r="R809">
        <v>0.519156281050695</v>
      </c>
      <c r="S809" t="s">
        <v>7455</v>
      </c>
      <c r="T809" t="s">
        <v>13290</v>
      </c>
      <c r="U809" t="s">
        <v>13290</v>
      </c>
      <c r="V809" t="s">
        <v>13290</v>
      </c>
      <c r="W809" t="s">
        <v>13820</v>
      </c>
      <c r="X809">
        <v>3</v>
      </c>
      <c r="Y809" t="s">
        <v>20408</v>
      </c>
      <c r="Z809" t="s">
        <v>27139</v>
      </c>
      <c r="AA809">
        <v>1.101653483842483</v>
      </c>
      <c r="AB809" t="str">
        <f>HYPERLINK("Melting_Curves/meltCurve_F8WCF2_EIF4G1.pdf", "Melting_Curves/meltCurve_F8WCF2_EIF4G1.pdf")</f>
        <v>Melting_Curves/meltCurve_F8WCF2_EIF4G1.pdf</v>
      </c>
    </row>
    <row r="810" spans="1:28" x14ac:dyDescent="0.25">
      <c r="A810" t="s">
        <v>814</v>
      </c>
      <c r="B810">
        <v>0.99252571173614901</v>
      </c>
      <c r="C810">
        <v>0.93670748715449703</v>
      </c>
      <c r="D810">
        <v>0.97795147593965404</v>
      </c>
      <c r="E810">
        <v>0.97641155935109503</v>
      </c>
      <c r="F810">
        <v>0.54939957275388396</v>
      </c>
      <c r="G810">
        <v>0.44580300980044002</v>
      </c>
      <c r="H810">
        <v>0.37406891577349599</v>
      </c>
      <c r="I810">
        <v>0.241604206768118</v>
      </c>
      <c r="J810">
        <v>0.31133887592589199</v>
      </c>
      <c r="K810">
        <v>0.43911603269132499</v>
      </c>
      <c r="L810">
        <v>2360.21680421781</v>
      </c>
      <c r="M810">
        <v>45.0897108460927</v>
      </c>
      <c r="N810">
        <v>53.832393133903302</v>
      </c>
      <c r="O810">
        <v>52.2422573780565</v>
      </c>
      <c r="P810">
        <v>-0.13892320542139899</v>
      </c>
      <c r="Q810">
        <v>0.35615885607355102</v>
      </c>
      <c r="R810">
        <v>0.96183745784290897</v>
      </c>
      <c r="S810" t="s">
        <v>7456</v>
      </c>
      <c r="T810" t="s">
        <v>13290</v>
      </c>
      <c r="U810" t="s">
        <v>13290</v>
      </c>
      <c r="V810" t="s">
        <v>13290</v>
      </c>
      <c r="W810" t="s">
        <v>14086</v>
      </c>
      <c r="X810">
        <v>7</v>
      </c>
      <c r="Y810" t="s">
        <v>20673</v>
      </c>
      <c r="Z810" t="s">
        <v>27140</v>
      </c>
      <c r="AA810">
        <v>0.62292738620184263</v>
      </c>
      <c r="AB810" t="str">
        <f>HYPERLINK("Melting_Curves/meltCurve_F8WCP6_KIF21A.pdf", "Melting_Curves/meltCurve_F8WCP6_KIF21A.pdf")</f>
        <v>Melting_Curves/meltCurve_F8WCP6_KIF21A.pdf</v>
      </c>
    </row>
    <row r="811" spans="1:28" x14ac:dyDescent="0.25">
      <c r="A811" t="s">
        <v>815</v>
      </c>
      <c r="B811">
        <v>0.99252571173614901</v>
      </c>
      <c r="C811">
        <v>0.96601856427364297</v>
      </c>
      <c r="D811">
        <v>0.86710781297171002</v>
      </c>
      <c r="E811">
        <v>0.75865223660005499</v>
      </c>
      <c r="F811">
        <v>0.477639888547433</v>
      </c>
      <c r="G811">
        <v>0.27966680850098902</v>
      </c>
      <c r="H811">
        <v>0.108431223971585</v>
      </c>
      <c r="I811">
        <v>8.1758791702133807E-2</v>
      </c>
      <c r="J811">
        <v>6.7402307281868107E-2</v>
      </c>
      <c r="K811">
        <v>8.6016681743842194E-2</v>
      </c>
      <c r="L811">
        <v>824.38723758907099</v>
      </c>
      <c r="M811">
        <v>15.662033499137699</v>
      </c>
      <c r="N811">
        <v>52.891957768483202</v>
      </c>
      <c r="O811">
        <v>51.800333634728503</v>
      </c>
      <c r="P811">
        <v>-7.2836068514528104E-2</v>
      </c>
      <c r="Q811">
        <v>3.6495263903708899E-2</v>
      </c>
      <c r="R811">
        <v>0.99661618949465802</v>
      </c>
      <c r="S811" t="s">
        <v>7457</v>
      </c>
      <c r="T811" t="s">
        <v>13290</v>
      </c>
      <c r="U811" t="s">
        <v>13290</v>
      </c>
      <c r="V811" t="s">
        <v>13290</v>
      </c>
      <c r="W811" t="s">
        <v>14087</v>
      </c>
      <c r="X811">
        <v>1</v>
      </c>
      <c r="Y811" t="s">
        <v>20674</v>
      </c>
      <c r="Z811" t="s">
        <v>27141</v>
      </c>
      <c r="AA811">
        <v>0.46207386420516222</v>
      </c>
      <c r="AB811" t="str">
        <f>HYPERLINK("Melting_Curves/meltCurve_F8WCT2_FRMPD2.pdf", "Melting_Curves/meltCurve_F8WCT2_FRMPD2.pdf")</f>
        <v>Melting_Curves/meltCurve_F8WCT2_FRMPD2.pdf</v>
      </c>
    </row>
    <row r="812" spans="1:28" x14ac:dyDescent="0.25">
      <c r="A812" t="s">
        <v>816</v>
      </c>
      <c r="B812">
        <v>0.99252571173614901</v>
      </c>
      <c r="C812">
        <v>0.96050936404380305</v>
      </c>
      <c r="D812">
        <v>0.906053769773839</v>
      </c>
      <c r="E812">
        <v>0.76886447641203004</v>
      </c>
      <c r="F812">
        <v>0.41721654150799697</v>
      </c>
      <c r="G812">
        <v>0.108714751877958</v>
      </c>
      <c r="H812">
        <v>7.1747269840597094E-2</v>
      </c>
      <c r="I812">
        <v>6.7541483913488895E-2</v>
      </c>
      <c r="J812">
        <v>7.0737621578064097E-2</v>
      </c>
      <c r="K812">
        <v>6.2535916166743602E-2</v>
      </c>
      <c r="L812">
        <v>1230.7164861624201</v>
      </c>
      <c r="M812">
        <v>23.716592079361501</v>
      </c>
      <c r="N812">
        <v>52.123605038505801</v>
      </c>
      <c r="O812">
        <v>51.527941686496298</v>
      </c>
      <c r="P812">
        <v>-0.10932908547134799</v>
      </c>
      <c r="Q812">
        <v>4.9879144846522103E-2</v>
      </c>
      <c r="R812">
        <v>0.99527662196490296</v>
      </c>
      <c r="S812" t="s">
        <v>7458</v>
      </c>
      <c r="T812" t="s">
        <v>13290</v>
      </c>
      <c r="U812" t="s">
        <v>13290</v>
      </c>
      <c r="V812" t="s">
        <v>13290</v>
      </c>
      <c r="W812" t="s">
        <v>14088</v>
      </c>
      <c r="X812">
        <v>17</v>
      </c>
      <c r="Y812" t="s">
        <v>20675</v>
      </c>
      <c r="Z812" t="s">
        <v>27142</v>
      </c>
      <c r="AA812">
        <v>0.43611318695540141</v>
      </c>
      <c r="AB812" t="str">
        <f>HYPERLINK("Melting_Curves/meltCurve_F8WD04_ATL1.pdf", "Melting_Curves/meltCurve_F8WD04_ATL1.pdf")</f>
        <v>Melting_Curves/meltCurve_F8WD04_ATL1.pdf</v>
      </c>
    </row>
    <row r="813" spans="1:28" x14ac:dyDescent="0.25">
      <c r="A813" t="s">
        <v>817</v>
      </c>
      <c r="B813">
        <v>0.99252571173614901</v>
      </c>
      <c r="C813">
        <v>1.0152566864311401</v>
      </c>
      <c r="D813">
        <v>0.94115527938340404</v>
      </c>
      <c r="E813">
        <v>0.93254574621739295</v>
      </c>
      <c r="F813">
        <v>0.65300191662339602</v>
      </c>
      <c r="G813">
        <v>0.42548175545016997</v>
      </c>
      <c r="H813">
        <v>0.37207035884763101</v>
      </c>
      <c r="I813">
        <v>0.43411623546742401</v>
      </c>
      <c r="J813">
        <v>0.66448231643050004</v>
      </c>
      <c r="K813">
        <v>0.696130103586029</v>
      </c>
      <c r="L813">
        <v>2403.5821172301598</v>
      </c>
      <c r="M813">
        <v>46.352333880497</v>
      </c>
      <c r="O813">
        <v>51.758369043531097</v>
      </c>
      <c r="P813">
        <v>-0.107532714763281</v>
      </c>
      <c r="Q813">
        <v>0.519703894072433</v>
      </c>
      <c r="R813">
        <v>0.82608722929635103</v>
      </c>
      <c r="S813" t="s">
        <v>7459</v>
      </c>
      <c r="T813" t="s">
        <v>13290</v>
      </c>
      <c r="U813" t="s">
        <v>13290</v>
      </c>
      <c r="V813" t="s">
        <v>13290</v>
      </c>
      <c r="W813" t="s">
        <v>14089</v>
      </c>
      <c r="X813">
        <v>6</v>
      </c>
      <c r="Y813" t="s">
        <v>20676</v>
      </c>
      <c r="Z813" t="s">
        <v>27143</v>
      </c>
      <c r="AA813">
        <v>0.71077392241450243</v>
      </c>
      <c r="AB813" t="str">
        <f>HYPERLINK("Melting_Curves/meltCurve_F8WE42_NOL8.pdf", "Melting_Curves/meltCurve_F8WE42_NOL8.pdf")</f>
        <v>Melting_Curves/meltCurve_F8WE42_NOL8.pdf</v>
      </c>
    </row>
    <row r="814" spans="1:28" x14ac:dyDescent="0.25">
      <c r="A814" t="s">
        <v>818</v>
      </c>
      <c r="B814">
        <v>0.99252571173614901</v>
      </c>
      <c r="C814">
        <v>1.10004111366958</v>
      </c>
      <c r="D814">
        <v>0.89569167766548896</v>
      </c>
      <c r="E814">
        <v>0.79175833022252395</v>
      </c>
      <c r="F814">
        <v>0.55902038695948897</v>
      </c>
      <c r="G814">
        <v>0.47377213606596102</v>
      </c>
      <c r="H814">
        <v>0.51540638605315703</v>
      </c>
      <c r="I814">
        <v>0.69989847415959605</v>
      </c>
      <c r="J814">
        <v>0.98350472629215702</v>
      </c>
      <c r="K814">
        <v>1.1498191537571001</v>
      </c>
      <c r="L814">
        <v>2553.32863409636</v>
      </c>
      <c r="M814">
        <v>54.933785459225398</v>
      </c>
      <c r="O814">
        <v>46.418641026582101</v>
      </c>
      <c r="P814">
        <v>-7.7718126684187303E-2</v>
      </c>
      <c r="Q814">
        <v>0.73731519454346395</v>
      </c>
      <c r="R814">
        <v>0.27448069358784899</v>
      </c>
      <c r="S814" t="s">
        <v>7460</v>
      </c>
      <c r="T814" t="s">
        <v>13290</v>
      </c>
      <c r="U814" t="s">
        <v>13290</v>
      </c>
      <c r="V814" t="s">
        <v>13290</v>
      </c>
      <c r="W814" t="s">
        <v>14090</v>
      </c>
      <c r="X814">
        <v>2</v>
      </c>
      <c r="Y814" t="s">
        <v>20677</v>
      </c>
      <c r="Z814" t="s">
        <v>27144</v>
      </c>
      <c r="AA814">
        <v>0.79450258428334053</v>
      </c>
      <c r="AB814" t="str">
        <f>HYPERLINK("Melting_Curves/meltCurve_F8WE91_DNMT3A.pdf", "Melting_Curves/meltCurve_F8WE91_DNMT3A.pdf")</f>
        <v>Melting_Curves/meltCurve_F8WE91_DNMT3A.pdf</v>
      </c>
    </row>
    <row r="815" spans="1:28" x14ac:dyDescent="0.25">
      <c r="A815" t="s">
        <v>819</v>
      </c>
      <c r="B815">
        <v>0.99252571173614901</v>
      </c>
      <c r="C815">
        <v>1.1013934004108901</v>
      </c>
      <c r="D815">
        <v>1.0417040805126001</v>
      </c>
      <c r="E815">
        <v>0.73080931415158401</v>
      </c>
      <c r="F815">
        <v>0.395590789962522</v>
      </c>
      <c r="G815">
        <v>8.5862880219705395E-2</v>
      </c>
      <c r="H815">
        <v>7.0372551445682899E-2</v>
      </c>
      <c r="I815">
        <v>6.7494089485836295E-2</v>
      </c>
      <c r="J815">
        <v>0.14290351058849601</v>
      </c>
      <c r="K815">
        <v>9.6246097116521406E-2</v>
      </c>
      <c r="L815">
        <v>1496.94341367634</v>
      </c>
      <c r="M815">
        <v>29.0446660382913</v>
      </c>
      <c r="N815">
        <v>51.866373766219098</v>
      </c>
      <c r="O815">
        <v>51.296889029743603</v>
      </c>
      <c r="P815">
        <v>-0.12970932748052</v>
      </c>
      <c r="Q815">
        <v>8.3668461513055598E-2</v>
      </c>
      <c r="R815">
        <v>0.98450764103022903</v>
      </c>
      <c r="S815" t="s">
        <v>7461</v>
      </c>
      <c r="T815" t="s">
        <v>13290</v>
      </c>
      <c r="U815" t="s">
        <v>13290</v>
      </c>
      <c r="V815" t="s">
        <v>13290</v>
      </c>
      <c r="W815" t="s">
        <v>14091</v>
      </c>
      <c r="X815">
        <v>4</v>
      </c>
      <c r="Y815" t="s">
        <v>20678</v>
      </c>
      <c r="Z815" t="s">
        <v>27145</v>
      </c>
      <c r="AA815">
        <v>0.44232966516934052</v>
      </c>
      <c r="AB815" t="str">
        <f>HYPERLINK("Melting_Curves/meltCurve_F8WEA9_KSR1.pdf", "Melting_Curves/meltCurve_F8WEA9_KSR1.pdf")</f>
        <v>Melting_Curves/meltCurve_F8WEA9_KSR1.pdf</v>
      </c>
    </row>
    <row r="816" spans="1:28" x14ac:dyDescent="0.25">
      <c r="A816" t="s">
        <v>820</v>
      </c>
      <c r="B816">
        <v>0.99252571173614901</v>
      </c>
      <c r="C816">
        <v>1.13643443465384</v>
      </c>
      <c r="D816">
        <v>1.1434857047876701</v>
      </c>
      <c r="E816">
        <v>0.89387665980518505</v>
      </c>
      <c r="F816">
        <v>0.95543392126721605</v>
      </c>
      <c r="G816">
        <v>0.50460194476894005</v>
      </c>
      <c r="H816">
        <v>0.49125632119328799</v>
      </c>
      <c r="I816">
        <v>0.56643705107630604</v>
      </c>
      <c r="J816">
        <v>0.72358099767916695</v>
      </c>
      <c r="K816">
        <v>0.687802753178269</v>
      </c>
      <c r="L816">
        <v>13411.2437619796</v>
      </c>
      <c r="M816">
        <v>250</v>
      </c>
      <c r="O816">
        <v>53.641542141313501</v>
      </c>
      <c r="P816">
        <v>-0.47219026979402201</v>
      </c>
      <c r="Q816">
        <v>0.59473577250175902</v>
      </c>
      <c r="R816">
        <v>0.82834539527737605</v>
      </c>
      <c r="S816" t="s">
        <v>7462</v>
      </c>
      <c r="T816" t="s">
        <v>13290</v>
      </c>
      <c r="U816" t="s">
        <v>13290</v>
      </c>
      <c r="V816" t="s">
        <v>13290</v>
      </c>
      <c r="W816" t="s">
        <v>14092</v>
      </c>
      <c r="X816">
        <v>5</v>
      </c>
      <c r="Y816" t="s">
        <v>20679</v>
      </c>
      <c r="Z816" t="s">
        <v>27146</v>
      </c>
      <c r="AA816">
        <v>0.7791012689476654</v>
      </c>
      <c r="AB816" t="str">
        <f>HYPERLINK("Melting_Curves/meltCurve_F8WEE4_ZFAND2B.pdf", "Melting_Curves/meltCurve_F8WEE4_ZFAND2B.pdf")</f>
        <v>Melting_Curves/meltCurve_F8WEE4_ZFAND2B.pdf</v>
      </c>
    </row>
    <row r="817" spans="1:28" x14ac:dyDescent="0.25">
      <c r="A817" t="s">
        <v>821</v>
      </c>
      <c r="B817">
        <v>0.99252571173614901</v>
      </c>
      <c r="C817">
        <v>0.92499628429337699</v>
      </c>
      <c r="D817">
        <v>0.88779695111232304</v>
      </c>
      <c r="E817">
        <v>0.79187735028389195</v>
      </c>
      <c r="F817">
        <v>0.54661365972480802</v>
      </c>
      <c r="G817">
        <v>0.36103317275555902</v>
      </c>
      <c r="H817">
        <v>0.31436087526780898</v>
      </c>
      <c r="I817">
        <v>0.33350706257940499</v>
      </c>
      <c r="J817">
        <v>0.40857869103596101</v>
      </c>
      <c r="K817">
        <v>0.33690013359724902</v>
      </c>
      <c r="L817">
        <v>1034.34066918243</v>
      </c>
      <c r="M817">
        <v>20.290420379882001</v>
      </c>
      <c r="N817">
        <v>53.873544513278603</v>
      </c>
      <c r="O817">
        <v>50.489392643175002</v>
      </c>
      <c r="P817">
        <v>-6.7109119176306006E-2</v>
      </c>
      <c r="Q817">
        <v>0.332060274248206</v>
      </c>
      <c r="R817">
        <v>0.97685183828239197</v>
      </c>
      <c r="S817" t="s">
        <v>7463</v>
      </c>
      <c r="T817" t="s">
        <v>13290</v>
      </c>
      <c r="U817" t="s">
        <v>13290</v>
      </c>
      <c r="V817" t="s">
        <v>13290</v>
      </c>
      <c r="W817" t="s">
        <v>14093</v>
      </c>
      <c r="X817">
        <v>8</v>
      </c>
      <c r="Y817" t="s">
        <v>20680</v>
      </c>
      <c r="Z817" t="s">
        <v>27147</v>
      </c>
      <c r="AA817">
        <v>0.58547985528704205</v>
      </c>
      <c r="AB817" t="str">
        <f>HYPERLINK("Melting_Curves/meltCurve_F8WF48_SEC62.pdf", "Melting_Curves/meltCurve_F8WF48_SEC62.pdf")</f>
        <v>Melting_Curves/meltCurve_F8WF48_SEC62.pdf</v>
      </c>
    </row>
    <row r="818" spans="1:28" x14ac:dyDescent="0.25">
      <c r="A818" t="s">
        <v>822</v>
      </c>
      <c r="B818">
        <v>0.99252571173614901</v>
      </c>
      <c r="C818">
        <v>0.89941551212304804</v>
      </c>
      <c r="D818">
        <v>0.97095431271767096</v>
      </c>
      <c r="E818">
        <v>0.95966781311897398</v>
      </c>
      <c r="F818">
        <v>0.46268542426966103</v>
      </c>
      <c r="G818">
        <v>0.20069160495462801</v>
      </c>
      <c r="H818">
        <v>8.2161037426142003E-2</v>
      </c>
      <c r="I818">
        <v>0.100064819505012</v>
      </c>
      <c r="J818">
        <v>0.109517155740691</v>
      </c>
      <c r="K818">
        <v>0.113828681590444</v>
      </c>
      <c r="L818">
        <v>2087.3913176625301</v>
      </c>
      <c r="M818">
        <v>39.578594972096802</v>
      </c>
      <c r="N818">
        <v>53.067514090549501</v>
      </c>
      <c r="O818">
        <v>52.606306571039198</v>
      </c>
      <c r="P818">
        <v>-0.16773146978179099</v>
      </c>
      <c r="Q818">
        <v>0.108233726112431</v>
      </c>
      <c r="R818">
        <v>0.99057785842960899</v>
      </c>
      <c r="S818" t="s">
        <v>7464</v>
      </c>
      <c r="T818" t="s">
        <v>13290</v>
      </c>
      <c r="U818" t="s">
        <v>13290</v>
      </c>
      <c r="V818" t="s">
        <v>13290</v>
      </c>
      <c r="W818" t="s">
        <v>14094</v>
      </c>
      <c r="X818">
        <v>1</v>
      </c>
      <c r="Y818" t="s">
        <v>20681</v>
      </c>
      <c r="Z818" t="s">
        <v>27148</v>
      </c>
      <c r="AA818">
        <v>0.49026724112408981</v>
      </c>
      <c r="AB818" t="str">
        <f>HYPERLINK("Melting_Curves/meltCurve_F8WF93_ALG3.pdf", "Melting_Curves/meltCurve_F8WF93_ALG3.pdf")</f>
        <v>Melting_Curves/meltCurve_F8WF93_ALG3.pdf</v>
      </c>
    </row>
    <row r="819" spans="1:28" x14ac:dyDescent="0.25">
      <c r="A819" t="s">
        <v>823</v>
      </c>
      <c r="B819">
        <v>0.99252571173614901</v>
      </c>
      <c r="C819">
        <v>0.99853923577501902</v>
      </c>
      <c r="D819">
        <v>1.0465304023429201</v>
      </c>
      <c r="E819">
        <v>1.1833583500547</v>
      </c>
      <c r="F819">
        <v>1.27394864310272</v>
      </c>
      <c r="G819">
        <v>0.36443135879285699</v>
      </c>
      <c r="H819">
        <v>0.111294256780313</v>
      </c>
      <c r="I819">
        <v>0.102798466331885</v>
      </c>
      <c r="J819">
        <v>0.12150193811523401</v>
      </c>
      <c r="K819">
        <v>0.119148237921594</v>
      </c>
      <c r="L819">
        <v>14147.171456337999</v>
      </c>
      <c r="M819">
        <v>250</v>
      </c>
      <c r="N819">
        <v>56.647138458094901</v>
      </c>
      <c r="O819">
        <v>56.585064521915399</v>
      </c>
      <c r="P819">
        <v>-0.97896228525505002</v>
      </c>
      <c r="Q819">
        <v>0.11368569578278399</v>
      </c>
      <c r="R819">
        <v>0.951664739161039</v>
      </c>
      <c r="S819" t="s">
        <v>7465</v>
      </c>
      <c r="T819" t="s">
        <v>13290</v>
      </c>
      <c r="U819" t="s">
        <v>13290</v>
      </c>
      <c r="V819" t="s">
        <v>13290</v>
      </c>
      <c r="W819" t="s">
        <v>14095</v>
      </c>
      <c r="X819">
        <v>23</v>
      </c>
      <c r="Y819" t="s">
        <v>20682</v>
      </c>
      <c r="Z819" t="s">
        <v>27149</v>
      </c>
      <c r="AA819">
        <v>0.60386670216781291</v>
      </c>
      <c r="AB819" t="str">
        <f>HYPERLINK("Melting_Curves/meltCurve_G3V0I5_NDUFV1.pdf", "Melting_Curves/meltCurve_G3V0I5_NDUFV1.pdf")</f>
        <v>Melting_Curves/meltCurve_G3V0I5_NDUFV1.pdf</v>
      </c>
    </row>
    <row r="820" spans="1:28" x14ac:dyDescent="0.25">
      <c r="A820" t="s">
        <v>824</v>
      </c>
      <c r="B820">
        <v>0.99252571173614901</v>
      </c>
      <c r="C820">
        <v>0.92220149330377099</v>
      </c>
      <c r="D820">
        <v>0.84700512504134595</v>
      </c>
      <c r="E820">
        <v>0.69136697651794798</v>
      </c>
      <c r="F820">
        <v>0.24593001349870999</v>
      </c>
      <c r="G820">
        <v>0.14929760172929299</v>
      </c>
      <c r="H820">
        <v>0.105250184857669</v>
      </c>
      <c r="I820">
        <v>0.105570253018909</v>
      </c>
      <c r="J820">
        <v>0.150390262610229</v>
      </c>
      <c r="K820">
        <v>0.15743873728289901</v>
      </c>
      <c r="L820">
        <v>1271.6367075841299</v>
      </c>
      <c r="M820">
        <v>25.312526755933298</v>
      </c>
      <c r="N820">
        <v>50.776570755032402</v>
      </c>
      <c r="O820">
        <v>49.927042216043397</v>
      </c>
      <c r="P820">
        <v>-0.111813038832888</v>
      </c>
      <c r="Q820">
        <v>0.117840289347057</v>
      </c>
      <c r="R820">
        <v>0.98487830539403098</v>
      </c>
      <c r="S820" t="s">
        <v>7466</v>
      </c>
      <c r="T820" t="s">
        <v>13290</v>
      </c>
      <c r="U820" t="s">
        <v>13290</v>
      </c>
      <c r="V820" t="s">
        <v>13290</v>
      </c>
      <c r="W820" t="s">
        <v>14096</v>
      </c>
      <c r="X820">
        <v>7</v>
      </c>
      <c r="Y820" t="s">
        <v>20683</v>
      </c>
      <c r="Z820" t="s">
        <v>27150</v>
      </c>
      <c r="AA820">
        <v>0.42658552523231158</v>
      </c>
      <c r="AB820" t="str">
        <f>HYPERLINK("Melting_Curves/meltCurve_G3V0I6_OTUD4.pdf", "Melting_Curves/meltCurve_G3V0I6_OTUD4.pdf")</f>
        <v>Melting_Curves/meltCurve_G3V0I6_OTUD4.pdf</v>
      </c>
    </row>
    <row r="821" spans="1:28" x14ac:dyDescent="0.25">
      <c r="A821" t="s">
        <v>825</v>
      </c>
      <c r="B821">
        <v>0.99252571173614901</v>
      </c>
      <c r="C821">
        <v>0.81893279959921805</v>
      </c>
      <c r="D821">
        <v>0.74904731253769197</v>
      </c>
      <c r="E821">
        <v>0.58251389445538104</v>
      </c>
      <c r="F821">
        <v>0.22354625038797499</v>
      </c>
      <c r="G821">
        <v>0.10920309485424699</v>
      </c>
      <c r="H821">
        <v>5.7917038248643797E-2</v>
      </c>
      <c r="I821">
        <v>5.9444098993060801E-2</v>
      </c>
      <c r="J821">
        <v>6.0739963315513998E-2</v>
      </c>
      <c r="K821">
        <v>5.8943823769421699E-2</v>
      </c>
      <c r="L821">
        <v>731.58219921204602</v>
      </c>
      <c r="M821">
        <v>14.8089355417028</v>
      </c>
      <c r="N821">
        <v>49.5436068322118</v>
      </c>
      <c r="O821">
        <v>48.526813145490401</v>
      </c>
      <c r="P821">
        <v>-7.4713021857833503E-2</v>
      </c>
      <c r="Q821">
        <v>2.0807449237264599E-2</v>
      </c>
      <c r="R821">
        <v>0.98332118062992202</v>
      </c>
      <c r="S821" t="s">
        <v>7467</v>
      </c>
      <c r="T821" t="s">
        <v>13290</v>
      </c>
      <c r="U821" t="s">
        <v>13290</v>
      </c>
      <c r="V821" t="s">
        <v>13290</v>
      </c>
      <c r="W821" t="s">
        <v>14097</v>
      </c>
      <c r="X821">
        <v>9</v>
      </c>
      <c r="Y821" t="s">
        <v>20684</v>
      </c>
      <c r="Z821" t="s">
        <v>27151</v>
      </c>
      <c r="AA821">
        <v>0.35205422051774687</v>
      </c>
      <c r="AB821" t="str">
        <f>HYPERLINK("Melting_Curves/meltCurve_G3V145_SDR16C5.pdf", "Melting_Curves/meltCurve_G3V145_SDR16C5.pdf")</f>
        <v>Melting_Curves/meltCurve_G3V145_SDR16C5.pdf</v>
      </c>
    </row>
    <row r="822" spans="1:28" x14ac:dyDescent="0.25">
      <c r="A822" t="s">
        <v>826</v>
      </c>
      <c r="B822">
        <v>0.99252571173614901</v>
      </c>
      <c r="C822">
        <v>0.954599585296522</v>
      </c>
      <c r="D822">
        <v>0.54437575570913799</v>
      </c>
      <c r="E822">
        <v>0.23290427622999099</v>
      </c>
      <c r="F822">
        <v>0.1131650457596</v>
      </c>
      <c r="G822">
        <v>6.5182983075517398E-2</v>
      </c>
      <c r="H822">
        <v>4.8057576797045698E-2</v>
      </c>
      <c r="I822">
        <v>4.5132227006438597E-2</v>
      </c>
      <c r="J822">
        <v>3.3568123626196399E-2</v>
      </c>
      <c r="K822">
        <v>4.3070941747153202E-2</v>
      </c>
      <c r="L822">
        <v>1198.0755297486601</v>
      </c>
      <c r="M822">
        <v>25.795368613457502</v>
      </c>
      <c r="N822">
        <v>46.643646731039802</v>
      </c>
      <c r="O822">
        <v>46.168954354997901</v>
      </c>
      <c r="P822">
        <v>-0.132427853863513</v>
      </c>
      <c r="Q822">
        <v>5.1925841661543098E-2</v>
      </c>
      <c r="R822">
        <v>0.99493699565335503</v>
      </c>
      <c r="S822" t="s">
        <v>7468</v>
      </c>
      <c r="T822" t="s">
        <v>13290</v>
      </c>
      <c r="U822" t="s">
        <v>13290</v>
      </c>
      <c r="V822" t="s">
        <v>13290</v>
      </c>
      <c r="W822" t="s">
        <v>14098</v>
      </c>
      <c r="X822">
        <v>4</v>
      </c>
      <c r="Y822" t="s">
        <v>20685</v>
      </c>
      <c r="Z822" t="s">
        <v>27152</v>
      </c>
      <c r="AA822">
        <v>0.2636217558283519</v>
      </c>
      <c r="AB822" t="str">
        <f>HYPERLINK("Melting_Curves/meltCurve_G3V1A6_GSDMD.pdf", "Melting_Curves/meltCurve_G3V1A6_GSDMD.pdf")</f>
        <v>Melting_Curves/meltCurve_G3V1A6_GSDMD.pdf</v>
      </c>
    </row>
    <row r="823" spans="1:28" x14ac:dyDescent="0.25">
      <c r="A823" t="s">
        <v>827</v>
      </c>
      <c r="B823">
        <v>0.99252571173614901</v>
      </c>
      <c r="C823">
        <v>1.03872408751795</v>
      </c>
      <c r="D823">
        <v>0.96885746183402799</v>
      </c>
      <c r="E823">
        <v>0.87089323688977405</v>
      </c>
      <c r="F823">
        <v>0.516635913096675</v>
      </c>
      <c r="G823">
        <v>0.12921170311289501</v>
      </c>
      <c r="H823">
        <v>6.7699352059970797E-2</v>
      </c>
      <c r="I823">
        <v>6.4404369331311107E-2</v>
      </c>
      <c r="J823">
        <v>7.0451846024747994E-2</v>
      </c>
      <c r="K823">
        <v>6.8215765237874704E-2</v>
      </c>
      <c r="L823">
        <v>1634.22775002089</v>
      </c>
      <c r="M823">
        <v>30.867367623893202</v>
      </c>
      <c r="N823">
        <v>53.1528456504536</v>
      </c>
      <c r="O823">
        <v>52.722832554676799</v>
      </c>
      <c r="P823">
        <v>-0.13799106648662801</v>
      </c>
      <c r="Q823">
        <v>5.7226310764616699E-2</v>
      </c>
      <c r="R823">
        <v>0.99745162134673104</v>
      </c>
      <c r="S823" t="s">
        <v>7469</v>
      </c>
      <c r="T823" t="s">
        <v>13290</v>
      </c>
      <c r="U823" t="s">
        <v>13290</v>
      </c>
      <c r="V823" t="s">
        <v>13290</v>
      </c>
      <c r="W823" t="s">
        <v>14099</v>
      </c>
      <c r="X823">
        <v>33</v>
      </c>
      <c r="Y823" t="s">
        <v>20686</v>
      </c>
      <c r="Z823" t="s">
        <v>27153</v>
      </c>
      <c r="AA823">
        <v>0.46976367102146699</v>
      </c>
      <c r="AB823" t="str">
        <f>HYPERLINK("Melting_Curves/meltCurve_G3V1D3_DPP3.pdf", "Melting_Curves/meltCurve_G3V1D3_DPP3.pdf")</f>
        <v>Melting_Curves/meltCurve_G3V1D3_DPP3.pdf</v>
      </c>
    </row>
    <row r="824" spans="1:28" x14ac:dyDescent="0.25">
      <c r="A824" t="s">
        <v>828</v>
      </c>
      <c r="B824">
        <v>0.99252571173614901</v>
      </c>
      <c r="C824">
        <v>0.93526693523038695</v>
      </c>
      <c r="D824">
        <v>0.832993353187231</v>
      </c>
      <c r="E824">
        <v>0.47878616396971502</v>
      </c>
      <c r="F824">
        <v>0.231065363533455</v>
      </c>
      <c r="G824">
        <v>7.3262205618457796E-2</v>
      </c>
      <c r="H824">
        <v>4.5767582823574501E-2</v>
      </c>
      <c r="I824">
        <v>4.5893401367968399E-2</v>
      </c>
      <c r="J824">
        <v>4.4598204454781E-2</v>
      </c>
      <c r="K824">
        <v>3.79169010752511E-2</v>
      </c>
      <c r="L824">
        <v>1002.31950920645</v>
      </c>
      <c r="M824">
        <v>20.317901576071598</v>
      </c>
      <c r="N824">
        <v>49.494232057941801</v>
      </c>
      <c r="O824">
        <v>48.8614206737955</v>
      </c>
      <c r="P824">
        <v>-0.100607794432072</v>
      </c>
      <c r="Q824">
        <v>3.2244703064909903E-2</v>
      </c>
      <c r="R824">
        <v>0.99883713367756499</v>
      </c>
      <c r="S824" t="s">
        <v>7470</v>
      </c>
      <c r="T824" t="s">
        <v>13290</v>
      </c>
      <c r="U824" t="s">
        <v>13290</v>
      </c>
      <c r="V824" t="s">
        <v>13290</v>
      </c>
      <c r="W824" t="s">
        <v>14100</v>
      </c>
      <c r="X824">
        <v>5</v>
      </c>
      <c r="Y824" t="s">
        <v>20687</v>
      </c>
      <c r="Z824" t="s">
        <v>27154</v>
      </c>
      <c r="AA824">
        <v>0.34637434350699869</v>
      </c>
      <c r="AB824" t="str">
        <f>HYPERLINK("Melting_Curves/meltCurve_G3V1K3_PON2.pdf", "Melting_Curves/meltCurve_G3V1K3_PON2.pdf")</f>
        <v>Melting_Curves/meltCurve_G3V1K3_PON2.pdf</v>
      </c>
    </row>
    <row r="825" spans="1:28" x14ac:dyDescent="0.25">
      <c r="A825" t="s">
        <v>829</v>
      </c>
      <c r="B825">
        <v>0.99252571173614901</v>
      </c>
      <c r="C825">
        <v>1.0636235958290401</v>
      </c>
      <c r="D825">
        <v>0.93446685212778702</v>
      </c>
      <c r="E825">
        <v>0.90941855201834598</v>
      </c>
      <c r="F825">
        <v>0.78236974303391604</v>
      </c>
      <c r="G825">
        <v>0.54583583381213197</v>
      </c>
      <c r="H825">
        <v>0.26233532635657197</v>
      </c>
      <c r="I825">
        <v>0.21495784523605899</v>
      </c>
      <c r="J825">
        <v>0.205204997171823</v>
      </c>
      <c r="K825">
        <v>0.17094169477106</v>
      </c>
      <c r="L825">
        <v>1082.8926685075401</v>
      </c>
      <c r="M825">
        <v>19.330571242541101</v>
      </c>
      <c r="N825">
        <v>57.0749646478315</v>
      </c>
      <c r="O825">
        <v>55.4305078581679</v>
      </c>
      <c r="P825">
        <v>-7.4086685180694001E-2</v>
      </c>
      <c r="Q825">
        <v>0.15025590820812201</v>
      </c>
      <c r="R825">
        <v>0.99110582419075499</v>
      </c>
      <c r="S825" t="s">
        <v>7471</v>
      </c>
      <c r="T825" t="s">
        <v>13290</v>
      </c>
      <c r="U825" t="s">
        <v>13290</v>
      </c>
      <c r="V825" t="s">
        <v>13290</v>
      </c>
      <c r="W825" t="s">
        <v>14101</v>
      </c>
      <c r="X825">
        <v>13</v>
      </c>
      <c r="Y825" t="s">
        <v>20688</v>
      </c>
      <c r="Z825" t="s">
        <v>27155</v>
      </c>
      <c r="AA825">
        <v>0.61545385686342491</v>
      </c>
      <c r="AB825" t="str">
        <f>HYPERLINK("Melting_Curves/meltCurve_G3V1P3_LOH12CR1.pdf", "Melting_Curves/meltCurve_G3V1P3_LOH12CR1.pdf")</f>
        <v>Melting_Curves/meltCurve_G3V1P3_LOH12CR1.pdf</v>
      </c>
    </row>
    <row r="826" spans="1:28" x14ac:dyDescent="0.25">
      <c r="A826" t="s">
        <v>830</v>
      </c>
      <c r="B826">
        <v>0.99252571173614901</v>
      </c>
      <c r="C826">
        <v>0.94159545978107795</v>
      </c>
      <c r="D826">
        <v>1.0184003881108199</v>
      </c>
      <c r="E826">
        <v>1.06179660914413</v>
      </c>
      <c r="F826">
        <v>1.0084177105668799</v>
      </c>
      <c r="G826">
        <v>0.86340726478140495</v>
      </c>
      <c r="H826">
        <v>1.05688584673132</v>
      </c>
      <c r="I826">
        <v>1.19650092736254</v>
      </c>
      <c r="J826">
        <v>1.39154421492986</v>
      </c>
      <c r="K826">
        <v>1.0363458493254101</v>
      </c>
      <c r="L826">
        <v>5858.7451776542603</v>
      </c>
      <c r="M826">
        <v>95.349376637181294</v>
      </c>
      <c r="O826">
        <v>61.418015164216797</v>
      </c>
      <c r="P826">
        <v>8.1420440199360899E-2</v>
      </c>
      <c r="Q826">
        <v>1.20978349821744</v>
      </c>
      <c r="R826">
        <v>0.53001310828640602</v>
      </c>
      <c r="S826" t="s">
        <v>7472</v>
      </c>
      <c r="T826" t="s">
        <v>13290</v>
      </c>
      <c r="U826" t="s">
        <v>13290</v>
      </c>
      <c r="V826" t="s">
        <v>13290</v>
      </c>
      <c r="W826" t="s">
        <v>14102</v>
      </c>
      <c r="X826">
        <v>16</v>
      </c>
      <c r="Y826" t="s">
        <v>20689</v>
      </c>
      <c r="Z826" t="s">
        <v>27156</v>
      </c>
      <c r="AA826">
        <v>1.059667393847487</v>
      </c>
      <c r="AB826" t="str">
        <f>HYPERLINK("Melting_Curves/meltCurve_G3V1R9_ISYNA1.pdf", "Melting_Curves/meltCurve_G3V1R9_ISYNA1.pdf")</f>
        <v>Melting_Curves/meltCurve_G3V1R9_ISYNA1.pdf</v>
      </c>
    </row>
    <row r="827" spans="1:28" x14ac:dyDescent="0.25">
      <c r="A827" t="s">
        <v>831</v>
      </c>
      <c r="B827">
        <v>0.99252571173614901</v>
      </c>
      <c r="C827">
        <v>0.94670661017386404</v>
      </c>
      <c r="D827">
        <v>0.60983322041253096</v>
      </c>
      <c r="E827">
        <v>0.29872903926672101</v>
      </c>
      <c r="F827">
        <v>0.13688163073038401</v>
      </c>
      <c r="G827">
        <v>8.88946513094169E-2</v>
      </c>
      <c r="H827">
        <v>7.5180152779926498E-2</v>
      </c>
      <c r="I827">
        <v>8.99886236401303E-2</v>
      </c>
      <c r="J827">
        <v>0.130165318185963</v>
      </c>
      <c r="K827">
        <v>0.14080252638523</v>
      </c>
      <c r="L827">
        <v>1185.20935629375</v>
      </c>
      <c r="M827">
        <v>25.380244364350698</v>
      </c>
      <c r="N827">
        <v>47.132680419521002</v>
      </c>
      <c r="O827">
        <v>46.411100937374002</v>
      </c>
      <c r="P827">
        <v>-0.12245373917256901</v>
      </c>
      <c r="Q827">
        <v>0.104320702910109</v>
      </c>
      <c r="R827">
        <v>0.99449861886732405</v>
      </c>
      <c r="S827" t="s">
        <v>7473</v>
      </c>
      <c r="T827" t="s">
        <v>13290</v>
      </c>
      <c r="U827" t="s">
        <v>13290</v>
      </c>
      <c r="V827" t="s">
        <v>13290</v>
      </c>
      <c r="W827" t="s">
        <v>14103</v>
      </c>
      <c r="X827">
        <v>7</v>
      </c>
      <c r="Y827" t="s">
        <v>20690</v>
      </c>
      <c r="Z827" t="s">
        <v>27157</v>
      </c>
      <c r="AA827">
        <v>0.31208609549970978</v>
      </c>
      <c r="AB827" t="str">
        <f>HYPERLINK("Melting_Curves/meltCurve_G3V1U0_ATF7IP.pdf", "Melting_Curves/meltCurve_G3V1U0_ATF7IP.pdf")</f>
        <v>Melting_Curves/meltCurve_G3V1U0_ATF7IP.pdf</v>
      </c>
    </row>
    <row r="828" spans="1:28" x14ac:dyDescent="0.25">
      <c r="A828" t="s">
        <v>832</v>
      </c>
      <c r="B828">
        <v>0.99252571173614901</v>
      </c>
      <c r="C828">
        <v>0.83234089440791703</v>
      </c>
      <c r="D828">
        <v>0.80751226796168296</v>
      </c>
      <c r="E828">
        <v>0.51221041891041197</v>
      </c>
      <c r="F828">
        <v>0.58000154405305304</v>
      </c>
      <c r="G828">
        <v>0.40709501970579698</v>
      </c>
      <c r="H828">
        <v>0.34181472167761801</v>
      </c>
      <c r="I828">
        <v>0.36078330146814303</v>
      </c>
      <c r="J828">
        <v>0.48200964988812001</v>
      </c>
      <c r="K828">
        <v>0.39667927225384098</v>
      </c>
      <c r="L828">
        <v>703.10325281191399</v>
      </c>
      <c r="M828">
        <v>14.918009367263499</v>
      </c>
      <c r="N828">
        <v>52.454978593786997</v>
      </c>
      <c r="O828">
        <v>46.308586885548699</v>
      </c>
      <c r="P828">
        <v>-4.9132453545141501E-2</v>
      </c>
      <c r="Q828">
        <v>0.38999385879396098</v>
      </c>
      <c r="R828">
        <v>0.92225151246923398</v>
      </c>
      <c r="S828" t="s">
        <v>7474</v>
      </c>
      <c r="T828" t="s">
        <v>13290</v>
      </c>
      <c r="U828" t="s">
        <v>13290</v>
      </c>
      <c r="V828" t="s">
        <v>13290</v>
      </c>
      <c r="W828" t="s">
        <v>14104</v>
      </c>
      <c r="X828">
        <v>2</v>
      </c>
      <c r="Y828" t="s">
        <v>20691</v>
      </c>
      <c r="Z828" t="s">
        <v>27158</v>
      </c>
      <c r="AA828">
        <v>0.55162231049436472</v>
      </c>
      <c r="AB828" t="str">
        <f>HYPERLINK("Melting_Curves/meltCurve_G3V1U5_GOLT1B.pdf", "Melting_Curves/meltCurve_G3V1U5_GOLT1B.pdf")</f>
        <v>Melting_Curves/meltCurve_G3V1U5_GOLT1B.pdf</v>
      </c>
    </row>
    <row r="829" spans="1:28" x14ac:dyDescent="0.25">
      <c r="A829" t="s">
        <v>833</v>
      </c>
      <c r="B829">
        <v>0.99252571173614901</v>
      </c>
      <c r="C829">
        <v>0.97803596722150099</v>
      </c>
      <c r="D829">
        <v>0.95549951528785204</v>
      </c>
      <c r="E829">
        <v>0.86252574177644803</v>
      </c>
      <c r="F829">
        <v>0.66987359645352496</v>
      </c>
      <c r="G829">
        <v>0.37136737303198802</v>
      </c>
      <c r="H829">
        <v>0.32100444232671999</v>
      </c>
      <c r="I829">
        <v>0.266940984899183</v>
      </c>
      <c r="J829">
        <v>0.31716889232554202</v>
      </c>
      <c r="K829">
        <v>0.29869309074755601</v>
      </c>
      <c r="L829">
        <v>1261.36657734958</v>
      </c>
      <c r="M829">
        <v>23.762308201602298</v>
      </c>
      <c r="N829">
        <v>55.023183352886903</v>
      </c>
      <c r="O829">
        <v>52.711001445603699</v>
      </c>
      <c r="P829">
        <v>-8.0726752433436993E-2</v>
      </c>
      <c r="Q829">
        <v>0.28371975962502399</v>
      </c>
      <c r="R829">
        <v>0.99305393442673895</v>
      </c>
      <c r="S829" t="s">
        <v>7475</v>
      </c>
      <c r="T829" t="s">
        <v>13290</v>
      </c>
      <c r="U829" t="s">
        <v>13290</v>
      </c>
      <c r="V829" t="s">
        <v>13290</v>
      </c>
      <c r="W829" t="s">
        <v>14105</v>
      </c>
      <c r="X829">
        <v>1</v>
      </c>
      <c r="Y829" t="s">
        <v>20692</v>
      </c>
      <c r="Z829" t="s">
        <v>27159</v>
      </c>
      <c r="AA829">
        <v>0.60333275559557142</v>
      </c>
      <c r="AB829" t="str">
        <f>HYPERLINK("Melting_Curves/meltCurve_G3V1V1_ZCRB1.pdf", "Melting_Curves/meltCurve_G3V1V1_ZCRB1.pdf")</f>
        <v>Melting_Curves/meltCurve_G3V1V1_ZCRB1.pdf</v>
      </c>
    </row>
    <row r="830" spans="1:28" x14ac:dyDescent="0.25">
      <c r="A830" t="s">
        <v>834</v>
      </c>
      <c r="B830">
        <v>0.99252571173614901</v>
      </c>
      <c r="C830">
        <v>0.90372312608426897</v>
      </c>
      <c r="D830">
        <v>0.86238491687639396</v>
      </c>
      <c r="E830">
        <v>0.83115894474325103</v>
      </c>
      <c r="F830">
        <v>0.51450096959482705</v>
      </c>
      <c r="G830">
        <v>0.30215162711172999</v>
      </c>
      <c r="H830">
        <v>0.17400621428816701</v>
      </c>
      <c r="I830">
        <v>0.20412761104643501</v>
      </c>
      <c r="J830">
        <v>0.25767421364937299</v>
      </c>
      <c r="K830">
        <v>0.24951459544159399</v>
      </c>
      <c r="L830">
        <v>1100.42361782596</v>
      </c>
      <c r="M830">
        <v>21.183154945118101</v>
      </c>
      <c r="N830">
        <v>53.287601674878097</v>
      </c>
      <c r="O830">
        <v>51.491754439953702</v>
      </c>
      <c r="P830">
        <v>-8.1618079814810798E-2</v>
      </c>
      <c r="Q830">
        <v>0.206435811877415</v>
      </c>
      <c r="R830">
        <v>0.97351997189647899</v>
      </c>
      <c r="S830" t="s">
        <v>7476</v>
      </c>
      <c r="T830" t="s">
        <v>13290</v>
      </c>
      <c r="U830" t="s">
        <v>13290</v>
      </c>
      <c r="V830" t="s">
        <v>13290</v>
      </c>
      <c r="W830" t="s">
        <v>14106</v>
      </c>
      <c r="X830">
        <v>5</v>
      </c>
      <c r="Y830" t="s">
        <v>20693</v>
      </c>
      <c r="Z830" t="s">
        <v>27160</v>
      </c>
      <c r="AA830">
        <v>0.5323824257777352</v>
      </c>
      <c r="AB830" t="str">
        <f>HYPERLINK("Melting_Curves/meltCurve_G3V203_RPL18.pdf", "Melting_Curves/meltCurve_G3V203_RPL18.pdf")</f>
        <v>Melting_Curves/meltCurve_G3V203_RPL18.pdf</v>
      </c>
    </row>
    <row r="831" spans="1:28" x14ac:dyDescent="0.25">
      <c r="A831" t="s">
        <v>835</v>
      </c>
      <c r="B831">
        <v>0.99252571173614901</v>
      </c>
      <c r="C831">
        <v>0.89222857338693695</v>
      </c>
      <c r="D831">
        <v>0.85887841891631</v>
      </c>
      <c r="E831">
        <v>0.80299239053848004</v>
      </c>
      <c r="F831">
        <v>0.435236547045249</v>
      </c>
      <c r="G831">
        <v>0.22157785912147401</v>
      </c>
      <c r="H831">
        <v>0.104566751234397</v>
      </c>
      <c r="I831">
        <v>0.11167091729862801</v>
      </c>
      <c r="J831">
        <v>0.149556190905373</v>
      </c>
      <c r="K831">
        <v>4.3135543985965301E-2</v>
      </c>
      <c r="L831">
        <v>952.30012233765399</v>
      </c>
      <c r="M831">
        <v>18.271845450837201</v>
      </c>
      <c r="N831">
        <v>52.553372866878703</v>
      </c>
      <c r="O831">
        <v>51.506198004414401</v>
      </c>
      <c r="P831">
        <v>-8.2468279384311199E-2</v>
      </c>
      <c r="Q831">
        <v>7.0169473670307903E-2</v>
      </c>
      <c r="R831">
        <v>0.98207716573459802</v>
      </c>
      <c r="S831" t="s">
        <v>7477</v>
      </c>
      <c r="T831" t="s">
        <v>13290</v>
      </c>
      <c r="U831" t="s">
        <v>13290</v>
      </c>
      <c r="V831" t="s">
        <v>13290</v>
      </c>
      <c r="W831" t="s">
        <v>14107</v>
      </c>
      <c r="X831">
        <v>1</v>
      </c>
      <c r="Y831" t="s">
        <v>20694</v>
      </c>
      <c r="Z831" t="s">
        <v>27161</v>
      </c>
      <c r="AA831">
        <v>0.46083147532632962</v>
      </c>
      <c r="AB831" t="str">
        <f>HYPERLINK("Melting_Curves/meltCurve_G3V207_TMCC3.pdf", "Melting_Curves/meltCurve_G3V207_TMCC3.pdf")</f>
        <v>Melting_Curves/meltCurve_G3V207_TMCC3.pdf</v>
      </c>
    </row>
    <row r="832" spans="1:28" x14ac:dyDescent="0.25">
      <c r="A832" t="s">
        <v>836</v>
      </c>
      <c r="B832">
        <v>0.99252571173614901</v>
      </c>
      <c r="C832">
        <v>1.0160342719124</v>
      </c>
      <c r="D832">
        <v>0.61393747878734795</v>
      </c>
      <c r="E832">
        <v>0.31759261850076698</v>
      </c>
      <c r="F832">
        <v>0.209038789223045</v>
      </c>
      <c r="G832">
        <v>0.12557230606157599</v>
      </c>
      <c r="H832">
        <v>9.0820669326316994E-2</v>
      </c>
      <c r="I832">
        <v>0.12866686902602001</v>
      </c>
      <c r="J832">
        <v>0.179328692761447</v>
      </c>
      <c r="K832">
        <v>0.17751654878512399</v>
      </c>
      <c r="L832">
        <v>1324.2000233107201</v>
      </c>
      <c r="M832">
        <v>28.378733881863301</v>
      </c>
      <c r="N832">
        <v>47.251623853495801</v>
      </c>
      <c r="O832">
        <v>46.431844390068903</v>
      </c>
      <c r="P832">
        <v>-0.13000636604688301</v>
      </c>
      <c r="Q832">
        <v>0.14916763496027199</v>
      </c>
      <c r="R832">
        <v>0.98476015937767103</v>
      </c>
      <c r="S832" t="s">
        <v>7478</v>
      </c>
      <c r="T832" t="s">
        <v>13290</v>
      </c>
      <c r="U832" t="s">
        <v>13290</v>
      </c>
      <c r="V832" t="s">
        <v>13290</v>
      </c>
      <c r="W832" t="s">
        <v>14108</v>
      </c>
      <c r="X832">
        <v>2</v>
      </c>
      <c r="Y832" t="s">
        <v>20695</v>
      </c>
      <c r="Z832" t="s">
        <v>27162</v>
      </c>
      <c r="AA832">
        <v>0.34387956192498548</v>
      </c>
      <c r="AB832" t="str">
        <f>HYPERLINK("Melting_Curves/meltCurve_G3V238_METTL10.pdf", "Melting_Curves/meltCurve_G3V238_METTL10.pdf")</f>
        <v>Melting_Curves/meltCurve_G3V238_METTL10.pdf</v>
      </c>
    </row>
    <row r="833" spans="1:28" x14ac:dyDescent="0.25">
      <c r="A833" t="s">
        <v>837</v>
      </c>
      <c r="B833">
        <v>0.99252571173614901</v>
      </c>
      <c r="C833">
        <v>0.88012123523117802</v>
      </c>
      <c r="D833">
        <v>0.90308588819664504</v>
      </c>
      <c r="E833">
        <v>0.68944036110227902</v>
      </c>
      <c r="F833">
        <v>0.59760016407814698</v>
      </c>
      <c r="G833">
        <v>0.29012117618842798</v>
      </c>
      <c r="H833">
        <v>0.103279158736947</v>
      </c>
      <c r="I833">
        <v>8.91190108088461E-2</v>
      </c>
      <c r="J833">
        <v>9.7507526045458995E-2</v>
      </c>
      <c r="K833">
        <v>8.7807363216219098E-2</v>
      </c>
      <c r="L833">
        <v>706.29439605586504</v>
      </c>
      <c r="M833">
        <v>13.268318320319599</v>
      </c>
      <c r="N833">
        <v>53.334819775043698</v>
      </c>
      <c r="O833">
        <v>52.066057438905098</v>
      </c>
      <c r="P833">
        <v>-6.29121548556099E-2</v>
      </c>
      <c r="Q833">
        <v>1.2669597342502399E-2</v>
      </c>
      <c r="R833">
        <v>0.981654434926297</v>
      </c>
      <c r="S833" t="s">
        <v>7479</v>
      </c>
      <c r="T833" t="s">
        <v>13290</v>
      </c>
      <c r="U833" t="s">
        <v>13290</v>
      </c>
      <c r="V833" t="s">
        <v>13290</v>
      </c>
      <c r="W833" t="s">
        <v>14109</v>
      </c>
      <c r="X833">
        <v>20</v>
      </c>
      <c r="Y833" t="s">
        <v>19905</v>
      </c>
      <c r="Z833" t="s">
        <v>27163</v>
      </c>
      <c r="AA833">
        <v>0.47274860549785269</v>
      </c>
      <c r="AB833" t="str">
        <f>HYPERLINK("Melting_Curves/meltCurve_G3V2F7_TMEM189.pdf", "Melting_Curves/meltCurve_G3V2F7_TMEM189.pdf")</f>
        <v>Melting_Curves/meltCurve_G3V2F7_TMEM189.pdf</v>
      </c>
    </row>
    <row r="834" spans="1:28" x14ac:dyDescent="0.25">
      <c r="A834" t="s">
        <v>838</v>
      </c>
      <c r="B834">
        <v>0.99252571173614901</v>
      </c>
      <c r="C834">
        <v>1.0537090210914599</v>
      </c>
      <c r="D834">
        <v>0.900915473209985</v>
      </c>
      <c r="E834">
        <v>0.65155167069844899</v>
      </c>
      <c r="F834">
        <v>0.501734733270911</v>
      </c>
      <c r="G834">
        <v>0.22783483645727301</v>
      </c>
      <c r="H834">
        <v>0.120327329191792</v>
      </c>
      <c r="I834">
        <v>0.12640011189179401</v>
      </c>
      <c r="J834">
        <v>0.18334007916266801</v>
      </c>
      <c r="K834">
        <v>0.18190598640675201</v>
      </c>
      <c r="L834">
        <v>963.19572307887904</v>
      </c>
      <c r="M834">
        <v>18.7799807094054</v>
      </c>
      <c r="N834">
        <v>52.169756934715501</v>
      </c>
      <c r="O834">
        <v>50.717504261710999</v>
      </c>
      <c r="P834">
        <v>-7.9991701108164601E-2</v>
      </c>
      <c r="Q834">
        <v>0.135928796011445</v>
      </c>
      <c r="R834">
        <v>0.98301035293082695</v>
      </c>
      <c r="S834" t="s">
        <v>7480</v>
      </c>
      <c r="T834" t="s">
        <v>13290</v>
      </c>
      <c r="U834" t="s">
        <v>13290</v>
      </c>
      <c r="V834" t="s">
        <v>13290</v>
      </c>
      <c r="W834" t="s">
        <v>14110</v>
      </c>
      <c r="X834">
        <v>5</v>
      </c>
      <c r="Y834" t="s">
        <v>20696</v>
      </c>
      <c r="Z834" t="s">
        <v>27164</v>
      </c>
      <c r="AA834">
        <v>0.47451017288696973</v>
      </c>
      <c r="AB834" t="str">
        <f>HYPERLINK("Melting_Curves/meltCurve_G3V2U7_ACYP1.pdf", "Melting_Curves/meltCurve_G3V2U7_ACYP1.pdf")</f>
        <v>Melting_Curves/meltCurve_G3V2U7_ACYP1.pdf</v>
      </c>
    </row>
    <row r="835" spans="1:28" x14ac:dyDescent="0.25">
      <c r="A835" t="s">
        <v>839</v>
      </c>
      <c r="B835">
        <v>0.99252571173614901</v>
      </c>
      <c r="C835">
        <v>0.86881977911869002</v>
      </c>
      <c r="D835">
        <v>0.86414669549440104</v>
      </c>
      <c r="E835">
        <v>0.64679267672677099</v>
      </c>
      <c r="F835">
        <v>0.62597642929820996</v>
      </c>
      <c r="G835">
        <v>0.47703845835699699</v>
      </c>
      <c r="H835">
        <v>0.47314453485045399</v>
      </c>
      <c r="I835">
        <v>0.51636493720439003</v>
      </c>
      <c r="J835">
        <v>0.858261392667659</v>
      </c>
      <c r="K835">
        <v>0.622413462407165</v>
      </c>
      <c r="L835">
        <v>1013.7168661818999</v>
      </c>
      <c r="M835">
        <v>21.898538624856599</v>
      </c>
      <c r="O835">
        <v>45.9106891453808</v>
      </c>
      <c r="P835">
        <v>-4.8886876656193602E-2</v>
      </c>
      <c r="Q835">
        <v>0.59004040473450203</v>
      </c>
      <c r="R835">
        <v>0.63378021875832502</v>
      </c>
      <c r="S835" t="s">
        <v>7481</v>
      </c>
      <c r="T835" t="s">
        <v>13290</v>
      </c>
      <c r="U835" t="s">
        <v>13290</v>
      </c>
      <c r="V835" t="s">
        <v>13290</v>
      </c>
      <c r="W835" t="s">
        <v>14111</v>
      </c>
      <c r="X835">
        <v>6</v>
      </c>
      <c r="Y835" t="s">
        <v>20697</v>
      </c>
      <c r="Z835" t="s">
        <v>27165</v>
      </c>
      <c r="AA835">
        <v>0.68107301477684556</v>
      </c>
      <c r="AB835" t="str">
        <f>HYPERLINK("Melting_Curves/meltCurve_G3V325_ATP5J2_PTCD1.pdf", "Melting_Curves/meltCurve_G3V325_ATP5J2_PTCD1.pdf")</f>
        <v>Melting_Curves/meltCurve_G3V325_ATP5J2_PTCD1.pdf</v>
      </c>
    </row>
    <row r="836" spans="1:28" x14ac:dyDescent="0.25">
      <c r="A836" t="s">
        <v>840</v>
      </c>
      <c r="B836">
        <v>0.99252571173614901</v>
      </c>
      <c r="C836">
        <v>0.98365247750255602</v>
      </c>
      <c r="D836">
        <v>0.94601138966162801</v>
      </c>
      <c r="E836">
        <v>0.96198671687125903</v>
      </c>
      <c r="F836">
        <v>0.59005436283134205</v>
      </c>
      <c r="G836">
        <v>0.46464195784029</v>
      </c>
      <c r="H836">
        <v>0.52723497328427804</v>
      </c>
      <c r="I836">
        <v>1.29124204374727</v>
      </c>
      <c r="J836">
        <v>2.57669258490409</v>
      </c>
      <c r="K836">
        <v>2.7849979159188498</v>
      </c>
      <c r="L836">
        <v>15000</v>
      </c>
      <c r="M836">
        <v>234.708398708462</v>
      </c>
      <c r="O836">
        <v>63.904450152311199</v>
      </c>
      <c r="P836">
        <v>0.45910026939458098</v>
      </c>
      <c r="Q836">
        <v>1.5</v>
      </c>
      <c r="R836">
        <v>0.41688140328086998</v>
      </c>
      <c r="S836" t="s">
        <v>7482</v>
      </c>
      <c r="T836" t="s">
        <v>13290</v>
      </c>
      <c r="U836" t="s">
        <v>13290</v>
      </c>
      <c r="V836" t="s">
        <v>13290</v>
      </c>
      <c r="W836" t="s">
        <v>14112</v>
      </c>
      <c r="X836">
        <v>2</v>
      </c>
      <c r="Y836" t="s">
        <v>20698</v>
      </c>
      <c r="Z836" t="s">
        <v>27166</v>
      </c>
      <c r="AA836">
        <v>1.1014515522090811</v>
      </c>
      <c r="AB836" t="str">
        <f>HYPERLINK("Melting_Curves/meltCurve_G3V379_FERMT2.pdf", "Melting_Curves/meltCurve_G3V379_FERMT2.pdf")</f>
        <v>Melting_Curves/meltCurve_G3V379_FERMT2.pdf</v>
      </c>
    </row>
    <row r="837" spans="1:28" x14ac:dyDescent="0.25">
      <c r="A837" t="s">
        <v>841</v>
      </c>
      <c r="B837">
        <v>0.99252571173614901</v>
      </c>
      <c r="C837">
        <v>1.05733239387768</v>
      </c>
      <c r="D837">
        <v>1.0055579812205</v>
      </c>
      <c r="E837">
        <v>0.950889704135508</v>
      </c>
      <c r="F837">
        <v>1.1669347483025501</v>
      </c>
      <c r="G837">
        <v>0.99925193666339396</v>
      </c>
      <c r="H837">
        <v>1.10751628542611</v>
      </c>
      <c r="I837">
        <v>1.4252885985033801</v>
      </c>
      <c r="J837">
        <v>0.42678617247498102</v>
      </c>
      <c r="K837">
        <v>0.17920863445993901</v>
      </c>
      <c r="L837">
        <v>15000</v>
      </c>
      <c r="M837">
        <v>224.38562594575399</v>
      </c>
      <c r="N837">
        <v>66.981611371915307</v>
      </c>
      <c r="O837">
        <v>66.843891679096402</v>
      </c>
      <c r="P837">
        <v>-0.68888671992759298</v>
      </c>
      <c r="Q837">
        <v>0.179129786225252</v>
      </c>
      <c r="R837">
        <v>0.80852662564574995</v>
      </c>
      <c r="S837" t="s">
        <v>7483</v>
      </c>
      <c r="T837" t="s">
        <v>13290</v>
      </c>
      <c r="U837" t="s">
        <v>13290</v>
      </c>
      <c r="V837" t="s">
        <v>13290</v>
      </c>
      <c r="W837" t="s">
        <v>14113</v>
      </c>
      <c r="X837">
        <v>1</v>
      </c>
      <c r="Y837" t="s">
        <v>20699</v>
      </c>
      <c r="Z837" t="s">
        <v>27167</v>
      </c>
      <c r="AA837">
        <v>0.91390596956401682</v>
      </c>
      <c r="AB837" t="str">
        <f>HYPERLINK("Melting_Curves/meltCurve_G3V394_MYO5A.pdf", "Melting_Curves/meltCurve_G3V394_MYO5A.pdf")</f>
        <v>Melting_Curves/meltCurve_G3V394_MYO5A.pdf</v>
      </c>
    </row>
    <row r="838" spans="1:28" x14ac:dyDescent="0.25">
      <c r="A838" t="s">
        <v>842</v>
      </c>
      <c r="B838">
        <v>0.99252571173614901</v>
      </c>
      <c r="C838">
        <v>1.2176498661024</v>
      </c>
      <c r="D838">
        <v>0.71925063886102003</v>
      </c>
      <c r="E838">
        <v>0.81890040135358799</v>
      </c>
      <c r="F838">
        <v>0.84969809971019195</v>
      </c>
      <c r="G838">
        <v>0.62181355908008995</v>
      </c>
      <c r="H838">
        <v>0.74631321851911803</v>
      </c>
      <c r="I838">
        <v>1.2448173982346999</v>
      </c>
      <c r="J838">
        <v>1.9388814936389001</v>
      </c>
      <c r="K838">
        <v>1.0370375036618</v>
      </c>
      <c r="L838">
        <v>15000</v>
      </c>
      <c r="M838">
        <v>234.38215376565901</v>
      </c>
      <c r="O838">
        <v>63.993396941737302</v>
      </c>
      <c r="P838">
        <v>0.44679275590582901</v>
      </c>
      <c r="Q838">
        <v>1.48795151597206</v>
      </c>
      <c r="R838">
        <v>0.40098613116281201</v>
      </c>
      <c r="S838" t="s">
        <v>7484</v>
      </c>
      <c r="T838" t="s">
        <v>13290</v>
      </c>
      <c r="U838" t="s">
        <v>13290</v>
      </c>
      <c r="V838" t="s">
        <v>13290</v>
      </c>
      <c r="W838" t="s">
        <v>14114</v>
      </c>
      <c r="X838">
        <v>1</v>
      </c>
      <c r="Y838" t="s">
        <v>20700</v>
      </c>
      <c r="Z838" t="s">
        <v>27168</v>
      </c>
      <c r="AA838">
        <v>1.097559721779183</v>
      </c>
      <c r="AB838" t="str">
        <f>HYPERLINK("Melting_Curves/meltCurve_G3V3D2_SPATA7.pdf", "Melting_Curves/meltCurve_G3V3D2_SPATA7.pdf")</f>
        <v>Melting_Curves/meltCurve_G3V3D2_SPATA7.pdf</v>
      </c>
    </row>
    <row r="839" spans="1:28" x14ac:dyDescent="0.25">
      <c r="A839" t="s">
        <v>843</v>
      </c>
      <c r="B839">
        <v>0.99252571173614901</v>
      </c>
      <c r="C839">
        <v>0.98401664179005499</v>
      </c>
      <c r="D839">
        <v>0.94671568305916098</v>
      </c>
      <c r="E839">
        <v>0.785011687677859</v>
      </c>
      <c r="F839">
        <v>0.60225707994369404</v>
      </c>
      <c r="G839">
        <v>0.38112610870095898</v>
      </c>
      <c r="H839">
        <v>0.27066450277927101</v>
      </c>
      <c r="I839">
        <v>0.38320352176418299</v>
      </c>
      <c r="J839">
        <v>0.60830423548977197</v>
      </c>
      <c r="K839">
        <v>0.64575735829820802</v>
      </c>
      <c r="L839">
        <v>1514.5166060522199</v>
      </c>
      <c r="M839">
        <v>30.075725668614901</v>
      </c>
      <c r="N839">
        <v>55.074425784057603</v>
      </c>
      <c r="O839">
        <v>50.135736162969501</v>
      </c>
      <c r="P839">
        <v>-8.0689451878520405E-2</v>
      </c>
      <c r="Q839">
        <v>0.46197170753032801</v>
      </c>
      <c r="R839">
        <v>0.82068788316657104</v>
      </c>
      <c r="S839" t="s">
        <v>7485</v>
      </c>
      <c r="T839" t="s">
        <v>13290</v>
      </c>
      <c r="U839" t="s">
        <v>13290</v>
      </c>
      <c r="V839" t="s">
        <v>13290</v>
      </c>
      <c r="W839" t="s">
        <v>14115</v>
      </c>
      <c r="X839">
        <v>10</v>
      </c>
      <c r="Y839" t="s">
        <v>20701</v>
      </c>
      <c r="Z839" t="s">
        <v>27169</v>
      </c>
      <c r="AA839">
        <v>0.6510432551414207</v>
      </c>
      <c r="AB839" t="str">
        <f>HYPERLINK("Melting_Curves/meltCurve_G3V3G9_DCAF8.pdf", "Melting_Curves/meltCurve_G3V3G9_DCAF8.pdf")</f>
        <v>Melting_Curves/meltCurve_G3V3G9_DCAF8.pdf</v>
      </c>
    </row>
    <row r="840" spans="1:28" x14ac:dyDescent="0.25">
      <c r="A840" t="s">
        <v>844</v>
      </c>
      <c r="B840">
        <v>0.99252571173614901</v>
      </c>
      <c r="C840">
        <v>0.99300307794016296</v>
      </c>
      <c r="D840">
        <v>0.74910950938026599</v>
      </c>
      <c r="E840">
        <v>0.41661024556069498</v>
      </c>
      <c r="F840">
        <v>0.322549183165452</v>
      </c>
      <c r="G840">
        <v>0.224558403627</v>
      </c>
      <c r="H840">
        <v>0.14443694518464101</v>
      </c>
      <c r="I840">
        <v>0.16550020491009401</v>
      </c>
      <c r="J840">
        <v>0.127822903791381</v>
      </c>
      <c r="K840">
        <v>0.13274020732855499</v>
      </c>
      <c r="L840">
        <v>945.65498610934299</v>
      </c>
      <c r="M840">
        <v>19.6178661972938</v>
      </c>
      <c r="N840">
        <v>49.094665184058897</v>
      </c>
      <c r="O840">
        <v>47.711273327727199</v>
      </c>
      <c r="P840">
        <v>-8.7402950509499602E-2</v>
      </c>
      <c r="Q840">
        <v>0.149762875127219</v>
      </c>
      <c r="R840">
        <v>0.98952014253551601</v>
      </c>
      <c r="S840" t="s">
        <v>7486</v>
      </c>
      <c r="T840" t="s">
        <v>13290</v>
      </c>
      <c r="U840" t="s">
        <v>13290</v>
      </c>
      <c r="V840" t="s">
        <v>13290</v>
      </c>
      <c r="W840" t="s">
        <v>14116</v>
      </c>
      <c r="X840">
        <v>2</v>
      </c>
      <c r="Y840" t="s">
        <v>20702</v>
      </c>
      <c r="Z840" t="s">
        <v>27170</v>
      </c>
      <c r="AA840">
        <v>0.39480114383401599</v>
      </c>
      <c r="AB840" t="str">
        <f>HYPERLINK("Melting_Curves/meltCurve_G3V3I4_NFKBIA.pdf", "Melting_Curves/meltCurve_G3V3I4_NFKBIA.pdf")</f>
        <v>Melting_Curves/meltCurve_G3V3I4_NFKBIA.pdf</v>
      </c>
    </row>
    <row r="841" spans="1:28" x14ac:dyDescent="0.25">
      <c r="A841" t="s">
        <v>845</v>
      </c>
      <c r="B841">
        <v>0.99252571173614901</v>
      </c>
      <c r="C841">
        <v>0.97133617206307699</v>
      </c>
      <c r="D841">
        <v>0.782432859260344</v>
      </c>
      <c r="E841">
        <v>0.26353695717772702</v>
      </c>
      <c r="F841">
        <v>0.151235564741798</v>
      </c>
      <c r="G841">
        <v>4.92310348364009E-2</v>
      </c>
      <c r="H841">
        <v>3.6496496899571497E-2</v>
      </c>
      <c r="I841">
        <v>3.7753525249189103E-2</v>
      </c>
      <c r="J841">
        <v>5.7539891849950599E-2</v>
      </c>
      <c r="K841">
        <v>4.6765824685002601E-2</v>
      </c>
      <c r="L841">
        <v>1436.75899534518</v>
      </c>
      <c r="M841">
        <v>30.081129260345101</v>
      </c>
      <c r="N841">
        <v>47.936727134136902</v>
      </c>
      <c r="O841">
        <v>47.553198323617899</v>
      </c>
      <c r="P841">
        <v>-0.14996976181795801</v>
      </c>
      <c r="Q841">
        <v>5.1698192475749499E-2</v>
      </c>
      <c r="R841">
        <v>0.99692170095670596</v>
      </c>
      <c r="S841" t="s">
        <v>7487</v>
      </c>
      <c r="T841" t="s">
        <v>13290</v>
      </c>
      <c r="U841" t="s">
        <v>13290</v>
      </c>
      <c r="V841" t="s">
        <v>13290</v>
      </c>
      <c r="W841" t="s">
        <v>14117</v>
      </c>
      <c r="X841">
        <v>2</v>
      </c>
      <c r="Y841" t="s">
        <v>20703</v>
      </c>
      <c r="Z841" t="s">
        <v>27171</v>
      </c>
      <c r="AA841">
        <v>0.30274554875058929</v>
      </c>
      <c r="AB841" t="str">
        <f>HYPERLINK("Melting_Curves/meltCurve_G3V4E1_DGKA.pdf", "Melting_Curves/meltCurve_G3V4E1_DGKA.pdf")</f>
        <v>Melting_Curves/meltCurve_G3V4E1_DGKA.pdf</v>
      </c>
    </row>
    <row r="842" spans="1:28" x14ac:dyDescent="0.25">
      <c r="A842" t="s">
        <v>846</v>
      </c>
      <c r="B842">
        <v>0.99252571173614901</v>
      </c>
      <c r="C842">
        <v>0.859813491264249</v>
      </c>
      <c r="D842">
        <v>0.80186359031801702</v>
      </c>
      <c r="E842">
        <v>0.36821090446481602</v>
      </c>
      <c r="F842">
        <v>0.24316706964238899</v>
      </c>
      <c r="G842">
        <v>0.19792120444509401</v>
      </c>
      <c r="H842">
        <v>8.0105096539980103E-2</v>
      </c>
      <c r="I842">
        <v>6.2407588497649401E-2</v>
      </c>
      <c r="J842">
        <v>8.4881413073721601E-2</v>
      </c>
      <c r="K842">
        <v>9.2941307682953403E-2</v>
      </c>
      <c r="L842">
        <v>882.661197896256</v>
      </c>
      <c r="M842">
        <v>18.290948419198699</v>
      </c>
      <c r="N842">
        <v>48.7384161378626</v>
      </c>
      <c r="O842">
        <v>47.690987605506997</v>
      </c>
      <c r="P842">
        <v>-8.7958347306215406E-2</v>
      </c>
      <c r="Q842">
        <v>8.2687842201750295E-2</v>
      </c>
      <c r="R842">
        <v>0.98569280346564803</v>
      </c>
      <c r="S842" t="s">
        <v>7488</v>
      </c>
      <c r="T842" t="s">
        <v>13290</v>
      </c>
      <c r="U842" t="s">
        <v>13290</v>
      </c>
      <c r="V842" t="s">
        <v>13290</v>
      </c>
      <c r="W842" t="s">
        <v>14118</v>
      </c>
      <c r="X842">
        <v>2</v>
      </c>
      <c r="Y842" t="s">
        <v>20704</v>
      </c>
      <c r="Z842" t="s">
        <v>27172</v>
      </c>
      <c r="AA842">
        <v>0.35078406789999261</v>
      </c>
      <c r="AB842" t="str">
        <f>HYPERLINK("Melting_Curves/meltCurve_G3V4K3_VIPAS39.pdf", "Melting_Curves/meltCurve_G3V4K3_VIPAS39.pdf")</f>
        <v>Melting_Curves/meltCurve_G3V4K3_VIPAS39.pdf</v>
      </c>
    </row>
    <row r="843" spans="1:28" x14ac:dyDescent="0.25">
      <c r="A843" t="s">
        <v>847</v>
      </c>
      <c r="B843">
        <v>0.99252571173614901</v>
      </c>
      <c r="C843">
        <v>0.99479014954067901</v>
      </c>
      <c r="D843">
        <v>0.93854821885543604</v>
      </c>
      <c r="E843">
        <v>0.61289779765400498</v>
      </c>
      <c r="F843">
        <v>0.43658501757762302</v>
      </c>
      <c r="G843">
        <v>0.27864049315098699</v>
      </c>
      <c r="H843">
        <v>0.25716163320914598</v>
      </c>
      <c r="I843">
        <v>0.33298303316965799</v>
      </c>
      <c r="J843">
        <v>0.51325513668053402</v>
      </c>
      <c r="K843">
        <v>0.56255803798341297</v>
      </c>
      <c r="L843">
        <v>1825.2048748990801</v>
      </c>
      <c r="M843">
        <v>37.373489532786301</v>
      </c>
      <c r="N843">
        <v>50.922907429540302</v>
      </c>
      <c r="O843">
        <v>48.697694851794502</v>
      </c>
      <c r="P843">
        <v>-0.116685325176745</v>
      </c>
      <c r="Q843">
        <v>0.39183726332873797</v>
      </c>
      <c r="R843">
        <v>0.89417894891799299</v>
      </c>
      <c r="S843" t="s">
        <v>7489</v>
      </c>
      <c r="T843" t="s">
        <v>13290</v>
      </c>
      <c r="U843" t="s">
        <v>13290</v>
      </c>
      <c r="V843" t="s">
        <v>13290</v>
      </c>
      <c r="W843" t="s">
        <v>14119</v>
      </c>
      <c r="X843">
        <v>7</v>
      </c>
      <c r="Y843" t="s">
        <v>20705</v>
      </c>
      <c r="Z843" t="s">
        <v>27173</v>
      </c>
      <c r="AA843">
        <v>0.57333856583493037</v>
      </c>
      <c r="AB843" t="str">
        <f>HYPERLINK("Melting_Curves/meltCurve_G3V4W0_HNRNPC.pdf", "Melting_Curves/meltCurve_G3V4W0_HNRNPC.pdf")</f>
        <v>Melting_Curves/meltCurve_G3V4W0_HNRNPC.pdf</v>
      </c>
    </row>
    <row r="844" spans="1:28" x14ac:dyDescent="0.25">
      <c r="A844" t="s">
        <v>848</v>
      </c>
      <c r="B844">
        <v>0.99252571173614901</v>
      </c>
      <c r="C844">
        <v>1.0300550024591399</v>
      </c>
      <c r="D844">
        <v>0.94609561451722901</v>
      </c>
      <c r="E844">
        <v>0.85558385059257303</v>
      </c>
      <c r="F844">
        <v>0.65550701817634704</v>
      </c>
      <c r="G844">
        <v>0.498468887809213</v>
      </c>
      <c r="H844">
        <v>0.63055103821786496</v>
      </c>
      <c r="I844">
        <v>0.99771045094028399</v>
      </c>
      <c r="J844">
        <v>1.64226083477727</v>
      </c>
      <c r="K844">
        <v>2.1346044002827198</v>
      </c>
      <c r="L844">
        <v>15000</v>
      </c>
      <c r="M844">
        <v>230.281883925904</v>
      </c>
      <c r="O844">
        <v>65.132647481614896</v>
      </c>
      <c r="P844">
        <v>0.44194788303239102</v>
      </c>
      <c r="Q844">
        <v>1.5</v>
      </c>
      <c r="R844">
        <v>0.56930378342243804</v>
      </c>
      <c r="S844" t="s">
        <v>7490</v>
      </c>
      <c r="T844" t="s">
        <v>13290</v>
      </c>
      <c r="U844" t="s">
        <v>13290</v>
      </c>
      <c r="V844" t="s">
        <v>13290</v>
      </c>
      <c r="W844" t="s">
        <v>14120</v>
      </c>
      <c r="X844">
        <v>2</v>
      </c>
      <c r="Y844" t="s">
        <v>20706</v>
      </c>
      <c r="Z844" t="s">
        <v>27174</v>
      </c>
      <c r="AA844">
        <v>1.0809733017371801</v>
      </c>
      <c r="AB844" t="str">
        <f>HYPERLINK("Melting_Curves/meltCurve_G3V529_DDX24.pdf", "Melting_Curves/meltCurve_G3V529_DDX24.pdf")</f>
        <v>Melting_Curves/meltCurve_G3V529_DDX24.pdf</v>
      </c>
    </row>
    <row r="845" spans="1:28" x14ac:dyDescent="0.25">
      <c r="A845" t="s">
        <v>849</v>
      </c>
      <c r="B845">
        <v>0.99252571173614901</v>
      </c>
      <c r="C845">
        <v>1.0355122484751</v>
      </c>
      <c r="D845">
        <v>0.97402951954841499</v>
      </c>
      <c r="E845">
        <v>0.88649236542744203</v>
      </c>
      <c r="F845">
        <v>0.64730161189577595</v>
      </c>
      <c r="G845">
        <v>0.523067009923044</v>
      </c>
      <c r="H845">
        <v>0.386893537714457</v>
      </c>
      <c r="I845">
        <v>0.43477846301530898</v>
      </c>
      <c r="J845">
        <v>0.56864010425604194</v>
      </c>
      <c r="K845">
        <v>0.52539397871830995</v>
      </c>
      <c r="L845">
        <v>1578.7459247332799</v>
      </c>
      <c r="M845">
        <v>30.4938353682025</v>
      </c>
      <c r="N845">
        <v>57.941872904070003</v>
      </c>
      <c r="O845">
        <v>51.551504171047597</v>
      </c>
      <c r="P845">
        <v>-7.6816948808644495E-2</v>
      </c>
      <c r="Q845">
        <v>0.480550110686219</v>
      </c>
      <c r="R845">
        <v>0.95782881436540501</v>
      </c>
      <c r="S845" t="s">
        <v>7491</v>
      </c>
      <c r="T845" t="s">
        <v>13290</v>
      </c>
      <c r="U845" t="s">
        <v>13290</v>
      </c>
      <c r="V845" t="s">
        <v>13290</v>
      </c>
      <c r="W845" t="s">
        <v>14121</v>
      </c>
      <c r="X845">
        <v>4</v>
      </c>
      <c r="Y845" t="s">
        <v>20707</v>
      </c>
      <c r="Z845" t="s">
        <v>27175</v>
      </c>
      <c r="AA845">
        <v>0.68759449628911007</v>
      </c>
      <c r="AB845" t="str">
        <f>HYPERLINK("Melting_Curves/meltCurve_G3V583_FAM177A1.pdf", "Melting_Curves/meltCurve_G3V583_FAM177A1.pdf")</f>
        <v>Melting_Curves/meltCurve_G3V583_FAM177A1.pdf</v>
      </c>
    </row>
    <row r="846" spans="1:28" x14ac:dyDescent="0.25">
      <c r="A846" t="s">
        <v>850</v>
      </c>
      <c r="B846">
        <v>0.99252571173614901</v>
      </c>
      <c r="C846">
        <v>0.91856557343769896</v>
      </c>
      <c r="D846">
        <v>0.86385179656114697</v>
      </c>
      <c r="E846">
        <v>0.37476872736330202</v>
      </c>
      <c r="F846">
        <v>0.20164693958792801</v>
      </c>
      <c r="G846">
        <v>0.12905300046356499</v>
      </c>
      <c r="H846">
        <v>0.10285172294917599</v>
      </c>
      <c r="I846">
        <v>0.12452065809775199</v>
      </c>
      <c r="J846">
        <v>0.166682592334013</v>
      </c>
      <c r="K846">
        <v>0.16725786086238001</v>
      </c>
      <c r="L846">
        <v>1527.2071025083901</v>
      </c>
      <c r="M846">
        <v>31.695239550783501</v>
      </c>
      <c r="N846">
        <v>48.685036685642103</v>
      </c>
      <c r="O846">
        <v>47.993528460959404</v>
      </c>
      <c r="P846">
        <v>-0.142130280780149</v>
      </c>
      <c r="Q846">
        <v>0.139139207682108</v>
      </c>
      <c r="R846">
        <v>0.99290639797352198</v>
      </c>
      <c r="S846" t="s">
        <v>7492</v>
      </c>
      <c r="T846" t="s">
        <v>13290</v>
      </c>
      <c r="U846" t="s">
        <v>13290</v>
      </c>
      <c r="V846" t="s">
        <v>13290</v>
      </c>
      <c r="W846" t="s">
        <v>14122</v>
      </c>
      <c r="X846">
        <v>18</v>
      </c>
      <c r="Y846" t="s">
        <v>20708</v>
      </c>
      <c r="Z846" t="s">
        <v>27176</v>
      </c>
      <c r="AA846">
        <v>0.37861608313916129</v>
      </c>
      <c r="AB846" t="str">
        <f>HYPERLINK("Melting_Curves/meltCurve_G3V599_CTAGE5.pdf", "Melting_Curves/meltCurve_G3V599_CTAGE5.pdf")</f>
        <v>Melting_Curves/meltCurve_G3V599_CTAGE5.pdf</v>
      </c>
    </row>
    <row r="847" spans="1:28" x14ac:dyDescent="0.25">
      <c r="A847" t="s">
        <v>851</v>
      </c>
      <c r="B847">
        <v>0.99252571173614901</v>
      </c>
      <c r="C847">
        <v>0.95661818185139602</v>
      </c>
      <c r="D847">
        <v>0.910143293930469</v>
      </c>
      <c r="E847">
        <v>0.72148308758707702</v>
      </c>
      <c r="F847">
        <v>0.56451077988257903</v>
      </c>
      <c r="G847">
        <v>0.224354715331818</v>
      </c>
      <c r="H847">
        <v>8.5381010110659003E-2</v>
      </c>
      <c r="I847">
        <v>7.9559330030304798E-2</v>
      </c>
      <c r="J847">
        <v>7.3511673723608298E-2</v>
      </c>
      <c r="K847">
        <v>7.7648895310593602E-2</v>
      </c>
      <c r="L847">
        <v>882.27964363298702</v>
      </c>
      <c r="M847">
        <v>16.693124874948701</v>
      </c>
      <c r="N847">
        <v>53.062889917784098</v>
      </c>
      <c r="O847">
        <v>52.111863351084303</v>
      </c>
      <c r="P847">
        <v>-7.7528514596730505E-2</v>
      </c>
      <c r="Q847">
        <v>3.1963733028441299E-2</v>
      </c>
      <c r="R847">
        <v>0.99151203204136495</v>
      </c>
      <c r="S847" t="s">
        <v>7493</v>
      </c>
      <c r="T847" t="s">
        <v>13290</v>
      </c>
      <c r="U847" t="s">
        <v>13290</v>
      </c>
      <c r="V847" t="s">
        <v>13290</v>
      </c>
      <c r="W847" t="s">
        <v>14123</v>
      </c>
      <c r="X847">
        <v>3</v>
      </c>
      <c r="Y847" t="s">
        <v>20709</v>
      </c>
      <c r="Z847" t="s">
        <v>27177</v>
      </c>
      <c r="AA847">
        <v>0.46459872722718931</v>
      </c>
      <c r="AB847" t="str">
        <f>HYPERLINK("Melting_Curves/meltCurve_G3V5E1_CCNK.pdf", "Melting_Curves/meltCurve_G3V5E1_CCNK.pdf")</f>
        <v>Melting_Curves/meltCurve_G3V5E1_CCNK.pdf</v>
      </c>
    </row>
    <row r="848" spans="1:28" x14ac:dyDescent="0.25">
      <c r="A848" t="s">
        <v>852</v>
      </c>
      <c r="B848">
        <v>0.99252571173614901</v>
      </c>
      <c r="C848">
        <v>0.99477249508586296</v>
      </c>
      <c r="D848">
        <v>0.83640224962586596</v>
      </c>
      <c r="E848">
        <v>0.47891943807846299</v>
      </c>
      <c r="F848">
        <v>0.19274583728765499</v>
      </c>
      <c r="G848">
        <v>0.11925144026831</v>
      </c>
      <c r="H848">
        <v>8.1751699976550504E-2</v>
      </c>
      <c r="I848">
        <v>8.8426914824033004E-2</v>
      </c>
      <c r="J848">
        <v>0.110137900489244</v>
      </c>
      <c r="K848">
        <v>0.112287625008284</v>
      </c>
      <c r="L848">
        <v>1243.8375392350799</v>
      </c>
      <c r="M848">
        <v>25.4231387038372</v>
      </c>
      <c r="N848">
        <v>49.333743067933497</v>
      </c>
      <c r="O848">
        <v>48.6257170033184</v>
      </c>
      <c r="P848">
        <v>-0.11830825298221</v>
      </c>
      <c r="Q848">
        <v>9.4879546088883104E-2</v>
      </c>
      <c r="R848">
        <v>0.99880968795132496</v>
      </c>
      <c r="S848" t="s">
        <v>7494</v>
      </c>
      <c r="T848" t="s">
        <v>13290</v>
      </c>
      <c r="U848" t="s">
        <v>13290</v>
      </c>
      <c r="V848" t="s">
        <v>13290</v>
      </c>
      <c r="W848" t="s">
        <v>14124</v>
      </c>
      <c r="X848">
        <v>11</v>
      </c>
      <c r="Y848" t="s">
        <v>20710</v>
      </c>
      <c r="Z848" t="s">
        <v>27178</v>
      </c>
      <c r="AA848">
        <v>0.37190922423033401</v>
      </c>
      <c r="AB848" t="str">
        <f>HYPERLINK("Melting_Curves/meltCurve_G3V5N8_ZFYVE1.pdf", "Melting_Curves/meltCurve_G3V5N8_ZFYVE1.pdf")</f>
        <v>Melting_Curves/meltCurve_G3V5N8_ZFYVE1.pdf</v>
      </c>
    </row>
    <row r="849" spans="1:28" x14ac:dyDescent="0.25">
      <c r="A849" t="s">
        <v>853</v>
      </c>
      <c r="B849">
        <v>0.99252571173614901</v>
      </c>
      <c r="C849">
        <v>1.0696508039182799</v>
      </c>
      <c r="D849">
        <v>0.95201029529389603</v>
      </c>
      <c r="E849">
        <v>0.82835945322536897</v>
      </c>
      <c r="F849">
        <v>0.81650946472039898</v>
      </c>
      <c r="G849">
        <v>0.68459571105137096</v>
      </c>
      <c r="H849">
        <v>0.23992283571190801</v>
      </c>
      <c r="I849">
        <v>0.13584327285158601</v>
      </c>
      <c r="J849">
        <v>0.13645323769120499</v>
      </c>
      <c r="K849">
        <v>0.17257657235926399</v>
      </c>
      <c r="L849">
        <v>1154.6174939282901</v>
      </c>
      <c r="M849">
        <v>20.147172690842002</v>
      </c>
      <c r="N849">
        <v>57.868646246839702</v>
      </c>
      <c r="O849">
        <v>56.753513033246698</v>
      </c>
      <c r="P849">
        <v>-8.08972825478778E-2</v>
      </c>
      <c r="Q849">
        <v>8.8495491005306695E-2</v>
      </c>
      <c r="R849">
        <v>0.96592407820050097</v>
      </c>
      <c r="S849" t="s">
        <v>7495</v>
      </c>
      <c r="T849" t="s">
        <v>13290</v>
      </c>
      <c r="U849" t="s">
        <v>13290</v>
      </c>
      <c r="V849" t="s">
        <v>13290</v>
      </c>
      <c r="W849" t="s">
        <v>14125</v>
      </c>
      <c r="X849">
        <v>8</v>
      </c>
      <c r="Y849" t="s">
        <v>20711</v>
      </c>
      <c r="Z849" t="s">
        <v>27179</v>
      </c>
      <c r="AA849">
        <v>0.62524835381599819</v>
      </c>
      <c r="AB849" t="str">
        <f>HYPERLINK("Melting_Curves/meltCurve_G3V5T0_GSTZ1.pdf", "Melting_Curves/meltCurve_G3V5T0_GSTZ1.pdf")</f>
        <v>Melting_Curves/meltCurve_G3V5T0_GSTZ1.pdf</v>
      </c>
    </row>
    <row r="850" spans="1:28" x14ac:dyDescent="0.25">
      <c r="A850" t="s">
        <v>854</v>
      </c>
      <c r="B850">
        <v>0.99252571173614901</v>
      </c>
      <c r="C850">
        <v>1.01493701690779</v>
      </c>
      <c r="D850">
        <v>0.90117558004626896</v>
      </c>
      <c r="E850">
        <v>0.770211267984659</v>
      </c>
      <c r="F850">
        <v>0.49873166776495798</v>
      </c>
      <c r="G850">
        <v>0.29181338240899202</v>
      </c>
      <c r="H850">
        <v>0.204928414620659</v>
      </c>
      <c r="I850">
        <v>0.162128005484905</v>
      </c>
      <c r="J850">
        <v>0.140842847374783</v>
      </c>
      <c r="K850">
        <v>0.121235840317387</v>
      </c>
      <c r="L850">
        <v>909.50053314227398</v>
      </c>
      <c r="M850">
        <v>17.3670088671009</v>
      </c>
      <c r="N850">
        <v>53.2159158376232</v>
      </c>
      <c r="O850">
        <v>51.689885984360501</v>
      </c>
      <c r="P850">
        <v>-7.3863173443296903E-2</v>
      </c>
      <c r="Q850">
        <v>0.120686321631162</v>
      </c>
      <c r="R850">
        <v>0.99815259642829302</v>
      </c>
      <c r="S850" t="s">
        <v>7496</v>
      </c>
      <c r="T850" t="s">
        <v>13290</v>
      </c>
      <c r="U850" t="s">
        <v>13290</v>
      </c>
      <c r="V850" t="s">
        <v>13290</v>
      </c>
      <c r="W850" t="s">
        <v>14126</v>
      </c>
      <c r="X850">
        <v>13</v>
      </c>
      <c r="Y850" t="s">
        <v>20712</v>
      </c>
      <c r="Z850" t="s">
        <v>27180</v>
      </c>
      <c r="AA850">
        <v>0.49868047463300957</v>
      </c>
      <c r="AB850" t="str">
        <f>HYPERLINK("Melting_Curves/meltCurve_G3V5T9_CDK2.pdf", "Melting_Curves/meltCurve_G3V5T9_CDK2.pdf")</f>
        <v>Melting_Curves/meltCurve_G3V5T9_CDK2.pdf</v>
      </c>
    </row>
    <row r="851" spans="1:28" x14ac:dyDescent="0.25">
      <c r="A851" t="s">
        <v>855</v>
      </c>
      <c r="B851">
        <v>0.99252571173614901</v>
      </c>
      <c r="C851">
        <v>1.04657943269887</v>
      </c>
      <c r="D851">
        <v>1.55118105249757</v>
      </c>
      <c r="E851">
        <v>2.9875848293115599</v>
      </c>
      <c r="F851">
        <v>2.0036723171925201</v>
      </c>
      <c r="G851">
        <v>2.02715375354853</v>
      </c>
      <c r="H851">
        <v>1.98326825326099</v>
      </c>
      <c r="I851">
        <v>5.1692528085314198</v>
      </c>
      <c r="J851">
        <v>8.9269908399117401</v>
      </c>
      <c r="K851">
        <v>3.3904343017394698</v>
      </c>
      <c r="S851" t="s">
        <v>7497</v>
      </c>
      <c r="T851" t="s">
        <v>13290</v>
      </c>
      <c r="U851" t="s">
        <v>13291</v>
      </c>
      <c r="V851" t="s">
        <v>13290</v>
      </c>
      <c r="W851" t="s">
        <v>14127</v>
      </c>
      <c r="X851">
        <v>4</v>
      </c>
      <c r="Y851" t="s">
        <v>20713</v>
      </c>
      <c r="Z851" t="s">
        <v>27181</v>
      </c>
      <c r="AB851" t="str">
        <f>HYPERLINK("Melting_Curves/meltCurve_G3V5W1_WARS.pdf", "Melting_Curves/meltCurve_G3V5W1_WARS.pdf")</f>
        <v>Melting_Curves/meltCurve_G3V5W1_WARS.pdf</v>
      </c>
    </row>
    <row r="852" spans="1:28" x14ac:dyDescent="0.25">
      <c r="A852" t="s">
        <v>856</v>
      </c>
      <c r="B852">
        <v>0.99252571173614901</v>
      </c>
      <c r="C852">
        <v>0.99049679715329797</v>
      </c>
      <c r="D852">
        <v>1.1203100443715199</v>
      </c>
      <c r="E852">
        <v>1.0732880169203101</v>
      </c>
      <c r="F852">
        <v>0.92548242826979998</v>
      </c>
      <c r="G852">
        <v>0.84575904413780201</v>
      </c>
      <c r="H852">
        <v>1.29724712394429</v>
      </c>
      <c r="I852">
        <v>1.9622596665963801</v>
      </c>
      <c r="J852">
        <v>2.9769875678430302</v>
      </c>
      <c r="K852">
        <v>1.9151705631626501</v>
      </c>
      <c r="L852">
        <v>15000</v>
      </c>
      <c r="M852">
        <v>247.09314974602</v>
      </c>
      <c r="O852">
        <v>60.701882238579003</v>
      </c>
      <c r="P852">
        <v>0.508825204577108</v>
      </c>
      <c r="Q852">
        <v>1.5</v>
      </c>
      <c r="R852">
        <v>0.36622565180176703</v>
      </c>
      <c r="S852" t="s">
        <v>7498</v>
      </c>
      <c r="T852" t="s">
        <v>13290</v>
      </c>
      <c r="U852" t="s">
        <v>13290</v>
      </c>
      <c r="V852" t="s">
        <v>13290</v>
      </c>
      <c r="W852" t="s">
        <v>14128</v>
      </c>
      <c r="X852">
        <v>18</v>
      </c>
      <c r="Y852" t="s">
        <v>20714</v>
      </c>
      <c r="Z852" t="s">
        <v>27182</v>
      </c>
      <c r="AA852">
        <v>1.154847948819028</v>
      </c>
      <c r="AB852" t="str">
        <f>HYPERLINK("Melting_Curves/meltCurve_G3V5Z7_PSMA6.pdf", "Melting_Curves/meltCurve_G3V5Z7_PSMA6.pdf")</f>
        <v>Melting_Curves/meltCurve_G3V5Z7_PSMA6.pdf</v>
      </c>
    </row>
    <row r="853" spans="1:28" x14ac:dyDescent="0.25">
      <c r="A853" t="s">
        <v>857</v>
      </c>
      <c r="B853">
        <v>0.99252571173614901</v>
      </c>
      <c r="C853">
        <v>0.89183122346114396</v>
      </c>
      <c r="D853">
        <v>0.90986359047106502</v>
      </c>
      <c r="E853">
        <v>0.99575443741748804</v>
      </c>
      <c r="F853">
        <v>0.50679385797455101</v>
      </c>
      <c r="G853">
        <v>0.13032429065964099</v>
      </c>
      <c r="H853">
        <v>5.96599908011997E-2</v>
      </c>
      <c r="I853">
        <v>5.3165640122824098E-2</v>
      </c>
      <c r="J853">
        <v>6.0790428338298397E-2</v>
      </c>
      <c r="K853">
        <v>5.7245531997598999E-2</v>
      </c>
      <c r="L853">
        <v>2445.53726709688</v>
      </c>
      <c r="M853">
        <v>46.036308082818401</v>
      </c>
      <c r="N853">
        <v>53.274250217143901</v>
      </c>
      <c r="O853">
        <v>53.021977319544902</v>
      </c>
      <c r="P853">
        <v>-0.20367794136258399</v>
      </c>
      <c r="Q853">
        <v>6.1662860903506797E-2</v>
      </c>
      <c r="R853">
        <v>0.98754734725497295</v>
      </c>
      <c r="S853" t="s">
        <v>7499</v>
      </c>
      <c r="T853" t="s">
        <v>13290</v>
      </c>
      <c r="U853" t="s">
        <v>13290</v>
      </c>
      <c r="V853" t="s">
        <v>13290</v>
      </c>
      <c r="W853" t="s">
        <v>14129</v>
      </c>
      <c r="X853">
        <v>7</v>
      </c>
      <c r="Y853" t="s">
        <v>20715</v>
      </c>
      <c r="Z853" t="s">
        <v>27183</v>
      </c>
      <c r="AA853">
        <v>0.47468444651858388</v>
      </c>
      <c r="AB853" t="str">
        <f>HYPERLINK("Melting_Curves/meltCurve_G3XA81_TMEM48.pdf", "Melting_Curves/meltCurve_G3XA81_TMEM48.pdf")</f>
        <v>Melting_Curves/meltCurve_G3XA81_TMEM48.pdf</v>
      </c>
    </row>
    <row r="854" spans="1:28" x14ac:dyDescent="0.25">
      <c r="A854" t="s">
        <v>858</v>
      </c>
      <c r="B854">
        <v>0.99252571173614901</v>
      </c>
      <c r="C854">
        <v>0.93012366008952596</v>
      </c>
      <c r="D854">
        <v>0.83773737091401701</v>
      </c>
      <c r="E854">
        <v>0.43915845579060597</v>
      </c>
      <c r="F854">
        <v>0.257718473412614</v>
      </c>
      <c r="G854">
        <v>0.14017929687515099</v>
      </c>
      <c r="H854">
        <v>0.10952324145132999</v>
      </c>
      <c r="I854">
        <v>0.109753378634198</v>
      </c>
      <c r="J854">
        <v>0.13624038011039</v>
      </c>
      <c r="K854">
        <v>0.135162849001111</v>
      </c>
      <c r="L854">
        <v>1113.1606759655999</v>
      </c>
      <c r="M854">
        <v>22.894085701888901</v>
      </c>
      <c r="N854">
        <v>49.213434802690003</v>
      </c>
      <c r="O854">
        <v>48.255782785848403</v>
      </c>
      <c r="P854">
        <v>-0.104349621727308</v>
      </c>
      <c r="Q854">
        <v>0.120231015081651</v>
      </c>
      <c r="R854">
        <v>0.99662906859898004</v>
      </c>
      <c r="S854" t="s">
        <v>7500</v>
      </c>
      <c r="T854" t="s">
        <v>13290</v>
      </c>
      <c r="U854" t="s">
        <v>13290</v>
      </c>
      <c r="V854" t="s">
        <v>13290</v>
      </c>
      <c r="W854" t="s">
        <v>14130</v>
      </c>
      <c r="X854">
        <v>5</v>
      </c>
      <c r="Y854" t="s">
        <v>20716</v>
      </c>
      <c r="Z854" t="s">
        <v>27184</v>
      </c>
      <c r="AA854">
        <v>0.3824288679818203</v>
      </c>
      <c r="AB854" t="str">
        <f>HYPERLINK("Melting_Curves/meltCurve_G3XAA0_ARID1B.pdf", "Melting_Curves/meltCurve_G3XAA0_ARID1B.pdf")</f>
        <v>Melting_Curves/meltCurve_G3XAA0_ARID1B.pdf</v>
      </c>
    </row>
    <row r="855" spans="1:28" x14ac:dyDescent="0.25">
      <c r="A855" t="s">
        <v>859</v>
      </c>
      <c r="B855">
        <v>0.99252571173614901</v>
      </c>
      <c r="C855">
        <v>0.84405944481722195</v>
      </c>
      <c r="D855">
        <v>0.79772158823109596</v>
      </c>
      <c r="E855">
        <v>0.76973789476481902</v>
      </c>
      <c r="F855">
        <v>0.100747069932362</v>
      </c>
      <c r="G855">
        <v>0</v>
      </c>
      <c r="H855">
        <v>0</v>
      </c>
      <c r="I855">
        <v>0.114728231781638</v>
      </c>
      <c r="J855">
        <v>0.17827806822801001</v>
      </c>
      <c r="K855">
        <v>7.8855916294106501E-2</v>
      </c>
      <c r="L855">
        <v>3061.94193325177</v>
      </c>
      <c r="M855">
        <v>60.657527229898903</v>
      </c>
      <c r="N855">
        <v>50.6092433477029</v>
      </c>
      <c r="O855">
        <v>50.424397415060298</v>
      </c>
      <c r="P855">
        <v>-0.27902787849604199</v>
      </c>
      <c r="Q855">
        <v>7.2180666604426805E-2</v>
      </c>
      <c r="R855">
        <v>0.94065010483948097</v>
      </c>
      <c r="S855" t="s">
        <v>7501</v>
      </c>
      <c r="T855" t="s">
        <v>13290</v>
      </c>
      <c r="U855" t="s">
        <v>13290</v>
      </c>
      <c r="V855" t="s">
        <v>13290</v>
      </c>
      <c r="W855" t="s">
        <v>14131</v>
      </c>
      <c r="X855">
        <v>5</v>
      </c>
      <c r="Y855" t="s">
        <v>20717</v>
      </c>
      <c r="Z855" t="s">
        <v>27185</v>
      </c>
      <c r="AA855">
        <v>0.39767458928885319</v>
      </c>
      <c r="AB855" t="str">
        <f>HYPERLINK("Melting_Curves/meltCurve_G3XAA2_MAP4K4.pdf", "Melting_Curves/meltCurve_G3XAA2_MAP4K4.pdf")</f>
        <v>Melting_Curves/meltCurve_G3XAA2_MAP4K4.pdf</v>
      </c>
    </row>
    <row r="856" spans="1:28" x14ac:dyDescent="0.25">
      <c r="A856" t="s">
        <v>860</v>
      </c>
      <c r="B856">
        <v>0.99252571173614901</v>
      </c>
      <c r="C856">
        <v>1.1028611787361</v>
      </c>
      <c r="D856">
        <v>0.968382000124274</v>
      </c>
      <c r="E856">
        <v>0.878868149429471</v>
      </c>
      <c r="F856">
        <v>0.66410835202165197</v>
      </c>
      <c r="G856">
        <v>0.30818980319465</v>
      </c>
      <c r="H856">
        <v>0.27500089597497701</v>
      </c>
      <c r="I856">
        <v>0.28592586503036099</v>
      </c>
      <c r="J856">
        <v>0.45400189951769199</v>
      </c>
      <c r="K856">
        <v>0.35356048440253601</v>
      </c>
      <c r="L856">
        <v>1894.6648324872299</v>
      </c>
      <c r="M856">
        <v>35.871753958596898</v>
      </c>
      <c r="N856">
        <v>54.442921078242797</v>
      </c>
      <c r="O856">
        <v>52.654396684817698</v>
      </c>
      <c r="P856">
        <v>-0.114345228596854</v>
      </c>
      <c r="Q856">
        <v>0.328635033386938</v>
      </c>
      <c r="R856">
        <v>0.95564700814603898</v>
      </c>
      <c r="S856" t="s">
        <v>7502</v>
      </c>
      <c r="T856" t="s">
        <v>13290</v>
      </c>
      <c r="U856" t="s">
        <v>13290</v>
      </c>
      <c r="V856" t="s">
        <v>13290</v>
      </c>
      <c r="W856" t="s">
        <v>14132</v>
      </c>
      <c r="X856">
        <v>3</v>
      </c>
      <c r="Y856" t="s">
        <v>20718</v>
      </c>
      <c r="Z856" t="s">
        <v>27186</v>
      </c>
      <c r="AA856">
        <v>0.61852702542939264</v>
      </c>
      <c r="AB856" t="str">
        <f>HYPERLINK("Melting_Curves/meltCurve_G3XAB3_TTC17.pdf", "Melting_Curves/meltCurve_G3XAB3_TTC17.pdf")</f>
        <v>Melting_Curves/meltCurve_G3XAB3_TTC17.pdf</v>
      </c>
    </row>
    <row r="857" spans="1:28" x14ac:dyDescent="0.25">
      <c r="A857" t="s">
        <v>861</v>
      </c>
      <c r="B857">
        <v>0.99252571173614901</v>
      </c>
      <c r="C857">
        <v>0.90079109001489599</v>
      </c>
      <c r="D857">
        <v>0.822620741820003</v>
      </c>
      <c r="E857">
        <v>0.71725380863258104</v>
      </c>
      <c r="F857">
        <v>0.47880938029320302</v>
      </c>
      <c r="G857">
        <v>0.32237735953607699</v>
      </c>
      <c r="H857">
        <v>0.16443269589788301</v>
      </c>
      <c r="I857">
        <v>8.3807026540268406E-2</v>
      </c>
      <c r="J857">
        <v>8.6965834162836902E-2</v>
      </c>
      <c r="K857">
        <v>8.8786518772648093E-2</v>
      </c>
      <c r="L857">
        <v>610.092957181923</v>
      </c>
      <c r="M857">
        <v>11.5432229601637</v>
      </c>
      <c r="N857">
        <v>52.870402557551799</v>
      </c>
      <c r="O857">
        <v>51.341359797877999</v>
      </c>
      <c r="P857">
        <v>-5.6116790613074299E-2</v>
      </c>
      <c r="Q857">
        <v>1.90598335763747E-3</v>
      </c>
      <c r="R857">
        <v>0.99481299384242805</v>
      </c>
      <c r="S857" t="s">
        <v>7503</v>
      </c>
      <c r="T857" t="s">
        <v>13290</v>
      </c>
      <c r="U857" t="s">
        <v>13290</v>
      </c>
      <c r="V857" t="s">
        <v>13290</v>
      </c>
      <c r="W857" t="s">
        <v>14133</v>
      </c>
      <c r="X857">
        <v>7</v>
      </c>
      <c r="Y857" t="s">
        <v>20719</v>
      </c>
      <c r="Z857" t="s">
        <v>27187</v>
      </c>
      <c r="AA857">
        <v>0.45953717672500882</v>
      </c>
      <c r="AB857" t="str">
        <f>HYPERLINK("Melting_Curves/meltCurve_G3XAC1_SLC26A6.pdf", "Melting_Curves/meltCurve_G3XAC1_SLC26A6.pdf")</f>
        <v>Melting_Curves/meltCurve_G3XAC1_SLC26A6.pdf</v>
      </c>
    </row>
    <row r="858" spans="1:28" x14ac:dyDescent="0.25">
      <c r="A858" t="s">
        <v>862</v>
      </c>
      <c r="B858">
        <v>0.99252571173614901</v>
      </c>
      <c r="C858">
        <v>1.0441148412915999</v>
      </c>
      <c r="D858">
        <v>0.85294245373061495</v>
      </c>
      <c r="E858">
        <v>0.70863759981361396</v>
      </c>
      <c r="F858">
        <v>0.55396598403432395</v>
      </c>
      <c r="G858">
        <v>0.33616170975725801</v>
      </c>
      <c r="H858">
        <v>0.32168322049072801</v>
      </c>
      <c r="I858">
        <v>0.37815388418830698</v>
      </c>
      <c r="J858">
        <v>0.36780190688289199</v>
      </c>
      <c r="K858">
        <v>0.243649280224424</v>
      </c>
      <c r="L858">
        <v>893.62284259932903</v>
      </c>
      <c r="M858">
        <v>17.673166623908099</v>
      </c>
      <c r="N858">
        <v>53.421470173746499</v>
      </c>
      <c r="O858">
        <v>49.929765143991901</v>
      </c>
      <c r="P858">
        <v>-6.1438949404527599E-2</v>
      </c>
      <c r="Q858">
        <v>0.30573401311930898</v>
      </c>
      <c r="R858">
        <v>0.97109018595455499</v>
      </c>
      <c r="S858" t="s">
        <v>7504</v>
      </c>
      <c r="T858" t="s">
        <v>13290</v>
      </c>
      <c r="U858" t="s">
        <v>13290</v>
      </c>
      <c r="V858" t="s">
        <v>13290</v>
      </c>
      <c r="W858" t="s">
        <v>14134</v>
      </c>
      <c r="X858">
        <v>13</v>
      </c>
      <c r="Y858" t="s">
        <v>20720</v>
      </c>
      <c r="Z858" t="s">
        <v>27188</v>
      </c>
      <c r="AA858">
        <v>0.56236477159149378</v>
      </c>
      <c r="AB858" t="str">
        <f>HYPERLINK("Melting_Curves/meltCurve_G3XAD5_PTPRD.pdf", "Melting_Curves/meltCurve_G3XAD5_PTPRD.pdf")</f>
        <v>Melting_Curves/meltCurve_G3XAD5_PTPRD.pdf</v>
      </c>
    </row>
    <row r="859" spans="1:28" x14ac:dyDescent="0.25">
      <c r="A859" t="s">
        <v>863</v>
      </c>
      <c r="B859">
        <v>0.99252571173614901</v>
      </c>
      <c r="C859">
        <v>1.0883214920034501</v>
      </c>
      <c r="D859">
        <v>0.953613583483084</v>
      </c>
      <c r="E859">
        <v>0.81663320888989099</v>
      </c>
      <c r="F859">
        <v>0.22839875047486599</v>
      </c>
      <c r="G859">
        <v>8.76742000410793E-2</v>
      </c>
      <c r="H859">
        <v>5.2712887567744802E-2</v>
      </c>
      <c r="I859">
        <v>5.0037629474243298E-2</v>
      </c>
      <c r="J859">
        <v>5.36588772913979E-2</v>
      </c>
      <c r="K859">
        <v>5.1755033115146003E-2</v>
      </c>
      <c r="L859">
        <v>2080.9787390433598</v>
      </c>
      <c r="M859">
        <v>40.567072766187998</v>
      </c>
      <c r="N859">
        <v>51.443095446444701</v>
      </c>
      <c r="O859">
        <v>51.173057227342902</v>
      </c>
      <c r="P859">
        <v>-0.18741933676078401</v>
      </c>
      <c r="Q859">
        <v>5.4326484545924099E-2</v>
      </c>
      <c r="R859">
        <v>0.99492194889707297</v>
      </c>
      <c r="S859" t="s">
        <v>7505</v>
      </c>
      <c r="T859" t="s">
        <v>13290</v>
      </c>
      <c r="U859" t="s">
        <v>13290</v>
      </c>
      <c r="V859" t="s">
        <v>13290</v>
      </c>
      <c r="W859" t="s">
        <v>14135</v>
      </c>
      <c r="X859">
        <v>16</v>
      </c>
      <c r="Y859" t="s">
        <v>20721</v>
      </c>
      <c r="Z859" t="s">
        <v>27189</v>
      </c>
      <c r="AA859">
        <v>0.4137019777131602</v>
      </c>
      <c r="AB859" t="str">
        <f>HYPERLINK("Melting_Curves/meltCurve_G3XAH6_PAPOLA.pdf", "Melting_Curves/meltCurve_G3XAH6_PAPOLA.pdf")</f>
        <v>Melting_Curves/meltCurve_G3XAH6_PAPOLA.pdf</v>
      </c>
    </row>
    <row r="860" spans="1:28" x14ac:dyDescent="0.25">
      <c r="A860" t="s">
        <v>864</v>
      </c>
      <c r="B860">
        <v>0.99252571173614901</v>
      </c>
      <c r="C860">
        <v>0.93933734653985901</v>
      </c>
      <c r="D860">
        <v>0.94622363192942105</v>
      </c>
      <c r="E860">
        <v>0.80764833456340601</v>
      </c>
      <c r="F860">
        <v>0.350666531137515</v>
      </c>
      <c r="G860">
        <v>0.175732373703883</v>
      </c>
      <c r="H860">
        <v>0.146175864853853</v>
      </c>
      <c r="I860">
        <v>0.15343075737696499</v>
      </c>
      <c r="J860">
        <v>0.213758595155602</v>
      </c>
      <c r="K860">
        <v>0.19431592033996001</v>
      </c>
      <c r="L860">
        <v>1811.5119446936101</v>
      </c>
      <c r="M860">
        <v>35.3614044609294</v>
      </c>
      <c r="N860">
        <v>51.844775896138003</v>
      </c>
      <c r="O860">
        <v>51.065500172418297</v>
      </c>
      <c r="P860">
        <v>-0.143413433526485</v>
      </c>
      <c r="Q860">
        <v>0.17158789133768401</v>
      </c>
      <c r="R860">
        <v>0.992884390364976</v>
      </c>
      <c r="S860" t="s">
        <v>7506</v>
      </c>
      <c r="T860" t="s">
        <v>13290</v>
      </c>
      <c r="U860" t="s">
        <v>13290</v>
      </c>
      <c r="V860" t="s">
        <v>13290</v>
      </c>
      <c r="W860" t="s">
        <v>14136</v>
      </c>
      <c r="X860">
        <v>29</v>
      </c>
      <c r="Y860" t="s">
        <v>20722</v>
      </c>
      <c r="Z860" t="s">
        <v>27190</v>
      </c>
      <c r="AA860">
        <v>0.48540790711706111</v>
      </c>
      <c r="AB860" t="str">
        <f>HYPERLINK("Melting_Curves/meltCurve_G3XAI2_LAMB1.pdf", "Melting_Curves/meltCurve_G3XAI2_LAMB1.pdf")</f>
        <v>Melting_Curves/meltCurve_G3XAI2_LAMB1.pdf</v>
      </c>
    </row>
    <row r="861" spans="1:28" x14ac:dyDescent="0.25">
      <c r="A861" t="s">
        <v>865</v>
      </c>
      <c r="B861">
        <v>0.99252571173614901</v>
      </c>
      <c r="C861">
        <v>0.88308207285807605</v>
      </c>
      <c r="D861">
        <v>0.92634314946558705</v>
      </c>
      <c r="E861">
        <v>0.80054423925278595</v>
      </c>
      <c r="F861">
        <v>0.39745556132564003</v>
      </c>
      <c r="G861">
        <v>0.223323218380513</v>
      </c>
      <c r="H861">
        <v>0.16865958338183901</v>
      </c>
      <c r="I861">
        <v>0.14696129599764299</v>
      </c>
      <c r="J861">
        <v>0.17773353938578401</v>
      </c>
      <c r="K861">
        <v>0.17391052466551901</v>
      </c>
      <c r="L861">
        <v>1373.3809721222101</v>
      </c>
      <c r="M861">
        <v>26.678477318227401</v>
      </c>
      <c r="N861">
        <v>52.236680500056799</v>
      </c>
      <c r="O861">
        <v>51.192342872877397</v>
      </c>
      <c r="P861">
        <v>-0.10938273141526</v>
      </c>
      <c r="Q861">
        <v>0.160446628877432</v>
      </c>
      <c r="R861">
        <v>0.98665005585726395</v>
      </c>
      <c r="S861" t="s">
        <v>7507</v>
      </c>
      <c r="T861" t="s">
        <v>13290</v>
      </c>
      <c r="U861" t="s">
        <v>13290</v>
      </c>
      <c r="V861" t="s">
        <v>13290</v>
      </c>
      <c r="W861" t="s">
        <v>14137</v>
      </c>
      <c r="X861">
        <v>1</v>
      </c>
      <c r="Y861" t="s">
        <v>20723</v>
      </c>
      <c r="Z861" t="s">
        <v>27191</v>
      </c>
      <c r="AA861">
        <v>0.48840020612054608</v>
      </c>
      <c r="AB861" t="str">
        <f>HYPERLINK("Melting_Curves/meltCurve_G3XAN4_TRAM1.pdf", "Melting_Curves/meltCurve_G3XAN4_TRAM1.pdf")</f>
        <v>Melting_Curves/meltCurve_G3XAN4_TRAM1.pdf</v>
      </c>
    </row>
    <row r="862" spans="1:28" x14ac:dyDescent="0.25">
      <c r="A862" t="s">
        <v>866</v>
      </c>
      <c r="B862">
        <v>0.99252571173614901</v>
      </c>
      <c r="C862">
        <v>1.01923926639176</v>
      </c>
      <c r="D862">
        <v>1.0824689684925699</v>
      </c>
      <c r="E862">
        <v>1.0712105522217401</v>
      </c>
      <c r="F862">
        <v>0.92065062327838298</v>
      </c>
      <c r="G862">
        <v>0.69912818359226703</v>
      </c>
      <c r="H862">
        <v>0.60462670384858397</v>
      </c>
      <c r="I862">
        <v>0.66854849756507295</v>
      </c>
      <c r="J862">
        <v>0.96152519192549002</v>
      </c>
      <c r="K862">
        <v>0.89132736259119005</v>
      </c>
      <c r="L862">
        <v>13335.8329497582</v>
      </c>
      <c r="M862">
        <v>250</v>
      </c>
      <c r="O862">
        <v>53.339926080619399</v>
      </c>
      <c r="P862">
        <v>-0.27532008873554098</v>
      </c>
      <c r="Q862">
        <v>0.76503118409332505</v>
      </c>
      <c r="R862">
        <v>0.60659129241227405</v>
      </c>
      <c r="S862" t="s">
        <v>7508</v>
      </c>
      <c r="T862" t="s">
        <v>13290</v>
      </c>
      <c r="U862" t="s">
        <v>13290</v>
      </c>
      <c r="V862" t="s">
        <v>13290</v>
      </c>
      <c r="W862" t="s">
        <v>14138</v>
      </c>
      <c r="X862">
        <v>9</v>
      </c>
      <c r="Y862" t="s">
        <v>20724</v>
      </c>
      <c r="Z862" t="s">
        <v>27192</v>
      </c>
      <c r="AA862">
        <v>0.86956207687144516</v>
      </c>
      <c r="AB862" t="str">
        <f>HYPERLINK("Melting_Curves/meltCurve_G3XAN8_TIMM8B.pdf", "Melting_Curves/meltCurve_G3XAN8_TIMM8B.pdf")</f>
        <v>Melting_Curves/meltCurve_G3XAN8_TIMM8B.pdf</v>
      </c>
    </row>
    <row r="863" spans="1:28" x14ac:dyDescent="0.25">
      <c r="A863" t="s">
        <v>867</v>
      </c>
      <c r="B863">
        <v>0.99252571173614901</v>
      </c>
      <c r="C863">
        <v>0.82665970743258499</v>
      </c>
      <c r="D863">
        <v>1.19784907284995</v>
      </c>
      <c r="E863">
        <v>0.89057742000213103</v>
      </c>
      <c r="F863">
        <v>0.40454173633132301</v>
      </c>
      <c r="G863">
        <v>0.25800969212004898</v>
      </c>
      <c r="H863">
        <v>0.13339887499466199</v>
      </c>
      <c r="I863">
        <v>0.188553269384588</v>
      </c>
      <c r="J863">
        <v>0.143240299234486</v>
      </c>
      <c r="K863">
        <v>0.12707659863620699</v>
      </c>
      <c r="L863">
        <v>2020.3742780683999</v>
      </c>
      <c r="M863">
        <v>38.7893851478537</v>
      </c>
      <c r="N863">
        <v>52.610826179783402</v>
      </c>
      <c r="O863">
        <v>51.947896974654498</v>
      </c>
      <c r="P863">
        <v>-0.15671375328978601</v>
      </c>
      <c r="Q863">
        <v>0.16049917605175901</v>
      </c>
      <c r="R863">
        <v>0.94926868483605498</v>
      </c>
      <c r="S863" t="s">
        <v>7509</v>
      </c>
      <c r="T863" t="s">
        <v>13290</v>
      </c>
      <c r="U863" t="s">
        <v>13290</v>
      </c>
      <c r="V863" t="s">
        <v>13290</v>
      </c>
      <c r="W863" t="s">
        <v>14139</v>
      </c>
      <c r="X863">
        <v>4</v>
      </c>
      <c r="Y863" t="s">
        <v>20725</v>
      </c>
      <c r="Z863" t="s">
        <v>27193</v>
      </c>
      <c r="AA863">
        <v>0.50191254438439947</v>
      </c>
      <c r="AB863" t="str">
        <f>HYPERLINK("Melting_Curves/meltCurve_G5E933_SBF1.pdf", "Melting_Curves/meltCurve_G5E933_SBF1.pdf")</f>
        <v>Melting_Curves/meltCurve_G5E933_SBF1.pdf</v>
      </c>
    </row>
    <row r="864" spans="1:28" x14ac:dyDescent="0.25">
      <c r="A864" t="s">
        <v>868</v>
      </c>
      <c r="B864">
        <v>0.99252571173614901</v>
      </c>
      <c r="C864">
        <v>0.65313705378306397</v>
      </c>
      <c r="D864">
        <v>0.47299797421322198</v>
      </c>
      <c r="E864">
        <v>0.14602987012339799</v>
      </c>
      <c r="F864">
        <v>8.4618174678127794E-2</v>
      </c>
      <c r="G864">
        <v>5.8514817853839697E-2</v>
      </c>
      <c r="H864">
        <v>4.4861584129050197E-2</v>
      </c>
      <c r="I864">
        <v>5.1727148032961801E-2</v>
      </c>
      <c r="J864">
        <v>4.2649361545561697E-2</v>
      </c>
      <c r="K864">
        <v>4.1625497241227903E-2</v>
      </c>
      <c r="L864">
        <v>868.11662643174998</v>
      </c>
      <c r="M864">
        <v>19.308153053173399</v>
      </c>
      <c r="N864">
        <v>45.158244365257602</v>
      </c>
      <c r="O864">
        <v>44.487193930947697</v>
      </c>
      <c r="P864">
        <v>-0.10412322579135901</v>
      </c>
      <c r="Q864">
        <v>4.0410332924570601E-2</v>
      </c>
      <c r="R864">
        <v>0.98510369266410902</v>
      </c>
      <c r="S864" t="s">
        <v>7510</v>
      </c>
      <c r="T864" t="s">
        <v>13290</v>
      </c>
      <c r="U864" t="s">
        <v>13290</v>
      </c>
      <c r="V864" t="s">
        <v>13290</v>
      </c>
      <c r="W864" t="s">
        <v>14140</v>
      </c>
      <c r="X864">
        <v>2</v>
      </c>
      <c r="Y864" t="s">
        <v>20726</v>
      </c>
      <c r="Z864" t="s">
        <v>27194</v>
      </c>
      <c r="AA864">
        <v>0.2168050023897353</v>
      </c>
      <c r="AB864" t="str">
        <f>HYPERLINK("Melting_Curves/meltCurve_G5E975_SMARCB1.pdf", "Melting_Curves/meltCurve_G5E975_SMARCB1.pdf")</f>
        <v>Melting_Curves/meltCurve_G5E975_SMARCB1.pdf</v>
      </c>
    </row>
    <row r="865" spans="1:28" x14ac:dyDescent="0.25">
      <c r="A865" t="s">
        <v>869</v>
      </c>
      <c r="B865">
        <v>0.99252571173614901</v>
      </c>
      <c r="C865">
        <v>0.85174641873364099</v>
      </c>
      <c r="D865">
        <v>0.88031435435463801</v>
      </c>
      <c r="E865">
        <v>0.90067667769668602</v>
      </c>
      <c r="F865">
        <v>0.67346381619516504</v>
      </c>
      <c r="G865">
        <v>0.447409439641069</v>
      </c>
      <c r="H865">
        <v>0.293619201401705</v>
      </c>
      <c r="I865">
        <v>0.27189490791210003</v>
      </c>
      <c r="J865">
        <v>0.38613411062231501</v>
      </c>
      <c r="K865">
        <v>0.233050175753583</v>
      </c>
      <c r="L865">
        <v>942.42123873149899</v>
      </c>
      <c r="M865">
        <v>17.583084844747699</v>
      </c>
      <c r="N865">
        <v>55.922704952908198</v>
      </c>
      <c r="O865">
        <v>52.919311266017402</v>
      </c>
      <c r="P865">
        <v>-6.1533642743863901E-2</v>
      </c>
      <c r="Q865">
        <v>0.25925590214571398</v>
      </c>
      <c r="R865">
        <v>0.94442530974214001</v>
      </c>
      <c r="S865" t="s">
        <v>7511</v>
      </c>
      <c r="T865" t="s">
        <v>13290</v>
      </c>
      <c r="U865" t="s">
        <v>13290</v>
      </c>
      <c r="V865" t="s">
        <v>13290</v>
      </c>
      <c r="W865" t="s">
        <v>14141</v>
      </c>
      <c r="X865">
        <v>1</v>
      </c>
      <c r="Y865" t="s">
        <v>20727</v>
      </c>
      <c r="Z865" t="s">
        <v>27195</v>
      </c>
      <c r="AA865">
        <v>0.6074237371805371</v>
      </c>
      <c r="AB865" t="str">
        <f>HYPERLINK("Melting_Curves/meltCurve_G5E994_GPR107.pdf", "Melting_Curves/meltCurve_G5E994_GPR107.pdf")</f>
        <v>Melting_Curves/meltCurve_G5E994_GPR107.pdf</v>
      </c>
    </row>
    <row r="866" spans="1:28" x14ac:dyDescent="0.25">
      <c r="A866" t="s">
        <v>870</v>
      </c>
      <c r="B866">
        <v>0.99252571173614901</v>
      </c>
      <c r="C866">
        <v>0.82779409140619498</v>
      </c>
      <c r="D866">
        <v>0.44674314486601002</v>
      </c>
      <c r="E866">
        <v>0.31610067955214199</v>
      </c>
      <c r="F866">
        <v>0.27553129272218302</v>
      </c>
      <c r="G866">
        <v>0.104182830350861</v>
      </c>
      <c r="H866">
        <v>6.4235470230999903E-2</v>
      </c>
      <c r="I866">
        <v>3.0452852823318801E-2</v>
      </c>
      <c r="J866">
        <v>0</v>
      </c>
      <c r="K866">
        <v>0</v>
      </c>
      <c r="L866">
        <v>641.326411138499</v>
      </c>
      <c r="M866">
        <v>13.7266377124126</v>
      </c>
      <c r="N866">
        <v>46.835989179032197</v>
      </c>
      <c r="O866">
        <v>45.763159110523198</v>
      </c>
      <c r="P866">
        <v>-7.3758345970522499E-2</v>
      </c>
      <c r="Q866">
        <v>1.6530099088064399E-2</v>
      </c>
      <c r="R866">
        <v>0.96890952339118996</v>
      </c>
      <c r="S866" t="s">
        <v>7512</v>
      </c>
      <c r="T866" t="s">
        <v>13290</v>
      </c>
      <c r="U866" t="s">
        <v>13290</v>
      </c>
      <c r="V866" t="s">
        <v>13290</v>
      </c>
      <c r="W866" t="s">
        <v>13512</v>
      </c>
      <c r="X866">
        <v>5</v>
      </c>
      <c r="Y866" t="s">
        <v>20728</v>
      </c>
      <c r="Z866" t="s">
        <v>27196</v>
      </c>
      <c r="AA866">
        <v>0.2694582890895808</v>
      </c>
      <c r="AB866" t="str">
        <f>HYPERLINK("Melting_Curves/meltCurve_G5E9A6_USP11.pdf", "Melting_Curves/meltCurve_G5E9A6_USP11.pdf")</f>
        <v>Melting_Curves/meltCurve_G5E9A6_USP11.pdf</v>
      </c>
    </row>
    <row r="867" spans="1:28" x14ac:dyDescent="0.25">
      <c r="A867" t="s">
        <v>871</v>
      </c>
      <c r="B867">
        <v>0.99252571173614901</v>
      </c>
      <c r="C867">
        <v>0.93362621037885696</v>
      </c>
      <c r="D867">
        <v>0.92568333120686697</v>
      </c>
      <c r="E867">
        <v>0.57183439236043998</v>
      </c>
      <c r="F867">
        <v>0.28435484051064902</v>
      </c>
      <c r="G867">
        <v>0.16593879323965999</v>
      </c>
      <c r="H867">
        <v>0.116992711385351</v>
      </c>
      <c r="I867">
        <v>0.13501453759934201</v>
      </c>
      <c r="J867">
        <v>0.16815221044861101</v>
      </c>
      <c r="K867">
        <v>0.176877912602944</v>
      </c>
      <c r="L867">
        <v>1312.24661960405</v>
      </c>
      <c r="M867">
        <v>26.4259886422563</v>
      </c>
      <c r="N867">
        <v>50.316869636236497</v>
      </c>
      <c r="O867">
        <v>49.375686060241399</v>
      </c>
      <c r="P867">
        <v>-0.114218587045594</v>
      </c>
      <c r="Q867">
        <v>0.14636162605526701</v>
      </c>
      <c r="R867">
        <v>0.99486092110842295</v>
      </c>
      <c r="S867" t="s">
        <v>7513</v>
      </c>
      <c r="T867" t="s">
        <v>13290</v>
      </c>
      <c r="U867" t="s">
        <v>13290</v>
      </c>
      <c r="V867" t="s">
        <v>13290</v>
      </c>
      <c r="W867" t="s">
        <v>14142</v>
      </c>
      <c r="X867">
        <v>35</v>
      </c>
      <c r="Y867" t="s">
        <v>20729</v>
      </c>
      <c r="Z867" t="s">
        <v>27197</v>
      </c>
      <c r="AA867">
        <v>0.42795478624057298</v>
      </c>
      <c r="AB867" t="str">
        <f>HYPERLINK("Melting_Curves/meltCurve_G5E9E7_TJP1.pdf", "Melting_Curves/meltCurve_G5E9E7_TJP1.pdf")</f>
        <v>Melting_Curves/meltCurve_G5E9E7_TJP1.pdf</v>
      </c>
    </row>
    <row r="868" spans="1:28" x14ac:dyDescent="0.25">
      <c r="A868" t="s">
        <v>872</v>
      </c>
      <c r="B868">
        <v>0.99252571173614901</v>
      </c>
      <c r="C868">
        <v>1.0139692361856401</v>
      </c>
      <c r="D868">
        <v>0.70094168189463801</v>
      </c>
      <c r="E868">
        <v>0.33124445370386402</v>
      </c>
      <c r="F868">
        <v>0.23232523934723001</v>
      </c>
      <c r="G868">
        <v>0.110618823846374</v>
      </c>
      <c r="H868">
        <v>7.6369336866676005E-2</v>
      </c>
      <c r="I868">
        <v>6.5161241067178299E-2</v>
      </c>
      <c r="J868">
        <v>8.9651705338294002E-2</v>
      </c>
      <c r="K868">
        <v>9.4259541262667806E-2</v>
      </c>
      <c r="L868">
        <v>1122.3197955693199</v>
      </c>
      <c r="M868">
        <v>23.543954578844598</v>
      </c>
      <c r="N868">
        <v>48.078019052974099</v>
      </c>
      <c r="O868">
        <v>47.329218443139297</v>
      </c>
      <c r="P868">
        <v>-0.11308106844668001</v>
      </c>
      <c r="Q868">
        <v>9.0730830077407398E-2</v>
      </c>
      <c r="R868">
        <v>0.99035248084246497</v>
      </c>
      <c r="S868" t="s">
        <v>7514</v>
      </c>
      <c r="T868" t="s">
        <v>13290</v>
      </c>
      <c r="U868" t="s">
        <v>13290</v>
      </c>
      <c r="V868" t="s">
        <v>13290</v>
      </c>
      <c r="W868" t="s">
        <v>14143</v>
      </c>
      <c r="X868">
        <v>2</v>
      </c>
      <c r="Y868" t="s">
        <v>20730</v>
      </c>
      <c r="Z868" t="s">
        <v>27198</v>
      </c>
      <c r="AA868">
        <v>0.33233291248256858</v>
      </c>
      <c r="AB868" t="str">
        <f>HYPERLINK("Melting_Curves/meltCurve_G5E9P3_NKIRAS1.pdf", "Melting_Curves/meltCurve_G5E9P3_NKIRAS1.pdf")</f>
        <v>Melting_Curves/meltCurve_G5E9P3_NKIRAS1.pdf</v>
      </c>
    </row>
    <row r="869" spans="1:28" x14ac:dyDescent="0.25">
      <c r="A869" t="s">
        <v>873</v>
      </c>
      <c r="B869">
        <v>0.99252571173614901</v>
      </c>
      <c r="C869">
        <v>0.823940663385891</v>
      </c>
      <c r="D869">
        <v>0.52394767972359402</v>
      </c>
      <c r="E869">
        <v>0.474622326112418</v>
      </c>
      <c r="F869">
        <v>0.30712876838518999</v>
      </c>
      <c r="G869">
        <v>0.193883102267526</v>
      </c>
      <c r="H869">
        <v>0.180140165756246</v>
      </c>
      <c r="I869">
        <v>0.236530183793253</v>
      </c>
      <c r="J869">
        <v>0.28698595890100698</v>
      </c>
      <c r="K869">
        <v>0.30689325823140601</v>
      </c>
      <c r="L869">
        <v>828.75668546608495</v>
      </c>
      <c r="M869">
        <v>18.185339457541701</v>
      </c>
      <c r="N869">
        <v>47.321731516219899</v>
      </c>
      <c r="O869">
        <v>45.032434482845602</v>
      </c>
      <c r="P869">
        <v>-7.6258102342543599E-2</v>
      </c>
      <c r="Q869">
        <v>0.24468272290069901</v>
      </c>
      <c r="R869">
        <v>0.95546288228413301</v>
      </c>
      <c r="S869" t="s">
        <v>7515</v>
      </c>
      <c r="T869" t="s">
        <v>13290</v>
      </c>
      <c r="U869" t="s">
        <v>13290</v>
      </c>
      <c r="V869" t="s">
        <v>13290</v>
      </c>
      <c r="W869" t="s">
        <v>14144</v>
      </c>
      <c r="X869">
        <v>2</v>
      </c>
      <c r="Y869" t="s">
        <v>20731</v>
      </c>
      <c r="Z869" t="s">
        <v>27199</v>
      </c>
      <c r="AA869">
        <v>0.40000677453314359</v>
      </c>
      <c r="AB869" t="str">
        <f>HYPERLINK("Melting_Curves/meltCurve_G5E9V4_HPS3.pdf", "Melting_Curves/meltCurve_G5E9V4_HPS3.pdf")</f>
        <v>Melting_Curves/meltCurve_G5E9V4_HPS3.pdf</v>
      </c>
    </row>
    <row r="870" spans="1:28" x14ac:dyDescent="0.25">
      <c r="A870" t="s">
        <v>874</v>
      </c>
      <c r="B870">
        <v>0.99252571173614901</v>
      </c>
      <c r="C870">
        <v>1.1426939152958999</v>
      </c>
      <c r="D870">
        <v>0.83299121655499397</v>
      </c>
      <c r="E870">
        <v>0.61047947116346502</v>
      </c>
      <c r="F870">
        <v>0.49996704622698401</v>
      </c>
      <c r="G870">
        <v>0.27248874669957102</v>
      </c>
      <c r="H870">
        <v>0.213368861198377</v>
      </c>
      <c r="I870">
        <v>0.20142502599019399</v>
      </c>
      <c r="J870">
        <v>0.50198927912414404</v>
      </c>
      <c r="K870">
        <v>0.547567795246514</v>
      </c>
      <c r="L870">
        <v>1278.0294360007399</v>
      </c>
      <c r="M870">
        <v>26.199468866705601</v>
      </c>
      <c r="N870">
        <v>51.224633539099003</v>
      </c>
      <c r="O870">
        <v>48.499206405454402</v>
      </c>
      <c r="P870">
        <v>-8.6873823726939595E-2</v>
      </c>
      <c r="Q870">
        <v>0.35674051071646801</v>
      </c>
      <c r="R870">
        <v>0.84181474042275195</v>
      </c>
      <c r="S870" t="s">
        <v>7516</v>
      </c>
      <c r="T870" t="s">
        <v>13290</v>
      </c>
      <c r="U870" t="s">
        <v>13290</v>
      </c>
      <c r="V870" t="s">
        <v>13290</v>
      </c>
      <c r="W870" t="s">
        <v>14145</v>
      </c>
      <c r="X870">
        <v>1</v>
      </c>
      <c r="Y870" t="s">
        <v>20732</v>
      </c>
      <c r="Z870" t="s">
        <v>27200</v>
      </c>
      <c r="AA870">
        <v>0.55018319323652576</v>
      </c>
      <c r="AB870" t="str">
        <f>HYPERLINK("Melting_Curves/meltCurve_G5EA07_PWWP2A.pdf", "Melting_Curves/meltCurve_G5EA07_PWWP2A.pdf")</f>
        <v>Melting_Curves/meltCurve_G5EA07_PWWP2A.pdf</v>
      </c>
    </row>
    <row r="871" spans="1:28" x14ac:dyDescent="0.25">
      <c r="A871" t="s">
        <v>875</v>
      </c>
      <c r="B871">
        <v>0.99252571173614901</v>
      </c>
      <c r="C871">
        <v>0.878413483276548</v>
      </c>
      <c r="D871">
        <v>0.49306008885006802</v>
      </c>
      <c r="E871">
        <v>0.22444557922029701</v>
      </c>
      <c r="F871">
        <v>0.14933291222688899</v>
      </c>
      <c r="G871">
        <v>9.9551796667486203E-2</v>
      </c>
      <c r="H871">
        <v>6.1092655269161203E-2</v>
      </c>
      <c r="I871">
        <v>5.2798916775202903E-2</v>
      </c>
      <c r="J871">
        <v>6.5318355319221796E-2</v>
      </c>
      <c r="K871">
        <v>6.8169902591921794E-2</v>
      </c>
      <c r="L871">
        <v>1091.2540814107001</v>
      </c>
      <c r="M871">
        <v>23.782271556877099</v>
      </c>
      <c r="N871">
        <v>46.200666688964802</v>
      </c>
      <c r="O871">
        <v>45.564448375196299</v>
      </c>
      <c r="P871">
        <v>-0.12070905904919001</v>
      </c>
      <c r="Q871">
        <v>7.4949164678069294E-2</v>
      </c>
      <c r="R871">
        <v>0.99551049048393003</v>
      </c>
      <c r="S871" t="s">
        <v>7517</v>
      </c>
      <c r="T871" t="s">
        <v>13290</v>
      </c>
      <c r="U871" t="s">
        <v>13290</v>
      </c>
      <c r="V871" t="s">
        <v>13290</v>
      </c>
      <c r="W871" t="s">
        <v>14146</v>
      </c>
      <c r="X871">
        <v>15</v>
      </c>
      <c r="Y871" t="s">
        <v>20733</v>
      </c>
      <c r="Z871" t="s">
        <v>27201</v>
      </c>
      <c r="AA871">
        <v>0.26607438872224942</v>
      </c>
      <c r="AB871" t="str">
        <f>HYPERLINK("Melting_Curves/meltCurve_G5EA30_CELF1.pdf", "Melting_Curves/meltCurve_G5EA30_CELF1.pdf")</f>
        <v>Melting_Curves/meltCurve_G5EA30_CELF1.pdf</v>
      </c>
    </row>
    <row r="872" spans="1:28" x14ac:dyDescent="0.25">
      <c r="A872" t="s">
        <v>876</v>
      </c>
      <c r="B872">
        <v>0.99252571173614901</v>
      </c>
      <c r="C872">
        <v>1.03720037640465</v>
      </c>
      <c r="D872">
        <v>0.77257284592334396</v>
      </c>
      <c r="E872">
        <v>0.63866099055703796</v>
      </c>
      <c r="F872">
        <v>0.40396599872787398</v>
      </c>
      <c r="G872">
        <v>0.247755458407559</v>
      </c>
      <c r="H872">
        <v>0.15877050233934201</v>
      </c>
      <c r="I872">
        <v>0.13324194029217501</v>
      </c>
      <c r="J872">
        <v>0.15893411476097299</v>
      </c>
      <c r="K872">
        <v>8.9773253881976794E-2</v>
      </c>
      <c r="L872">
        <v>769.09417255811695</v>
      </c>
      <c r="M872">
        <v>15.176552634008701</v>
      </c>
      <c r="N872">
        <v>51.449383634684402</v>
      </c>
      <c r="O872">
        <v>49.821051008497797</v>
      </c>
      <c r="P872">
        <v>-6.83990266680857E-2</v>
      </c>
      <c r="Q872">
        <v>0.101935028483853</v>
      </c>
      <c r="R872">
        <v>0.987311163574349</v>
      </c>
      <c r="S872" t="s">
        <v>7518</v>
      </c>
      <c r="T872" t="s">
        <v>13290</v>
      </c>
      <c r="U872" t="s">
        <v>13290</v>
      </c>
      <c r="V872" t="s">
        <v>13290</v>
      </c>
      <c r="W872" t="s">
        <v>14147</v>
      </c>
      <c r="X872">
        <v>1</v>
      </c>
      <c r="Y872" t="s">
        <v>20734</v>
      </c>
      <c r="Z872" t="s">
        <v>27202</v>
      </c>
      <c r="AA872">
        <v>0.44209010158396922</v>
      </c>
      <c r="AB872" t="str">
        <f>HYPERLINK("Melting_Curves/meltCurve_G8JL95_MAU2.pdf", "Melting_Curves/meltCurve_G8JL95_MAU2.pdf")</f>
        <v>Melting_Curves/meltCurve_G8JL95_MAU2.pdf</v>
      </c>
    </row>
    <row r="873" spans="1:28" x14ac:dyDescent="0.25">
      <c r="A873" t="s">
        <v>877</v>
      </c>
      <c r="B873">
        <v>0.99252571173614901</v>
      </c>
      <c r="C873">
        <v>0.49973467889916501</v>
      </c>
      <c r="D873">
        <v>0.32725874843293801</v>
      </c>
      <c r="E873">
        <v>0.29928789191277599</v>
      </c>
      <c r="F873">
        <v>0.147361742851818</v>
      </c>
      <c r="G873">
        <v>9.4110996435948599E-2</v>
      </c>
      <c r="H873">
        <v>8.5052950797207094E-2</v>
      </c>
      <c r="I873">
        <v>8.0507820069234196E-2</v>
      </c>
      <c r="J873">
        <v>9.0652315645404102E-2</v>
      </c>
      <c r="K873">
        <v>9.0094812549937994E-2</v>
      </c>
      <c r="L873">
        <v>876.64706098194199</v>
      </c>
      <c r="M873">
        <v>20.2018816486937</v>
      </c>
      <c r="N873">
        <v>43.921708174099699</v>
      </c>
      <c r="O873">
        <v>42.975833860725203</v>
      </c>
      <c r="P873">
        <v>-0.104865982312111</v>
      </c>
      <c r="Q873">
        <v>0.107694613519886</v>
      </c>
      <c r="R873">
        <v>0.93885843679893799</v>
      </c>
      <c r="S873" t="s">
        <v>7519</v>
      </c>
      <c r="T873" t="s">
        <v>13290</v>
      </c>
      <c r="U873" t="s">
        <v>13290</v>
      </c>
      <c r="V873" t="s">
        <v>13290</v>
      </c>
      <c r="W873" t="s">
        <v>14148</v>
      </c>
      <c r="X873">
        <v>4</v>
      </c>
      <c r="Y873" t="s">
        <v>20735</v>
      </c>
      <c r="Z873" t="s">
        <v>27203</v>
      </c>
      <c r="AA873">
        <v>0.22758449237567779</v>
      </c>
      <c r="AB873" t="str">
        <f>HYPERLINK("Melting_Curves/meltCurve_G8JL98_TDG.pdf", "Melting_Curves/meltCurve_G8JL98_TDG.pdf")</f>
        <v>Melting_Curves/meltCurve_G8JL98_TDG.pdf</v>
      </c>
    </row>
    <row r="874" spans="1:28" x14ac:dyDescent="0.25">
      <c r="A874" t="s">
        <v>878</v>
      </c>
      <c r="B874">
        <v>0.99252571173614901</v>
      </c>
      <c r="C874">
        <v>0.89415285698427205</v>
      </c>
      <c r="D874">
        <v>0.30238760096031497</v>
      </c>
      <c r="E874">
        <v>0.15578358644781201</v>
      </c>
      <c r="F874">
        <v>9.5643710758937406E-2</v>
      </c>
      <c r="G874">
        <v>5.6217675280232603E-2</v>
      </c>
      <c r="H874">
        <v>3.9580293236606397E-2</v>
      </c>
      <c r="I874">
        <v>4.2484804371149099E-2</v>
      </c>
      <c r="J874">
        <v>4.1049523412973403E-2</v>
      </c>
      <c r="K874">
        <v>4.0609087674959597E-2</v>
      </c>
      <c r="L874">
        <v>1849.1206893252199</v>
      </c>
      <c r="M874">
        <v>41.182995180120997</v>
      </c>
      <c r="N874">
        <v>45.047123405000399</v>
      </c>
      <c r="O874">
        <v>44.7946098122801</v>
      </c>
      <c r="P874">
        <v>-0.21539030069628201</v>
      </c>
      <c r="Q874">
        <v>6.2884147039707003E-2</v>
      </c>
      <c r="R874">
        <v>0.99264003512980004</v>
      </c>
      <c r="S874" t="s">
        <v>7520</v>
      </c>
      <c r="T874" t="s">
        <v>13290</v>
      </c>
      <c r="U874" t="s">
        <v>13290</v>
      </c>
      <c r="V874" t="s">
        <v>13290</v>
      </c>
      <c r="W874" t="s">
        <v>14149</v>
      </c>
      <c r="X874">
        <v>12</v>
      </c>
      <c r="Y874" t="s">
        <v>20736</v>
      </c>
      <c r="Z874" t="s">
        <v>27204</v>
      </c>
      <c r="AA874">
        <v>0.2188592009100237</v>
      </c>
      <c r="AB874" t="str">
        <f>HYPERLINK("Melting_Curves/meltCurve_G8JLB3_PUS1.pdf", "Melting_Curves/meltCurve_G8JLB3_PUS1.pdf")</f>
        <v>Melting_Curves/meltCurve_G8JLB3_PUS1.pdf</v>
      </c>
    </row>
    <row r="875" spans="1:28" x14ac:dyDescent="0.25">
      <c r="A875" t="s">
        <v>879</v>
      </c>
      <c r="B875">
        <v>0.99252571173614901</v>
      </c>
      <c r="C875">
        <v>0.85206599424727203</v>
      </c>
      <c r="D875">
        <v>0.51601832075508802</v>
      </c>
      <c r="E875">
        <v>0.22149749185168099</v>
      </c>
      <c r="F875">
        <v>0.116866816083257</v>
      </c>
      <c r="G875">
        <v>6.99583492120157E-2</v>
      </c>
      <c r="H875">
        <v>5.6217077508339403E-2</v>
      </c>
      <c r="I875">
        <v>6.4299191975571601E-2</v>
      </c>
      <c r="J875">
        <v>8.1094780523569096E-2</v>
      </c>
      <c r="K875">
        <v>7.93614096043012E-2</v>
      </c>
      <c r="L875">
        <v>1070.78311246518</v>
      </c>
      <c r="M875">
        <v>23.3149913210734</v>
      </c>
      <c r="N875">
        <v>46.225815944569199</v>
      </c>
      <c r="O875">
        <v>45.592933814713099</v>
      </c>
      <c r="P875">
        <v>-0.11889626533038</v>
      </c>
      <c r="Q875">
        <v>7.0000193249599801E-2</v>
      </c>
      <c r="R875">
        <v>0.998752115479554</v>
      </c>
      <c r="S875" t="s">
        <v>7521</v>
      </c>
      <c r="T875" t="s">
        <v>13290</v>
      </c>
      <c r="U875" t="s">
        <v>13290</v>
      </c>
      <c r="V875" t="s">
        <v>13290</v>
      </c>
      <c r="W875" t="s">
        <v>14150</v>
      </c>
      <c r="X875">
        <v>15</v>
      </c>
      <c r="Y875" t="s">
        <v>20737</v>
      </c>
      <c r="Z875" t="s">
        <v>27205</v>
      </c>
      <c r="AA875">
        <v>0.26386972833121242</v>
      </c>
      <c r="AB875" t="str">
        <f>HYPERLINK("Melting_Curves/meltCurve_G8JLB6_HNRNPH1.pdf", "Melting_Curves/meltCurve_G8JLB6_HNRNPH1.pdf")</f>
        <v>Melting_Curves/meltCurve_G8JLB6_HNRNPH1.pdf</v>
      </c>
    </row>
    <row r="876" spans="1:28" x14ac:dyDescent="0.25">
      <c r="A876" t="s">
        <v>880</v>
      </c>
      <c r="B876">
        <v>0.99252571173614901</v>
      </c>
      <c r="C876">
        <v>0.99910223078654803</v>
      </c>
      <c r="D876">
        <v>0.95214548245554798</v>
      </c>
      <c r="E876">
        <v>0.85798951730604001</v>
      </c>
      <c r="F876">
        <v>0.81306858052773601</v>
      </c>
      <c r="G876">
        <v>0.75235553159955704</v>
      </c>
      <c r="H876">
        <v>0.77784668518050704</v>
      </c>
      <c r="I876">
        <v>0.93917279765019201</v>
      </c>
      <c r="J876">
        <v>1.3628007050343101</v>
      </c>
      <c r="K876">
        <v>1.6014114737701799</v>
      </c>
      <c r="L876">
        <v>15000</v>
      </c>
      <c r="M876">
        <v>224.51938681545201</v>
      </c>
      <c r="O876">
        <v>66.804074724468194</v>
      </c>
      <c r="P876">
        <v>0.42010795791829397</v>
      </c>
      <c r="Q876">
        <v>1.5</v>
      </c>
      <c r="R876">
        <v>0.72609139920533405</v>
      </c>
      <c r="S876" t="s">
        <v>7522</v>
      </c>
      <c r="T876" t="s">
        <v>13290</v>
      </c>
      <c r="U876" t="s">
        <v>13290</v>
      </c>
      <c r="V876" t="s">
        <v>13290</v>
      </c>
      <c r="W876" t="s">
        <v>14151</v>
      </c>
      <c r="X876">
        <v>3</v>
      </c>
      <c r="Y876" t="s">
        <v>20738</v>
      </c>
      <c r="Z876" t="s">
        <v>27206</v>
      </c>
      <c r="AA876">
        <v>1.0531045838299571</v>
      </c>
      <c r="AB876" t="str">
        <f>HYPERLINK("Melting_Curves/meltCurve_G8JLC4_SMPD4.pdf", "Melting_Curves/meltCurve_G8JLC4_SMPD4.pdf")</f>
        <v>Melting_Curves/meltCurve_G8JLC4_SMPD4.pdf</v>
      </c>
    </row>
    <row r="877" spans="1:28" x14ac:dyDescent="0.25">
      <c r="A877" t="s">
        <v>881</v>
      </c>
      <c r="B877">
        <v>0.99252571173614901</v>
      </c>
      <c r="C877">
        <v>1.3314990123122901</v>
      </c>
      <c r="D877">
        <v>1.04811867095073</v>
      </c>
      <c r="E877">
        <v>0.86897760360143805</v>
      </c>
      <c r="F877">
        <v>0.66118642557256202</v>
      </c>
      <c r="G877">
        <v>0.16789166791466401</v>
      </c>
      <c r="H877">
        <v>5.8539917901531201E-2</v>
      </c>
      <c r="I877">
        <v>4.71389274516677E-2</v>
      </c>
      <c r="J877">
        <v>5.0076377405104698E-2</v>
      </c>
      <c r="K877">
        <v>4.5975569770493399E-2</v>
      </c>
      <c r="L877">
        <v>1760.53018886115</v>
      </c>
      <c r="M877">
        <v>32.629003278114503</v>
      </c>
      <c r="N877">
        <v>54.089939742364599</v>
      </c>
      <c r="O877">
        <v>53.7545337969025</v>
      </c>
      <c r="P877">
        <v>-0.14586089371560301</v>
      </c>
      <c r="Q877">
        <v>3.8812485322991697E-2</v>
      </c>
      <c r="R877">
        <v>0.94757154067899496</v>
      </c>
      <c r="S877" t="s">
        <v>7523</v>
      </c>
      <c r="T877" t="s">
        <v>13290</v>
      </c>
      <c r="U877" t="s">
        <v>13290</v>
      </c>
      <c r="V877" t="s">
        <v>13290</v>
      </c>
      <c r="W877" t="s">
        <v>14152</v>
      </c>
      <c r="X877">
        <v>5</v>
      </c>
      <c r="Y877" t="s">
        <v>20739</v>
      </c>
      <c r="Z877" t="s">
        <v>27207</v>
      </c>
      <c r="AA877">
        <v>0.49131537377976853</v>
      </c>
      <c r="AB877" t="str">
        <f>HYPERLINK("Melting_Curves/meltCurve_G8JLI5_WDR45.pdf", "Melting_Curves/meltCurve_G8JLI5_WDR45.pdf")</f>
        <v>Melting_Curves/meltCurve_G8JLI5_WDR45.pdf</v>
      </c>
    </row>
    <row r="878" spans="1:28" x14ac:dyDescent="0.25">
      <c r="A878" t="s">
        <v>882</v>
      </c>
      <c r="B878">
        <v>0.99252571173614901</v>
      </c>
      <c r="C878">
        <v>0.87892272088485701</v>
      </c>
      <c r="D878">
        <v>0.83869142306342304</v>
      </c>
      <c r="E878">
        <v>0.463090593483244</v>
      </c>
      <c r="F878">
        <v>0.201029457840006</v>
      </c>
      <c r="G878">
        <v>0.11203630770737601</v>
      </c>
      <c r="H878">
        <v>8.7535031883353306E-2</v>
      </c>
      <c r="I878">
        <v>0.119153971797616</v>
      </c>
      <c r="J878">
        <v>0.13580485240534099</v>
      </c>
      <c r="K878">
        <v>0.10658230559642901</v>
      </c>
      <c r="L878">
        <v>1117.0443742180701</v>
      </c>
      <c r="M878">
        <v>22.946096951851299</v>
      </c>
      <c r="N878">
        <v>49.168570829405198</v>
      </c>
      <c r="O878">
        <v>48.316031153595802</v>
      </c>
      <c r="P878">
        <v>-0.106655195434877</v>
      </c>
      <c r="Q878">
        <v>0.10171089082828901</v>
      </c>
      <c r="R878">
        <v>0.991973327348598</v>
      </c>
      <c r="S878" t="s">
        <v>7524</v>
      </c>
      <c r="T878" t="s">
        <v>13290</v>
      </c>
      <c r="U878" t="s">
        <v>13290</v>
      </c>
      <c r="V878" t="s">
        <v>13290</v>
      </c>
      <c r="W878" t="s">
        <v>14153</v>
      </c>
      <c r="X878">
        <v>6</v>
      </c>
      <c r="Y878" t="s">
        <v>20740</v>
      </c>
      <c r="Z878" t="s">
        <v>27208</v>
      </c>
      <c r="AA878">
        <v>0.3711503103802703</v>
      </c>
      <c r="AB878" t="str">
        <f>HYPERLINK("Melting_Curves/meltCurve_G8JLI6_LEPREL2.pdf", "Melting_Curves/meltCurve_G8JLI6_LEPREL2.pdf")</f>
        <v>Melting_Curves/meltCurve_G8JLI6_LEPREL2.pdf</v>
      </c>
    </row>
    <row r="879" spans="1:28" x14ac:dyDescent="0.25">
      <c r="A879" t="s">
        <v>883</v>
      </c>
      <c r="B879">
        <v>0.99252571173614901</v>
      </c>
      <c r="C879">
        <v>0.96781386853232898</v>
      </c>
      <c r="D879">
        <v>0.92695580664113597</v>
      </c>
      <c r="E879">
        <v>0.769426432495529</v>
      </c>
      <c r="F879">
        <v>0.33629887664666802</v>
      </c>
      <c r="G879">
        <v>0.177462723573271</v>
      </c>
      <c r="H879">
        <v>0.12817857685935899</v>
      </c>
      <c r="I879">
        <v>0.140004373821001</v>
      </c>
      <c r="J879">
        <v>0.20877105518727901</v>
      </c>
      <c r="K879">
        <v>0.23415518868444599</v>
      </c>
      <c r="L879">
        <v>1681.4949741114499</v>
      </c>
      <c r="M879">
        <v>33.011082969151701</v>
      </c>
      <c r="N879">
        <v>51.596308352290499</v>
      </c>
      <c r="O879">
        <v>50.751453505613803</v>
      </c>
      <c r="P879">
        <v>-0.13464050518165399</v>
      </c>
      <c r="Q879">
        <v>0.17201499284975</v>
      </c>
      <c r="R879">
        <v>0.99010200044414298</v>
      </c>
      <c r="S879" t="s">
        <v>7525</v>
      </c>
      <c r="T879" t="s">
        <v>13290</v>
      </c>
      <c r="U879" t="s">
        <v>13290</v>
      </c>
      <c r="V879" t="s">
        <v>13290</v>
      </c>
      <c r="W879" t="s">
        <v>14154</v>
      </c>
      <c r="X879">
        <v>15</v>
      </c>
      <c r="Y879" t="s">
        <v>20741</v>
      </c>
      <c r="Z879" t="s">
        <v>27209</v>
      </c>
      <c r="AA879">
        <v>0.47817029349132911</v>
      </c>
      <c r="AB879" t="str">
        <f>HYPERLINK("Melting_Curves/meltCurve_G8JLK4_TACC1.pdf", "Melting_Curves/meltCurve_G8JLK4_TACC1.pdf")</f>
        <v>Melting_Curves/meltCurve_G8JLK4_TACC1.pdf</v>
      </c>
    </row>
    <row r="880" spans="1:28" x14ac:dyDescent="0.25">
      <c r="A880" t="s">
        <v>884</v>
      </c>
      <c r="B880">
        <v>0.99252571173614901</v>
      </c>
      <c r="C880">
        <v>0.98702379208500302</v>
      </c>
      <c r="D880">
        <v>0.951386363517151</v>
      </c>
      <c r="E880">
        <v>0.74347307570945897</v>
      </c>
      <c r="F880">
        <v>0.57282912857078505</v>
      </c>
      <c r="G880">
        <v>0.44292864056949199</v>
      </c>
      <c r="H880">
        <v>0.24809611132478401</v>
      </c>
      <c r="I880">
        <v>0.11740023896671301</v>
      </c>
      <c r="J880">
        <v>0.13940395929632701</v>
      </c>
      <c r="K880">
        <v>0.122542424811952</v>
      </c>
      <c r="L880">
        <v>694.76900985898499</v>
      </c>
      <c r="M880">
        <v>12.7982062821269</v>
      </c>
      <c r="N880">
        <v>54.7694001157044</v>
      </c>
      <c r="O880">
        <v>53.0122795280191</v>
      </c>
      <c r="P880">
        <v>-5.7145107104778402E-2</v>
      </c>
      <c r="Q880">
        <v>5.3360246736750702E-2</v>
      </c>
      <c r="R880">
        <v>0.99256647172651602</v>
      </c>
      <c r="S880" t="s">
        <v>7526</v>
      </c>
      <c r="T880" t="s">
        <v>13290</v>
      </c>
      <c r="U880" t="s">
        <v>13290</v>
      </c>
      <c r="V880" t="s">
        <v>13290</v>
      </c>
      <c r="W880" t="s">
        <v>14155</v>
      </c>
      <c r="X880">
        <v>1</v>
      </c>
      <c r="Y880" t="s">
        <v>20742</v>
      </c>
      <c r="Z880" t="s">
        <v>27210</v>
      </c>
      <c r="AA880">
        <v>0.52683227065344584</v>
      </c>
      <c r="AB880" t="str">
        <f>HYPERLINK("Melting_Curves/meltCurve_G8JLL2_PPT2.pdf", "Melting_Curves/meltCurve_G8JLL2_PPT2.pdf")</f>
        <v>Melting_Curves/meltCurve_G8JLL2_PPT2.pdf</v>
      </c>
    </row>
    <row r="881" spans="1:28" x14ac:dyDescent="0.25">
      <c r="A881" t="s">
        <v>885</v>
      </c>
      <c r="B881">
        <v>0.99252571173614901</v>
      </c>
      <c r="C881">
        <v>1.02704929715225</v>
      </c>
      <c r="D881">
        <v>0.94707332262514199</v>
      </c>
      <c r="E881">
        <v>0.60252103285237901</v>
      </c>
      <c r="F881">
        <v>0.183524951871787</v>
      </c>
      <c r="G881">
        <v>8.7344528501220195E-2</v>
      </c>
      <c r="H881">
        <v>6.2780776576997696E-2</v>
      </c>
      <c r="I881">
        <v>6.6992640547673205E-2</v>
      </c>
      <c r="J881">
        <v>0.100436739574275</v>
      </c>
      <c r="K881">
        <v>7.0127510939638205E-2</v>
      </c>
      <c r="L881">
        <v>1684.0805545380999</v>
      </c>
      <c r="M881">
        <v>33.671377834248901</v>
      </c>
      <c r="N881">
        <v>50.253641616088899</v>
      </c>
      <c r="O881">
        <v>49.839768824097902</v>
      </c>
      <c r="P881">
        <v>-0.15642974611299801</v>
      </c>
      <c r="Q881">
        <v>7.3825805133042405E-2</v>
      </c>
      <c r="R881">
        <v>0.99879946147999799</v>
      </c>
      <c r="S881" t="s">
        <v>7527</v>
      </c>
      <c r="T881" t="s">
        <v>13290</v>
      </c>
      <c r="U881" t="s">
        <v>13290</v>
      </c>
      <c r="V881" t="s">
        <v>13290</v>
      </c>
      <c r="W881" t="s">
        <v>14156</v>
      </c>
      <c r="X881">
        <v>3</v>
      </c>
      <c r="Y881" t="s">
        <v>20743</v>
      </c>
      <c r="Z881" t="s">
        <v>27211</v>
      </c>
      <c r="AA881">
        <v>0.38755592910903092</v>
      </c>
      <c r="AB881" t="str">
        <f>HYPERLINK("Melting_Curves/meltCurve_G8JLL7_MVB12B.pdf", "Melting_Curves/meltCurve_G8JLL7_MVB12B.pdf")</f>
        <v>Melting_Curves/meltCurve_G8JLL7_MVB12B.pdf</v>
      </c>
    </row>
    <row r="882" spans="1:28" x14ac:dyDescent="0.25">
      <c r="A882" t="s">
        <v>886</v>
      </c>
      <c r="B882">
        <v>0.99252571173614901</v>
      </c>
      <c r="C882">
        <v>0.95203294311017295</v>
      </c>
      <c r="D882">
        <v>0.85325648592179304</v>
      </c>
      <c r="E882">
        <v>0.50369371041619904</v>
      </c>
      <c r="F882">
        <v>0.341760757486817</v>
      </c>
      <c r="G882">
        <v>0.223481657518421</v>
      </c>
      <c r="H882">
        <v>0.19372905701729501</v>
      </c>
      <c r="I882">
        <v>0.15266735289626501</v>
      </c>
      <c r="J882">
        <v>0.16096376825851999</v>
      </c>
      <c r="K882">
        <v>8.4107874464626795E-2</v>
      </c>
      <c r="L882">
        <v>899.74962385402705</v>
      </c>
      <c r="M882">
        <v>18.232966305321</v>
      </c>
      <c r="N882">
        <v>50.238938438102203</v>
      </c>
      <c r="O882">
        <v>48.765288136749398</v>
      </c>
      <c r="P882">
        <v>-8.0557493199032201E-2</v>
      </c>
      <c r="Q882">
        <v>0.13821480034018799</v>
      </c>
      <c r="R882">
        <v>0.99271502383444299</v>
      </c>
      <c r="S882" t="s">
        <v>7528</v>
      </c>
      <c r="T882" t="s">
        <v>13290</v>
      </c>
      <c r="U882" t="s">
        <v>13290</v>
      </c>
      <c r="V882" t="s">
        <v>13290</v>
      </c>
      <c r="W882" t="s">
        <v>14157</v>
      </c>
      <c r="X882">
        <v>2</v>
      </c>
      <c r="Y882" t="s">
        <v>20744</v>
      </c>
      <c r="Z882" t="s">
        <v>27212</v>
      </c>
      <c r="AA882">
        <v>0.42119632713363381</v>
      </c>
      <c r="AB882" t="str">
        <f>HYPERLINK("Melting_Curves/meltCurve_G8JLM6_TAF6.pdf", "Melting_Curves/meltCurve_G8JLM6_TAF6.pdf")</f>
        <v>Melting_Curves/meltCurve_G8JLM6_TAF6.pdf</v>
      </c>
    </row>
    <row r="883" spans="1:28" x14ac:dyDescent="0.25">
      <c r="A883" t="s">
        <v>887</v>
      </c>
      <c r="B883">
        <v>0.99252571173614901</v>
      </c>
      <c r="C883">
        <v>1.01820831422888</v>
      </c>
      <c r="D883">
        <v>0.91951788580627702</v>
      </c>
      <c r="E883">
        <v>0.80216750206541798</v>
      </c>
      <c r="F883">
        <v>0.70021833335059602</v>
      </c>
      <c r="G883">
        <v>0.50009978695540402</v>
      </c>
      <c r="H883">
        <v>0.27451274011874799</v>
      </c>
      <c r="I883">
        <v>0.244043438769981</v>
      </c>
      <c r="J883">
        <v>0.30282277486590098</v>
      </c>
      <c r="K883">
        <v>0.26122778337740898</v>
      </c>
      <c r="L883">
        <v>826.11217329792203</v>
      </c>
      <c r="M883">
        <v>15.2777245702952</v>
      </c>
      <c r="N883">
        <v>56.176405921593997</v>
      </c>
      <c r="O883">
        <v>53.171946443477303</v>
      </c>
      <c r="P883">
        <v>-5.6190839401124702E-2</v>
      </c>
      <c r="Q883">
        <v>0.21781666485225901</v>
      </c>
      <c r="R883">
        <v>0.98413513620844695</v>
      </c>
      <c r="S883" t="s">
        <v>7529</v>
      </c>
      <c r="T883" t="s">
        <v>13290</v>
      </c>
      <c r="U883" t="s">
        <v>13290</v>
      </c>
      <c r="V883" t="s">
        <v>13290</v>
      </c>
      <c r="W883" t="s">
        <v>14158</v>
      </c>
      <c r="X883">
        <v>4</v>
      </c>
      <c r="Y883" t="s">
        <v>20745</v>
      </c>
      <c r="Z883" t="s">
        <v>27213</v>
      </c>
      <c r="AA883">
        <v>0.60036360538255706</v>
      </c>
      <c r="AB883" t="str">
        <f>HYPERLINK("Melting_Curves/meltCurve_G8JLQ3_BLOC1S1.pdf", "Melting_Curves/meltCurve_G8JLQ3_BLOC1S1.pdf")</f>
        <v>Melting_Curves/meltCurve_G8JLQ3_BLOC1S1.pdf</v>
      </c>
    </row>
    <row r="884" spans="1:28" x14ac:dyDescent="0.25">
      <c r="A884" t="s">
        <v>888</v>
      </c>
      <c r="B884">
        <v>0.99252571173614901</v>
      </c>
      <c r="C884">
        <v>0.88761246855864595</v>
      </c>
      <c r="D884">
        <v>0.63568611428238497</v>
      </c>
      <c r="E884">
        <v>0.27699941622546398</v>
      </c>
      <c r="F884">
        <v>0.17634647742168899</v>
      </c>
      <c r="G884">
        <v>0.12272968368064401</v>
      </c>
      <c r="H884">
        <v>0.106670454972229</v>
      </c>
      <c r="I884">
        <v>7.01577236166262E-2</v>
      </c>
      <c r="J884">
        <v>8.0703474206302098E-2</v>
      </c>
      <c r="K884">
        <v>8.1031435956297998E-2</v>
      </c>
      <c r="L884">
        <v>1017.77215399236</v>
      </c>
      <c r="M884">
        <v>21.742135334946301</v>
      </c>
      <c r="N884">
        <v>47.233966522744801</v>
      </c>
      <c r="O884">
        <v>46.420452960100803</v>
      </c>
      <c r="P884">
        <v>-0.106739375973814</v>
      </c>
      <c r="Q884">
        <v>8.8447662354961903E-2</v>
      </c>
      <c r="R884">
        <v>0.998093966333225</v>
      </c>
      <c r="S884" t="s">
        <v>7530</v>
      </c>
      <c r="T884" t="s">
        <v>13290</v>
      </c>
      <c r="U884" t="s">
        <v>13290</v>
      </c>
      <c r="V884" t="s">
        <v>13290</v>
      </c>
      <c r="W884" t="s">
        <v>14159</v>
      </c>
      <c r="X884">
        <v>8</v>
      </c>
      <c r="Y884" t="s">
        <v>20746</v>
      </c>
      <c r="Z884" t="s">
        <v>27214</v>
      </c>
      <c r="AA884">
        <v>0.30656521616763338</v>
      </c>
      <c r="AB884" t="str">
        <f>HYPERLINK("Melting_Curves/meltCurve_H0UI80_TH1L.pdf", "Melting_Curves/meltCurve_H0UI80_TH1L.pdf")</f>
        <v>Melting_Curves/meltCurve_H0UI80_TH1L.pdf</v>
      </c>
    </row>
    <row r="885" spans="1:28" x14ac:dyDescent="0.25">
      <c r="A885" t="s">
        <v>889</v>
      </c>
      <c r="B885">
        <v>0.99252571173614901</v>
      </c>
      <c r="C885">
        <v>0.849001396011554</v>
      </c>
      <c r="D885">
        <v>0.83214168858516102</v>
      </c>
      <c r="E885">
        <v>0.61800545739489099</v>
      </c>
      <c r="F885">
        <v>0.40541290906153599</v>
      </c>
      <c r="G885">
        <v>0.31458782662475598</v>
      </c>
      <c r="H885">
        <v>0.33606388503275397</v>
      </c>
      <c r="I885">
        <v>0.55055295523062897</v>
      </c>
      <c r="J885">
        <v>1.0993605311628301</v>
      </c>
      <c r="K885">
        <v>1.14958901015412</v>
      </c>
      <c r="L885">
        <v>1217.35445952286</v>
      </c>
      <c r="M885">
        <v>27.3154415970405</v>
      </c>
      <c r="O885">
        <v>44.329723463133298</v>
      </c>
      <c r="P885">
        <v>-5.50905735047377E-2</v>
      </c>
      <c r="Q885">
        <v>0.64238150271068795</v>
      </c>
      <c r="R885">
        <v>0.15238185688111699</v>
      </c>
      <c r="S885" t="s">
        <v>7531</v>
      </c>
      <c r="T885" t="s">
        <v>13290</v>
      </c>
      <c r="U885" t="s">
        <v>13290</v>
      </c>
      <c r="V885" t="s">
        <v>13290</v>
      </c>
      <c r="W885" t="s">
        <v>14160</v>
      </c>
      <c r="X885">
        <v>11</v>
      </c>
      <c r="Y885" t="s">
        <v>20747</v>
      </c>
      <c r="Z885" t="s">
        <v>27215</v>
      </c>
      <c r="AA885">
        <v>0.6998394366267161</v>
      </c>
      <c r="AB885" t="str">
        <f>HYPERLINK("Melting_Curves/meltCurve_H0Y2S9_MPRIP.pdf", "Melting_Curves/meltCurve_H0Y2S9_MPRIP.pdf")</f>
        <v>Melting_Curves/meltCurve_H0Y2S9_MPRIP.pdf</v>
      </c>
    </row>
    <row r="886" spans="1:28" x14ac:dyDescent="0.25">
      <c r="A886" t="s">
        <v>890</v>
      </c>
      <c r="B886">
        <v>0.99252571173614901</v>
      </c>
      <c r="C886">
        <v>0.92731283946405396</v>
      </c>
      <c r="D886">
        <v>0.95457258251268695</v>
      </c>
      <c r="E886">
        <v>0.82056243063246703</v>
      </c>
      <c r="F886">
        <v>0.21305641925437299</v>
      </c>
      <c r="G886">
        <v>0.119898626665323</v>
      </c>
      <c r="H886">
        <v>9.4638847395491693E-2</v>
      </c>
      <c r="I886">
        <v>0.106622959876761</v>
      </c>
      <c r="J886">
        <v>0.15951009782151601</v>
      </c>
      <c r="K886">
        <v>0.16249493444718</v>
      </c>
      <c r="L886">
        <v>2598.1223599001501</v>
      </c>
      <c r="M886">
        <v>51.044731563495397</v>
      </c>
      <c r="N886">
        <v>51.194452563302697</v>
      </c>
      <c r="O886">
        <v>50.820993885266297</v>
      </c>
      <c r="P886">
        <v>-0.219058053450368</v>
      </c>
      <c r="Q886">
        <v>0.12760915297095801</v>
      </c>
      <c r="R886">
        <v>0.99262417472243802</v>
      </c>
      <c r="S886" t="s">
        <v>7532</v>
      </c>
      <c r="T886" t="s">
        <v>13290</v>
      </c>
      <c r="U886" t="s">
        <v>13290</v>
      </c>
      <c r="V886" t="s">
        <v>13290</v>
      </c>
      <c r="W886" t="s">
        <v>14161</v>
      </c>
      <c r="X886">
        <v>10</v>
      </c>
      <c r="Y886" t="s">
        <v>20748</v>
      </c>
      <c r="Z886" t="s">
        <v>27216</v>
      </c>
      <c r="AA886">
        <v>0.44642564167950383</v>
      </c>
      <c r="AB886" t="str">
        <f>HYPERLINK("Melting_Curves/meltCurve_H0Y327_MTHFD1L.pdf", "Melting_Curves/meltCurve_H0Y327_MTHFD1L.pdf")</f>
        <v>Melting_Curves/meltCurve_H0Y327_MTHFD1L.pdf</v>
      </c>
    </row>
    <row r="887" spans="1:28" x14ac:dyDescent="0.25">
      <c r="A887" t="s">
        <v>891</v>
      </c>
      <c r="B887">
        <v>0.99252571173614901</v>
      </c>
      <c r="C887">
        <v>0.90636055990728004</v>
      </c>
      <c r="D887">
        <v>1.2370919042811199</v>
      </c>
      <c r="E887">
        <v>1.38898568254281</v>
      </c>
      <c r="F887">
        <v>1.17397731068445</v>
      </c>
      <c r="G887">
        <v>0.57155063758246205</v>
      </c>
      <c r="H887">
        <v>0.21297456004958301</v>
      </c>
      <c r="I887">
        <v>0.137126382895226</v>
      </c>
      <c r="J887">
        <v>0.181947467693445</v>
      </c>
      <c r="K887">
        <v>0.17384004463432201</v>
      </c>
      <c r="L887">
        <v>14195.3942161163</v>
      </c>
      <c r="M887">
        <v>250</v>
      </c>
      <c r="N887">
        <v>56.880622494673602</v>
      </c>
      <c r="O887">
        <v>56.777955151471197</v>
      </c>
      <c r="P887">
        <v>-0.90652269626412696</v>
      </c>
      <c r="Q887">
        <v>0.17647209357756199</v>
      </c>
      <c r="R887">
        <v>0.88818570218197501</v>
      </c>
      <c r="S887" t="s">
        <v>7533</v>
      </c>
      <c r="T887" t="s">
        <v>13290</v>
      </c>
      <c r="U887" t="s">
        <v>13290</v>
      </c>
      <c r="V887" t="s">
        <v>13290</v>
      </c>
      <c r="W887" t="s">
        <v>14162</v>
      </c>
      <c r="X887">
        <v>18</v>
      </c>
      <c r="Y887" t="s">
        <v>20749</v>
      </c>
      <c r="Z887" t="s">
        <v>27217</v>
      </c>
      <c r="AA887">
        <v>0.63722405416749472</v>
      </c>
      <c r="AB887" t="str">
        <f>HYPERLINK("Melting_Curves/meltCurve_H0Y360_AMPD2.pdf", "Melting_Curves/meltCurve_H0Y360_AMPD2.pdf")</f>
        <v>Melting_Curves/meltCurve_H0Y360_AMPD2.pdf</v>
      </c>
    </row>
    <row r="888" spans="1:28" x14ac:dyDescent="0.25">
      <c r="A888" t="s">
        <v>892</v>
      </c>
      <c r="B888">
        <v>0.99252571173614901</v>
      </c>
      <c r="C888">
        <v>0.94070272830664803</v>
      </c>
      <c r="D888">
        <v>0.87628211042770698</v>
      </c>
      <c r="E888">
        <v>0.59298364361418998</v>
      </c>
      <c r="F888">
        <v>0.61974556188541596</v>
      </c>
      <c r="G888">
        <v>0.44926345425172298</v>
      </c>
      <c r="H888">
        <v>0.32512544339287602</v>
      </c>
      <c r="I888">
        <v>0.27566097460368799</v>
      </c>
      <c r="J888">
        <v>0.25730509128505302</v>
      </c>
      <c r="K888">
        <v>0.205308392186967</v>
      </c>
      <c r="L888">
        <v>515.21178260664794</v>
      </c>
      <c r="M888">
        <v>9.7554028872480192</v>
      </c>
      <c r="N888">
        <v>54.805468755323602</v>
      </c>
      <c r="O888">
        <v>50.737132498059303</v>
      </c>
      <c r="P888">
        <v>-4.0913800954608802E-2</v>
      </c>
      <c r="Q888">
        <v>0.14929615390322901</v>
      </c>
      <c r="R888">
        <v>0.97557149487794703</v>
      </c>
      <c r="S888" t="s">
        <v>7534</v>
      </c>
      <c r="T888" t="s">
        <v>13290</v>
      </c>
      <c r="U888" t="s">
        <v>13290</v>
      </c>
      <c r="V888" t="s">
        <v>13290</v>
      </c>
      <c r="W888" t="s">
        <v>14163</v>
      </c>
      <c r="X888">
        <v>2</v>
      </c>
      <c r="Y888" t="s">
        <v>20750</v>
      </c>
      <c r="Z888" t="s">
        <v>27218</v>
      </c>
      <c r="AA888">
        <v>0.54303098933644234</v>
      </c>
      <c r="AB888" t="str">
        <f>HYPERLINK("Melting_Curves/meltCurve_H0Y362_SLC30A7.pdf", "Melting_Curves/meltCurve_H0Y362_SLC30A7.pdf")</f>
        <v>Melting_Curves/meltCurve_H0Y362_SLC30A7.pdf</v>
      </c>
    </row>
    <row r="889" spans="1:28" x14ac:dyDescent="0.25">
      <c r="A889" t="s">
        <v>893</v>
      </c>
      <c r="B889">
        <v>0.99252571173614901</v>
      </c>
      <c r="C889">
        <v>0.93515538531956299</v>
      </c>
      <c r="D889">
        <v>0.83839815173758303</v>
      </c>
      <c r="E889">
        <v>0.73615211734267905</v>
      </c>
      <c r="F889">
        <v>0.51695579010057402</v>
      </c>
      <c r="G889">
        <v>0.26394240899301102</v>
      </c>
      <c r="H889">
        <v>0.17771804415524001</v>
      </c>
      <c r="I889">
        <v>0.192208890735487</v>
      </c>
      <c r="J889">
        <v>0.27069805296678801</v>
      </c>
      <c r="K889">
        <v>0.21672195401410099</v>
      </c>
      <c r="L889">
        <v>859.80118470310401</v>
      </c>
      <c r="M889">
        <v>16.777455604641499</v>
      </c>
      <c r="N889">
        <v>52.704200817966097</v>
      </c>
      <c r="O889">
        <v>50.535954352847902</v>
      </c>
      <c r="P889">
        <v>-6.7602855075386506E-2</v>
      </c>
      <c r="Q889">
        <v>0.185537421726409</v>
      </c>
      <c r="R889">
        <v>0.97950756541408202</v>
      </c>
      <c r="S889" t="s">
        <v>7535</v>
      </c>
      <c r="T889" t="s">
        <v>13290</v>
      </c>
      <c r="U889" t="s">
        <v>13290</v>
      </c>
      <c r="V889" t="s">
        <v>13290</v>
      </c>
      <c r="W889" t="s">
        <v>14164</v>
      </c>
      <c r="X889">
        <v>5</v>
      </c>
      <c r="Y889" t="s">
        <v>20751</v>
      </c>
      <c r="Z889" t="s">
        <v>27219</v>
      </c>
      <c r="AA889">
        <v>0.50636866011408488</v>
      </c>
      <c r="AB889" t="str">
        <f>HYPERLINK("Melting_Curves/meltCurve_H0Y3H2_ABCA3.pdf", "Melting_Curves/meltCurve_H0Y3H2_ABCA3.pdf")</f>
        <v>Melting_Curves/meltCurve_H0Y3H2_ABCA3.pdf</v>
      </c>
    </row>
    <row r="890" spans="1:28" x14ac:dyDescent="0.25">
      <c r="A890" t="s">
        <v>894</v>
      </c>
      <c r="B890">
        <v>0.99252571173614901</v>
      </c>
      <c r="C890">
        <v>0.92965256822535702</v>
      </c>
      <c r="D890">
        <v>0.84619828317460499</v>
      </c>
      <c r="E890">
        <v>0.71203044467017895</v>
      </c>
      <c r="F890">
        <v>0.75285926242379497</v>
      </c>
      <c r="G890">
        <v>0.670051794050597</v>
      </c>
      <c r="H890">
        <v>0.58315144157490395</v>
      </c>
      <c r="I890">
        <v>0.63961696040765503</v>
      </c>
      <c r="J890">
        <v>1.17013040982173</v>
      </c>
      <c r="K890">
        <v>1.7293514169056501</v>
      </c>
      <c r="L890">
        <v>15000</v>
      </c>
      <c r="M890">
        <v>222.88633989761399</v>
      </c>
      <c r="O890">
        <v>67.293457400162197</v>
      </c>
      <c r="P890">
        <v>0.41401933671337898</v>
      </c>
      <c r="Q890">
        <v>1.5</v>
      </c>
      <c r="R890">
        <v>0.39319965488805297</v>
      </c>
      <c r="S890" t="s">
        <v>7536</v>
      </c>
      <c r="T890" t="s">
        <v>13290</v>
      </c>
      <c r="U890" t="s">
        <v>13290</v>
      </c>
      <c r="V890" t="s">
        <v>13290</v>
      </c>
      <c r="W890" t="s">
        <v>14165</v>
      </c>
      <c r="X890">
        <v>16</v>
      </c>
      <c r="Y890" t="s">
        <v>20752</v>
      </c>
      <c r="Z890" t="s">
        <v>27220</v>
      </c>
      <c r="AA890">
        <v>1.0449454557005471</v>
      </c>
      <c r="AB890" t="str">
        <f>HYPERLINK("Melting_Curves/meltCurve_H0Y412_PRRC2B.pdf", "Melting_Curves/meltCurve_H0Y412_PRRC2B.pdf")</f>
        <v>Melting_Curves/meltCurve_H0Y412_PRRC2B.pdf</v>
      </c>
    </row>
    <row r="891" spans="1:28" x14ac:dyDescent="0.25">
      <c r="A891" t="s">
        <v>895</v>
      </c>
      <c r="B891">
        <v>0.99252571173614901</v>
      </c>
      <c r="C891">
        <v>0.90701211417275696</v>
      </c>
      <c r="D891">
        <v>0.346379590155733</v>
      </c>
      <c r="E891">
        <v>0.13052561464515899</v>
      </c>
      <c r="F891">
        <v>8.3792416905380002E-2</v>
      </c>
      <c r="G891">
        <v>5.2249102346398103E-2</v>
      </c>
      <c r="H891">
        <v>3.52302144532156E-2</v>
      </c>
      <c r="I891">
        <v>3.6967662182112601E-2</v>
      </c>
      <c r="J891">
        <v>3.7837993840262402E-2</v>
      </c>
      <c r="K891">
        <v>3.57812480473352E-2</v>
      </c>
      <c r="L891">
        <v>1771.4359561686599</v>
      </c>
      <c r="M891">
        <v>39.245060100124498</v>
      </c>
      <c r="N891">
        <v>45.268020324101101</v>
      </c>
      <c r="O891">
        <v>45.021107340565401</v>
      </c>
      <c r="P891">
        <v>-0.20629473259095801</v>
      </c>
      <c r="Q891">
        <v>5.3374689102042398E-2</v>
      </c>
      <c r="R891">
        <v>0.996107939669443</v>
      </c>
      <c r="S891" t="s">
        <v>7537</v>
      </c>
      <c r="T891" t="s">
        <v>13290</v>
      </c>
      <c r="U891" t="s">
        <v>13290</v>
      </c>
      <c r="V891" t="s">
        <v>13290</v>
      </c>
      <c r="W891" t="s">
        <v>14166</v>
      </c>
      <c r="X891">
        <v>5</v>
      </c>
      <c r="Y891" t="s">
        <v>20753</v>
      </c>
      <c r="Z891" t="s">
        <v>27221</v>
      </c>
      <c r="AA891">
        <v>0.2187400397641299</v>
      </c>
      <c r="AB891" t="str">
        <f>HYPERLINK("Melting_Curves/meltCurve_H0Y4G9_MYD88.pdf", "Melting_Curves/meltCurve_H0Y4G9_MYD88.pdf")</f>
        <v>Melting_Curves/meltCurve_H0Y4G9_MYD88.pdf</v>
      </c>
    </row>
    <row r="892" spans="1:28" x14ac:dyDescent="0.25">
      <c r="A892" t="s">
        <v>896</v>
      </c>
      <c r="B892">
        <v>0.99252571173614901</v>
      </c>
      <c r="C892">
        <v>0.84988332378711096</v>
      </c>
      <c r="D892">
        <v>1.24853166831732</v>
      </c>
      <c r="E892">
        <v>1.7563399805812601</v>
      </c>
      <c r="F892">
        <v>1.8234724639356099</v>
      </c>
      <c r="G892">
        <v>0.86791533733380799</v>
      </c>
      <c r="H892">
        <v>0.140512749139902</v>
      </c>
      <c r="I892">
        <v>0.12914397371089001</v>
      </c>
      <c r="J892">
        <v>4.9822340461433502E-2</v>
      </c>
      <c r="K892">
        <v>7.3729229218925996E-2</v>
      </c>
      <c r="L892">
        <v>4406.4086971239603</v>
      </c>
      <c r="M892">
        <v>75.697845791508101</v>
      </c>
      <c r="N892">
        <v>58.361517374028999</v>
      </c>
      <c r="O892">
        <v>58.169905499836197</v>
      </c>
      <c r="P892">
        <v>-0.29639283244127301</v>
      </c>
      <c r="Q892">
        <v>8.8949532024305403E-2</v>
      </c>
      <c r="R892">
        <v>0.67972750607174803</v>
      </c>
      <c r="S892" t="s">
        <v>7538</v>
      </c>
      <c r="T892" t="s">
        <v>13290</v>
      </c>
      <c r="U892" t="s">
        <v>13290</v>
      </c>
      <c r="V892" t="s">
        <v>13290</v>
      </c>
      <c r="W892" t="s">
        <v>14167</v>
      </c>
      <c r="X892">
        <v>3</v>
      </c>
      <c r="Y892" t="s">
        <v>20754</v>
      </c>
      <c r="Z892" t="s">
        <v>27222</v>
      </c>
      <c r="AA892">
        <v>0.64298933152906268</v>
      </c>
      <c r="AB892" t="str">
        <f>HYPERLINK("Melting_Curves/meltCurve_H0Y4W2_TRRAP.pdf", "Melting_Curves/meltCurve_H0Y4W2_TRRAP.pdf")</f>
        <v>Melting_Curves/meltCurve_H0Y4W2_TRRAP.pdf</v>
      </c>
    </row>
    <row r="893" spans="1:28" x14ac:dyDescent="0.25">
      <c r="A893" t="s">
        <v>897</v>
      </c>
      <c r="B893">
        <v>0.99252571173614901</v>
      </c>
      <c r="C893">
        <v>1.07232114998505</v>
      </c>
      <c r="D893">
        <v>0.87860384399214497</v>
      </c>
      <c r="E893">
        <v>0.740414890970442</v>
      </c>
      <c r="F893">
        <v>0.45269893486783902</v>
      </c>
      <c r="G893">
        <v>0.235502751473216</v>
      </c>
      <c r="H893">
        <v>0.22742986716416899</v>
      </c>
      <c r="I893">
        <v>0.249894526352094</v>
      </c>
      <c r="J893">
        <v>0.32582856061952398</v>
      </c>
      <c r="K893">
        <v>0.26932808946880399</v>
      </c>
      <c r="L893">
        <v>1279.08706158116</v>
      </c>
      <c r="M893">
        <v>25.242406004952802</v>
      </c>
      <c r="N893">
        <v>52.137773148710899</v>
      </c>
      <c r="O893">
        <v>50.357330603653601</v>
      </c>
      <c r="P893">
        <v>-9.3478315964160702E-2</v>
      </c>
      <c r="Q893">
        <v>0.25407137552598902</v>
      </c>
      <c r="R893">
        <v>0.97823927148203305</v>
      </c>
      <c r="S893" t="s">
        <v>7539</v>
      </c>
      <c r="T893" t="s">
        <v>13290</v>
      </c>
      <c r="U893" t="s">
        <v>13290</v>
      </c>
      <c r="V893" t="s">
        <v>13290</v>
      </c>
      <c r="W893" t="s">
        <v>14168</v>
      </c>
      <c r="X893">
        <v>1</v>
      </c>
      <c r="Y893" t="s">
        <v>20755</v>
      </c>
      <c r="Z893" t="s">
        <v>27223</v>
      </c>
      <c r="AA893">
        <v>0.5260142329055929</v>
      </c>
      <c r="AB893" t="str">
        <f>HYPERLINK("Melting_Curves/meltCurve_H0Y4Y2_NAPEPLD.pdf", "Melting_Curves/meltCurve_H0Y4Y2_NAPEPLD.pdf")</f>
        <v>Melting_Curves/meltCurve_H0Y4Y2_NAPEPLD.pdf</v>
      </c>
    </row>
    <row r="894" spans="1:28" x14ac:dyDescent="0.25">
      <c r="A894" t="s">
        <v>898</v>
      </c>
      <c r="B894">
        <v>0.99252571173614901</v>
      </c>
      <c r="C894">
        <v>1.1510550922773599</v>
      </c>
      <c r="D894">
        <v>1.25922589042887</v>
      </c>
      <c r="E894">
        <v>1.5699133738944699</v>
      </c>
      <c r="F894">
        <v>1.0582137871038499</v>
      </c>
      <c r="G894">
        <v>0.93969497588348705</v>
      </c>
      <c r="H894">
        <v>0.85381263476156799</v>
      </c>
      <c r="I894">
        <v>1.0187070571268</v>
      </c>
      <c r="J894">
        <v>1.2892130359430301</v>
      </c>
      <c r="K894">
        <v>1.9344345479712901</v>
      </c>
      <c r="L894">
        <v>15000</v>
      </c>
      <c r="M894">
        <v>223.86428885238001</v>
      </c>
      <c r="O894">
        <v>66.999529478348805</v>
      </c>
      <c r="P894">
        <v>0.41766016428932601</v>
      </c>
      <c r="Q894">
        <v>1.5</v>
      </c>
      <c r="R894">
        <v>0.35024788032675302</v>
      </c>
      <c r="S894" t="s">
        <v>7540</v>
      </c>
      <c r="T894" t="s">
        <v>13290</v>
      </c>
      <c r="U894" t="s">
        <v>13290</v>
      </c>
      <c r="V894" t="s">
        <v>13290</v>
      </c>
      <c r="W894" t="s">
        <v>14169</v>
      </c>
      <c r="X894">
        <v>2</v>
      </c>
      <c r="Y894" t="s">
        <v>20756</v>
      </c>
      <c r="Z894" t="s">
        <v>27224</v>
      </c>
      <c r="AA894">
        <v>1.0498457025043251</v>
      </c>
      <c r="AB894" t="str">
        <f>HYPERLINK("Melting_Curves/meltCurve_H0Y530_PAEP.pdf", "Melting_Curves/meltCurve_H0Y530_PAEP.pdf")</f>
        <v>Melting_Curves/meltCurve_H0Y530_PAEP.pdf</v>
      </c>
    </row>
    <row r="895" spans="1:28" x14ac:dyDescent="0.25">
      <c r="A895" t="s">
        <v>899</v>
      </c>
      <c r="B895">
        <v>0.99252571173614901</v>
      </c>
      <c r="C895">
        <v>0.87040689273100802</v>
      </c>
      <c r="D895">
        <v>0.84612823152136396</v>
      </c>
      <c r="E895">
        <v>0.73544915200176597</v>
      </c>
      <c r="F895">
        <v>0.47008969337199202</v>
      </c>
      <c r="G895">
        <v>0.31749123331093998</v>
      </c>
      <c r="H895">
        <v>0.274380740477628</v>
      </c>
      <c r="I895">
        <v>0.32404485792489401</v>
      </c>
      <c r="J895">
        <v>0.51689089448896497</v>
      </c>
      <c r="K895">
        <v>0.57152033806978997</v>
      </c>
      <c r="L895">
        <v>1049.89853314022</v>
      </c>
      <c r="M895">
        <v>21.440921713596801</v>
      </c>
      <c r="N895">
        <v>52.850656057231603</v>
      </c>
      <c r="O895">
        <v>48.547065069893598</v>
      </c>
      <c r="P895">
        <v>-6.6630195665929801E-2</v>
      </c>
      <c r="Q895">
        <v>0.39655210723509199</v>
      </c>
      <c r="R895">
        <v>0.83581848296578998</v>
      </c>
      <c r="S895" t="s">
        <v>7541</v>
      </c>
      <c r="T895" t="s">
        <v>13290</v>
      </c>
      <c r="U895" t="s">
        <v>13290</v>
      </c>
      <c r="V895" t="s">
        <v>13290</v>
      </c>
      <c r="W895" t="s">
        <v>14170</v>
      </c>
      <c r="X895">
        <v>2</v>
      </c>
      <c r="Y895" t="s">
        <v>20757</v>
      </c>
      <c r="Z895" t="s">
        <v>27225</v>
      </c>
      <c r="AA895">
        <v>0.58425829565281684</v>
      </c>
      <c r="AB895" t="str">
        <f>HYPERLINK("Melting_Curves/meltCurve_H0Y5D5_CIZ1.pdf", "Melting_Curves/meltCurve_H0Y5D5_CIZ1.pdf")</f>
        <v>Melting_Curves/meltCurve_H0Y5D5_CIZ1.pdf</v>
      </c>
    </row>
    <row r="896" spans="1:28" x14ac:dyDescent="0.25">
      <c r="A896" t="s">
        <v>900</v>
      </c>
      <c r="B896">
        <v>0.99252571173614901</v>
      </c>
      <c r="C896">
        <v>1.0122578054422899</v>
      </c>
      <c r="D896">
        <v>0.91836801582375904</v>
      </c>
      <c r="E896">
        <v>0.728007865682746</v>
      </c>
      <c r="F896">
        <v>0.566568409821951</v>
      </c>
      <c r="G896">
        <v>0.40793279731492099</v>
      </c>
      <c r="H896">
        <v>0.29011613421025001</v>
      </c>
      <c r="I896">
        <v>0.26068007470227</v>
      </c>
      <c r="J896">
        <v>0.29361751887697302</v>
      </c>
      <c r="K896">
        <v>0.27553441062263101</v>
      </c>
      <c r="L896">
        <v>852.62365898524604</v>
      </c>
      <c r="M896">
        <v>16.473564360046201</v>
      </c>
      <c r="N896">
        <v>54.103211011689098</v>
      </c>
      <c r="O896">
        <v>51.012427538104099</v>
      </c>
      <c r="P896">
        <v>-6.0130332197531597E-2</v>
      </c>
      <c r="Q896">
        <v>0.25524799282084598</v>
      </c>
      <c r="R896">
        <v>0.99494479666068103</v>
      </c>
      <c r="S896" t="s">
        <v>7542</v>
      </c>
      <c r="T896" t="s">
        <v>13290</v>
      </c>
      <c r="U896" t="s">
        <v>13290</v>
      </c>
      <c r="V896" t="s">
        <v>13290</v>
      </c>
      <c r="W896" t="s">
        <v>14171</v>
      </c>
      <c r="X896">
        <v>4</v>
      </c>
      <c r="Y896" t="s">
        <v>20758</v>
      </c>
      <c r="Z896" t="s">
        <v>27226</v>
      </c>
      <c r="AA896">
        <v>0.56156225929689874</v>
      </c>
      <c r="AB896" t="str">
        <f>HYPERLINK("Melting_Curves/meltCurve_H0Y614_UFM1.pdf", "Melting_Curves/meltCurve_H0Y614_UFM1.pdf")</f>
        <v>Melting_Curves/meltCurve_H0Y614_UFM1.pdf</v>
      </c>
    </row>
    <row r="897" spans="1:28" x14ac:dyDescent="0.25">
      <c r="A897" t="s">
        <v>901</v>
      </c>
      <c r="B897">
        <v>0.99252571173614901</v>
      </c>
      <c r="C897">
        <v>0.83688048644491597</v>
      </c>
      <c r="D897">
        <v>0.58222728628669895</v>
      </c>
      <c r="E897">
        <v>0.387630268339892</v>
      </c>
      <c r="F897">
        <v>0.333185536255098</v>
      </c>
      <c r="G897">
        <v>0.22129122651160901</v>
      </c>
      <c r="H897">
        <v>0.16204035333137301</v>
      </c>
      <c r="I897">
        <v>0.15098835892078299</v>
      </c>
      <c r="J897">
        <v>0.102010342445085</v>
      </c>
      <c r="K897">
        <v>0.112028771603514</v>
      </c>
      <c r="L897">
        <v>645.83192168944299</v>
      </c>
      <c r="M897">
        <v>13.7134996557702</v>
      </c>
      <c r="N897">
        <v>48.067243286141597</v>
      </c>
      <c r="O897">
        <v>46.127037574157697</v>
      </c>
      <c r="P897">
        <v>-6.5328932771511805E-2</v>
      </c>
      <c r="Q897">
        <v>0.121158575217027</v>
      </c>
      <c r="R897">
        <v>0.985162114959512</v>
      </c>
      <c r="S897" t="s">
        <v>7543</v>
      </c>
      <c r="T897" t="s">
        <v>13290</v>
      </c>
      <c r="U897" t="s">
        <v>13290</v>
      </c>
      <c r="V897" t="s">
        <v>13290</v>
      </c>
      <c r="W897" t="s">
        <v>14172</v>
      </c>
      <c r="X897">
        <v>1</v>
      </c>
      <c r="Y897" t="s">
        <v>20759</v>
      </c>
      <c r="Z897" t="s">
        <v>27227</v>
      </c>
      <c r="AA897">
        <v>0.35742504426069682</v>
      </c>
      <c r="AB897" t="str">
        <f>HYPERLINK("Melting_Curves/meltCurve_H0Y627_SNAP47.pdf", "Melting_Curves/meltCurve_H0Y627_SNAP47.pdf")</f>
        <v>Melting_Curves/meltCurve_H0Y627_SNAP47.pdf</v>
      </c>
    </row>
    <row r="898" spans="1:28" x14ac:dyDescent="0.25">
      <c r="A898" t="s">
        <v>902</v>
      </c>
      <c r="B898">
        <v>0.99252571173614901</v>
      </c>
      <c r="C898">
        <v>1.0712955530280499</v>
      </c>
      <c r="D898">
        <v>0.91279257889676702</v>
      </c>
      <c r="E898">
        <v>0.77512346407709698</v>
      </c>
      <c r="F898">
        <v>0.30456627960244498</v>
      </c>
      <c r="G898">
        <v>0.18648108010422901</v>
      </c>
      <c r="H898">
        <v>0.126828212713192</v>
      </c>
      <c r="I898">
        <v>0.122214328791226</v>
      </c>
      <c r="J898">
        <v>0.17473178718645899</v>
      </c>
      <c r="K898">
        <v>0.16498711323767601</v>
      </c>
      <c r="L898">
        <v>1704.6575946630301</v>
      </c>
      <c r="M898">
        <v>33.435256677362901</v>
      </c>
      <c r="N898">
        <v>51.521139167603401</v>
      </c>
      <c r="O898">
        <v>50.8024917100133</v>
      </c>
      <c r="P898">
        <v>-0.14031724716021199</v>
      </c>
      <c r="Q898">
        <v>0.14719536623650201</v>
      </c>
      <c r="R898">
        <v>0.99139776320877904</v>
      </c>
      <c r="S898" t="s">
        <v>7544</v>
      </c>
      <c r="T898" t="s">
        <v>13290</v>
      </c>
      <c r="U898" t="s">
        <v>13290</v>
      </c>
      <c r="V898" t="s">
        <v>13290</v>
      </c>
      <c r="W898" t="s">
        <v>14173</v>
      </c>
      <c r="X898">
        <v>17</v>
      </c>
      <c r="Y898" t="s">
        <v>20260</v>
      </c>
      <c r="Z898" t="s">
        <v>27228</v>
      </c>
      <c r="AA898">
        <v>0.46374271421037139</v>
      </c>
      <c r="AB898" t="str">
        <f>HYPERLINK("Melting_Curves/meltCurve_H0Y6A0_ARFGAP3.pdf", "Melting_Curves/meltCurve_H0Y6A0_ARFGAP3.pdf")</f>
        <v>Melting_Curves/meltCurve_H0Y6A0_ARFGAP3.pdf</v>
      </c>
    </row>
    <row r="899" spans="1:28" x14ac:dyDescent="0.25">
      <c r="A899" t="s">
        <v>903</v>
      </c>
      <c r="B899">
        <v>0.99252571173614901</v>
      </c>
      <c r="C899">
        <v>1.0850403013655201</v>
      </c>
      <c r="D899">
        <v>0.83718993376087403</v>
      </c>
      <c r="E899">
        <v>0.71044159696127596</v>
      </c>
      <c r="F899">
        <v>0.40460560886831398</v>
      </c>
      <c r="G899">
        <v>0.19006204122345499</v>
      </c>
      <c r="H899">
        <v>5.8755561597369499E-2</v>
      </c>
      <c r="I899">
        <v>6.0418880443572701E-2</v>
      </c>
      <c r="J899">
        <v>8.5604412207096595E-2</v>
      </c>
      <c r="K899">
        <v>0.155082611093109</v>
      </c>
      <c r="L899">
        <v>1026.4768577223399</v>
      </c>
      <c r="M899">
        <v>19.982368223626501</v>
      </c>
      <c r="N899">
        <v>51.792077154756697</v>
      </c>
      <c r="O899">
        <v>50.862958629522602</v>
      </c>
      <c r="P899">
        <v>-9.0825948090832401E-2</v>
      </c>
      <c r="Q899">
        <v>7.5279625441423401E-2</v>
      </c>
      <c r="R899">
        <v>0.98167981107586499</v>
      </c>
      <c r="S899" t="s">
        <v>7545</v>
      </c>
      <c r="T899" t="s">
        <v>13290</v>
      </c>
      <c r="U899" t="s">
        <v>13290</v>
      </c>
      <c r="V899" t="s">
        <v>13290</v>
      </c>
      <c r="W899" t="s">
        <v>14174</v>
      </c>
      <c r="X899">
        <v>1</v>
      </c>
      <c r="Y899" t="s">
        <v>20760</v>
      </c>
      <c r="Z899" t="s">
        <v>27229</v>
      </c>
      <c r="AA899">
        <v>0.43856699377949132</v>
      </c>
      <c r="AB899" t="str">
        <f>HYPERLINK("Melting_Curves/meltCurve_H0Y6I7_KDM6A.pdf", "Melting_Curves/meltCurve_H0Y6I7_KDM6A.pdf")</f>
        <v>Melting_Curves/meltCurve_H0Y6I7_KDM6A.pdf</v>
      </c>
    </row>
    <row r="900" spans="1:28" x14ac:dyDescent="0.25">
      <c r="A900" t="s">
        <v>904</v>
      </c>
      <c r="B900">
        <v>0.99252571173614901</v>
      </c>
      <c r="C900">
        <v>1.05886775090605</v>
      </c>
      <c r="D900">
        <v>0.93525869719967203</v>
      </c>
      <c r="E900">
        <v>0.94619660842537801</v>
      </c>
      <c r="F900">
        <v>0.66366232187218899</v>
      </c>
      <c r="G900">
        <v>0.43669221304262701</v>
      </c>
      <c r="H900">
        <v>0.31612936571647998</v>
      </c>
      <c r="I900">
        <v>0.42248719789403</v>
      </c>
      <c r="J900">
        <v>0.27774122247174499</v>
      </c>
      <c r="K900">
        <v>0.25206353149918997</v>
      </c>
      <c r="L900">
        <v>1360.3638358575799</v>
      </c>
      <c r="M900">
        <v>25.430937290970299</v>
      </c>
      <c r="N900">
        <v>55.548347755458202</v>
      </c>
      <c r="O900">
        <v>53.164986354882203</v>
      </c>
      <c r="P900">
        <v>-8.3121884466937093E-2</v>
      </c>
      <c r="Q900">
        <v>0.30492227979528203</v>
      </c>
      <c r="R900">
        <v>0.97548236229724705</v>
      </c>
      <c r="S900" t="s">
        <v>7546</v>
      </c>
      <c r="T900" t="s">
        <v>13290</v>
      </c>
      <c r="U900" t="s">
        <v>13290</v>
      </c>
      <c r="V900" t="s">
        <v>13290</v>
      </c>
      <c r="W900" t="s">
        <v>14175</v>
      </c>
      <c r="X900">
        <v>1</v>
      </c>
      <c r="Y900" t="s">
        <v>20761</v>
      </c>
      <c r="Z900" t="s">
        <v>27230</v>
      </c>
      <c r="AA900">
        <v>0.62375152896304287</v>
      </c>
      <c r="AB900" t="str">
        <f>HYPERLINK("Melting_Curves/meltCurve_H0Y6J0_NME4.pdf", "Melting_Curves/meltCurve_H0Y6J0_NME4.pdf")</f>
        <v>Melting_Curves/meltCurve_H0Y6J0_NME4.pdf</v>
      </c>
    </row>
    <row r="901" spans="1:28" x14ac:dyDescent="0.25">
      <c r="A901" t="s">
        <v>905</v>
      </c>
      <c r="B901">
        <v>0.99252571173614901</v>
      </c>
      <c r="C901">
        <v>0.948967733107696</v>
      </c>
      <c r="D901">
        <v>0.63220319748059906</v>
      </c>
      <c r="E901">
        <v>0.28773749672506699</v>
      </c>
      <c r="F901">
        <v>0.17735946253872401</v>
      </c>
      <c r="G901">
        <v>0.116707969438634</v>
      </c>
      <c r="H901">
        <v>7.5261795868304601E-2</v>
      </c>
      <c r="I901">
        <v>6.5674417120349396E-2</v>
      </c>
      <c r="J901">
        <v>8.1614629634900293E-2</v>
      </c>
      <c r="K901">
        <v>8.0820411197771294E-2</v>
      </c>
      <c r="L901">
        <v>1098.0637440808</v>
      </c>
      <c r="M901">
        <v>23.372235860920998</v>
      </c>
      <c r="N901">
        <v>47.357976395066302</v>
      </c>
      <c r="O901">
        <v>46.641665138694101</v>
      </c>
      <c r="P901">
        <v>-0.11465783858739501</v>
      </c>
      <c r="Q901">
        <v>8.4770780260873896E-2</v>
      </c>
      <c r="R901">
        <v>0.99653487437066901</v>
      </c>
      <c r="S901" t="s">
        <v>7547</v>
      </c>
      <c r="T901" t="s">
        <v>13290</v>
      </c>
      <c r="U901" t="s">
        <v>13290</v>
      </c>
      <c r="V901" t="s">
        <v>13290</v>
      </c>
      <c r="W901" t="s">
        <v>14176</v>
      </c>
      <c r="X901">
        <v>15</v>
      </c>
      <c r="Y901" t="s">
        <v>20762</v>
      </c>
      <c r="Z901" t="s">
        <v>27231</v>
      </c>
      <c r="AA901">
        <v>0.30724951871286121</v>
      </c>
      <c r="AB901" t="str">
        <f>HYPERLINK("Melting_Curves/meltCurve_H0Y6K2_BRD2.pdf", "Melting_Curves/meltCurve_H0Y6K2_BRD2.pdf")</f>
        <v>Melting_Curves/meltCurve_H0Y6K2_BRD2.pdf</v>
      </c>
    </row>
    <row r="902" spans="1:28" x14ac:dyDescent="0.25">
      <c r="A902" t="s">
        <v>906</v>
      </c>
      <c r="B902">
        <v>0.99252571173614901</v>
      </c>
      <c r="C902">
        <v>1.03288966259738</v>
      </c>
      <c r="D902">
        <v>0.84952348052342797</v>
      </c>
      <c r="E902">
        <v>0.67613405699426299</v>
      </c>
      <c r="F902">
        <v>0.38787278807660103</v>
      </c>
      <c r="G902">
        <v>0.26782558660952199</v>
      </c>
      <c r="H902">
        <v>0.23552808109265699</v>
      </c>
      <c r="I902">
        <v>0.25259285111176499</v>
      </c>
      <c r="J902">
        <v>0.36974018292821398</v>
      </c>
      <c r="K902">
        <v>0.46594857798096501</v>
      </c>
      <c r="L902">
        <v>1319.9920581470799</v>
      </c>
      <c r="M902">
        <v>26.741672623433999</v>
      </c>
      <c r="N902">
        <v>51.257031073320903</v>
      </c>
      <c r="O902">
        <v>49.087316076761702</v>
      </c>
      <c r="P902">
        <v>-9.3420154141061196E-2</v>
      </c>
      <c r="Q902">
        <v>0.31407477475722201</v>
      </c>
      <c r="R902">
        <v>0.94297034749910902</v>
      </c>
      <c r="S902" t="s">
        <v>7548</v>
      </c>
      <c r="T902" t="s">
        <v>13290</v>
      </c>
      <c r="U902" t="s">
        <v>13290</v>
      </c>
      <c r="V902" t="s">
        <v>13290</v>
      </c>
      <c r="W902" t="s">
        <v>14177</v>
      </c>
      <c r="X902">
        <v>3</v>
      </c>
      <c r="Y902" t="s">
        <v>20763</v>
      </c>
      <c r="Z902" t="s">
        <v>27232</v>
      </c>
      <c r="AA902">
        <v>0.53341438183789536</v>
      </c>
      <c r="AB902" t="str">
        <f>HYPERLINK("Melting_Curves/meltCurve_H0Y6K5_SP3.pdf", "Melting_Curves/meltCurve_H0Y6K5_SP3.pdf")</f>
        <v>Melting_Curves/meltCurve_H0Y6K5_SP3.pdf</v>
      </c>
    </row>
    <row r="903" spans="1:28" x14ac:dyDescent="0.25">
      <c r="A903" t="s">
        <v>907</v>
      </c>
      <c r="B903">
        <v>0.99252571173614901</v>
      </c>
      <c r="C903">
        <v>1.1314575148302899</v>
      </c>
      <c r="D903">
        <v>0.87567863914214905</v>
      </c>
      <c r="E903">
        <v>0.791937849278192</v>
      </c>
      <c r="F903">
        <v>0.60101987072884</v>
      </c>
      <c r="G903">
        <v>0.24889201324537999</v>
      </c>
      <c r="H903">
        <v>0.170650148766223</v>
      </c>
      <c r="I903">
        <v>0.23700816044534301</v>
      </c>
      <c r="J903">
        <v>0.28480922471960901</v>
      </c>
      <c r="K903">
        <v>0.29712909439546298</v>
      </c>
      <c r="L903">
        <v>1243.30041518551</v>
      </c>
      <c r="M903">
        <v>23.867330260186801</v>
      </c>
      <c r="N903">
        <v>53.484763803710401</v>
      </c>
      <c r="O903">
        <v>51.730583845339197</v>
      </c>
      <c r="P903">
        <v>-8.8653317944028698E-2</v>
      </c>
      <c r="Q903">
        <v>0.231415699943225</v>
      </c>
      <c r="R903">
        <v>0.953748226249717</v>
      </c>
      <c r="S903" t="s">
        <v>7549</v>
      </c>
      <c r="T903" t="s">
        <v>13290</v>
      </c>
      <c r="U903" t="s">
        <v>13290</v>
      </c>
      <c r="V903" t="s">
        <v>13290</v>
      </c>
      <c r="W903" t="s">
        <v>14178</v>
      </c>
      <c r="X903">
        <v>3</v>
      </c>
      <c r="Y903" t="s">
        <v>20764</v>
      </c>
      <c r="Z903" t="s">
        <v>27233</v>
      </c>
      <c r="AA903">
        <v>0.54888295795659769</v>
      </c>
      <c r="AB903" t="str">
        <f>HYPERLINK("Melting_Curves/meltCurve_H0Y742_SUN1.pdf", "Melting_Curves/meltCurve_H0Y742_SUN1.pdf")</f>
        <v>Melting_Curves/meltCurve_H0Y742_SUN1.pdf</v>
      </c>
    </row>
    <row r="904" spans="1:28" x14ac:dyDescent="0.25">
      <c r="A904" t="s">
        <v>908</v>
      </c>
      <c r="B904">
        <v>0.99252571173614901</v>
      </c>
      <c r="C904">
        <v>1.08955385246963</v>
      </c>
      <c r="D904">
        <v>0.99544356790078703</v>
      </c>
      <c r="E904">
        <v>0.894824791128076</v>
      </c>
      <c r="F904">
        <v>0.975314834389718</v>
      </c>
      <c r="G904">
        <v>0.96827108918362903</v>
      </c>
      <c r="H904">
        <v>1.0412114339006999</v>
      </c>
      <c r="I904">
        <v>1.43499752238776</v>
      </c>
      <c r="J904">
        <v>1.9219876986120701</v>
      </c>
      <c r="K904">
        <v>2.3190927940945398</v>
      </c>
      <c r="L904">
        <v>5975.3032760474998</v>
      </c>
      <c r="M904">
        <v>95.540571413484201</v>
      </c>
      <c r="O904">
        <v>62.514655242172303</v>
      </c>
      <c r="P904">
        <v>0.19103633279627799</v>
      </c>
      <c r="Q904">
        <v>1.5</v>
      </c>
      <c r="R904">
        <v>0.58700481472652299</v>
      </c>
      <c r="S904" t="s">
        <v>7550</v>
      </c>
      <c r="T904" t="s">
        <v>13290</v>
      </c>
      <c r="U904" t="s">
        <v>13290</v>
      </c>
      <c r="V904" t="s">
        <v>13290</v>
      </c>
      <c r="W904" t="s">
        <v>14179</v>
      </c>
      <c r="X904">
        <v>15</v>
      </c>
      <c r="Y904" t="s">
        <v>20765</v>
      </c>
      <c r="Z904" t="s">
        <v>27234</v>
      </c>
      <c r="AA904">
        <v>1.1239234282586219</v>
      </c>
      <c r="AB904" t="str">
        <f>HYPERLINK("Melting_Curves/meltCurve_H0Y7A7_CALM2.pdf", "Melting_Curves/meltCurve_H0Y7A7_CALM2.pdf")</f>
        <v>Melting_Curves/meltCurve_H0Y7A7_CALM2.pdf</v>
      </c>
    </row>
    <row r="905" spans="1:28" x14ac:dyDescent="0.25">
      <c r="A905" t="s">
        <v>909</v>
      </c>
      <c r="B905">
        <v>0.99252571173614901</v>
      </c>
      <c r="C905">
        <v>1.22896383337128</v>
      </c>
      <c r="D905">
        <v>1.34119319162271</v>
      </c>
      <c r="E905">
        <v>3.2989350506206199</v>
      </c>
      <c r="F905">
        <v>1.8237336397756001</v>
      </c>
      <c r="G905">
        <v>1.6888861749970301</v>
      </c>
      <c r="H905">
        <v>1.57065320787019</v>
      </c>
      <c r="I905">
        <v>2.6016305698278601</v>
      </c>
      <c r="J905">
        <v>5.5148799335605796</v>
      </c>
      <c r="K905">
        <v>6.1381356059053402</v>
      </c>
      <c r="L905">
        <v>2169.9422075536399</v>
      </c>
      <c r="M905">
        <v>50.304924253953601</v>
      </c>
      <c r="O905">
        <v>43.067777272351996</v>
      </c>
      <c r="P905">
        <v>0.14600523068148399</v>
      </c>
      <c r="Q905">
        <v>1.5</v>
      </c>
      <c r="R905">
        <v>-0.40641807334513103</v>
      </c>
      <c r="S905" t="s">
        <v>7551</v>
      </c>
      <c r="T905" t="s">
        <v>13290</v>
      </c>
      <c r="U905" t="s">
        <v>13290</v>
      </c>
      <c r="V905" t="s">
        <v>13290</v>
      </c>
      <c r="W905" t="s">
        <v>14180</v>
      </c>
      <c r="X905">
        <v>11</v>
      </c>
      <c r="Y905" t="s">
        <v>20766</v>
      </c>
      <c r="Z905" t="s">
        <v>27235</v>
      </c>
      <c r="AA905">
        <v>1.446569601339873</v>
      </c>
      <c r="AB905" t="str">
        <f>HYPERLINK("Melting_Curves/meltCurve_H0Y7S3_ATP2B2.pdf", "Melting_Curves/meltCurve_H0Y7S3_ATP2B2.pdf")</f>
        <v>Melting_Curves/meltCurve_H0Y7S3_ATP2B2.pdf</v>
      </c>
    </row>
    <row r="906" spans="1:28" x14ac:dyDescent="0.25">
      <c r="A906" t="s">
        <v>910</v>
      </c>
      <c r="B906">
        <v>0.99252571173614901</v>
      </c>
      <c r="C906">
        <v>0.74483662594896405</v>
      </c>
      <c r="D906">
        <v>0.84765189082179004</v>
      </c>
      <c r="E906">
        <v>0.84801836078700898</v>
      </c>
      <c r="F906">
        <v>0.89407101877947304</v>
      </c>
      <c r="G906">
        <v>0.89370914385012901</v>
      </c>
      <c r="H906">
        <v>0.21180101522707001</v>
      </c>
      <c r="I906">
        <v>4.9709326316607502E-2</v>
      </c>
      <c r="J906">
        <v>3.1450207981279898E-2</v>
      </c>
      <c r="K906">
        <v>2.8527339313642999E-2</v>
      </c>
      <c r="L906">
        <v>2979.65675519558</v>
      </c>
      <c r="M906">
        <v>50.445347245257302</v>
      </c>
      <c r="N906">
        <v>59.135842253096101</v>
      </c>
      <c r="O906">
        <v>58.9744249454859</v>
      </c>
      <c r="P906">
        <v>-0.20774859248214</v>
      </c>
      <c r="Q906">
        <v>2.8505550356405101E-2</v>
      </c>
      <c r="R906">
        <v>0.92145682212932001</v>
      </c>
      <c r="S906" t="s">
        <v>7552</v>
      </c>
      <c r="T906" t="s">
        <v>13290</v>
      </c>
      <c r="U906" t="s">
        <v>13290</v>
      </c>
      <c r="V906" t="s">
        <v>13290</v>
      </c>
      <c r="W906" t="s">
        <v>14181</v>
      </c>
      <c r="X906">
        <v>2</v>
      </c>
      <c r="Y906" t="s">
        <v>20767</v>
      </c>
      <c r="Z906" t="s">
        <v>27236</v>
      </c>
      <c r="AA906">
        <v>0.64842123451014133</v>
      </c>
      <c r="AB906" t="str">
        <f>HYPERLINK("Melting_Curves/meltCurve_H0Y7X5_PLXNB2.pdf", "Melting_Curves/meltCurve_H0Y7X5_PLXNB2.pdf")</f>
        <v>Melting_Curves/meltCurve_H0Y7X5_PLXNB2.pdf</v>
      </c>
    </row>
    <row r="907" spans="1:28" x14ac:dyDescent="0.25">
      <c r="A907" t="s">
        <v>911</v>
      </c>
      <c r="B907">
        <v>0.99252571173614901</v>
      </c>
      <c r="C907">
        <v>1.11451087678199</v>
      </c>
      <c r="D907">
        <v>1.04471105676666</v>
      </c>
      <c r="E907">
        <v>1.1746414006371699</v>
      </c>
      <c r="F907">
        <v>0.70107628956435997</v>
      </c>
      <c r="G907">
        <v>0.62577839495237397</v>
      </c>
      <c r="H907">
        <v>0.65003580027811403</v>
      </c>
      <c r="I907">
        <v>1.0733850456121601</v>
      </c>
      <c r="J907">
        <v>1.0925644900670699</v>
      </c>
      <c r="K907">
        <v>0.68097231405841296</v>
      </c>
      <c r="L907">
        <v>3792.9623839750002</v>
      </c>
      <c r="M907">
        <v>73.643975653278403</v>
      </c>
      <c r="O907">
        <v>51.466102330446802</v>
      </c>
      <c r="P907">
        <v>-6.9895435402392098E-2</v>
      </c>
      <c r="Q907">
        <v>0.80461429905115001</v>
      </c>
      <c r="R907">
        <v>0.34127583723125898</v>
      </c>
      <c r="S907" t="s">
        <v>7553</v>
      </c>
      <c r="T907" t="s">
        <v>13290</v>
      </c>
      <c r="U907" t="s">
        <v>13290</v>
      </c>
      <c r="V907" t="s">
        <v>13290</v>
      </c>
      <c r="W907" t="s">
        <v>14049</v>
      </c>
      <c r="X907">
        <v>10</v>
      </c>
      <c r="Z907" t="s">
        <v>27237</v>
      </c>
      <c r="AA907">
        <v>0.87974247241336812</v>
      </c>
      <c r="AB907" t="str">
        <f>HYPERLINK("Melting_Curves/meltCurve_H0Y858_.pdf", "Melting_Curves/meltCurve_H0Y858_.pdf")</f>
        <v>Melting_Curves/meltCurve_H0Y858_.pdf</v>
      </c>
    </row>
    <row r="908" spans="1:28" x14ac:dyDescent="0.25">
      <c r="A908" t="s">
        <v>912</v>
      </c>
      <c r="B908">
        <v>0.99252571173614901</v>
      </c>
      <c r="C908">
        <v>0.66077005030322</v>
      </c>
      <c r="D908">
        <v>0.375329993857627</v>
      </c>
      <c r="E908">
        <v>0.24196591172308901</v>
      </c>
      <c r="F908">
        <v>0.15860563015447601</v>
      </c>
      <c r="G908">
        <v>8.1877601421414398E-2</v>
      </c>
      <c r="H908">
        <v>7.3480996132374396E-2</v>
      </c>
      <c r="I908">
        <v>6.2751088592347903E-2</v>
      </c>
      <c r="J908">
        <v>6.5756471214425197E-2</v>
      </c>
      <c r="K908">
        <v>7.6736874808078601E-2</v>
      </c>
      <c r="L908">
        <v>862.37514896461596</v>
      </c>
      <c r="M908">
        <v>19.373974013537499</v>
      </c>
      <c r="N908">
        <v>44.917325399666097</v>
      </c>
      <c r="O908">
        <v>44.045930991929097</v>
      </c>
      <c r="P908">
        <v>-0.10114976894937899</v>
      </c>
      <c r="Q908">
        <v>8.0194295920832895E-2</v>
      </c>
      <c r="R908">
        <v>0.98350381343313698</v>
      </c>
      <c r="S908" t="s">
        <v>7554</v>
      </c>
      <c r="T908" t="s">
        <v>13290</v>
      </c>
      <c r="U908" t="s">
        <v>13290</v>
      </c>
      <c r="V908" t="s">
        <v>13290</v>
      </c>
      <c r="W908" t="s">
        <v>14182</v>
      </c>
      <c r="X908">
        <v>6</v>
      </c>
      <c r="Y908" t="s">
        <v>20768</v>
      </c>
      <c r="Z908" t="s">
        <v>27238</v>
      </c>
      <c r="AA908">
        <v>0.2363489833717598</v>
      </c>
      <c r="AB908" t="str">
        <f>HYPERLINK("Melting_Curves/meltCurve_H0Y882_FOXP1.pdf", "Melting_Curves/meltCurve_H0Y882_FOXP1.pdf")</f>
        <v>Melting_Curves/meltCurve_H0Y882_FOXP1.pdf</v>
      </c>
    </row>
    <row r="909" spans="1:28" x14ac:dyDescent="0.25">
      <c r="A909" t="s">
        <v>913</v>
      </c>
      <c r="B909">
        <v>0.99252571173614901</v>
      </c>
      <c r="C909">
        <v>0.97758390629553904</v>
      </c>
      <c r="D909">
        <v>0.97102249243711802</v>
      </c>
      <c r="E909">
        <v>0.70107249461967203</v>
      </c>
      <c r="F909">
        <v>0.56207597343615201</v>
      </c>
      <c r="G909">
        <v>0.21248004184934199</v>
      </c>
      <c r="H909">
        <v>9.1286300708907406E-2</v>
      </c>
      <c r="I909">
        <v>6.4575494629203603E-2</v>
      </c>
      <c r="J909">
        <v>6.4637443451966495E-2</v>
      </c>
      <c r="K909">
        <v>7.1901279803969098E-2</v>
      </c>
      <c r="L909">
        <v>944.84575719288398</v>
      </c>
      <c r="M909">
        <v>17.8848931540597</v>
      </c>
      <c r="N909">
        <v>53.034792571974201</v>
      </c>
      <c r="O909">
        <v>52.182075982483802</v>
      </c>
      <c r="P909">
        <v>-8.28203972908782E-2</v>
      </c>
      <c r="Q909">
        <v>3.3481153845166901E-2</v>
      </c>
      <c r="R909">
        <v>0.99049650169231096</v>
      </c>
      <c r="S909" t="s">
        <v>7555</v>
      </c>
      <c r="T909" t="s">
        <v>13290</v>
      </c>
      <c r="U909" t="s">
        <v>13290</v>
      </c>
      <c r="V909" t="s">
        <v>13290</v>
      </c>
      <c r="W909" t="s">
        <v>14183</v>
      </c>
      <c r="X909">
        <v>4</v>
      </c>
      <c r="Y909" t="s">
        <v>20769</v>
      </c>
      <c r="Z909" t="s">
        <v>27239</v>
      </c>
      <c r="AA909">
        <v>0.46284664808485421</v>
      </c>
      <c r="AB909" t="str">
        <f>HYPERLINK("Melting_Curves/meltCurve_H0Y8C3_MTCH1.pdf", "Melting_Curves/meltCurve_H0Y8C3_MTCH1.pdf")</f>
        <v>Melting_Curves/meltCurve_H0Y8C3_MTCH1.pdf</v>
      </c>
    </row>
    <row r="910" spans="1:28" x14ac:dyDescent="0.25">
      <c r="A910" t="s">
        <v>914</v>
      </c>
      <c r="B910">
        <v>0.99252571173614901</v>
      </c>
      <c r="C910">
        <v>0.89689461924693903</v>
      </c>
      <c r="D910">
        <v>0.83830638211261399</v>
      </c>
      <c r="E910">
        <v>0.597311395944224</v>
      </c>
      <c r="F910">
        <v>0.52287517407898798</v>
      </c>
      <c r="G910">
        <v>0.43620229789526699</v>
      </c>
      <c r="H910">
        <v>0.292027659881885</v>
      </c>
      <c r="I910">
        <v>0.191742236327995</v>
      </c>
      <c r="J910">
        <v>0.103156910717341</v>
      </c>
      <c r="K910">
        <v>7.8343921623344304E-2</v>
      </c>
      <c r="L910">
        <v>476.96310112760199</v>
      </c>
      <c r="M910">
        <v>8.8895171947091196</v>
      </c>
      <c r="N910">
        <v>53.6545559824769</v>
      </c>
      <c r="O910">
        <v>51.1476194664396</v>
      </c>
      <c r="P910">
        <v>-4.3483361944870597E-2</v>
      </c>
      <c r="Q910">
        <v>0</v>
      </c>
      <c r="R910">
        <v>0.98502204249458403</v>
      </c>
      <c r="S910" t="s">
        <v>7556</v>
      </c>
      <c r="T910" t="s">
        <v>13290</v>
      </c>
      <c r="U910" t="s">
        <v>13290</v>
      </c>
      <c r="V910" t="s">
        <v>13290</v>
      </c>
      <c r="W910" t="s">
        <v>14184</v>
      </c>
      <c r="X910">
        <v>2</v>
      </c>
      <c r="Y910" t="s">
        <v>20770</v>
      </c>
      <c r="Z910" t="s">
        <v>27240</v>
      </c>
      <c r="AA910">
        <v>0.48945674342430828</v>
      </c>
      <c r="AB910" t="str">
        <f>HYPERLINK("Melting_Curves/meltCurve_H0Y8D0_TMEM222.pdf", "Melting_Curves/meltCurve_H0Y8D0_TMEM222.pdf")</f>
        <v>Melting_Curves/meltCurve_H0Y8D0_TMEM222.pdf</v>
      </c>
    </row>
    <row r="911" spans="1:28" x14ac:dyDescent="0.25">
      <c r="A911" t="s">
        <v>915</v>
      </c>
      <c r="B911">
        <v>0.99252571173614901</v>
      </c>
      <c r="C911">
        <v>0.88987126420879004</v>
      </c>
      <c r="D911">
        <v>0.83643809327243102</v>
      </c>
      <c r="E911">
        <v>0.64271713857272705</v>
      </c>
      <c r="F911">
        <v>0.52185061383232501</v>
      </c>
      <c r="G911">
        <v>0.20458087265319799</v>
      </c>
      <c r="H911">
        <v>0.14335017552476001</v>
      </c>
      <c r="I911">
        <v>0.13174957765970399</v>
      </c>
      <c r="J911">
        <v>0.122256726602743</v>
      </c>
      <c r="K911">
        <v>7.9983788982287501E-2</v>
      </c>
      <c r="L911">
        <v>659.61537597256597</v>
      </c>
      <c r="M911">
        <v>12.7409153833955</v>
      </c>
      <c r="N911">
        <v>52.153649325067001</v>
      </c>
      <c r="O911">
        <v>50.545757892599603</v>
      </c>
      <c r="P911">
        <v>-6.0219325477557997E-2</v>
      </c>
      <c r="Q911">
        <v>4.4574137973542899E-2</v>
      </c>
      <c r="R911">
        <v>0.98647118282943702</v>
      </c>
      <c r="S911" t="s">
        <v>7557</v>
      </c>
      <c r="T911" t="s">
        <v>13290</v>
      </c>
      <c r="U911" t="s">
        <v>13290</v>
      </c>
      <c r="V911" t="s">
        <v>13290</v>
      </c>
      <c r="W911" t="s">
        <v>14185</v>
      </c>
      <c r="X911">
        <v>1</v>
      </c>
      <c r="Y911" t="s">
        <v>20771</v>
      </c>
      <c r="Z911" t="s">
        <v>27241</v>
      </c>
      <c r="AA911">
        <v>0.44684083069524988</v>
      </c>
      <c r="AB911" t="str">
        <f>HYPERLINK("Melting_Curves/meltCurve_H0Y9D6_B4GALT7.pdf", "Melting_Curves/meltCurve_H0Y9D6_B4GALT7.pdf")</f>
        <v>Melting_Curves/meltCurve_H0Y9D6_B4GALT7.pdf</v>
      </c>
    </row>
    <row r="912" spans="1:28" x14ac:dyDescent="0.25">
      <c r="A912" t="s">
        <v>916</v>
      </c>
      <c r="B912">
        <v>0.99252571173614901</v>
      </c>
      <c r="C912">
        <v>0.88351515597389496</v>
      </c>
      <c r="D912">
        <v>0.54890331964527395</v>
      </c>
      <c r="E912">
        <v>0.193429189219228</v>
      </c>
      <c r="F912">
        <v>0.113421975744268</v>
      </c>
      <c r="G912">
        <v>5.4942621661452001E-2</v>
      </c>
      <c r="H912">
        <v>3.3549168350312998E-2</v>
      </c>
      <c r="I912">
        <v>3.1916624390864803E-2</v>
      </c>
      <c r="J912">
        <v>4.1470904027854201E-2</v>
      </c>
      <c r="K912">
        <v>3.7138786591470699E-2</v>
      </c>
      <c r="L912">
        <v>1120.58477489388</v>
      </c>
      <c r="M912">
        <v>24.216241128583999</v>
      </c>
      <c r="N912">
        <v>46.440693176457899</v>
      </c>
      <c r="O912">
        <v>45.962007830612798</v>
      </c>
      <c r="P912">
        <v>-0.126241137698926</v>
      </c>
      <c r="Q912">
        <v>4.1600619434696902E-2</v>
      </c>
      <c r="R912">
        <v>0.99869979913852502</v>
      </c>
      <c r="S912" t="s">
        <v>7558</v>
      </c>
      <c r="T912" t="s">
        <v>13290</v>
      </c>
      <c r="U912" t="s">
        <v>13290</v>
      </c>
      <c r="V912" t="s">
        <v>13290</v>
      </c>
      <c r="W912" t="s">
        <v>14186</v>
      </c>
      <c r="X912">
        <v>3</v>
      </c>
      <c r="Y912" t="s">
        <v>20772</v>
      </c>
      <c r="Z912" t="s">
        <v>27242</v>
      </c>
      <c r="AA912">
        <v>0.25143845534356363</v>
      </c>
      <c r="AB912" t="str">
        <f>HYPERLINK("Melting_Curves/meltCurve_H0Y9T8_PRR5_ARHGAP8.pdf", "Melting_Curves/meltCurve_H0Y9T8_PRR5_ARHGAP8.pdf")</f>
        <v>Melting_Curves/meltCurve_H0Y9T8_PRR5_ARHGAP8.pdf</v>
      </c>
    </row>
    <row r="913" spans="1:28" x14ac:dyDescent="0.25">
      <c r="A913" t="s">
        <v>917</v>
      </c>
      <c r="B913">
        <v>0.99252571173614901</v>
      </c>
      <c r="C913">
        <v>1.1170399473475701</v>
      </c>
      <c r="D913">
        <v>0.96677498875285295</v>
      </c>
      <c r="E913">
        <v>0.81524318263488404</v>
      </c>
      <c r="F913">
        <v>0.34199484389288098</v>
      </c>
      <c r="G913">
        <v>0.19182011928345299</v>
      </c>
      <c r="H913">
        <v>0.14563854195835901</v>
      </c>
      <c r="I913">
        <v>0.158802057205921</v>
      </c>
      <c r="J913">
        <v>0.227210484208103</v>
      </c>
      <c r="K913">
        <v>0.28614211061160599</v>
      </c>
      <c r="L913">
        <v>2044.12381019653</v>
      </c>
      <c r="M913">
        <v>40.004648996736897</v>
      </c>
      <c r="N913">
        <v>51.756897282286701</v>
      </c>
      <c r="O913">
        <v>50.969972801169597</v>
      </c>
      <c r="P913">
        <v>-0.157026278898965</v>
      </c>
      <c r="Q913">
        <v>0.19973215189473201</v>
      </c>
      <c r="R913">
        <v>0.98029452345023904</v>
      </c>
      <c r="S913" t="s">
        <v>7559</v>
      </c>
      <c r="T913" t="s">
        <v>13290</v>
      </c>
      <c r="U913" t="s">
        <v>13290</v>
      </c>
      <c r="V913" t="s">
        <v>13290</v>
      </c>
      <c r="W913" t="s">
        <v>14187</v>
      </c>
      <c r="X913">
        <v>8</v>
      </c>
      <c r="Y913" t="s">
        <v>20773</v>
      </c>
      <c r="Z913" t="s">
        <v>27243</v>
      </c>
      <c r="AA913">
        <v>0.49858099098774572</v>
      </c>
      <c r="AB913" t="str">
        <f>HYPERLINK("Melting_Curves/meltCurve_H0Y9X1_TMA16.pdf", "Melting_Curves/meltCurve_H0Y9X1_TMA16.pdf")</f>
        <v>Melting_Curves/meltCurve_H0Y9X1_TMA16.pdf</v>
      </c>
    </row>
    <row r="914" spans="1:28" x14ac:dyDescent="0.25">
      <c r="A914" t="s">
        <v>918</v>
      </c>
      <c r="B914">
        <v>0.99252571173614901</v>
      </c>
      <c r="C914">
        <v>1.0847147030268101</v>
      </c>
      <c r="D914">
        <v>0.95303606175097599</v>
      </c>
      <c r="E914">
        <v>0.91122688406976105</v>
      </c>
      <c r="F914">
        <v>0.74575179290479998</v>
      </c>
      <c r="G914">
        <v>0.63776246444120299</v>
      </c>
      <c r="H914">
        <v>0.64111167653526202</v>
      </c>
      <c r="I914">
        <v>0.84816987001537703</v>
      </c>
      <c r="J914">
        <v>1.2182694532801801</v>
      </c>
      <c r="K914">
        <v>1.2722906322150001</v>
      </c>
      <c r="L914">
        <v>15000</v>
      </c>
      <c r="M914">
        <v>224.940519252104</v>
      </c>
      <c r="O914">
        <v>66.679012086940403</v>
      </c>
      <c r="P914">
        <v>0.229688565020816</v>
      </c>
      <c r="Q914">
        <v>1.2723459415623899</v>
      </c>
      <c r="R914">
        <v>0.16751751967714401</v>
      </c>
      <c r="S914" t="s">
        <v>7560</v>
      </c>
      <c r="T914" t="s">
        <v>13290</v>
      </c>
      <c r="U914" t="s">
        <v>13290</v>
      </c>
      <c r="V914" t="s">
        <v>13290</v>
      </c>
      <c r="W914" t="s">
        <v>14188</v>
      </c>
      <c r="X914">
        <v>6</v>
      </c>
      <c r="Y914" t="s">
        <v>20774</v>
      </c>
      <c r="Z914" t="s">
        <v>27244</v>
      </c>
      <c r="AA914">
        <v>1.0300613232192231</v>
      </c>
      <c r="AB914" t="str">
        <f>HYPERLINK("Melting_Curves/meltCurve_H0YA52_PCBD2.pdf", "Melting_Curves/meltCurve_H0YA52_PCBD2.pdf")</f>
        <v>Melting_Curves/meltCurve_H0YA52_PCBD2.pdf</v>
      </c>
    </row>
    <row r="915" spans="1:28" x14ac:dyDescent="0.25">
      <c r="A915" t="s">
        <v>919</v>
      </c>
      <c r="B915">
        <v>0.99252571173614901</v>
      </c>
      <c r="C915">
        <v>1.06275432319977</v>
      </c>
      <c r="D915">
        <v>0.956906493936031</v>
      </c>
      <c r="E915">
        <v>0.68894626385576696</v>
      </c>
      <c r="F915">
        <v>0.42871437607310803</v>
      </c>
      <c r="G915">
        <v>0.22466451321757999</v>
      </c>
      <c r="H915">
        <v>0.154346557271691</v>
      </c>
      <c r="I915">
        <v>0.16052694849427199</v>
      </c>
      <c r="J915">
        <v>0.182662849521527</v>
      </c>
      <c r="K915">
        <v>0.16841476831955601</v>
      </c>
      <c r="L915">
        <v>1183.95496747622</v>
      </c>
      <c r="M915">
        <v>23.1784123963951</v>
      </c>
      <c r="N915">
        <v>51.942297231945702</v>
      </c>
      <c r="O915">
        <v>50.704388942998001</v>
      </c>
      <c r="P915">
        <v>-9.6033961146190297E-2</v>
      </c>
      <c r="Q915">
        <v>0.15969104826587699</v>
      </c>
      <c r="R915">
        <v>0.99345835321200704</v>
      </c>
      <c r="S915" t="s">
        <v>7561</v>
      </c>
      <c r="T915" t="s">
        <v>13290</v>
      </c>
      <c r="U915" t="s">
        <v>13290</v>
      </c>
      <c r="V915" t="s">
        <v>13290</v>
      </c>
      <c r="W915" t="s">
        <v>14189</v>
      </c>
      <c r="X915">
        <v>2</v>
      </c>
      <c r="Y915" t="s">
        <v>20775</v>
      </c>
      <c r="Z915" t="s">
        <v>27245</v>
      </c>
      <c r="AA915">
        <v>0.4788540068303288</v>
      </c>
      <c r="AB915" t="str">
        <f>HYPERLINK("Melting_Curves/meltCurve_H0YA80_UBE2B.pdf", "Melting_Curves/meltCurve_H0YA80_UBE2B.pdf")</f>
        <v>Melting_Curves/meltCurve_H0YA80_UBE2B.pdf</v>
      </c>
    </row>
    <row r="916" spans="1:28" x14ac:dyDescent="0.25">
      <c r="A916" t="s">
        <v>920</v>
      </c>
      <c r="B916">
        <v>0.99252571173614901</v>
      </c>
      <c r="C916">
        <v>1.0230115166942799</v>
      </c>
      <c r="D916">
        <v>0.90270785662299502</v>
      </c>
      <c r="E916">
        <v>0.84462949895071804</v>
      </c>
      <c r="F916">
        <v>0.76688499544687205</v>
      </c>
      <c r="G916">
        <v>0.61079197691284604</v>
      </c>
      <c r="H916">
        <v>0.59083010339431297</v>
      </c>
      <c r="I916">
        <v>0.80947195086162305</v>
      </c>
      <c r="J916">
        <v>0.871414874427483</v>
      </c>
      <c r="K916">
        <v>0.61214847370973402</v>
      </c>
      <c r="L916">
        <v>1150.10955248765</v>
      </c>
      <c r="M916">
        <v>23.609159595134301</v>
      </c>
      <c r="O916">
        <v>48.3690617548056</v>
      </c>
      <c r="P916">
        <v>-3.6199071368789998E-2</v>
      </c>
      <c r="Q916">
        <v>0.70335472952138001</v>
      </c>
      <c r="R916">
        <v>0.65830331202964398</v>
      </c>
      <c r="S916" t="s">
        <v>7562</v>
      </c>
      <c r="T916" t="s">
        <v>13290</v>
      </c>
      <c r="U916" t="s">
        <v>13290</v>
      </c>
      <c r="V916" t="s">
        <v>13290</v>
      </c>
      <c r="W916" t="s">
        <v>14190</v>
      </c>
      <c r="X916">
        <v>8</v>
      </c>
      <c r="Y916" t="s">
        <v>20776</v>
      </c>
      <c r="Z916" t="s">
        <v>27246</v>
      </c>
      <c r="AA916">
        <v>0.79248173528124821</v>
      </c>
      <c r="AB916" t="str">
        <f>HYPERLINK("Melting_Curves/meltCurve_H0YAV1_RRM2B.pdf", "Melting_Curves/meltCurve_H0YAV1_RRM2B.pdf")</f>
        <v>Melting_Curves/meltCurve_H0YAV1_RRM2B.pdf</v>
      </c>
    </row>
    <row r="917" spans="1:28" x14ac:dyDescent="0.25">
      <c r="A917" t="s">
        <v>921</v>
      </c>
      <c r="B917">
        <v>0.99252571173614901</v>
      </c>
      <c r="C917">
        <v>1.1204106191071701</v>
      </c>
      <c r="D917">
        <v>0.98020684310649298</v>
      </c>
      <c r="E917">
        <v>0.63155330767347795</v>
      </c>
      <c r="F917">
        <v>0.23255329834615601</v>
      </c>
      <c r="G917">
        <v>0.124853172577833</v>
      </c>
      <c r="H917">
        <v>0.124407063930611</v>
      </c>
      <c r="I917">
        <v>0.13272263915045801</v>
      </c>
      <c r="J917">
        <v>0.15206137523052099</v>
      </c>
      <c r="K917">
        <v>0.170286175868821</v>
      </c>
      <c r="L917">
        <v>1943.7259222590999</v>
      </c>
      <c r="M917">
        <v>38.874327288436199</v>
      </c>
      <c r="N917">
        <v>50.431823564617297</v>
      </c>
      <c r="O917">
        <v>49.868482815329997</v>
      </c>
      <c r="P917">
        <v>-0.167309428966472</v>
      </c>
      <c r="Q917">
        <v>0.141495327614235</v>
      </c>
      <c r="R917">
        <v>0.98913492049183604</v>
      </c>
      <c r="S917" t="s">
        <v>7563</v>
      </c>
      <c r="T917" t="s">
        <v>13290</v>
      </c>
      <c r="U917" t="s">
        <v>13290</v>
      </c>
      <c r="V917" t="s">
        <v>13290</v>
      </c>
      <c r="W917" t="s">
        <v>14191</v>
      </c>
      <c r="X917">
        <v>2</v>
      </c>
      <c r="Y917" t="s">
        <v>20777</v>
      </c>
      <c r="Z917" t="s">
        <v>27247</v>
      </c>
      <c r="AA917">
        <v>0.43081478645201737</v>
      </c>
      <c r="AB917" t="str">
        <f>HYPERLINK("Melting_Curves/meltCurve_H0YB73_UBE2W.pdf", "Melting_Curves/meltCurve_H0YB73_UBE2W.pdf")</f>
        <v>Melting_Curves/meltCurve_H0YB73_UBE2W.pdf</v>
      </c>
    </row>
    <row r="918" spans="1:28" x14ac:dyDescent="0.25">
      <c r="A918" t="s">
        <v>922</v>
      </c>
      <c r="B918">
        <v>0.99252571173614901</v>
      </c>
      <c r="C918">
        <v>0.97019255254080805</v>
      </c>
      <c r="D918">
        <v>0.87462150064669897</v>
      </c>
      <c r="E918">
        <v>0.81754989081681095</v>
      </c>
      <c r="F918">
        <v>0.49409947060063097</v>
      </c>
      <c r="G918">
        <v>0.37699290814226499</v>
      </c>
      <c r="H918">
        <v>0.28890912036793898</v>
      </c>
      <c r="I918">
        <v>0.40076478015783401</v>
      </c>
      <c r="J918">
        <v>0.57024658517449101</v>
      </c>
      <c r="K918">
        <v>0.526599397102267</v>
      </c>
      <c r="L918">
        <v>1786.52401019069</v>
      </c>
      <c r="M918">
        <v>35.470659092402002</v>
      </c>
      <c r="N918">
        <v>53.321363495219302</v>
      </c>
      <c r="O918">
        <v>50.206965634212899</v>
      </c>
      <c r="P918">
        <v>-0.100678673718957</v>
      </c>
      <c r="Q918">
        <v>0.42997915126240799</v>
      </c>
      <c r="R918">
        <v>0.88960677628615303</v>
      </c>
      <c r="S918" t="s">
        <v>7564</v>
      </c>
      <c r="T918" t="s">
        <v>13290</v>
      </c>
      <c r="U918" t="s">
        <v>13290</v>
      </c>
      <c r="V918" t="s">
        <v>13290</v>
      </c>
      <c r="W918" t="s">
        <v>14192</v>
      </c>
      <c r="X918">
        <v>3</v>
      </c>
      <c r="Y918" t="s">
        <v>20778</v>
      </c>
      <c r="Z918" t="s">
        <v>27248</v>
      </c>
      <c r="AA918">
        <v>0.62947456527843559</v>
      </c>
      <c r="AB918" t="str">
        <f>HYPERLINK("Melting_Curves/meltCurve_H0YBC7_BNIP3L.pdf", "Melting_Curves/meltCurve_H0YBC7_BNIP3L.pdf")</f>
        <v>Melting_Curves/meltCurve_H0YBC7_BNIP3L.pdf</v>
      </c>
    </row>
    <row r="919" spans="1:28" x14ac:dyDescent="0.25">
      <c r="A919" t="s">
        <v>923</v>
      </c>
      <c r="B919">
        <v>0.99252571173614901</v>
      </c>
      <c r="C919">
        <v>0.947890887804269</v>
      </c>
      <c r="D919">
        <v>0.90147428358689197</v>
      </c>
      <c r="E919">
        <v>0.98926788728444703</v>
      </c>
      <c r="F919">
        <v>0.73847964248922404</v>
      </c>
      <c r="G919">
        <v>0.40969616414052501</v>
      </c>
      <c r="H919">
        <v>0.25865656396316999</v>
      </c>
      <c r="I919">
        <v>0.215568807549127</v>
      </c>
      <c r="J919">
        <v>0.22165724054837099</v>
      </c>
      <c r="K919">
        <v>0.260067613574817</v>
      </c>
      <c r="L919">
        <v>1641.1701544126099</v>
      </c>
      <c r="M919">
        <v>30.132675279525099</v>
      </c>
      <c r="N919">
        <v>55.595046632594197</v>
      </c>
      <c r="O919">
        <v>54.2266094561815</v>
      </c>
      <c r="P919">
        <v>-0.107104072445214</v>
      </c>
      <c r="Q919">
        <v>0.22902916395965001</v>
      </c>
      <c r="R919">
        <v>0.98699452646290098</v>
      </c>
      <c r="S919" t="s">
        <v>7565</v>
      </c>
      <c r="T919" t="s">
        <v>13290</v>
      </c>
      <c r="U919" t="s">
        <v>13290</v>
      </c>
      <c r="V919" t="s">
        <v>13290</v>
      </c>
      <c r="W919" t="s">
        <v>14193</v>
      </c>
      <c r="X919">
        <v>2</v>
      </c>
      <c r="Y919" t="s">
        <v>20779</v>
      </c>
      <c r="Z919" t="s">
        <v>27249</v>
      </c>
      <c r="AA919">
        <v>0.60580741473649602</v>
      </c>
      <c r="AB919" t="str">
        <f>HYPERLINK("Melting_Curves/meltCurve_H0YBI6_TXNRD3.pdf", "Melting_Curves/meltCurve_H0YBI6_TXNRD3.pdf")</f>
        <v>Melting_Curves/meltCurve_H0YBI6_TXNRD3.pdf</v>
      </c>
    </row>
    <row r="920" spans="1:28" x14ac:dyDescent="0.25">
      <c r="A920" t="s">
        <v>924</v>
      </c>
      <c r="B920">
        <v>0.99252571173614901</v>
      </c>
      <c r="C920">
        <v>0.93175694797533604</v>
      </c>
      <c r="D920">
        <v>0.78945499231835203</v>
      </c>
      <c r="E920">
        <v>0.45393896092358899</v>
      </c>
      <c r="F920">
        <v>0.33120005116332502</v>
      </c>
      <c r="G920">
        <v>0.22020626507076499</v>
      </c>
      <c r="H920">
        <v>0.171717118433795</v>
      </c>
      <c r="I920">
        <v>0.15678351849733199</v>
      </c>
      <c r="J920">
        <v>0.15539303342284599</v>
      </c>
      <c r="K920">
        <v>0.15145234351165099</v>
      </c>
      <c r="L920">
        <v>883.91963458683006</v>
      </c>
      <c r="M920">
        <v>18.223690490958599</v>
      </c>
      <c r="N920">
        <v>49.5075434230016</v>
      </c>
      <c r="O920">
        <v>47.931136380385603</v>
      </c>
      <c r="P920">
        <v>-8.0375222150098694E-2</v>
      </c>
      <c r="Q920">
        <v>0.15444246871641601</v>
      </c>
      <c r="R920">
        <v>0.99665449233794701</v>
      </c>
      <c r="S920" t="s">
        <v>7566</v>
      </c>
      <c r="T920" t="s">
        <v>13290</v>
      </c>
      <c r="U920" t="s">
        <v>13290</v>
      </c>
      <c r="V920" t="s">
        <v>13290</v>
      </c>
      <c r="W920" t="s">
        <v>14194</v>
      </c>
      <c r="X920">
        <v>1</v>
      </c>
      <c r="Y920" t="s">
        <v>20780</v>
      </c>
      <c r="Z920" t="s">
        <v>27250</v>
      </c>
      <c r="AA920">
        <v>0.40855786292051249</v>
      </c>
      <c r="AB920" t="str">
        <f>HYPERLINK("Melting_Curves/meltCurve_H0YBN0_VPS37A.pdf", "Melting_Curves/meltCurve_H0YBN0_VPS37A.pdf")</f>
        <v>Melting_Curves/meltCurve_H0YBN0_VPS37A.pdf</v>
      </c>
    </row>
    <row r="921" spans="1:28" x14ac:dyDescent="0.25">
      <c r="A921" t="s">
        <v>925</v>
      </c>
      <c r="B921">
        <v>0.99252571173614901</v>
      </c>
      <c r="C921">
        <v>1.0430385937325899</v>
      </c>
      <c r="D921">
        <v>0.98320557308366396</v>
      </c>
      <c r="E921">
        <v>0.89272132054849795</v>
      </c>
      <c r="F921">
        <v>0.584545487696149</v>
      </c>
      <c r="G921">
        <v>0.19826487637774901</v>
      </c>
      <c r="H921">
        <v>0.117092608316233</v>
      </c>
      <c r="I921">
        <v>0.116394328307993</v>
      </c>
      <c r="J921">
        <v>0.14350407831567499</v>
      </c>
      <c r="K921">
        <v>0.133637751340795</v>
      </c>
      <c r="L921">
        <v>1719.57068750893</v>
      </c>
      <c r="M921">
        <v>32.304451464517498</v>
      </c>
      <c r="N921">
        <v>53.683095372025498</v>
      </c>
      <c r="O921">
        <v>53.027410958240701</v>
      </c>
      <c r="P921">
        <v>-0.13413359266379701</v>
      </c>
      <c r="Q921">
        <v>0.11928885197749001</v>
      </c>
      <c r="R921">
        <v>0.99674178680542003</v>
      </c>
      <c r="S921" t="s">
        <v>7567</v>
      </c>
      <c r="T921" t="s">
        <v>13290</v>
      </c>
      <c r="U921" t="s">
        <v>13290</v>
      </c>
      <c r="V921" t="s">
        <v>13290</v>
      </c>
      <c r="W921" t="s">
        <v>14195</v>
      </c>
      <c r="X921">
        <v>9</v>
      </c>
      <c r="Y921" t="s">
        <v>20781</v>
      </c>
      <c r="Z921" t="s">
        <v>27251</v>
      </c>
      <c r="AA921">
        <v>0.51264117547246724</v>
      </c>
      <c r="AB921" t="str">
        <f>HYPERLINK("Melting_Curves/meltCurve_H0YBP1_PTK2.pdf", "Melting_Curves/meltCurve_H0YBP1_PTK2.pdf")</f>
        <v>Melting_Curves/meltCurve_H0YBP1_PTK2.pdf</v>
      </c>
    </row>
    <row r="922" spans="1:28" x14ac:dyDescent="0.25">
      <c r="A922" t="s">
        <v>926</v>
      </c>
      <c r="B922">
        <v>0.99252571173614901</v>
      </c>
      <c r="C922">
        <v>0.958209856136365</v>
      </c>
      <c r="D922">
        <v>1.0682499055791601</v>
      </c>
      <c r="E922">
        <v>0.88803348982157904</v>
      </c>
      <c r="F922">
        <v>0.44696646466402501</v>
      </c>
      <c r="G922">
        <v>0.23625401697679399</v>
      </c>
      <c r="H922">
        <v>0.232738614412144</v>
      </c>
      <c r="I922">
        <v>0.33240651786112801</v>
      </c>
      <c r="J922">
        <v>0.401987220051649</v>
      </c>
      <c r="K922">
        <v>0.51305666797755101</v>
      </c>
      <c r="L922">
        <v>2608.81243010137</v>
      </c>
      <c r="M922">
        <v>50.918983178827098</v>
      </c>
      <c r="N922">
        <v>52.440391679184103</v>
      </c>
      <c r="O922">
        <v>51.155733965844803</v>
      </c>
      <c r="P922">
        <v>-0.16300574668758899</v>
      </c>
      <c r="Q922">
        <v>0.344945912202403</v>
      </c>
      <c r="R922">
        <v>0.93539736002922003</v>
      </c>
      <c r="S922" t="s">
        <v>7568</v>
      </c>
      <c r="T922" t="s">
        <v>13290</v>
      </c>
      <c r="U922" t="s">
        <v>13290</v>
      </c>
      <c r="V922" t="s">
        <v>13290</v>
      </c>
      <c r="W922" t="s">
        <v>14196</v>
      </c>
      <c r="X922">
        <v>1</v>
      </c>
      <c r="Y922" t="s">
        <v>20782</v>
      </c>
      <c r="Z922" t="s">
        <v>27252</v>
      </c>
      <c r="AA922">
        <v>0.59168149789278035</v>
      </c>
      <c r="AB922" t="str">
        <f>HYPERLINK("Melting_Curves/meltCurve_H0YBR0_TRAPPC9.pdf", "Melting_Curves/meltCurve_H0YBR0_TRAPPC9.pdf")</f>
        <v>Melting_Curves/meltCurve_H0YBR0_TRAPPC9.pdf</v>
      </c>
    </row>
    <row r="923" spans="1:28" x14ac:dyDescent="0.25">
      <c r="A923" t="s">
        <v>927</v>
      </c>
      <c r="B923">
        <v>0.99252571173614901</v>
      </c>
      <c r="C923">
        <v>0.80580175059289105</v>
      </c>
      <c r="D923">
        <v>0.48260059854244503</v>
      </c>
      <c r="E923">
        <v>0.16693604028371101</v>
      </c>
      <c r="F923">
        <v>0.10420823894093501</v>
      </c>
      <c r="G923">
        <v>5.6635526714163602E-2</v>
      </c>
      <c r="H923">
        <v>4.4614549056776899E-2</v>
      </c>
      <c r="I923">
        <v>4.66048968892342E-2</v>
      </c>
      <c r="J923">
        <v>5.7079636540185198E-2</v>
      </c>
      <c r="K923">
        <v>5.72737851226797E-2</v>
      </c>
      <c r="L923">
        <v>1061.5517675753899</v>
      </c>
      <c r="M923">
        <v>23.291717907916698</v>
      </c>
      <c r="N923">
        <v>45.792977191667397</v>
      </c>
      <c r="O923">
        <v>45.244389176644503</v>
      </c>
      <c r="P923">
        <v>-0.121987949364793</v>
      </c>
      <c r="Q923">
        <v>5.21657426486783E-2</v>
      </c>
      <c r="R923">
        <v>0.99845625815667605</v>
      </c>
      <c r="S923" t="s">
        <v>7569</v>
      </c>
      <c r="T923" t="s">
        <v>13290</v>
      </c>
      <c r="U923" t="s">
        <v>13290</v>
      </c>
      <c r="V923" t="s">
        <v>13290</v>
      </c>
      <c r="W923" t="s">
        <v>14197</v>
      </c>
      <c r="X923">
        <v>10</v>
      </c>
      <c r="Y923" t="s">
        <v>20783</v>
      </c>
      <c r="Z923" t="s">
        <v>27253</v>
      </c>
      <c r="AA923">
        <v>0.23895890936230271</v>
      </c>
      <c r="AB923" t="str">
        <f>HYPERLINK("Melting_Curves/meltCurve_H0YBR2_ESRP1.pdf", "Melting_Curves/meltCurve_H0YBR2_ESRP1.pdf")</f>
        <v>Melting_Curves/meltCurve_H0YBR2_ESRP1.pdf</v>
      </c>
    </row>
    <row r="924" spans="1:28" x14ac:dyDescent="0.25">
      <c r="A924" t="s">
        <v>928</v>
      </c>
      <c r="B924">
        <v>0.99252571173614901</v>
      </c>
      <c r="C924">
        <v>1.04753792033605</v>
      </c>
      <c r="D924">
        <v>0.90893844117491196</v>
      </c>
      <c r="E924">
        <v>0.83902229640953896</v>
      </c>
      <c r="F924">
        <v>0.61057639958427801</v>
      </c>
      <c r="G924">
        <v>0.45992707166501301</v>
      </c>
      <c r="H924">
        <v>0.246742435699735</v>
      </c>
      <c r="I924">
        <v>0.28966414076078101</v>
      </c>
      <c r="J924">
        <v>0.48769041910123301</v>
      </c>
      <c r="K924">
        <v>0.40133184121283</v>
      </c>
      <c r="L924">
        <v>1205.80468685392</v>
      </c>
      <c r="M924">
        <v>23.208781774290699</v>
      </c>
      <c r="N924">
        <v>54.909220225653797</v>
      </c>
      <c r="O924">
        <v>51.573549469659802</v>
      </c>
      <c r="P924">
        <v>-7.2388341448877999E-2</v>
      </c>
      <c r="Q924">
        <v>0.35657846563957102</v>
      </c>
      <c r="R924">
        <v>0.93888595049752399</v>
      </c>
      <c r="S924" t="s">
        <v>7570</v>
      </c>
      <c r="T924" t="s">
        <v>13290</v>
      </c>
      <c r="U924" t="s">
        <v>13290</v>
      </c>
      <c r="V924" t="s">
        <v>13290</v>
      </c>
      <c r="W924" t="s">
        <v>14198</v>
      </c>
      <c r="X924">
        <v>2</v>
      </c>
      <c r="Y924" t="s">
        <v>20784</v>
      </c>
      <c r="Z924" t="s">
        <v>27254</v>
      </c>
      <c r="AA924">
        <v>0.61974170668647599</v>
      </c>
      <c r="AB924" t="str">
        <f>HYPERLINK("Melting_Curves/meltCurve_H0YBZ2_CD74.pdf", "Melting_Curves/meltCurve_H0YBZ2_CD74.pdf")</f>
        <v>Melting_Curves/meltCurve_H0YBZ2_CD74.pdf</v>
      </c>
    </row>
    <row r="925" spans="1:28" x14ac:dyDescent="0.25">
      <c r="A925" t="s">
        <v>929</v>
      </c>
      <c r="B925">
        <v>0.99252571173614901</v>
      </c>
      <c r="C925">
        <v>0.88264785822893699</v>
      </c>
      <c r="D925">
        <v>0.72300188806308596</v>
      </c>
      <c r="E925">
        <v>0.65577070911082203</v>
      </c>
      <c r="F925">
        <v>0.57587196443394195</v>
      </c>
      <c r="G925">
        <v>0.37066519930098601</v>
      </c>
      <c r="H925">
        <v>0.203349316357985</v>
      </c>
      <c r="I925">
        <v>0.150279294471417</v>
      </c>
      <c r="J925">
        <v>0.191511386782901</v>
      </c>
      <c r="K925">
        <v>0.15504227293570599</v>
      </c>
      <c r="L925">
        <v>465.64286576744797</v>
      </c>
      <c r="M925">
        <v>8.8131605328983902</v>
      </c>
      <c r="N925">
        <v>53.177051843350199</v>
      </c>
      <c r="O925">
        <v>50.326662735468403</v>
      </c>
      <c r="P925">
        <v>-4.2606657392475801E-2</v>
      </c>
      <c r="Q925">
        <v>2.75604731017224E-2</v>
      </c>
      <c r="R925">
        <v>0.97719335507802396</v>
      </c>
      <c r="S925" t="s">
        <v>7571</v>
      </c>
      <c r="T925" t="s">
        <v>13290</v>
      </c>
      <c r="U925" t="s">
        <v>13290</v>
      </c>
      <c r="V925" t="s">
        <v>13290</v>
      </c>
      <c r="W925" t="s">
        <v>14199</v>
      </c>
      <c r="X925">
        <v>4</v>
      </c>
      <c r="Y925" t="s">
        <v>20785</v>
      </c>
      <c r="Z925" t="s">
        <v>27255</v>
      </c>
      <c r="AA925">
        <v>0.48139306220187861</v>
      </c>
      <c r="AB925" t="str">
        <f>HYPERLINK("Melting_Curves/meltCurve_H0YCY4_GLB1L2.pdf", "Melting_Curves/meltCurve_H0YCY4_GLB1L2.pdf")</f>
        <v>Melting_Curves/meltCurve_H0YCY4_GLB1L2.pdf</v>
      </c>
    </row>
    <row r="926" spans="1:28" x14ac:dyDescent="0.25">
      <c r="A926" t="s">
        <v>930</v>
      </c>
      <c r="B926">
        <v>0.99252571173614901</v>
      </c>
      <c r="C926">
        <v>0.82181163431366</v>
      </c>
      <c r="D926">
        <v>0.41129405610304898</v>
      </c>
      <c r="E926">
        <v>0.211964112966878</v>
      </c>
      <c r="F926">
        <v>0.175318551375969</v>
      </c>
      <c r="G926">
        <v>7.1417242735739905E-2</v>
      </c>
      <c r="H926">
        <v>4.7254760653256497E-2</v>
      </c>
      <c r="I926">
        <v>3.2328733948440602E-2</v>
      </c>
      <c r="J926">
        <v>4.4797666449179298E-2</v>
      </c>
      <c r="K926">
        <v>3.0982152813500301E-2</v>
      </c>
      <c r="L926">
        <v>995.229461861441</v>
      </c>
      <c r="M926">
        <v>21.920333943591402</v>
      </c>
      <c r="N926">
        <v>45.657809412484802</v>
      </c>
      <c r="O926">
        <v>45.029326209978898</v>
      </c>
      <c r="P926">
        <v>-0.114673084189732</v>
      </c>
      <c r="Q926">
        <v>5.7763668614755299E-2</v>
      </c>
      <c r="R926">
        <v>0.98739013485731897</v>
      </c>
      <c r="S926" t="s">
        <v>7572</v>
      </c>
      <c r="T926" t="s">
        <v>13290</v>
      </c>
      <c r="U926" t="s">
        <v>13290</v>
      </c>
      <c r="V926" t="s">
        <v>13290</v>
      </c>
      <c r="W926" t="s">
        <v>14200</v>
      </c>
      <c r="X926">
        <v>2</v>
      </c>
      <c r="Y926" t="s">
        <v>20786</v>
      </c>
      <c r="Z926" t="s">
        <v>27256</v>
      </c>
      <c r="AA926">
        <v>0.2397791406967737</v>
      </c>
      <c r="AB926" t="str">
        <f>HYPERLINK("Melting_Curves/meltCurve_H0YD93_RUFY2.pdf", "Melting_Curves/meltCurve_H0YD93_RUFY2.pdf")</f>
        <v>Melting_Curves/meltCurve_H0YD93_RUFY2.pdf</v>
      </c>
    </row>
    <row r="927" spans="1:28" x14ac:dyDescent="0.25">
      <c r="A927" t="s">
        <v>931</v>
      </c>
      <c r="B927">
        <v>0.99252571173614901</v>
      </c>
      <c r="C927">
        <v>0.91201171607366305</v>
      </c>
      <c r="D927">
        <v>1.0465352105997201</v>
      </c>
      <c r="E927">
        <v>1.2820829692867799</v>
      </c>
      <c r="F927">
        <v>1.14298655555122</v>
      </c>
      <c r="G927">
        <v>0.45946150262751201</v>
      </c>
      <c r="H927">
        <v>0.252649438327334</v>
      </c>
      <c r="I927">
        <v>0.25108602087397702</v>
      </c>
      <c r="J927">
        <v>0.42053212890289798</v>
      </c>
      <c r="K927">
        <v>0.475128506569508</v>
      </c>
      <c r="L927">
        <v>14109.369273598901</v>
      </c>
      <c r="M927">
        <v>250</v>
      </c>
      <c r="N927">
        <v>56.7103665636294</v>
      </c>
      <c r="O927">
        <v>56.433865222401103</v>
      </c>
      <c r="P927">
        <v>-0.72003642799828105</v>
      </c>
      <c r="Q927">
        <v>0.34984897818104199</v>
      </c>
      <c r="R927">
        <v>0.89046959548729798</v>
      </c>
      <c r="S927" t="s">
        <v>7573</v>
      </c>
      <c r="T927" t="s">
        <v>13290</v>
      </c>
      <c r="U927" t="s">
        <v>13290</v>
      </c>
      <c r="V927" t="s">
        <v>13290</v>
      </c>
      <c r="W927" t="s">
        <v>14201</v>
      </c>
      <c r="X927">
        <v>1</v>
      </c>
      <c r="Y927" t="s">
        <v>20787</v>
      </c>
      <c r="Z927" t="s">
        <v>27257</v>
      </c>
      <c r="AA927">
        <v>0.70614145792191219</v>
      </c>
      <c r="AB927" t="str">
        <f>HYPERLINK("Melting_Curves/meltCurve_H0YDK9_PPP6R3.pdf", "Melting_Curves/meltCurve_H0YDK9_PPP6R3.pdf")</f>
        <v>Melting_Curves/meltCurve_H0YDK9_PPP6R3.pdf</v>
      </c>
    </row>
    <row r="928" spans="1:28" x14ac:dyDescent="0.25">
      <c r="A928" t="s">
        <v>932</v>
      </c>
      <c r="B928">
        <v>0.99252571173614901</v>
      </c>
      <c r="C928">
        <v>0.96090047712321802</v>
      </c>
      <c r="D928">
        <v>0.802830505377228</v>
      </c>
      <c r="E928">
        <v>0.70573957999374404</v>
      </c>
      <c r="F928">
        <v>0.50697623424246097</v>
      </c>
      <c r="G928">
        <v>0.30354843638211898</v>
      </c>
      <c r="H928">
        <v>0.223659559075232</v>
      </c>
      <c r="I928">
        <v>0.17897622378647099</v>
      </c>
      <c r="J928">
        <v>0.21367925868524501</v>
      </c>
      <c r="K928">
        <v>0.184222562870719</v>
      </c>
      <c r="L928">
        <v>700.32940926439596</v>
      </c>
      <c r="M928">
        <v>13.62219295735</v>
      </c>
      <c r="N928">
        <v>52.782794600530799</v>
      </c>
      <c r="O928">
        <v>50.340928838920703</v>
      </c>
      <c r="P928">
        <v>-5.75729262608453E-2</v>
      </c>
      <c r="Q928">
        <v>0.14908011294304699</v>
      </c>
      <c r="R928">
        <v>0.99220335927247405</v>
      </c>
      <c r="S928" t="s">
        <v>7574</v>
      </c>
      <c r="T928" t="s">
        <v>13290</v>
      </c>
      <c r="U928" t="s">
        <v>13290</v>
      </c>
      <c r="V928" t="s">
        <v>13290</v>
      </c>
      <c r="W928" t="s">
        <v>14202</v>
      </c>
      <c r="X928">
        <v>1</v>
      </c>
      <c r="Y928" t="s">
        <v>20788</v>
      </c>
      <c r="Z928" t="s">
        <v>27258</v>
      </c>
      <c r="AA928">
        <v>0.49527994591873292</v>
      </c>
      <c r="AB928" t="str">
        <f>HYPERLINK("Melting_Curves/meltCurve_H0YDQ8_CRTC2.pdf", "Melting_Curves/meltCurve_H0YDQ8_CRTC2.pdf")</f>
        <v>Melting_Curves/meltCurve_H0YDQ8_CRTC2.pdf</v>
      </c>
    </row>
    <row r="929" spans="1:28" x14ac:dyDescent="0.25">
      <c r="A929" t="s">
        <v>933</v>
      </c>
      <c r="B929">
        <v>0.99252571173614901</v>
      </c>
      <c r="C929">
        <v>0.96568086059379599</v>
      </c>
      <c r="D929">
        <v>0.91276835016642699</v>
      </c>
      <c r="E929">
        <v>0.83037904635143001</v>
      </c>
      <c r="F929">
        <v>0.301236254120957</v>
      </c>
      <c r="G929">
        <v>0.116965662486042</v>
      </c>
      <c r="H929">
        <v>7.6918895050608199E-2</v>
      </c>
      <c r="I929">
        <v>8.1843113497311798E-2</v>
      </c>
      <c r="J929">
        <v>0.10134613102165101</v>
      </c>
      <c r="K929">
        <v>9.6223082980563701E-2</v>
      </c>
      <c r="L929">
        <v>1859.1523796325901</v>
      </c>
      <c r="M929">
        <v>36.096441482480699</v>
      </c>
      <c r="N929">
        <v>51.779783700276198</v>
      </c>
      <c r="O929">
        <v>51.347829791991998</v>
      </c>
      <c r="P929">
        <v>-0.16043397354157099</v>
      </c>
      <c r="Q929">
        <v>8.7122140102362605E-2</v>
      </c>
      <c r="R929">
        <v>0.99519866471943996</v>
      </c>
      <c r="S929" t="s">
        <v>7575</v>
      </c>
      <c r="T929" t="s">
        <v>13290</v>
      </c>
      <c r="U929" t="s">
        <v>13290</v>
      </c>
      <c r="V929" t="s">
        <v>13290</v>
      </c>
      <c r="W929" t="s">
        <v>14203</v>
      </c>
      <c r="X929">
        <v>25</v>
      </c>
      <c r="Y929" t="s">
        <v>20789</v>
      </c>
      <c r="Z929" t="s">
        <v>27259</v>
      </c>
      <c r="AA929">
        <v>0.44120990222372641</v>
      </c>
      <c r="AB929" t="str">
        <f>HYPERLINK("Melting_Curves/meltCurve_H0YDU8_PPP5C.pdf", "Melting_Curves/meltCurve_H0YDU8_PPP5C.pdf")</f>
        <v>Melting_Curves/meltCurve_H0YDU8_PPP5C.pdf</v>
      </c>
    </row>
    <row r="930" spans="1:28" x14ac:dyDescent="0.25">
      <c r="A930" t="s">
        <v>934</v>
      </c>
      <c r="B930">
        <v>0.99252571173614901</v>
      </c>
      <c r="C930">
        <v>0.948580460798223</v>
      </c>
      <c r="D930">
        <v>1.1943130376044799</v>
      </c>
      <c r="E930">
        <v>1.3323503963635499</v>
      </c>
      <c r="F930">
        <v>1.1741830688805801</v>
      </c>
      <c r="G930">
        <v>0.88339189097407</v>
      </c>
      <c r="H930">
        <v>0.92508408330911995</v>
      </c>
      <c r="I930">
        <v>1.15974114234633</v>
      </c>
      <c r="J930">
        <v>1.66831827882188</v>
      </c>
      <c r="K930">
        <v>1.36311750112291</v>
      </c>
      <c r="L930">
        <v>15000</v>
      </c>
      <c r="M930">
        <v>233.619142180213</v>
      </c>
      <c r="O930">
        <v>64.202359134016305</v>
      </c>
      <c r="P930">
        <v>0.45484919577986999</v>
      </c>
      <c r="Q930">
        <v>1.5</v>
      </c>
      <c r="R930">
        <v>0.53730854258808103</v>
      </c>
      <c r="S930" t="s">
        <v>7576</v>
      </c>
      <c r="T930" t="s">
        <v>13290</v>
      </c>
      <c r="U930" t="s">
        <v>13290</v>
      </c>
      <c r="V930" t="s">
        <v>13290</v>
      </c>
      <c r="W930" t="s">
        <v>14204</v>
      </c>
      <c r="X930">
        <v>7</v>
      </c>
      <c r="Y930" t="s">
        <v>20790</v>
      </c>
      <c r="Z930" t="s">
        <v>27260</v>
      </c>
      <c r="AA930">
        <v>1.0964843559349711</v>
      </c>
      <c r="AB930" t="str">
        <f>HYPERLINK("Melting_Curves/meltCurve_H0YEB6_SSSCA1.pdf", "Melting_Curves/meltCurve_H0YEB6_SSSCA1.pdf")</f>
        <v>Melting_Curves/meltCurve_H0YEB6_SSSCA1.pdf</v>
      </c>
    </row>
    <row r="931" spans="1:28" x14ac:dyDescent="0.25">
      <c r="A931" t="s">
        <v>935</v>
      </c>
      <c r="B931">
        <v>0.99252571173614901</v>
      </c>
      <c r="C931">
        <v>1.0282509086121401</v>
      </c>
      <c r="D931">
        <v>0.81880829808744304</v>
      </c>
      <c r="E931">
        <v>0.36097596497283102</v>
      </c>
      <c r="F931">
        <v>0.18657038645417501</v>
      </c>
      <c r="G931">
        <v>0.101517354620258</v>
      </c>
      <c r="H931">
        <v>6.7426907625458901E-2</v>
      </c>
      <c r="I931">
        <v>6.0861764884760701E-2</v>
      </c>
      <c r="J931">
        <v>6.9716851379381398E-2</v>
      </c>
      <c r="K931">
        <v>8.0247065933896494E-2</v>
      </c>
      <c r="L931">
        <v>1359.6710167456099</v>
      </c>
      <c r="M931">
        <v>28.135883008959301</v>
      </c>
      <c r="N931">
        <v>48.618873076041403</v>
      </c>
      <c r="O931">
        <v>48.083016710687303</v>
      </c>
      <c r="P931">
        <v>-0.13485585439561301</v>
      </c>
      <c r="Q931">
        <v>7.8156323847689502E-2</v>
      </c>
      <c r="R931">
        <v>0.99608359237978905</v>
      </c>
      <c r="S931" t="s">
        <v>7577</v>
      </c>
      <c r="T931" t="s">
        <v>13290</v>
      </c>
      <c r="U931" t="s">
        <v>13290</v>
      </c>
      <c r="V931" t="s">
        <v>13290</v>
      </c>
      <c r="W931" t="s">
        <v>14205</v>
      </c>
      <c r="X931">
        <v>6</v>
      </c>
      <c r="Y931" t="s">
        <v>20791</v>
      </c>
      <c r="Z931" t="s">
        <v>27261</v>
      </c>
      <c r="AA931">
        <v>0.34033358935278307</v>
      </c>
      <c r="AB931" t="str">
        <f>HYPERLINK("Melting_Curves/meltCurve_H0YEF3_RNASEH2C.pdf", "Melting_Curves/meltCurve_H0YEF3_RNASEH2C.pdf")</f>
        <v>Melting_Curves/meltCurve_H0YEF3_RNASEH2C.pdf</v>
      </c>
    </row>
    <row r="932" spans="1:28" x14ac:dyDescent="0.25">
      <c r="A932" t="s">
        <v>936</v>
      </c>
      <c r="B932">
        <v>0.99252571173614901</v>
      </c>
      <c r="C932">
        <v>0.72377035922355304</v>
      </c>
      <c r="D932">
        <v>0.54765742112546001</v>
      </c>
      <c r="E932">
        <v>0.501869352185491</v>
      </c>
      <c r="F932">
        <v>0.36790410800835799</v>
      </c>
      <c r="G932">
        <v>0.19043179499962901</v>
      </c>
      <c r="H932">
        <v>9.3194965434201693E-2</v>
      </c>
      <c r="I932">
        <v>0.103811583584698</v>
      </c>
      <c r="J932">
        <v>0.120121559196225</v>
      </c>
      <c r="K932">
        <v>0.126556463007583</v>
      </c>
      <c r="L932">
        <v>490.23330939777702</v>
      </c>
      <c r="M932">
        <v>10.2458796014025</v>
      </c>
      <c r="N932">
        <v>48.432791530829903</v>
      </c>
      <c r="O932">
        <v>46.131676858691897</v>
      </c>
      <c r="P932">
        <v>-5.23119664145969E-2</v>
      </c>
      <c r="Q932">
        <v>5.8286981953864801E-2</v>
      </c>
      <c r="R932">
        <v>0.96198167638185805</v>
      </c>
      <c r="S932" t="s">
        <v>7578</v>
      </c>
      <c r="T932" t="s">
        <v>13290</v>
      </c>
      <c r="U932" t="s">
        <v>13290</v>
      </c>
      <c r="V932" t="s">
        <v>13290</v>
      </c>
      <c r="W932" t="s">
        <v>14206</v>
      </c>
      <c r="X932">
        <v>1</v>
      </c>
      <c r="Y932" t="s">
        <v>20792</v>
      </c>
      <c r="Z932" t="s">
        <v>27262</v>
      </c>
      <c r="AA932">
        <v>0.35320087143764312</v>
      </c>
      <c r="AB932" t="str">
        <f>HYPERLINK("Melting_Curves/meltCurve_H0YEM6_PELI3.pdf", "Melting_Curves/meltCurve_H0YEM6_PELI3.pdf")</f>
        <v>Melting_Curves/meltCurve_H0YEM6_PELI3.pdf</v>
      </c>
    </row>
    <row r="933" spans="1:28" x14ac:dyDescent="0.25">
      <c r="A933" t="s">
        <v>937</v>
      </c>
      <c r="B933">
        <v>0.99252571173614901</v>
      </c>
      <c r="C933">
        <v>1.03958730133093</v>
      </c>
      <c r="D933">
        <v>0.74188293557825302</v>
      </c>
      <c r="E933">
        <v>0.85677554944583501</v>
      </c>
      <c r="F933">
        <v>0.657552121723466</v>
      </c>
      <c r="G933">
        <v>0.42962022602101702</v>
      </c>
      <c r="H933">
        <v>0.50450112741675801</v>
      </c>
      <c r="I933">
        <v>0.51920006166512001</v>
      </c>
      <c r="J933">
        <v>0.35527815095257598</v>
      </c>
      <c r="K933">
        <v>0.42333327000003002</v>
      </c>
      <c r="L933">
        <v>644.986120325961</v>
      </c>
      <c r="M933">
        <v>12.5429352936266</v>
      </c>
      <c r="N933">
        <v>58.584348565641498</v>
      </c>
      <c r="O933">
        <v>50.167701681215298</v>
      </c>
      <c r="P933">
        <v>-3.8004523827223399E-2</v>
      </c>
      <c r="Q933">
        <v>0.39210025438381502</v>
      </c>
      <c r="R933">
        <v>0.88849250433934501</v>
      </c>
      <c r="S933" t="s">
        <v>7579</v>
      </c>
      <c r="T933" t="s">
        <v>13290</v>
      </c>
      <c r="U933" t="s">
        <v>13290</v>
      </c>
      <c r="V933" t="s">
        <v>13290</v>
      </c>
      <c r="W933" t="s">
        <v>14207</v>
      </c>
      <c r="X933">
        <v>1</v>
      </c>
      <c r="Y933" t="s">
        <v>20793</v>
      </c>
      <c r="Z933" t="s">
        <v>27263</v>
      </c>
      <c r="AA933">
        <v>0.64171233750903012</v>
      </c>
      <c r="AB933" t="str">
        <f>HYPERLINK("Melting_Curves/meltCurve_H0YEP0_KAT5.pdf", "Melting_Curves/meltCurve_H0YEP0_KAT5.pdf")</f>
        <v>Melting_Curves/meltCurve_H0YEP0_KAT5.pdf</v>
      </c>
    </row>
    <row r="934" spans="1:28" x14ac:dyDescent="0.25">
      <c r="A934" t="s">
        <v>938</v>
      </c>
      <c r="B934">
        <v>0.99252571173614901</v>
      </c>
      <c r="C934">
        <v>0.60662954170640404</v>
      </c>
      <c r="D934">
        <v>0.88928740536370798</v>
      </c>
      <c r="E934">
        <v>0.60790739193034704</v>
      </c>
      <c r="F934">
        <v>0.55288379055607595</v>
      </c>
      <c r="G934">
        <v>0.59175538579250697</v>
      </c>
      <c r="H934">
        <v>0.20885306379256199</v>
      </c>
      <c r="I934">
        <v>0.17513307836164499</v>
      </c>
      <c r="J934">
        <v>0.34878172153446801</v>
      </c>
      <c r="K934">
        <v>0.38724391257424001</v>
      </c>
      <c r="L934">
        <v>372.18992355864901</v>
      </c>
      <c r="M934">
        <v>7.2793152594873201</v>
      </c>
      <c r="N934">
        <v>54.343100536112303</v>
      </c>
      <c r="O934">
        <v>47.6947211888669</v>
      </c>
      <c r="P934">
        <v>-3.1533497173566703E-2</v>
      </c>
      <c r="Q934">
        <v>0.17488366127482499</v>
      </c>
      <c r="R934">
        <v>0.73559654778178396</v>
      </c>
      <c r="S934" t="s">
        <v>7580</v>
      </c>
      <c r="T934" t="s">
        <v>13290</v>
      </c>
      <c r="U934" t="s">
        <v>13290</v>
      </c>
      <c r="V934" t="s">
        <v>13290</v>
      </c>
      <c r="W934" t="s">
        <v>14208</v>
      </c>
      <c r="X934">
        <v>3</v>
      </c>
      <c r="Y934" t="s">
        <v>20794</v>
      </c>
      <c r="Z934" t="s">
        <v>27264</v>
      </c>
      <c r="AA934">
        <v>0.52840324775881808</v>
      </c>
      <c r="AB934" t="str">
        <f>HYPERLINK("Melting_Curves/meltCurve_H0YEP5_SMPD1.pdf", "Melting_Curves/meltCurve_H0YEP5_SMPD1.pdf")</f>
        <v>Melting_Curves/meltCurve_H0YEP5_SMPD1.pdf</v>
      </c>
    </row>
    <row r="935" spans="1:28" x14ac:dyDescent="0.25">
      <c r="A935" t="s">
        <v>939</v>
      </c>
      <c r="B935">
        <v>0.99252571173614901</v>
      </c>
      <c r="C935">
        <v>0.97050609536502597</v>
      </c>
      <c r="D935">
        <v>0.899025872135367</v>
      </c>
      <c r="E935">
        <v>0.87877969678611201</v>
      </c>
      <c r="F935">
        <v>0.78713850745269898</v>
      </c>
      <c r="G935">
        <v>0.67984138591153698</v>
      </c>
      <c r="H935">
        <v>0.54643830112772496</v>
      </c>
      <c r="I935">
        <v>0.75633661994631696</v>
      </c>
      <c r="J935">
        <v>1.23258474380686</v>
      </c>
      <c r="K935">
        <v>1.0364584216178401</v>
      </c>
      <c r="L935">
        <v>1392.89658495921</v>
      </c>
      <c r="M935">
        <v>30.879341522246701</v>
      </c>
      <c r="O935">
        <v>44.919781249670002</v>
      </c>
      <c r="P935">
        <v>-2.6869272112649199E-2</v>
      </c>
      <c r="Q935">
        <v>0.84365528394792799</v>
      </c>
      <c r="R935">
        <v>8.6296207524494906E-2</v>
      </c>
      <c r="S935" t="s">
        <v>7581</v>
      </c>
      <c r="T935" t="s">
        <v>13290</v>
      </c>
      <c r="U935" t="s">
        <v>13290</v>
      </c>
      <c r="V935" t="s">
        <v>13290</v>
      </c>
      <c r="W935" t="s">
        <v>14209</v>
      </c>
      <c r="X935">
        <v>14</v>
      </c>
      <c r="Y935" t="s">
        <v>20795</v>
      </c>
      <c r="Z935" t="s">
        <v>27265</v>
      </c>
      <c r="AA935">
        <v>0.87120581521086371</v>
      </c>
      <c r="AB935" t="str">
        <f>HYPERLINK("Melting_Curves/meltCurve_H0YGA7_CADM1.pdf", "Melting_Curves/meltCurve_H0YGA7_CADM1.pdf")</f>
        <v>Melting_Curves/meltCurve_H0YGA7_CADM1.pdf</v>
      </c>
    </row>
    <row r="936" spans="1:28" x14ac:dyDescent="0.25">
      <c r="A936" t="s">
        <v>940</v>
      </c>
      <c r="B936">
        <v>0.99252571173614901</v>
      </c>
      <c r="C936">
        <v>0.97478168625808304</v>
      </c>
      <c r="D936">
        <v>0.87669174080578105</v>
      </c>
      <c r="E936">
        <v>0.37592600197279602</v>
      </c>
      <c r="F936">
        <v>0.16153511455181299</v>
      </c>
      <c r="G936">
        <v>8.0443809305822803E-2</v>
      </c>
      <c r="H936">
        <v>4.68053391585916E-2</v>
      </c>
      <c r="I936">
        <v>3.0763581184696801E-2</v>
      </c>
      <c r="J936">
        <v>0</v>
      </c>
      <c r="K936">
        <v>0</v>
      </c>
      <c r="L936">
        <v>1334.0095364456599</v>
      </c>
      <c r="M936">
        <v>27.335640076922498</v>
      </c>
      <c r="N936">
        <v>48.9123090182242</v>
      </c>
      <c r="O936">
        <v>48.542180771329598</v>
      </c>
      <c r="P936">
        <v>-0.13654278798689301</v>
      </c>
      <c r="Q936">
        <v>3.0127387687988502E-2</v>
      </c>
      <c r="R936">
        <v>0.99590566544126702</v>
      </c>
      <c r="S936" t="s">
        <v>7582</v>
      </c>
      <c r="T936" t="s">
        <v>13290</v>
      </c>
      <c r="U936" t="s">
        <v>13290</v>
      </c>
      <c r="V936" t="s">
        <v>13290</v>
      </c>
      <c r="W936" t="s">
        <v>14210</v>
      </c>
      <c r="X936">
        <v>1</v>
      </c>
      <c r="Y936" t="s">
        <v>20796</v>
      </c>
      <c r="Z936" t="s">
        <v>27266</v>
      </c>
      <c r="AA936">
        <v>0.32179502475467542</v>
      </c>
      <c r="AB936" t="str">
        <f>HYPERLINK("Melting_Curves/meltCurve_H0YGF8_PLCD3.pdf", "Melting_Curves/meltCurve_H0YGF8_PLCD3.pdf")</f>
        <v>Melting_Curves/meltCurve_H0YGF8_PLCD3.pdf</v>
      </c>
    </row>
    <row r="937" spans="1:28" x14ac:dyDescent="0.25">
      <c r="A937" t="s">
        <v>941</v>
      </c>
      <c r="B937">
        <v>0.99252571173614901</v>
      </c>
      <c r="C937">
        <v>1.054915689627</v>
      </c>
      <c r="D937">
        <v>0.968956619051909</v>
      </c>
      <c r="E937">
        <v>0.89795664995550895</v>
      </c>
      <c r="F937">
        <v>0.79113034990317899</v>
      </c>
      <c r="G937">
        <v>0.69112593079584095</v>
      </c>
      <c r="H937">
        <v>0.65810096565848197</v>
      </c>
      <c r="I937">
        <v>0.83430492693938996</v>
      </c>
      <c r="J937">
        <v>1.0956018791562201</v>
      </c>
      <c r="K937">
        <v>0.85783677355653598</v>
      </c>
      <c r="L937">
        <v>12385.778899687</v>
      </c>
      <c r="M937">
        <v>250</v>
      </c>
      <c r="O937">
        <v>49.539946835255201</v>
      </c>
      <c r="P937">
        <v>-0.22538612823117299</v>
      </c>
      <c r="Q937">
        <v>0.82135013725921202</v>
      </c>
      <c r="R937">
        <v>0.35155892570029201</v>
      </c>
      <c r="S937" t="s">
        <v>7583</v>
      </c>
      <c r="T937" t="s">
        <v>13290</v>
      </c>
      <c r="U937" t="s">
        <v>13290</v>
      </c>
      <c r="V937" t="s">
        <v>13290</v>
      </c>
      <c r="W937" t="s">
        <v>14211</v>
      </c>
      <c r="X937">
        <v>15</v>
      </c>
      <c r="Y937" t="s">
        <v>20797</v>
      </c>
      <c r="Z937" t="s">
        <v>27267</v>
      </c>
      <c r="AA937">
        <v>0.87819488012757863</v>
      </c>
      <c r="AB937" t="str">
        <f>HYPERLINK("Melting_Curves/meltCurve_H0YGR4_REXO2.pdf", "Melting_Curves/meltCurve_H0YGR4_REXO2.pdf")</f>
        <v>Melting_Curves/meltCurve_H0YGR4_REXO2.pdf</v>
      </c>
    </row>
    <row r="938" spans="1:28" x14ac:dyDescent="0.25">
      <c r="A938" t="s">
        <v>942</v>
      </c>
      <c r="B938">
        <v>0.99252571173614901</v>
      </c>
      <c r="C938">
        <v>0.88058197252656001</v>
      </c>
      <c r="D938">
        <v>0.90810472983992896</v>
      </c>
      <c r="E938">
        <v>0.59746855272980903</v>
      </c>
      <c r="F938">
        <v>0.45193773377624402</v>
      </c>
      <c r="G938">
        <v>0.17711648866600099</v>
      </c>
      <c r="H938">
        <v>0.16517184067395099</v>
      </c>
      <c r="I938">
        <v>0.11747394439895099</v>
      </c>
      <c r="J938">
        <v>0.172912931333285</v>
      </c>
      <c r="K938">
        <v>0.14763562474167299</v>
      </c>
      <c r="L938">
        <v>854.73915700027703</v>
      </c>
      <c r="M938">
        <v>16.904060335731899</v>
      </c>
      <c r="N938">
        <v>51.415903780709399</v>
      </c>
      <c r="O938">
        <v>49.872400638617101</v>
      </c>
      <c r="P938">
        <v>-7.4393065174368805E-2</v>
      </c>
      <c r="Q938">
        <v>0.12212187091424299</v>
      </c>
      <c r="R938">
        <v>0.98219746868753999</v>
      </c>
      <c r="S938" t="s">
        <v>7584</v>
      </c>
      <c r="T938" t="s">
        <v>13290</v>
      </c>
      <c r="U938" t="s">
        <v>13290</v>
      </c>
      <c r="V938" t="s">
        <v>13290</v>
      </c>
      <c r="W938" t="s">
        <v>14212</v>
      </c>
      <c r="X938">
        <v>2</v>
      </c>
      <c r="Y938" t="s">
        <v>20798</v>
      </c>
      <c r="Z938" t="s">
        <v>27268</v>
      </c>
      <c r="AA938">
        <v>0.44792797446542632</v>
      </c>
      <c r="AB938" t="str">
        <f>HYPERLINK("Melting_Curves/meltCurve_H0YGW5_LRP6.pdf", "Melting_Curves/meltCurve_H0YGW5_LRP6.pdf")</f>
        <v>Melting_Curves/meltCurve_H0YGW5_LRP6.pdf</v>
      </c>
    </row>
    <row r="939" spans="1:28" x14ac:dyDescent="0.25">
      <c r="A939" t="s">
        <v>943</v>
      </c>
      <c r="B939">
        <v>0.99252571173614901</v>
      </c>
      <c r="C939">
        <v>1.0978301456267801</v>
      </c>
      <c r="D939">
        <v>1.01618779646159</v>
      </c>
      <c r="E939">
        <v>0.94344018285099396</v>
      </c>
      <c r="F939">
        <v>0.91948895219319404</v>
      </c>
      <c r="G939">
        <v>0.82964861323547301</v>
      </c>
      <c r="H939">
        <v>0.93126022933943098</v>
      </c>
      <c r="I939">
        <v>1.1964028064993</v>
      </c>
      <c r="J939">
        <v>1.7985817806150901</v>
      </c>
      <c r="K939">
        <v>1.9548088824057299</v>
      </c>
      <c r="L939">
        <v>15000</v>
      </c>
      <c r="M939">
        <v>233.939780784779</v>
      </c>
      <c r="O939">
        <v>64.114402544522804</v>
      </c>
      <c r="P939">
        <v>0.456098506969216</v>
      </c>
      <c r="Q939">
        <v>1.5</v>
      </c>
      <c r="R939">
        <v>0.74295034552038497</v>
      </c>
      <c r="S939" t="s">
        <v>7585</v>
      </c>
      <c r="T939" t="s">
        <v>13290</v>
      </c>
      <c r="U939" t="s">
        <v>13290</v>
      </c>
      <c r="V939" t="s">
        <v>13290</v>
      </c>
      <c r="W939" t="s">
        <v>14049</v>
      </c>
      <c r="X939">
        <v>15</v>
      </c>
      <c r="Z939" t="s">
        <v>27269</v>
      </c>
      <c r="AA939">
        <v>1.097951327741314</v>
      </c>
      <c r="AB939" t="str">
        <f>HYPERLINK("Melting_Curves/meltCurve_H0YHG0_.pdf", "Melting_Curves/meltCurve_H0YHG0_.pdf")</f>
        <v>Melting_Curves/meltCurve_H0YHG0_.pdf</v>
      </c>
    </row>
    <row r="940" spans="1:28" x14ac:dyDescent="0.25">
      <c r="A940" t="s">
        <v>944</v>
      </c>
      <c r="B940">
        <v>0.99252571173614901</v>
      </c>
      <c r="C940">
        <v>1.02713077532423</v>
      </c>
      <c r="D940">
        <v>0.99438034570751599</v>
      </c>
      <c r="E940">
        <v>0.92474645526362198</v>
      </c>
      <c r="F940">
        <v>0.76409019225852104</v>
      </c>
      <c r="G940">
        <v>0.69188407856172396</v>
      </c>
      <c r="H940">
        <v>0.494590002410495</v>
      </c>
      <c r="I940">
        <v>0.35433628198700801</v>
      </c>
      <c r="J940">
        <v>0.218334587105911</v>
      </c>
      <c r="K940">
        <v>0.131424603512481</v>
      </c>
      <c r="L940">
        <v>703.68488290943901</v>
      </c>
      <c r="M940">
        <v>11.6826773950185</v>
      </c>
      <c r="N940">
        <v>60.233186245982402</v>
      </c>
      <c r="O940">
        <v>58.549564812771997</v>
      </c>
      <c r="P940">
        <v>-4.9897047163920703E-2</v>
      </c>
      <c r="Q940">
        <v>0</v>
      </c>
      <c r="R940">
        <v>0.99231216016773005</v>
      </c>
      <c r="S940" t="s">
        <v>7586</v>
      </c>
      <c r="T940" t="s">
        <v>13290</v>
      </c>
      <c r="U940" t="s">
        <v>13290</v>
      </c>
      <c r="V940" t="s">
        <v>13290</v>
      </c>
      <c r="W940" t="s">
        <v>14213</v>
      </c>
      <c r="X940">
        <v>8</v>
      </c>
      <c r="Y940" t="s">
        <v>20799</v>
      </c>
      <c r="Z940" t="s">
        <v>27270</v>
      </c>
      <c r="AA940">
        <v>0.67456184522452645</v>
      </c>
      <c r="AB940" t="str">
        <f>HYPERLINK("Melting_Curves/meltCurve_H0YI09_METTL7A.pdf", "Melting_Curves/meltCurve_H0YI09_METTL7A.pdf")</f>
        <v>Melting_Curves/meltCurve_H0YI09_METTL7A.pdf</v>
      </c>
    </row>
    <row r="941" spans="1:28" x14ac:dyDescent="0.25">
      <c r="A941" t="s">
        <v>945</v>
      </c>
      <c r="B941">
        <v>0.99252571173614901</v>
      </c>
      <c r="C941">
        <v>0.92746709964857699</v>
      </c>
      <c r="D941">
        <v>1.0163591193607999</v>
      </c>
      <c r="E941">
        <v>0.79981340848729199</v>
      </c>
      <c r="F941">
        <v>1.1703888321350799</v>
      </c>
      <c r="G941">
        <v>0.34235469310306199</v>
      </c>
      <c r="H941">
        <v>0.2326558785542</v>
      </c>
      <c r="I941">
        <v>0.253164595721874</v>
      </c>
      <c r="J941">
        <v>0.21632165334522399</v>
      </c>
      <c r="K941">
        <v>7.9267419518652904E-2</v>
      </c>
      <c r="L941">
        <v>14114.901398371299</v>
      </c>
      <c r="M941">
        <v>250</v>
      </c>
      <c r="N941">
        <v>56.5717191783774</v>
      </c>
      <c r="O941">
        <v>56.456015832039199</v>
      </c>
      <c r="P941">
        <v>-0.89079080396576404</v>
      </c>
      <c r="Q941">
        <v>0.195352334884657</v>
      </c>
      <c r="R941">
        <v>0.93938246397673897</v>
      </c>
      <c r="S941" t="s">
        <v>7587</v>
      </c>
      <c r="T941" t="s">
        <v>13290</v>
      </c>
      <c r="U941" t="s">
        <v>13290</v>
      </c>
      <c r="V941" t="s">
        <v>13290</v>
      </c>
      <c r="W941" t="s">
        <v>14214</v>
      </c>
      <c r="X941">
        <v>2</v>
      </c>
      <c r="Y941" t="s">
        <v>20800</v>
      </c>
      <c r="Z941" t="s">
        <v>27271</v>
      </c>
      <c r="AA941">
        <v>0.63690483763581196</v>
      </c>
      <c r="AB941" t="str">
        <f>HYPERLINK("Melting_Curves/meltCurve_H0YI20_OAS1.pdf", "Melting_Curves/meltCurve_H0YI20_OAS1.pdf")</f>
        <v>Melting_Curves/meltCurve_H0YI20_OAS1.pdf</v>
      </c>
    </row>
    <row r="942" spans="1:28" x14ac:dyDescent="0.25">
      <c r="A942" t="s">
        <v>946</v>
      </c>
      <c r="B942">
        <v>0.99252571173614901</v>
      </c>
      <c r="C942">
        <v>0.91478027574496201</v>
      </c>
      <c r="D942">
        <v>0.66662313117041305</v>
      </c>
      <c r="E942">
        <v>0.48181824896111902</v>
      </c>
      <c r="F942">
        <v>0.40073052858566499</v>
      </c>
      <c r="G942">
        <v>0.26207850869252702</v>
      </c>
      <c r="H942">
        <v>0.20592363792680399</v>
      </c>
      <c r="I942">
        <v>0.16548416544102701</v>
      </c>
      <c r="J942">
        <v>0.28164262583091798</v>
      </c>
      <c r="K942">
        <v>0.27147411307026198</v>
      </c>
      <c r="L942">
        <v>774.31935286046098</v>
      </c>
      <c r="M942">
        <v>16.3223201240158</v>
      </c>
      <c r="N942">
        <v>49.274218231956397</v>
      </c>
      <c r="O942">
        <v>46.744389287140997</v>
      </c>
      <c r="P942">
        <v>-6.7420350296450604E-2</v>
      </c>
      <c r="Q942">
        <v>0.22773405716766901</v>
      </c>
      <c r="R942">
        <v>0.97662412114334496</v>
      </c>
      <c r="S942" t="s">
        <v>7588</v>
      </c>
      <c r="T942" t="s">
        <v>13290</v>
      </c>
      <c r="U942" t="s">
        <v>13290</v>
      </c>
      <c r="V942" t="s">
        <v>13290</v>
      </c>
      <c r="W942" t="s">
        <v>14215</v>
      </c>
      <c r="X942">
        <v>2</v>
      </c>
      <c r="Y942" t="s">
        <v>20801</v>
      </c>
      <c r="Z942" t="s">
        <v>27272</v>
      </c>
      <c r="AA942">
        <v>0.43642306396640812</v>
      </c>
      <c r="AB942" t="str">
        <f>HYPERLINK("Melting_Curves/meltCurve_H0YIE9_FBXO21.pdf", "Melting_Curves/meltCurve_H0YIE9_FBXO21.pdf")</f>
        <v>Melting_Curves/meltCurve_H0YIE9_FBXO21.pdf</v>
      </c>
    </row>
    <row r="943" spans="1:28" x14ac:dyDescent="0.25">
      <c r="A943" t="s">
        <v>947</v>
      </c>
      <c r="B943">
        <v>0.99252571173614901</v>
      </c>
      <c r="C943">
        <v>1.03297639238665</v>
      </c>
      <c r="D943">
        <v>0.94798394272020103</v>
      </c>
      <c r="E943">
        <v>0.73797589484208004</v>
      </c>
      <c r="F943">
        <v>0.38159111203217</v>
      </c>
      <c r="G943">
        <v>0.26719936677776301</v>
      </c>
      <c r="H943">
        <v>0.226586984976717</v>
      </c>
      <c r="I943">
        <v>0.25506520021413098</v>
      </c>
      <c r="J943">
        <v>0.32790264004890801</v>
      </c>
      <c r="K943">
        <v>0.35578833800819598</v>
      </c>
      <c r="L943">
        <v>1777.65165030037</v>
      </c>
      <c r="M943">
        <v>35.317680909054197</v>
      </c>
      <c r="N943">
        <v>51.562441917008499</v>
      </c>
      <c r="O943">
        <v>50.172640667014797</v>
      </c>
      <c r="P943">
        <v>-0.125901834028606</v>
      </c>
      <c r="Q943">
        <v>0.28457296025804901</v>
      </c>
      <c r="R943">
        <v>0.98583049049318405</v>
      </c>
      <c r="S943" t="s">
        <v>7589</v>
      </c>
      <c r="T943" t="s">
        <v>13290</v>
      </c>
      <c r="U943" t="s">
        <v>13290</v>
      </c>
      <c r="V943" t="s">
        <v>13290</v>
      </c>
      <c r="W943" t="s">
        <v>14049</v>
      </c>
      <c r="X943">
        <v>7</v>
      </c>
      <c r="Z943" t="s">
        <v>27273</v>
      </c>
      <c r="AA943">
        <v>0.53419506948372464</v>
      </c>
      <c r="AB943" t="str">
        <f>HYPERLINK("Melting_Curves/meltCurve_H0YIV9_.pdf", "Melting_Curves/meltCurve_H0YIV9_.pdf")</f>
        <v>Melting_Curves/meltCurve_H0YIV9_.pdf</v>
      </c>
    </row>
    <row r="944" spans="1:28" x14ac:dyDescent="0.25">
      <c r="A944" t="s">
        <v>948</v>
      </c>
      <c r="B944">
        <v>0.99252571173614901</v>
      </c>
      <c r="C944">
        <v>0.89456188523657099</v>
      </c>
      <c r="D944">
        <v>0.59169810494402497</v>
      </c>
      <c r="E944">
        <v>0.41769713311572698</v>
      </c>
      <c r="F944">
        <v>0.27862766716918702</v>
      </c>
      <c r="G944">
        <v>0.217306546669638</v>
      </c>
      <c r="H944">
        <v>0.19690151198038899</v>
      </c>
      <c r="I944">
        <v>0.256474684066542</v>
      </c>
      <c r="J944">
        <v>0.39424895764114498</v>
      </c>
      <c r="K944">
        <v>0.405079259948814</v>
      </c>
      <c r="L944">
        <v>1188.8430674269</v>
      </c>
      <c r="M944">
        <v>26.0536705338017</v>
      </c>
      <c r="N944">
        <v>47.231911292405698</v>
      </c>
      <c r="O944">
        <v>45.364280157575898</v>
      </c>
      <c r="P944">
        <v>-0.101469548122258</v>
      </c>
      <c r="Q944">
        <v>0.29329905220585301</v>
      </c>
      <c r="R944">
        <v>0.937852562752995</v>
      </c>
      <c r="S944" t="s">
        <v>7590</v>
      </c>
      <c r="T944" t="s">
        <v>13290</v>
      </c>
      <c r="U944" t="s">
        <v>13290</v>
      </c>
      <c r="V944" t="s">
        <v>13290</v>
      </c>
      <c r="W944" t="s">
        <v>14216</v>
      </c>
      <c r="X944">
        <v>4</v>
      </c>
      <c r="Y944" t="s">
        <v>20802</v>
      </c>
      <c r="Z944" t="s">
        <v>27274</v>
      </c>
      <c r="AA944">
        <v>0.43199459879321328</v>
      </c>
      <c r="AB944" t="str">
        <f>HYPERLINK("Melting_Curves/meltCurve_H0YJ17_NGDN.pdf", "Melting_Curves/meltCurve_H0YJ17_NGDN.pdf")</f>
        <v>Melting_Curves/meltCurve_H0YJ17_NGDN.pdf</v>
      </c>
    </row>
    <row r="945" spans="1:28" x14ac:dyDescent="0.25">
      <c r="A945" t="s">
        <v>949</v>
      </c>
      <c r="B945">
        <v>0.99252571173614901</v>
      </c>
      <c r="C945">
        <v>0.86768751260058696</v>
      </c>
      <c r="D945">
        <v>0.911535690013626</v>
      </c>
      <c r="E945">
        <v>0.79202011624365498</v>
      </c>
      <c r="F945">
        <v>0.695469126124028</v>
      </c>
      <c r="G945">
        <v>0.35342217659404701</v>
      </c>
      <c r="H945">
        <v>0.25481176519262699</v>
      </c>
      <c r="I945">
        <v>0.178363980289861</v>
      </c>
      <c r="J945">
        <v>0.18710601528808801</v>
      </c>
      <c r="K945">
        <v>0.15024756520442101</v>
      </c>
      <c r="L945">
        <v>735.83796194507397</v>
      </c>
      <c r="M945">
        <v>13.5663003316327</v>
      </c>
      <c r="N945">
        <v>55.122739263963297</v>
      </c>
      <c r="O945">
        <v>53.102282681736</v>
      </c>
      <c r="P945">
        <v>-5.7642418192343899E-2</v>
      </c>
      <c r="Q945">
        <v>9.7621025793861699E-2</v>
      </c>
      <c r="R945">
        <v>0.97659006327131404</v>
      </c>
      <c r="S945" t="s">
        <v>7591</v>
      </c>
      <c r="T945" t="s">
        <v>13290</v>
      </c>
      <c r="U945" t="s">
        <v>13290</v>
      </c>
      <c r="V945" t="s">
        <v>13290</v>
      </c>
      <c r="W945" t="s">
        <v>14217</v>
      </c>
      <c r="X945">
        <v>2</v>
      </c>
      <c r="Y945" t="s">
        <v>20803</v>
      </c>
      <c r="Z945" t="s">
        <v>27275</v>
      </c>
      <c r="AA945">
        <v>0.54641135500806071</v>
      </c>
      <c r="AB945" t="str">
        <f>HYPERLINK("Melting_Curves/meltCurve_H0YK61_EMC4.pdf", "Melting_Curves/meltCurve_H0YK61_EMC4.pdf")</f>
        <v>Melting_Curves/meltCurve_H0YK61_EMC4.pdf</v>
      </c>
    </row>
    <row r="946" spans="1:28" x14ac:dyDescent="0.25">
      <c r="A946" t="s">
        <v>950</v>
      </c>
      <c r="B946">
        <v>0.99252571173614901</v>
      </c>
      <c r="C946">
        <v>1.01167115375149</v>
      </c>
      <c r="D946">
        <v>1.01196035761398</v>
      </c>
      <c r="E946">
        <v>1.04055443711245</v>
      </c>
      <c r="F946">
        <v>0.93437824663306701</v>
      </c>
      <c r="G946">
        <v>0.50194835586953301</v>
      </c>
      <c r="H946">
        <v>0.24556906270967299</v>
      </c>
      <c r="I946">
        <v>0.123678839941673</v>
      </c>
      <c r="J946">
        <v>0.11378033887953599</v>
      </c>
      <c r="K946">
        <v>0.112305189621954</v>
      </c>
      <c r="L946">
        <v>1939.5611247802799</v>
      </c>
      <c r="M946">
        <v>34.300049823811101</v>
      </c>
      <c r="N946">
        <v>57.010297277008704</v>
      </c>
      <c r="O946">
        <v>56.355718530229602</v>
      </c>
      <c r="P946">
        <v>-0.13364794504497701</v>
      </c>
      <c r="Q946">
        <v>0.121657618494572</v>
      </c>
      <c r="R946">
        <v>0.99575909520960904</v>
      </c>
      <c r="S946" t="s">
        <v>7592</v>
      </c>
      <c r="T946" t="s">
        <v>13290</v>
      </c>
      <c r="U946" t="s">
        <v>13290</v>
      </c>
      <c r="V946" t="s">
        <v>13290</v>
      </c>
      <c r="W946" t="s">
        <v>14218</v>
      </c>
      <c r="X946">
        <v>8</v>
      </c>
      <c r="Y946" t="s">
        <v>20804</v>
      </c>
      <c r="Z946" t="s">
        <v>27276</v>
      </c>
      <c r="AA946">
        <v>0.61069462430543642</v>
      </c>
      <c r="AB946" t="str">
        <f>HYPERLINK("Melting_Curves/meltCurve_H0YKD8_RPL28.pdf", "Melting_Curves/meltCurve_H0YKD8_RPL28.pdf")</f>
        <v>Melting_Curves/meltCurve_H0YKD8_RPL28.pdf</v>
      </c>
    </row>
    <row r="947" spans="1:28" x14ac:dyDescent="0.25">
      <c r="A947" t="s">
        <v>951</v>
      </c>
      <c r="B947">
        <v>0.99252571173614901</v>
      </c>
      <c r="C947">
        <v>0.80618634247850596</v>
      </c>
      <c r="D947">
        <v>0.623571585993693</v>
      </c>
      <c r="E947">
        <v>0.34983420368149798</v>
      </c>
      <c r="F947">
        <v>0.29629202841151497</v>
      </c>
      <c r="G947">
        <v>0.20686125443049699</v>
      </c>
      <c r="H947">
        <v>0.16575569226340101</v>
      </c>
      <c r="I947">
        <v>0.17725765581817801</v>
      </c>
      <c r="J947">
        <v>0.209017359107878</v>
      </c>
      <c r="K947">
        <v>0.23934836238859</v>
      </c>
      <c r="L947">
        <v>847.95337846814198</v>
      </c>
      <c r="M947">
        <v>18.393117851890501</v>
      </c>
      <c r="N947">
        <v>47.383736937490099</v>
      </c>
      <c r="O947">
        <v>45.567082731003801</v>
      </c>
      <c r="P947">
        <v>-8.1134544132452205E-2</v>
      </c>
      <c r="Q947">
        <v>0.196026039706023</v>
      </c>
      <c r="R947">
        <v>0.98901157885024504</v>
      </c>
      <c r="S947" t="s">
        <v>7593</v>
      </c>
      <c r="T947" t="s">
        <v>13290</v>
      </c>
      <c r="U947" t="s">
        <v>13290</v>
      </c>
      <c r="V947" t="s">
        <v>13290</v>
      </c>
      <c r="W947" t="s">
        <v>14219</v>
      </c>
      <c r="X947">
        <v>1</v>
      </c>
      <c r="Y947" t="s">
        <v>20805</v>
      </c>
      <c r="Z947" t="s">
        <v>27277</v>
      </c>
      <c r="AA947">
        <v>0.374468304516688</v>
      </c>
      <c r="AB947" t="str">
        <f>HYPERLINK("Melting_Curves/meltCurve_H0YKG9_EID1.pdf", "Melting_Curves/meltCurve_H0YKG9_EID1.pdf")</f>
        <v>Melting_Curves/meltCurve_H0YKG9_EID1.pdf</v>
      </c>
    </row>
    <row r="948" spans="1:28" x14ac:dyDescent="0.25">
      <c r="A948" t="s">
        <v>952</v>
      </c>
      <c r="B948">
        <v>0.99252571173614901</v>
      </c>
      <c r="C948">
        <v>0.97763446613203198</v>
      </c>
      <c r="D948">
        <v>1.0010758167640701</v>
      </c>
      <c r="E948">
        <v>0.934561281810116</v>
      </c>
      <c r="F948">
        <v>0.67106693080579505</v>
      </c>
      <c r="G948">
        <v>0.40913767008505603</v>
      </c>
      <c r="H948">
        <v>0.209658235800918</v>
      </c>
      <c r="I948">
        <v>0.17678078824385399</v>
      </c>
      <c r="J948">
        <v>0.18470813548402101</v>
      </c>
      <c r="K948">
        <v>0.16983196122482599</v>
      </c>
      <c r="L948">
        <v>1278.9259949314201</v>
      </c>
      <c r="M948">
        <v>23.5164200574307</v>
      </c>
      <c r="N948">
        <v>55.309743458248803</v>
      </c>
      <c r="O948">
        <v>53.995698658604198</v>
      </c>
      <c r="P948">
        <v>-9.1174724528431103E-2</v>
      </c>
      <c r="Q948">
        <v>0.16263469485297199</v>
      </c>
      <c r="R948">
        <v>0.99834736111840106</v>
      </c>
      <c r="S948" t="s">
        <v>7594</v>
      </c>
      <c r="T948" t="s">
        <v>13290</v>
      </c>
      <c r="U948" t="s">
        <v>13290</v>
      </c>
      <c r="V948" t="s">
        <v>13290</v>
      </c>
      <c r="W948" t="s">
        <v>14220</v>
      </c>
      <c r="X948">
        <v>22</v>
      </c>
      <c r="Y948" t="s">
        <v>20806</v>
      </c>
      <c r="Z948" t="s">
        <v>27278</v>
      </c>
      <c r="AA948">
        <v>0.57277462554058933</v>
      </c>
      <c r="AB948" t="str">
        <f>HYPERLINK("Melting_Curves/meltCurve_H0YL70_TLE3.pdf", "Melting_Curves/meltCurve_H0YL70_TLE3.pdf")</f>
        <v>Melting_Curves/meltCurve_H0YL70_TLE3.pdf</v>
      </c>
    </row>
    <row r="949" spans="1:28" x14ac:dyDescent="0.25">
      <c r="A949" t="s">
        <v>953</v>
      </c>
      <c r="B949">
        <v>0.99252571173614901</v>
      </c>
      <c r="C949">
        <v>0.95355948166320004</v>
      </c>
      <c r="D949">
        <v>0.64776268560232197</v>
      </c>
      <c r="E949">
        <v>0.32983698311769</v>
      </c>
      <c r="F949">
        <v>0.202110131865198</v>
      </c>
      <c r="G949">
        <v>0.13602963842857499</v>
      </c>
      <c r="H949">
        <v>0.14140760208452499</v>
      </c>
      <c r="I949">
        <v>0.155498481872588</v>
      </c>
      <c r="J949">
        <v>0.11020627356687</v>
      </c>
      <c r="K949">
        <v>0.11353189733074499</v>
      </c>
      <c r="L949">
        <v>1120.4851182546799</v>
      </c>
      <c r="M949">
        <v>23.8613808252396</v>
      </c>
      <c r="N949">
        <v>47.566200862048497</v>
      </c>
      <c r="O949">
        <v>46.632019693605102</v>
      </c>
      <c r="P949">
        <v>-0.111109308139817</v>
      </c>
      <c r="Q949">
        <v>0.13145562919284901</v>
      </c>
      <c r="R949">
        <v>0.99658606584156395</v>
      </c>
      <c r="S949" t="s">
        <v>7595</v>
      </c>
      <c r="T949" t="s">
        <v>13290</v>
      </c>
      <c r="U949" t="s">
        <v>13290</v>
      </c>
      <c r="V949" t="s">
        <v>13290</v>
      </c>
      <c r="W949" t="s">
        <v>14221</v>
      </c>
      <c r="X949">
        <v>7</v>
      </c>
      <c r="Y949" t="s">
        <v>20807</v>
      </c>
      <c r="Z949" t="s">
        <v>27279</v>
      </c>
      <c r="AA949">
        <v>0.34150804866752738</v>
      </c>
      <c r="AB949" t="str">
        <f>HYPERLINK("Melting_Curves/meltCurve_H0YLB5_POU2F1.pdf", "Melting_Curves/meltCurve_H0YLB5_POU2F1.pdf")</f>
        <v>Melting_Curves/meltCurve_H0YLB5_POU2F1.pdf</v>
      </c>
    </row>
    <row r="950" spans="1:28" x14ac:dyDescent="0.25">
      <c r="A950" t="s">
        <v>954</v>
      </c>
      <c r="B950">
        <v>0.99252571173614901</v>
      </c>
      <c r="C950">
        <v>0.74295921006312204</v>
      </c>
      <c r="D950">
        <v>0.431858031347988</v>
      </c>
      <c r="E950">
        <v>0.30934936891382803</v>
      </c>
      <c r="F950">
        <v>0.29304598923215402</v>
      </c>
      <c r="G950">
        <v>0.136764437002352</v>
      </c>
      <c r="H950">
        <v>7.8460557253876906E-2</v>
      </c>
      <c r="I950">
        <v>0.18561589881122501</v>
      </c>
      <c r="J950">
        <v>0.16122729703076999</v>
      </c>
      <c r="K950">
        <v>5.0678757662181197E-2</v>
      </c>
      <c r="L950">
        <v>784.10170316701499</v>
      </c>
      <c r="M950">
        <v>17.3807156773629</v>
      </c>
      <c r="N950">
        <v>45.9233778348244</v>
      </c>
      <c r="O950">
        <v>44.528820748691999</v>
      </c>
      <c r="P950">
        <v>-8.4703152421323202E-2</v>
      </c>
      <c r="Q950">
        <v>0.13202242242881099</v>
      </c>
      <c r="R950">
        <v>0.95799338330956596</v>
      </c>
      <c r="S950" t="s">
        <v>7596</v>
      </c>
      <c r="T950" t="s">
        <v>13290</v>
      </c>
      <c r="U950" t="s">
        <v>13290</v>
      </c>
      <c r="V950" t="s">
        <v>13290</v>
      </c>
      <c r="W950" t="s">
        <v>14222</v>
      </c>
      <c r="X950">
        <v>3</v>
      </c>
      <c r="Y950" t="s">
        <v>20808</v>
      </c>
      <c r="Z950" t="s">
        <v>27280</v>
      </c>
      <c r="AA950">
        <v>0.29996596286425747</v>
      </c>
      <c r="AB950" t="str">
        <f>HYPERLINK("Melting_Curves/meltCurve_H0YLX2_RFX7.pdf", "Melting_Curves/meltCurve_H0YLX2_RFX7.pdf")</f>
        <v>Melting_Curves/meltCurve_H0YLX2_RFX7.pdf</v>
      </c>
    </row>
    <row r="951" spans="1:28" x14ac:dyDescent="0.25">
      <c r="A951" t="s">
        <v>955</v>
      </c>
      <c r="B951">
        <v>0.99252571173614901</v>
      </c>
      <c r="C951">
        <v>0.96317571346275699</v>
      </c>
      <c r="D951">
        <v>1.1058018059369099</v>
      </c>
      <c r="E951">
        <v>1.2405330184569601</v>
      </c>
      <c r="F951">
        <v>1.28814234597403</v>
      </c>
      <c r="G951">
        <v>1.0179147266024899</v>
      </c>
      <c r="H951">
        <v>1.26724484869372</v>
      </c>
      <c r="I951">
        <v>1.73024385058102</v>
      </c>
      <c r="J951">
        <v>2.5099423463333501</v>
      </c>
      <c r="K951">
        <v>2.5025381745921802</v>
      </c>
      <c r="L951">
        <v>15000</v>
      </c>
      <c r="M951">
        <v>246.848733017445</v>
      </c>
      <c r="O951">
        <v>60.761958627486898</v>
      </c>
      <c r="P951">
        <v>0.507819140576524</v>
      </c>
      <c r="Q951">
        <v>1.5</v>
      </c>
      <c r="R951">
        <v>0.29446120003501702</v>
      </c>
      <c r="S951" t="s">
        <v>7597</v>
      </c>
      <c r="T951" t="s">
        <v>13290</v>
      </c>
      <c r="U951" t="s">
        <v>13290</v>
      </c>
      <c r="V951" t="s">
        <v>13290</v>
      </c>
      <c r="W951" t="s">
        <v>14223</v>
      </c>
      <c r="X951">
        <v>13</v>
      </c>
      <c r="Y951" t="s">
        <v>20809</v>
      </c>
      <c r="Z951" t="s">
        <v>27281</v>
      </c>
      <c r="AA951">
        <v>1.1538459905768059</v>
      </c>
      <c r="AB951" t="str">
        <f>HYPERLINK("Melting_Curves/meltCurve_H0YMB3_GMPR2.pdf", "Melting_Curves/meltCurve_H0YMB3_GMPR2.pdf")</f>
        <v>Melting_Curves/meltCurve_H0YMB3_GMPR2.pdf</v>
      </c>
    </row>
    <row r="952" spans="1:28" x14ac:dyDescent="0.25">
      <c r="A952" t="s">
        <v>956</v>
      </c>
      <c r="B952">
        <v>0.99252571173614901</v>
      </c>
      <c r="C952">
        <v>0.99738085259479803</v>
      </c>
      <c r="D952">
        <v>1.1493403268559199</v>
      </c>
      <c r="E952">
        <v>0.98626982886237202</v>
      </c>
      <c r="F952">
        <v>0.68536676870122804</v>
      </c>
      <c r="G952">
        <v>0.18875351083526201</v>
      </c>
      <c r="H952">
        <v>8.9477589622524598E-2</v>
      </c>
      <c r="I952">
        <v>5.7146091173020303E-2</v>
      </c>
      <c r="J952">
        <v>6.7708605731967006E-2</v>
      </c>
      <c r="K952">
        <v>6.5694045639124996E-2</v>
      </c>
      <c r="L952">
        <v>2198.5473502762702</v>
      </c>
      <c r="M952">
        <v>40.634151867536502</v>
      </c>
      <c r="N952">
        <v>54.298925077908201</v>
      </c>
      <c r="O952">
        <v>53.9753510195494</v>
      </c>
      <c r="P952">
        <v>-0.175550035218629</v>
      </c>
      <c r="Q952">
        <v>6.7251965535685201E-2</v>
      </c>
      <c r="R952">
        <v>0.98858467271622597</v>
      </c>
      <c r="S952" t="s">
        <v>7598</v>
      </c>
      <c r="T952" t="s">
        <v>13290</v>
      </c>
      <c r="U952" t="s">
        <v>13290</v>
      </c>
      <c r="V952" t="s">
        <v>13290</v>
      </c>
      <c r="W952" t="s">
        <v>14224</v>
      </c>
      <c r="X952">
        <v>5</v>
      </c>
      <c r="Y952" t="s">
        <v>20810</v>
      </c>
      <c r="Z952" t="s">
        <v>27282</v>
      </c>
      <c r="AA952">
        <v>0.50920013183362511</v>
      </c>
      <c r="AB952" t="str">
        <f>HYPERLINK("Melting_Curves/meltCurve_H0YMG7_ALDH1A2.pdf", "Melting_Curves/meltCurve_H0YMG7_ALDH1A2.pdf")</f>
        <v>Melting_Curves/meltCurve_H0YMG7_ALDH1A2.pdf</v>
      </c>
    </row>
    <row r="953" spans="1:28" x14ac:dyDescent="0.25">
      <c r="A953" t="s">
        <v>957</v>
      </c>
      <c r="B953">
        <v>0.99252571173614901</v>
      </c>
      <c r="C953">
        <v>1.0939630600277399</v>
      </c>
      <c r="D953">
        <v>0.85202710137113402</v>
      </c>
      <c r="E953">
        <v>0.859511578716874</v>
      </c>
      <c r="F953">
        <v>1.0501916359958601</v>
      </c>
      <c r="G953">
        <v>0.35226152332245803</v>
      </c>
      <c r="H953">
        <v>0.15336078278634599</v>
      </c>
      <c r="I953">
        <v>0.18372356010860699</v>
      </c>
      <c r="J953">
        <v>0.25716702725597201</v>
      </c>
      <c r="K953">
        <v>0.26003175105197701</v>
      </c>
      <c r="L953">
        <v>14112.457589047601</v>
      </c>
      <c r="M953">
        <v>250</v>
      </c>
      <c r="N953">
        <v>56.5759115296907</v>
      </c>
      <c r="O953">
        <v>56.446212949399303</v>
      </c>
      <c r="P953">
        <v>-0.87077273067477001</v>
      </c>
      <c r="Q953">
        <v>0.213570763494734</v>
      </c>
      <c r="R953">
        <v>0.95594616700025903</v>
      </c>
      <c r="S953" t="s">
        <v>7599</v>
      </c>
      <c r="T953" t="s">
        <v>13290</v>
      </c>
      <c r="U953" t="s">
        <v>13290</v>
      </c>
      <c r="V953" t="s">
        <v>13290</v>
      </c>
      <c r="W953" t="s">
        <v>14225</v>
      </c>
      <c r="X953">
        <v>7</v>
      </c>
      <c r="Y953" t="s">
        <v>20811</v>
      </c>
      <c r="Z953" t="s">
        <v>27283</v>
      </c>
      <c r="AA953">
        <v>0.64486959150619527</v>
      </c>
      <c r="AB953" t="str">
        <f>HYPERLINK("Melting_Curves/meltCurve_H0YMI6_PSMA4.pdf", "Melting_Curves/meltCurve_H0YMI6_PSMA4.pdf")</f>
        <v>Melting_Curves/meltCurve_H0YMI6_PSMA4.pdf</v>
      </c>
    </row>
    <row r="954" spans="1:28" x14ac:dyDescent="0.25">
      <c r="A954" t="s">
        <v>958</v>
      </c>
      <c r="B954">
        <v>0.99252571173614901</v>
      </c>
      <c r="C954">
        <v>1.0035443987264601</v>
      </c>
      <c r="D954">
        <v>0.81194212578631397</v>
      </c>
      <c r="E954">
        <v>0.55458011244387895</v>
      </c>
      <c r="F954">
        <v>0.29602705632079701</v>
      </c>
      <c r="G954">
        <v>0.174687546195854</v>
      </c>
      <c r="H954">
        <v>9.6379595994978501E-2</v>
      </c>
      <c r="I954">
        <v>8.4281368121256195E-2</v>
      </c>
      <c r="J954">
        <v>0.106183378940769</v>
      </c>
      <c r="K954">
        <v>9.5044066774411504E-2</v>
      </c>
      <c r="L954">
        <v>939.45394880169101</v>
      </c>
      <c r="M954">
        <v>18.896805907993201</v>
      </c>
      <c r="N954">
        <v>50.213418132847103</v>
      </c>
      <c r="O954">
        <v>49.168240619305202</v>
      </c>
      <c r="P954">
        <v>-8.7868945749137894E-2</v>
      </c>
      <c r="Q954">
        <v>8.5520356921555102E-2</v>
      </c>
      <c r="R954">
        <v>0.99724950342930796</v>
      </c>
      <c r="S954" t="s">
        <v>7600</v>
      </c>
      <c r="T954" t="s">
        <v>13290</v>
      </c>
      <c r="U954" t="s">
        <v>13290</v>
      </c>
      <c r="V954" t="s">
        <v>13290</v>
      </c>
      <c r="W954" t="s">
        <v>14226</v>
      </c>
      <c r="X954">
        <v>6</v>
      </c>
      <c r="Y954" t="s">
        <v>20812</v>
      </c>
      <c r="Z954" t="s">
        <v>27284</v>
      </c>
      <c r="AA954">
        <v>0.39590587492767448</v>
      </c>
      <c r="AB954" t="str">
        <f>HYPERLINK("Melting_Curves/meltCurve_H0YMJ0_MORF4L1.pdf", "Melting_Curves/meltCurve_H0YMJ0_MORF4L1.pdf")</f>
        <v>Melting_Curves/meltCurve_H0YMJ0_MORF4L1.pdf</v>
      </c>
    </row>
    <row r="955" spans="1:28" x14ac:dyDescent="0.25">
      <c r="A955" t="s">
        <v>959</v>
      </c>
      <c r="B955">
        <v>0.99252571173614901</v>
      </c>
      <c r="C955">
        <v>1.0830854347282699</v>
      </c>
      <c r="D955">
        <v>1.0301257463871401</v>
      </c>
      <c r="E955">
        <v>1.07010432447021</v>
      </c>
      <c r="F955">
        <v>0.80270543701911101</v>
      </c>
      <c r="G955">
        <v>0.61031887153007702</v>
      </c>
      <c r="H955">
        <v>0.48259309541830098</v>
      </c>
      <c r="I955">
        <v>0.62128171321263603</v>
      </c>
      <c r="J955">
        <v>0.93420681856441001</v>
      </c>
      <c r="K955">
        <v>0.87536135059992404</v>
      </c>
      <c r="L955">
        <v>13262.7488455286</v>
      </c>
      <c r="M955">
        <v>250</v>
      </c>
      <c r="O955">
        <v>53.0476005010701</v>
      </c>
      <c r="P955">
        <v>-0.34785695749880402</v>
      </c>
      <c r="Q955">
        <v>0.70475236991075696</v>
      </c>
      <c r="R955">
        <v>0.61053628505367896</v>
      </c>
      <c r="S955" t="s">
        <v>7601</v>
      </c>
      <c r="T955" t="s">
        <v>13290</v>
      </c>
      <c r="U955" t="s">
        <v>13290</v>
      </c>
      <c r="V955" t="s">
        <v>13290</v>
      </c>
      <c r="W955" t="s">
        <v>14227</v>
      </c>
      <c r="X955">
        <v>2</v>
      </c>
      <c r="Y955" t="s">
        <v>20813</v>
      </c>
      <c r="Z955" t="s">
        <v>27285</v>
      </c>
      <c r="AA955">
        <v>0.83322237377820729</v>
      </c>
      <c r="AB955" t="str">
        <f>HYPERLINK("Melting_Curves/meltCurve_H0YN78_C15orf57.pdf", "Melting_Curves/meltCurve_H0YN78_C15orf57.pdf")</f>
        <v>Melting_Curves/meltCurve_H0YN78_C15orf57.pdf</v>
      </c>
    </row>
    <row r="956" spans="1:28" x14ac:dyDescent="0.25">
      <c r="A956" t="s">
        <v>960</v>
      </c>
      <c r="B956">
        <v>0.99252571173614901</v>
      </c>
      <c r="C956">
        <v>0.88276352871245101</v>
      </c>
      <c r="D956">
        <v>0.41625568522749901</v>
      </c>
      <c r="E956">
        <v>0.21744558404863301</v>
      </c>
      <c r="F956">
        <v>0.13712983419695501</v>
      </c>
      <c r="G956">
        <v>9.0019507934016293E-2</v>
      </c>
      <c r="H956">
        <v>6.2672739989596604E-2</v>
      </c>
      <c r="I956">
        <v>6.3071347406334702E-2</v>
      </c>
      <c r="J956">
        <v>7.3170100665520904E-2</v>
      </c>
      <c r="K956">
        <v>7.8974875319591603E-2</v>
      </c>
      <c r="L956">
        <v>1278.77059204227</v>
      </c>
      <c r="M956">
        <v>28.1855277466526</v>
      </c>
      <c r="N956">
        <v>45.677477263850697</v>
      </c>
      <c r="O956">
        <v>45.1432164622884</v>
      </c>
      <c r="P956">
        <v>-0.14259428469279101</v>
      </c>
      <c r="Q956">
        <v>8.6465798802235594E-2</v>
      </c>
      <c r="R956">
        <v>0.99230000834540499</v>
      </c>
      <c r="S956" t="s">
        <v>7602</v>
      </c>
      <c r="T956" t="s">
        <v>13290</v>
      </c>
      <c r="U956" t="s">
        <v>13290</v>
      </c>
      <c r="V956" t="s">
        <v>13290</v>
      </c>
      <c r="W956" t="s">
        <v>14228</v>
      </c>
      <c r="X956">
        <v>1</v>
      </c>
      <c r="Y956" t="s">
        <v>20814</v>
      </c>
      <c r="Z956" t="s">
        <v>27286</v>
      </c>
      <c r="AA956">
        <v>0.25660685057995469</v>
      </c>
      <c r="AB956" t="str">
        <f>HYPERLINK("Melting_Curves/meltCurve_H0YNB6_PBX3.pdf", "Melting_Curves/meltCurve_H0YNB6_PBX3.pdf")</f>
        <v>Melting_Curves/meltCurve_H0YNB6_PBX3.pdf</v>
      </c>
    </row>
    <row r="957" spans="1:28" x14ac:dyDescent="0.25">
      <c r="A957" t="s">
        <v>961</v>
      </c>
      <c r="B957">
        <v>0.99252571173614901</v>
      </c>
      <c r="C957">
        <v>1.20383042910236</v>
      </c>
      <c r="D957">
        <v>0.79747522993610898</v>
      </c>
      <c r="E957">
        <v>0.619775908865972</v>
      </c>
      <c r="F957">
        <v>0.476328747269814</v>
      </c>
      <c r="G957">
        <v>0.30487082965658302</v>
      </c>
      <c r="H957">
        <v>0.30844313473408502</v>
      </c>
      <c r="I957">
        <v>0.42966470212158098</v>
      </c>
      <c r="J957">
        <v>0.64729034256366103</v>
      </c>
      <c r="K957">
        <v>0.56223500602355903</v>
      </c>
      <c r="L957">
        <v>1548.96427722662</v>
      </c>
      <c r="M957">
        <v>32.5320982450271</v>
      </c>
      <c r="N957">
        <v>51.452283489165097</v>
      </c>
      <c r="O957">
        <v>47.434584662250998</v>
      </c>
      <c r="P957">
        <v>-9.3297441947190099E-2</v>
      </c>
      <c r="Q957">
        <v>0.45585993691881999</v>
      </c>
      <c r="R957">
        <v>0.805194009103541</v>
      </c>
      <c r="S957" t="s">
        <v>7603</v>
      </c>
      <c r="T957" t="s">
        <v>13290</v>
      </c>
      <c r="U957" t="s">
        <v>13290</v>
      </c>
      <c r="V957" t="s">
        <v>13290</v>
      </c>
      <c r="W957" t="s">
        <v>14229</v>
      </c>
      <c r="X957">
        <v>6</v>
      </c>
      <c r="Y957" t="s">
        <v>20815</v>
      </c>
      <c r="Z957" t="s">
        <v>27287</v>
      </c>
      <c r="AA957">
        <v>0.59670729491527441</v>
      </c>
      <c r="AB957" t="str">
        <f>HYPERLINK("Melting_Curves/meltCurve_H0YNE9_RAB8B.pdf", "Melting_Curves/meltCurve_H0YNE9_RAB8B.pdf")</f>
        <v>Melting_Curves/meltCurve_H0YNE9_RAB8B.pdf</v>
      </c>
    </row>
    <row r="958" spans="1:28" x14ac:dyDescent="0.25">
      <c r="A958" t="s">
        <v>962</v>
      </c>
      <c r="B958">
        <v>0.99252571173614901</v>
      </c>
      <c r="C958">
        <v>0.89591225633581395</v>
      </c>
      <c r="D958">
        <v>0.82820019934453204</v>
      </c>
      <c r="E958">
        <v>0.73494320830404802</v>
      </c>
      <c r="F958">
        <v>0.39666425552918599</v>
      </c>
      <c r="G958">
        <v>0.15055557861035301</v>
      </c>
      <c r="H958">
        <v>7.3296469352497007E-2</v>
      </c>
      <c r="I958">
        <v>6.6225981156225494E-2</v>
      </c>
      <c r="J958">
        <v>7.2127029333701798E-2</v>
      </c>
      <c r="K958">
        <v>7.7411778764154393E-2</v>
      </c>
      <c r="L958">
        <v>888.21697746611903</v>
      </c>
      <c r="M958">
        <v>17.247512645947001</v>
      </c>
      <c r="N958">
        <v>51.7247790055306</v>
      </c>
      <c r="O958">
        <v>50.820925927078001</v>
      </c>
      <c r="P958">
        <v>-8.1763158569997496E-2</v>
      </c>
      <c r="Q958">
        <v>3.63742447007942E-2</v>
      </c>
      <c r="R958">
        <v>0.98704963543629498</v>
      </c>
      <c r="S958" t="s">
        <v>7604</v>
      </c>
      <c r="T958" t="s">
        <v>13290</v>
      </c>
      <c r="U958" t="s">
        <v>13290</v>
      </c>
      <c r="V958" t="s">
        <v>13290</v>
      </c>
      <c r="W958" t="s">
        <v>14230</v>
      </c>
      <c r="X958">
        <v>12</v>
      </c>
      <c r="Y958" t="s">
        <v>20816</v>
      </c>
      <c r="Z958" t="s">
        <v>27288</v>
      </c>
      <c r="AA958">
        <v>0.42309226179613552</v>
      </c>
      <c r="AB958" t="str">
        <f>HYPERLINK("Melting_Curves/meltCurve_H0YNG3_SEC11A.pdf", "Melting_Curves/meltCurve_H0YNG3_SEC11A.pdf")</f>
        <v>Melting_Curves/meltCurve_H0YNG3_SEC11A.pdf</v>
      </c>
    </row>
    <row r="959" spans="1:28" x14ac:dyDescent="0.25">
      <c r="A959" t="s">
        <v>963</v>
      </c>
      <c r="B959">
        <v>0.99252571173614901</v>
      </c>
      <c r="C959">
        <v>1.05659622921722</v>
      </c>
      <c r="D959">
        <v>0.97916869127680894</v>
      </c>
      <c r="E959">
        <v>0.91798228787886504</v>
      </c>
      <c r="F959">
        <v>0.682842848713069</v>
      </c>
      <c r="G959">
        <v>0.41299036893555402</v>
      </c>
      <c r="H959">
        <v>0.16541836756588901</v>
      </c>
      <c r="I959">
        <v>7.7669247486027396E-2</v>
      </c>
      <c r="J959">
        <v>5.0512131868246497E-2</v>
      </c>
      <c r="K959">
        <v>5.3028814275156197E-2</v>
      </c>
      <c r="L959">
        <v>1085.7580215847299</v>
      </c>
      <c r="M959">
        <v>19.599217319672899</v>
      </c>
      <c r="N959">
        <v>55.537521216701499</v>
      </c>
      <c r="O959">
        <v>54.830976824551101</v>
      </c>
      <c r="P959">
        <v>-8.7218813145905794E-2</v>
      </c>
      <c r="Q959">
        <v>2.4017333946601601E-2</v>
      </c>
      <c r="R959">
        <v>0.99725637948615398</v>
      </c>
      <c r="S959" t="s">
        <v>7605</v>
      </c>
      <c r="T959" t="s">
        <v>13290</v>
      </c>
      <c r="U959" t="s">
        <v>13290</v>
      </c>
      <c r="V959" t="s">
        <v>13290</v>
      </c>
      <c r="W959" t="s">
        <v>14231</v>
      </c>
      <c r="X959">
        <v>1</v>
      </c>
      <c r="Y959" t="s">
        <v>20817</v>
      </c>
      <c r="Z959" t="s">
        <v>27289</v>
      </c>
      <c r="AA959">
        <v>0.53818268533049785</v>
      </c>
      <c r="AB959" t="str">
        <f>HYPERLINK("Melting_Curves/meltCurve_H0YNH6_EMC9.pdf", "Melting_Curves/meltCurve_H0YNH6_EMC9.pdf")</f>
        <v>Melting_Curves/meltCurve_H0YNH6_EMC9.pdf</v>
      </c>
    </row>
    <row r="960" spans="1:28" x14ac:dyDescent="0.25">
      <c r="A960" t="s">
        <v>964</v>
      </c>
      <c r="B960">
        <v>0.99252571173614901</v>
      </c>
      <c r="C960">
        <v>0.69838528889078699</v>
      </c>
      <c r="D960">
        <v>0.453839989001595</v>
      </c>
      <c r="E960">
        <v>0.33354997802869202</v>
      </c>
      <c r="F960">
        <v>0.24317138425104701</v>
      </c>
      <c r="G960">
        <v>0.150379933496748</v>
      </c>
      <c r="H960">
        <v>0.12852784624174399</v>
      </c>
      <c r="I960">
        <v>0.14304006790506399</v>
      </c>
      <c r="J960">
        <v>0.17608944784473701</v>
      </c>
      <c r="K960">
        <v>0.20106484779007</v>
      </c>
      <c r="L960">
        <v>823.24248980422101</v>
      </c>
      <c r="M960">
        <v>18.4120198673385</v>
      </c>
      <c r="N960">
        <v>45.713011312793803</v>
      </c>
      <c r="O960">
        <v>44.194802694602302</v>
      </c>
      <c r="P960">
        <v>-8.6880394664016994E-2</v>
      </c>
      <c r="Q960">
        <v>0.16587345485324401</v>
      </c>
      <c r="R960">
        <v>0.97725150860266696</v>
      </c>
      <c r="S960" t="s">
        <v>7606</v>
      </c>
      <c r="T960" t="s">
        <v>13290</v>
      </c>
      <c r="U960" t="s">
        <v>13290</v>
      </c>
      <c r="V960" t="s">
        <v>13290</v>
      </c>
      <c r="W960" t="s">
        <v>14232</v>
      </c>
      <c r="X960">
        <v>8</v>
      </c>
      <c r="Y960" t="s">
        <v>20818</v>
      </c>
      <c r="Z960" t="s">
        <v>27290</v>
      </c>
      <c r="AA960">
        <v>0.31457699981607062</v>
      </c>
      <c r="AB960" t="str">
        <f>HYPERLINK("Melting_Curves/meltCurve_H0YNH8_UACA.pdf", "Melting_Curves/meltCurve_H0YNH8_UACA.pdf")</f>
        <v>Melting_Curves/meltCurve_H0YNH8_UACA.pdf</v>
      </c>
    </row>
    <row r="961" spans="1:28" x14ac:dyDescent="0.25">
      <c r="A961" t="s">
        <v>965</v>
      </c>
      <c r="B961">
        <v>0.99252571173614901</v>
      </c>
      <c r="C961">
        <v>0.96638922882171496</v>
      </c>
      <c r="D961">
        <v>0.93059571371189398</v>
      </c>
      <c r="E961">
        <v>0.67349018858473197</v>
      </c>
      <c r="F961">
        <v>0.35246293787605498</v>
      </c>
      <c r="G961">
        <v>8.4625908160118196E-2</v>
      </c>
      <c r="H961">
        <v>6.2328293012269997E-2</v>
      </c>
      <c r="I961">
        <v>6.7957298701837393E-2</v>
      </c>
      <c r="J961">
        <v>8.1400984668795501E-2</v>
      </c>
      <c r="K961">
        <v>8.1218776607789797E-2</v>
      </c>
      <c r="L961">
        <v>1209.13364739294</v>
      </c>
      <c r="M961">
        <v>23.6961610067398</v>
      </c>
      <c r="N961">
        <v>51.296176712285202</v>
      </c>
      <c r="O961">
        <v>50.667343001548304</v>
      </c>
      <c r="P961">
        <v>-0.110076275671029</v>
      </c>
      <c r="Q961">
        <v>5.8551713658802199E-2</v>
      </c>
      <c r="R961">
        <v>0.99633444356031797</v>
      </c>
      <c r="S961" t="s">
        <v>7607</v>
      </c>
      <c r="T961" t="s">
        <v>13290</v>
      </c>
      <c r="U961" t="s">
        <v>13290</v>
      </c>
      <c r="V961" t="s">
        <v>13290</v>
      </c>
      <c r="W961" t="s">
        <v>14233</v>
      </c>
      <c r="X961">
        <v>3</v>
      </c>
      <c r="Y961" t="s">
        <v>20819</v>
      </c>
      <c r="Z961" t="s">
        <v>27291</v>
      </c>
      <c r="AA961">
        <v>0.41403117476132251</v>
      </c>
      <c r="AB961" t="str">
        <f>HYPERLINK("Melting_Curves/meltCurve_H0YNU5_BLM.pdf", "Melting_Curves/meltCurve_H0YNU5_BLM.pdf")</f>
        <v>Melting_Curves/meltCurve_H0YNU5_BLM.pdf</v>
      </c>
    </row>
    <row r="962" spans="1:28" x14ac:dyDescent="0.25">
      <c r="A962" t="s">
        <v>966</v>
      </c>
      <c r="B962">
        <v>0.99252571173614901</v>
      </c>
      <c r="C962">
        <v>0.97151281872793604</v>
      </c>
      <c r="D962">
        <v>0.89589237184714399</v>
      </c>
      <c r="E962">
        <v>0.87710872108236304</v>
      </c>
      <c r="F962">
        <v>0.72618493379684701</v>
      </c>
      <c r="G962">
        <v>0.59917561110621298</v>
      </c>
      <c r="H962">
        <v>0.43387299105847399</v>
      </c>
      <c r="I962">
        <v>0.33995534538820998</v>
      </c>
      <c r="J962">
        <v>0.40978071528898602</v>
      </c>
      <c r="K962">
        <v>0.35287447826859403</v>
      </c>
      <c r="L962">
        <v>708.20845063385696</v>
      </c>
      <c r="M962">
        <v>12.917494635754</v>
      </c>
      <c r="N962">
        <v>59.104450651163397</v>
      </c>
      <c r="O962">
        <v>53.561458028655402</v>
      </c>
      <c r="P962">
        <v>-4.1987032277763799E-2</v>
      </c>
      <c r="Q962">
        <v>0.30374131168184998</v>
      </c>
      <c r="R962">
        <v>0.98452310240261198</v>
      </c>
      <c r="S962" t="s">
        <v>7608</v>
      </c>
      <c r="T962" t="s">
        <v>13290</v>
      </c>
      <c r="U962" t="s">
        <v>13290</v>
      </c>
      <c r="V962" t="s">
        <v>13290</v>
      </c>
      <c r="W962" t="s">
        <v>14234</v>
      </c>
      <c r="X962">
        <v>11</v>
      </c>
      <c r="Y962" t="s">
        <v>20820</v>
      </c>
      <c r="Z962" t="s">
        <v>27292</v>
      </c>
      <c r="AA962">
        <v>0.66354429928439229</v>
      </c>
      <c r="AB962" t="str">
        <f>HYPERLINK("Melting_Curves/meltCurve_H3BLV0_CD55.pdf", "Melting_Curves/meltCurve_H3BLV0_CD55.pdf")</f>
        <v>Melting_Curves/meltCurve_H3BLV0_CD55.pdf</v>
      </c>
    </row>
    <row r="963" spans="1:28" x14ac:dyDescent="0.25">
      <c r="A963" t="s">
        <v>967</v>
      </c>
      <c r="B963">
        <v>0.99252571173614901</v>
      </c>
      <c r="C963">
        <v>1.12223180633738</v>
      </c>
      <c r="D963">
        <v>0.98933629741534901</v>
      </c>
      <c r="E963">
        <v>0.88795856077678204</v>
      </c>
      <c r="F963">
        <v>0.92191672099829003</v>
      </c>
      <c r="G963">
        <v>0.54992464028054899</v>
      </c>
      <c r="H963">
        <v>0.55613296068263096</v>
      </c>
      <c r="I963">
        <v>0.72833122285436303</v>
      </c>
      <c r="J963">
        <v>1.12916564917496</v>
      </c>
      <c r="K963">
        <v>1.34433970312771</v>
      </c>
      <c r="L963">
        <v>15000</v>
      </c>
      <c r="M963">
        <v>223.03615991479401</v>
      </c>
      <c r="O963">
        <v>67.248271749137203</v>
      </c>
      <c r="P963">
        <v>0.28555683342314703</v>
      </c>
      <c r="Q963">
        <v>1.34439618379676</v>
      </c>
      <c r="R963">
        <v>0.128385608110715</v>
      </c>
      <c r="S963" t="s">
        <v>7609</v>
      </c>
      <c r="T963" t="s">
        <v>13290</v>
      </c>
      <c r="U963" t="s">
        <v>13290</v>
      </c>
      <c r="V963" t="s">
        <v>13290</v>
      </c>
      <c r="W963" t="s">
        <v>14235</v>
      </c>
      <c r="X963">
        <v>3</v>
      </c>
      <c r="Y963" t="s">
        <v>20821</v>
      </c>
      <c r="Z963" t="s">
        <v>27293</v>
      </c>
      <c r="AA963">
        <v>1.031477059676811</v>
      </c>
      <c r="AB963" t="str">
        <f>HYPERLINK("Melting_Curves/meltCurve_H3BLZ2_DBNDD1.pdf", "Melting_Curves/meltCurve_H3BLZ2_DBNDD1.pdf")</f>
        <v>Melting_Curves/meltCurve_H3BLZ2_DBNDD1.pdf</v>
      </c>
    </row>
    <row r="964" spans="1:28" x14ac:dyDescent="0.25">
      <c r="A964" t="s">
        <v>968</v>
      </c>
      <c r="B964">
        <v>0.99252571173614901</v>
      </c>
      <c r="C964">
        <v>0.90119887533206</v>
      </c>
      <c r="D964">
        <v>0.846285830974144</v>
      </c>
      <c r="E964">
        <v>0.64353262197154404</v>
      </c>
      <c r="F964">
        <v>0.135228019364772</v>
      </c>
      <c r="G964">
        <v>9.0593396677989199E-2</v>
      </c>
      <c r="H964">
        <v>6.3644482369865904E-2</v>
      </c>
      <c r="I964">
        <v>6.1016887705210299E-2</v>
      </c>
      <c r="J964">
        <v>6.7147885376296207E-2</v>
      </c>
      <c r="K964">
        <v>6.8659481455413895E-2</v>
      </c>
      <c r="L964">
        <v>1396.49662672109</v>
      </c>
      <c r="M964">
        <v>27.927289160424198</v>
      </c>
      <c r="N964">
        <v>50.211900827976798</v>
      </c>
      <c r="O964">
        <v>49.750446925073597</v>
      </c>
      <c r="P964">
        <v>-0.13270131182156999</v>
      </c>
      <c r="Q964">
        <v>5.4417009961525001E-2</v>
      </c>
      <c r="R964">
        <v>0.98439670744915098</v>
      </c>
      <c r="S964" t="s">
        <v>7610</v>
      </c>
      <c r="T964" t="s">
        <v>13290</v>
      </c>
      <c r="U964" t="s">
        <v>13290</v>
      </c>
      <c r="V964" t="s">
        <v>13290</v>
      </c>
      <c r="W964" t="s">
        <v>14236</v>
      </c>
      <c r="X964">
        <v>51</v>
      </c>
      <c r="Y964" t="s">
        <v>20822</v>
      </c>
      <c r="Z964" t="s">
        <v>27294</v>
      </c>
      <c r="AA964">
        <v>0.37652085812713931</v>
      </c>
      <c r="AB964" t="str">
        <f>HYPERLINK("Melting_Curves/meltCurve_H3BLZ8_DDX17.pdf", "Melting_Curves/meltCurve_H3BLZ8_DDX17.pdf")</f>
        <v>Melting_Curves/meltCurve_H3BLZ8_DDX17.pdf</v>
      </c>
    </row>
    <row r="965" spans="1:28" x14ac:dyDescent="0.25">
      <c r="A965" t="s">
        <v>969</v>
      </c>
      <c r="B965">
        <v>0.99252571173614901</v>
      </c>
      <c r="C965">
        <v>0.83598375530328395</v>
      </c>
      <c r="D965">
        <v>0.41292977884562698</v>
      </c>
      <c r="E965">
        <v>0.18341843691867801</v>
      </c>
      <c r="F965">
        <v>0.12071105318320501</v>
      </c>
      <c r="G965">
        <v>6.8285882825761604E-2</v>
      </c>
      <c r="H965">
        <v>5.0217646235846701E-2</v>
      </c>
      <c r="I965">
        <v>4.4726928264924699E-2</v>
      </c>
      <c r="J965">
        <v>8.13678767605127E-2</v>
      </c>
      <c r="K965">
        <v>5.6322092902848703E-2</v>
      </c>
      <c r="L965">
        <v>1186.66709258216</v>
      </c>
      <c r="M965">
        <v>26.219309853492</v>
      </c>
      <c r="N965">
        <v>45.5155735806702</v>
      </c>
      <c r="O965">
        <v>44.998461068695399</v>
      </c>
      <c r="P965">
        <v>-0.135671966995636</v>
      </c>
      <c r="Q965">
        <v>6.86312060778657E-2</v>
      </c>
      <c r="R965">
        <v>0.99588203527133601</v>
      </c>
      <c r="S965" t="s">
        <v>7611</v>
      </c>
      <c r="T965" t="s">
        <v>13290</v>
      </c>
      <c r="U965" t="s">
        <v>13290</v>
      </c>
      <c r="V965" t="s">
        <v>13290</v>
      </c>
      <c r="W965" t="s">
        <v>14237</v>
      </c>
      <c r="X965">
        <v>10</v>
      </c>
      <c r="Y965" t="s">
        <v>20823</v>
      </c>
      <c r="Z965" t="s">
        <v>27295</v>
      </c>
      <c r="AA965">
        <v>0.23999157449885861</v>
      </c>
      <c r="AB965" t="str">
        <f>HYPERLINK("Melting_Curves/meltCurve_H3BM14_NUB1.pdf", "Melting_Curves/meltCurve_H3BM14_NUB1.pdf")</f>
        <v>Melting_Curves/meltCurve_H3BM14_NUB1.pdf</v>
      </c>
    </row>
    <row r="966" spans="1:28" x14ac:dyDescent="0.25">
      <c r="A966" t="s">
        <v>970</v>
      </c>
      <c r="B966">
        <v>0.99252571173614901</v>
      </c>
      <c r="C966">
        <v>1.0788864925511701</v>
      </c>
      <c r="D966">
        <v>0.77173686543708098</v>
      </c>
      <c r="E966">
        <v>0.49308663238846701</v>
      </c>
      <c r="F966">
        <v>3.1407654080223897E-2</v>
      </c>
      <c r="G966">
        <v>2.10880792968989E-2</v>
      </c>
      <c r="H966">
        <v>0</v>
      </c>
      <c r="I966">
        <v>0</v>
      </c>
      <c r="J966">
        <v>0</v>
      </c>
      <c r="K966">
        <v>0</v>
      </c>
      <c r="L966">
        <v>1327.61493141695</v>
      </c>
      <c r="M966">
        <v>27.060483493817401</v>
      </c>
      <c r="N966">
        <v>49.061020367424298</v>
      </c>
      <c r="O966">
        <v>48.795440762873902</v>
      </c>
      <c r="P966">
        <v>-0.138643840461149</v>
      </c>
      <c r="Q966">
        <v>0</v>
      </c>
      <c r="R966">
        <v>0.98496621897702796</v>
      </c>
      <c r="S966" t="s">
        <v>7612</v>
      </c>
      <c r="T966" t="s">
        <v>13290</v>
      </c>
      <c r="U966" t="s">
        <v>13290</v>
      </c>
      <c r="V966" t="s">
        <v>13290</v>
      </c>
      <c r="W966" t="s">
        <v>14238</v>
      </c>
      <c r="X966">
        <v>38</v>
      </c>
      <c r="Y966" t="s">
        <v>20824</v>
      </c>
      <c r="Z966" t="s">
        <v>27296</v>
      </c>
      <c r="AA966">
        <v>0.30956650073176561</v>
      </c>
      <c r="AB966" t="str">
        <f>HYPERLINK("Melting_Curves/meltCurve_H3BM42_GLG1.pdf", "Melting_Curves/meltCurve_H3BM42_GLG1.pdf")</f>
        <v>Melting_Curves/meltCurve_H3BM42_GLG1.pdf</v>
      </c>
    </row>
    <row r="967" spans="1:28" x14ac:dyDescent="0.25">
      <c r="A967" t="s">
        <v>971</v>
      </c>
      <c r="B967">
        <v>0.99252571173614901</v>
      </c>
      <c r="C967">
        <v>1.06972716212496</v>
      </c>
      <c r="D967">
        <v>0.97455834916113004</v>
      </c>
      <c r="E967">
        <v>0.85461620409244199</v>
      </c>
      <c r="F967">
        <v>0.75538358145984397</v>
      </c>
      <c r="G967">
        <v>0.56997969489700895</v>
      </c>
      <c r="H967">
        <v>0.54494615798655799</v>
      </c>
      <c r="I967">
        <v>0.62176410099354396</v>
      </c>
      <c r="J967">
        <v>0.82431024257684604</v>
      </c>
      <c r="K967">
        <v>0.75922037636272399</v>
      </c>
      <c r="L967">
        <v>1670.2709101032301</v>
      </c>
      <c r="M967">
        <v>33.319066140389197</v>
      </c>
      <c r="O967">
        <v>49.950025573913898</v>
      </c>
      <c r="P967">
        <v>-5.50714173846414E-2</v>
      </c>
      <c r="Q967">
        <v>0.66976173099410996</v>
      </c>
      <c r="R967">
        <v>0.76962570365345095</v>
      </c>
      <c r="S967" t="s">
        <v>7613</v>
      </c>
      <c r="T967" t="s">
        <v>13290</v>
      </c>
      <c r="U967" t="s">
        <v>13290</v>
      </c>
      <c r="V967" t="s">
        <v>13290</v>
      </c>
      <c r="W967" t="s">
        <v>14239</v>
      </c>
      <c r="X967">
        <v>6</v>
      </c>
      <c r="Y967" t="s">
        <v>20825</v>
      </c>
      <c r="Z967" t="s">
        <v>27297</v>
      </c>
      <c r="AA967">
        <v>0.78292326029779025</v>
      </c>
      <c r="AB967" t="str">
        <f>HYPERLINK("Melting_Curves/meltCurve_H3BM67_NOL3.pdf", "Melting_Curves/meltCurve_H3BM67_NOL3.pdf")</f>
        <v>Melting_Curves/meltCurve_H3BM67_NOL3.pdf</v>
      </c>
    </row>
    <row r="968" spans="1:28" x14ac:dyDescent="0.25">
      <c r="A968" t="s">
        <v>972</v>
      </c>
      <c r="B968">
        <v>0.99252571173614901</v>
      </c>
      <c r="C968">
        <v>0.95522143176136198</v>
      </c>
      <c r="D968">
        <v>0.89240067844879301</v>
      </c>
      <c r="E968">
        <v>0.669987782132621</v>
      </c>
      <c r="F968">
        <v>0.38964629958761698</v>
      </c>
      <c r="G968">
        <v>0.169304570920154</v>
      </c>
      <c r="H968">
        <v>8.7546672502179304E-2</v>
      </c>
      <c r="I968">
        <v>8.2993603234021898E-2</v>
      </c>
      <c r="J968">
        <v>8.9995154390065002E-2</v>
      </c>
      <c r="K968">
        <v>8.4977961990671702E-2</v>
      </c>
      <c r="L968">
        <v>967.36018918398804</v>
      </c>
      <c r="M968">
        <v>18.903058360916798</v>
      </c>
      <c r="N968">
        <v>51.553008605090398</v>
      </c>
      <c r="O968">
        <v>50.612396617612802</v>
      </c>
      <c r="P968">
        <v>-8.7329841156922106E-2</v>
      </c>
      <c r="Q968">
        <v>6.4745461804903204E-2</v>
      </c>
      <c r="R968">
        <v>0.99844864832872204</v>
      </c>
      <c r="S968" t="s">
        <v>7614</v>
      </c>
      <c r="T968" t="s">
        <v>13290</v>
      </c>
      <c r="U968" t="s">
        <v>13290</v>
      </c>
      <c r="V968" t="s">
        <v>13290</v>
      </c>
      <c r="W968" t="s">
        <v>14240</v>
      </c>
      <c r="X968">
        <v>2</v>
      </c>
      <c r="Y968" t="s">
        <v>20826</v>
      </c>
      <c r="Z968" t="s">
        <v>27298</v>
      </c>
      <c r="AA968">
        <v>0.42751808701289618</v>
      </c>
      <c r="AB968" t="str">
        <f>HYPERLINK("Melting_Curves/meltCurve_H3BM91_COMMD4.pdf", "Melting_Curves/meltCurve_H3BM91_COMMD4.pdf")</f>
        <v>Melting_Curves/meltCurve_H3BM91_COMMD4.pdf</v>
      </c>
    </row>
    <row r="969" spans="1:28" x14ac:dyDescent="0.25">
      <c r="A969" t="s">
        <v>973</v>
      </c>
      <c r="B969">
        <v>0.99252571173614901</v>
      </c>
      <c r="C969">
        <v>0.89922700167277902</v>
      </c>
      <c r="D969">
        <v>0.93563211347585695</v>
      </c>
      <c r="E969">
        <v>0.75015223510342499</v>
      </c>
      <c r="F969">
        <v>0.70501863392429998</v>
      </c>
      <c r="G969">
        <v>0.44080077649558103</v>
      </c>
      <c r="H969">
        <v>0.35491254623192697</v>
      </c>
      <c r="I969">
        <v>0.38898853628646402</v>
      </c>
      <c r="J969">
        <v>0.47851639618581399</v>
      </c>
      <c r="K969">
        <v>0.21375528863662499</v>
      </c>
      <c r="L969">
        <v>644.25526893870006</v>
      </c>
      <c r="M969">
        <v>12.1774331754188</v>
      </c>
      <c r="N969">
        <v>56.852609220333697</v>
      </c>
      <c r="O969">
        <v>51.5395899438277</v>
      </c>
      <c r="P969">
        <v>-4.2225247009838499E-2</v>
      </c>
      <c r="Q969">
        <v>0.28530866913555197</v>
      </c>
      <c r="R969">
        <v>0.92626230485095795</v>
      </c>
      <c r="S969" t="s">
        <v>7615</v>
      </c>
      <c r="T969" t="s">
        <v>13290</v>
      </c>
      <c r="U969" t="s">
        <v>13290</v>
      </c>
      <c r="V969" t="s">
        <v>13290</v>
      </c>
      <c r="W969" t="s">
        <v>14241</v>
      </c>
      <c r="X969">
        <v>4</v>
      </c>
      <c r="Y969" t="s">
        <v>20827</v>
      </c>
      <c r="Z969" t="s">
        <v>27299</v>
      </c>
      <c r="AA969">
        <v>0.61291758117163131</v>
      </c>
      <c r="AB969" t="str">
        <f>HYPERLINK("Melting_Curves/meltCurve_H3BMF4_SPNS1.pdf", "Melting_Curves/meltCurve_H3BMF4_SPNS1.pdf")</f>
        <v>Melting_Curves/meltCurve_H3BMF4_SPNS1.pdf</v>
      </c>
    </row>
    <row r="970" spans="1:28" x14ac:dyDescent="0.25">
      <c r="A970" t="s">
        <v>974</v>
      </c>
      <c r="B970">
        <v>0.99252571173614901</v>
      </c>
      <c r="C970">
        <v>0.82883665864090394</v>
      </c>
      <c r="D970">
        <v>0.86390706272950102</v>
      </c>
      <c r="E970">
        <v>0.47763340643232399</v>
      </c>
      <c r="F970">
        <v>0.23419761190107399</v>
      </c>
      <c r="G970">
        <v>0.15041314428282401</v>
      </c>
      <c r="H970">
        <v>0.11926202215265801</v>
      </c>
      <c r="I970">
        <v>0.121204876683525</v>
      </c>
      <c r="J970">
        <v>0.13998360272914001</v>
      </c>
      <c r="K970">
        <v>0.108937338176488</v>
      </c>
      <c r="L970">
        <v>1003.48770701276</v>
      </c>
      <c r="M970">
        <v>20.555168746590699</v>
      </c>
      <c r="N970">
        <v>49.424360819408498</v>
      </c>
      <c r="O970">
        <v>48.364224954323703</v>
      </c>
      <c r="P970">
        <v>-9.4434458381895903E-2</v>
      </c>
      <c r="Q970">
        <v>0.111247203668651</v>
      </c>
      <c r="R970">
        <v>0.98305065063163799</v>
      </c>
      <c r="S970" t="s">
        <v>7616</v>
      </c>
      <c r="T970" t="s">
        <v>13290</v>
      </c>
      <c r="U970" t="s">
        <v>13290</v>
      </c>
      <c r="V970" t="s">
        <v>13290</v>
      </c>
      <c r="W970" t="s">
        <v>13740</v>
      </c>
      <c r="X970">
        <v>4</v>
      </c>
      <c r="Z970" t="s">
        <v>27300</v>
      </c>
      <c r="AA970">
        <v>0.38430883777708991</v>
      </c>
      <c r="AB970" t="str">
        <f>HYPERLINK("Melting_Curves/meltCurve_H3BMM5_.pdf", "Melting_Curves/meltCurve_H3BMM5_.pdf")</f>
        <v>Melting_Curves/meltCurve_H3BMM5_.pdf</v>
      </c>
    </row>
    <row r="971" spans="1:28" x14ac:dyDescent="0.25">
      <c r="A971" t="s">
        <v>975</v>
      </c>
      <c r="B971">
        <v>0.99252571173614901</v>
      </c>
      <c r="C971">
        <v>0.92128768976499997</v>
      </c>
      <c r="D971">
        <v>0.833417859028737</v>
      </c>
      <c r="E971">
        <v>0.91369024460757098</v>
      </c>
      <c r="F971">
        <v>0.41839140670862102</v>
      </c>
      <c r="G971">
        <v>0.244447129943136</v>
      </c>
      <c r="H971">
        <v>0.23420073278374801</v>
      </c>
      <c r="I971">
        <v>0.33835283012774298</v>
      </c>
      <c r="J971">
        <v>0.50958628173579401</v>
      </c>
      <c r="K971">
        <v>0.73520463448138096</v>
      </c>
      <c r="L971">
        <v>4529.8733455710499</v>
      </c>
      <c r="M971">
        <v>89.572866184522994</v>
      </c>
      <c r="N971">
        <v>51.573564977118899</v>
      </c>
      <c r="O971">
        <v>50.546745614298302</v>
      </c>
      <c r="P971">
        <v>-0.26040430722575703</v>
      </c>
      <c r="Q971">
        <v>0.41220641087051302</v>
      </c>
      <c r="R971">
        <v>0.73241872803923702</v>
      </c>
      <c r="S971" t="s">
        <v>7617</v>
      </c>
      <c r="T971" t="s">
        <v>13290</v>
      </c>
      <c r="U971" t="s">
        <v>13290</v>
      </c>
      <c r="V971" t="s">
        <v>13290</v>
      </c>
      <c r="W971" t="s">
        <v>14242</v>
      </c>
      <c r="X971">
        <v>1</v>
      </c>
      <c r="Y971" t="s">
        <v>20828</v>
      </c>
      <c r="Z971" t="s">
        <v>27301</v>
      </c>
      <c r="AA971">
        <v>0.61975063217973825</v>
      </c>
      <c r="AB971" t="str">
        <f>HYPERLINK("Melting_Curves/meltCurve_H3BMN1_C1orf63.pdf", "Melting_Curves/meltCurve_H3BMN1_C1orf63.pdf")</f>
        <v>Melting_Curves/meltCurve_H3BMN1_C1orf63.pdf</v>
      </c>
    </row>
    <row r="972" spans="1:28" x14ac:dyDescent="0.25">
      <c r="A972" t="s">
        <v>976</v>
      </c>
      <c r="B972">
        <v>0.99252571173614901</v>
      </c>
      <c r="C972">
        <v>0.76600177769162003</v>
      </c>
      <c r="D972">
        <v>0.73436454767691295</v>
      </c>
      <c r="E972">
        <v>0.45104817403083902</v>
      </c>
      <c r="F972">
        <v>0.28200476359094301</v>
      </c>
      <c r="G972">
        <v>9.6663967297864903E-2</v>
      </c>
      <c r="H972">
        <v>0.13868676441729</v>
      </c>
      <c r="I972">
        <v>9.5557243745119605E-2</v>
      </c>
      <c r="J972">
        <v>3.9053748345650702E-2</v>
      </c>
      <c r="K972">
        <v>0.177142002997702</v>
      </c>
      <c r="L972">
        <v>686.13904972707303</v>
      </c>
      <c r="M972">
        <v>14.2620515477883</v>
      </c>
      <c r="N972">
        <v>48.6841079920396</v>
      </c>
      <c r="O972">
        <v>47.193227666677103</v>
      </c>
      <c r="P972">
        <v>-6.9706520044941198E-2</v>
      </c>
      <c r="Q972">
        <v>7.7476107413152001E-2</v>
      </c>
      <c r="R972">
        <v>0.97080152453346502</v>
      </c>
      <c r="S972" t="s">
        <v>7618</v>
      </c>
      <c r="T972" t="s">
        <v>13290</v>
      </c>
      <c r="U972" t="s">
        <v>13290</v>
      </c>
      <c r="V972" t="s">
        <v>13290</v>
      </c>
      <c r="W972" t="s">
        <v>14243</v>
      </c>
      <c r="X972">
        <v>2</v>
      </c>
      <c r="Y972" t="s">
        <v>20829</v>
      </c>
      <c r="Z972" t="s">
        <v>27302</v>
      </c>
      <c r="AA972">
        <v>0.35290666386086339</v>
      </c>
      <c r="AB972" t="str">
        <f>HYPERLINK("Melting_Curves/meltCurve_H3BMQ0_TSC2.pdf", "Melting_Curves/meltCurve_H3BMQ0_TSC2.pdf")</f>
        <v>Melting_Curves/meltCurve_H3BMQ0_TSC2.pdf</v>
      </c>
    </row>
    <row r="973" spans="1:28" x14ac:dyDescent="0.25">
      <c r="A973" t="s">
        <v>977</v>
      </c>
      <c r="B973">
        <v>0.99252571173614901</v>
      </c>
      <c r="C973">
        <v>1.0204716604514401</v>
      </c>
      <c r="D973">
        <v>0.97033111557651497</v>
      </c>
      <c r="E973">
        <v>0.81592920854794504</v>
      </c>
      <c r="F973">
        <v>0.73117323988914296</v>
      </c>
      <c r="G973">
        <v>0.50057546023519595</v>
      </c>
      <c r="H973">
        <v>0.36891336896732202</v>
      </c>
      <c r="I973">
        <v>0.33066214487305901</v>
      </c>
      <c r="J973">
        <v>0.42615122135878802</v>
      </c>
      <c r="K973">
        <v>0.35910553312385801</v>
      </c>
      <c r="L973">
        <v>977.559538558138</v>
      </c>
      <c r="M973">
        <v>18.334612655627701</v>
      </c>
      <c r="N973">
        <v>56.985092281428898</v>
      </c>
      <c r="O973">
        <v>52.695578793194002</v>
      </c>
      <c r="P973">
        <v>-5.6859102639263602E-2</v>
      </c>
      <c r="Q973">
        <v>0.34635421288020701</v>
      </c>
      <c r="R973">
        <v>0.98074249657733703</v>
      </c>
      <c r="S973" t="s">
        <v>7619</v>
      </c>
      <c r="T973" t="s">
        <v>13290</v>
      </c>
      <c r="U973" t="s">
        <v>13290</v>
      </c>
      <c r="V973" t="s">
        <v>13290</v>
      </c>
      <c r="W973" t="s">
        <v>14049</v>
      </c>
      <c r="X973">
        <v>6</v>
      </c>
      <c r="Z973" t="s">
        <v>27303</v>
      </c>
      <c r="AA973">
        <v>0.64685294394919368</v>
      </c>
      <c r="AB973" t="str">
        <f>HYPERLINK("Melting_Curves/meltCurve_H3BN98_.pdf", "Melting_Curves/meltCurve_H3BN98_.pdf")</f>
        <v>Melting_Curves/meltCurve_H3BN98_.pdf</v>
      </c>
    </row>
    <row r="974" spans="1:28" x14ac:dyDescent="0.25">
      <c r="A974" t="s">
        <v>978</v>
      </c>
      <c r="B974">
        <v>0.99252571173614901</v>
      </c>
      <c r="C974">
        <v>1.0259947832469201</v>
      </c>
      <c r="D974">
        <v>1.0865405592254</v>
      </c>
      <c r="E974">
        <v>0.69912115381300899</v>
      </c>
      <c r="F974">
        <v>0.45867272528264302</v>
      </c>
      <c r="G974">
        <v>0.31173412851190602</v>
      </c>
      <c r="H974">
        <v>0.32311388158413701</v>
      </c>
      <c r="I974">
        <v>0.38309074427130502</v>
      </c>
      <c r="J974">
        <v>0.537133465778597</v>
      </c>
      <c r="K974">
        <v>0.76032576114856798</v>
      </c>
      <c r="L974">
        <v>12388.116189251199</v>
      </c>
      <c r="M974">
        <v>250</v>
      </c>
      <c r="N974">
        <v>50.070425940314898</v>
      </c>
      <c r="O974">
        <v>49.5492949801611</v>
      </c>
      <c r="P974">
        <v>-0.67818182373622005</v>
      </c>
      <c r="Q974">
        <v>0.462345114460883</v>
      </c>
      <c r="R974">
        <v>0.81248240585468501</v>
      </c>
      <c r="S974" t="s">
        <v>7620</v>
      </c>
      <c r="T974" t="s">
        <v>13290</v>
      </c>
      <c r="U974" t="s">
        <v>13290</v>
      </c>
      <c r="V974" t="s">
        <v>13290</v>
      </c>
      <c r="W974" t="s">
        <v>14244</v>
      </c>
      <c r="X974">
        <v>3</v>
      </c>
      <c r="Y974" t="s">
        <v>20830</v>
      </c>
      <c r="Z974" t="s">
        <v>27304</v>
      </c>
      <c r="AA974">
        <v>0.63358951582666834</v>
      </c>
      <c r="AB974" t="str">
        <f>HYPERLINK("Melting_Curves/meltCurve_H3BNT4_MPHOSPH6.pdf", "Melting_Curves/meltCurve_H3BNT4_MPHOSPH6.pdf")</f>
        <v>Melting_Curves/meltCurve_H3BNT4_MPHOSPH6.pdf</v>
      </c>
    </row>
    <row r="975" spans="1:28" x14ac:dyDescent="0.25">
      <c r="A975" t="s">
        <v>979</v>
      </c>
      <c r="B975">
        <v>0.99252571173614901</v>
      </c>
      <c r="C975">
        <v>0.91748325225828797</v>
      </c>
      <c r="D975">
        <v>0.87099140461659597</v>
      </c>
      <c r="E975">
        <v>0.49599259761145598</v>
      </c>
      <c r="F975">
        <v>0.23897146183015799</v>
      </c>
      <c r="G975">
        <v>0.13371943105672801</v>
      </c>
      <c r="H975">
        <v>7.5086999414181399E-2</v>
      </c>
      <c r="I975">
        <v>0.10531398412507</v>
      </c>
      <c r="J975">
        <v>8.9040605634971307E-2</v>
      </c>
      <c r="K975">
        <v>8.5828240069087597E-2</v>
      </c>
      <c r="L975">
        <v>1093.8461221589901</v>
      </c>
      <c r="M975">
        <v>22.2031524672283</v>
      </c>
      <c r="N975">
        <v>49.679329077835298</v>
      </c>
      <c r="O975">
        <v>48.870935992317101</v>
      </c>
      <c r="P975">
        <v>-0.103990317733707</v>
      </c>
      <c r="Q975">
        <v>8.4455206317924095E-2</v>
      </c>
      <c r="R975">
        <v>0.99684587827615201</v>
      </c>
      <c r="S975" t="s">
        <v>7621</v>
      </c>
      <c r="T975" t="s">
        <v>13290</v>
      </c>
      <c r="U975" t="s">
        <v>13290</v>
      </c>
      <c r="V975" t="s">
        <v>13290</v>
      </c>
      <c r="W975" t="s">
        <v>14245</v>
      </c>
      <c r="X975">
        <v>1</v>
      </c>
      <c r="Y975" t="s">
        <v>20831</v>
      </c>
      <c r="Z975" t="s">
        <v>27305</v>
      </c>
      <c r="AA975">
        <v>0.37757335776651002</v>
      </c>
      <c r="AB975" t="str">
        <f>HYPERLINK("Melting_Curves/meltCurve_H3BP13_TRAPPC2L.pdf", "Melting_Curves/meltCurve_H3BP13_TRAPPC2L.pdf")</f>
        <v>Melting_Curves/meltCurve_H3BP13_TRAPPC2L.pdf</v>
      </c>
    </row>
    <row r="976" spans="1:28" x14ac:dyDescent="0.25">
      <c r="A976" t="s">
        <v>980</v>
      </c>
      <c r="B976">
        <v>0.99252571173614901</v>
      </c>
      <c r="C976">
        <v>0.99193589350096301</v>
      </c>
      <c r="D976">
        <v>0.97784396633145598</v>
      </c>
      <c r="E976">
        <v>0.90432491523762104</v>
      </c>
      <c r="F976">
        <v>0.73497083601731505</v>
      </c>
      <c r="G976">
        <v>0.47738127240804101</v>
      </c>
      <c r="H976">
        <v>0.205679422020939</v>
      </c>
      <c r="I976">
        <v>0.128032428327501</v>
      </c>
      <c r="J976">
        <v>0.14053150573185699</v>
      </c>
      <c r="K976">
        <v>0.12805624085245501</v>
      </c>
      <c r="L976">
        <v>1112.26420419895</v>
      </c>
      <c r="M976">
        <v>20.018285540548401</v>
      </c>
      <c r="N976">
        <v>56.156592730126697</v>
      </c>
      <c r="O976">
        <v>55.016856900687699</v>
      </c>
      <c r="P976">
        <v>-8.22853104599129E-2</v>
      </c>
      <c r="Q976">
        <v>9.5440590678839005E-2</v>
      </c>
      <c r="R976">
        <v>0.99752897884265901</v>
      </c>
      <c r="S976" t="s">
        <v>7622</v>
      </c>
      <c r="T976" t="s">
        <v>13290</v>
      </c>
      <c r="U976" t="s">
        <v>13290</v>
      </c>
      <c r="V976" t="s">
        <v>13290</v>
      </c>
      <c r="W976" t="s">
        <v>14246</v>
      </c>
      <c r="X976">
        <v>20</v>
      </c>
      <c r="Y976" t="s">
        <v>20832</v>
      </c>
      <c r="Z976" t="s">
        <v>27306</v>
      </c>
      <c r="AA976">
        <v>0.57650635404007422</v>
      </c>
      <c r="AB976" t="str">
        <f>HYPERLINK("Melting_Curves/meltCurve_H3BP20_HEXA.pdf", "Melting_Curves/meltCurve_H3BP20_HEXA.pdf")</f>
        <v>Melting_Curves/meltCurve_H3BP20_HEXA.pdf</v>
      </c>
    </row>
    <row r="977" spans="1:28" x14ac:dyDescent="0.25">
      <c r="A977" t="s">
        <v>981</v>
      </c>
      <c r="B977">
        <v>0.99252571173614901</v>
      </c>
      <c r="C977">
        <v>1.04107926835757</v>
      </c>
      <c r="D977">
        <v>0.93094235448000195</v>
      </c>
      <c r="E977">
        <v>0.819910776804194</v>
      </c>
      <c r="F977">
        <v>0.64930080546941804</v>
      </c>
      <c r="G977">
        <v>0.51262420466064196</v>
      </c>
      <c r="H977">
        <v>0.32376517285878198</v>
      </c>
      <c r="I977">
        <v>0.162864845064845</v>
      </c>
      <c r="J977">
        <v>0.14791532670329199</v>
      </c>
      <c r="K977">
        <v>0.12820632222388101</v>
      </c>
      <c r="L977">
        <v>677.87139870339399</v>
      </c>
      <c r="M977">
        <v>12.072105581674601</v>
      </c>
      <c r="N977">
        <v>56.430152738878697</v>
      </c>
      <c r="O977">
        <v>54.677676129500199</v>
      </c>
      <c r="P977">
        <v>-5.3614347480360799E-2</v>
      </c>
      <c r="Q977">
        <v>2.88961624774575E-2</v>
      </c>
      <c r="R977">
        <v>0.99281845659847801</v>
      </c>
      <c r="S977" t="s">
        <v>7623</v>
      </c>
      <c r="T977" t="s">
        <v>13290</v>
      </c>
      <c r="U977" t="s">
        <v>13290</v>
      </c>
      <c r="V977" t="s">
        <v>13290</v>
      </c>
      <c r="W977" t="s">
        <v>14247</v>
      </c>
      <c r="X977">
        <v>14</v>
      </c>
      <c r="Y977" t="s">
        <v>20833</v>
      </c>
      <c r="Z977" t="s">
        <v>27307</v>
      </c>
      <c r="AA977">
        <v>0.57099894906550952</v>
      </c>
      <c r="AB977" t="str">
        <f>HYPERLINK("Melting_Curves/meltCurve_H3BP28_COQ7.pdf", "Melting_Curves/meltCurve_H3BP28_COQ7.pdf")</f>
        <v>Melting_Curves/meltCurve_H3BP28_COQ7.pdf</v>
      </c>
    </row>
    <row r="978" spans="1:28" x14ac:dyDescent="0.25">
      <c r="A978" t="s">
        <v>982</v>
      </c>
      <c r="B978">
        <v>0.99252571173614901</v>
      </c>
      <c r="C978">
        <v>1.02403501905646</v>
      </c>
      <c r="D978">
        <v>0.97813783274986099</v>
      </c>
      <c r="E978">
        <v>0.91880658616432298</v>
      </c>
      <c r="F978">
        <v>0.62653245209195996</v>
      </c>
      <c r="G978">
        <v>0.39985425165778898</v>
      </c>
      <c r="H978">
        <v>0.20569393695661201</v>
      </c>
      <c r="I978">
        <v>0.13837642970748501</v>
      </c>
      <c r="J978">
        <v>9.4906963202026101E-2</v>
      </c>
      <c r="K978">
        <v>8.1170630457121598E-2</v>
      </c>
      <c r="L978">
        <v>1030.8473216662201</v>
      </c>
      <c r="M978">
        <v>18.826994631671202</v>
      </c>
      <c r="N978">
        <v>55.223822899346899</v>
      </c>
      <c r="O978">
        <v>54.147158761637201</v>
      </c>
      <c r="P978">
        <v>-8.0491878436041997E-2</v>
      </c>
      <c r="Q978">
        <v>7.4047166206129403E-2</v>
      </c>
      <c r="R978">
        <v>0.99753378797491798</v>
      </c>
      <c r="S978" t="s">
        <v>7624</v>
      </c>
      <c r="T978" t="s">
        <v>13290</v>
      </c>
      <c r="U978" t="s">
        <v>13290</v>
      </c>
      <c r="V978" t="s">
        <v>13290</v>
      </c>
      <c r="W978" t="s">
        <v>14248</v>
      </c>
      <c r="X978">
        <v>3</v>
      </c>
      <c r="Y978" t="s">
        <v>20834</v>
      </c>
      <c r="Z978" t="s">
        <v>27308</v>
      </c>
      <c r="AA978">
        <v>0.54299132509143722</v>
      </c>
      <c r="AB978" t="str">
        <f>HYPERLINK("Melting_Curves/meltCurve_H3BP77_TK2.pdf", "Melting_Curves/meltCurve_H3BP77_TK2.pdf")</f>
        <v>Melting_Curves/meltCurve_H3BP77_TK2.pdf</v>
      </c>
    </row>
    <row r="979" spans="1:28" x14ac:dyDescent="0.25">
      <c r="A979" t="s">
        <v>983</v>
      </c>
      <c r="B979">
        <v>0.99252571173614901</v>
      </c>
      <c r="C979">
        <v>0.89661227793425902</v>
      </c>
      <c r="D979">
        <v>0.70871048896111</v>
      </c>
      <c r="E979">
        <v>0.31567419525923202</v>
      </c>
      <c r="F979">
        <v>0.20176423629148299</v>
      </c>
      <c r="G979">
        <v>0.118946776779126</v>
      </c>
      <c r="H979">
        <v>0.104265248508155</v>
      </c>
      <c r="I979">
        <v>0.123679162137889</v>
      </c>
      <c r="J979">
        <v>0.12567909538644301</v>
      </c>
      <c r="K979">
        <v>0.12973290593377201</v>
      </c>
      <c r="L979">
        <v>1095.36473984857</v>
      </c>
      <c r="M979">
        <v>23.202950421975199</v>
      </c>
      <c r="N979">
        <v>47.761411444591701</v>
      </c>
      <c r="O979">
        <v>46.861533242073897</v>
      </c>
      <c r="P979">
        <v>-0.109195725589493</v>
      </c>
      <c r="Q979">
        <v>0.11787311648986</v>
      </c>
      <c r="R979">
        <v>0.99752924825866496</v>
      </c>
      <c r="S979" t="s">
        <v>7625</v>
      </c>
      <c r="T979" t="s">
        <v>13290</v>
      </c>
      <c r="U979" t="s">
        <v>13290</v>
      </c>
      <c r="V979" t="s">
        <v>13290</v>
      </c>
      <c r="W979" t="s">
        <v>14249</v>
      </c>
      <c r="X979">
        <v>61</v>
      </c>
      <c r="Y979" t="s">
        <v>20835</v>
      </c>
      <c r="Z979" t="s">
        <v>27309</v>
      </c>
      <c r="AA979">
        <v>0.33906113512808977</v>
      </c>
      <c r="AB979" t="str">
        <f>HYPERLINK("Melting_Curves/meltCurve_H3BPE1_MACF1.pdf", "Melting_Curves/meltCurve_H3BPE1_MACF1.pdf")</f>
        <v>Melting_Curves/meltCurve_H3BPE1_MACF1.pdf</v>
      </c>
    </row>
    <row r="980" spans="1:28" x14ac:dyDescent="0.25">
      <c r="A980" t="s">
        <v>984</v>
      </c>
      <c r="B980">
        <v>0.99252571173614901</v>
      </c>
      <c r="C980">
        <v>0.945535683696202</v>
      </c>
      <c r="D980">
        <v>0.69269419014935296</v>
      </c>
      <c r="E980">
        <v>0.314107159796155</v>
      </c>
      <c r="F980">
        <v>0.172571425005563</v>
      </c>
      <c r="G980">
        <v>0.108683064642635</v>
      </c>
      <c r="H980">
        <v>5.6830072802915903E-2</v>
      </c>
      <c r="I980">
        <v>6.8793917629308907E-2</v>
      </c>
      <c r="J980">
        <v>7.7613634718570801E-2</v>
      </c>
      <c r="K980">
        <v>0.120226558125161</v>
      </c>
      <c r="L980">
        <v>1122.2992642065101</v>
      </c>
      <c r="M980">
        <v>23.683407408554999</v>
      </c>
      <c r="N980">
        <v>47.761270512327101</v>
      </c>
      <c r="O980">
        <v>47.053600944875797</v>
      </c>
      <c r="P980">
        <v>-0.115191366806132</v>
      </c>
      <c r="Q980">
        <v>8.4577962166722503E-2</v>
      </c>
      <c r="R980">
        <v>0.99710606017511005</v>
      </c>
      <c r="S980" t="s">
        <v>7626</v>
      </c>
      <c r="T980" t="s">
        <v>13290</v>
      </c>
      <c r="U980" t="s">
        <v>13290</v>
      </c>
      <c r="V980" t="s">
        <v>13290</v>
      </c>
      <c r="W980" t="s">
        <v>14250</v>
      </c>
      <c r="X980">
        <v>5</v>
      </c>
      <c r="Y980" t="s">
        <v>20836</v>
      </c>
      <c r="Z980" t="s">
        <v>27310</v>
      </c>
      <c r="AA980">
        <v>0.31914217526508393</v>
      </c>
      <c r="AB980" t="str">
        <f>HYPERLINK("Melting_Curves/meltCurve_H3BPJ7_TCF4.pdf", "Melting_Curves/meltCurve_H3BPJ7_TCF4.pdf")</f>
        <v>Melting_Curves/meltCurve_H3BPJ7_TCF4.pdf</v>
      </c>
    </row>
    <row r="981" spans="1:28" x14ac:dyDescent="0.25">
      <c r="A981" t="s">
        <v>985</v>
      </c>
      <c r="B981">
        <v>0.99252571173614901</v>
      </c>
      <c r="C981">
        <v>0.95720630674088703</v>
      </c>
      <c r="D981">
        <v>0.86564036144992096</v>
      </c>
      <c r="E981">
        <v>0.662580599602273</v>
      </c>
      <c r="F981">
        <v>0.63645894874888898</v>
      </c>
      <c r="G981">
        <v>0.48185388820661601</v>
      </c>
      <c r="H981">
        <v>0.45029644211189301</v>
      </c>
      <c r="I981">
        <v>0.52668342419883696</v>
      </c>
      <c r="J981">
        <v>0.78144794251752003</v>
      </c>
      <c r="K981">
        <v>0.65819903148491998</v>
      </c>
      <c r="L981">
        <v>1325.89297561883</v>
      </c>
      <c r="M981">
        <v>28.154803784698299</v>
      </c>
      <c r="O981">
        <v>46.857298686069797</v>
      </c>
      <c r="P981">
        <v>-6.2271860555124299E-2</v>
      </c>
      <c r="Q981">
        <v>0.58545377931614595</v>
      </c>
      <c r="R981">
        <v>0.76367947258930802</v>
      </c>
      <c r="S981" t="s">
        <v>7627</v>
      </c>
      <c r="T981" t="s">
        <v>13290</v>
      </c>
      <c r="U981" t="s">
        <v>13290</v>
      </c>
      <c r="V981" t="s">
        <v>13290</v>
      </c>
      <c r="W981" t="s">
        <v>14251</v>
      </c>
      <c r="X981">
        <v>2</v>
      </c>
      <c r="Y981" t="s">
        <v>20837</v>
      </c>
      <c r="Z981" t="s">
        <v>27311</v>
      </c>
      <c r="AA981">
        <v>0.68631635835919103</v>
      </c>
      <c r="AB981" t="str">
        <f>HYPERLINK("Melting_Curves/meltCurve_H3BPL0_CLN3.pdf", "Melting_Curves/meltCurve_H3BPL0_CLN3.pdf")</f>
        <v>Melting_Curves/meltCurve_H3BPL0_CLN3.pdf</v>
      </c>
    </row>
    <row r="982" spans="1:28" x14ac:dyDescent="0.25">
      <c r="A982" t="s">
        <v>986</v>
      </c>
      <c r="B982">
        <v>0.99252571173614901</v>
      </c>
      <c r="C982">
        <v>0.96637373687611094</v>
      </c>
      <c r="D982">
        <v>0.79301911993887597</v>
      </c>
      <c r="E982">
        <v>1.04465666173021</v>
      </c>
      <c r="F982">
        <v>0.498971725905832</v>
      </c>
      <c r="G982">
        <v>0.32945808495646001</v>
      </c>
      <c r="H982">
        <v>0.31397209459109698</v>
      </c>
      <c r="I982">
        <v>0.46529451953218698</v>
      </c>
      <c r="J982">
        <v>0.226721681959307</v>
      </c>
      <c r="K982">
        <v>0.136272758317974</v>
      </c>
      <c r="L982">
        <v>12540.879424569401</v>
      </c>
      <c r="M982">
        <v>236.626286388529</v>
      </c>
      <c r="N982">
        <v>53.1983917521639</v>
      </c>
      <c r="O982">
        <v>52.994888299321602</v>
      </c>
      <c r="P982">
        <v>-0.78770240935414504</v>
      </c>
      <c r="Q982">
        <v>0.29434380605506</v>
      </c>
      <c r="R982">
        <v>0.89918218378871295</v>
      </c>
      <c r="S982" t="s">
        <v>7628</v>
      </c>
      <c r="T982" t="s">
        <v>13290</v>
      </c>
      <c r="U982" t="s">
        <v>13290</v>
      </c>
      <c r="V982" t="s">
        <v>13290</v>
      </c>
      <c r="W982" t="s">
        <v>14252</v>
      </c>
      <c r="X982">
        <v>29</v>
      </c>
      <c r="Y982" t="s">
        <v>20838</v>
      </c>
      <c r="Z982" t="s">
        <v>27312</v>
      </c>
      <c r="AA982">
        <v>0.6001702330115416</v>
      </c>
      <c r="AB982" t="str">
        <f>HYPERLINK("Melting_Curves/meltCurve_H3BPS8_ALDOA.pdf", "Melting_Curves/meltCurve_H3BPS8_ALDOA.pdf")</f>
        <v>Melting_Curves/meltCurve_H3BPS8_ALDOA.pdf</v>
      </c>
    </row>
    <row r="983" spans="1:28" x14ac:dyDescent="0.25">
      <c r="A983" t="s">
        <v>987</v>
      </c>
      <c r="B983">
        <v>0.99252571173614901</v>
      </c>
      <c r="C983">
        <v>0.90324894785976395</v>
      </c>
      <c r="D983">
        <v>0.78647162526133796</v>
      </c>
      <c r="E983">
        <v>0.62342812002189696</v>
      </c>
      <c r="F983">
        <v>0.568697189606163</v>
      </c>
      <c r="G983">
        <v>0.54856120038840095</v>
      </c>
      <c r="H983">
        <v>0.62724877989051198</v>
      </c>
      <c r="I983">
        <v>0.98639306644221303</v>
      </c>
      <c r="J983">
        <v>1.6218483946229401</v>
      </c>
      <c r="K983">
        <v>1.6729642574415799</v>
      </c>
      <c r="L983">
        <v>15000</v>
      </c>
      <c r="M983">
        <v>229.89752734370001</v>
      </c>
      <c r="O983">
        <v>65.241524667883496</v>
      </c>
      <c r="P983">
        <v>0.44047394147996</v>
      </c>
      <c r="Q983">
        <v>1.5</v>
      </c>
      <c r="R983">
        <v>0.49302412409350299</v>
      </c>
      <c r="S983" t="s">
        <v>7629</v>
      </c>
      <c r="T983" t="s">
        <v>13290</v>
      </c>
      <c r="U983" t="s">
        <v>13290</v>
      </c>
      <c r="V983" t="s">
        <v>13290</v>
      </c>
      <c r="W983" t="s">
        <v>14253</v>
      </c>
      <c r="X983">
        <v>3</v>
      </c>
      <c r="Y983" t="s">
        <v>20839</v>
      </c>
      <c r="Z983" t="s">
        <v>27313</v>
      </c>
      <c r="AA983">
        <v>1.0791579483522351</v>
      </c>
      <c r="AB983" t="str">
        <f>HYPERLINK("Melting_Curves/meltCurve_H3BQA0_SNAPC5.pdf", "Melting_Curves/meltCurve_H3BQA0_SNAPC5.pdf")</f>
        <v>Melting_Curves/meltCurve_H3BQA0_SNAPC5.pdf</v>
      </c>
    </row>
    <row r="984" spans="1:28" x14ac:dyDescent="0.25">
      <c r="A984" t="s">
        <v>988</v>
      </c>
      <c r="B984">
        <v>0.99252571173614901</v>
      </c>
      <c r="C984">
        <v>1.0092372543105099</v>
      </c>
      <c r="D984">
        <v>1.0072209461100301</v>
      </c>
      <c r="E984">
        <v>0.90472723359644103</v>
      </c>
      <c r="F984">
        <v>0.68787219606827399</v>
      </c>
      <c r="G984">
        <v>0.389567736145285</v>
      </c>
      <c r="H984">
        <v>0.35093276975842602</v>
      </c>
      <c r="I984">
        <v>0.50173000145444102</v>
      </c>
      <c r="J984">
        <v>0.90540441385609305</v>
      </c>
      <c r="K984">
        <v>0.853233486343837</v>
      </c>
      <c r="L984">
        <v>2398.37806396002</v>
      </c>
      <c r="M984">
        <v>47.049012434670701</v>
      </c>
      <c r="O984">
        <v>50.884330170887097</v>
      </c>
      <c r="P984">
        <v>-9.1217831094818097E-2</v>
      </c>
      <c r="Q984">
        <v>0.60538575379431003</v>
      </c>
      <c r="R984">
        <v>0.54263987815997605</v>
      </c>
      <c r="S984" t="s">
        <v>7630</v>
      </c>
      <c r="T984" t="s">
        <v>13290</v>
      </c>
      <c r="U984" t="s">
        <v>13290</v>
      </c>
      <c r="V984" t="s">
        <v>13290</v>
      </c>
      <c r="W984" t="s">
        <v>14254</v>
      </c>
      <c r="X984">
        <v>1</v>
      </c>
      <c r="Y984" t="s">
        <v>20840</v>
      </c>
      <c r="Z984" t="s">
        <v>27314</v>
      </c>
      <c r="AA984">
        <v>0.75076687380831819</v>
      </c>
      <c r="AB984" t="str">
        <f>HYPERLINK("Melting_Curves/meltCurve_H3BQA7_OBSCN.pdf", "Melting_Curves/meltCurve_H3BQA7_OBSCN.pdf")</f>
        <v>Melting_Curves/meltCurve_H3BQA7_OBSCN.pdf</v>
      </c>
    </row>
    <row r="985" spans="1:28" x14ac:dyDescent="0.25">
      <c r="A985" t="s">
        <v>989</v>
      </c>
      <c r="B985">
        <v>0.99252571173614901</v>
      </c>
      <c r="C985">
        <v>0.833651787774353</v>
      </c>
      <c r="D985">
        <v>0.88483349287909896</v>
      </c>
      <c r="E985">
        <v>0.71493877255628602</v>
      </c>
      <c r="F985">
        <v>0.28907770758950602</v>
      </c>
      <c r="G985">
        <v>0.12474757797482799</v>
      </c>
      <c r="H985">
        <v>7.3483791796084302E-2</v>
      </c>
      <c r="I985">
        <v>5.9511644094411703E-2</v>
      </c>
      <c r="J985">
        <v>6.7566080466312101E-2</v>
      </c>
      <c r="K985">
        <v>6.3865700846063106E-2</v>
      </c>
      <c r="L985">
        <v>1105.0838827913001</v>
      </c>
      <c r="M985">
        <v>21.693721786028199</v>
      </c>
      <c r="N985">
        <v>51.183782838590297</v>
      </c>
      <c r="O985">
        <v>50.513331974609599</v>
      </c>
      <c r="P985">
        <v>-0.102104255909336</v>
      </c>
      <c r="Q985">
        <v>4.9032795965939201E-2</v>
      </c>
      <c r="R985">
        <v>0.98000595677739299</v>
      </c>
      <c r="S985" t="s">
        <v>7631</v>
      </c>
      <c r="T985" t="s">
        <v>13290</v>
      </c>
      <c r="U985" t="s">
        <v>13290</v>
      </c>
      <c r="V985" t="s">
        <v>13290</v>
      </c>
      <c r="W985" t="s">
        <v>14255</v>
      </c>
      <c r="X985">
        <v>9</v>
      </c>
      <c r="Y985" t="s">
        <v>20841</v>
      </c>
      <c r="Z985" t="s">
        <v>27315</v>
      </c>
      <c r="AA985">
        <v>0.40714224289385192</v>
      </c>
      <c r="AB985" t="str">
        <f>HYPERLINK("Melting_Curves/meltCurve_H3BQQ9_UBE2I.pdf", "Melting_Curves/meltCurve_H3BQQ9_UBE2I.pdf")</f>
        <v>Melting_Curves/meltCurve_H3BQQ9_UBE2I.pdf</v>
      </c>
    </row>
    <row r="986" spans="1:28" x14ac:dyDescent="0.25">
      <c r="A986" t="s">
        <v>990</v>
      </c>
      <c r="B986">
        <v>0.99252571173614901</v>
      </c>
      <c r="C986">
        <v>0.92268648197802705</v>
      </c>
      <c r="D986">
        <v>0.84333427152379903</v>
      </c>
      <c r="E986">
        <v>0.77683946959335304</v>
      </c>
      <c r="F986">
        <v>0.56061892698872795</v>
      </c>
      <c r="G986">
        <v>0.54561391865693099</v>
      </c>
      <c r="H986">
        <v>0.37979928966041998</v>
      </c>
      <c r="I986">
        <v>0.30738474010314398</v>
      </c>
      <c r="J986">
        <v>0.385123539843718</v>
      </c>
      <c r="K986">
        <v>0.33673894686731498</v>
      </c>
      <c r="L986">
        <v>576.96560371544297</v>
      </c>
      <c r="M986">
        <v>11.085565191116601</v>
      </c>
      <c r="N986">
        <v>56.396011185297603</v>
      </c>
      <c r="O986">
        <v>50.439017106790999</v>
      </c>
      <c r="P986">
        <v>-3.9169732685334899E-2</v>
      </c>
      <c r="Q986">
        <v>0.28734884726357002</v>
      </c>
      <c r="R986">
        <v>0.97745451251620896</v>
      </c>
      <c r="S986" t="s">
        <v>7632</v>
      </c>
      <c r="T986" t="s">
        <v>13290</v>
      </c>
      <c r="U986" t="s">
        <v>13290</v>
      </c>
      <c r="V986" t="s">
        <v>13290</v>
      </c>
      <c r="W986" t="s">
        <v>14256</v>
      </c>
      <c r="X986">
        <v>1</v>
      </c>
      <c r="Y986" t="s">
        <v>20842</v>
      </c>
      <c r="Z986" t="s">
        <v>27316</v>
      </c>
      <c r="AA986">
        <v>0.59748690634594037</v>
      </c>
      <c r="AB986" t="str">
        <f>HYPERLINK("Melting_Curves/meltCurve_H3BQT8_TMEM170A.pdf", "Melting_Curves/meltCurve_H3BQT8_TMEM170A.pdf")</f>
        <v>Melting_Curves/meltCurve_H3BQT8_TMEM170A.pdf</v>
      </c>
    </row>
    <row r="987" spans="1:28" x14ac:dyDescent="0.25">
      <c r="A987" t="s">
        <v>991</v>
      </c>
      <c r="B987">
        <v>0.99252571173614901</v>
      </c>
      <c r="C987">
        <v>1.00066805025061</v>
      </c>
      <c r="D987">
        <v>0.87677763802771702</v>
      </c>
      <c r="E987">
        <v>0.757963774117139</v>
      </c>
      <c r="F987">
        <v>0.53009860595333302</v>
      </c>
      <c r="G987">
        <v>0.28745069012130098</v>
      </c>
      <c r="H987">
        <v>0.242967903796666</v>
      </c>
      <c r="I987">
        <v>0.136202358717674</v>
      </c>
      <c r="J987">
        <v>0.27166521342682298</v>
      </c>
      <c r="K987">
        <v>0.12843494938854699</v>
      </c>
      <c r="L987">
        <v>880.96081536264899</v>
      </c>
      <c r="M987">
        <v>16.9135615528802</v>
      </c>
      <c r="N987">
        <v>53.280059448137699</v>
      </c>
      <c r="O987">
        <v>51.374300835992301</v>
      </c>
      <c r="P987">
        <v>-6.9327267481018903E-2</v>
      </c>
      <c r="Q987">
        <v>0.157737517815117</v>
      </c>
      <c r="R987">
        <v>0.98367479414088999</v>
      </c>
      <c r="S987" t="s">
        <v>7633</v>
      </c>
      <c r="T987" t="s">
        <v>13290</v>
      </c>
      <c r="U987" t="s">
        <v>13290</v>
      </c>
      <c r="V987" t="s">
        <v>13290</v>
      </c>
      <c r="W987" t="s">
        <v>14257</v>
      </c>
      <c r="X987">
        <v>2</v>
      </c>
      <c r="Y987" t="s">
        <v>20843</v>
      </c>
      <c r="Z987" t="s">
        <v>27317</v>
      </c>
      <c r="AA987">
        <v>0.51259013819037336</v>
      </c>
      <c r="AB987" t="str">
        <f>HYPERLINK("Melting_Curves/meltCurve_H3BQV3_COG8.pdf", "Melting_Curves/meltCurve_H3BQV3_COG8.pdf")</f>
        <v>Melting_Curves/meltCurve_H3BQV3_COG8.pdf</v>
      </c>
    </row>
    <row r="988" spans="1:28" x14ac:dyDescent="0.25">
      <c r="A988" t="s">
        <v>992</v>
      </c>
      <c r="B988">
        <v>0.99252571173614901</v>
      </c>
      <c r="C988">
        <v>1.13975117905715</v>
      </c>
      <c r="D988">
        <v>1.10498773572669</v>
      </c>
      <c r="E988">
        <v>1.22555216464983</v>
      </c>
      <c r="F988">
        <v>0.76866651258115104</v>
      </c>
      <c r="G988">
        <v>0.413286422706169</v>
      </c>
      <c r="H988">
        <v>0.29902135404243901</v>
      </c>
      <c r="I988">
        <v>0.29319936155446702</v>
      </c>
      <c r="J988">
        <v>0.49243285796367697</v>
      </c>
      <c r="K988">
        <v>0.45777643860519401</v>
      </c>
      <c r="L988">
        <v>8550.1147632371503</v>
      </c>
      <c r="M988">
        <v>160.226573717387</v>
      </c>
      <c r="N988">
        <v>53.8752366190012</v>
      </c>
      <c r="O988">
        <v>53.354339050647802</v>
      </c>
      <c r="P988">
        <v>-0.45711541398404498</v>
      </c>
      <c r="Q988">
        <v>0.39113494117754699</v>
      </c>
      <c r="R988">
        <v>0.90675264694127999</v>
      </c>
      <c r="S988" t="s">
        <v>7634</v>
      </c>
      <c r="T988" t="s">
        <v>13290</v>
      </c>
      <c r="U988" t="s">
        <v>13290</v>
      </c>
      <c r="V988" t="s">
        <v>13290</v>
      </c>
      <c r="W988" t="s">
        <v>14258</v>
      </c>
      <c r="X988">
        <v>19</v>
      </c>
      <c r="Y988" t="s">
        <v>20598</v>
      </c>
      <c r="Z988" t="s">
        <v>27318</v>
      </c>
      <c r="AA988">
        <v>0.66247551551333217</v>
      </c>
      <c r="AB988" t="str">
        <f>HYPERLINK("Melting_Curves/meltCurve_H3BR01_SPINT1.pdf", "Melting_Curves/meltCurve_H3BR01_SPINT1.pdf")</f>
        <v>Melting_Curves/meltCurve_H3BR01_SPINT1.pdf</v>
      </c>
    </row>
    <row r="989" spans="1:28" x14ac:dyDescent="0.25">
      <c r="A989" t="s">
        <v>993</v>
      </c>
      <c r="B989">
        <v>0.99252571173614901</v>
      </c>
      <c r="C989">
        <v>0.95326133847786498</v>
      </c>
      <c r="D989">
        <v>1.1143601503689</v>
      </c>
      <c r="E989">
        <v>0.84331770545245099</v>
      </c>
      <c r="F989">
        <v>0.871812859310657</v>
      </c>
      <c r="G989">
        <v>0.66969275077111401</v>
      </c>
      <c r="H989">
        <v>0.614398452306954</v>
      </c>
      <c r="I989">
        <v>0.53400307441185602</v>
      </c>
      <c r="J989">
        <v>0.38514398767269498</v>
      </c>
      <c r="K989">
        <v>0.14762588512130301</v>
      </c>
      <c r="L989">
        <v>629.33684207473004</v>
      </c>
      <c r="M989">
        <v>10.021771512313199</v>
      </c>
      <c r="N989">
        <v>62.796986188878897</v>
      </c>
      <c r="O989">
        <v>60.450260192633998</v>
      </c>
      <c r="P989">
        <v>-4.1466346166294001E-2</v>
      </c>
      <c r="Q989">
        <v>0</v>
      </c>
      <c r="R989">
        <v>0.929315589285726</v>
      </c>
      <c r="S989" t="s">
        <v>7635</v>
      </c>
      <c r="T989" t="s">
        <v>13290</v>
      </c>
      <c r="U989" t="s">
        <v>13290</v>
      </c>
      <c r="V989" t="s">
        <v>13290</v>
      </c>
      <c r="W989" t="s">
        <v>14259</v>
      </c>
      <c r="X989">
        <v>4</v>
      </c>
      <c r="Y989" t="s">
        <v>20844</v>
      </c>
      <c r="Z989" t="s">
        <v>27319</v>
      </c>
      <c r="AA989">
        <v>0.73093230544745169</v>
      </c>
      <c r="AB989" t="str">
        <f>HYPERLINK("Melting_Curves/meltCurve_H3BR94_DCTN5.pdf", "Melting_Curves/meltCurve_H3BR94_DCTN5.pdf")</f>
        <v>Melting_Curves/meltCurve_H3BR94_DCTN5.pdf</v>
      </c>
    </row>
    <row r="990" spans="1:28" x14ac:dyDescent="0.25">
      <c r="A990" t="s">
        <v>994</v>
      </c>
      <c r="B990">
        <v>0.99252571173614901</v>
      </c>
      <c r="C990">
        <v>1.11489045558711</v>
      </c>
      <c r="D990">
        <v>1.0421918506616199</v>
      </c>
      <c r="E990">
        <v>1.05161802920157</v>
      </c>
      <c r="F990">
        <v>0.82250913562664696</v>
      </c>
      <c r="G990">
        <v>0.64203955891772901</v>
      </c>
      <c r="H990">
        <v>0.60148071125451896</v>
      </c>
      <c r="I990">
        <v>0.673161264644628</v>
      </c>
      <c r="J990">
        <v>0.74549497786416097</v>
      </c>
      <c r="K990">
        <v>0.73963699260985305</v>
      </c>
      <c r="S990" t="s">
        <v>7636</v>
      </c>
      <c r="T990" t="s">
        <v>13290</v>
      </c>
      <c r="U990" t="s">
        <v>13291</v>
      </c>
      <c r="V990" t="s">
        <v>13290</v>
      </c>
      <c r="W990" t="s">
        <v>14260</v>
      </c>
      <c r="X990">
        <v>14</v>
      </c>
      <c r="Y990" t="s">
        <v>20845</v>
      </c>
      <c r="Z990" t="s">
        <v>27320</v>
      </c>
      <c r="AB990" t="str">
        <f>HYPERLINK("Melting_Curves/meltCurve_H3BRF9_ZFYVE19.pdf", "Melting_Curves/meltCurve_H3BRF9_ZFYVE19.pdf")</f>
        <v>Melting_Curves/meltCurve_H3BRF9_ZFYVE19.pdf</v>
      </c>
    </row>
    <row r="991" spans="1:28" x14ac:dyDescent="0.25">
      <c r="A991" t="s">
        <v>995</v>
      </c>
      <c r="B991">
        <v>0.99252571173614901</v>
      </c>
      <c r="C991">
        <v>1.0700798145216801</v>
      </c>
      <c r="D991">
        <v>0.94555573560074202</v>
      </c>
      <c r="E991">
        <v>0.75291991446840401</v>
      </c>
      <c r="F991">
        <v>0.25545868316008902</v>
      </c>
      <c r="G991">
        <v>0.120004852530624</v>
      </c>
      <c r="H991">
        <v>8.6725305911480699E-2</v>
      </c>
      <c r="I991">
        <v>9.1875403625414007E-2</v>
      </c>
      <c r="J991">
        <v>0.111323815405521</v>
      </c>
      <c r="K991">
        <v>0.102312564945141</v>
      </c>
      <c r="L991">
        <v>1802.79976379921</v>
      </c>
      <c r="M991">
        <v>35.4041156483839</v>
      </c>
      <c r="N991">
        <v>51.231914005189203</v>
      </c>
      <c r="O991">
        <v>50.758994422339804</v>
      </c>
      <c r="P991">
        <v>-0.15749872514851199</v>
      </c>
      <c r="Q991">
        <v>9.6777432426633406E-2</v>
      </c>
      <c r="R991">
        <v>0.99589497054637999</v>
      </c>
      <c r="S991" t="s">
        <v>7637</v>
      </c>
      <c r="T991" t="s">
        <v>13290</v>
      </c>
      <c r="U991" t="s">
        <v>13290</v>
      </c>
      <c r="V991" t="s">
        <v>13290</v>
      </c>
      <c r="W991" t="s">
        <v>14261</v>
      </c>
      <c r="X991">
        <v>10</v>
      </c>
      <c r="Y991" t="s">
        <v>20846</v>
      </c>
      <c r="Z991" t="s">
        <v>27321</v>
      </c>
      <c r="AA991">
        <v>0.42963453865882489</v>
      </c>
      <c r="AB991" t="str">
        <f>HYPERLINK("Melting_Curves/meltCurve_H3BRL3_UBFD1.pdf", "Melting_Curves/meltCurve_H3BRL3_UBFD1.pdf")</f>
        <v>Melting_Curves/meltCurve_H3BRL3_UBFD1.pdf</v>
      </c>
    </row>
    <row r="992" spans="1:28" x14ac:dyDescent="0.25">
      <c r="A992" t="s">
        <v>996</v>
      </c>
      <c r="B992">
        <v>0.99252571173614901</v>
      </c>
      <c r="C992">
        <v>1.0130667889829901</v>
      </c>
      <c r="D992">
        <v>1.01036248083972</v>
      </c>
      <c r="E992">
        <v>0.94946058351722196</v>
      </c>
      <c r="F992">
        <v>0.91096118582426999</v>
      </c>
      <c r="G992">
        <v>0.75116269119863299</v>
      </c>
      <c r="H992">
        <v>0.56478415560870499</v>
      </c>
      <c r="I992">
        <v>0.31080515997651198</v>
      </c>
      <c r="J992">
        <v>0.18847930638452601</v>
      </c>
      <c r="K992">
        <v>0.14805192634248501</v>
      </c>
      <c r="L992">
        <v>945.67147058804198</v>
      </c>
      <c r="M992">
        <v>15.4650028393099</v>
      </c>
      <c r="N992">
        <v>61.189780521656601</v>
      </c>
      <c r="O992">
        <v>60.154048059444101</v>
      </c>
      <c r="P992">
        <v>-6.3949751136891997E-2</v>
      </c>
      <c r="Q992">
        <v>5.1106611853675597E-3</v>
      </c>
      <c r="R992">
        <v>0.99607952557680202</v>
      </c>
      <c r="S992" t="s">
        <v>7638</v>
      </c>
      <c r="T992" t="s">
        <v>13290</v>
      </c>
      <c r="U992" t="s">
        <v>13290</v>
      </c>
      <c r="V992" t="s">
        <v>13290</v>
      </c>
      <c r="W992" t="s">
        <v>14262</v>
      </c>
      <c r="X992">
        <v>23</v>
      </c>
      <c r="Y992" t="s">
        <v>20847</v>
      </c>
      <c r="Z992" t="s">
        <v>27322</v>
      </c>
      <c r="AA992">
        <v>0.70887148367590824</v>
      </c>
      <c r="AB992" t="str">
        <f>HYPERLINK("Melting_Curves/meltCurve_H3BRN4_ABAT.pdf", "Melting_Curves/meltCurve_H3BRN4_ABAT.pdf")</f>
        <v>Melting_Curves/meltCurve_H3BRN4_ABAT.pdf</v>
      </c>
    </row>
    <row r="993" spans="1:28" x14ac:dyDescent="0.25">
      <c r="A993" t="s">
        <v>997</v>
      </c>
      <c r="B993">
        <v>0.99252571173614901</v>
      </c>
      <c r="C993">
        <v>0.92052204053391995</v>
      </c>
      <c r="D993">
        <v>0.500293260515426</v>
      </c>
      <c r="E993">
        <v>0.215711107306198</v>
      </c>
      <c r="F993">
        <v>0.16414824477477899</v>
      </c>
      <c r="G993">
        <v>7.5220203728436005E-2</v>
      </c>
      <c r="H993">
        <v>6.1494478774239698E-2</v>
      </c>
      <c r="I993">
        <v>6.9861274099747198E-2</v>
      </c>
      <c r="J993">
        <v>9.3887399371686095E-2</v>
      </c>
      <c r="K993">
        <v>8.9547307207535495E-2</v>
      </c>
      <c r="L993">
        <v>1270.5631552388299</v>
      </c>
      <c r="M993">
        <v>27.684681128529899</v>
      </c>
      <c r="N993">
        <v>46.223806282406599</v>
      </c>
      <c r="O993">
        <v>45.656632122816298</v>
      </c>
      <c r="P993">
        <v>-0.138010270838513</v>
      </c>
      <c r="Q993">
        <v>8.9600841329166903E-2</v>
      </c>
      <c r="R993">
        <v>0.99367995062453895</v>
      </c>
      <c r="S993" t="s">
        <v>7639</v>
      </c>
      <c r="T993" t="s">
        <v>13290</v>
      </c>
      <c r="U993" t="s">
        <v>13290</v>
      </c>
      <c r="V993" t="s">
        <v>13290</v>
      </c>
      <c r="W993" t="s">
        <v>14263</v>
      </c>
      <c r="X993">
        <v>3</v>
      </c>
      <c r="Y993" t="s">
        <v>20848</v>
      </c>
      <c r="Z993" t="s">
        <v>27323</v>
      </c>
      <c r="AA993">
        <v>0.27515162185746123</v>
      </c>
      <c r="AB993" t="str">
        <f>HYPERLINK("Melting_Curves/meltCurve_H3BRS1_NFATC3.pdf", "Melting_Curves/meltCurve_H3BRS1_NFATC3.pdf")</f>
        <v>Melting_Curves/meltCurve_H3BRS1_NFATC3.pdf</v>
      </c>
    </row>
    <row r="994" spans="1:28" x14ac:dyDescent="0.25">
      <c r="A994" t="s">
        <v>998</v>
      </c>
      <c r="B994">
        <v>0.99252571173614901</v>
      </c>
      <c r="C994">
        <v>0.8954641277148</v>
      </c>
      <c r="D994">
        <v>0.96530770464618998</v>
      </c>
      <c r="E994">
        <v>0.89641769517189795</v>
      </c>
      <c r="F994">
        <v>0.80510872155562796</v>
      </c>
      <c r="G994">
        <v>0.71442384718497798</v>
      </c>
      <c r="H994">
        <v>0.79015251180019197</v>
      </c>
      <c r="I994">
        <v>1.02784798836694</v>
      </c>
      <c r="J994">
        <v>1.8470755652327</v>
      </c>
      <c r="K994">
        <v>1.7823529902545601</v>
      </c>
      <c r="L994">
        <v>15000</v>
      </c>
      <c r="M994">
        <v>231.61587055797699</v>
      </c>
      <c r="O994">
        <v>64.757573216211796</v>
      </c>
      <c r="P994">
        <v>0.44708259495767699</v>
      </c>
      <c r="Q994">
        <v>1.5</v>
      </c>
      <c r="R994">
        <v>0.73607506655947896</v>
      </c>
      <c r="S994" t="s">
        <v>7640</v>
      </c>
      <c r="T994" t="s">
        <v>13290</v>
      </c>
      <c r="U994" t="s">
        <v>13290</v>
      </c>
      <c r="V994" t="s">
        <v>13290</v>
      </c>
      <c r="W994" t="s">
        <v>14264</v>
      </c>
      <c r="X994">
        <v>2</v>
      </c>
      <c r="Y994" t="s">
        <v>20849</v>
      </c>
      <c r="Z994" t="s">
        <v>27324</v>
      </c>
      <c r="AA994">
        <v>1.087227098415305</v>
      </c>
      <c r="AB994" t="str">
        <f>HYPERLINK("Melting_Curves/meltCurve_H3BRU1_FAM219B.pdf", "Melting_Curves/meltCurve_H3BRU1_FAM219B.pdf")</f>
        <v>Melting_Curves/meltCurve_H3BRU1_FAM219B.pdf</v>
      </c>
    </row>
    <row r="995" spans="1:28" x14ac:dyDescent="0.25">
      <c r="A995" t="s">
        <v>999</v>
      </c>
      <c r="B995">
        <v>0.99252571173614901</v>
      </c>
      <c r="C995">
        <v>0.875230678129021</v>
      </c>
      <c r="D995">
        <v>1.20288610488707</v>
      </c>
      <c r="E995">
        <v>0.500971575483528</v>
      </c>
      <c r="F995">
        <v>0.26077792845221798</v>
      </c>
      <c r="G995">
        <v>0.164363842472764</v>
      </c>
      <c r="H995">
        <v>0.129940534958943</v>
      </c>
      <c r="I995">
        <v>0.15194611200288599</v>
      </c>
      <c r="J995">
        <v>0.20583473040571501</v>
      </c>
      <c r="K995">
        <v>0.209663547861589</v>
      </c>
      <c r="L995">
        <v>9833.9306562998208</v>
      </c>
      <c r="M995">
        <v>198.72836800178399</v>
      </c>
      <c r="N995">
        <v>49.601262708352998</v>
      </c>
      <c r="O995">
        <v>49.479271234339599</v>
      </c>
      <c r="P995">
        <v>-0.81624465342973596</v>
      </c>
      <c r="Q995">
        <v>0.18708756477463001</v>
      </c>
      <c r="R995">
        <v>0.95357829724559595</v>
      </c>
      <c r="S995" t="s">
        <v>7641</v>
      </c>
      <c r="T995" t="s">
        <v>13290</v>
      </c>
      <c r="U995" t="s">
        <v>13290</v>
      </c>
      <c r="V995" t="s">
        <v>13290</v>
      </c>
      <c r="W995" t="s">
        <v>14265</v>
      </c>
      <c r="X995">
        <v>27</v>
      </c>
      <c r="Y995" t="s">
        <v>20850</v>
      </c>
      <c r="Z995" t="s">
        <v>27325</v>
      </c>
      <c r="AA995">
        <v>0.44419566911432562</v>
      </c>
      <c r="AB995" t="str">
        <f>HYPERLINK("Melting_Curves/meltCurve_H3BRV0_EIF3C.pdf", "Melting_Curves/meltCurve_H3BRV0_EIF3C.pdf")</f>
        <v>Melting_Curves/meltCurve_H3BRV0_EIF3C.pdf</v>
      </c>
    </row>
    <row r="996" spans="1:28" x14ac:dyDescent="0.25">
      <c r="A996" t="s">
        <v>1000</v>
      </c>
      <c r="B996">
        <v>0.99252571173614901</v>
      </c>
      <c r="C996">
        <v>0.89159304072032097</v>
      </c>
      <c r="D996">
        <v>0.98897706482643999</v>
      </c>
      <c r="E996">
        <v>0.80875707358715498</v>
      </c>
      <c r="F996">
        <v>0.26893359796754901</v>
      </c>
      <c r="G996">
        <v>0.14004443434775801</v>
      </c>
      <c r="H996">
        <v>4.8176432167733999E-2</v>
      </c>
      <c r="I996">
        <v>3.4394412507572601E-2</v>
      </c>
      <c r="J996">
        <v>2.7257096938360401E-2</v>
      </c>
      <c r="K996">
        <v>4.1141517549192499E-2</v>
      </c>
      <c r="L996">
        <v>1736.9760403084799</v>
      </c>
      <c r="M996">
        <v>33.7129782804098</v>
      </c>
      <c r="N996">
        <v>51.669014223555102</v>
      </c>
      <c r="O996">
        <v>51.342179928064702</v>
      </c>
      <c r="P996">
        <v>-0.15667505713174401</v>
      </c>
      <c r="Q996">
        <v>4.5588956047527003E-2</v>
      </c>
      <c r="R996">
        <v>0.990804375485004</v>
      </c>
      <c r="S996" t="s">
        <v>7642</v>
      </c>
      <c r="T996" t="s">
        <v>13290</v>
      </c>
      <c r="U996" t="s">
        <v>13290</v>
      </c>
      <c r="V996" t="s">
        <v>13290</v>
      </c>
      <c r="W996" t="s">
        <v>14266</v>
      </c>
      <c r="X996">
        <v>3</v>
      </c>
      <c r="Y996" t="s">
        <v>20851</v>
      </c>
      <c r="Z996" t="s">
        <v>27326</v>
      </c>
      <c r="AA996">
        <v>0.41695371627475281</v>
      </c>
      <c r="AB996" t="str">
        <f>HYPERLINK("Melting_Curves/meltCurve_H3BRY6_VWA9.pdf", "Melting_Curves/meltCurve_H3BRY6_VWA9.pdf")</f>
        <v>Melting_Curves/meltCurve_H3BRY6_VWA9.pdf</v>
      </c>
    </row>
    <row r="997" spans="1:28" x14ac:dyDescent="0.25">
      <c r="A997" t="s">
        <v>1001</v>
      </c>
      <c r="B997">
        <v>0.99252571173614901</v>
      </c>
      <c r="C997">
        <v>0.84498603663904104</v>
      </c>
      <c r="D997">
        <v>0.57307789760754702</v>
      </c>
      <c r="E997">
        <v>0.33701860471365203</v>
      </c>
      <c r="F997">
        <v>0.404966824536937</v>
      </c>
      <c r="G997">
        <v>0.112310955726973</v>
      </c>
      <c r="H997">
        <v>4.8877425800380001E-2</v>
      </c>
      <c r="I997">
        <v>6.0160185794313398E-2</v>
      </c>
      <c r="J997">
        <v>5.2674919015373897E-2</v>
      </c>
      <c r="K997">
        <v>6.0915444406251497E-2</v>
      </c>
      <c r="L997">
        <v>598.83269993938302</v>
      </c>
      <c r="M997">
        <v>12.521413651372299</v>
      </c>
      <c r="N997">
        <v>48.062165000668301</v>
      </c>
      <c r="O997">
        <v>46.654025809111801</v>
      </c>
      <c r="P997">
        <v>-6.5097812451958295E-2</v>
      </c>
      <c r="Q997">
        <v>2.99963136393585E-2</v>
      </c>
      <c r="R997">
        <v>0.96051458950117197</v>
      </c>
      <c r="S997" t="s">
        <v>7643</v>
      </c>
      <c r="T997" t="s">
        <v>13290</v>
      </c>
      <c r="U997" t="s">
        <v>13290</v>
      </c>
      <c r="V997" t="s">
        <v>13290</v>
      </c>
      <c r="W997" t="s">
        <v>14267</v>
      </c>
      <c r="X997">
        <v>1</v>
      </c>
      <c r="Y997" t="s">
        <v>20852</v>
      </c>
      <c r="Z997" t="s">
        <v>27327</v>
      </c>
      <c r="AA997">
        <v>0.31856688044640658</v>
      </c>
      <c r="AB997" t="str">
        <f>HYPERLINK("Melting_Curves/meltCurve_H3BS09_CYLD.pdf", "Melting_Curves/meltCurve_H3BS09_CYLD.pdf")</f>
        <v>Melting_Curves/meltCurve_H3BS09_CYLD.pdf</v>
      </c>
    </row>
    <row r="998" spans="1:28" x14ac:dyDescent="0.25">
      <c r="A998" t="s">
        <v>1002</v>
      </c>
      <c r="B998">
        <v>0.99252571173614901</v>
      </c>
      <c r="C998">
        <v>1.08707058389379</v>
      </c>
      <c r="D998">
        <v>1.0041830948225099</v>
      </c>
      <c r="E998">
        <v>0.67913226088779799</v>
      </c>
      <c r="F998">
        <v>0.59579599691348795</v>
      </c>
      <c r="G998">
        <v>0.55615453389396097</v>
      </c>
      <c r="H998">
        <v>0.50046165229710105</v>
      </c>
      <c r="I998">
        <v>0.82040105345743997</v>
      </c>
      <c r="J998">
        <v>1.68001741063794</v>
      </c>
      <c r="K998">
        <v>2.2786806403041302</v>
      </c>
      <c r="L998">
        <v>15000</v>
      </c>
      <c r="M998">
        <v>228.962209295169</v>
      </c>
      <c r="O998">
        <v>65.508004323341495</v>
      </c>
      <c r="P998">
        <v>0.43689744311676898</v>
      </c>
      <c r="Q998">
        <v>1.5</v>
      </c>
      <c r="R998">
        <v>0.51057001401129798</v>
      </c>
      <c r="S998" t="s">
        <v>7644</v>
      </c>
      <c r="T998" t="s">
        <v>13290</v>
      </c>
      <c r="U998" t="s">
        <v>13290</v>
      </c>
      <c r="V998" t="s">
        <v>13290</v>
      </c>
      <c r="W998" t="s">
        <v>14268</v>
      </c>
      <c r="X998">
        <v>1</v>
      </c>
      <c r="Y998" t="s">
        <v>20853</v>
      </c>
      <c r="Z998" t="s">
        <v>27328</v>
      </c>
      <c r="AA998">
        <v>1.074714884679856</v>
      </c>
      <c r="AB998" t="str">
        <f>HYPERLINK("Melting_Curves/meltCurve_H3BS42_ZNF768.pdf", "Melting_Curves/meltCurve_H3BS42_ZNF768.pdf")</f>
        <v>Melting_Curves/meltCurve_H3BS42_ZNF768.pdf</v>
      </c>
    </row>
    <row r="999" spans="1:28" x14ac:dyDescent="0.25">
      <c r="A999" t="s">
        <v>1003</v>
      </c>
      <c r="B999">
        <v>0.99252571173614901</v>
      </c>
      <c r="C999">
        <v>1.0296171359589901</v>
      </c>
      <c r="D999">
        <v>0.89893411008513402</v>
      </c>
      <c r="E999">
        <v>0.73088996399268902</v>
      </c>
      <c r="F999">
        <v>0.55119149907700904</v>
      </c>
      <c r="G999">
        <v>0.34889568504495</v>
      </c>
      <c r="H999">
        <v>0.23210225463366299</v>
      </c>
      <c r="I999">
        <v>0.19736714928404001</v>
      </c>
      <c r="J999">
        <v>0.22856430201879199</v>
      </c>
      <c r="K999">
        <v>0.21821549661581799</v>
      </c>
      <c r="L999">
        <v>868.24416511203697</v>
      </c>
      <c r="M999">
        <v>16.685678720964301</v>
      </c>
      <c r="N999">
        <v>53.5631560330011</v>
      </c>
      <c r="O999">
        <v>51.305112327235904</v>
      </c>
      <c r="P999">
        <v>-6.5914938933698305E-2</v>
      </c>
      <c r="Q999">
        <v>0.18935309678519899</v>
      </c>
      <c r="R999">
        <v>0.99390275047034404</v>
      </c>
      <c r="S999" t="s">
        <v>7645</v>
      </c>
      <c r="T999" t="s">
        <v>13290</v>
      </c>
      <c r="U999" t="s">
        <v>13290</v>
      </c>
      <c r="V999" t="s">
        <v>13290</v>
      </c>
      <c r="W999" t="s">
        <v>14269</v>
      </c>
      <c r="X999">
        <v>1</v>
      </c>
      <c r="Y999" t="s">
        <v>20854</v>
      </c>
      <c r="Z999" t="s">
        <v>27329</v>
      </c>
      <c r="AA999">
        <v>0.5298658238015197</v>
      </c>
      <c r="AB999" t="str">
        <f>HYPERLINK("Melting_Curves/meltCurve_H3BS64_MSRB1.pdf", "Melting_Curves/meltCurve_H3BS64_MSRB1.pdf")</f>
        <v>Melting_Curves/meltCurve_H3BS64_MSRB1.pdf</v>
      </c>
    </row>
    <row r="1000" spans="1:28" x14ac:dyDescent="0.25">
      <c r="A1000" t="s">
        <v>1004</v>
      </c>
      <c r="B1000">
        <v>0.99252571173614901</v>
      </c>
      <c r="C1000">
        <v>1.0339854991698501</v>
      </c>
      <c r="D1000">
        <v>0.90911719895562504</v>
      </c>
      <c r="E1000">
        <v>0.67955747436278902</v>
      </c>
      <c r="F1000">
        <v>0.45602898297969402</v>
      </c>
      <c r="G1000">
        <v>0.230055752482346</v>
      </c>
      <c r="H1000">
        <v>0.15746850568892901</v>
      </c>
      <c r="I1000">
        <v>0.15503428806789299</v>
      </c>
      <c r="J1000">
        <v>0.16679996559575999</v>
      </c>
      <c r="K1000">
        <v>0.19105302141334199</v>
      </c>
      <c r="L1000">
        <v>1031.86604014979</v>
      </c>
      <c r="M1000">
        <v>20.190634240509102</v>
      </c>
      <c r="N1000">
        <v>52.050956440078799</v>
      </c>
      <c r="O1000">
        <v>50.6127645414469</v>
      </c>
      <c r="P1000">
        <v>-8.4432954247251599E-2</v>
      </c>
      <c r="Q1000">
        <v>0.153419105113003</v>
      </c>
      <c r="R1000">
        <v>0.99399105655847597</v>
      </c>
      <c r="S1000" t="s">
        <v>7646</v>
      </c>
      <c r="T1000" t="s">
        <v>13290</v>
      </c>
      <c r="U1000" t="s">
        <v>13290</v>
      </c>
      <c r="V1000" t="s">
        <v>13290</v>
      </c>
      <c r="W1000" t="s">
        <v>14270</v>
      </c>
      <c r="X1000">
        <v>6</v>
      </c>
      <c r="Y1000" t="s">
        <v>20855</v>
      </c>
      <c r="Z1000" t="s">
        <v>27330</v>
      </c>
      <c r="AA1000">
        <v>0.47837080988837788</v>
      </c>
      <c r="AB1000" t="str">
        <f>HYPERLINK("Melting_Curves/meltCurve_H3BSM5_GABARAPL2.pdf", "Melting_Curves/meltCurve_H3BSM5_GABARAPL2.pdf")</f>
        <v>Melting_Curves/meltCurve_H3BSM5_GABARAPL2.pdf</v>
      </c>
    </row>
    <row r="1001" spans="1:28" x14ac:dyDescent="0.25">
      <c r="A1001" t="s">
        <v>1005</v>
      </c>
      <c r="B1001">
        <v>0.99252571173614901</v>
      </c>
      <c r="C1001">
        <v>0.86655912804207103</v>
      </c>
      <c r="D1001">
        <v>0.777880814312637</v>
      </c>
      <c r="E1001">
        <v>0.59230726803204903</v>
      </c>
      <c r="F1001">
        <v>0.47933770543936899</v>
      </c>
      <c r="G1001">
        <v>0.25108875174853001</v>
      </c>
      <c r="H1001">
        <v>0.105562775911119</v>
      </c>
      <c r="I1001">
        <v>0.114895551256134</v>
      </c>
      <c r="J1001">
        <v>0.15121966769114001</v>
      </c>
      <c r="K1001">
        <v>0.15561718306309</v>
      </c>
      <c r="L1001">
        <v>611.31581411433501</v>
      </c>
      <c r="M1001">
        <v>12.068486079918699</v>
      </c>
      <c r="N1001">
        <v>51.3497976832994</v>
      </c>
      <c r="O1001">
        <v>49.3232696949309</v>
      </c>
      <c r="P1001">
        <v>-5.6569002040857699E-2</v>
      </c>
      <c r="Q1001">
        <v>7.54399885133019E-2</v>
      </c>
      <c r="R1001">
        <v>0.98233230838170804</v>
      </c>
      <c r="S1001" t="s">
        <v>7647</v>
      </c>
      <c r="T1001" t="s">
        <v>13290</v>
      </c>
      <c r="U1001" t="s">
        <v>13290</v>
      </c>
      <c r="V1001" t="s">
        <v>13290</v>
      </c>
      <c r="W1001" t="s">
        <v>14271</v>
      </c>
      <c r="X1001">
        <v>11</v>
      </c>
      <c r="Y1001" t="s">
        <v>20856</v>
      </c>
      <c r="Z1001" t="s">
        <v>27331</v>
      </c>
      <c r="AA1001">
        <v>0.43431039623798312</v>
      </c>
      <c r="AB1001" t="str">
        <f>HYPERLINK("Melting_Curves/meltCurve_H3BSM7_C16orf58.pdf", "Melting_Curves/meltCurve_H3BSM7_C16orf58.pdf")</f>
        <v>Melting_Curves/meltCurve_H3BSM7_C16orf58.pdf</v>
      </c>
    </row>
    <row r="1002" spans="1:28" x14ac:dyDescent="0.25">
      <c r="A1002" t="s">
        <v>1006</v>
      </c>
      <c r="B1002">
        <v>0.99252571173614901</v>
      </c>
      <c r="C1002">
        <v>1.09820878346446</v>
      </c>
      <c r="D1002">
        <v>0.97778079611865099</v>
      </c>
      <c r="E1002">
        <v>1.0680635900366999</v>
      </c>
      <c r="F1002">
        <v>0.78854757023932298</v>
      </c>
      <c r="G1002">
        <v>0.57864905883595197</v>
      </c>
      <c r="H1002">
        <v>0.366236458645954</v>
      </c>
      <c r="I1002">
        <v>0.34880834266792299</v>
      </c>
      <c r="J1002">
        <v>0.17842384587743099</v>
      </c>
      <c r="K1002">
        <v>0.167117302734058</v>
      </c>
      <c r="L1002">
        <v>1067.94926252204</v>
      </c>
      <c r="M1002">
        <v>18.727504122519999</v>
      </c>
      <c r="N1002">
        <v>58.311462087382203</v>
      </c>
      <c r="O1002">
        <v>56.387427286078903</v>
      </c>
      <c r="P1002">
        <v>-6.8988937215499702E-2</v>
      </c>
      <c r="Q1002">
        <v>0.16914836274969999</v>
      </c>
      <c r="R1002">
        <v>0.97214335203605196</v>
      </c>
      <c r="S1002" t="s">
        <v>7648</v>
      </c>
      <c r="T1002" t="s">
        <v>13290</v>
      </c>
      <c r="U1002" t="s">
        <v>13290</v>
      </c>
      <c r="V1002" t="s">
        <v>13290</v>
      </c>
      <c r="W1002" t="s">
        <v>14272</v>
      </c>
      <c r="X1002">
        <v>4</v>
      </c>
      <c r="Y1002" t="s">
        <v>20857</v>
      </c>
      <c r="Z1002" t="s">
        <v>27332</v>
      </c>
      <c r="AA1002">
        <v>0.65160457695461693</v>
      </c>
      <c r="AB1002" t="str">
        <f>HYPERLINK("Melting_Curves/meltCurve_H3BST1_BLOC1S6.pdf", "Melting_Curves/meltCurve_H3BST1_BLOC1S6.pdf")</f>
        <v>Melting_Curves/meltCurve_H3BST1_BLOC1S6.pdf</v>
      </c>
    </row>
    <row r="1003" spans="1:28" x14ac:dyDescent="0.25">
      <c r="A1003" t="s">
        <v>1007</v>
      </c>
      <c r="B1003">
        <v>0.99252571173614901</v>
      </c>
      <c r="C1003">
        <v>0.96669951231593798</v>
      </c>
      <c r="D1003">
        <v>0.94893345206118895</v>
      </c>
      <c r="E1003">
        <v>0.88543863446464999</v>
      </c>
      <c r="F1003">
        <v>0.61836372430153097</v>
      </c>
      <c r="G1003">
        <v>0.35381060018646399</v>
      </c>
      <c r="H1003">
        <v>0.14816942680539499</v>
      </c>
      <c r="I1003">
        <v>0.111575360637288</v>
      </c>
      <c r="J1003">
        <v>0.106120779228125</v>
      </c>
      <c r="K1003">
        <v>0.105326179803526</v>
      </c>
      <c r="L1003">
        <v>1098.6643088752301</v>
      </c>
      <c r="M1003">
        <v>20.2899320952151</v>
      </c>
      <c r="N1003">
        <v>54.629550788107103</v>
      </c>
      <c r="O1003">
        <v>53.630495572240598</v>
      </c>
      <c r="P1003">
        <v>-8.6843779822683098E-2</v>
      </c>
      <c r="Q1003">
        <v>8.1843800543119002E-2</v>
      </c>
      <c r="R1003">
        <v>0.99803284430356198</v>
      </c>
      <c r="S1003" t="s">
        <v>7649</v>
      </c>
      <c r="T1003" t="s">
        <v>13290</v>
      </c>
      <c r="U1003" t="s">
        <v>13290</v>
      </c>
      <c r="V1003" t="s">
        <v>13290</v>
      </c>
      <c r="W1003" t="s">
        <v>14273</v>
      </c>
      <c r="X1003">
        <v>11</v>
      </c>
      <c r="Y1003" t="s">
        <v>20858</v>
      </c>
      <c r="Z1003" t="s">
        <v>27333</v>
      </c>
      <c r="AA1003">
        <v>0.5270188160683692</v>
      </c>
      <c r="AB1003" t="str">
        <f>HYPERLINK("Melting_Curves/meltCurve_H3BSW6_CTU2.pdf", "Melting_Curves/meltCurve_H3BSW6_CTU2.pdf")</f>
        <v>Melting_Curves/meltCurve_H3BSW6_CTU2.pdf</v>
      </c>
    </row>
    <row r="1004" spans="1:28" x14ac:dyDescent="0.25">
      <c r="A1004" t="s">
        <v>1008</v>
      </c>
      <c r="B1004">
        <v>0.99252571173614901</v>
      </c>
      <c r="C1004">
        <v>1.0240488486510899</v>
      </c>
      <c r="D1004">
        <v>0.94563674778460105</v>
      </c>
      <c r="E1004">
        <v>0.78397396460116398</v>
      </c>
      <c r="F1004">
        <v>0.52025916042536602</v>
      </c>
      <c r="G1004">
        <v>0.22861352350717001</v>
      </c>
      <c r="H1004">
        <v>0.113715183022835</v>
      </c>
      <c r="I1004">
        <v>0.111559209228683</v>
      </c>
      <c r="J1004">
        <v>0.14437510248024399</v>
      </c>
      <c r="K1004">
        <v>0.160324604375531</v>
      </c>
      <c r="L1004">
        <v>1183.8311172983599</v>
      </c>
      <c r="M1004">
        <v>22.591460682502799</v>
      </c>
      <c r="N1004">
        <v>53.029485400879302</v>
      </c>
      <c r="O1004">
        <v>51.996275498753299</v>
      </c>
      <c r="P1004">
        <v>-9.5877201022523895E-2</v>
      </c>
      <c r="Q1004">
        <v>0.117337366432615</v>
      </c>
      <c r="R1004">
        <v>0.99463389745352204</v>
      </c>
      <c r="S1004" t="s">
        <v>7650</v>
      </c>
      <c r="T1004" t="s">
        <v>13290</v>
      </c>
      <c r="U1004" t="s">
        <v>13290</v>
      </c>
      <c r="V1004" t="s">
        <v>13290</v>
      </c>
      <c r="W1004" t="s">
        <v>14274</v>
      </c>
      <c r="X1004">
        <v>4</v>
      </c>
      <c r="Y1004" t="s">
        <v>20859</v>
      </c>
      <c r="Z1004" t="s">
        <v>27334</v>
      </c>
      <c r="AA1004">
        <v>0.49200528260807369</v>
      </c>
      <c r="AB1004" t="str">
        <f>HYPERLINK("Melting_Curves/meltCurve_H3BTL1_MAP1LC3B.pdf", "Melting_Curves/meltCurve_H3BTL1_MAP1LC3B.pdf")</f>
        <v>Melting_Curves/meltCurve_H3BTL1_MAP1LC3B.pdf</v>
      </c>
    </row>
    <row r="1005" spans="1:28" x14ac:dyDescent="0.25">
      <c r="A1005" t="s">
        <v>1009</v>
      </c>
      <c r="B1005">
        <v>0.99252571173614901</v>
      </c>
      <c r="C1005">
        <v>1.10110878127328</v>
      </c>
      <c r="D1005">
        <v>1.15716106019252</v>
      </c>
      <c r="E1005">
        <v>3.12402585351282</v>
      </c>
      <c r="F1005">
        <v>1.04743149979757</v>
      </c>
      <c r="G1005">
        <v>0.876062775042313</v>
      </c>
      <c r="H1005">
        <v>0.61638375391214895</v>
      </c>
      <c r="I1005">
        <v>0.153526305536791</v>
      </c>
      <c r="J1005">
        <v>0.169257325869064</v>
      </c>
      <c r="K1005">
        <v>0.145626043638343</v>
      </c>
      <c r="L1005">
        <v>3115.93061023361</v>
      </c>
      <c r="M1005">
        <v>51.1272209789051</v>
      </c>
      <c r="N1005">
        <v>61.319005953892599</v>
      </c>
      <c r="O1005">
        <v>60.851630106740203</v>
      </c>
      <c r="P1005">
        <v>-0.1818900607693</v>
      </c>
      <c r="Q1005">
        <v>0.134058328707826</v>
      </c>
      <c r="R1005">
        <v>0.32987392514609298</v>
      </c>
      <c r="S1005" t="s">
        <v>7651</v>
      </c>
      <c r="T1005" t="s">
        <v>13290</v>
      </c>
      <c r="U1005" t="s">
        <v>13290</v>
      </c>
      <c r="V1005" t="s">
        <v>13290</v>
      </c>
      <c r="W1005" t="s">
        <v>14275</v>
      </c>
      <c r="X1005">
        <v>55</v>
      </c>
      <c r="Y1005" t="s">
        <v>20860</v>
      </c>
      <c r="Z1005" t="s">
        <v>27335</v>
      </c>
      <c r="AA1005">
        <v>0.74078189935224781</v>
      </c>
      <c r="AB1005" t="str">
        <f>HYPERLINK("Melting_Curves/meltCurve_H3BTN5_PKM.pdf", "Melting_Curves/meltCurve_H3BTN5_PKM.pdf")</f>
        <v>Melting_Curves/meltCurve_H3BTN5_PKM.pdf</v>
      </c>
    </row>
    <row r="1006" spans="1:28" x14ac:dyDescent="0.25">
      <c r="A1006" t="s">
        <v>1010</v>
      </c>
      <c r="B1006">
        <v>0.99252571173614901</v>
      </c>
      <c r="C1006">
        <v>0.78628792690123595</v>
      </c>
      <c r="D1006">
        <v>0.21677791325625001</v>
      </c>
      <c r="E1006">
        <v>7.0930646430048802E-2</v>
      </c>
      <c r="F1006">
        <v>5.5306729933048498E-2</v>
      </c>
      <c r="G1006">
        <v>2.3673877309497899E-2</v>
      </c>
      <c r="H1006">
        <v>1.42378938290438E-2</v>
      </c>
      <c r="I1006">
        <v>1.3065888722150301E-2</v>
      </c>
      <c r="J1006">
        <v>1.42762088584742E-2</v>
      </c>
      <c r="K1006">
        <v>2.4378752613707599E-2</v>
      </c>
      <c r="L1006">
        <v>1682.0783348134501</v>
      </c>
      <c r="M1006">
        <v>37.951151509961797</v>
      </c>
      <c r="N1006">
        <v>44.388399009181803</v>
      </c>
      <c r="O1006">
        <v>44.199672475559403</v>
      </c>
      <c r="P1006">
        <v>-0.20875344940165799</v>
      </c>
      <c r="Q1006">
        <v>2.75067308360748E-2</v>
      </c>
      <c r="R1006">
        <v>0.99822689241061102</v>
      </c>
      <c r="S1006" t="s">
        <v>7652</v>
      </c>
      <c r="T1006" t="s">
        <v>13290</v>
      </c>
      <c r="U1006" t="s">
        <v>13290</v>
      </c>
      <c r="V1006" t="s">
        <v>13290</v>
      </c>
      <c r="W1006" t="s">
        <v>14276</v>
      </c>
      <c r="X1006">
        <v>3</v>
      </c>
      <c r="Y1006" t="s">
        <v>20861</v>
      </c>
      <c r="Z1006" t="s">
        <v>27336</v>
      </c>
      <c r="AA1006">
        <v>0.17141465481064991</v>
      </c>
      <c r="AB1006" t="str">
        <f>HYPERLINK("Melting_Curves/meltCurve_H3BTQ7_ORC6.pdf", "Melting_Curves/meltCurve_H3BTQ7_ORC6.pdf")</f>
        <v>Melting_Curves/meltCurve_H3BTQ7_ORC6.pdf</v>
      </c>
    </row>
    <row r="1007" spans="1:28" x14ac:dyDescent="0.25">
      <c r="A1007" t="s">
        <v>1011</v>
      </c>
      <c r="B1007">
        <v>0.99252571173614901</v>
      </c>
      <c r="C1007">
        <v>1.0047239522839599</v>
      </c>
      <c r="D1007">
        <v>0.87172156455672101</v>
      </c>
      <c r="E1007">
        <v>0.82713130330266904</v>
      </c>
      <c r="F1007">
        <v>0.72000866814625097</v>
      </c>
      <c r="G1007">
        <v>0.73117265346040095</v>
      </c>
      <c r="H1007">
        <v>0.98619662471416902</v>
      </c>
      <c r="I1007">
        <v>1.29202680574212</v>
      </c>
      <c r="J1007">
        <v>1.9155927387485701</v>
      </c>
      <c r="K1007">
        <v>2.1786533870959901</v>
      </c>
      <c r="L1007">
        <v>15000</v>
      </c>
      <c r="M1007">
        <v>234.71463246105901</v>
      </c>
      <c r="O1007">
        <v>63.902753632656498</v>
      </c>
      <c r="P1007">
        <v>0.45912465495173499</v>
      </c>
      <c r="Q1007">
        <v>1.5</v>
      </c>
      <c r="R1007">
        <v>0.63557651453160202</v>
      </c>
      <c r="S1007" t="s">
        <v>7653</v>
      </c>
      <c r="T1007" t="s">
        <v>13290</v>
      </c>
      <c r="U1007" t="s">
        <v>13290</v>
      </c>
      <c r="V1007" t="s">
        <v>13290</v>
      </c>
      <c r="W1007" t="s">
        <v>14049</v>
      </c>
      <c r="X1007">
        <v>4</v>
      </c>
      <c r="Z1007" t="s">
        <v>27337</v>
      </c>
      <c r="AA1007">
        <v>1.101479846486449</v>
      </c>
      <c r="AB1007" t="str">
        <f>HYPERLINK("Melting_Curves/meltCurve_H3BTX0_.pdf", "Melting_Curves/meltCurve_H3BTX0_.pdf")</f>
        <v>Melting_Curves/meltCurve_H3BTX0_.pdf</v>
      </c>
    </row>
    <row r="1008" spans="1:28" x14ac:dyDescent="0.25">
      <c r="A1008" t="s">
        <v>1012</v>
      </c>
      <c r="B1008">
        <v>0.99252571173614901</v>
      </c>
      <c r="C1008">
        <v>0.82337910996131702</v>
      </c>
      <c r="D1008">
        <v>0.44153136002383098</v>
      </c>
      <c r="E1008">
        <v>0.46263319818573201</v>
      </c>
      <c r="F1008">
        <v>0.247144815228418</v>
      </c>
      <c r="G1008">
        <v>0.177701158258216</v>
      </c>
      <c r="H1008">
        <v>0.147784490918698</v>
      </c>
      <c r="I1008">
        <v>0.15497609947886301</v>
      </c>
      <c r="J1008">
        <v>0.19041554839055799</v>
      </c>
      <c r="K1008">
        <v>0.162979218252745</v>
      </c>
      <c r="L1008">
        <v>748.60792841194404</v>
      </c>
      <c r="M1008">
        <v>16.3602504467048</v>
      </c>
      <c r="N1008">
        <v>46.894287795792998</v>
      </c>
      <c r="O1008">
        <v>45.090447988182</v>
      </c>
      <c r="P1008">
        <v>-7.58673686416029E-2</v>
      </c>
      <c r="Q1008">
        <v>0.16366829314485301</v>
      </c>
      <c r="R1008">
        <v>0.95690045966839399</v>
      </c>
      <c r="S1008" t="s">
        <v>7654</v>
      </c>
      <c r="T1008" t="s">
        <v>13290</v>
      </c>
      <c r="U1008" t="s">
        <v>13290</v>
      </c>
      <c r="V1008" t="s">
        <v>13290</v>
      </c>
      <c r="W1008" t="s">
        <v>14277</v>
      </c>
      <c r="X1008">
        <v>1</v>
      </c>
      <c r="Y1008" t="s">
        <v>20862</v>
      </c>
      <c r="Z1008" t="s">
        <v>27338</v>
      </c>
      <c r="AA1008">
        <v>0.3448784021967024</v>
      </c>
      <c r="AB1008" t="str">
        <f>HYPERLINK("Melting_Curves/meltCurve_H3BU23_CDR2.pdf", "Melting_Curves/meltCurve_H3BU23_CDR2.pdf")</f>
        <v>Melting_Curves/meltCurve_H3BU23_CDR2.pdf</v>
      </c>
    </row>
    <row r="1009" spans="1:28" x14ac:dyDescent="0.25">
      <c r="A1009" t="s">
        <v>1013</v>
      </c>
      <c r="B1009">
        <v>0.99252571173614901</v>
      </c>
      <c r="C1009">
        <v>0.97350815280351299</v>
      </c>
      <c r="D1009">
        <v>0.628718861181088</v>
      </c>
      <c r="E1009">
        <v>0.30017862814004498</v>
      </c>
      <c r="F1009">
        <v>0.14692343604156499</v>
      </c>
      <c r="G1009">
        <v>7.9309643568321597E-2</v>
      </c>
      <c r="H1009">
        <v>6.9798291019830094E-2</v>
      </c>
      <c r="I1009">
        <v>7.3397070372898804E-2</v>
      </c>
      <c r="J1009">
        <v>9.16313732836498E-2</v>
      </c>
      <c r="K1009">
        <v>0.101612814974171</v>
      </c>
      <c r="L1009">
        <v>1170.5418045572101</v>
      </c>
      <c r="M1009">
        <v>24.906025779819799</v>
      </c>
      <c r="N1009">
        <v>47.348959204800003</v>
      </c>
      <c r="O1009">
        <v>46.698512552702098</v>
      </c>
      <c r="P1009">
        <v>-0.122107670118724</v>
      </c>
      <c r="Q1009">
        <v>8.4210995195201893E-2</v>
      </c>
      <c r="R1009">
        <v>0.99565830047980097</v>
      </c>
      <c r="S1009" t="s">
        <v>7655</v>
      </c>
      <c r="T1009" t="s">
        <v>13290</v>
      </c>
      <c r="U1009" t="s">
        <v>13290</v>
      </c>
      <c r="V1009" t="s">
        <v>13290</v>
      </c>
      <c r="W1009" t="s">
        <v>14278</v>
      </c>
      <c r="X1009">
        <v>1</v>
      </c>
      <c r="Y1009" t="s">
        <v>20863</v>
      </c>
      <c r="Z1009" t="s">
        <v>27339</v>
      </c>
      <c r="AA1009">
        <v>0.30608931516508397</v>
      </c>
      <c r="AB1009" t="str">
        <f>HYPERLINK("Melting_Curves/meltCurve_H3BU49_ARL2BP.pdf", "Melting_Curves/meltCurve_H3BU49_ARL2BP.pdf")</f>
        <v>Melting_Curves/meltCurve_H3BU49_ARL2BP.pdf</v>
      </c>
    </row>
    <row r="1010" spans="1:28" x14ac:dyDescent="0.25">
      <c r="A1010" t="s">
        <v>1014</v>
      </c>
      <c r="B1010">
        <v>0.99252571173614901</v>
      </c>
      <c r="C1010">
        <v>0.919344605680532</v>
      </c>
      <c r="D1010">
        <v>0.85227733327639099</v>
      </c>
      <c r="E1010">
        <v>0.72496533251029205</v>
      </c>
      <c r="F1010">
        <v>0.71728778105858304</v>
      </c>
      <c r="G1010">
        <v>0.439422902068559</v>
      </c>
      <c r="H1010">
        <v>0.299100434602731</v>
      </c>
      <c r="I1010">
        <v>0.29166862096878499</v>
      </c>
      <c r="J1010">
        <v>0.41243146803622899</v>
      </c>
      <c r="K1010">
        <v>0.26804582554679501</v>
      </c>
      <c r="L1010">
        <v>593.321668124761</v>
      </c>
      <c r="M1010">
        <v>11.2378610087185</v>
      </c>
      <c r="N1010">
        <v>56.055352617680697</v>
      </c>
      <c r="O1010">
        <v>51.207647424045597</v>
      </c>
      <c r="P1010">
        <v>-4.1718745257837003E-2</v>
      </c>
      <c r="Q1010">
        <v>0.23983540841762799</v>
      </c>
      <c r="R1010">
        <v>0.94719478854835204</v>
      </c>
      <c r="S1010" t="s">
        <v>7656</v>
      </c>
      <c r="T1010" t="s">
        <v>13290</v>
      </c>
      <c r="U1010" t="s">
        <v>13290</v>
      </c>
      <c r="V1010" t="s">
        <v>13290</v>
      </c>
      <c r="W1010" t="s">
        <v>14279</v>
      </c>
      <c r="X1010">
        <v>3</v>
      </c>
      <c r="Y1010" t="s">
        <v>20864</v>
      </c>
      <c r="Z1010" t="s">
        <v>27340</v>
      </c>
      <c r="AA1010">
        <v>0.58773756267657395</v>
      </c>
      <c r="AB1010" t="str">
        <f>HYPERLINK("Melting_Curves/meltCurve_H3BUJ1_ITFG1.pdf", "Melting_Curves/meltCurve_H3BUJ1_ITFG1.pdf")</f>
        <v>Melting_Curves/meltCurve_H3BUJ1_ITFG1.pdf</v>
      </c>
    </row>
    <row r="1011" spans="1:28" x14ac:dyDescent="0.25">
      <c r="A1011" t="s">
        <v>1015</v>
      </c>
      <c r="B1011">
        <v>0.99252571173614901</v>
      </c>
      <c r="C1011">
        <v>1.0136544153009901</v>
      </c>
      <c r="D1011">
        <v>0.89574189941429705</v>
      </c>
      <c r="E1011">
        <v>0.66477835717181699</v>
      </c>
      <c r="F1011">
        <v>0.54336612598116596</v>
      </c>
      <c r="G1011">
        <v>0.39690070819185502</v>
      </c>
      <c r="H1011">
        <v>0.25584808613172999</v>
      </c>
      <c r="I1011">
        <v>0.16126233668360901</v>
      </c>
      <c r="J1011">
        <v>0.126648838413047</v>
      </c>
      <c r="K1011">
        <v>0.101868343718003</v>
      </c>
      <c r="L1011">
        <v>617.89695111142601</v>
      </c>
      <c r="M1011">
        <v>11.542694825727899</v>
      </c>
      <c r="N1011">
        <v>54.0017695541828</v>
      </c>
      <c r="O1011">
        <v>52.0003368843294</v>
      </c>
      <c r="P1011">
        <v>-5.2854304548763401E-2</v>
      </c>
      <c r="Q1011">
        <v>4.7823113623728299E-2</v>
      </c>
      <c r="R1011">
        <v>0.99156468369147699</v>
      </c>
      <c r="S1011" t="s">
        <v>7657</v>
      </c>
      <c r="T1011" t="s">
        <v>13290</v>
      </c>
      <c r="U1011" t="s">
        <v>13290</v>
      </c>
      <c r="V1011" t="s">
        <v>13290</v>
      </c>
      <c r="W1011" t="s">
        <v>14280</v>
      </c>
      <c r="X1011">
        <v>10</v>
      </c>
      <c r="Y1011" t="s">
        <v>20865</v>
      </c>
      <c r="Z1011" t="s">
        <v>27341</v>
      </c>
      <c r="AA1011">
        <v>0.50427100879059727</v>
      </c>
      <c r="AB1011" t="str">
        <f>HYPERLINK("Melting_Curves/meltCurve_H3BUQ2_OGFOD1.pdf", "Melting_Curves/meltCurve_H3BUQ2_OGFOD1.pdf")</f>
        <v>Melting_Curves/meltCurve_H3BUQ2_OGFOD1.pdf</v>
      </c>
    </row>
    <row r="1012" spans="1:28" x14ac:dyDescent="0.25">
      <c r="A1012" t="s">
        <v>1016</v>
      </c>
      <c r="B1012">
        <v>0.99252571173614901</v>
      </c>
      <c r="C1012">
        <v>1.06760483712329</v>
      </c>
      <c r="D1012">
        <v>1.03954648353844</v>
      </c>
      <c r="E1012">
        <v>1.00473336661611</v>
      </c>
      <c r="F1012">
        <v>0.455516103281013</v>
      </c>
      <c r="G1012">
        <v>0.28920758836133698</v>
      </c>
      <c r="H1012">
        <v>0.208518100779536</v>
      </c>
      <c r="I1012">
        <v>0.214995289279132</v>
      </c>
      <c r="J1012">
        <v>0.26025390615203903</v>
      </c>
      <c r="K1012">
        <v>0.44572862971351301</v>
      </c>
      <c r="L1012">
        <v>13238.625793576301</v>
      </c>
      <c r="M1012">
        <v>250</v>
      </c>
      <c r="N1012">
        <v>53.132641888755003</v>
      </c>
      <c r="O1012">
        <v>52.951115787907099</v>
      </c>
      <c r="P1012">
        <v>-0.84542520064939397</v>
      </c>
      <c r="Q1012">
        <v>0.28374069606760599</v>
      </c>
      <c r="R1012">
        <v>0.96628668734483203</v>
      </c>
      <c r="S1012" t="s">
        <v>7658</v>
      </c>
      <c r="T1012" t="s">
        <v>13290</v>
      </c>
      <c r="U1012" t="s">
        <v>13290</v>
      </c>
      <c r="V1012" t="s">
        <v>13290</v>
      </c>
      <c r="W1012" t="s">
        <v>14281</v>
      </c>
      <c r="X1012">
        <v>7</v>
      </c>
      <c r="Y1012" t="s">
        <v>20866</v>
      </c>
      <c r="Z1012" t="s">
        <v>27342</v>
      </c>
      <c r="AA1012">
        <v>0.5931000420259428</v>
      </c>
      <c r="AB1012" t="str">
        <f>HYPERLINK("Melting_Curves/meltCurve_H3BV80_RNPS1.pdf", "Melting_Curves/meltCurve_H3BV80_RNPS1.pdf")</f>
        <v>Melting_Curves/meltCurve_H3BV80_RNPS1.pdf</v>
      </c>
    </row>
    <row r="1013" spans="1:28" x14ac:dyDescent="0.25">
      <c r="A1013" t="s">
        <v>1017</v>
      </c>
      <c r="B1013">
        <v>0.99252571173614901</v>
      </c>
      <c r="C1013">
        <v>0.97884796592220502</v>
      </c>
      <c r="D1013">
        <v>1.13547202245208</v>
      </c>
      <c r="E1013">
        <v>1.00807758168539</v>
      </c>
      <c r="F1013">
        <v>0.75629920528493599</v>
      </c>
      <c r="G1013">
        <v>0.592013228877736</v>
      </c>
      <c r="H1013">
        <v>0.724043314068477</v>
      </c>
      <c r="I1013">
        <v>1.0548238791084701</v>
      </c>
      <c r="J1013">
        <v>1.9116049704606</v>
      </c>
      <c r="K1013">
        <v>1.93107999038744</v>
      </c>
      <c r="L1013">
        <v>15000</v>
      </c>
      <c r="M1013">
        <v>232.29413542935799</v>
      </c>
      <c r="O1013">
        <v>64.568518654354605</v>
      </c>
      <c r="P1013">
        <v>0.44970471046703497</v>
      </c>
      <c r="Q1013">
        <v>1.5</v>
      </c>
      <c r="R1013">
        <v>0.64487001537253497</v>
      </c>
      <c r="S1013" t="s">
        <v>7659</v>
      </c>
      <c r="T1013" t="s">
        <v>13290</v>
      </c>
      <c r="U1013" t="s">
        <v>13290</v>
      </c>
      <c r="V1013" t="s">
        <v>13290</v>
      </c>
      <c r="W1013" t="s">
        <v>14282</v>
      </c>
      <c r="X1013">
        <v>1</v>
      </c>
      <c r="Y1013" t="s">
        <v>20867</v>
      </c>
      <c r="Z1013" t="s">
        <v>27343</v>
      </c>
      <c r="AA1013">
        <v>1.0903792889177439</v>
      </c>
      <c r="AB1013" t="str">
        <f>HYPERLINK("Melting_Curves/meltCurve_H3BVI4_LMF1.pdf", "Melting_Curves/meltCurve_H3BVI4_LMF1.pdf")</f>
        <v>Melting_Curves/meltCurve_H3BVI4_LMF1.pdf</v>
      </c>
    </row>
    <row r="1014" spans="1:28" x14ac:dyDescent="0.25">
      <c r="A1014" t="s">
        <v>1018</v>
      </c>
      <c r="B1014">
        <v>0.99252571173614901</v>
      </c>
      <c r="C1014">
        <v>0.98612560849074304</v>
      </c>
      <c r="D1014">
        <v>0.82070671262880501</v>
      </c>
      <c r="E1014">
        <v>0.69549147079428397</v>
      </c>
      <c r="F1014">
        <v>0.37507960459024597</v>
      </c>
      <c r="G1014">
        <v>0.19649406090476301</v>
      </c>
      <c r="H1014">
        <v>0.11350852001603599</v>
      </c>
      <c r="I1014">
        <v>7.8857638764126894E-2</v>
      </c>
      <c r="J1014">
        <v>0.10501250663061</v>
      </c>
      <c r="K1014">
        <v>0.18166920053876001</v>
      </c>
      <c r="L1014">
        <v>942.33871190949606</v>
      </c>
      <c r="M1014">
        <v>18.535288599685501</v>
      </c>
      <c r="N1014">
        <v>51.458828478570098</v>
      </c>
      <c r="O1014">
        <v>50.259579002880301</v>
      </c>
      <c r="P1014">
        <v>-8.2994024692754298E-2</v>
      </c>
      <c r="Q1014">
        <v>9.9866266887302393E-2</v>
      </c>
      <c r="R1014">
        <v>0.98832851131173505</v>
      </c>
      <c r="S1014" t="s">
        <v>7660</v>
      </c>
      <c r="T1014" t="s">
        <v>13290</v>
      </c>
      <c r="U1014" t="s">
        <v>13290</v>
      </c>
      <c r="V1014" t="s">
        <v>13290</v>
      </c>
      <c r="W1014" t="s">
        <v>14283</v>
      </c>
      <c r="X1014">
        <v>3</v>
      </c>
      <c r="Y1014" t="s">
        <v>20868</v>
      </c>
      <c r="Z1014" t="s">
        <v>27344</v>
      </c>
      <c r="AA1014">
        <v>0.43952409375165058</v>
      </c>
      <c r="AB1014" t="str">
        <f>HYPERLINK("Melting_Curves/meltCurve_H6UMI1_GABARAP.pdf", "Melting_Curves/meltCurve_H6UMI1_GABARAP.pdf")</f>
        <v>Melting_Curves/meltCurve_H6UMI1_GABARAP.pdf</v>
      </c>
    </row>
    <row r="1015" spans="1:28" x14ac:dyDescent="0.25">
      <c r="A1015" t="s">
        <v>1019</v>
      </c>
      <c r="B1015">
        <v>0.99252571173614901</v>
      </c>
      <c r="C1015">
        <v>1.0476706863466601</v>
      </c>
      <c r="D1015">
        <v>0.59751705179980097</v>
      </c>
      <c r="E1015">
        <v>0.53977595610973295</v>
      </c>
      <c r="F1015">
        <v>0.211498867746785</v>
      </c>
      <c r="G1015">
        <v>0.101696489575129</v>
      </c>
      <c r="H1015">
        <v>6.7735673214577199E-2</v>
      </c>
      <c r="I1015">
        <v>7.2686629371246994E-2</v>
      </c>
      <c r="J1015">
        <v>7.5303495617268706E-2</v>
      </c>
      <c r="K1015">
        <v>7.0928574775271605E-2</v>
      </c>
      <c r="L1015">
        <v>838.48013115145</v>
      </c>
      <c r="M1015">
        <v>17.242075845745799</v>
      </c>
      <c r="N1015">
        <v>48.957280661403502</v>
      </c>
      <c r="O1015">
        <v>47.989876161505599</v>
      </c>
      <c r="P1015">
        <v>-8.4935359828875595E-2</v>
      </c>
      <c r="Q1015">
        <v>5.4452796304368799E-2</v>
      </c>
      <c r="R1015">
        <v>0.96436182557510197</v>
      </c>
      <c r="S1015" t="s">
        <v>7661</v>
      </c>
      <c r="T1015" t="s">
        <v>13290</v>
      </c>
      <c r="U1015" t="s">
        <v>13290</v>
      </c>
      <c r="V1015" t="s">
        <v>13290</v>
      </c>
      <c r="W1015" t="s">
        <v>14284</v>
      </c>
      <c r="X1015">
        <v>9</v>
      </c>
      <c r="Y1015" t="s">
        <v>20869</v>
      </c>
      <c r="Z1015" t="s">
        <v>27345</v>
      </c>
      <c r="AA1015">
        <v>0.34445173321217493</v>
      </c>
      <c r="AB1015" t="str">
        <f>HYPERLINK("Melting_Curves/meltCurve_H7BXD5_GCA.pdf", "Melting_Curves/meltCurve_H7BXD5_GCA.pdf")</f>
        <v>Melting_Curves/meltCurve_H7BXD5_GCA.pdf</v>
      </c>
    </row>
    <row r="1016" spans="1:28" x14ac:dyDescent="0.25">
      <c r="A1016" t="s">
        <v>1020</v>
      </c>
      <c r="B1016">
        <v>0.99252571173614901</v>
      </c>
      <c r="C1016">
        <v>0.75594337517336496</v>
      </c>
      <c r="D1016">
        <v>0.74860646735153902</v>
      </c>
      <c r="E1016">
        <v>0.42956503312539701</v>
      </c>
      <c r="F1016">
        <v>0.24658765449761999</v>
      </c>
      <c r="G1016">
        <v>0.14257923368509801</v>
      </c>
      <c r="H1016">
        <v>0.10115704893959999</v>
      </c>
      <c r="I1016">
        <v>0.11103385126557</v>
      </c>
      <c r="J1016">
        <v>0.113074246898459</v>
      </c>
      <c r="K1016">
        <v>0.14332239578233599</v>
      </c>
      <c r="L1016">
        <v>716.430962817107</v>
      </c>
      <c r="M1016">
        <v>14.974285424795299</v>
      </c>
      <c r="N1016">
        <v>48.506655034589002</v>
      </c>
      <c r="O1016">
        <v>47.015141544541102</v>
      </c>
      <c r="P1016">
        <v>-7.2267681543908294E-2</v>
      </c>
      <c r="Q1016">
        <v>9.2489776919849095E-2</v>
      </c>
      <c r="R1016">
        <v>0.97876842339521697</v>
      </c>
      <c r="S1016" t="s">
        <v>7662</v>
      </c>
      <c r="T1016" t="s">
        <v>13290</v>
      </c>
      <c r="U1016" t="s">
        <v>13290</v>
      </c>
      <c r="V1016" t="s">
        <v>13290</v>
      </c>
      <c r="W1016" t="s">
        <v>14285</v>
      </c>
      <c r="X1016">
        <v>3</v>
      </c>
      <c r="Y1016" t="s">
        <v>20870</v>
      </c>
      <c r="Z1016" t="s">
        <v>27346</v>
      </c>
      <c r="AA1016">
        <v>0.35338584862355671</v>
      </c>
      <c r="AB1016" t="str">
        <f>HYPERLINK("Melting_Curves/meltCurve_H7BXF5_SAP130.pdf", "Melting_Curves/meltCurve_H7BXF5_SAP130.pdf")</f>
        <v>Melting_Curves/meltCurve_H7BXF5_SAP130.pdf</v>
      </c>
    </row>
    <row r="1017" spans="1:28" x14ac:dyDescent="0.25">
      <c r="A1017" t="s">
        <v>1021</v>
      </c>
      <c r="B1017">
        <v>0.99252571173614901</v>
      </c>
      <c r="C1017">
        <v>0.93734886807419504</v>
      </c>
      <c r="D1017">
        <v>1.0111945917569201</v>
      </c>
      <c r="E1017">
        <v>0.91654888671236301</v>
      </c>
      <c r="F1017">
        <v>0.92249861921422704</v>
      </c>
      <c r="G1017">
        <v>0.34853041099364201</v>
      </c>
      <c r="H1017">
        <v>0.17787378422890099</v>
      </c>
      <c r="I1017">
        <v>0.18543868095987701</v>
      </c>
      <c r="J1017">
        <v>0.182997545451141</v>
      </c>
      <c r="K1017">
        <v>0.18102843224154699</v>
      </c>
      <c r="L1017">
        <v>2995.85045326617</v>
      </c>
      <c r="M1017">
        <v>54.094173582998501</v>
      </c>
      <c r="N1017">
        <v>55.842952889406298</v>
      </c>
      <c r="O1017">
        <v>55.306571732157302</v>
      </c>
      <c r="P1017">
        <v>-0.20049799407275301</v>
      </c>
      <c r="Q1017">
        <v>0.18003336545736501</v>
      </c>
      <c r="R1017">
        <v>0.99219507880389401</v>
      </c>
      <c r="S1017" t="s">
        <v>7663</v>
      </c>
      <c r="T1017" t="s">
        <v>13290</v>
      </c>
      <c r="U1017" t="s">
        <v>13290</v>
      </c>
      <c r="V1017" t="s">
        <v>13290</v>
      </c>
      <c r="W1017" t="s">
        <v>14286</v>
      </c>
      <c r="X1017">
        <v>15</v>
      </c>
      <c r="Y1017" t="s">
        <v>20787</v>
      </c>
      <c r="Z1017" t="s">
        <v>27347</v>
      </c>
      <c r="AA1017">
        <v>0.60217048732681633</v>
      </c>
      <c r="AB1017" t="str">
        <f>HYPERLINK("Melting_Curves/meltCurve_H7BXH2_PPP6R3.pdf", "Melting_Curves/meltCurve_H7BXH2_PPP6R3.pdf")</f>
        <v>Melting_Curves/meltCurve_H7BXH2_PPP6R3.pdf</v>
      </c>
    </row>
    <row r="1018" spans="1:28" x14ac:dyDescent="0.25">
      <c r="A1018" t="s">
        <v>1022</v>
      </c>
      <c r="B1018">
        <v>0.99252571173614901</v>
      </c>
      <c r="C1018">
        <v>1.18452327450978</v>
      </c>
      <c r="D1018">
        <v>1.0125992430986499</v>
      </c>
      <c r="E1018">
        <v>0.84511615124643702</v>
      </c>
      <c r="F1018">
        <v>0.79607479416622395</v>
      </c>
      <c r="G1018">
        <v>0.503176437277009</v>
      </c>
      <c r="H1018">
        <v>0.22231204417205</v>
      </c>
      <c r="I1018">
        <v>0.18706924370964101</v>
      </c>
      <c r="J1018">
        <v>9.6585755177864399E-2</v>
      </c>
      <c r="K1018">
        <v>6.6272949933031303E-2</v>
      </c>
      <c r="L1018">
        <v>1000.56634117704</v>
      </c>
      <c r="M1018">
        <v>17.709041547669301</v>
      </c>
      <c r="N1018">
        <v>56.798103423118803</v>
      </c>
      <c r="O1018">
        <v>55.794620045290799</v>
      </c>
      <c r="P1018">
        <v>-7.5835329020037007E-2</v>
      </c>
      <c r="Q1018">
        <v>4.4334330761741002E-2</v>
      </c>
      <c r="R1018">
        <v>0.97141809053305905</v>
      </c>
      <c r="S1018" t="s">
        <v>7664</v>
      </c>
      <c r="T1018" t="s">
        <v>13290</v>
      </c>
      <c r="U1018" t="s">
        <v>13290</v>
      </c>
      <c r="V1018" t="s">
        <v>13290</v>
      </c>
      <c r="W1018" t="s">
        <v>14287</v>
      </c>
      <c r="X1018">
        <v>2</v>
      </c>
      <c r="Y1018" t="s">
        <v>20871</v>
      </c>
      <c r="Z1018" t="s">
        <v>27348</v>
      </c>
      <c r="AA1018">
        <v>0.5838328622201262</v>
      </c>
      <c r="AB1018" t="str">
        <f>HYPERLINK("Melting_Curves/meltCurve_H7BXH9_METTL21A.pdf", "Melting_Curves/meltCurve_H7BXH9_METTL21A.pdf")</f>
        <v>Melting_Curves/meltCurve_H7BXH9_METTL21A.pdf</v>
      </c>
    </row>
    <row r="1019" spans="1:28" x14ac:dyDescent="0.25">
      <c r="A1019" t="s">
        <v>1023</v>
      </c>
      <c r="B1019">
        <v>0.99252571173614901</v>
      </c>
      <c r="C1019">
        <v>0.90806737971416895</v>
      </c>
      <c r="D1019">
        <v>0.82577699410796401</v>
      </c>
      <c r="E1019">
        <v>0.63344654607034401</v>
      </c>
      <c r="F1019">
        <v>0.242511182577168</v>
      </c>
      <c r="G1019">
        <v>0.114539552688704</v>
      </c>
      <c r="H1019">
        <v>7.7803757428291098E-2</v>
      </c>
      <c r="I1019">
        <v>8.6668775935085998E-2</v>
      </c>
      <c r="J1019">
        <v>9.3936930472552804E-2</v>
      </c>
      <c r="K1019">
        <v>9.1276688735209693E-2</v>
      </c>
      <c r="L1019">
        <v>1023.2187971308</v>
      </c>
      <c r="M1019">
        <v>20.467850186857099</v>
      </c>
      <c r="N1019">
        <v>50.355076279295901</v>
      </c>
      <c r="O1019">
        <v>49.521649831047299</v>
      </c>
      <c r="P1019">
        <v>-9.6233216682472103E-2</v>
      </c>
      <c r="Q1019">
        <v>6.8688495548819298E-2</v>
      </c>
      <c r="R1019">
        <v>0.99085367682698</v>
      </c>
      <c r="S1019" t="s">
        <v>7665</v>
      </c>
      <c r="T1019" t="s">
        <v>13290</v>
      </c>
      <c r="U1019" t="s">
        <v>13290</v>
      </c>
      <c r="V1019" t="s">
        <v>13290</v>
      </c>
      <c r="W1019" t="s">
        <v>14288</v>
      </c>
      <c r="X1019">
        <v>18</v>
      </c>
      <c r="Y1019" t="s">
        <v>20872</v>
      </c>
      <c r="Z1019" t="s">
        <v>27349</v>
      </c>
      <c r="AA1019">
        <v>0.3912543381941872</v>
      </c>
      <c r="AB1019" t="str">
        <f>HYPERLINK("Melting_Curves/meltCurve_H7BXI1_ESYT2.pdf", "Melting_Curves/meltCurve_H7BXI1_ESYT2.pdf")</f>
        <v>Melting_Curves/meltCurve_H7BXI1_ESYT2.pdf</v>
      </c>
    </row>
    <row r="1020" spans="1:28" x14ac:dyDescent="0.25">
      <c r="A1020" t="s">
        <v>1024</v>
      </c>
      <c r="B1020">
        <v>0.99252571173614901</v>
      </c>
      <c r="C1020">
        <v>0.91753354976134205</v>
      </c>
      <c r="D1020">
        <v>0.93000172199213205</v>
      </c>
      <c r="E1020">
        <v>0.91695295152109701</v>
      </c>
      <c r="F1020">
        <v>0.65268939472462495</v>
      </c>
      <c r="G1020">
        <v>0.36300863209610101</v>
      </c>
      <c r="H1020">
        <v>0.154790112411757</v>
      </c>
      <c r="I1020">
        <v>0.123627145401683</v>
      </c>
      <c r="J1020">
        <v>0.15963403724346401</v>
      </c>
      <c r="K1020">
        <v>0.126951238141293</v>
      </c>
      <c r="L1020">
        <v>1234.26378990547</v>
      </c>
      <c r="M1020">
        <v>22.759347745819799</v>
      </c>
      <c r="N1020">
        <v>54.869105492892203</v>
      </c>
      <c r="O1020">
        <v>53.8175974950857</v>
      </c>
      <c r="P1020">
        <v>-9.3434359598011302E-2</v>
      </c>
      <c r="Q1020">
        <v>0.11626381706323601</v>
      </c>
      <c r="R1020">
        <v>0.990709998304104</v>
      </c>
      <c r="S1020" t="s">
        <v>7666</v>
      </c>
      <c r="T1020" t="s">
        <v>13290</v>
      </c>
      <c r="U1020" t="s">
        <v>13290</v>
      </c>
      <c r="V1020" t="s">
        <v>13290</v>
      </c>
      <c r="W1020" t="s">
        <v>14289</v>
      </c>
      <c r="X1020">
        <v>13</v>
      </c>
      <c r="Y1020" t="s">
        <v>20873</v>
      </c>
      <c r="Z1020" t="s">
        <v>27350</v>
      </c>
      <c r="AA1020">
        <v>0.54513895787618172</v>
      </c>
      <c r="AB1020" t="str">
        <f>HYPERLINK("Melting_Curves/meltCurve_H7BXI5_ERGIC3.pdf", "Melting_Curves/meltCurve_H7BXI5_ERGIC3.pdf")</f>
        <v>Melting_Curves/meltCurve_H7BXI5_ERGIC3.pdf</v>
      </c>
    </row>
    <row r="1021" spans="1:28" x14ac:dyDescent="0.25">
      <c r="A1021" t="s">
        <v>1025</v>
      </c>
      <c r="B1021">
        <v>0.99252571173614901</v>
      </c>
      <c r="C1021">
        <v>0.94509549134367798</v>
      </c>
      <c r="D1021">
        <v>0.98956955960691795</v>
      </c>
      <c r="E1021">
        <v>0.736086492104709</v>
      </c>
      <c r="F1021">
        <v>0.63711625898836999</v>
      </c>
      <c r="G1021">
        <v>0.45564259533289903</v>
      </c>
      <c r="H1021">
        <v>0.40694354966477497</v>
      </c>
      <c r="I1021">
        <v>0.43234852050160699</v>
      </c>
      <c r="J1021">
        <v>0.41298709543662898</v>
      </c>
      <c r="K1021">
        <v>0.28735219362889702</v>
      </c>
      <c r="L1021">
        <v>827.464923867376</v>
      </c>
      <c r="M1021">
        <v>15.987721352445901</v>
      </c>
      <c r="N1021">
        <v>56.0763847212922</v>
      </c>
      <c r="O1021">
        <v>50.966868799603901</v>
      </c>
      <c r="P1021">
        <v>-5.0656889226528799E-2</v>
      </c>
      <c r="Q1021">
        <v>0.354099564131447</v>
      </c>
      <c r="R1021">
        <v>0.97040522270149998</v>
      </c>
      <c r="S1021" t="s">
        <v>7667</v>
      </c>
      <c r="T1021" t="s">
        <v>13290</v>
      </c>
      <c r="U1021" t="s">
        <v>13290</v>
      </c>
      <c r="V1021" t="s">
        <v>13290</v>
      </c>
      <c r="W1021" t="s">
        <v>14290</v>
      </c>
      <c r="X1021">
        <v>2</v>
      </c>
      <c r="Y1021" t="s">
        <v>20874</v>
      </c>
      <c r="Z1021" t="s">
        <v>27351</v>
      </c>
      <c r="AA1021">
        <v>0.62036847294783404</v>
      </c>
      <c r="AB1021" t="str">
        <f>HYPERLINK("Melting_Curves/meltCurve_H7BXL1_TMEM41A.pdf", "Melting_Curves/meltCurve_H7BXL1_TMEM41A.pdf")</f>
        <v>Melting_Curves/meltCurve_H7BXL1_TMEM41A.pdf</v>
      </c>
    </row>
    <row r="1022" spans="1:28" x14ac:dyDescent="0.25">
      <c r="A1022" t="s">
        <v>1026</v>
      </c>
      <c r="B1022">
        <v>0.99252571173614901</v>
      </c>
      <c r="C1022">
        <v>0.96175072451878896</v>
      </c>
      <c r="D1022">
        <v>0.87408890928079697</v>
      </c>
      <c r="E1022">
        <v>1.03678950852453</v>
      </c>
      <c r="F1022">
        <v>0.53661044627208898</v>
      </c>
      <c r="G1022">
        <v>0.44336406203144801</v>
      </c>
      <c r="H1022">
        <v>0.38285656656943301</v>
      </c>
      <c r="I1022">
        <v>0.66812761904693097</v>
      </c>
      <c r="J1022">
        <v>0.86868184767724199</v>
      </c>
      <c r="K1022">
        <v>0.44039345697127702</v>
      </c>
      <c r="L1022">
        <v>8554.9204976873407</v>
      </c>
      <c r="M1022">
        <v>166.34258302658699</v>
      </c>
      <c r="O1022">
        <v>51.422104977205002</v>
      </c>
      <c r="P1022">
        <v>-0.35873188205814599</v>
      </c>
      <c r="Q1022">
        <v>0.55641557546971299</v>
      </c>
      <c r="R1022">
        <v>0.68195297515081499</v>
      </c>
      <c r="S1022" t="s">
        <v>7668</v>
      </c>
      <c r="T1022" t="s">
        <v>13290</v>
      </c>
      <c r="U1022" t="s">
        <v>13290</v>
      </c>
      <c r="V1022" t="s">
        <v>13290</v>
      </c>
      <c r="W1022" t="s">
        <v>14291</v>
      </c>
      <c r="X1022">
        <v>3</v>
      </c>
      <c r="Y1022" t="s">
        <v>20875</v>
      </c>
      <c r="Z1022" t="s">
        <v>27352</v>
      </c>
      <c r="AA1022">
        <v>0.72550471909022618</v>
      </c>
      <c r="AB1022" t="str">
        <f>HYPERLINK("Melting_Curves/meltCurve_H7BXW7_MPC1.pdf", "Melting_Curves/meltCurve_H7BXW7_MPC1.pdf")</f>
        <v>Melting_Curves/meltCurve_H7BXW7_MPC1.pdf</v>
      </c>
    </row>
    <row r="1023" spans="1:28" x14ac:dyDescent="0.25">
      <c r="A1023" t="s">
        <v>1027</v>
      </c>
      <c r="B1023">
        <v>0.99252571173614901</v>
      </c>
      <c r="C1023">
        <v>0.97869719373731301</v>
      </c>
      <c r="D1023">
        <v>0.91278175704053699</v>
      </c>
      <c r="E1023">
        <v>0.731123937196972</v>
      </c>
      <c r="F1023">
        <v>0.27541599302372999</v>
      </c>
      <c r="G1023">
        <v>0.20753628622262199</v>
      </c>
      <c r="H1023">
        <v>0.18885819671236201</v>
      </c>
      <c r="I1023">
        <v>0.28644365413804201</v>
      </c>
      <c r="J1023">
        <v>0.20713653681333299</v>
      </c>
      <c r="K1023">
        <v>0.21772804423945399</v>
      </c>
      <c r="L1023">
        <v>2074.33423509675</v>
      </c>
      <c r="M1023">
        <v>41.248318310196701</v>
      </c>
      <c r="N1023">
        <v>50.995766307845699</v>
      </c>
      <c r="O1023">
        <v>50.171175550830597</v>
      </c>
      <c r="P1023">
        <v>-0.160787468255433</v>
      </c>
      <c r="Q1023">
        <v>0.217725075859451</v>
      </c>
      <c r="R1023">
        <v>0.98953319146549801</v>
      </c>
      <c r="S1023" t="s">
        <v>7669</v>
      </c>
      <c r="T1023" t="s">
        <v>13290</v>
      </c>
      <c r="U1023" t="s">
        <v>13290</v>
      </c>
      <c r="V1023" t="s">
        <v>13290</v>
      </c>
      <c r="W1023" t="s">
        <v>14292</v>
      </c>
      <c r="X1023">
        <v>5</v>
      </c>
      <c r="Y1023" t="s">
        <v>20876</v>
      </c>
      <c r="Z1023" t="s">
        <v>27353</v>
      </c>
      <c r="AA1023">
        <v>0.48857419245762029</v>
      </c>
      <c r="AB1023" t="str">
        <f>HYPERLINK("Melting_Curves/meltCurve_H7BXY3_DHX30.pdf", "Melting_Curves/meltCurve_H7BXY3_DHX30.pdf")</f>
        <v>Melting_Curves/meltCurve_H7BXY3_DHX30.pdf</v>
      </c>
    </row>
    <row r="1024" spans="1:28" x14ac:dyDescent="0.25">
      <c r="A1024" t="s">
        <v>1028</v>
      </c>
      <c r="B1024">
        <v>0.99252571173614901</v>
      </c>
      <c r="C1024">
        <v>1.0332886270836701</v>
      </c>
      <c r="D1024">
        <v>0.94421231604387401</v>
      </c>
      <c r="E1024">
        <v>0.751603269241369</v>
      </c>
      <c r="F1024">
        <v>0.41557771338655197</v>
      </c>
      <c r="G1024">
        <v>9.3626055640994105E-2</v>
      </c>
      <c r="H1024">
        <v>5.6296649806231197E-2</v>
      </c>
      <c r="I1024">
        <v>5.3620191421056201E-2</v>
      </c>
      <c r="J1024">
        <v>6.8365083253507306E-2</v>
      </c>
      <c r="K1024">
        <v>7.3451942123855696E-2</v>
      </c>
      <c r="L1024">
        <v>1306.51676467167</v>
      </c>
      <c r="M1024">
        <v>25.196059240813899</v>
      </c>
      <c r="N1024">
        <v>52.062583230133498</v>
      </c>
      <c r="O1024">
        <v>51.530681126311997</v>
      </c>
      <c r="P1024">
        <v>-0.116371509059044</v>
      </c>
      <c r="Q1024">
        <v>4.8005895197421503E-2</v>
      </c>
      <c r="R1024">
        <v>0.99572646555709998</v>
      </c>
      <c r="S1024" t="s">
        <v>7670</v>
      </c>
      <c r="T1024" t="s">
        <v>13290</v>
      </c>
      <c r="U1024" t="s">
        <v>13290</v>
      </c>
      <c r="V1024" t="s">
        <v>13290</v>
      </c>
      <c r="W1024" t="s">
        <v>14293</v>
      </c>
      <c r="X1024">
        <v>16</v>
      </c>
      <c r="Y1024" t="s">
        <v>20877</v>
      </c>
      <c r="Z1024" t="s">
        <v>27354</v>
      </c>
      <c r="AA1024">
        <v>0.43271907216049232</v>
      </c>
      <c r="AB1024" t="str">
        <f>HYPERLINK("Melting_Curves/meltCurve_H7BY58_PCMT1.pdf", "Melting_Curves/meltCurve_H7BY58_PCMT1.pdf")</f>
        <v>Melting_Curves/meltCurve_H7BY58_PCMT1.pdf</v>
      </c>
    </row>
    <row r="1025" spans="1:28" x14ac:dyDescent="0.25">
      <c r="A1025" t="s">
        <v>1029</v>
      </c>
      <c r="B1025">
        <v>0.99252571173614901</v>
      </c>
      <c r="C1025">
        <v>0.92172205583215505</v>
      </c>
      <c r="D1025">
        <v>0.87659857502926797</v>
      </c>
      <c r="E1025">
        <v>0.79481560131053997</v>
      </c>
      <c r="F1025">
        <v>0.67895323257046802</v>
      </c>
      <c r="G1025">
        <v>0.51977718914695803</v>
      </c>
      <c r="H1025">
        <v>0.35010866877623997</v>
      </c>
      <c r="I1025">
        <v>0.35039854950916999</v>
      </c>
      <c r="J1025">
        <v>0.31278247412531601</v>
      </c>
      <c r="K1025">
        <v>0.19054600264070201</v>
      </c>
      <c r="L1025">
        <v>490.33666311073398</v>
      </c>
      <c r="M1025">
        <v>8.7013443753951201</v>
      </c>
      <c r="N1025">
        <v>57.563325450570503</v>
      </c>
      <c r="O1025">
        <v>53.612842673308201</v>
      </c>
      <c r="P1025">
        <v>-3.7210641869280199E-2</v>
      </c>
      <c r="Q1025">
        <v>8.3670651210348196E-2</v>
      </c>
      <c r="R1025">
        <v>0.98913293603269503</v>
      </c>
      <c r="S1025" t="s">
        <v>7671</v>
      </c>
      <c r="T1025" t="s">
        <v>13290</v>
      </c>
      <c r="U1025" t="s">
        <v>13290</v>
      </c>
      <c r="V1025" t="s">
        <v>13290</v>
      </c>
      <c r="W1025" t="s">
        <v>14294</v>
      </c>
      <c r="X1025">
        <v>2</v>
      </c>
      <c r="Y1025" t="s">
        <v>20878</v>
      </c>
      <c r="Z1025" t="s">
        <v>27355</v>
      </c>
      <c r="AA1025">
        <v>0.59983892096623004</v>
      </c>
      <c r="AB1025" t="str">
        <f>HYPERLINK("Melting_Curves/meltCurve_H7BYE5_WRB.pdf", "Melting_Curves/meltCurve_H7BYE5_WRB.pdf")</f>
        <v>Melting_Curves/meltCurve_H7BYE5_WRB.pdf</v>
      </c>
    </row>
    <row r="1026" spans="1:28" x14ac:dyDescent="0.25">
      <c r="A1026" t="s">
        <v>1030</v>
      </c>
      <c r="B1026">
        <v>0.99252571173614901</v>
      </c>
      <c r="C1026">
        <v>0.97774440940468099</v>
      </c>
      <c r="D1026">
        <v>0.87991107160385196</v>
      </c>
      <c r="E1026">
        <v>0.55475415254220595</v>
      </c>
      <c r="F1026">
        <v>0.351102900731046</v>
      </c>
      <c r="G1026">
        <v>0.163035919792648</v>
      </c>
      <c r="H1026">
        <v>0.101434834081612</v>
      </c>
      <c r="I1026">
        <v>0.124851117318986</v>
      </c>
      <c r="J1026">
        <v>0.12684121889760999</v>
      </c>
      <c r="K1026">
        <v>0.14330276264288</v>
      </c>
      <c r="L1026">
        <v>1019.82702305484</v>
      </c>
      <c r="M1026">
        <v>20.445696586802502</v>
      </c>
      <c r="N1026">
        <v>50.529194601919102</v>
      </c>
      <c r="O1026">
        <v>49.409956051552697</v>
      </c>
      <c r="P1026">
        <v>-9.1499477921717101E-2</v>
      </c>
      <c r="Q1026">
        <v>0.115539641776896</v>
      </c>
      <c r="R1026">
        <v>0.99589874584389204</v>
      </c>
      <c r="S1026" t="s">
        <v>7672</v>
      </c>
      <c r="T1026" t="s">
        <v>13290</v>
      </c>
      <c r="U1026" t="s">
        <v>13290</v>
      </c>
      <c r="V1026" t="s">
        <v>13290</v>
      </c>
      <c r="W1026" t="s">
        <v>14295</v>
      </c>
      <c r="X1026">
        <v>3</v>
      </c>
      <c r="Y1026" t="s">
        <v>20879</v>
      </c>
      <c r="Z1026" t="s">
        <v>27356</v>
      </c>
      <c r="AA1026">
        <v>0.41861250390269411</v>
      </c>
      <c r="AB1026" t="str">
        <f>HYPERLINK("Melting_Curves/meltCurve_H7BYJ1_RNF34.pdf", "Melting_Curves/meltCurve_H7BYJ1_RNF34.pdf")</f>
        <v>Melting_Curves/meltCurve_H7BYJ1_RNF34.pdf</v>
      </c>
    </row>
    <row r="1027" spans="1:28" x14ac:dyDescent="0.25">
      <c r="A1027" t="s">
        <v>1031</v>
      </c>
      <c r="B1027">
        <v>0.99252571173614901</v>
      </c>
      <c r="C1027">
        <v>0.96591751764223999</v>
      </c>
      <c r="D1027">
        <v>1.0412561806721901</v>
      </c>
      <c r="E1027">
        <v>1.11039087973025</v>
      </c>
      <c r="F1027">
        <v>1.2140893860850801</v>
      </c>
      <c r="G1027">
        <v>0.31233998155862802</v>
      </c>
      <c r="H1027">
        <v>0.20414052345675601</v>
      </c>
      <c r="I1027">
        <v>0.165096386878266</v>
      </c>
      <c r="J1027">
        <v>0.21746592607658399</v>
      </c>
      <c r="K1027">
        <v>0.218160594018939</v>
      </c>
      <c r="L1027">
        <v>14096.4740791189</v>
      </c>
      <c r="M1027">
        <v>250</v>
      </c>
      <c r="N1027">
        <v>56.502262086177304</v>
      </c>
      <c r="O1027">
        <v>56.382287974643603</v>
      </c>
      <c r="P1027">
        <v>-0.88545565899702605</v>
      </c>
      <c r="Q1027">
        <v>0.201215745405083</v>
      </c>
      <c r="R1027">
        <v>0.965521048735973</v>
      </c>
      <c r="S1027" t="s">
        <v>7673</v>
      </c>
      <c r="T1027" t="s">
        <v>13290</v>
      </c>
      <c r="U1027" t="s">
        <v>13290</v>
      </c>
      <c r="V1027" t="s">
        <v>13290</v>
      </c>
      <c r="W1027" t="s">
        <v>14296</v>
      </c>
      <c r="X1027">
        <v>3</v>
      </c>
      <c r="Y1027" t="s">
        <v>20880</v>
      </c>
      <c r="Z1027" t="s">
        <v>27357</v>
      </c>
      <c r="AA1027">
        <v>0.63758798936323047</v>
      </c>
      <c r="AB1027" t="str">
        <f>HYPERLINK("Melting_Curves/meltCurve_H7BYQ6_INTS9.pdf", "Melting_Curves/meltCurve_H7BYQ6_INTS9.pdf")</f>
        <v>Melting_Curves/meltCurve_H7BYQ6_INTS9.pdf</v>
      </c>
    </row>
    <row r="1028" spans="1:28" x14ac:dyDescent="0.25">
      <c r="A1028" t="s">
        <v>1032</v>
      </c>
      <c r="B1028">
        <v>0.99252571173614901</v>
      </c>
      <c r="C1028">
        <v>1.0264977562969499</v>
      </c>
      <c r="D1028">
        <v>0.899445669545062</v>
      </c>
      <c r="E1028">
        <v>0.90379205502979898</v>
      </c>
      <c r="F1028">
        <v>0.765083218398661</v>
      </c>
      <c r="G1028">
        <v>0.59723218701171998</v>
      </c>
      <c r="H1028">
        <v>0.65137548863306605</v>
      </c>
      <c r="I1028">
        <v>1.06766046041722</v>
      </c>
      <c r="J1028">
        <v>1.7807098884743</v>
      </c>
      <c r="K1028">
        <v>2.05345302584238</v>
      </c>
      <c r="L1028">
        <v>15000</v>
      </c>
      <c r="M1028">
        <v>232.525398545249</v>
      </c>
      <c r="O1028">
        <v>64.504293373290494</v>
      </c>
      <c r="P1028">
        <v>0.45060050683812303</v>
      </c>
      <c r="Q1028">
        <v>1.5</v>
      </c>
      <c r="R1028">
        <v>0.63311819832221905</v>
      </c>
      <c r="S1028" t="s">
        <v>7674</v>
      </c>
      <c r="T1028" t="s">
        <v>13290</v>
      </c>
      <c r="U1028" t="s">
        <v>13290</v>
      </c>
      <c r="V1028" t="s">
        <v>13290</v>
      </c>
      <c r="W1028" t="s">
        <v>14297</v>
      </c>
      <c r="X1028">
        <v>39</v>
      </c>
      <c r="Y1028" t="s">
        <v>20881</v>
      </c>
      <c r="Z1028" t="s">
        <v>27358</v>
      </c>
      <c r="AA1028">
        <v>1.091449863956528</v>
      </c>
      <c r="AB1028" t="str">
        <f>HYPERLINK("Melting_Curves/meltCurve_H7BYY1_TPM1.pdf", "Melting_Curves/meltCurve_H7BYY1_TPM1.pdf")</f>
        <v>Melting_Curves/meltCurve_H7BYY1_TPM1.pdf</v>
      </c>
    </row>
    <row r="1029" spans="1:28" x14ac:dyDescent="0.25">
      <c r="A1029" t="s">
        <v>1033</v>
      </c>
      <c r="B1029">
        <v>0.99252571173614901</v>
      </c>
      <c r="C1029">
        <v>0.94165178913811298</v>
      </c>
      <c r="D1029">
        <v>0.85066391377179296</v>
      </c>
      <c r="E1029">
        <v>0.87374919587817301</v>
      </c>
      <c r="F1029">
        <v>0.68008769213733</v>
      </c>
      <c r="G1029">
        <v>0.49480268646314102</v>
      </c>
      <c r="H1029">
        <v>0.46900764194370398</v>
      </c>
      <c r="I1029">
        <v>0.59666355835919904</v>
      </c>
      <c r="J1029">
        <v>0.98184615088673199</v>
      </c>
      <c r="K1029">
        <v>0.822093787908315</v>
      </c>
      <c r="L1029">
        <v>1008.32651989922</v>
      </c>
      <c r="M1029">
        <v>21.231218483576001</v>
      </c>
      <c r="O1029">
        <v>47.077301880398103</v>
      </c>
      <c r="P1029">
        <v>-3.6340675010659698E-2</v>
      </c>
      <c r="Q1029">
        <v>0.67768637537533605</v>
      </c>
      <c r="R1029">
        <v>0.38139669759461797</v>
      </c>
      <c r="S1029" t="s">
        <v>7675</v>
      </c>
      <c r="T1029" t="s">
        <v>13290</v>
      </c>
      <c r="U1029" t="s">
        <v>13290</v>
      </c>
      <c r="V1029" t="s">
        <v>13290</v>
      </c>
      <c r="W1029" t="s">
        <v>14298</v>
      </c>
      <c r="X1029">
        <v>2</v>
      </c>
      <c r="Y1029" t="s">
        <v>20882</v>
      </c>
      <c r="Z1029" t="s">
        <v>27359</v>
      </c>
      <c r="AA1029">
        <v>0.76226013350533539</v>
      </c>
      <c r="AB1029" t="str">
        <f>HYPERLINK("Melting_Curves/meltCurve_H7BZ70_KRTCAP3.pdf", "Melting_Curves/meltCurve_H7BZ70_KRTCAP3.pdf")</f>
        <v>Melting_Curves/meltCurve_H7BZ70_KRTCAP3.pdf</v>
      </c>
    </row>
    <row r="1030" spans="1:28" x14ac:dyDescent="0.25">
      <c r="A1030" t="s">
        <v>1034</v>
      </c>
      <c r="B1030">
        <v>0.99252571173614901</v>
      </c>
      <c r="C1030">
        <v>1.11844282956996</v>
      </c>
      <c r="D1030">
        <v>0.835045457759233</v>
      </c>
      <c r="E1030">
        <v>0.60151991254239801</v>
      </c>
      <c r="F1030">
        <v>0.36586111693499102</v>
      </c>
      <c r="G1030">
        <v>0.21880848111179901</v>
      </c>
      <c r="H1030">
        <v>0.20503791229816201</v>
      </c>
      <c r="I1030">
        <v>0.37857357747574</v>
      </c>
      <c r="J1030">
        <v>0.47656159661091202</v>
      </c>
      <c r="K1030">
        <v>0.49434134450150502</v>
      </c>
      <c r="L1030">
        <v>1515.6022662824901</v>
      </c>
      <c r="M1030">
        <v>31.301338973192699</v>
      </c>
      <c r="N1030">
        <v>50.389296452528598</v>
      </c>
      <c r="O1030">
        <v>48.223393437448003</v>
      </c>
      <c r="P1030">
        <v>-0.10500761327409899</v>
      </c>
      <c r="Q1030">
        <v>0.35289738554413602</v>
      </c>
      <c r="R1030">
        <v>0.88828472813774395</v>
      </c>
      <c r="S1030" t="s">
        <v>7676</v>
      </c>
      <c r="T1030" t="s">
        <v>13290</v>
      </c>
      <c r="U1030" t="s">
        <v>13290</v>
      </c>
      <c r="V1030" t="s">
        <v>13290</v>
      </c>
      <c r="W1030" t="s">
        <v>14299</v>
      </c>
      <c r="X1030">
        <v>50</v>
      </c>
      <c r="Y1030" t="s">
        <v>20883</v>
      </c>
      <c r="Z1030" t="s">
        <v>27360</v>
      </c>
      <c r="AA1030">
        <v>0.53809447093351659</v>
      </c>
      <c r="AB1030" t="str">
        <f>HYPERLINK("Melting_Curves/meltCurve_H7BZ94_P4HB.pdf", "Melting_Curves/meltCurve_H7BZ94_P4HB.pdf")</f>
        <v>Melting_Curves/meltCurve_H7BZ94_P4HB.pdf</v>
      </c>
    </row>
    <row r="1031" spans="1:28" x14ac:dyDescent="0.25">
      <c r="A1031" t="s">
        <v>1035</v>
      </c>
      <c r="B1031">
        <v>0.99252571173614901</v>
      </c>
      <c r="C1031">
        <v>1.0539006356993901</v>
      </c>
      <c r="D1031">
        <v>0.90970441786180101</v>
      </c>
      <c r="E1031">
        <v>0.44859950905107598</v>
      </c>
      <c r="F1031">
        <v>0.19786302868521999</v>
      </c>
      <c r="G1031">
        <v>0.115603776148961</v>
      </c>
      <c r="H1031">
        <v>9.5334046475513301E-2</v>
      </c>
      <c r="I1031">
        <v>0.107451770848027</v>
      </c>
      <c r="J1031">
        <v>0.147773963389594</v>
      </c>
      <c r="K1031">
        <v>0.14032106105754799</v>
      </c>
      <c r="L1031">
        <v>1692.9660237670801</v>
      </c>
      <c r="M1031">
        <v>34.628669814852699</v>
      </c>
      <c r="N1031">
        <v>49.293034327727597</v>
      </c>
      <c r="O1031">
        <v>48.726964935350203</v>
      </c>
      <c r="P1031">
        <v>-0.15572224055613601</v>
      </c>
      <c r="Q1031">
        <v>0.123518835067363</v>
      </c>
      <c r="R1031">
        <v>0.99550769057496302</v>
      </c>
      <c r="S1031" t="s">
        <v>7677</v>
      </c>
      <c r="T1031" t="s">
        <v>13290</v>
      </c>
      <c r="U1031" t="s">
        <v>13290</v>
      </c>
      <c r="V1031" t="s">
        <v>13290</v>
      </c>
      <c r="W1031" t="s">
        <v>14300</v>
      </c>
      <c r="X1031">
        <v>11</v>
      </c>
      <c r="Y1031" t="s">
        <v>20884</v>
      </c>
      <c r="Z1031" t="s">
        <v>27361</v>
      </c>
      <c r="AA1031">
        <v>0.38719879146709951</v>
      </c>
      <c r="AB1031" t="str">
        <f>HYPERLINK("Melting_Curves/meltCurve_H7BZJ3_PDIA3.pdf", "Melting_Curves/meltCurve_H7BZJ3_PDIA3.pdf")</f>
        <v>Melting_Curves/meltCurve_H7BZJ3_PDIA3.pdf</v>
      </c>
    </row>
    <row r="1032" spans="1:28" x14ac:dyDescent="0.25">
      <c r="A1032" t="s">
        <v>1036</v>
      </c>
      <c r="B1032">
        <v>0.99252571173614901</v>
      </c>
      <c r="C1032">
        <v>1.11010854114357</v>
      </c>
      <c r="D1032">
        <v>0.88999002145468797</v>
      </c>
      <c r="E1032">
        <v>0.67126943401126005</v>
      </c>
      <c r="F1032">
        <v>0.57424130283196895</v>
      </c>
      <c r="G1032">
        <v>0.57107469066907401</v>
      </c>
      <c r="H1032">
        <v>0.61002908586901905</v>
      </c>
      <c r="I1032">
        <v>0.78420927421299802</v>
      </c>
      <c r="J1032">
        <v>1.1140051862684901</v>
      </c>
      <c r="K1032">
        <v>1.1206416907794501</v>
      </c>
      <c r="L1032">
        <v>11500.851631412101</v>
      </c>
      <c r="M1032">
        <v>250</v>
      </c>
      <c r="O1032">
        <v>46.000462597023102</v>
      </c>
      <c r="P1032">
        <v>-0.30173014446171498</v>
      </c>
      <c r="Q1032">
        <v>0.77792438058901903</v>
      </c>
      <c r="R1032">
        <v>0.23627081182592199</v>
      </c>
      <c r="S1032" t="s">
        <v>7678</v>
      </c>
      <c r="T1032" t="s">
        <v>13290</v>
      </c>
      <c r="U1032" t="s">
        <v>13290</v>
      </c>
      <c r="V1032" t="s">
        <v>13290</v>
      </c>
      <c r="W1032" t="s">
        <v>13740</v>
      </c>
      <c r="X1032">
        <v>4</v>
      </c>
      <c r="Z1032" t="s">
        <v>27362</v>
      </c>
      <c r="AA1032">
        <v>0.82238265068108596</v>
      </c>
      <c r="AB1032" t="str">
        <f>HYPERLINK("Melting_Curves/meltCurve_H7BZT4_.pdf", "Melting_Curves/meltCurve_H7BZT4_.pdf")</f>
        <v>Melting_Curves/meltCurve_H7BZT4_.pdf</v>
      </c>
    </row>
    <row r="1033" spans="1:28" x14ac:dyDescent="0.25">
      <c r="A1033" t="s">
        <v>1037</v>
      </c>
      <c r="B1033">
        <v>0.99252571173614901</v>
      </c>
      <c r="C1033">
        <v>1.1107613633264299</v>
      </c>
      <c r="D1033">
        <v>0.90828519342013803</v>
      </c>
      <c r="E1033">
        <v>0.93001847871137699</v>
      </c>
      <c r="F1033">
        <v>0.48122717995751602</v>
      </c>
      <c r="G1033">
        <v>0.43613053402868002</v>
      </c>
      <c r="H1033">
        <v>0.31097515926230801</v>
      </c>
      <c r="I1033">
        <v>0.38827395915136798</v>
      </c>
      <c r="J1033">
        <v>0.57611291020080602</v>
      </c>
      <c r="K1033">
        <v>0.66371622224926496</v>
      </c>
      <c r="L1033">
        <v>4530.6901710499096</v>
      </c>
      <c r="M1033">
        <v>89.475359886600003</v>
      </c>
      <c r="N1033">
        <v>52.388173597513997</v>
      </c>
      <c r="O1033">
        <v>50.610898615314198</v>
      </c>
      <c r="P1033">
        <v>-0.232075945866654</v>
      </c>
      <c r="Q1033">
        <v>0.474913710760548</v>
      </c>
      <c r="R1033">
        <v>0.85942881518233505</v>
      </c>
      <c r="S1033" t="s">
        <v>7679</v>
      </c>
      <c r="T1033" t="s">
        <v>13290</v>
      </c>
      <c r="U1033" t="s">
        <v>13290</v>
      </c>
      <c r="V1033" t="s">
        <v>13290</v>
      </c>
      <c r="W1033" t="s">
        <v>14301</v>
      </c>
      <c r="X1033">
        <v>1</v>
      </c>
      <c r="Y1033" t="s">
        <v>20885</v>
      </c>
      <c r="Z1033" t="s">
        <v>27363</v>
      </c>
      <c r="AA1033">
        <v>0.6614422359817016</v>
      </c>
      <c r="AB1033" t="str">
        <f>HYPERLINK("Melting_Curves/meltCurve_H7C024_GPC1.pdf", "Melting_Curves/meltCurve_H7C024_GPC1.pdf")</f>
        <v>Melting_Curves/meltCurve_H7C024_GPC1.pdf</v>
      </c>
    </row>
    <row r="1034" spans="1:28" x14ac:dyDescent="0.25">
      <c r="A1034" t="s">
        <v>1038</v>
      </c>
      <c r="B1034">
        <v>0.99252571173614901</v>
      </c>
      <c r="C1034">
        <v>1.10411917036353</v>
      </c>
      <c r="D1034">
        <v>0.97218175825148401</v>
      </c>
      <c r="E1034">
        <v>1.0459758509680701</v>
      </c>
      <c r="F1034">
        <v>1.00014567120787</v>
      </c>
      <c r="G1034">
        <v>0.71982439002078202</v>
      </c>
      <c r="H1034">
        <v>0.64302175053254795</v>
      </c>
      <c r="I1034">
        <v>0.73461099727877399</v>
      </c>
      <c r="J1034">
        <v>0.94056909266023603</v>
      </c>
      <c r="K1034">
        <v>1.0498826671646799</v>
      </c>
      <c r="L1034">
        <v>13603.2416944831</v>
      </c>
      <c r="M1034">
        <v>250</v>
      </c>
      <c r="O1034">
        <v>54.409484028651903</v>
      </c>
      <c r="P1034">
        <v>-0.20954317760076699</v>
      </c>
      <c r="Q1034">
        <v>0.81758181913274597</v>
      </c>
      <c r="R1034">
        <v>0.44207294049547702</v>
      </c>
      <c r="S1034" t="s">
        <v>7680</v>
      </c>
      <c r="T1034" t="s">
        <v>13290</v>
      </c>
      <c r="U1034" t="s">
        <v>13290</v>
      </c>
      <c r="V1034" t="s">
        <v>13290</v>
      </c>
      <c r="W1034" t="s">
        <v>14302</v>
      </c>
      <c r="X1034">
        <v>2</v>
      </c>
      <c r="Y1034" t="s">
        <v>20886</v>
      </c>
      <c r="Z1034" t="s">
        <v>27364</v>
      </c>
      <c r="AA1034">
        <v>0.9052388116424166</v>
      </c>
      <c r="AB1034" t="str">
        <f>HYPERLINK("Melting_Curves/meltCurve_H7C091_RBKS.pdf", "Melting_Curves/meltCurve_H7C091_RBKS.pdf")</f>
        <v>Melting_Curves/meltCurve_H7C091_RBKS.pdf</v>
      </c>
    </row>
    <row r="1035" spans="1:28" x14ac:dyDescent="0.25">
      <c r="A1035" t="s">
        <v>1039</v>
      </c>
      <c r="B1035">
        <v>0.99252571173614901</v>
      </c>
      <c r="C1035">
        <v>1.12923054811868</v>
      </c>
      <c r="D1035">
        <v>1.1311413666916099</v>
      </c>
      <c r="E1035">
        <v>1.1480505920417201</v>
      </c>
      <c r="F1035">
        <v>1.5250724848338899</v>
      </c>
      <c r="G1035">
        <v>0.52774582857893104</v>
      </c>
      <c r="H1035">
        <v>0.107174722491661</v>
      </c>
      <c r="I1035">
        <v>9.1860960261884395E-2</v>
      </c>
      <c r="J1035">
        <v>7.7740391956484606E-2</v>
      </c>
      <c r="K1035">
        <v>9.1861550570744702E-2</v>
      </c>
      <c r="L1035">
        <v>14195.4092211551</v>
      </c>
      <c r="M1035">
        <v>250</v>
      </c>
      <c r="N1035">
        <v>56.827947544769899</v>
      </c>
      <c r="O1035">
        <v>56.778015244994798</v>
      </c>
      <c r="P1035">
        <v>-0.99933134529781797</v>
      </c>
      <c r="Q1035">
        <v>9.2159386708435403E-2</v>
      </c>
      <c r="R1035">
        <v>0.88317876454312705</v>
      </c>
      <c r="S1035" t="s">
        <v>7681</v>
      </c>
      <c r="T1035" t="s">
        <v>13290</v>
      </c>
      <c r="U1035" t="s">
        <v>13290</v>
      </c>
      <c r="V1035" t="s">
        <v>13290</v>
      </c>
      <c r="W1035" t="s">
        <v>14303</v>
      </c>
      <c r="X1035">
        <v>2</v>
      </c>
      <c r="Y1035" t="s">
        <v>20887</v>
      </c>
      <c r="Z1035" t="s">
        <v>27365</v>
      </c>
      <c r="AA1035">
        <v>0.60008490454497132</v>
      </c>
      <c r="AB1035" t="str">
        <f>HYPERLINK("Melting_Curves/meltCurve_H7C0G7_NHEJ1.pdf", "Melting_Curves/meltCurve_H7C0G7_NHEJ1.pdf")</f>
        <v>Melting_Curves/meltCurve_H7C0G7_NHEJ1.pdf</v>
      </c>
    </row>
    <row r="1036" spans="1:28" x14ac:dyDescent="0.25">
      <c r="A1036" t="s">
        <v>1040</v>
      </c>
      <c r="B1036">
        <v>0.99252571173614901</v>
      </c>
      <c r="C1036">
        <v>1.1026833425628799</v>
      </c>
      <c r="D1036">
        <v>0.84941979751250296</v>
      </c>
      <c r="E1036">
        <v>0.82212049998505898</v>
      </c>
      <c r="F1036">
        <v>0.52467994261394002</v>
      </c>
      <c r="G1036">
        <v>0.27440308828599502</v>
      </c>
      <c r="H1036">
        <v>0.21165690252569899</v>
      </c>
      <c r="I1036">
        <v>0.18899421685534501</v>
      </c>
      <c r="J1036">
        <v>0.29121048219530199</v>
      </c>
      <c r="K1036">
        <v>0.239117067439794</v>
      </c>
      <c r="L1036">
        <v>1216.75749299421</v>
      </c>
      <c r="M1036">
        <v>23.443961187288402</v>
      </c>
      <c r="N1036">
        <v>53.209542747776197</v>
      </c>
      <c r="O1036">
        <v>51.527493272878999</v>
      </c>
      <c r="P1036">
        <v>-8.8822351551932702E-2</v>
      </c>
      <c r="Q1036">
        <v>0.21912305711555699</v>
      </c>
      <c r="R1036">
        <v>0.96998446555098705</v>
      </c>
      <c r="S1036" t="s">
        <v>7682</v>
      </c>
      <c r="T1036" t="s">
        <v>13290</v>
      </c>
      <c r="U1036" t="s">
        <v>13290</v>
      </c>
      <c r="V1036" t="s">
        <v>13290</v>
      </c>
      <c r="W1036" t="s">
        <v>14304</v>
      </c>
      <c r="X1036">
        <v>5</v>
      </c>
      <c r="Y1036" t="s">
        <v>20888</v>
      </c>
      <c r="Z1036" t="s">
        <v>27366</v>
      </c>
      <c r="AA1036">
        <v>0.53694268249735477</v>
      </c>
      <c r="AB1036" t="str">
        <f>HYPERLINK("Melting_Curves/meltCurve_H7C0J0_CHL1.pdf", "Melting_Curves/meltCurve_H7C0J0_CHL1.pdf")</f>
        <v>Melting_Curves/meltCurve_H7C0J0_CHL1.pdf</v>
      </c>
    </row>
    <row r="1037" spans="1:28" x14ac:dyDescent="0.25">
      <c r="A1037" t="s">
        <v>1041</v>
      </c>
      <c r="B1037">
        <v>0.99252571173614901</v>
      </c>
      <c r="C1037">
        <v>0.82759684469455497</v>
      </c>
      <c r="D1037">
        <v>1.1075329014012101</v>
      </c>
      <c r="E1037">
        <v>1.0831730437041101</v>
      </c>
      <c r="F1037">
        <v>0.65190961820964699</v>
      </c>
      <c r="G1037">
        <v>0.54131745740942505</v>
      </c>
      <c r="H1037">
        <v>0.409662249952848</v>
      </c>
      <c r="I1037">
        <v>0.24849779029300501</v>
      </c>
      <c r="J1037">
        <v>0.29338199911976198</v>
      </c>
      <c r="K1037">
        <v>0.48961255127195302</v>
      </c>
      <c r="L1037">
        <v>1766.7619965359399</v>
      </c>
      <c r="M1037">
        <v>32.949890126425402</v>
      </c>
      <c r="N1037">
        <v>55.890086151007097</v>
      </c>
      <c r="O1037">
        <v>53.423317771741502</v>
      </c>
      <c r="P1037">
        <v>-9.7313808077406402E-2</v>
      </c>
      <c r="Q1037">
        <v>0.36888370198523301</v>
      </c>
      <c r="R1037">
        <v>0.88524238404446398</v>
      </c>
      <c r="S1037" t="s">
        <v>7683</v>
      </c>
      <c r="T1037" t="s">
        <v>13290</v>
      </c>
      <c r="U1037" t="s">
        <v>13290</v>
      </c>
      <c r="V1037" t="s">
        <v>13290</v>
      </c>
      <c r="W1037" t="s">
        <v>14305</v>
      </c>
      <c r="X1037">
        <v>3</v>
      </c>
      <c r="Y1037" t="s">
        <v>20889</v>
      </c>
      <c r="Z1037" t="s">
        <v>27367</v>
      </c>
      <c r="AA1037">
        <v>0.6588380518772351</v>
      </c>
      <c r="AB1037" t="str">
        <f>HYPERLINK("Melting_Curves/meltCurve_H7C0N4_SF1.pdf", "Melting_Curves/meltCurve_H7C0N4_SF1.pdf")</f>
        <v>Melting_Curves/meltCurve_H7C0N4_SF1.pdf</v>
      </c>
    </row>
    <row r="1038" spans="1:28" x14ac:dyDescent="0.25">
      <c r="A1038" t="s">
        <v>1042</v>
      </c>
      <c r="B1038">
        <v>0.99252571173614901</v>
      </c>
      <c r="C1038">
        <v>0.84223413952144399</v>
      </c>
      <c r="D1038">
        <v>0.55521732369728505</v>
      </c>
      <c r="E1038">
        <v>0.28787347631423099</v>
      </c>
      <c r="F1038">
        <v>0.14896854990583899</v>
      </c>
      <c r="G1038">
        <v>7.4671963241529096E-2</v>
      </c>
      <c r="H1038">
        <v>6.2533765867876706E-2</v>
      </c>
      <c r="I1038">
        <v>6.9596300118417401E-2</v>
      </c>
      <c r="J1038">
        <v>0.118217117786899</v>
      </c>
      <c r="K1038">
        <v>0.10463052993311101</v>
      </c>
      <c r="L1038">
        <v>943.753724646509</v>
      </c>
      <c r="M1038">
        <v>20.398015561131299</v>
      </c>
      <c r="N1038">
        <v>46.6802089128646</v>
      </c>
      <c r="O1038">
        <v>45.829143308952801</v>
      </c>
      <c r="P1038">
        <v>-0.10208297132769099</v>
      </c>
      <c r="Q1038">
        <v>8.2609872225024195E-2</v>
      </c>
      <c r="R1038">
        <v>0.99556065726096898</v>
      </c>
      <c r="S1038" t="s">
        <v>7684</v>
      </c>
      <c r="T1038" t="s">
        <v>13290</v>
      </c>
      <c r="U1038" t="s">
        <v>13290</v>
      </c>
      <c r="V1038" t="s">
        <v>13290</v>
      </c>
      <c r="W1038" t="s">
        <v>14306</v>
      </c>
      <c r="X1038">
        <v>5</v>
      </c>
      <c r="Y1038" t="s">
        <v>20890</v>
      </c>
      <c r="Z1038" t="s">
        <v>27368</v>
      </c>
      <c r="AA1038">
        <v>0.28757465156911421</v>
      </c>
      <c r="AB1038" t="str">
        <f>HYPERLINK("Melting_Curves/meltCurve_H7C107_IQSEC1.pdf", "Melting_Curves/meltCurve_H7C107_IQSEC1.pdf")</f>
        <v>Melting_Curves/meltCurve_H7C107_IQSEC1.pdf</v>
      </c>
    </row>
    <row r="1039" spans="1:28" x14ac:dyDescent="0.25">
      <c r="A1039" t="s">
        <v>1043</v>
      </c>
      <c r="B1039">
        <v>0.99252571173614901</v>
      </c>
      <c r="C1039">
        <v>0.85039412485473798</v>
      </c>
      <c r="D1039">
        <v>0.70455310388290504</v>
      </c>
      <c r="E1039">
        <v>0.35123486963615302</v>
      </c>
      <c r="F1039">
        <v>0.21408389046486201</v>
      </c>
      <c r="G1039">
        <v>0.15148023140890099</v>
      </c>
      <c r="H1039">
        <v>0.106123359173676</v>
      </c>
      <c r="I1039">
        <v>0.106794420450864</v>
      </c>
      <c r="J1039">
        <v>9.3178234139668498E-2</v>
      </c>
      <c r="K1039">
        <v>0.13000467083436401</v>
      </c>
      <c r="L1039">
        <v>888.00462694546002</v>
      </c>
      <c r="M1039">
        <v>18.7494216061719</v>
      </c>
      <c r="N1039">
        <v>47.960861466639599</v>
      </c>
      <c r="O1039">
        <v>46.832802420439201</v>
      </c>
      <c r="P1039">
        <v>-8.9640941560687706E-2</v>
      </c>
      <c r="Q1039">
        <v>0.104407485937433</v>
      </c>
      <c r="R1039">
        <v>0.99590840726954499</v>
      </c>
      <c r="S1039" t="s">
        <v>7685</v>
      </c>
      <c r="T1039" t="s">
        <v>13290</v>
      </c>
      <c r="U1039" t="s">
        <v>13290</v>
      </c>
      <c r="V1039" t="s">
        <v>13290</v>
      </c>
      <c r="W1039" t="s">
        <v>14307</v>
      </c>
      <c r="X1039">
        <v>2</v>
      </c>
      <c r="Y1039" t="s">
        <v>20891</v>
      </c>
      <c r="Z1039" t="s">
        <v>27369</v>
      </c>
      <c r="AA1039">
        <v>0.33906522611163181</v>
      </c>
      <c r="AB1039" t="str">
        <f>HYPERLINK("Melting_Curves/meltCurve_H7C155_RAF1.pdf", "Melting_Curves/meltCurve_H7C155_RAF1.pdf")</f>
        <v>Melting_Curves/meltCurve_H7C155_RAF1.pdf</v>
      </c>
    </row>
    <row r="1040" spans="1:28" x14ac:dyDescent="0.25">
      <c r="A1040" t="s">
        <v>1044</v>
      </c>
      <c r="B1040">
        <v>0.99252571173614901</v>
      </c>
      <c r="C1040">
        <v>0.967415167775036</v>
      </c>
      <c r="D1040">
        <v>1.23992407848702</v>
      </c>
      <c r="E1040">
        <v>1.5702986324350301</v>
      </c>
      <c r="F1040">
        <v>1.55307556467312</v>
      </c>
      <c r="G1040">
        <v>1.26510359599184</v>
      </c>
      <c r="H1040">
        <v>0.93403639669383498</v>
      </c>
      <c r="I1040">
        <v>1.0912582669240201</v>
      </c>
      <c r="J1040">
        <v>1.66599432160326</v>
      </c>
      <c r="K1040">
        <v>1.64603403552815</v>
      </c>
      <c r="L1040">
        <v>11478.233422577299</v>
      </c>
      <c r="M1040">
        <v>250</v>
      </c>
      <c r="O1040">
        <v>45.909996061528602</v>
      </c>
      <c r="P1040">
        <v>0.53011347491640604</v>
      </c>
      <c r="Q1040">
        <v>1.3894001160796901</v>
      </c>
      <c r="R1040">
        <v>0.33821343308151303</v>
      </c>
      <c r="S1040" t="s">
        <v>7686</v>
      </c>
      <c r="T1040" t="s">
        <v>13290</v>
      </c>
      <c r="U1040" t="s">
        <v>13290</v>
      </c>
      <c r="V1040" t="s">
        <v>13290</v>
      </c>
      <c r="W1040" t="s">
        <v>14308</v>
      </c>
      <c r="X1040">
        <v>4</v>
      </c>
      <c r="Y1040" t="s">
        <v>20892</v>
      </c>
      <c r="Z1040" t="s">
        <v>27370</v>
      </c>
      <c r="AA1040">
        <v>1.312618837408178</v>
      </c>
      <c r="AB1040" t="str">
        <f>HYPERLINK("Melting_Curves/meltCurve_H7C173_MZT2B.pdf", "Melting_Curves/meltCurve_H7C173_MZT2B.pdf")</f>
        <v>Melting_Curves/meltCurve_H7C173_MZT2B.pdf</v>
      </c>
    </row>
    <row r="1041" spans="1:28" x14ac:dyDescent="0.25">
      <c r="A1041" t="s">
        <v>1045</v>
      </c>
      <c r="B1041">
        <v>0.99252571173614901</v>
      </c>
      <c r="C1041">
        <v>0.74859939921192498</v>
      </c>
      <c r="D1041">
        <v>1.12431425233114</v>
      </c>
      <c r="E1041">
        <v>0.53255502199787796</v>
      </c>
      <c r="F1041">
        <v>0.249944478585827</v>
      </c>
      <c r="G1041">
        <v>0.238887640661056</v>
      </c>
      <c r="H1041">
        <v>0.22240364196499701</v>
      </c>
      <c r="I1041">
        <v>0.310373292107745</v>
      </c>
      <c r="J1041">
        <v>0.49963405795247401</v>
      </c>
      <c r="K1041">
        <v>0.57673914812280302</v>
      </c>
      <c r="L1041">
        <v>12353.455875531299</v>
      </c>
      <c r="M1041">
        <v>250</v>
      </c>
      <c r="N1041">
        <v>49.6525018618118</v>
      </c>
      <c r="O1041">
        <v>49.4106612424427</v>
      </c>
      <c r="P1041">
        <v>-0.82261635816013301</v>
      </c>
      <c r="Q1041">
        <v>0.34966370812139402</v>
      </c>
      <c r="R1041">
        <v>0.79057260675630003</v>
      </c>
      <c r="S1041" t="s">
        <v>7687</v>
      </c>
      <c r="T1041" t="s">
        <v>13290</v>
      </c>
      <c r="U1041" t="s">
        <v>13290</v>
      </c>
      <c r="V1041" t="s">
        <v>13290</v>
      </c>
      <c r="W1041" t="s">
        <v>14309</v>
      </c>
      <c r="X1041">
        <v>1</v>
      </c>
      <c r="Y1041" t="s">
        <v>20893</v>
      </c>
      <c r="Z1041" t="s">
        <v>27371</v>
      </c>
      <c r="AA1041">
        <v>0.55379180789646165</v>
      </c>
      <c r="AB1041" t="str">
        <f>HYPERLINK("Melting_Curves/meltCurve_H7C1F9_RALGAPA2.pdf", "Melting_Curves/meltCurve_H7C1F9_RALGAPA2.pdf")</f>
        <v>Melting_Curves/meltCurve_H7C1F9_RALGAPA2.pdf</v>
      </c>
    </row>
    <row r="1042" spans="1:28" x14ac:dyDescent="0.25">
      <c r="A1042" t="s">
        <v>1046</v>
      </c>
      <c r="B1042">
        <v>0.99252571173614901</v>
      </c>
      <c r="C1042">
        <v>0.78611262610835897</v>
      </c>
      <c r="D1042">
        <v>0.86414570432430104</v>
      </c>
      <c r="E1042">
        <v>0.78073510691903503</v>
      </c>
      <c r="F1042">
        <v>0.37294099788436602</v>
      </c>
      <c r="G1042">
        <v>0.23399614437230801</v>
      </c>
      <c r="H1042">
        <v>0.108937214884015</v>
      </c>
      <c r="I1042">
        <v>8.3511233783713501E-2</v>
      </c>
      <c r="J1042">
        <v>6.81631312247995E-2</v>
      </c>
      <c r="K1042">
        <v>6.8918149503881102E-2</v>
      </c>
      <c r="L1042">
        <v>766.64666573740101</v>
      </c>
      <c r="M1042">
        <v>14.767329609458001</v>
      </c>
      <c r="N1042">
        <v>52.1127104147088</v>
      </c>
      <c r="O1042">
        <v>50.990926668813998</v>
      </c>
      <c r="P1042">
        <v>-7.0437395091097796E-2</v>
      </c>
      <c r="Q1042">
        <v>2.72358130774672E-2</v>
      </c>
      <c r="R1042">
        <v>0.964999870314868</v>
      </c>
      <c r="S1042" t="s">
        <v>7688</v>
      </c>
      <c r="T1042" t="s">
        <v>13290</v>
      </c>
      <c r="U1042" t="s">
        <v>13290</v>
      </c>
      <c r="V1042" t="s">
        <v>13290</v>
      </c>
      <c r="W1042" t="s">
        <v>14310</v>
      </c>
      <c r="X1042">
        <v>1</v>
      </c>
      <c r="Y1042" t="s">
        <v>20894</v>
      </c>
      <c r="Z1042" t="s">
        <v>27372</v>
      </c>
      <c r="AA1042">
        <v>0.43592715842210089</v>
      </c>
      <c r="AB1042" t="str">
        <f>HYPERLINK("Melting_Curves/meltCurve_H7C1I0_SLC35E1.pdf", "Melting_Curves/meltCurve_H7C1I0_SLC35E1.pdf")</f>
        <v>Melting_Curves/meltCurve_H7C1I0_SLC35E1.pdf</v>
      </c>
    </row>
    <row r="1043" spans="1:28" x14ac:dyDescent="0.25">
      <c r="A1043" t="s">
        <v>1047</v>
      </c>
      <c r="B1043">
        <v>0.99252571173614901</v>
      </c>
      <c r="C1043">
        <v>0.95177346418294795</v>
      </c>
      <c r="D1043">
        <v>0.90779752271190095</v>
      </c>
      <c r="E1043">
        <v>0.83923146471853205</v>
      </c>
      <c r="F1043">
        <v>0.47719917173465498</v>
      </c>
      <c r="G1043">
        <v>0.35100550199498098</v>
      </c>
      <c r="H1043">
        <v>0.29383503338410799</v>
      </c>
      <c r="I1043">
        <v>0.37433820130649298</v>
      </c>
      <c r="J1043">
        <v>0.57397789290825696</v>
      </c>
      <c r="K1043">
        <v>0.47970658664598997</v>
      </c>
      <c r="L1043">
        <v>2221.5239706524999</v>
      </c>
      <c r="M1043">
        <v>43.882375107676197</v>
      </c>
      <c r="N1043">
        <v>52.739889436736</v>
      </c>
      <c r="O1043">
        <v>50.519720664222298</v>
      </c>
      <c r="P1043">
        <v>-0.12725546429804799</v>
      </c>
      <c r="Q1043">
        <v>0.413987848080836</v>
      </c>
      <c r="R1043">
        <v>0.90874650656116196</v>
      </c>
      <c r="S1043" t="s">
        <v>7689</v>
      </c>
      <c r="T1043" t="s">
        <v>13290</v>
      </c>
      <c r="U1043" t="s">
        <v>13290</v>
      </c>
      <c r="V1043" t="s">
        <v>13290</v>
      </c>
      <c r="W1043" t="s">
        <v>14311</v>
      </c>
      <c r="X1043">
        <v>3</v>
      </c>
      <c r="Y1043" t="s">
        <v>20895</v>
      </c>
      <c r="Z1043" t="s">
        <v>27373</v>
      </c>
      <c r="AA1043">
        <v>0.62322599570984827</v>
      </c>
      <c r="AB1043" t="str">
        <f>HYPERLINK("Melting_Curves/meltCurve_H7C1N3_BET1.pdf", "Melting_Curves/meltCurve_H7C1N3_BET1.pdf")</f>
        <v>Melting_Curves/meltCurve_H7C1N3_BET1.pdf</v>
      </c>
    </row>
    <row r="1044" spans="1:28" x14ac:dyDescent="0.25">
      <c r="A1044" t="s">
        <v>1048</v>
      </c>
      <c r="B1044">
        <v>0.99252571173614901</v>
      </c>
      <c r="C1044">
        <v>1.04893077011178</v>
      </c>
      <c r="D1044">
        <v>0.92551797422436799</v>
      </c>
      <c r="E1044">
        <v>0.64475220669663702</v>
      </c>
      <c r="F1044">
        <v>0.31732455248686198</v>
      </c>
      <c r="G1044">
        <v>0.225142656807689</v>
      </c>
      <c r="H1044">
        <v>0.211612250383341</v>
      </c>
      <c r="I1044">
        <v>0.263430165539147</v>
      </c>
      <c r="J1044">
        <v>0.404900629203859</v>
      </c>
      <c r="K1044">
        <v>0.47182619083261201</v>
      </c>
      <c r="L1044">
        <v>2108.0492776921301</v>
      </c>
      <c r="M1044">
        <v>42.639556167489602</v>
      </c>
      <c r="N1044">
        <v>50.592943961555697</v>
      </c>
      <c r="O1044">
        <v>49.330445351219197</v>
      </c>
      <c r="P1044">
        <v>-0.148894876822522</v>
      </c>
      <c r="Q1044">
        <v>0.31096477192251998</v>
      </c>
      <c r="R1044">
        <v>0.93831636028349596</v>
      </c>
      <c r="S1044" t="s">
        <v>7690</v>
      </c>
      <c r="T1044" t="s">
        <v>13290</v>
      </c>
      <c r="U1044" t="s">
        <v>13290</v>
      </c>
      <c r="V1044" t="s">
        <v>13290</v>
      </c>
      <c r="W1044" t="s">
        <v>14312</v>
      </c>
      <c r="X1044">
        <v>5</v>
      </c>
      <c r="Y1044" t="s">
        <v>20896</v>
      </c>
      <c r="Z1044" t="s">
        <v>27374</v>
      </c>
      <c r="AA1044">
        <v>0.52982512111868929</v>
      </c>
      <c r="AB1044" t="str">
        <f>HYPERLINK("Melting_Curves/meltCurve_H7C1U3_CC2D1B.pdf", "Melting_Curves/meltCurve_H7C1U3_CC2D1B.pdf")</f>
        <v>Melting_Curves/meltCurve_H7C1U3_CC2D1B.pdf</v>
      </c>
    </row>
    <row r="1045" spans="1:28" x14ac:dyDescent="0.25">
      <c r="A1045" t="s">
        <v>1049</v>
      </c>
      <c r="B1045">
        <v>0.99252571173614901</v>
      </c>
      <c r="C1045">
        <v>0.95734329615533598</v>
      </c>
      <c r="D1045">
        <v>0.86836889174432197</v>
      </c>
      <c r="E1045">
        <v>0.88783440047100504</v>
      </c>
      <c r="F1045">
        <v>0.69388179208212197</v>
      </c>
      <c r="G1045">
        <v>0.71292764616055504</v>
      </c>
      <c r="H1045">
        <v>0.628523877839681</v>
      </c>
      <c r="I1045">
        <v>0.65743685991964995</v>
      </c>
      <c r="J1045">
        <v>0.83763740011023802</v>
      </c>
      <c r="K1045">
        <v>0.61450069342455704</v>
      </c>
      <c r="L1045">
        <v>763.19522722167801</v>
      </c>
      <c r="M1045">
        <v>15.683875259691501</v>
      </c>
      <c r="O1045">
        <v>47.8906535447978</v>
      </c>
      <c r="P1045">
        <v>-2.6464744765407801E-2</v>
      </c>
      <c r="Q1045">
        <v>0.67678747343093404</v>
      </c>
      <c r="R1045">
        <v>0.757749132043538</v>
      </c>
      <c r="S1045" t="s">
        <v>7691</v>
      </c>
      <c r="T1045" t="s">
        <v>13290</v>
      </c>
      <c r="U1045" t="s">
        <v>13290</v>
      </c>
      <c r="V1045" t="s">
        <v>13290</v>
      </c>
      <c r="W1045" t="s">
        <v>14313</v>
      </c>
      <c r="X1045">
        <v>6</v>
      </c>
      <c r="Y1045" t="s">
        <v>20897</v>
      </c>
      <c r="Z1045" t="s">
        <v>27375</v>
      </c>
      <c r="AA1045">
        <v>0.77751538288691602</v>
      </c>
      <c r="AB1045" t="str">
        <f>HYPERLINK("Melting_Curves/meltCurve_H7C1U8_APOO.pdf", "Melting_Curves/meltCurve_H7C1U8_APOO.pdf")</f>
        <v>Melting_Curves/meltCurve_H7C1U8_APOO.pdf</v>
      </c>
    </row>
    <row r="1046" spans="1:28" x14ac:dyDescent="0.25">
      <c r="A1046" t="s">
        <v>1050</v>
      </c>
      <c r="B1046">
        <v>0.99252571173614901</v>
      </c>
      <c r="C1046">
        <v>0.93806531678051497</v>
      </c>
      <c r="D1046">
        <v>0.73813858304810798</v>
      </c>
      <c r="E1046">
        <v>0.47381732771614399</v>
      </c>
      <c r="F1046">
        <v>0.20261424594913899</v>
      </c>
      <c r="G1046">
        <v>0.11201751264952201</v>
      </c>
      <c r="H1046">
        <v>0.121245385523371</v>
      </c>
      <c r="I1046">
        <v>0.14955161611061701</v>
      </c>
      <c r="J1046">
        <v>0.16731581885736199</v>
      </c>
      <c r="K1046">
        <v>0.149118881767205</v>
      </c>
      <c r="L1046">
        <v>1028.67776150948</v>
      </c>
      <c r="M1046">
        <v>21.375502614407001</v>
      </c>
      <c r="N1046">
        <v>48.809854805893501</v>
      </c>
      <c r="O1046">
        <v>47.708890149415097</v>
      </c>
      <c r="P1046">
        <v>-9.7484724786903704E-2</v>
      </c>
      <c r="Q1046">
        <v>0.12970061595211901</v>
      </c>
      <c r="R1046">
        <v>0.99306280466113095</v>
      </c>
      <c r="S1046" t="s">
        <v>7692</v>
      </c>
      <c r="T1046" t="s">
        <v>13290</v>
      </c>
      <c r="U1046" t="s">
        <v>13290</v>
      </c>
      <c r="V1046" t="s">
        <v>13290</v>
      </c>
      <c r="W1046" t="s">
        <v>14314</v>
      </c>
      <c r="X1046">
        <v>1</v>
      </c>
      <c r="Y1046" t="s">
        <v>20898</v>
      </c>
      <c r="Z1046" t="s">
        <v>27376</v>
      </c>
      <c r="AA1046">
        <v>0.37610074600650412</v>
      </c>
      <c r="AB1046" t="str">
        <f>HYPERLINK("Melting_Curves/meltCurve_H7C270_CTDSP1.pdf", "Melting_Curves/meltCurve_H7C270_CTDSP1.pdf")</f>
        <v>Melting_Curves/meltCurve_H7C270_CTDSP1.pdf</v>
      </c>
    </row>
    <row r="1047" spans="1:28" x14ac:dyDescent="0.25">
      <c r="A1047" t="s">
        <v>1051</v>
      </c>
      <c r="B1047">
        <v>0.99252571173614901</v>
      </c>
      <c r="C1047">
        <v>1.0304430470411901</v>
      </c>
      <c r="D1047">
        <v>0.94740366098231699</v>
      </c>
      <c r="E1047">
        <v>1.0047417733781401</v>
      </c>
      <c r="F1047">
        <v>0.551016819362798</v>
      </c>
      <c r="G1047">
        <v>0.44138775323655199</v>
      </c>
      <c r="H1047">
        <v>0.35968502173809702</v>
      </c>
      <c r="I1047">
        <v>0.41817383224078802</v>
      </c>
      <c r="J1047">
        <v>0.58191927187454595</v>
      </c>
      <c r="K1047">
        <v>0.43614123090470303</v>
      </c>
      <c r="L1047">
        <v>13221.962054682701</v>
      </c>
      <c r="M1047">
        <v>250</v>
      </c>
      <c r="N1047">
        <v>53.368823744750003</v>
      </c>
      <c r="O1047">
        <v>52.884463658849199</v>
      </c>
      <c r="P1047">
        <v>-0.65300201516168299</v>
      </c>
      <c r="Q1047">
        <v>0.44746141828451602</v>
      </c>
      <c r="R1047">
        <v>0.95700064567883103</v>
      </c>
      <c r="S1047" t="s">
        <v>7693</v>
      </c>
      <c r="T1047" t="s">
        <v>13290</v>
      </c>
      <c r="U1047" t="s">
        <v>13290</v>
      </c>
      <c r="V1047" t="s">
        <v>13290</v>
      </c>
      <c r="W1047" t="s">
        <v>14315</v>
      </c>
      <c r="X1047">
        <v>2</v>
      </c>
      <c r="Y1047" t="s">
        <v>20899</v>
      </c>
      <c r="Z1047" t="s">
        <v>27377</v>
      </c>
      <c r="AA1047">
        <v>0.68488048265645551</v>
      </c>
      <c r="AB1047" t="str">
        <f>HYPERLINK("Melting_Curves/meltCurve_H7C285_TSPAN15.pdf", "Melting_Curves/meltCurve_H7C285_TSPAN15.pdf")</f>
        <v>Melting_Curves/meltCurve_H7C285_TSPAN15.pdf</v>
      </c>
    </row>
    <row r="1048" spans="1:28" x14ac:dyDescent="0.25">
      <c r="A1048" t="s">
        <v>1052</v>
      </c>
      <c r="B1048">
        <v>0.99252571173614901</v>
      </c>
      <c r="C1048">
        <v>1.0515358289480301</v>
      </c>
      <c r="D1048">
        <v>0.98040297456562997</v>
      </c>
      <c r="E1048">
        <v>1.01993808936562</v>
      </c>
      <c r="F1048">
        <v>0.853249553610547</v>
      </c>
      <c r="G1048">
        <v>0.60995775813368502</v>
      </c>
      <c r="H1048">
        <v>0.25306590740467</v>
      </c>
      <c r="I1048">
        <v>0.206345683036322</v>
      </c>
      <c r="J1048">
        <v>0.19139916470387799</v>
      </c>
      <c r="K1048">
        <v>0.18502553454069401</v>
      </c>
      <c r="L1048">
        <v>1592.33525543313</v>
      </c>
      <c r="M1048">
        <v>28.056351464068101</v>
      </c>
      <c r="N1048">
        <v>57.625311406060703</v>
      </c>
      <c r="O1048">
        <v>56.468909544738104</v>
      </c>
      <c r="P1048">
        <v>-0.102758905335269</v>
      </c>
      <c r="Q1048">
        <v>0.172717241062708</v>
      </c>
      <c r="R1048">
        <v>0.99448038622888602</v>
      </c>
      <c r="S1048" t="s">
        <v>7694</v>
      </c>
      <c r="T1048" t="s">
        <v>13290</v>
      </c>
      <c r="U1048" t="s">
        <v>13290</v>
      </c>
      <c r="V1048" t="s">
        <v>13290</v>
      </c>
      <c r="W1048" t="s">
        <v>14316</v>
      </c>
      <c r="X1048">
        <v>15</v>
      </c>
      <c r="Y1048" t="s">
        <v>20900</v>
      </c>
      <c r="Z1048" t="s">
        <v>27378</v>
      </c>
      <c r="AA1048">
        <v>0.64095108783569288</v>
      </c>
      <c r="AB1048" t="str">
        <f>HYPERLINK("Melting_Curves/meltCurve_H7C2U6_NIPSNAP1.pdf", "Melting_Curves/meltCurve_H7C2U6_NIPSNAP1.pdf")</f>
        <v>Melting_Curves/meltCurve_H7C2U6_NIPSNAP1.pdf</v>
      </c>
    </row>
    <row r="1049" spans="1:28" x14ac:dyDescent="0.25">
      <c r="A1049" t="s">
        <v>1053</v>
      </c>
      <c r="B1049">
        <v>0.99252571173614901</v>
      </c>
      <c r="C1049">
        <v>1.0108297174976399</v>
      </c>
      <c r="D1049">
        <v>0.94141504793372899</v>
      </c>
      <c r="E1049">
        <v>0.98034593707559203</v>
      </c>
      <c r="F1049">
        <v>0.51386888358940996</v>
      </c>
      <c r="G1049">
        <v>0.287890036557927</v>
      </c>
      <c r="H1049">
        <v>0.21103663628584901</v>
      </c>
      <c r="I1049">
        <v>0.206659318237079</v>
      </c>
      <c r="J1049">
        <v>0.24343931535827501</v>
      </c>
      <c r="K1049">
        <v>0.29590828377442402</v>
      </c>
      <c r="L1049">
        <v>2697.9206969829902</v>
      </c>
      <c r="M1049">
        <v>51.279632266467502</v>
      </c>
      <c r="N1049">
        <v>53.311468230383298</v>
      </c>
      <c r="O1049">
        <v>52.532108347181797</v>
      </c>
      <c r="P1049">
        <v>-0.18427789471575901</v>
      </c>
      <c r="Q1049">
        <v>0.24488548155190401</v>
      </c>
      <c r="R1049">
        <v>0.99196412194380001</v>
      </c>
      <c r="S1049" t="s">
        <v>7695</v>
      </c>
      <c r="T1049" t="s">
        <v>13290</v>
      </c>
      <c r="U1049" t="s">
        <v>13290</v>
      </c>
      <c r="V1049" t="s">
        <v>13290</v>
      </c>
      <c r="W1049" t="s">
        <v>14317</v>
      </c>
      <c r="X1049">
        <v>4</v>
      </c>
      <c r="Y1049" t="s">
        <v>20901</v>
      </c>
      <c r="Z1049" t="s">
        <v>27379</v>
      </c>
      <c r="AA1049">
        <v>0.56399944719937312</v>
      </c>
      <c r="AB1049" t="str">
        <f>HYPERLINK("Melting_Curves/meltCurve_H7C2W9_RPL31.pdf", "Melting_Curves/meltCurve_H7C2W9_RPL31.pdf")</f>
        <v>Melting_Curves/meltCurve_H7C2W9_RPL31.pdf</v>
      </c>
    </row>
    <row r="1050" spans="1:28" x14ac:dyDescent="0.25">
      <c r="A1050" t="s">
        <v>1054</v>
      </c>
      <c r="B1050">
        <v>0.99252571173614901</v>
      </c>
      <c r="C1050">
        <v>1.0997554428418299</v>
      </c>
      <c r="D1050">
        <v>1.48026555727818</v>
      </c>
      <c r="E1050">
        <v>6.15650637797716</v>
      </c>
      <c r="F1050">
        <v>2.7647173147988302</v>
      </c>
      <c r="G1050">
        <v>3.1201526713445098</v>
      </c>
      <c r="H1050">
        <v>3.89339964550692</v>
      </c>
      <c r="I1050">
        <v>9.0147804798464506</v>
      </c>
      <c r="J1050">
        <v>9.2183256979736399</v>
      </c>
      <c r="K1050">
        <v>4.9905705820305499</v>
      </c>
      <c r="L1050">
        <v>4045.8297962472702</v>
      </c>
      <c r="M1050">
        <v>92.914375473921496</v>
      </c>
      <c r="O1050">
        <v>43.523476894995603</v>
      </c>
      <c r="P1050">
        <v>0.266851331718304</v>
      </c>
      <c r="Q1050">
        <v>1.5</v>
      </c>
      <c r="R1050">
        <v>-0.91726519970624998</v>
      </c>
      <c r="S1050" t="s">
        <v>7696</v>
      </c>
      <c r="T1050" t="s">
        <v>13290</v>
      </c>
      <c r="U1050" t="s">
        <v>13290</v>
      </c>
      <c r="V1050" t="s">
        <v>13290</v>
      </c>
      <c r="W1050" t="s">
        <v>14318</v>
      </c>
      <c r="X1050">
        <v>2</v>
      </c>
      <c r="Y1050" t="s">
        <v>20902</v>
      </c>
      <c r="Z1050" t="s">
        <v>27380</v>
      </c>
      <c r="AA1050">
        <v>1.440660668150368</v>
      </c>
      <c r="AB1050" t="str">
        <f>HYPERLINK("Melting_Curves/meltCurve_H7C368_OSBP2.pdf", "Melting_Curves/meltCurve_H7C368_OSBP2.pdf")</f>
        <v>Melting_Curves/meltCurve_H7C368_OSBP2.pdf</v>
      </c>
    </row>
    <row r="1051" spans="1:28" x14ac:dyDescent="0.25">
      <c r="A1051" t="s">
        <v>1055</v>
      </c>
      <c r="B1051">
        <v>0.99252571173614901</v>
      </c>
      <c r="C1051">
        <v>1.03860731785886</v>
      </c>
      <c r="D1051">
        <v>0.98625220799181901</v>
      </c>
      <c r="E1051">
        <v>0.87764038902826302</v>
      </c>
      <c r="F1051">
        <v>0.81839154360605204</v>
      </c>
      <c r="G1051">
        <v>0.55199204924242595</v>
      </c>
      <c r="H1051">
        <v>0.22968245513430699</v>
      </c>
      <c r="I1051">
        <v>0.115290694514337</v>
      </c>
      <c r="J1051">
        <v>8.9751905448673203E-2</v>
      </c>
      <c r="K1051">
        <v>7.8665713622043804E-2</v>
      </c>
      <c r="L1051">
        <v>1105.0653199611099</v>
      </c>
      <c r="M1051">
        <v>19.412651526058202</v>
      </c>
      <c r="N1051">
        <v>57.137985253435502</v>
      </c>
      <c r="O1051">
        <v>56.331277263104802</v>
      </c>
      <c r="P1051">
        <v>-8.3150096540129503E-2</v>
      </c>
      <c r="Q1051">
        <v>3.4901834472448399E-2</v>
      </c>
      <c r="R1051">
        <v>0.99421683607245104</v>
      </c>
      <c r="S1051" t="s">
        <v>7697</v>
      </c>
      <c r="T1051" t="s">
        <v>13290</v>
      </c>
      <c r="U1051" t="s">
        <v>13290</v>
      </c>
      <c r="V1051" t="s">
        <v>13290</v>
      </c>
      <c r="W1051" t="s">
        <v>14319</v>
      </c>
      <c r="X1051">
        <v>15</v>
      </c>
      <c r="Y1051" t="s">
        <v>20903</v>
      </c>
      <c r="Z1051" t="s">
        <v>27381</v>
      </c>
      <c r="AA1051">
        <v>0.59166870533194249</v>
      </c>
      <c r="AB1051" t="str">
        <f>HYPERLINK("Melting_Curves/meltCurve_H7C3G9_NAGK.pdf", "Melting_Curves/meltCurve_H7C3G9_NAGK.pdf")</f>
        <v>Melting_Curves/meltCurve_H7C3G9_NAGK.pdf</v>
      </c>
    </row>
    <row r="1052" spans="1:28" x14ac:dyDescent="0.25">
      <c r="A1052" t="s">
        <v>1056</v>
      </c>
      <c r="B1052">
        <v>0.99252571173614901</v>
      </c>
      <c r="C1052">
        <v>1.0197534292874499</v>
      </c>
      <c r="D1052">
        <v>1.0317971831028001</v>
      </c>
      <c r="E1052">
        <v>0.91185810703311099</v>
      </c>
      <c r="F1052">
        <v>0.84620532935930404</v>
      </c>
      <c r="G1052">
        <v>0.74023954002620795</v>
      </c>
      <c r="H1052">
        <v>0.64006650777994401</v>
      </c>
      <c r="I1052">
        <v>0.47480209024523201</v>
      </c>
      <c r="J1052">
        <v>0.28742773099762198</v>
      </c>
      <c r="K1052">
        <v>0.36584544778963801</v>
      </c>
      <c r="L1052">
        <v>690.16557431642104</v>
      </c>
      <c r="M1052">
        <v>11.278812748783</v>
      </c>
      <c r="N1052">
        <v>63.121830500226899</v>
      </c>
      <c r="O1052">
        <v>59.362366271564298</v>
      </c>
      <c r="P1052">
        <v>-4.0583481748622398E-2</v>
      </c>
      <c r="Q1052">
        <v>0.145869782869507</v>
      </c>
      <c r="R1052">
        <v>0.97334350329814001</v>
      </c>
      <c r="S1052" t="s">
        <v>7698</v>
      </c>
      <c r="T1052" t="s">
        <v>13290</v>
      </c>
      <c r="U1052" t="s">
        <v>13290</v>
      </c>
      <c r="V1052" t="s">
        <v>13290</v>
      </c>
      <c r="W1052" t="s">
        <v>14320</v>
      </c>
      <c r="X1052">
        <v>11</v>
      </c>
      <c r="Y1052" t="s">
        <v>20904</v>
      </c>
      <c r="Z1052" t="s">
        <v>27382</v>
      </c>
      <c r="AA1052">
        <v>0.74243499304590999</v>
      </c>
      <c r="AB1052" t="str">
        <f>HYPERLINK("Melting_Curves/meltCurve_H7C3P4_GNS.pdf", "Melting_Curves/meltCurve_H7C3P4_GNS.pdf")</f>
        <v>Melting_Curves/meltCurve_H7C3P4_GNS.pdf</v>
      </c>
    </row>
    <row r="1053" spans="1:28" x14ac:dyDescent="0.25">
      <c r="A1053" t="s">
        <v>1057</v>
      </c>
      <c r="B1053">
        <v>0.99252571173614901</v>
      </c>
      <c r="C1053">
        <v>1.11328213857721</v>
      </c>
      <c r="D1053">
        <v>1.0073988580408599</v>
      </c>
      <c r="E1053">
        <v>1.0035180832845501</v>
      </c>
      <c r="F1053">
        <v>0.35881048582282299</v>
      </c>
      <c r="G1053">
        <v>0.281517245096502</v>
      </c>
      <c r="H1053">
        <v>0.181138470322672</v>
      </c>
      <c r="I1053">
        <v>0.12950295252344099</v>
      </c>
      <c r="J1053">
        <v>0.10885137850498</v>
      </c>
      <c r="K1053">
        <v>0.145506548822492</v>
      </c>
      <c r="L1053">
        <v>3831.7604443579398</v>
      </c>
      <c r="M1053">
        <v>73.213968626945004</v>
      </c>
      <c r="N1053">
        <v>52.631267643982198</v>
      </c>
      <c r="O1053">
        <v>52.297443480014003</v>
      </c>
      <c r="P1053">
        <v>-0.291119333661152</v>
      </c>
      <c r="Q1053">
        <v>0.16820250068147199</v>
      </c>
      <c r="R1053">
        <v>0.98167804614767196</v>
      </c>
      <c r="S1053" t="s">
        <v>7699</v>
      </c>
      <c r="T1053" t="s">
        <v>13290</v>
      </c>
      <c r="U1053" t="s">
        <v>13290</v>
      </c>
      <c r="V1053" t="s">
        <v>13290</v>
      </c>
      <c r="W1053" t="s">
        <v>14321</v>
      </c>
      <c r="X1053">
        <v>4</v>
      </c>
      <c r="Y1053" t="s">
        <v>20905</v>
      </c>
      <c r="Z1053" t="s">
        <v>27383</v>
      </c>
      <c r="AA1053">
        <v>0.51114350415923193</v>
      </c>
      <c r="AB1053" t="str">
        <f>HYPERLINK("Melting_Curves/meltCurve_H7C3Q6_MITD1.pdf", "Melting_Curves/meltCurve_H7C3Q6_MITD1.pdf")</f>
        <v>Melting_Curves/meltCurve_H7C3Q6_MITD1.pdf</v>
      </c>
    </row>
    <row r="1054" spans="1:28" x14ac:dyDescent="0.25">
      <c r="A1054" t="s">
        <v>1058</v>
      </c>
      <c r="B1054">
        <v>0.99252571173614901</v>
      </c>
      <c r="C1054">
        <v>0.92677295353138001</v>
      </c>
      <c r="D1054">
        <v>1.04509264536366</v>
      </c>
      <c r="E1054">
        <v>0.80409054495968602</v>
      </c>
      <c r="F1054">
        <v>0.72146637764146904</v>
      </c>
      <c r="G1054">
        <v>0.439099369415764</v>
      </c>
      <c r="H1054">
        <v>0.34119672283668101</v>
      </c>
      <c r="I1054">
        <v>0.155107005174937</v>
      </c>
      <c r="J1054">
        <v>0.172241209016924</v>
      </c>
      <c r="K1054">
        <v>0.21449960393544301</v>
      </c>
      <c r="L1054">
        <v>882.80050999304206</v>
      </c>
      <c r="M1054">
        <v>16.071207155523101</v>
      </c>
      <c r="N1054">
        <v>56.113302778325803</v>
      </c>
      <c r="O1054">
        <v>54.101203560697797</v>
      </c>
      <c r="P1054">
        <v>-6.3600072021854095E-2</v>
      </c>
      <c r="Q1054">
        <v>0.14366746414929599</v>
      </c>
      <c r="R1054">
        <v>0.97668961580468905</v>
      </c>
      <c r="S1054" t="s">
        <v>7700</v>
      </c>
      <c r="T1054" t="s">
        <v>13290</v>
      </c>
      <c r="U1054" t="s">
        <v>13290</v>
      </c>
      <c r="V1054" t="s">
        <v>13290</v>
      </c>
      <c r="W1054" t="s">
        <v>14322</v>
      </c>
      <c r="X1054">
        <v>1</v>
      </c>
      <c r="Y1054" t="s">
        <v>20906</v>
      </c>
      <c r="Z1054" t="s">
        <v>27384</v>
      </c>
      <c r="AA1054">
        <v>0.58519926326893323</v>
      </c>
      <c r="AB1054" t="str">
        <f>HYPERLINK("Melting_Curves/meltCurve_H7C3T2_ATG2A.pdf", "Melting_Curves/meltCurve_H7C3T2_ATG2A.pdf")</f>
        <v>Melting_Curves/meltCurve_H7C3T2_ATG2A.pdf</v>
      </c>
    </row>
    <row r="1055" spans="1:28" x14ac:dyDescent="0.25">
      <c r="A1055" t="s">
        <v>1059</v>
      </c>
      <c r="B1055">
        <v>0.99252571173614901</v>
      </c>
      <c r="C1055">
        <v>0.98917746520044103</v>
      </c>
      <c r="D1055">
        <v>0.96733456763493497</v>
      </c>
      <c r="E1055">
        <v>0.49861667816703098</v>
      </c>
      <c r="F1055">
        <v>0.78766520920907401</v>
      </c>
      <c r="G1055">
        <v>0.73295299071141096</v>
      </c>
      <c r="H1055">
        <v>0.82866031471249402</v>
      </c>
      <c r="I1055">
        <v>1.1337251570611999</v>
      </c>
      <c r="J1055">
        <v>1.6637343598576499</v>
      </c>
      <c r="K1055">
        <v>1.9261065296125901</v>
      </c>
      <c r="L1055">
        <v>15000</v>
      </c>
      <c r="M1055">
        <v>233.367851593311</v>
      </c>
      <c r="O1055">
        <v>64.271478118203305</v>
      </c>
      <c r="P1055">
        <v>0.45387128375291602</v>
      </c>
      <c r="Q1055">
        <v>1.5</v>
      </c>
      <c r="R1055">
        <v>0.64041053577877305</v>
      </c>
      <c r="S1055" t="s">
        <v>7701</v>
      </c>
      <c r="T1055" t="s">
        <v>13290</v>
      </c>
      <c r="U1055" t="s">
        <v>13290</v>
      </c>
      <c r="V1055" t="s">
        <v>13290</v>
      </c>
      <c r="W1055" t="s">
        <v>14323</v>
      </c>
      <c r="X1055">
        <v>1</v>
      </c>
      <c r="Y1055" t="s">
        <v>20907</v>
      </c>
      <c r="Z1055" t="s">
        <v>27385</v>
      </c>
      <c r="AA1055">
        <v>1.0953318440294251</v>
      </c>
      <c r="AB1055" t="str">
        <f>HYPERLINK("Melting_Curves/meltCurve_H7C3Z1_TTC3.pdf", "Melting_Curves/meltCurve_H7C3Z1_TTC3.pdf")</f>
        <v>Melting_Curves/meltCurve_H7C3Z1_TTC3.pdf</v>
      </c>
    </row>
    <row r="1056" spans="1:28" x14ac:dyDescent="0.25">
      <c r="A1056" t="s">
        <v>1060</v>
      </c>
      <c r="B1056">
        <v>0.99252571173614901</v>
      </c>
      <c r="C1056">
        <v>1.0707499042915201</v>
      </c>
      <c r="D1056">
        <v>0.89306076073384399</v>
      </c>
      <c r="E1056">
        <v>0.56634978312718898</v>
      </c>
      <c r="F1056">
        <v>0.241743435281982</v>
      </c>
      <c r="G1056">
        <v>0.139144014653174</v>
      </c>
      <c r="H1056">
        <v>0.11311539120134401</v>
      </c>
      <c r="I1056">
        <v>0.12354072037229601</v>
      </c>
      <c r="J1056">
        <v>0.10342796429616501</v>
      </c>
      <c r="K1056">
        <v>0.114502701786243</v>
      </c>
      <c r="L1056">
        <v>1362.2838786597099</v>
      </c>
      <c r="M1056">
        <v>27.419503625739999</v>
      </c>
      <c r="N1056">
        <v>50.147619351159598</v>
      </c>
      <c r="O1056">
        <v>49.421013766570702</v>
      </c>
      <c r="P1056">
        <v>-0.12314658373267701</v>
      </c>
      <c r="Q1056">
        <v>0.112168860754306</v>
      </c>
      <c r="R1056">
        <v>0.99502910884356499</v>
      </c>
      <c r="S1056" t="s">
        <v>7702</v>
      </c>
      <c r="T1056" t="s">
        <v>13290</v>
      </c>
      <c r="U1056" t="s">
        <v>13290</v>
      </c>
      <c r="V1056" t="s">
        <v>13290</v>
      </c>
      <c r="W1056" t="s">
        <v>14049</v>
      </c>
      <c r="X1056">
        <v>8</v>
      </c>
      <c r="Z1056" t="s">
        <v>27386</v>
      </c>
      <c r="AA1056">
        <v>0.40529064557635402</v>
      </c>
      <c r="AB1056" t="str">
        <f>HYPERLINK("Melting_Curves/meltCurve_H7C417_.pdf", "Melting_Curves/meltCurve_H7C417_.pdf")</f>
        <v>Melting_Curves/meltCurve_H7C417_.pdf</v>
      </c>
    </row>
    <row r="1057" spans="1:28" x14ac:dyDescent="0.25">
      <c r="A1057" t="s">
        <v>1061</v>
      </c>
      <c r="B1057">
        <v>0.99252571173614901</v>
      </c>
      <c r="C1057">
        <v>1.21729135844526</v>
      </c>
      <c r="D1057">
        <v>1.1185946453315401</v>
      </c>
      <c r="E1057">
        <v>1.14669909630844</v>
      </c>
      <c r="F1057">
        <v>1.0042525512929901</v>
      </c>
      <c r="G1057">
        <v>0.89997877000166404</v>
      </c>
      <c r="H1057">
        <v>1.1024074008601801</v>
      </c>
      <c r="I1057">
        <v>1.6705460522915101</v>
      </c>
      <c r="J1057">
        <v>2.95549723390763</v>
      </c>
      <c r="K1057">
        <v>3.5417790769200899</v>
      </c>
      <c r="L1057">
        <v>15000</v>
      </c>
      <c r="M1057">
        <v>245.35427663681099</v>
      </c>
      <c r="O1057">
        <v>61.132023519143203</v>
      </c>
      <c r="P1057">
        <v>0.50168934146153799</v>
      </c>
      <c r="Q1057">
        <v>1.5</v>
      </c>
      <c r="R1057">
        <v>0.161727172316629</v>
      </c>
      <c r="S1057" t="s">
        <v>7703</v>
      </c>
      <c r="T1057" t="s">
        <v>13290</v>
      </c>
      <c r="U1057" t="s">
        <v>13290</v>
      </c>
      <c r="V1057" t="s">
        <v>13290</v>
      </c>
      <c r="W1057" t="s">
        <v>14324</v>
      </c>
      <c r="X1057">
        <v>2</v>
      </c>
      <c r="Y1057" t="s">
        <v>20908</v>
      </c>
      <c r="Z1057" t="s">
        <v>27387</v>
      </c>
      <c r="AA1057">
        <v>1.147676212952176</v>
      </c>
      <c r="AB1057" t="str">
        <f>HYPERLINK("Melting_Curves/meltCurve_H7C446_PPAN.pdf", "Melting_Curves/meltCurve_H7C446_PPAN.pdf")</f>
        <v>Melting_Curves/meltCurve_H7C446_PPAN.pdf</v>
      </c>
    </row>
    <row r="1058" spans="1:28" x14ac:dyDescent="0.25">
      <c r="A1058" t="s">
        <v>1062</v>
      </c>
      <c r="B1058">
        <v>0.99252571173614901</v>
      </c>
      <c r="C1058">
        <v>0.80496291809475895</v>
      </c>
      <c r="D1058">
        <v>0.81951016935098098</v>
      </c>
      <c r="E1058">
        <v>0.82778479825964801</v>
      </c>
      <c r="F1058">
        <v>0.53184213125957103</v>
      </c>
      <c r="G1058">
        <v>0.31575894388023001</v>
      </c>
      <c r="H1058">
        <v>0.11016129468069701</v>
      </c>
      <c r="I1058">
        <v>4.3834115525641398E-2</v>
      </c>
      <c r="J1058">
        <v>4.0828663298733699E-2</v>
      </c>
      <c r="K1058">
        <v>3.8292275472499103E-2</v>
      </c>
      <c r="L1058">
        <v>753.72995286128696</v>
      </c>
      <c r="M1058">
        <v>14.1065197241627</v>
      </c>
      <c r="N1058">
        <v>53.431321424860897</v>
      </c>
      <c r="O1058">
        <v>52.3919553933423</v>
      </c>
      <c r="P1058">
        <v>-6.7321102206739203E-2</v>
      </c>
      <c r="Q1058">
        <v>0</v>
      </c>
      <c r="R1058">
        <v>0.96601132375228704</v>
      </c>
      <c r="S1058" t="s">
        <v>7704</v>
      </c>
      <c r="T1058" t="s">
        <v>13290</v>
      </c>
      <c r="U1058" t="s">
        <v>13290</v>
      </c>
      <c r="V1058" t="s">
        <v>13290</v>
      </c>
      <c r="W1058" t="s">
        <v>14325</v>
      </c>
      <c r="X1058">
        <v>1</v>
      </c>
      <c r="Y1058" t="s">
        <v>20909</v>
      </c>
      <c r="Z1058" t="s">
        <v>27388</v>
      </c>
      <c r="AA1058">
        <v>0.47056045106085881</v>
      </c>
      <c r="AB1058" t="str">
        <f>HYPERLINK("Melting_Curves/meltCurve_H7C484_ARV1.pdf", "Melting_Curves/meltCurve_H7C484_ARV1.pdf")</f>
        <v>Melting_Curves/meltCurve_H7C484_ARV1.pdf</v>
      </c>
    </row>
    <row r="1059" spans="1:28" x14ac:dyDescent="0.25">
      <c r="A1059" t="s">
        <v>1063</v>
      </c>
      <c r="B1059">
        <v>0.99252571173614901</v>
      </c>
      <c r="C1059">
        <v>0.98201325371395498</v>
      </c>
      <c r="D1059">
        <v>0.61944473381021703</v>
      </c>
      <c r="E1059">
        <v>0.271463937882998</v>
      </c>
      <c r="F1059">
        <v>0.18876212984610599</v>
      </c>
      <c r="G1059">
        <v>0.121603255988265</v>
      </c>
      <c r="H1059">
        <v>7.7957895088636195E-2</v>
      </c>
      <c r="I1059">
        <v>8.9417205754828699E-2</v>
      </c>
      <c r="J1059">
        <v>3.3533679354219401E-2</v>
      </c>
      <c r="K1059">
        <v>5.6883072470651302E-2</v>
      </c>
      <c r="L1059">
        <v>1148.5737644231101</v>
      </c>
      <c r="M1059">
        <v>24.4677811702959</v>
      </c>
      <c r="N1059">
        <v>47.284294292673898</v>
      </c>
      <c r="O1059">
        <v>46.632111771866697</v>
      </c>
      <c r="P1059">
        <v>-0.120538299526423</v>
      </c>
      <c r="Q1059">
        <v>8.1098267195124099E-2</v>
      </c>
      <c r="R1059">
        <v>0.99021511790848105</v>
      </c>
      <c r="S1059" t="s">
        <v>7705</v>
      </c>
      <c r="T1059" t="s">
        <v>13290</v>
      </c>
      <c r="U1059" t="s">
        <v>13290</v>
      </c>
      <c r="V1059" t="s">
        <v>13290</v>
      </c>
      <c r="W1059" t="s">
        <v>14326</v>
      </c>
      <c r="X1059">
        <v>1</v>
      </c>
      <c r="Y1059" t="s">
        <v>20910</v>
      </c>
      <c r="Z1059" t="s">
        <v>27389</v>
      </c>
      <c r="AA1059">
        <v>0.30235575809221388</v>
      </c>
      <c r="AB1059" t="str">
        <f>HYPERLINK("Melting_Curves/meltCurve_H7C4K1_STK19.pdf", "Melting_Curves/meltCurve_H7C4K1_STK19.pdf")</f>
        <v>Melting_Curves/meltCurve_H7C4K1_STK19.pdf</v>
      </c>
    </row>
    <row r="1060" spans="1:28" x14ac:dyDescent="0.25">
      <c r="A1060" t="s">
        <v>1064</v>
      </c>
      <c r="B1060">
        <v>0.99252571173614901</v>
      </c>
      <c r="C1060">
        <v>1.35406589959705</v>
      </c>
      <c r="D1060">
        <v>1.0092048361875201</v>
      </c>
      <c r="E1060">
        <v>0</v>
      </c>
      <c r="F1060">
        <v>5.1265113076431499</v>
      </c>
      <c r="G1060">
        <v>0.74348398825637296</v>
      </c>
      <c r="H1060">
        <v>0.69478387493017701</v>
      </c>
      <c r="I1060">
        <v>0.71715020667129703</v>
      </c>
      <c r="J1060">
        <v>0.30070853753462101</v>
      </c>
      <c r="K1060">
        <v>0.13757826536920101</v>
      </c>
      <c r="L1060">
        <v>1871.1016436262</v>
      </c>
      <c r="M1060">
        <v>28.738846636760599</v>
      </c>
      <c r="N1060">
        <v>65.223101133702897</v>
      </c>
      <c r="O1060">
        <v>64.794278746454495</v>
      </c>
      <c r="P1060">
        <v>-0.108122056766308</v>
      </c>
      <c r="Q1060">
        <v>2.4924788863217699E-2</v>
      </c>
      <c r="R1060">
        <v>6.3553921469814201E-2</v>
      </c>
      <c r="S1060" t="s">
        <v>7706</v>
      </c>
      <c r="T1060" t="s">
        <v>13290</v>
      </c>
      <c r="U1060" t="s">
        <v>13290</v>
      </c>
      <c r="V1060" t="s">
        <v>13290</v>
      </c>
      <c r="W1060" t="s">
        <v>14327</v>
      </c>
      <c r="X1060">
        <v>1</v>
      </c>
      <c r="Y1060" t="s">
        <v>20911</v>
      </c>
      <c r="Z1060" t="s">
        <v>27390</v>
      </c>
      <c r="AA1060">
        <v>0.83788904307363765</v>
      </c>
      <c r="AB1060" t="str">
        <f>HYPERLINK("Melting_Curves/meltCurve_H7C4W1_ITGB5.pdf", "Melting_Curves/meltCurve_H7C4W1_ITGB5.pdf")</f>
        <v>Melting_Curves/meltCurve_H7C4W1_ITGB5.pdf</v>
      </c>
    </row>
    <row r="1061" spans="1:28" x14ac:dyDescent="0.25">
      <c r="A1061" t="s">
        <v>1065</v>
      </c>
      <c r="B1061">
        <v>0.99252571173614901</v>
      </c>
      <c r="C1061">
        <v>0.95626928352770801</v>
      </c>
      <c r="D1061">
        <v>0.71125417014193804</v>
      </c>
      <c r="E1061">
        <v>0.49747190439040401</v>
      </c>
      <c r="F1061">
        <v>0.388745121123872</v>
      </c>
      <c r="G1061">
        <v>0.23392003688526899</v>
      </c>
      <c r="H1061">
        <v>0.20630158029631401</v>
      </c>
      <c r="I1061">
        <v>0.29025399344456498</v>
      </c>
      <c r="J1061">
        <v>0.38840550860178702</v>
      </c>
      <c r="K1061">
        <v>0.40341505651170501</v>
      </c>
      <c r="L1061">
        <v>1071.6429229831499</v>
      </c>
      <c r="M1061">
        <v>22.787359730335801</v>
      </c>
      <c r="N1061">
        <v>49.106484762536503</v>
      </c>
      <c r="O1061">
        <v>46.670272480123302</v>
      </c>
      <c r="P1061">
        <v>-8.4298021151792996E-2</v>
      </c>
      <c r="Q1061">
        <v>0.30941799433474998</v>
      </c>
      <c r="R1061">
        <v>0.94791544324381105</v>
      </c>
      <c r="S1061" t="s">
        <v>7707</v>
      </c>
      <c r="T1061" t="s">
        <v>13290</v>
      </c>
      <c r="U1061" t="s">
        <v>13290</v>
      </c>
      <c r="V1061" t="s">
        <v>13290</v>
      </c>
      <c r="W1061" t="s">
        <v>14328</v>
      </c>
      <c r="X1061">
        <v>7</v>
      </c>
      <c r="Y1061" t="s">
        <v>20912</v>
      </c>
      <c r="Z1061" t="s">
        <v>27391</v>
      </c>
      <c r="AA1061">
        <v>0.47876100151764012</v>
      </c>
      <c r="AB1061" t="str">
        <f>HYPERLINK("Melting_Curves/meltCurve_H7C4X9_ZMYND8.pdf", "Melting_Curves/meltCurve_H7C4X9_ZMYND8.pdf")</f>
        <v>Melting_Curves/meltCurve_H7C4X9_ZMYND8.pdf</v>
      </c>
    </row>
    <row r="1062" spans="1:28" x14ac:dyDescent="0.25">
      <c r="A1062" t="s">
        <v>1066</v>
      </c>
      <c r="B1062">
        <v>0.99252571173614901</v>
      </c>
      <c r="C1062">
        <v>0.87441676215918296</v>
      </c>
      <c r="D1062">
        <v>0.77167190000573804</v>
      </c>
      <c r="E1062">
        <v>0.69032149314263702</v>
      </c>
      <c r="F1062">
        <v>0.50761939836659897</v>
      </c>
      <c r="G1062">
        <v>0.40453017310255601</v>
      </c>
      <c r="H1062">
        <v>0.34435727166840102</v>
      </c>
      <c r="I1062">
        <v>0.449079007339445</v>
      </c>
      <c r="J1062">
        <v>0.68540452574126698</v>
      </c>
      <c r="K1062">
        <v>0.68969143139081301</v>
      </c>
      <c r="L1062">
        <v>908.21090585267802</v>
      </c>
      <c r="M1062">
        <v>19.624762580825099</v>
      </c>
      <c r="O1062">
        <v>45.806330939491097</v>
      </c>
      <c r="P1062">
        <v>-5.2060552941781899E-2</v>
      </c>
      <c r="Q1062">
        <v>0.51395713254792597</v>
      </c>
      <c r="R1062">
        <v>0.70473773617484803</v>
      </c>
      <c r="S1062" t="s">
        <v>7708</v>
      </c>
      <c r="T1062" t="s">
        <v>13290</v>
      </c>
      <c r="U1062" t="s">
        <v>13290</v>
      </c>
      <c r="V1062" t="s">
        <v>13290</v>
      </c>
      <c r="W1062" t="s">
        <v>14329</v>
      </c>
      <c r="X1062">
        <v>1</v>
      </c>
      <c r="Y1062" t="s">
        <v>20913</v>
      </c>
      <c r="Z1062" t="s">
        <v>27392</v>
      </c>
      <c r="AA1062">
        <v>0.62338397778280386</v>
      </c>
      <c r="AB1062" t="str">
        <f>HYPERLINK("Melting_Curves/meltCurve_H7C5F7_NDFIP2.pdf", "Melting_Curves/meltCurve_H7C5F7_NDFIP2.pdf")</f>
        <v>Melting_Curves/meltCurve_H7C5F7_NDFIP2.pdf</v>
      </c>
    </row>
    <row r="1063" spans="1:28" x14ac:dyDescent="0.25">
      <c r="A1063" t="s">
        <v>1067</v>
      </c>
      <c r="B1063">
        <v>0.99252571173614901</v>
      </c>
      <c r="C1063">
        <v>1.10457906823143</v>
      </c>
      <c r="D1063">
        <v>1.0417231142949701</v>
      </c>
      <c r="E1063">
        <v>1.0190908349694501</v>
      </c>
      <c r="F1063">
        <v>0.908217841387994</v>
      </c>
      <c r="G1063">
        <v>0.80848535092976603</v>
      </c>
      <c r="H1063">
        <v>0.76917876841156196</v>
      </c>
      <c r="I1063">
        <v>0.67504420422532796</v>
      </c>
      <c r="J1063">
        <v>0.230577692894326</v>
      </c>
      <c r="K1063">
        <v>0.18258768065676101</v>
      </c>
      <c r="L1063">
        <v>1206.56454740821</v>
      </c>
      <c r="M1063">
        <v>18.6742278924152</v>
      </c>
      <c r="N1063">
        <v>64.611214808903796</v>
      </c>
      <c r="O1063">
        <v>63.883974534892502</v>
      </c>
      <c r="P1063">
        <v>-7.3081813430909706E-2</v>
      </c>
      <c r="Q1063">
        <v>0</v>
      </c>
      <c r="R1063">
        <v>0.93665868590144796</v>
      </c>
      <c r="S1063" t="s">
        <v>7709</v>
      </c>
      <c r="T1063" t="s">
        <v>13290</v>
      </c>
      <c r="U1063" t="s">
        <v>13290</v>
      </c>
      <c r="V1063" t="s">
        <v>13290</v>
      </c>
      <c r="W1063" t="s">
        <v>14330</v>
      </c>
      <c r="X1063">
        <v>7</v>
      </c>
      <c r="Y1063" t="s">
        <v>20914</v>
      </c>
      <c r="Z1063" t="s">
        <v>27393</v>
      </c>
      <c r="AA1063">
        <v>0.80835869206269229</v>
      </c>
      <c r="AB1063" t="str">
        <f>HYPERLINK("Melting_Curves/meltCurve_H7C5G1_IAH1.pdf", "Melting_Curves/meltCurve_H7C5G1_IAH1.pdf")</f>
        <v>Melting_Curves/meltCurve_H7C5G1_IAH1.pdf</v>
      </c>
    </row>
    <row r="1064" spans="1:28" x14ac:dyDescent="0.25">
      <c r="A1064" t="s">
        <v>1068</v>
      </c>
      <c r="B1064">
        <v>0.99252571173614901</v>
      </c>
      <c r="C1064">
        <v>0.99436693263470999</v>
      </c>
      <c r="D1064">
        <v>0.92394558838014995</v>
      </c>
      <c r="E1064">
        <v>0.85946424307977998</v>
      </c>
      <c r="F1064">
        <v>0.61790788853063605</v>
      </c>
      <c r="G1064">
        <v>0.40623638013847002</v>
      </c>
      <c r="H1064">
        <v>0.209007690054376</v>
      </c>
      <c r="I1064">
        <v>0.217129672947421</v>
      </c>
      <c r="J1064">
        <v>0.188704159052489</v>
      </c>
      <c r="K1064">
        <v>0.172462317254513</v>
      </c>
      <c r="L1064">
        <v>966.95695241283101</v>
      </c>
      <c r="M1064">
        <v>17.983633862766901</v>
      </c>
      <c r="N1064">
        <v>54.919118869767601</v>
      </c>
      <c r="O1064">
        <v>53.117081186342801</v>
      </c>
      <c r="P1064">
        <v>-7.1361296671725694E-2</v>
      </c>
      <c r="Q1064">
        <v>0.15694086410058999</v>
      </c>
      <c r="R1064">
        <v>0.99663654020042503</v>
      </c>
      <c r="S1064" t="s">
        <v>7710</v>
      </c>
      <c r="T1064" t="s">
        <v>13290</v>
      </c>
      <c r="U1064" t="s">
        <v>13290</v>
      </c>
      <c r="V1064" t="s">
        <v>13290</v>
      </c>
      <c r="W1064" t="s">
        <v>14331</v>
      </c>
      <c r="X1064">
        <v>3</v>
      </c>
      <c r="Y1064" t="s">
        <v>20915</v>
      </c>
      <c r="Z1064" t="s">
        <v>27394</v>
      </c>
      <c r="AA1064">
        <v>0.55745961423501245</v>
      </c>
      <c r="AB1064" t="str">
        <f>HYPERLINK("Melting_Curves/meltCurve_H7C5R4_GK5.pdf", "Melting_Curves/meltCurve_H7C5R4_GK5.pdf")</f>
        <v>Melting_Curves/meltCurve_H7C5R4_GK5.pdf</v>
      </c>
    </row>
    <row r="1065" spans="1:28" x14ac:dyDescent="0.25">
      <c r="A1065" t="s">
        <v>1069</v>
      </c>
      <c r="B1065">
        <v>0.99252571173614901</v>
      </c>
      <c r="C1065">
        <v>0.44563964310196302</v>
      </c>
      <c r="D1065">
        <v>0.15462841813122899</v>
      </c>
      <c r="E1065">
        <v>8.7660761902998305E-2</v>
      </c>
      <c r="F1065">
        <v>8.8195817373885599E-2</v>
      </c>
      <c r="G1065">
        <v>4.3910944614046203E-2</v>
      </c>
      <c r="H1065">
        <v>3.2914619634183601E-2</v>
      </c>
      <c r="I1065">
        <v>3.6456081157379701E-2</v>
      </c>
      <c r="J1065">
        <v>1.6454567348808201E-2</v>
      </c>
      <c r="K1065">
        <v>3.3559999606668799E-2</v>
      </c>
      <c r="L1065">
        <v>1830.71179562369</v>
      </c>
      <c r="M1065">
        <v>42.938529032427901</v>
      </c>
      <c r="N1065">
        <v>42.751915554739</v>
      </c>
      <c r="O1065">
        <v>42.543476867431899</v>
      </c>
      <c r="P1065">
        <v>-0.23841674442664401</v>
      </c>
      <c r="Q1065">
        <v>5.5108628054443401E-2</v>
      </c>
      <c r="R1065">
        <v>0.98714276296472703</v>
      </c>
      <c r="S1065" t="s">
        <v>7711</v>
      </c>
      <c r="T1065" t="s">
        <v>13290</v>
      </c>
      <c r="U1065" t="s">
        <v>13290</v>
      </c>
      <c r="V1065" t="s">
        <v>13290</v>
      </c>
      <c r="W1065" t="s">
        <v>14332</v>
      </c>
      <c r="X1065">
        <v>2</v>
      </c>
      <c r="Y1065" t="s">
        <v>20916</v>
      </c>
      <c r="Z1065" t="s">
        <v>27395</v>
      </c>
      <c r="AA1065">
        <v>0.14204997043776879</v>
      </c>
      <c r="AB1065" t="str">
        <f>HYPERLINK("Melting_Curves/meltCurve_H7C5R8_PARP14.pdf", "Melting_Curves/meltCurve_H7C5R8_PARP14.pdf")</f>
        <v>Melting_Curves/meltCurve_H7C5R8_PARP14.pdf</v>
      </c>
    </row>
    <row r="1066" spans="1:28" x14ac:dyDescent="0.25">
      <c r="A1066" t="s">
        <v>1070</v>
      </c>
      <c r="B1066">
        <v>0.99252571173614901</v>
      </c>
      <c r="C1066">
        <v>0.91619071728575197</v>
      </c>
      <c r="D1066">
        <v>0.83033724893602201</v>
      </c>
      <c r="E1066">
        <v>0.53785787681177899</v>
      </c>
      <c r="F1066">
        <v>0.71535731491786603</v>
      </c>
      <c r="G1066">
        <v>0.644192726429482</v>
      </c>
      <c r="H1066">
        <v>0.59326345980698003</v>
      </c>
      <c r="I1066">
        <v>0.717123848292051</v>
      </c>
      <c r="J1066">
        <v>1.17900397357752</v>
      </c>
      <c r="K1066">
        <v>1.2507838165730201</v>
      </c>
      <c r="L1066">
        <v>2234.0697165788101</v>
      </c>
      <c r="M1066">
        <v>51.800468248492699</v>
      </c>
      <c r="O1066">
        <v>43.064237227708503</v>
      </c>
      <c r="P1066">
        <v>-5.7898203746344801E-2</v>
      </c>
      <c r="Q1066">
        <v>0.80746582495185504</v>
      </c>
      <c r="R1066">
        <v>6.9465935076744104E-2</v>
      </c>
      <c r="S1066" t="s">
        <v>7712</v>
      </c>
      <c r="T1066" t="s">
        <v>13290</v>
      </c>
      <c r="U1066" t="s">
        <v>13290</v>
      </c>
      <c r="V1066" t="s">
        <v>13290</v>
      </c>
      <c r="W1066" t="s">
        <v>14333</v>
      </c>
      <c r="X1066">
        <v>3</v>
      </c>
      <c r="Y1066" t="s">
        <v>20917</v>
      </c>
      <c r="Z1066" t="s">
        <v>27396</v>
      </c>
      <c r="AA1066">
        <v>0.82796079977050496</v>
      </c>
      <c r="AB1066" t="str">
        <f>HYPERLINK("Melting_Curves/meltCurve_H9KV70_LCN2.pdf", "Melting_Curves/meltCurve_H9KV70_LCN2.pdf")</f>
        <v>Melting_Curves/meltCurve_H9KV70_LCN2.pdf</v>
      </c>
    </row>
    <row r="1067" spans="1:28" x14ac:dyDescent="0.25">
      <c r="A1067" t="s">
        <v>1071</v>
      </c>
      <c r="B1067">
        <v>0.99252571173614901</v>
      </c>
      <c r="C1067">
        <v>0.893502033476549</v>
      </c>
      <c r="D1067">
        <v>0.79539121742698304</v>
      </c>
      <c r="E1067">
        <v>0.24362952365080301</v>
      </c>
      <c r="F1067">
        <v>0.119169010340072</v>
      </c>
      <c r="G1067">
        <v>7.4722913252572104E-2</v>
      </c>
      <c r="H1067">
        <v>6.6760690435996903E-2</v>
      </c>
      <c r="I1067">
        <v>8.7405783501608894E-2</v>
      </c>
      <c r="J1067">
        <v>0.124952130108716</v>
      </c>
      <c r="K1067">
        <v>0.206901017529</v>
      </c>
      <c r="L1067">
        <v>1736.7730513531101</v>
      </c>
      <c r="M1067">
        <v>36.658080873638397</v>
      </c>
      <c r="N1067">
        <v>47.698751825967697</v>
      </c>
      <c r="O1067">
        <v>47.237303624308602</v>
      </c>
      <c r="P1067">
        <v>-0.17279611675609699</v>
      </c>
      <c r="Q1067">
        <v>0.109347964601192</v>
      </c>
      <c r="R1067">
        <v>0.98294857940619995</v>
      </c>
      <c r="S1067" t="s">
        <v>7713</v>
      </c>
      <c r="T1067" t="s">
        <v>13290</v>
      </c>
      <c r="U1067" t="s">
        <v>13290</v>
      </c>
      <c r="V1067" t="s">
        <v>13290</v>
      </c>
      <c r="W1067" t="s">
        <v>14334</v>
      </c>
      <c r="X1067">
        <v>2</v>
      </c>
      <c r="Y1067" t="s">
        <v>20918</v>
      </c>
      <c r="Z1067" t="s">
        <v>27397</v>
      </c>
      <c r="AA1067">
        <v>0.33188743815662258</v>
      </c>
      <c r="AB1067" t="str">
        <f>HYPERLINK("Melting_Curves/meltCurve_H9KVB4_TNRC18.pdf", "Melting_Curves/meltCurve_H9KVB4_TNRC18.pdf")</f>
        <v>Melting_Curves/meltCurve_H9KVB4_TNRC18.pdf</v>
      </c>
    </row>
    <row r="1068" spans="1:28" x14ac:dyDescent="0.25">
      <c r="A1068" t="s">
        <v>1072</v>
      </c>
      <c r="B1068">
        <v>0.99252571173614901</v>
      </c>
      <c r="C1068">
        <v>1.08809310960745</v>
      </c>
      <c r="D1068">
        <v>0.96755797970121704</v>
      </c>
      <c r="E1068">
        <v>1.04500058760845</v>
      </c>
      <c r="F1068">
        <v>0.38349408475221602</v>
      </c>
      <c r="G1068">
        <v>0.29490428614070902</v>
      </c>
      <c r="H1068">
        <v>0.32031743053457401</v>
      </c>
      <c r="I1068">
        <v>0.48480409541727298</v>
      </c>
      <c r="J1068">
        <v>0.74643509717178702</v>
      </c>
      <c r="K1068">
        <v>0.71758378806594203</v>
      </c>
      <c r="L1068">
        <v>7945.2247670481902</v>
      </c>
      <c r="M1068">
        <v>155.16443805071</v>
      </c>
      <c r="N1068">
        <v>52.570587001040501</v>
      </c>
      <c r="O1068">
        <v>51.196686604729699</v>
      </c>
      <c r="P1068">
        <v>-0.385577493424058</v>
      </c>
      <c r="Q1068">
        <v>0.49111303691082903</v>
      </c>
      <c r="R1068">
        <v>0.76545590157292598</v>
      </c>
      <c r="S1068" t="s">
        <v>7714</v>
      </c>
      <c r="T1068" t="s">
        <v>13290</v>
      </c>
      <c r="U1068" t="s">
        <v>13290</v>
      </c>
      <c r="V1068" t="s">
        <v>13290</v>
      </c>
      <c r="W1068" t="s">
        <v>14335</v>
      </c>
      <c r="X1068">
        <v>4</v>
      </c>
      <c r="Y1068" t="s">
        <v>20919</v>
      </c>
      <c r="Z1068" t="s">
        <v>27398</v>
      </c>
      <c r="AA1068">
        <v>0.68130432288797216</v>
      </c>
      <c r="AB1068" t="str">
        <f>HYPERLINK("Melting_Curves/meltCurve_H9KVB8_MICU1.pdf", "Melting_Curves/meltCurve_H9KVB8_MICU1.pdf")</f>
        <v>Melting_Curves/meltCurve_H9KVB8_MICU1.pdf</v>
      </c>
    </row>
    <row r="1069" spans="1:28" x14ac:dyDescent="0.25">
      <c r="A1069" t="s">
        <v>1073</v>
      </c>
      <c r="B1069">
        <v>0.99252571173614901</v>
      </c>
      <c r="C1069">
        <v>0.98651992855801995</v>
      </c>
      <c r="D1069">
        <v>0.80798232913661305</v>
      </c>
      <c r="E1069">
        <v>0.58935112896958797</v>
      </c>
      <c r="F1069">
        <v>0.22522093607753099</v>
      </c>
      <c r="G1069">
        <v>0.109288513717025</v>
      </c>
      <c r="H1069">
        <v>8.0291261976103701E-2</v>
      </c>
      <c r="I1069">
        <v>9.2065492268430693E-2</v>
      </c>
      <c r="J1069">
        <v>0.13023734982078</v>
      </c>
      <c r="K1069">
        <v>0.14190693295075801</v>
      </c>
      <c r="L1069">
        <v>1126.04652824044</v>
      </c>
      <c r="M1069">
        <v>22.743583426533799</v>
      </c>
      <c r="N1069">
        <v>49.983076216040601</v>
      </c>
      <c r="O1069">
        <v>49.132539162367202</v>
      </c>
      <c r="P1069">
        <v>-0.104532511576753</v>
      </c>
      <c r="Q1069">
        <v>9.6739531547281404E-2</v>
      </c>
      <c r="R1069">
        <v>0.99137812422817595</v>
      </c>
      <c r="S1069" t="s">
        <v>7715</v>
      </c>
      <c r="T1069" t="s">
        <v>13290</v>
      </c>
      <c r="U1069" t="s">
        <v>13290</v>
      </c>
      <c r="V1069" t="s">
        <v>13290</v>
      </c>
      <c r="W1069" t="s">
        <v>13740</v>
      </c>
      <c r="X1069">
        <v>7</v>
      </c>
      <c r="Z1069" t="s">
        <v>27399</v>
      </c>
      <c r="AA1069">
        <v>0.3928246144516655</v>
      </c>
      <c r="AB1069" t="str">
        <f>HYPERLINK("Melting_Curves/meltCurve_I3L097_.pdf", "Melting_Curves/meltCurve_I3L097_.pdf")</f>
        <v>Melting_Curves/meltCurve_I3L097_.pdf</v>
      </c>
    </row>
    <row r="1070" spans="1:28" x14ac:dyDescent="0.25">
      <c r="A1070" t="s">
        <v>1074</v>
      </c>
      <c r="B1070">
        <v>0.99252571173614901</v>
      </c>
      <c r="C1070">
        <v>0.84075738567601599</v>
      </c>
      <c r="D1070">
        <v>0.75762914189789399</v>
      </c>
      <c r="E1070">
        <v>0.61884640556975601</v>
      </c>
      <c r="F1070">
        <v>0.72073968213482698</v>
      </c>
      <c r="G1070">
        <v>0.55936173440203396</v>
      </c>
      <c r="H1070">
        <v>0.38152250668175097</v>
      </c>
      <c r="I1070">
        <v>0.173108693283714</v>
      </c>
      <c r="J1070">
        <v>7.9204115348238402E-2</v>
      </c>
      <c r="K1070">
        <v>7.5722246054328493E-2</v>
      </c>
      <c r="L1070">
        <v>461.944113105562</v>
      </c>
      <c r="M1070">
        <v>8.3523031393546603</v>
      </c>
      <c r="N1070">
        <v>55.307393098036002</v>
      </c>
      <c r="O1070">
        <v>52.409357151071802</v>
      </c>
      <c r="P1070">
        <v>-3.9880019935339697E-2</v>
      </c>
      <c r="Q1070">
        <v>0</v>
      </c>
      <c r="R1070">
        <v>0.91377568104608098</v>
      </c>
      <c r="S1070" t="s">
        <v>7716</v>
      </c>
      <c r="T1070" t="s">
        <v>13290</v>
      </c>
      <c r="U1070" t="s">
        <v>13290</v>
      </c>
      <c r="V1070" t="s">
        <v>13290</v>
      </c>
      <c r="W1070" t="s">
        <v>14336</v>
      </c>
      <c r="X1070">
        <v>2</v>
      </c>
      <c r="Y1070" t="s">
        <v>20920</v>
      </c>
      <c r="Z1070" t="s">
        <v>27400</v>
      </c>
      <c r="AA1070">
        <v>0.53526353697651285</v>
      </c>
      <c r="AB1070" t="str">
        <f>HYPERLINK("Melting_Curves/meltCurve_I3L0B8_SLC25A52.pdf", "Melting_Curves/meltCurve_I3L0B8_SLC25A52.pdf")</f>
        <v>Melting_Curves/meltCurve_I3L0B8_SLC25A52.pdf</v>
      </c>
    </row>
    <row r="1071" spans="1:28" x14ac:dyDescent="0.25">
      <c r="A1071" t="s">
        <v>1075</v>
      </c>
      <c r="B1071">
        <v>0.99252571173614901</v>
      </c>
      <c r="C1071">
        <v>0.86516177210254697</v>
      </c>
      <c r="D1071">
        <v>1.0604049173319701</v>
      </c>
      <c r="E1071">
        <v>0.40448213299839297</v>
      </c>
      <c r="F1071">
        <v>0.177376793748421</v>
      </c>
      <c r="G1071">
        <v>8.3159712571957894E-2</v>
      </c>
      <c r="H1071">
        <v>4.8828005965048597E-2</v>
      </c>
      <c r="I1071">
        <v>4.9384961916645799E-2</v>
      </c>
      <c r="J1071">
        <v>8.4151114431130894E-2</v>
      </c>
      <c r="K1071">
        <v>6.3966083486814707E-2</v>
      </c>
      <c r="L1071">
        <v>4555.1931282890801</v>
      </c>
      <c r="M1071">
        <v>92.454963030302295</v>
      </c>
      <c r="N1071">
        <v>49.367790695291298</v>
      </c>
      <c r="O1071">
        <v>49.2462769720875</v>
      </c>
      <c r="P1071">
        <v>-0.429820350833169</v>
      </c>
      <c r="Q1071">
        <v>8.4222112429021695E-2</v>
      </c>
      <c r="R1071">
        <v>0.97923986105289795</v>
      </c>
      <c r="S1071" t="s">
        <v>7717</v>
      </c>
      <c r="T1071" t="s">
        <v>13290</v>
      </c>
      <c r="U1071" t="s">
        <v>13290</v>
      </c>
      <c r="V1071" t="s">
        <v>13290</v>
      </c>
      <c r="W1071" t="s">
        <v>14337</v>
      </c>
      <c r="X1071">
        <v>2</v>
      </c>
      <c r="Y1071" t="s">
        <v>20921</v>
      </c>
      <c r="Z1071" t="s">
        <v>27401</v>
      </c>
      <c r="AA1071">
        <v>0.36775649761905382</v>
      </c>
      <c r="AB1071" t="str">
        <f>HYPERLINK("Melting_Curves/meltCurve_I3L0C1_SMG1.pdf", "Melting_Curves/meltCurve_I3L0C1_SMG1.pdf")</f>
        <v>Melting_Curves/meltCurve_I3L0C1_SMG1.pdf</v>
      </c>
    </row>
    <row r="1072" spans="1:28" x14ac:dyDescent="0.25">
      <c r="A1072" t="s">
        <v>1076</v>
      </c>
      <c r="B1072">
        <v>0.99252571173614901</v>
      </c>
      <c r="C1072">
        <v>0.97121833325303997</v>
      </c>
      <c r="D1072">
        <v>0.76105524656824997</v>
      </c>
      <c r="E1072">
        <v>0.73584480092605598</v>
      </c>
      <c r="F1072">
        <v>0.47833115939458098</v>
      </c>
      <c r="G1072">
        <v>0.27308406851811501</v>
      </c>
      <c r="H1072">
        <v>0.22513139441716701</v>
      </c>
      <c r="I1072">
        <v>0.27269097651183899</v>
      </c>
      <c r="J1072">
        <v>0.381836867259364</v>
      </c>
      <c r="K1072">
        <v>0.34581098230187302</v>
      </c>
      <c r="L1072">
        <v>868.51884927148399</v>
      </c>
      <c r="M1072">
        <v>17.463264436781401</v>
      </c>
      <c r="N1072">
        <v>52.245341195050699</v>
      </c>
      <c r="O1072">
        <v>49.095655195375798</v>
      </c>
      <c r="P1072">
        <v>-6.3672068313171404E-2</v>
      </c>
      <c r="Q1072">
        <v>0.284017733246133</v>
      </c>
      <c r="R1072">
        <v>0.94334441255721102</v>
      </c>
      <c r="S1072" t="s">
        <v>7718</v>
      </c>
      <c r="T1072" t="s">
        <v>13290</v>
      </c>
      <c r="U1072" t="s">
        <v>13290</v>
      </c>
      <c r="V1072" t="s">
        <v>13290</v>
      </c>
      <c r="W1072" t="s">
        <v>14338</v>
      </c>
      <c r="X1072">
        <v>4</v>
      </c>
      <c r="Y1072" t="s">
        <v>20922</v>
      </c>
      <c r="Z1072" t="s">
        <v>27402</v>
      </c>
      <c r="AA1072">
        <v>0.52931716332621914</v>
      </c>
      <c r="AB1072" t="str">
        <f>HYPERLINK("Melting_Curves/meltCurve_I3L0K1_GOSR2.pdf", "Melting_Curves/meltCurve_I3L0K1_GOSR2.pdf")</f>
        <v>Melting_Curves/meltCurve_I3L0K1_GOSR2.pdf</v>
      </c>
    </row>
    <row r="1073" spans="1:28" x14ac:dyDescent="0.25">
      <c r="A1073" t="s">
        <v>1077</v>
      </c>
      <c r="B1073">
        <v>0.99252571173614901</v>
      </c>
      <c r="C1073">
        <v>0.81935976935316801</v>
      </c>
      <c r="D1073">
        <v>0.94206124354041199</v>
      </c>
      <c r="E1073">
        <v>0.59929391070177296</v>
      </c>
      <c r="F1073">
        <v>0.126680651967324</v>
      </c>
      <c r="G1073">
        <v>7.3541027321405106E-2</v>
      </c>
      <c r="H1073">
        <v>4.9656657921328097E-2</v>
      </c>
      <c r="I1073">
        <v>5.3078018182398802E-2</v>
      </c>
      <c r="J1073">
        <v>6.6335147049450593E-2</v>
      </c>
      <c r="K1073">
        <v>6.3706264642838503E-2</v>
      </c>
      <c r="L1073">
        <v>1796.9288818442601</v>
      </c>
      <c r="M1073">
        <v>35.9777317412318</v>
      </c>
      <c r="N1073">
        <v>50.108548143527301</v>
      </c>
      <c r="O1073">
        <v>49.792032170005399</v>
      </c>
      <c r="P1073">
        <v>-0.17066737527933501</v>
      </c>
      <c r="Q1073">
        <v>5.5210193381583603E-2</v>
      </c>
      <c r="R1073">
        <v>0.97806156769224795</v>
      </c>
      <c r="S1073" t="s">
        <v>7719</v>
      </c>
      <c r="T1073" t="s">
        <v>13290</v>
      </c>
      <c r="U1073" t="s">
        <v>13290</v>
      </c>
      <c r="V1073" t="s">
        <v>13290</v>
      </c>
      <c r="W1073" t="s">
        <v>14339</v>
      </c>
      <c r="X1073">
        <v>44</v>
      </c>
      <c r="Y1073" t="s">
        <v>20923</v>
      </c>
      <c r="Z1073" t="s">
        <v>27403</v>
      </c>
      <c r="AA1073">
        <v>0.37246839976687418</v>
      </c>
      <c r="AB1073" t="str">
        <f>HYPERLINK("Melting_Curves/meltCurve_I3L0N3_NSF.pdf", "Melting_Curves/meltCurve_I3L0N3_NSF.pdf")</f>
        <v>Melting_Curves/meltCurve_I3L0N3_NSF.pdf</v>
      </c>
    </row>
    <row r="1074" spans="1:28" x14ac:dyDescent="0.25">
      <c r="A1074" t="s">
        <v>1078</v>
      </c>
      <c r="B1074">
        <v>0.99252571173614901</v>
      </c>
      <c r="C1074">
        <v>0.92904161929711904</v>
      </c>
      <c r="D1074">
        <v>0.92162497112027897</v>
      </c>
      <c r="E1074">
        <v>0.77732997226816802</v>
      </c>
      <c r="F1074">
        <v>0.50218572250409999</v>
      </c>
      <c r="G1074">
        <v>0.227814420381901</v>
      </c>
      <c r="H1074">
        <v>0.171057300029334</v>
      </c>
      <c r="I1074">
        <v>0.15478229153357001</v>
      </c>
      <c r="J1074">
        <v>0.199303044806559</v>
      </c>
      <c r="K1074">
        <v>0.178081985105386</v>
      </c>
      <c r="L1074">
        <v>1127.06400073287</v>
      </c>
      <c r="M1074">
        <v>21.7112984521433</v>
      </c>
      <c r="N1074">
        <v>52.830116316217897</v>
      </c>
      <c r="O1074">
        <v>51.4770295583955</v>
      </c>
      <c r="P1074">
        <v>-8.8864837921765499E-2</v>
      </c>
      <c r="Q1074">
        <v>0.15723321656021799</v>
      </c>
      <c r="R1074">
        <v>0.99162769715299104</v>
      </c>
      <c r="S1074" t="s">
        <v>7720</v>
      </c>
      <c r="T1074" t="s">
        <v>13290</v>
      </c>
      <c r="U1074" t="s">
        <v>13290</v>
      </c>
      <c r="V1074" t="s">
        <v>13290</v>
      </c>
      <c r="W1074" t="s">
        <v>14340</v>
      </c>
      <c r="X1074">
        <v>3</v>
      </c>
      <c r="Y1074" t="s">
        <v>20924</v>
      </c>
      <c r="Z1074" t="s">
        <v>27404</v>
      </c>
      <c r="AA1074">
        <v>0.50189220069385942</v>
      </c>
      <c r="AB1074" t="str">
        <f>HYPERLINK("Melting_Curves/meltCurve_I3L112_DGKE.pdf", "Melting_Curves/meltCurve_I3L112_DGKE.pdf")</f>
        <v>Melting_Curves/meltCurve_I3L112_DGKE.pdf</v>
      </c>
    </row>
    <row r="1075" spans="1:28" x14ac:dyDescent="0.25">
      <c r="A1075" t="s">
        <v>1079</v>
      </c>
      <c r="B1075">
        <v>0.99252571173614901</v>
      </c>
      <c r="C1075">
        <v>1.01028250821053</v>
      </c>
      <c r="D1075">
        <v>0.99503889279102198</v>
      </c>
      <c r="E1075">
        <v>1.0056125632167801</v>
      </c>
      <c r="F1075">
        <v>0.61456853184953797</v>
      </c>
      <c r="G1075">
        <v>0.35909808225732698</v>
      </c>
      <c r="H1075">
        <v>0.14980096875603399</v>
      </c>
      <c r="I1075">
        <v>8.7114329612882402E-2</v>
      </c>
      <c r="J1075">
        <v>8.0253886001003596E-2</v>
      </c>
      <c r="K1075">
        <v>5.7574416206783198E-2</v>
      </c>
      <c r="L1075">
        <v>1319.7131437908599</v>
      </c>
      <c r="M1075">
        <v>24.192399693637</v>
      </c>
      <c r="N1075">
        <v>54.883154969196198</v>
      </c>
      <c r="O1075">
        <v>54.182103824855602</v>
      </c>
      <c r="P1075">
        <v>-0.104019695488394</v>
      </c>
      <c r="Q1075">
        <v>6.8150411182562196E-2</v>
      </c>
      <c r="R1075">
        <v>0.99302516471910796</v>
      </c>
      <c r="S1075" t="s">
        <v>7721</v>
      </c>
      <c r="T1075" t="s">
        <v>13290</v>
      </c>
      <c r="U1075" t="s">
        <v>13290</v>
      </c>
      <c r="V1075" t="s">
        <v>13290</v>
      </c>
      <c r="W1075" t="s">
        <v>14341</v>
      </c>
      <c r="X1075">
        <v>5</v>
      </c>
      <c r="Y1075" t="s">
        <v>20925</v>
      </c>
      <c r="Z1075" t="s">
        <v>27405</v>
      </c>
      <c r="AA1075">
        <v>0.52926552055489762</v>
      </c>
      <c r="AB1075" t="str">
        <f>HYPERLINK("Melting_Curves/meltCurve_I3L1H5_DPH1.pdf", "Melting_Curves/meltCurve_I3L1H5_DPH1.pdf")</f>
        <v>Melting_Curves/meltCurve_I3L1H5_DPH1.pdf</v>
      </c>
    </row>
    <row r="1076" spans="1:28" x14ac:dyDescent="0.25">
      <c r="A1076" t="s">
        <v>1080</v>
      </c>
      <c r="B1076">
        <v>0.99252571173614901</v>
      </c>
      <c r="C1076">
        <v>0.91923944452683004</v>
      </c>
      <c r="D1076">
        <v>0.82589676051002503</v>
      </c>
      <c r="E1076">
        <v>0.72869312981020395</v>
      </c>
      <c r="F1076">
        <v>0.74179350600097804</v>
      </c>
      <c r="G1076">
        <v>0.60736982039376297</v>
      </c>
      <c r="H1076">
        <v>0.59924455299097201</v>
      </c>
      <c r="I1076">
        <v>0.88764707349066796</v>
      </c>
      <c r="J1076">
        <v>1.3806713153525401</v>
      </c>
      <c r="K1076">
        <v>1.1720942810961801</v>
      </c>
      <c r="L1076">
        <v>10705.5430477542</v>
      </c>
      <c r="M1076">
        <v>250</v>
      </c>
      <c r="O1076">
        <v>42.819431836899199</v>
      </c>
      <c r="P1076">
        <v>-0.19277710117595601</v>
      </c>
      <c r="Q1076">
        <v>0.86792630499949897</v>
      </c>
      <c r="R1076">
        <v>2.7385274045281901E-2</v>
      </c>
      <c r="S1076" t="s">
        <v>7722</v>
      </c>
      <c r="T1076" t="s">
        <v>13290</v>
      </c>
      <c r="U1076" t="s">
        <v>13290</v>
      </c>
      <c r="V1076" t="s">
        <v>13290</v>
      </c>
      <c r="W1076" t="s">
        <v>14342</v>
      </c>
      <c r="X1076">
        <v>17</v>
      </c>
      <c r="Y1076" t="s">
        <v>20926</v>
      </c>
      <c r="Z1076" t="s">
        <v>27406</v>
      </c>
      <c r="AA1076">
        <v>0.88036072095506646</v>
      </c>
      <c r="AB1076" t="str">
        <f>HYPERLINK("Melting_Curves/meltCurve_I3L1P8_SLC25A11.pdf", "Melting_Curves/meltCurve_I3L1P8_SLC25A11.pdf")</f>
        <v>Melting_Curves/meltCurve_I3L1P8_SLC25A11.pdf</v>
      </c>
    </row>
    <row r="1077" spans="1:28" x14ac:dyDescent="0.25">
      <c r="A1077" t="s">
        <v>1081</v>
      </c>
      <c r="B1077">
        <v>0.99252571173614901</v>
      </c>
      <c r="C1077">
        <v>0.90981671657187002</v>
      </c>
      <c r="D1077">
        <v>1.04858920783568</v>
      </c>
      <c r="E1077">
        <v>0.91914371345922397</v>
      </c>
      <c r="F1077">
        <v>0.901545502767093</v>
      </c>
      <c r="G1077">
        <v>0.68999719615441701</v>
      </c>
      <c r="H1077">
        <v>0.63087217671693396</v>
      </c>
      <c r="I1077">
        <v>0.58803450477142705</v>
      </c>
      <c r="J1077">
        <v>0.70844385750239602</v>
      </c>
      <c r="K1077">
        <v>0.68053076922288902</v>
      </c>
      <c r="L1077">
        <v>2151.9551114081301</v>
      </c>
      <c r="M1077">
        <v>39.704892463852403</v>
      </c>
      <c r="O1077">
        <v>54.061799404122503</v>
      </c>
      <c r="P1077">
        <v>-6.4345145892456004E-2</v>
      </c>
      <c r="Q1077">
        <v>0.64955382219014202</v>
      </c>
      <c r="R1077">
        <v>0.89760520615252004</v>
      </c>
      <c r="S1077" t="s">
        <v>7723</v>
      </c>
      <c r="T1077" t="s">
        <v>13290</v>
      </c>
      <c r="U1077" t="s">
        <v>13290</v>
      </c>
      <c r="V1077" t="s">
        <v>13290</v>
      </c>
      <c r="W1077" t="s">
        <v>14343</v>
      </c>
      <c r="X1077">
        <v>5</v>
      </c>
      <c r="Y1077" t="s">
        <v>20927</v>
      </c>
      <c r="Z1077" t="s">
        <v>27407</v>
      </c>
      <c r="AA1077">
        <v>0.81674635626874725</v>
      </c>
      <c r="AB1077" t="str">
        <f>HYPERLINK("Melting_Curves/meltCurve_I3L1Q3_ELP5.pdf", "Melting_Curves/meltCurve_I3L1Q3_ELP5.pdf")</f>
        <v>Melting_Curves/meltCurve_I3L1Q3_ELP5.pdf</v>
      </c>
    </row>
    <row r="1078" spans="1:28" x14ac:dyDescent="0.25">
      <c r="A1078" t="s">
        <v>1082</v>
      </c>
      <c r="B1078">
        <v>0.99252571173614901</v>
      </c>
      <c r="C1078">
        <v>0.57298658823265902</v>
      </c>
      <c r="D1078">
        <v>0.436689479366626</v>
      </c>
      <c r="E1078">
        <v>0.18633948000066999</v>
      </c>
      <c r="F1078">
        <v>8.4492835312889897E-2</v>
      </c>
      <c r="G1078">
        <v>6.6870216611043601E-2</v>
      </c>
      <c r="H1078">
        <v>4.93406687955266E-2</v>
      </c>
      <c r="I1078">
        <v>6.0297747409030503E-2</v>
      </c>
      <c r="J1078">
        <v>8.0507525176257505E-2</v>
      </c>
      <c r="K1078">
        <v>5.8302645089115902E-2</v>
      </c>
      <c r="L1078">
        <v>816.82419243310596</v>
      </c>
      <c r="M1078">
        <v>18.401284174560601</v>
      </c>
      <c r="N1078">
        <v>44.689985360904103</v>
      </c>
      <c r="O1078">
        <v>43.875243812006403</v>
      </c>
      <c r="P1078">
        <v>-9.8753830295403106E-2</v>
      </c>
      <c r="Q1078">
        <v>5.8184875797523503E-2</v>
      </c>
      <c r="R1078">
        <v>0.97219163377781903</v>
      </c>
      <c r="S1078" t="s">
        <v>7724</v>
      </c>
      <c r="T1078" t="s">
        <v>13290</v>
      </c>
      <c r="U1078" t="s">
        <v>13290</v>
      </c>
      <c r="V1078" t="s">
        <v>13290</v>
      </c>
      <c r="W1078" t="s">
        <v>14344</v>
      </c>
      <c r="X1078">
        <v>1</v>
      </c>
      <c r="Y1078" t="s">
        <v>20928</v>
      </c>
      <c r="Z1078" t="s">
        <v>27408</v>
      </c>
      <c r="AA1078">
        <v>0.21685260334058951</v>
      </c>
      <c r="AB1078" t="str">
        <f>HYPERLINK("Melting_Curves/meltCurve_I3L2C7_GEMIN4.pdf", "Melting_Curves/meltCurve_I3L2C7_GEMIN4.pdf")</f>
        <v>Melting_Curves/meltCurve_I3L2C7_GEMIN4.pdf</v>
      </c>
    </row>
    <row r="1079" spans="1:28" x14ac:dyDescent="0.25">
      <c r="A1079" t="s">
        <v>1083</v>
      </c>
      <c r="B1079">
        <v>0.99252571173614901</v>
      </c>
      <c r="C1079">
        <v>0.874636531260504</v>
      </c>
      <c r="D1079">
        <v>0.89451394628208503</v>
      </c>
      <c r="E1079">
        <v>0.70990423001425695</v>
      </c>
      <c r="F1079">
        <v>0.44111350540433197</v>
      </c>
      <c r="G1079">
        <v>0.25782582822193401</v>
      </c>
      <c r="H1079">
        <v>0.261597248761819</v>
      </c>
      <c r="I1079">
        <v>0.15588644210216501</v>
      </c>
      <c r="J1079">
        <v>0.239549511211682</v>
      </c>
      <c r="K1079">
        <v>0.130777991992474</v>
      </c>
      <c r="L1079">
        <v>819.70609175177594</v>
      </c>
      <c r="M1079">
        <v>16.039694557564999</v>
      </c>
      <c r="N1079">
        <v>52.347861802340901</v>
      </c>
      <c r="O1079">
        <v>50.330274870960501</v>
      </c>
      <c r="P1079">
        <v>-6.7060145224478201E-2</v>
      </c>
      <c r="Q1079">
        <v>0.15836471345227701</v>
      </c>
      <c r="R1079">
        <v>0.98128339848036705</v>
      </c>
      <c r="S1079" t="s">
        <v>7725</v>
      </c>
      <c r="T1079" t="s">
        <v>13290</v>
      </c>
      <c r="U1079" t="s">
        <v>13290</v>
      </c>
      <c r="V1079" t="s">
        <v>13290</v>
      </c>
      <c r="W1079" t="s">
        <v>14345</v>
      </c>
      <c r="X1079">
        <v>1</v>
      </c>
      <c r="Y1079" t="s">
        <v>20929</v>
      </c>
      <c r="Z1079" t="s">
        <v>27409</v>
      </c>
      <c r="AA1079">
        <v>0.48723332368498812</v>
      </c>
      <c r="AB1079" t="str">
        <f>HYPERLINK("Melting_Curves/meltCurve_I3L2H2_ZNF174.pdf", "Melting_Curves/meltCurve_I3L2H2_ZNF174.pdf")</f>
        <v>Melting_Curves/meltCurve_I3L2H2_ZNF174.pdf</v>
      </c>
    </row>
    <row r="1080" spans="1:28" x14ac:dyDescent="0.25">
      <c r="A1080" t="s">
        <v>1084</v>
      </c>
      <c r="B1080">
        <v>0.99252571173614901</v>
      </c>
      <c r="C1080">
        <v>0.82247839400042999</v>
      </c>
      <c r="D1080">
        <v>0.65370888591482201</v>
      </c>
      <c r="E1080">
        <v>0.44877036860852898</v>
      </c>
      <c r="F1080">
        <v>0.28816071511240798</v>
      </c>
      <c r="G1080">
        <v>0.18940913235868401</v>
      </c>
      <c r="H1080">
        <v>0.163038294816817</v>
      </c>
      <c r="I1080">
        <v>0.15957607750494399</v>
      </c>
      <c r="J1080">
        <v>0.19145373925776701</v>
      </c>
      <c r="K1080">
        <v>0.207459637891802</v>
      </c>
      <c r="L1080">
        <v>742.75220698524299</v>
      </c>
      <c r="M1080">
        <v>15.7753473647016</v>
      </c>
      <c r="N1080">
        <v>48.317016698512496</v>
      </c>
      <c r="O1080">
        <v>46.346003682968799</v>
      </c>
      <c r="P1080">
        <v>-7.0992517801284002E-2</v>
      </c>
      <c r="Q1080">
        <v>0.16580077390086201</v>
      </c>
      <c r="R1080">
        <v>0.99199599968394803</v>
      </c>
      <c r="S1080" t="s">
        <v>7726</v>
      </c>
      <c r="T1080" t="s">
        <v>13290</v>
      </c>
      <c r="U1080" t="s">
        <v>13290</v>
      </c>
      <c r="V1080" t="s">
        <v>13290</v>
      </c>
      <c r="W1080" t="s">
        <v>14346</v>
      </c>
      <c r="X1080">
        <v>5</v>
      </c>
      <c r="Y1080" t="s">
        <v>20930</v>
      </c>
      <c r="Z1080" t="s">
        <v>27410</v>
      </c>
      <c r="AA1080">
        <v>0.38307061977782397</v>
      </c>
      <c r="AB1080" t="str">
        <f>HYPERLINK("Melting_Curves/meltCurve_I3L2J0_CIC.pdf", "Melting_Curves/meltCurve_I3L2J0_CIC.pdf")</f>
        <v>Melting_Curves/meltCurve_I3L2J0_CIC.pdf</v>
      </c>
    </row>
    <row r="1081" spans="1:28" x14ac:dyDescent="0.25">
      <c r="A1081" t="s">
        <v>1085</v>
      </c>
      <c r="B1081">
        <v>0.99252571173614901</v>
      </c>
      <c r="C1081">
        <v>0.94683731144368999</v>
      </c>
      <c r="D1081">
        <v>0.64675692732021595</v>
      </c>
      <c r="E1081">
        <v>0.42583715014127699</v>
      </c>
      <c r="F1081">
        <v>0.25319188996191799</v>
      </c>
      <c r="G1081">
        <v>0.147983642626492</v>
      </c>
      <c r="H1081">
        <v>0.13008207044869799</v>
      </c>
      <c r="I1081">
        <v>0.13717159854591901</v>
      </c>
      <c r="J1081">
        <v>0.18949436965789601</v>
      </c>
      <c r="K1081">
        <v>0.20785740716923301</v>
      </c>
      <c r="L1081">
        <v>960.45516692600302</v>
      </c>
      <c r="M1081">
        <v>20.323109917195101</v>
      </c>
      <c r="N1081">
        <v>48.169025344149603</v>
      </c>
      <c r="O1081">
        <v>46.808829390686597</v>
      </c>
      <c r="P1081">
        <v>-9.12463277158376E-2</v>
      </c>
      <c r="Q1081">
        <v>0.15937997372858501</v>
      </c>
      <c r="R1081">
        <v>0.98814146044894902</v>
      </c>
      <c r="S1081" t="s">
        <v>7727</v>
      </c>
      <c r="T1081" t="s">
        <v>13290</v>
      </c>
      <c r="U1081" t="s">
        <v>13290</v>
      </c>
      <c r="V1081" t="s">
        <v>13290</v>
      </c>
      <c r="W1081" t="s">
        <v>14347</v>
      </c>
      <c r="X1081">
        <v>11</v>
      </c>
      <c r="Y1081" t="s">
        <v>20931</v>
      </c>
      <c r="Z1081" t="s">
        <v>27411</v>
      </c>
      <c r="AA1081">
        <v>0.37455725952099511</v>
      </c>
      <c r="AB1081" t="str">
        <f>HYPERLINK("Melting_Curves/meltCurve_I3L2J8_AZI1.pdf", "Melting_Curves/meltCurve_I3L2J8_AZI1.pdf")</f>
        <v>Melting_Curves/meltCurve_I3L2J8_AZI1.pdf</v>
      </c>
    </row>
    <row r="1082" spans="1:28" x14ac:dyDescent="0.25">
      <c r="A1082" t="s">
        <v>1086</v>
      </c>
      <c r="B1082">
        <v>0.99252571173614901</v>
      </c>
      <c r="C1082">
        <v>0.99965882615689505</v>
      </c>
      <c r="D1082">
        <v>0.921894213503337</v>
      </c>
      <c r="E1082">
        <v>0.86963429945741699</v>
      </c>
      <c r="F1082">
        <v>0.60239422234064499</v>
      </c>
      <c r="G1082">
        <v>0.48503659800475002</v>
      </c>
      <c r="H1082">
        <v>0.47466458011463097</v>
      </c>
      <c r="I1082">
        <v>0.62409402070731601</v>
      </c>
      <c r="J1082">
        <v>0.89676811174913895</v>
      </c>
      <c r="K1082">
        <v>0.945685781332543</v>
      </c>
      <c r="L1082">
        <v>12420.7775026256</v>
      </c>
      <c r="M1082">
        <v>250</v>
      </c>
      <c r="O1082">
        <v>49.679906644974501</v>
      </c>
      <c r="P1082">
        <v>-0.413345294003585</v>
      </c>
      <c r="Q1082">
        <v>0.67144055073043996</v>
      </c>
      <c r="R1082">
        <v>0.46678145396068399</v>
      </c>
      <c r="S1082" t="s">
        <v>7728</v>
      </c>
      <c r="T1082" t="s">
        <v>13290</v>
      </c>
      <c r="U1082" t="s">
        <v>13290</v>
      </c>
      <c r="V1082" t="s">
        <v>13290</v>
      </c>
      <c r="W1082" t="s">
        <v>14348</v>
      </c>
      <c r="X1082">
        <v>5</v>
      </c>
      <c r="Y1082" t="s">
        <v>20932</v>
      </c>
      <c r="Z1082" t="s">
        <v>27412</v>
      </c>
      <c r="AA1082">
        <v>0.77751844191794572</v>
      </c>
      <c r="AB1082" t="str">
        <f>HYPERLINK("Melting_Curves/meltCurve_I3L2L5_FAM195B.pdf", "Melting_Curves/meltCurve_I3L2L5_FAM195B.pdf")</f>
        <v>Melting_Curves/meltCurve_I3L2L5_FAM195B.pdf</v>
      </c>
    </row>
    <row r="1083" spans="1:28" x14ac:dyDescent="0.25">
      <c r="A1083" t="s">
        <v>1087</v>
      </c>
      <c r="B1083">
        <v>0.99252571173614901</v>
      </c>
      <c r="C1083">
        <v>0.88699386817720005</v>
      </c>
      <c r="D1083">
        <v>0.83227513918347396</v>
      </c>
      <c r="E1083">
        <v>0.72272595481468904</v>
      </c>
      <c r="F1083">
        <v>0.648237659410416</v>
      </c>
      <c r="G1083">
        <v>0.53513184187485896</v>
      </c>
      <c r="H1083">
        <v>0.40503090766073502</v>
      </c>
      <c r="I1083">
        <v>0.43012587099656702</v>
      </c>
      <c r="J1083">
        <v>0.47265811326514001</v>
      </c>
      <c r="K1083">
        <v>0.225809627083155</v>
      </c>
      <c r="L1083">
        <v>390.813564203277</v>
      </c>
      <c r="M1083">
        <v>7.1180898242422499</v>
      </c>
      <c r="N1083">
        <v>58.549619657992203</v>
      </c>
      <c r="O1083">
        <v>51.065667576546304</v>
      </c>
      <c r="P1083">
        <v>-2.8659759250221701E-2</v>
      </c>
      <c r="Q1083">
        <v>0.17900346738572701</v>
      </c>
      <c r="R1083">
        <v>0.94444320909877399</v>
      </c>
      <c r="S1083" t="s">
        <v>7729</v>
      </c>
      <c r="T1083" t="s">
        <v>13290</v>
      </c>
      <c r="U1083" t="s">
        <v>13290</v>
      </c>
      <c r="V1083" t="s">
        <v>13290</v>
      </c>
      <c r="W1083" t="s">
        <v>14349</v>
      </c>
      <c r="X1083">
        <v>2</v>
      </c>
      <c r="Y1083" t="s">
        <v>20933</v>
      </c>
      <c r="Z1083" t="s">
        <v>27413</v>
      </c>
      <c r="AA1083">
        <v>0.60979427124014396</v>
      </c>
      <c r="AB1083" t="str">
        <f>HYPERLINK("Melting_Curves/meltCurve_I3L2R4_SLC2A4.pdf", "Melting_Curves/meltCurve_I3L2R4_SLC2A4.pdf")</f>
        <v>Melting_Curves/meltCurve_I3L2R4_SLC2A4.pdf</v>
      </c>
    </row>
    <row r="1084" spans="1:28" x14ac:dyDescent="0.25">
      <c r="A1084" t="s">
        <v>1088</v>
      </c>
      <c r="B1084">
        <v>0.99252571173614901</v>
      </c>
      <c r="C1084">
        <v>1.1084753165202501</v>
      </c>
      <c r="D1084">
        <v>0.86644193851437401</v>
      </c>
      <c r="E1084">
        <v>0.442159815290396</v>
      </c>
      <c r="F1084">
        <v>0.20635168121962899</v>
      </c>
      <c r="G1084">
        <v>0.13677576594999699</v>
      </c>
      <c r="H1084">
        <v>0.111783670832919</v>
      </c>
      <c r="I1084">
        <v>0.11570907445985</v>
      </c>
      <c r="J1084">
        <v>0.13401828501798099</v>
      </c>
      <c r="K1084">
        <v>0.14209011507526101</v>
      </c>
      <c r="L1084">
        <v>1549.9530074132799</v>
      </c>
      <c r="M1084">
        <v>31.813022029652799</v>
      </c>
      <c r="N1084">
        <v>49.182933306307802</v>
      </c>
      <c r="O1084">
        <v>48.529433054190797</v>
      </c>
      <c r="P1084">
        <v>-0.142709847071646</v>
      </c>
      <c r="Q1084">
        <v>0.12921332913339301</v>
      </c>
      <c r="R1084">
        <v>0.98916219918939097</v>
      </c>
      <c r="S1084" t="s">
        <v>7730</v>
      </c>
      <c r="T1084" t="s">
        <v>13290</v>
      </c>
      <c r="U1084" t="s">
        <v>13290</v>
      </c>
      <c r="V1084" t="s">
        <v>13290</v>
      </c>
      <c r="W1084" t="s">
        <v>14350</v>
      </c>
      <c r="X1084">
        <v>11</v>
      </c>
      <c r="Y1084" t="s">
        <v>20934</v>
      </c>
      <c r="Z1084" t="s">
        <v>27414</v>
      </c>
      <c r="AA1084">
        <v>0.38702570540436732</v>
      </c>
      <c r="AB1084" t="str">
        <f>HYPERLINK("Melting_Curves/meltCurve_I3L397_EIF5A.pdf", "Melting_Curves/meltCurve_I3L397_EIF5A.pdf")</f>
        <v>Melting_Curves/meltCurve_I3L397_EIF5A.pdf</v>
      </c>
    </row>
    <row r="1085" spans="1:28" x14ac:dyDescent="0.25">
      <c r="A1085" t="s">
        <v>1089</v>
      </c>
      <c r="B1085">
        <v>0.99252571173614901</v>
      </c>
      <c r="C1085">
        <v>1.0217351080375501</v>
      </c>
      <c r="D1085">
        <v>1.3895444578195799</v>
      </c>
      <c r="E1085">
        <v>1.96355390417843</v>
      </c>
      <c r="F1085">
        <v>2.6005084843836501</v>
      </c>
      <c r="G1085">
        <v>0.99089560022490497</v>
      </c>
      <c r="H1085">
        <v>0.17024450073178701</v>
      </c>
      <c r="I1085">
        <v>0.15807622437122401</v>
      </c>
      <c r="J1085">
        <v>0.158579102716422</v>
      </c>
      <c r="K1085">
        <v>0.157525859171736</v>
      </c>
      <c r="L1085">
        <v>7594.7567538509302</v>
      </c>
      <c r="M1085">
        <v>129.15009806070501</v>
      </c>
      <c r="N1085">
        <v>58.979225247457698</v>
      </c>
      <c r="O1085">
        <v>58.791583954474703</v>
      </c>
      <c r="P1085">
        <v>-0.46236047553686999</v>
      </c>
      <c r="Q1085">
        <v>0.15809913950933899</v>
      </c>
      <c r="R1085">
        <v>0.43457325448714201</v>
      </c>
      <c r="S1085" t="s">
        <v>7731</v>
      </c>
      <c r="T1085" t="s">
        <v>13290</v>
      </c>
      <c r="U1085" t="s">
        <v>13290</v>
      </c>
      <c r="V1085" t="s">
        <v>13290</v>
      </c>
      <c r="W1085" t="s">
        <v>14351</v>
      </c>
      <c r="X1085">
        <v>13</v>
      </c>
      <c r="Y1085" t="s">
        <v>20935</v>
      </c>
      <c r="Z1085" t="s">
        <v>27415</v>
      </c>
      <c r="AA1085">
        <v>0.68617495144489216</v>
      </c>
      <c r="AB1085" t="str">
        <f>HYPERLINK("Melting_Curves/meltCurve_I3L3A8_PELP1.pdf", "Melting_Curves/meltCurve_I3L3A8_PELP1.pdf")</f>
        <v>Melting_Curves/meltCurve_I3L3A8_PELP1.pdf</v>
      </c>
    </row>
    <row r="1086" spans="1:28" x14ac:dyDescent="0.25">
      <c r="A1086" t="s">
        <v>1090</v>
      </c>
      <c r="B1086">
        <v>0.99252571173614901</v>
      </c>
      <c r="C1086">
        <v>0.92586876573642796</v>
      </c>
      <c r="D1086">
        <v>0.879722945871944</v>
      </c>
      <c r="E1086">
        <v>0.89893093072041697</v>
      </c>
      <c r="F1086">
        <v>0.49602793856171901</v>
      </c>
      <c r="G1086">
        <v>0.29361148240495499</v>
      </c>
      <c r="H1086">
        <v>0.16203690561219999</v>
      </c>
      <c r="I1086">
        <v>0.11100903774179099</v>
      </c>
      <c r="J1086">
        <v>0.12854535136811099</v>
      </c>
      <c r="K1086">
        <v>8.9334364434892996E-2</v>
      </c>
      <c r="L1086">
        <v>1109.07494153519</v>
      </c>
      <c r="M1086">
        <v>20.910424886324499</v>
      </c>
      <c r="N1086">
        <v>53.599264880265899</v>
      </c>
      <c r="O1086">
        <v>52.561399328260997</v>
      </c>
      <c r="P1086">
        <v>-8.9701277463562296E-2</v>
      </c>
      <c r="Q1086">
        <v>9.8115889748792998E-2</v>
      </c>
      <c r="R1086">
        <v>0.98564989673610903</v>
      </c>
      <c r="S1086" t="s">
        <v>7732</v>
      </c>
      <c r="T1086" t="s">
        <v>13290</v>
      </c>
      <c r="U1086" t="s">
        <v>13290</v>
      </c>
      <c r="V1086" t="s">
        <v>13290</v>
      </c>
      <c r="W1086" t="s">
        <v>14049</v>
      </c>
      <c r="X1086">
        <v>1</v>
      </c>
      <c r="Z1086" t="s">
        <v>27416</v>
      </c>
      <c r="AA1086">
        <v>0.50159901516060623</v>
      </c>
      <c r="AB1086" t="str">
        <f>HYPERLINK("Melting_Curves/meltCurve_I3L3B4_.pdf", "Melting_Curves/meltCurve_I3L3B4_.pdf")</f>
        <v>Melting_Curves/meltCurve_I3L3B4_.pdf</v>
      </c>
    </row>
    <row r="1087" spans="1:28" x14ac:dyDescent="0.25">
      <c r="A1087" t="s">
        <v>1091</v>
      </c>
      <c r="B1087">
        <v>0.99252571173614901</v>
      </c>
      <c r="C1087">
        <v>0.99339254430762403</v>
      </c>
      <c r="D1087">
        <v>0.952979683565785</v>
      </c>
      <c r="E1087">
        <v>0.73427587407260397</v>
      </c>
      <c r="F1087">
        <v>0.68589947608323998</v>
      </c>
      <c r="G1087">
        <v>0.345955056723462</v>
      </c>
      <c r="H1087">
        <v>0.182175553729922</v>
      </c>
      <c r="I1087">
        <v>0.173927156992702</v>
      </c>
      <c r="J1087">
        <v>7.9208119086199E-2</v>
      </c>
      <c r="K1087">
        <v>6.8813681888617403E-2</v>
      </c>
      <c r="L1087">
        <v>765.13373542633303</v>
      </c>
      <c r="M1087">
        <v>14.0100928944656</v>
      </c>
      <c r="N1087">
        <v>54.801275044513901</v>
      </c>
      <c r="O1087">
        <v>53.536472510371603</v>
      </c>
      <c r="P1087">
        <v>-6.3894643256393102E-2</v>
      </c>
      <c r="Q1087">
        <v>2.3491848149097098E-2</v>
      </c>
      <c r="R1087">
        <v>0.98735689084245204</v>
      </c>
      <c r="S1087" t="s">
        <v>7733</v>
      </c>
      <c r="T1087" t="s">
        <v>13290</v>
      </c>
      <c r="U1087" t="s">
        <v>13290</v>
      </c>
      <c r="V1087" t="s">
        <v>13290</v>
      </c>
      <c r="W1087" t="s">
        <v>14352</v>
      </c>
      <c r="X1087">
        <v>6</v>
      </c>
      <c r="Y1087" t="s">
        <v>20936</v>
      </c>
      <c r="Z1087" t="s">
        <v>27417</v>
      </c>
      <c r="AA1087">
        <v>0.51995977578357977</v>
      </c>
      <c r="AB1087" t="str">
        <f>HYPERLINK("Melting_Curves/meltCurve_I3L3P7_RPS15A.pdf", "Melting_Curves/meltCurve_I3L3P7_RPS15A.pdf")</f>
        <v>Melting_Curves/meltCurve_I3L3P7_RPS15A.pdf</v>
      </c>
    </row>
    <row r="1088" spans="1:28" x14ac:dyDescent="0.25">
      <c r="A1088" t="s">
        <v>1092</v>
      </c>
      <c r="B1088">
        <v>0.99252571173614901</v>
      </c>
      <c r="C1088">
        <v>0.96892473893542297</v>
      </c>
      <c r="D1088">
        <v>0.86669954485421696</v>
      </c>
      <c r="E1088">
        <v>0.57350280301171497</v>
      </c>
      <c r="F1088">
        <v>0.417309748702475</v>
      </c>
      <c r="G1088">
        <v>0.170836867891067</v>
      </c>
      <c r="H1088">
        <v>9.00451636911834E-2</v>
      </c>
      <c r="I1088">
        <v>8.9604665409897005E-2</v>
      </c>
      <c r="J1088">
        <v>9.5139557906422104E-2</v>
      </c>
      <c r="K1088">
        <v>6.8359131884572794E-2</v>
      </c>
      <c r="L1088">
        <v>829.99547351512501</v>
      </c>
      <c r="M1088">
        <v>16.352627733941802</v>
      </c>
      <c r="N1088">
        <v>51.134570775881599</v>
      </c>
      <c r="O1088">
        <v>50.015262911603401</v>
      </c>
      <c r="P1088">
        <v>-7.7084742821121502E-2</v>
      </c>
      <c r="Q1088">
        <v>5.6998987031693503E-2</v>
      </c>
      <c r="R1088">
        <v>0.99446121193870496</v>
      </c>
      <c r="S1088" t="s">
        <v>7734</v>
      </c>
      <c r="T1088" t="s">
        <v>13290</v>
      </c>
      <c r="U1088" t="s">
        <v>13290</v>
      </c>
      <c r="V1088" t="s">
        <v>13290</v>
      </c>
      <c r="W1088" t="s">
        <v>14353</v>
      </c>
      <c r="X1088">
        <v>8</v>
      </c>
      <c r="Y1088" t="s">
        <v>20937</v>
      </c>
      <c r="Z1088" t="s">
        <v>27418</v>
      </c>
      <c r="AA1088">
        <v>0.4140246644857643</v>
      </c>
      <c r="AB1088" t="str">
        <f>HYPERLINK("Melting_Curves/meltCurve_I3L448_ATPAF1.pdf", "Melting_Curves/meltCurve_I3L448_ATPAF1.pdf")</f>
        <v>Melting_Curves/meltCurve_I3L448_ATPAF1.pdf</v>
      </c>
    </row>
    <row r="1089" spans="1:28" x14ac:dyDescent="0.25">
      <c r="A1089" t="s">
        <v>1093</v>
      </c>
      <c r="B1089">
        <v>0.99252571173614901</v>
      </c>
      <c r="C1089">
        <v>1.0544952526584701</v>
      </c>
      <c r="D1089">
        <v>0.95101158569051403</v>
      </c>
      <c r="E1089">
        <v>0.96612277443088901</v>
      </c>
      <c r="F1089">
        <v>0.87109398279964301</v>
      </c>
      <c r="G1089">
        <v>0.81159982520281804</v>
      </c>
      <c r="H1089">
        <v>0.82925119998149199</v>
      </c>
      <c r="I1089">
        <v>1.10617660118535</v>
      </c>
      <c r="J1089">
        <v>1.59986479551361</v>
      </c>
      <c r="K1089">
        <v>1.7110667056818201</v>
      </c>
      <c r="L1089">
        <v>15000</v>
      </c>
      <c r="M1089">
        <v>233.064711689555</v>
      </c>
      <c r="O1089">
        <v>64.355068872446395</v>
      </c>
      <c r="P1089">
        <v>0.452692997806315</v>
      </c>
      <c r="Q1089">
        <v>1.5</v>
      </c>
      <c r="R1089">
        <v>0.83909152192967196</v>
      </c>
      <c r="S1089" t="s">
        <v>7735</v>
      </c>
      <c r="T1089" t="s">
        <v>13290</v>
      </c>
      <c r="U1089" t="s">
        <v>13290</v>
      </c>
      <c r="V1089" t="s">
        <v>13290</v>
      </c>
      <c r="W1089" t="s">
        <v>14354</v>
      </c>
      <c r="X1089">
        <v>1</v>
      </c>
      <c r="Y1089" t="s">
        <v>20938</v>
      </c>
      <c r="Z1089" t="s">
        <v>27419</v>
      </c>
      <c r="AA1089">
        <v>1.0939382239423501</v>
      </c>
      <c r="AB1089" t="str">
        <f>HYPERLINK("Melting_Curves/meltCurve_I3L4B1_MYL4.pdf", "Melting_Curves/meltCurve_I3L4B1_MYL4.pdf")</f>
        <v>Melting_Curves/meltCurve_I3L4B1_MYL4.pdf</v>
      </c>
    </row>
    <row r="1090" spans="1:28" x14ac:dyDescent="0.25">
      <c r="A1090" t="s">
        <v>1094</v>
      </c>
      <c r="B1090">
        <v>0.99252571173614901</v>
      </c>
      <c r="C1090">
        <v>0.82044533276656895</v>
      </c>
      <c r="D1090">
        <v>0.82450856765647496</v>
      </c>
      <c r="E1090">
        <v>0.79301616859245805</v>
      </c>
      <c r="F1090">
        <v>0.63360841931189404</v>
      </c>
      <c r="G1090">
        <v>0.40287495914794202</v>
      </c>
      <c r="H1090">
        <v>0.24193185180231</v>
      </c>
      <c r="I1090">
        <v>0.20412250911831101</v>
      </c>
      <c r="J1090">
        <v>0.15371441260690999</v>
      </c>
      <c r="K1090">
        <v>0.129595556057954</v>
      </c>
      <c r="L1090">
        <v>517.27151744840603</v>
      </c>
      <c r="M1090">
        <v>9.4118851701498603</v>
      </c>
      <c r="N1090">
        <v>54.959395262033901</v>
      </c>
      <c r="O1090">
        <v>52.649644144711999</v>
      </c>
      <c r="P1090">
        <v>-4.47185029957635E-2</v>
      </c>
      <c r="Q1090">
        <v>0</v>
      </c>
      <c r="R1090">
        <v>0.975166871578794</v>
      </c>
      <c r="S1090" t="s">
        <v>7736</v>
      </c>
      <c r="T1090" t="s">
        <v>13290</v>
      </c>
      <c r="U1090" t="s">
        <v>13290</v>
      </c>
      <c r="V1090" t="s">
        <v>13290</v>
      </c>
      <c r="W1090" t="s">
        <v>14355</v>
      </c>
      <c r="X1090">
        <v>14</v>
      </c>
      <c r="Y1090" t="s">
        <v>20939</v>
      </c>
      <c r="Z1090" t="s">
        <v>27420</v>
      </c>
      <c r="AA1090">
        <v>0.52527027109073621</v>
      </c>
      <c r="AB1090" t="str">
        <f>HYPERLINK("Melting_Curves/meltCurve_I3L4X2_ABCC1.pdf", "Melting_Curves/meltCurve_I3L4X2_ABCC1.pdf")</f>
        <v>Melting_Curves/meltCurve_I3L4X2_ABCC1.pdf</v>
      </c>
    </row>
    <row r="1091" spans="1:28" x14ac:dyDescent="0.25">
      <c r="A1091" t="s">
        <v>1095</v>
      </c>
      <c r="B1091">
        <v>0.99252571173614901</v>
      </c>
      <c r="C1091">
        <v>1.0224877753449</v>
      </c>
      <c r="D1091">
        <v>0.79666628190094302</v>
      </c>
      <c r="E1091">
        <v>0.32050545526660901</v>
      </c>
      <c r="F1091">
        <v>7.7644068467788901E-2</v>
      </c>
      <c r="G1091">
        <v>4.3227773806565603E-2</v>
      </c>
      <c r="H1091">
        <v>3.43219400859959E-2</v>
      </c>
      <c r="I1091">
        <v>4.3443769029562603E-2</v>
      </c>
      <c r="J1091">
        <v>7.2344247738121994E-2</v>
      </c>
      <c r="K1091">
        <v>8.0722651642217105E-2</v>
      </c>
      <c r="L1091">
        <v>1521.6223347209</v>
      </c>
      <c r="M1091">
        <v>31.6719101239986</v>
      </c>
      <c r="N1091">
        <v>48.208512375159899</v>
      </c>
      <c r="O1091">
        <v>47.852967843333303</v>
      </c>
      <c r="P1091">
        <v>-0.156954743327746</v>
      </c>
      <c r="Q1091">
        <v>5.1435796709111803E-2</v>
      </c>
      <c r="R1091">
        <v>0.99712444192258798</v>
      </c>
      <c r="S1091" t="s">
        <v>7737</v>
      </c>
      <c r="T1091" t="s">
        <v>13290</v>
      </c>
      <c r="U1091" t="s">
        <v>13290</v>
      </c>
      <c r="V1091" t="s">
        <v>13290</v>
      </c>
      <c r="W1091" t="s">
        <v>14356</v>
      </c>
      <c r="X1091">
        <v>2</v>
      </c>
      <c r="Y1091" t="s">
        <v>20940</v>
      </c>
      <c r="Z1091" t="s">
        <v>27421</v>
      </c>
      <c r="AA1091">
        <v>0.3108562502694131</v>
      </c>
      <c r="AB1091" t="str">
        <f>HYPERLINK("Melting_Curves/meltCurve_I3L4X3_NFKBIB.pdf", "Melting_Curves/meltCurve_I3L4X3_NFKBIB.pdf")</f>
        <v>Melting_Curves/meltCurve_I3L4X3_NFKBIB.pdf</v>
      </c>
    </row>
    <row r="1092" spans="1:28" x14ac:dyDescent="0.25">
      <c r="A1092" t="s">
        <v>1096</v>
      </c>
      <c r="B1092">
        <v>0.99252571173614901</v>
      </c>
      <c r="C1092">
        <v>1.0084364947515501</v>
      </c>
      <c r="D1092">
        <v>0.86261717633307899</v>
      </c>
      <c r="E1092">
        <v>0.76224207654293896</v>
      </c>
      <c r="F1092">
        <v>1.1143593038267401</v>
      </c>
      <c r="G1092">
        <v>0.99305432165935303</v>
      </c>
      <c r="H1092">
        <v>0.93727151507245898</v>
      </c>
      <c r="I1092">
        <v>0.46763738067210597</v>
      </c>
      <c r="J1092">
        <v>0.55704203185705103</v>
      </c>
      <c r="K1092">
        <v>0.57554210003842099</v>
      </c>
      <c r="L1092">
        <v>15000</v>
      </c>
      <c r="M1092">
        <v>244.848549612406</v>
      </c>
      <c r="O1092">
        <v>61.258273851533097</v>
      </c>
      <c r="P1092">
        <v>-0.46624448286745901</v>
      </c>
      <c r="Q1092">
        <v>0.53340410944412897</v>
      </c>
      <c r="R1092">
        <v>0.78974337713045795</v>
      </c>
      <c r="S1092" t="s">
        <v>7738</v>
      </c>
      <c r="T1092" t="s">
        <v>13290</v>
      </c>
      <c r="U1092" t="s">
        <v>13290</v>
      </c>
      <c r="V1092" t="s">
        <v>13290</v>
      </c>
      <c r="W1092" t="s">
        <v>14357</v>
      </c>
      <c r="X1092">
        <v>3</v>
      </c>
      <c r="Y1092" t="s">
        <v>20941</v>
      </c>
      <c r="Z1092" t="s">
        <v>27422</v>
      </c>
      <c r="AA1092">
        <v>0.86415406937427586</v>
      </c>
      <c r="AB1092" t="str">
        <f>HYPERLINK("Melting_Curves/meltCurve_I3L505_NDUFAB1.pdf", "Melting_Curves/meltCurve_I3L505_NDUFAB1.pdf")</f>
        <v>Melting_Curves/meltCurve_I3L505_NDUFAB1.pdf</v>
      </c>
    </row>
    <row r="1093" spans="1:28" x14ac:dyDescent="0.25">
      <c r="A1093" t="s">
        <v>1097</v>
      </c>
      <c r="B1093">
        <v>0.99252571173614901</v>
      </c>
      <c r="C1093">
        <v>0.92742818944083805</v>
      </c>
      <c r="D1093">
        <v>0.75697110662174305</v>
      </c>
      <c r="E1093">
        <v>0.67009413159861397</v>
      </c>
      <c r="F1093">
        <v>0.31793352702453898</v>
      </c>
      <c r="G1093">
        <v>0.185140873179616</v>
      </c>
      <c r="H1093">
        <v>0.10214556744509801</v>
      </c>
      <c r="I1093">
        <v>0.104924145132906</v>
      </c>
      <c r="J1093">
        <v>0.126311523150681</v>
      </c>
      <c r="K1093">
        <v>0.125386535116187</v>
      </c>
      <c r="L1093">
        <v>800.49913435185204</v>
      </c>
      <c r="M1093">
        <v>15.9562049204528</v>
      </c>
      <c r="N1093">
        <v>50.757510846046401</v>
      </c>
      <c r="O1093">
        <v>49.400360317919201</v>
      </c>
      <c r="P1093">
        <v>-7.3930917012469802E-2</v>
      </c>
      <c r="Q1093">
        <v>8.4513034507147797E-2</v>
      </c>
      <c r="R1093">
        <v>0.98606913640760396</v>
      </c>
      <c r="S1093" t="s">
        <v>7739</v>
      </c>
      <c r="T1093" t="s">
        <v>13290</v>
      </c>
      <c r="U1093" t="s">
        <v>13290</v>
      </c>
      <c r="V1093" t="s">
        <v>13290</v>
      </c>
      <c r="W1093" t="s">
        <v>14358</v>
      </c>
      <c r="X1093">
        <v>15</v>
      </c>
      <c r="Y1093" t="s">
        <v>20883</v>
      </c>
      <c r="Z1093" t="s">
        <v>27423</v>
      </c>
      <c r="AA1093">
        <v>0.41427304600044779</v>
      </c>
      <c r="AB1093" t="str">
        <f>HYPERLINK("Melting_Curves/meltCurve_I3NI03_P4HB.pdf", "Melting_Curves/meltCurve_I3NI03_P4HB.pdf")</f>
        <v>Melting_Curves/meltCurve_I3NI03_P4HB.pdf</v>
      </c>
    </row>
    <row r="1094" spans="1:28" x14ac:dyDescent="0.25">
      <c r="A1094" t="s">
        <v>1098</v>
      </c>
      <c r="B1094">
        <v>0.99252571173614901</v>
      </c>
      <c r="C1094">
        <v>1.1070346731745999</v>
      </c>
      <c r="D1094">
        <v>0.97851947781422899</v>
      </c>
      <c r="E1094">
        <v>1.5115291274201099</v>
      </c>
      <c r="F1094">
        <v>0.89284649509171699</v>
      </c>
      <c r="G1094">
        <v>0.40543048285463101</v>
      </c>
      <c r="H1094">
        <v>0.18987889516779599</v>
      </c>
      <c r="I1094">
        <v>0.24844186474746099</v>
      </c>
      <c r="J1094">
        <v>0.34119828151355802</v>
      </c>
      <c r="K1094">
        <v>0.38037073966039298</v>
      </c>
      <c r="L1094">
        <v>3204.9294575756298</v>
      </c>
      <c r="M1094">
        <v>58.256558955093098</v>
      </c>
      <c r="N1094">
        <v>55.856060220529102</v>
      </c>
      <c r="O1094">
        <v>54.949340616673801</v>
      </c>
      <c r="P1094">
        <v>-0.18759007890853199</v>
      </c>
      <c r="Q1094">
        <v>0.292237883281521</v>
      </c>
      <c r="R1094">
        <v>0.83459428648716905</v>
      </c>
      <c r="S1094" t="s">
        <v>7740</v>
      </c>
      <c r="T1094" t="s">
        <v>13290</v>
      </c>
      <c r="U1094" t="s">
        <v>13290</v>
      </c>
      <c r="V1094" t="s">
        <v>13290</v>
      </c>
      <c r="W1094" t="s">
        <v>14359</v>
      </c>
      <c r="X1094">
        <v>20</v>
      </c>
      <c r="Y1094" t="s">
        <v>20942</v>
      </c>
      <c r="Z1094" t="s">
        <v>27424</v>
      </c>
      <c r="AA1094">
        <v>0.64771365970434069</v>
      </c>
      <c r="AB1094" t="str">
        <f>HYPERLINK("Melting_Curves/meltCurve_I6L8B7_FABP5.pdf", "Melting_Curves/meltCurve_I6L8B7_FABP5.pdf")</f>
        <v>Melting_Curves/meltCurve_I6L8B7_FABP5.pdf</v>
      </c>
    </row>
    <row r="1095" spans="1:28" x14ac:dyDescent="0.25">
      <c r="A1095" t="s">
        <v>1099</v>
      </c>
      <c r="B1095">
        <v>0.99252571173614901</v>
      </c>
      <c r="C1095">
        <v>0.95499369907937504</v>
      </c>
      <c r="D1095">
        <v>0.919654447111526</v>
      </c>
      <c r="E1095">
        <v>0.69597145322052301</v>
      </c>
      <c r="F1095">
        <v>0.34775524647216999</v>
      </c>
      <c r="G1095">
        <v>0.19894742668703</v>
      </c>
      <c r="H1095">
        <v>0.118092343188335</v>
      </c>
      <c r="I1095">
        <v>0.121879509369778</v>
      </c>
      <c r="J1095">
        <v>0.13923603708976501</v>
      </c>
      <c r="K1095">
        <v>0.139139835991759</v>
      </c>
      <c r="L1095">
        <v>1175.0896713648999</v>
      </c>
      <c r="M1095">
        <v>23.112232283894699</v>
      </c>
      <c r="N1095">
        <v>51.468186842333999</v>
      </c>
      <c r="O1095">
        <v>50.466724138347502</v>
      </c>
      <c r="P1095">
        <v>-0.100477112556042</v>
      </c>
      <c r="Q1095">
        <v>0.122428752740355</v>
      </c>
      <c r="R1095">
        <v>0.99813126544329001</v>
      </c>
      <c r="S1095" t="s">
        <v>7741</v>
      </c>
      <c r="T1095" t="s">
        <v>13290</v>
      </c>
      <c r="U1095" t="s">
        <v>13290</v>
      </c>
      <c r="V1095" t="s">
        <v>13290</v>
      </c>
      <c r="W1095" t="s">
        <v>14360</v>
      </c>
      <c r="X1095">
        <v>10</v>
      </c>
      <c r="Y1095" t="s">
        <v>20943</v>
      </c>
      <c r="Z1095" t="s">
        <v>27425</v>
      </c>
      <c r="AA1095">
        <v>0.4488380483881258</v>
      </c>
      <c r="AB1095" t="str">
        <f>HYPERLINK("Melting_Curves/meltCurve_J3KMW8_CACTIN.pdf", "Melting_Curves/meltCurve_J3KMW8_CACTIN.pdf")</f>
        <v>Melting_Curves/meltCurve_J3KMW8_CACTIN.pdf</v>
      </c>
    </row>
    <row r="1096" spans="1:28" x14ac:dyDescent="0.25">
      <c r="A1096" t="s">
        <v>1100</v>
      </c>
      <c r="B1096">
        <v>0.99252571173614901</v>
      </c>
      <c r="C1096">
        <v>0.68077635488230404</v>
      </c>
      <c r="D1096">
        <v>0.57330179278034299</v>
      </c>
      <c r="E1096">
        <v>0.247039453047287</v>
      </c>
      <c r="F1096">
        <v>0.151128263629632</v>
      </c>
      <c r="G1096">
        <v>0.124065083952799</v>
      </c>
      <c r="H1096">
        <v>0.108924750755674</v>
      </c>
      <c r="I1096">
        <v>0.121351017462115</v>
      </c>
      <c r="J1096">
        <v>0.17785780371156801</v>
      </c>
      <c r="K1096">
        <v>0.1788629187603</v>
      </c>
      <c r="L1096">
        <v>847.57581029915104</v>
      </c>
      <c r="M1096">
        <v>18.738386330408598</v>
      </c>
      <c r="N1096">
        <v>45.978768374792097</v>
      </c>
      <c r="O1096">
        <v>44.7263580324353</v>
      </c>
      <c r="P1096">
        <v>-9.1002550798990597E-2</v>
      </c>
      <c r="Q1096">
        <v>0.131186432151221</v>
      </c>
      <c r="R1096">
        <v>0.970704642915724</v>
      </c>
      <c r="S1096" t="s">
        <v>7742</v>
      </c>
      <c r="T1096" t="s">
        <v>13290</v>
      </c>
      <c r="U1096" t="s">
        <v>13290</v>
      </c>
      <c r="V1096" t="s">
        <v>13290</v>
      </c>
      <c r="W1096" t="s">
        <v>14361</v>
      </c>
      <c r="X1096">
        <v>4</v>
      </c>
      <c r="Y1096" t="s">
        <v>20944</v>
      </c>
      <c r="Z1096" t="s">
        <v>27426</v>
      </c>
      <c r="AA1096">
        <v>0.29938423561730892</v>
      </c>
      <c r="AB1096" t="str">
        <f>HYPERLINK("Melting_Curves/meltCurve_J3KMX2_SMARCD2.pdf", "Melting_Curves/meltCurve_J3KMX2_SMARCD2.pdf")</f>
        <v>Melting_Curves/meltCurve_J3KMX2_SMARCD2.pdf</v>
      </c>
    </row>
    <row r="1097" spans="1:28" x14ac:dyDescent="0.25">
      <c r="A1097" t="s">
        <v>1101</v>
      </c>
      <c r="B1097">
        <v>0.99252571173614901</v>
      </c>
      <c r="C1097">
        <v>1.1023778744830699</v>
      </c>
      <c r="D1097">
        <v>0.99230898959628799</v>
      </c>
      <c r="E1097">
        <v>0.83891159500234402</v>
      </c>
      <c r="F1097">
        <v>0.87320600676375104</v>
      </c>
      <c r="G1097">
        <v>0.78941433275920703</v>
      </c>
      <c r="H1097">
        <v>0.87120178910042401</v>
      </c>
      <c r="I1097">
        <v>1.0320213672304599</v>
      </c>
      <c r="J1097">
        <v>1.0450526000598199</v>
      </c>
      <c r="K1097">
        <v>0.63146501625851803</v>
      </c>
      <c r="L1097">
        <v>11627.7249099406</v>
      </c>
      <c r="M1097">
        <v>250</v>
      </c>
      <c r="O1097">
        <v>46.507924118155501</v>
      </c>
      <c r="P1097">
        <v>-0.17637687959119699</v>
      </c>
      <c r="Q1097">
        <v>0.86875324208557603</v>
      </c>
      <c r="R1097">
        <v>0.28096283447215697</v>
      </c>
      <c r="S1097" t="s">
        <v>7743</v>
      </c>
      <c r="T1097" t="s">
        <v>13290</v>
      </c>
      <c r="U1097" t="s">
        <v>13290</v>
      </c>
      <c r="V1097" t="s">
        <v>13290</v>
      </c>
      <c r="W1097" t="s">
        <v>14362</v>
      </c>
      <c r="X1097">
        <v>9</v>
      </c>
      <c r="Y1097" t="s">
        <v>20945</v>
      </c>
      <c r="Z1097" t="s">
        <v>27427</v>
      </c>
      <c r="AA1097">
        <v>0.89724843751513572</v>
      </c>
      <c r="AB1097" t="str">
        <f>HYPERLINK("Melting_Curves/meltCurve_J3KMY5_NPC2.pdf", "Melting_Curves/meltCurve_J3KMY5_NPC2.pdf")</f>
        <v>Melting_Curves/meltCurve_J3KMY5_NPC2.pdf</v>
      </c>
    </row>
    <row r="1098" spans="1:28" x14ac:dyDescent="0.25">
      <c r="A1098" t="s">
        <v>1102</v>
      </c>
      <c r="B1098">
        <v>0.99252571173614901</v>
      </c>
      <c r="C1098">
        <v>0.82315626404266196</v>
      </c>
      <c r="D1098">
        <v>0.708404980995056</v>
      </c>
      <c r="E1098">
        <v>0.54727063840252299</v>
      </c>
      <c r="F1098">
        <v>0.49084562933470999</v>
      </c>
      <c r="G1098">
        <v>0.32298584079760201</v>
      </c>
      <c r="H1098">
        <v>0.23444144636591099</v>
      </c>
      <c r="I1098">
        <v>0.185512134623733</v>
      </c>
      <c r="J1098">
        <v>0.187823302743057</v>
      </c>
      <c r="K1098">
        <v>0.22258115896036501</v>
      </c>
      <c r="L1098">
        <v>500.46076584405301</v>
      </c>
      <c r="M1098">
        <v>10.098097079510501</v>
      </c>
      <c r="N1098">
        <v>51.234984300109303</v>
      </c>
      <c r="O1098">
        <v>47.734078537780498</v>
      </c>
      <c r="P1098">
        <v>-4.5473080589053701E-2</v>
      </c>
      <c r="Q1098">
        <v>0.140590952187958</v>
      </c>
      <c r="R1098">
        <v>0.98281046343621703</v>
      </c>
      <c r="S1098" t="s">
        <v>7744</v>
      </c>
      <c r="T1098" t="s">
        <v>13290</v>
      </c>
      <c r="U1098" t="s">
        <v>13290</v>
      </c>
      <c r="V1098" t="s">
        <v>13290</v>
      </c>
      <c r="W1098" t="s">
        <v>14363</v>
      </c>
      <c r="X1098">
        <v>6</v>
      </c>
      <c r="Y1098" t="s">
        <v>20946</v>
      </c>
      <c r="Z1098" t="s">
        <v>27428</v>
      </c>
      <c r="AA1098">
        <v>0.45414381060118708</v>
      </c>
      <c r="AB1098" t="str">
        <f>HYPERLINK("Melting_Curves/meltCurve_J3KMZ8_DPF2.pdf", "Melting_Curves/meltCurve_J3KMZ8_DPF2.pdf")</f>
        <v>Melting_Curves/meltCurve_J3KMZ8_DPF2.pdf</v>
      </c>
    </row>
    <row r="1099" spans="1:28" x14ac:dyDescent="0.25">
      <c r="A1099" t="s">
        <v>1103</v>
      </c>
      <c r="B1099">
        <v>0.99252571173614901</v>
      </c>
      <c r="C1099">
        <v>0.96122020315846202</v>
      </c>
      <c r="D1099">
        <v>0.93456211873335204</v>
      </c>
      <c r="E1099">
        <v>0.88798592828735101</v>
      </c>
      <c r="F1099">
        <v>0.665942672320881</v>
      </c>
      <c r="G1099">
        <v>0.48622373625951498</v>
      </c>
      <c r="H1099">
        <v>0.35086970444021598</v>
      </c>
      <c r="I1099">
        <v>0.35794337739018101</v>
      </c>
      <c r="J1099">
        <v>0.37047195401249899</v>
      </c>
      <c r="K1099">
        <v>0.25082808221208502</v>
      </c>
      <c r="L1099">
        <v>927.82244474941297</v>
      </c>
      <c r="M1099">
        <v>17.298055180786299</v>
      </c>
      <c r="N1099">
        <v>56.528200874182403</v>
      </c>
      <c r="O1099">
        <v>52.9359437184375</v>
      </c>
      <c r="P1099">
        <v>-5.7714555486051901E-2</v>
      </c>
      <c r="Q1099">
        <v>0.29356270434832399</v>
      </c>
      <c r="R1099">
        <v>0.98765944039752096</v>
      </c>
      <c r="S1099" t="s">
        <v>7745</v>
      </c>
      <c r="T1099" t="s">
        <v>13290</v>
      </c>
      <c r="U1099" t="s">
        <v>13290</v>
      </c>
      <c r="V1099" t="s">
        <v>13290</v>
      </c>
      <c r="W1099" t="s">
        <v>14364</v>
      </c>
      <c r="X1099">
        <v>24</v>
      </c>
      <c r="Y1099" t="s">
        <v>20947</v>
      </c>
      <c r="Z1099" t="s">
        <v>27429</v>
      </c>
      <c r="AA1099">
        <v>0.6268078683504158</v>
      </c>
      <c r="AB1099" t="str">
        <f>HYPERLINK("Melting_Curves/meltCurve_J3KMZ9_LDLR.pdf", "Melting_Curves/meltCurve_J3KMZ9_LDLR.pdf")</f>
        <v>Melting_Curves/meltCurve_J3KMZ9_LDLR.pdf</v>
      </c>
    </row>
    <row r="1100" spans="1:28" x14ac:dyDescent="0.25">
      <c r="A1100" t="s">
        <v>1104</v>
      </c>
      <c r="B1100">
        <v>0.99252571173614901</v>
      </c>
      <c r="C1100">
        <v>0.94001852424959897</v>
      </c>
      <c r="D1100">
        <v>0.941140291430969</v>
      </c>
      <c r="E1100">
        <v>0.92116132207200996</v>
      </c>
      <c r="F1100">
        <v>0.64331777462179796</v>
      </c>
      <c r="G1100">
        <v>0.48675623252565497</v>
      </c>
      <c r="H1100">
        <v>0.34845441341779698</v>
      </c>
      <c r="I1100">
        <v>0.328015539921445</v>
      </c>
      <c r="J1100">
        <v>0.288101673060084</v>
      </c>
      <c r="K1100">
        <v>0.24403822861531299</v>
      </c>
      <c r="L1100">
        <v>934.177984850332</v>
      </c>
      <c r="M1100">
        <v>17.292635168128498</v>
      </c>
      <c r="N1100">
        <v>56.363544921380999</v>
      </c>
      <c r="O1100">
        <v>53.314817905748903</v>
      </c>
      <c r="P1100">
        <v>-6.0311870054253099E-2</v>
      </c>
      <c r="Q1100">
        <v>0.25625432985434399</v>
      </c>
      <c r="R1100">
        <v>0.99004138973578204</v>
      </c>
      <c r="S1100" t="s">
        <v>7746</v>
      </c>
      <c r="T1100" t="s">
        <v>13290</v>
      </c>
      <c r="U1100" t="s">
        <v>13290</v>
      </c>
      <c r="V1100" t="s">
        <v>13290</v>
      </c>
      <c r="W1100" t="s">
        <v>14365</v>
      </c>
      <c r="X1100">
        <v>6</v>
      </c>
      <c r="Y1100" t="s">
        <v>20948</v>
      </c>
      <c r="Z1100" t="s">
        <v>27430</v>
      </c>
      <c r="AA1100">
        <v>0.61648171032739252</v>
      </c>
      <c r="AB1100" t="str">
        <f>HYPERLINK("Melting_Curves/meltCurve_J3KN00_NDUFA13.pdf", "Melting_Curves/meltCurve_J3KN00_NDUFA13.pdf")</f>
        <v>Melting_Curves/meltCurve_J3KN00_NDUFA13.pdf</v>
      </c>
    </row>
    <row r="1101" spans="1:28" x14ac:dyDescent="0.25">
      <c r="A1101" t="s">
        <v>1105</v>
      </c>
      <c r="B1101">
        <v>0.99252571173614901</v>
      </c>
      <c r="C1101">
        <v>1.00092725028327</v>
      </c>
      <c r="D1101">
        <v>0.86330381428309799</v>
      </c>
      <c r="E1101">
        <v>0.324788537087148</v>
      </c>
      <c r="F1101">
        <v>0.122717058124431</v>
      </c>
      <c r="G1101">
        <v>7.4220741006446503E-2</v>
      </c>
      <c r="H1101">
        <v>5.8663004846894899E-2</v>
      </c>
      <c r="I1101">
        <v>5.7087784891570403E-2</v>
      </c>
      <c r="J1101">
        <v>6.8454456030726196E-2</v>
      </c>
      <c r="K1101">
        <v>6.4505559414791802E-2</v>
      </c>
      <c r="L1101">
        <v>1689.4694992602099</v>
      </c>
      <c r="M1101">
        <v>34.989811151902302</v>
      </c>
      <c r="N1101">
        <v>48.482726700370598</v>
      </c>
      <c r="O1101">
        <v>48.127704143636599</v>
      </c>
      <c r="P1101">
        <v>-0.16964830000723799</v>
      </c>
      <c r="Q1101">
        <v>6.6613363207562198E-2</v>
      </c>
      <c r="R1101">
        <v>0.99944897165934699</v>
      </c>
      <c r="S1101" t="s">
        <v>7747</v>
      </c>
      <c r="T1101" t="s">
        <v>13290</v>
      </c>
      <c r="U1101" t="s">
        <v>13290</v>
      </c>
      <c r="V1101" t="s">
        <v>13290</v>
      </c>
      <c r="W1101" t="s">
        <v>14366</v>
      </c>
      <c r="X1101">
        <v>57</v>
      </c>
      <c r="Y1101" t="s">
        <v>20949</v>
      </c>
      <c r="Z1101" t="s">
        <v>27431</v>
      </c>
      <c r="AA1101">
        <v>0.32847339749460308</v>
      </c>
      <c r="AB1101" t="str">
        <f>HYPERLINK("Melting_Curves/meltCurve_J3KN16_KIAA0368.pdf", "Melting_Curves/meltCurve_J3KN16_KIAA0368.pdf")</f>
        <v>Melting_Curves/meltCurve_J3KN16_KIAA0368.pdf</v>
      </c>
    </row>
    <row r="1102" spans="1:28" x14ac:dyDescent="0.25">
      <c r="A1102" t="s">
        <v>1106</v>
      </c>
      <c r="B1102">
        <v>0.99252571173614901</v>
      </c>
      <c r="C1102">
        <v>0.84816994698316195</v>
      </c>
      <c r="D1102">
        <v>0.76182481732150897</v>
      </c>
      <c r="E1102">
        <v>0.61811410864612704</v>
      </c>
      <c r="F1102">
        <v>0.43194506703263702</v>
      </c>
      <c r="G1102">
        <v>0.24244097113468999</v>
      </c>
      <c r="H1102">
        <v>0.198031093109926</v>
      </c>
      <c r="I1102">
        <v>0.205607484893093</v>
      </c>
      <c r="J1102">
        <v>0.33416989037359701</v>
      </c>
      <c r="K1102">
        <v>0.551939794278269</v>
      </c>
      <c r="L1102">
        <v>816.44076518818702</v>
      </c>
      <c r="M1102">
        <v>17.0424904538357</v>
      </c>
      <c r="N1102">
        <v>50.663169992800398</v>
      </c>
      <c r="O1102">
        <v>47.261181895183803</v>
      </c>
      <c r="P1102">
        <v>-6.2909868472332806E-2</v>
      </c>
      <c r="Q1102">
        <v>0.30221162870276802</v>
      </c>
      <c r="R1102">
        <v>0.84974876580185799</v>
      </c>
      <c r="S1102" t="s">
        <v>7748</v>
      </c>
      <c r="T1102" t="s">
        <v>13290</v>
      </c>
      <c r="U1102" t="s">
        <v>13290</v>
      </c>
      <c r="V1102" t="s">
        <v>13290</v>
      </c>
      <c r="W1102" t="s">
        <v>14367</v>
      </c>
      <c r="X1102">
        <v>1</v>
      </c>
      <c r="Y1102" t="s">
        <v>20950</v>
      </c>
      <c r="Z1102" t="s">
        <v>27432</v>
      </c>
      <c r="AA1102">
        <v>0.50002195890631584</v>
      </c>
      <c r="AB1102" t="str">
        <f>HYPERLINK("Melting_Curves/meltCurve_J3KN27_FBRSL1.pdf", "Melting_Curves/meltCurve_J3KN27_FBRSL1.pdf")</f>
        <v>Melting_Curves/meltCurve_J3KN27_FBRSL1.pdf</v>
      </c>
    </row>
    <row r="1103" spans="1:28" x14ac:dyDescent="0.25">
      <c r="A1103" t="s">
        <v>1107</v>
      </c>
      <c r="B1103">
        <v>0.99252571173614901</v>
      </c>
      <c r="C1103">
        <v>0.98208585000827298</v>
      </c>
      <c r="D1103">
        <v>0.91358670094581496</v>
      </c>
      <c r="E1103">
        <v>0.88887094844362102</v>
      </c>
      <c r="F1103">
        <v>0.65402455532826098</v>
      </c>
      <c r="G1103">
        <v>0.66803187039627299</v>
      </c>
      <c r="H1103">
        <v>0.64453565660204404</v>
      </c>
      <c r="I1103">
        <v>0.72813259346485004</v>
      </c>
      <c r="J1103">
        <v>1.0322690013671201</v>
      </c>
      <c r="K1103">
        <v>1.1063295390252399</v>
      </c>
      <c r="L1103">
        <v>1519.32077821241</v>
      </c>
      <c r="M1103">
        <v>32.685237295320498</v>
      </c>
      <c r="O1103">
        <v>46.310432717283</v>
      </c>
      <c r="P1103">
        <v>-3.3018867455107202E-2</v>
      </c>
      <c r="Q1103">
        <v>0.81286831433672202</v>
      </c>
      <c r="R1103">
        <v>0.18303377230011</v>
      </c>
      <c r="S1103" t="s">
        <v>7749</v>
      </c>
      <c r="T1103" t="s">
        <v>13290</v>
      </c>
      <c r="U1103" t="s">
        <v>13290</v>
      </c>
      <c r="V1103" t="s">
        <v>13290</v>
      </c>
      <c r="W1103" t="s">
        <v>14368</v>
      </c>
      <c r="X1103">
        <v>15</v>
      </c>
      <c r="Y1103" t="s">
        <v>20951</v>
      </c>
      <c r="Z1103" t="s">
        <v>27433</v>
      </c>
      <c r="AA1103">
        <v>0.85424552659955677</v>
      </c>
      <c r="AB1103" t="str">
        <f>HYPERLINK("Melting_Curves/meltCurve_J3KN29_PSMD9.pdf", "Melting_Curves/meltCurve_J3KN29_PSMD9.pdf")</f>
        <v>Melting_Curves/meltCurve_J3KN29_PSMD9.pdf</v>
      </c>
    </row>
    <row r="1104" spans="1:28" x14ac:dyDescent="0.25">
      <c r="A1104" t="s">
        <v>1108</v>
      </c>
      <c r="B1104">
        <v>0.99252571173614901</v>
      </c>
      <c r="C1104">
        <v>0.75571786773467997</v>
      </c>
      <c r="D1104">
        <v>0.837062093127941</v>
      </c>
      <c r="E1104">
        <v>0.43697827363373698</v>
      </c>
      <c r="F1104">
        <v>0.152443662127313</v>
      </c>
      <c r="G1104">
        <v>8.3152028847425799E-2</v>
      </c>
      <c r="H1104">
        <v>5.9711772563796402E-2</v>
      </c>
      <c r="I1104">
        <v>5.7811569694860301E-2</v>
      </c>
      <c r="J1104">
        <v>6.9193133061551296E-2</v>
      </c>
      <c r="K1104">
        <v>6.4660020234053997E-2</v>
      </c>
      <c r="L1104">
        <v>904.70000026361902</v>
      </c>
      <c r="M1104">
        <v>18.6360477139939</v>
      </c>
      <c r="N1104">
        <v>48.776999705223602</v>
      </c>
      <c r="O1104">
        <v>47.997084025461596</v>
      </c>
      <c r="P1104">
        <v>-9.2967650921289197E-2</v>
      </c>
      <c r="Q1104">
        <v>4.2289597843479201E-2</v>
      </c>
      <c r="R1104">
        <v>0.96844407530798604</v>
      </c>
      <c r="S1104" t="s">
        <v>7750</v>
      </c>
      <c r="T1104" t="s">
        <v>13290</v>
      </c>
      <c r="U1104" t="s">
        <v>13290</v>
      </c>
      <c r="V1104" t="s">
        <v>13290</v>
      </c>
      <c r="W1104" t="s">
        <v>14369</v>
      </c>
      <c r="X1104">
        <v>6</v>
      </c>
      <c r="Y1104" t="s">
        <v>20952</v>
      </c>
      <c r="Z1104" t="s">
        <v>27434</v>
      </c>
      <c r="AA1104">
        <v>0.33069922736830548</v>
      </c>
      <c r="AB1104" t="str">
        <f>HYPERLINK("Melting_Curves/meltCurve_J3KN32_RCOR1.pdf", "Melting_Curves/meltCurve_J3KN32_RCOR1.pdf")</f>
        <v>Melting_Curves/meltCurve_J3KN32_RCOR1.pdf</v>
      </c>
    </row>
    <row r="1105" spans="1:28" x14ac:dyDescent="0.25">
      <c r="A1105" t="s">
        <v>1109</v>
      </c>
      <c r="B1105">
        <v>0.99252571173614901</v>
      </c>
      <c r="C1105">
        <v>0.91568243209675604</v>
      </c>
      <c r="D1105">
        <v>0.610245847261913</v>
      </c>
      <c r="E1105">
        <v>0.283041882337352</v>
      </c>
      <c r="F1105">
        <v>0.16774895549168201</v>
      </c>
      <c r="G1105">
        <v>9.1243446179712404E-2</v>
      </c>
      <c r="H1105">
        <v>8.5782396553706494E-2</v>
      </c>
      <c r="I1105">
        <v>9.2438751348663306E-2</v>
      </c>
      <c r="J1105">
        <v>0.113465645222567</v>
      </c>
      <c r="K1105">
        <v>0.104545615907878</v>
      </c>
      <c r="L1105">
        <v>1100.2843875272299</v>
      </c>
      <c r="M1105">
        <v>23.579166539556201</v>
      </c>
      <c r="N1105">
        <v>47.099586954670897</v>
      </c>
      <c r="O1105">
        <v>46.3316692012204</v>
      </c>
      <c r="P1105">
        <v>-0.11475346827960201</v>
      </c>
      <c r="Q1105">
        <v>9.8080294708600801E-2</v>
      </c>
      <c r="R1105">
        <v>0.99817951039253305</v>
      </c>
      <c r="S1105" t="s">
        <v>7751</v>
      </c>
      <c r="T1105" t="s">
        <v>13290</v>
      </c>
      <c r="U1105" t="s">
        <v>13290</v>
      </c>
      <c r="V1105" t="s">
        <v>13290</v>
      </c>
      <c r="W1105" t="s">
        <v>14370</v>
      </c>
      <c r="X1105">
        <v>7</v>
      </c>
      <c r="Y1105" t="s">
        <v>20953</v>
      </c>
      <c r="Z1105" t="s">
        <v>27435</v>
      </c>
      <c r="AA1105">
        <v>0.30766565124878309</v>
      </c>
      <c r="AB1105" t="str">
        <f>HYPERLINK("Melting_Curves/meltCurve_J3KN39_NLRP2.pdf", "Melting_Curves/meltCurve_J3KN39_NLRP2.pdf")</f>
        <v>Melting_Curves/meltCurve_J3KN39_NLRP2.pdf</v>
      </c>
    </row>
    <row r="1106" spans="1:28" x14ac:dyDescent="0.25">
      <c r="A1106" t="s">
        <v>1110</v>
      </c>
      <c r="B1106">
        <v>0.99252571173614901</v>
      </c>
      <c r="C1106">
        <v>0.98388382875386604</v>
      </c>
      <c r="D1106">
        <v>0.86142523520099201</v>
      </c>
      <c r="E1106">
        <v>0.82355478825706596</v>
      </c>
      <c r="F1106">
        <v>0.47317399788926101</v>
      </c>
      <c r="G1106">
        <v>0.226367392051677</v>
      </c>
      <c r="H1106">
        <v>0.102934787647729</v>
      </c>
      <c r="I1106">
        <v>0.11923669039922501</v>
      </c>
      <c r="J1106">
        <v>0.15686063919587401</v>
      </c>
      <c r="K1106">
        <v>0.155681397721258</v>
      </c>
      <c r="L1106">
        <v>1188.5275095300999</v>
      </c>
      <c r="M1106">
        <v>22.781240351768702</v>
      </c>
      <c r="N1106">
        <v>52.806326704002501</v>
      </c>
      <c r="O1106">
        <v>51.774329815984302</v>
      </c>
      <c r="P1106">
        <v>-9.6824688102321393E-2</v>
      </c>
      <c r="Q1106">
        <v>0.119813643507032</v>
      </c>
      <c r="R1106">
        <v>0.98800847796977398</v>
      </c>
      <c r="S1106" t="s">
        <v>7752</v>
      </c>
      <c r="T1106" t="s">
        <v>13290</v>
      </c>
      <c r="U1106" t="s">
        <v>13290</v>
      </c>
      <c r="V1106" t="s">
        <v>13290</v>
      </c>
      <c r="W1106" t="s">
        <v>14371</v>
      </c>
      <c r="X1106">
        <v>3</v>
      </c>
      <c r="Y1106" t="s">
        <v>20954</v>
      </c>
      <c r="Z1106" t="s">
        <v>27436</v>
      </c>
      <c r="AA1106">
        <v>0.48651192416402922</v>
      </c>
      <c r="AB1106" t="str">
        <f>HYPERLINK("Melting_Curves/meltCurve_J3KN59_BNIP2.pdf", "Melting_Curves/meltCurve_J3KN59_BNIP2.pdf")</f>
        <v>Melting_Curves/meltCurve_J3KN59_BNIP2.pdf</v>
      </c>
    </row>
    <row r="1107" spans="1:28" x14ac:dyDescent="0.25">
      <c r="A1107" t="s">
        <v>1111</v>
      </c>
      <c r="B1107">
        <v>0.99252571173614901</v>
      </c>
      <c r="C1107">
        <v>0.91096902779960198</v>
      </c>
      <c r="D1107">
        <v>0.89898830364305504</v>
      </c>
      <c r="E1107">
        <v>0.95035971402806196</v>
      </c>
      <c r="F1107">
        <v>0.75850789980524802</v>
      </c>
      <c r="G1107">
        <v>0.39521026289019601</v>
      </c>
      <c r="H1107">
        <v>0.165930128339041</v>
      </c>
      <c r="I1107">
        <v>0.139346918219863</v>
      </c>
      <c r="J1107">
        <v>0.17733481588157901</v>
      </c>
      <c r="K1107">
        <v>0.18153677065347101</v>
      </c>
      <c r="L1107">
        <v>1587.14814911436</v>
      </c>
      <c r="M1107">
        <v>28.9263914007709</v>
      </c>
      <c r="N1107">
        <v>55.564715369056501</v>
      </c>
      <c r="O1107">
        <v>54.608285314500201</v>
      </c>
      <c r="P1107">
        <v>-0.112297389596852</v>
      </c>
      <c r="Q1107">
        <v>0.15201008501294999</v>
      </c>
      <c r="R1107">
        <v>0.98353343293090001</v>
      </c>
      <c r="S1107" t="s">
        <v>7753</v>
      </c>
      <c r="T1107" t="s">
        <v>13290</v>
      </c>
      <c r="U1107" t="s">
        <v>13290</v>
      </c>
      <c r="V1107" t="s">
        <v>13290</v>
      </c>
      <c r="W1107" t="s">
        <v>14372</v>
      </c>
      <c r="X1107">
        <v>16</v>
      </c>
      <c r="Y1107" t="s">
        <v>20955</v>
      </c>
      <c r="Z1107" t="s">
        <v>27437</v>
      </c>
      <c r="AA1107">
        <v>0.57830666189622082</v>
      </c>
      <c r="AB1107" t="str">
        <f>HYPERLINK("Melting_Curves/meltCurve_J3KN66_TOR1AIP1.pdf", "Melting_Curves/meltCurve_J3KN66_TOR1AIP1.pdf")</f>
        <v>Melting_Curves/meltCurve_J3KN66_TOR1AIP1.pdf</v>
      </c>
    </row>
    <row r="1108" spans="1:28" x14ac:dyDescent="0.25">
      <c r="A1108" t="s">
        <v>1112</v>
      </c>
      <c r="B1108">
        <v>0.99252571173614901</v>
      </c>
      <c r="C1108">
        <v>1.1149656018798899</v>
      </c>
      <c r="D1108">
        <v>0.99419749803838997</v>
      </c>
      <c r="E1108">
        <v>1.0152841568072399</v>
      </c>
      <c r="F1108">
        <v>1.01875659374921</v>
      </c>
      <c r="G1108">
        <v>0.90405115992543195</v>
      </c>
      <c r="H1108">
        <v>0.96606260770651797</v>
      </c>
      <c r="I1108">
        <v>1.28069205300733</v>
      </c>
      <c r="J1108">
        <v>2.1448026666813602</v>
      </c>
      <c r="K1108">
        <v>2.2796910179966998</v>
      </c>
      <c r="L1108">
        <v>15000</v>
      </c>
      <c r="M1108">
        <v>234.62210455499201</v>
      </c>
      <c r="O1108">
        <v>63.927951331066197</v>
      </c>
      <c r="P1108">
        <v>0.458762765404993</v>
      </c>
      <c r="Q1108">
        <v>1.5</v>
      </c>
      <c r="R1108">
        <v>0.54756713055043005</v>
      </c>
      <c r="S1108" t="s">
        <v>7754</v>
      </c>
      <c r="T1108" t="s">
        <v>13290</v>
      </c>
      <c r="U1108" t="s">
        <v>13290</v>
      </c>
      <c r="V1108" t="s">
        <v>13290</v>
      </c>
      <c r="W1108" t="s">
        <v>14373</v>
      </c>
      <c r="X1108">
        <v>56</v>
      </c>
      <c r="Y1108" t="s">
        <v>20956</v>
      </c>
      <c r="Z1108" t="s">
        <v>27438</v>
      </c>
      <c r="AA1108">
        <v>1.1010597185978239</v>
      </c>
      <c r="AB1108" t="str">
        <f>HYPERLINK("Melting_Curves/meltCurve_J3KN67_TPM3.pdf", "Melting_Curves/meltCurve_J3KN67_TPM3.pdf")</f>
        <v>Melting_Curves/meltCurve_J3KN67_TPM3.pdf</v>
      </c>
    </row>
    <row r="1109" spans="1:28" x14ac:dyDescent="0.25">
      <c r="A1109" t="s">
        <v>1113</v>
      </c>
      <c r="B1109">
        <v>0.99252571173614901</v>
      </c>
      <c r="C1109">
        <v>1.06585250542785</v>
      </c>
      <c r="D1109">
        <v>0.98387670577587505</v>
      </c>
      <c r="E1109">
        <v>0.96948583861460502</v>
      </c>
      <c r="F1109">
        <v>0.765558544854685</v>
      </c>
      <c r="G1109">
        <v>0.59617825751529696</v>
      </c>
      <c r="H1109">
        <v>0.31374603072063201</v>
      </c>
      <c r="I1109">
        <v>0.14807068614208299</v>
      </c>
      <c r="J1109">
        <v>0.14718195119944999</v>
      </c>
      <c r="K1109">
        <v>0.15186599564198999</v>
      </c>
      <c r="L1109">
        <v>1073.25378202314</v>
      </c>
      <c r="M1109">
        <v>18.844648117488099</v>
      </c>
      <c r="N1109">
        <v>57.609817934005001</v>
      </c>
      <c r="O1109">
        <v>56.322996095314998</v>
      </c>
      <c r="P1109">
        <v>-7.5559433714970703E-2</v>
      </c>
      <c r="Q1109">
        <v>9.6707260069023596E-2</v>
      </c>
      <c r="R1109">
        <v>0.99136386692968903</v>
      </c>
      <c r="S1109" t="s">
        <v>7755</v>
      </c>
      <c r="T1109" t="s">
        <v>13290</v>
      </c>
      <c r="U1109" t="s">
        <v>13290</v>
      </c>
      <c r="V1109" t="s">
        <v>13290</v>
      </c>
      <c r="W1109" t="s">
        <v>14374</v>
      </c>
      <c r="X1109">
        <v>7</v>
      </c>
      <c r="Y1109" t="s">
        <v>20957</v>
      </c>
      <c r="Z1109" t="s">
        <v>27439</v>
      </c>
      <c r="AA1109">
        <v>0.61901629949296644</v>
      </c>
      <c r="AB1109" t="str">
        <f>HYPERLINK("Melting_Curves/meltCurve_J3KN69_NCEH1.pdf", "Melting_Curves/meltCurve_J3KN69_NCEH1.pdf")</f>
        <v>Melting_Curves/meltCurve_J3KN69_NCEH1.pdf</v>
      </c>
    </row>
    <row r="1110" spans="1:28" x14ac:dyDescent="0.25">
      <c r="A1110" t="s">
        <v>1114</v>
      </c>
      <c r="B1110">
        <v>0.99252571173614901</v>
      </c>
      <c r="C1110">
        <v>0.87687019185149195</v>
      </c>
      <c r="D1110">
        <v>0.80409928666663999</v>
      </c>
      <c r="E1110">
        <v>0.59472517736462305</v>
      </c>
      <c r="F1110">
        <v>0.16396223358745499</v>
      </c>
      <c r="G1110">
        <v>8.9869404671092099E-2</v>
      </c>
      <c r="H1110">
        <v>6.5767168913699298E-2</v>
      </c>
      <c r="I1110">
        <v>6.3027043585466E-2</v>
      </c>
      <c r="J1110">
        <v>7.2517670978708607E-2</v>
      </c>
      <c r="K1110">
        <v>7.3307482295162998E-2</v>
      </c>
      <c r="L1110">
        <v>1016.41707052225</v>
      </c>
      <c r="M1110">
        <v>20.529588299076099</v>
      </c>
      <c r="N1110">
        <v>49.756384046140901</v>
      </c>
      <c r="O1110">
        <v>49.047263862560598</v>
      </c>
      <c r="P1110">
        <v>-9.9584612113231497E-2</v>
      </c>
      <c r="Q1110">
        <v>4.8356829052826199E-2</v>
      </c>
      <c r="R1110">
        <v>0.98489103704681502</v>
      </c>
      <c r="S1110" t="s">
        <v>7756</v>
      </c>
      <c r="T1110" t="s">
        <v>13290</v>
      </c>
      <c r="U1110" t="s">
        <v>13290</v>
      </c>
      <c r="V1110" t="s">
        <v>13290</v>
      </c>
      <c r="W1110" t="s">
        <v>14375</v>
      </c>
      <c r="X1110">
        <v>16</v>
      </c>
      <c r="Y1110" t="s">
        <v>20958</v>
      </c>
      <c r="Z1110" t="s">
        <v>27440</v>
      </c>
      <c r="AA1110">
        <v>0.3626281047940097</v>
      </c>
      <c r="AB1110" t="str">
        <f>HYPERLINK("Melting_Curves/meltCurve_J3KN75_TBC1D8B.pdf", "Melting_Curves/meltCurve_J3KN75_TBC1D8B.pdf")</f>
        <v>Melting_Curves/meltCurve_J3KN75_TBC1D8B.pdf</v>
      </c>
    </row>
    <row r="1111" spans="1:28" x14ac:dyDescent="0.25">
      <c r="A1111" t="s">
        <v>1115</v>
      </c>
      <c r="B1111">
        <v>0.99252571173614901</v>
      </c>
      <c r="C1111">
        <v>1.00959533696601</v>
      </c>
      <c r="D1111">
        <v>1.01079996826408</v>
      </c>
      <c r="E1111">
        <v>1.06797670859919</v>
      </c>
      <c r="F1111">
        <v>0.92317092844722504</v>
      </c>
      <c r="G1111">
        <v>0.842608995337089</v>
      </c>
      <c r="H1111">
        <v>0.85654982801242396</v>
      </c>
      <c r="I1111">
        <v>1.12720990794335</v>
      </c>
      <c r="J1111">
        <v>1.4527011631837801</v>
      </c>
      <c r="K1111">
        <v>1.3555932521646299</v>
      </c>
      <c r="L1111">
        <v>15000</v>
      </c>
      <c r="M1111">
        <v>233.59712108942301</v>
      </c>
      <c r="O1111">
        <v>64.208409605780901</v>
      </c>
      <c r="P1111">
        <v>0.367588414177768</v>
      </c>
      <c r="Q1111">
        <v>1.4041534211317701</v>
      </c>
      <c r="R1111">
        <v>0.83231289504881001</v>
      </c>
      <c r="S1111" t="s">
        <v>7757</v>
      </c>
      <c r="T1111" t="s">
        <v>13290</v>
      </c>
      <c r="U1111" t="s">
        <v>13290</v>
      </c>
      <c r="V1111" t="s">
        <v>13290</v>
      </c>
      <c r="W1111" t="s">
        <v>14376</v>
      </c>
      <c r="X1111">
        <v>15</v>
      </c>
      <c r="Y1111" t="s">
        <v>20959</v>
      </c>
      <c r="Z1111" t="s">
        <v>27441</v>
      </c>
      <c r="AA1111">
        <v>1.0779074087299629</v>
      </c>
      <c r="AB1111" t="str">
        <f>HYPERLINK("Melting_Curves/meltCurve_J3KN82_APIP.pdf", "Melting_Curves/meltCurve_J3KN82_APIP.pdf")</f>
        <v>Melting_Curves/meltCurve_J3KN82_APIP.pdf</v>
      </c>
    </row>
    <row r="1112" spans="1:28" x14ac:dyDescent="0.25">
      <c r="A1112" t="s">
        <v>1116</v>
      </c>
      <c r="B1112">
        <v>0.99252571173614901</v>
      </c>
      <c r="C1112">
        <v>0.92988086622328703</v>
      </c>
      <c r="D1112">
        <v>0.85030430317257</v>
      </c>
      <c r="E1112">
        <v>0.94866040690863496</v>
      </c>
      <c r="F1112">
        <v>0.66894011492308703</v>
      </c>
      <c r="G1112">
        <v>0.40071567719107598</v>
      </c>
      <c r="H1112">
        <v>0.138521907754971</v>
      </c>
      <c r="I1112">
        <v>9.0473362660070694E-2</v>
      </c>
      <c r="J1112">
        <v>0.103577484120584</v>
      </c>
      <c r="K1112">
        <v>0.102327928838371</v>
      </c>
      <c r="L1112">
        <v>1144.8385892163501</v>
      </c>
      <c r="M1112">
        <v>20.867871216599099</v>
      </c>
      <c r="N1112">
        <v>55.247825281292101</v>
      </c>
      <c r="O1112">
        <v>54.364953837688503</v>
      </c>
      <c r="P1112">
        <v>-8.9446799813787198E-2</v>
      </c>
      <c r="Q1112">
        <v>6.7918851708998307E-2</v>
      </c>
      <c r="R1112">
        <v>0.98034136601855804</v>
      </c>
      <c r="S1112" t="s">
        <v>7758</v>
      </c>
      <c r="T1112" t="s">
        <v>13290</v>
      </c>
      <c r="U1112" t="s">
        <v>13290</v>
      </c>
      <c r="V1112" t="s">
        <v>13290</v>
      </c>
      <c r="W1112" t="s">
        <v>14377</v>
      </c>
      <c r="X1112">
        <v>9</v>
      </c>
      <c r="Y1112" t="s">
        <v>20960</v>
      </c>
      <c r="Z1112" t="s">
        <v>27442</v>
      </c>
      <c r="AA1112">
        <v>0.54131484323370627</v>
      </c>
      <c r="AB1112" t="str">
        <f>HYPERLINK("Melting_Curves/meltCurve_J3KNA0_OXA1L.pdf", "Melting_Curves/meltCurve_J3KNA0_OXA1L.pdf")</f>
        <v>Melting_Curves/meltCurve_J3KNA0_OXA1L.pdf</v>
      </c>
    </row>
    <row r="1113" spans="1:28" x14ac:dyDescent="0.25">
      <c r="A1113" t="s">
        <v>1117</v>
      </c>
      <c r="B1113">
        <v>0.99252571173614901</v>
      </c>
      <c r="C1113">
        <v>0.87713218917930103</v>
      </c>
      <c r="D1113">
        <v>0.90792783817597</v>
      </c>
      <c r="E1113">
        <v>0.629852932062967</v>
      </c>
      <c r="F1113">
        <v>0.29485970993129601</v>
      </c>
      <c r="G1113">
        <v>0.20852577275629</v>
      </c>
      <c r="H1113">
        <v>0.26753806030115101</v>
      </c>
      <c r="I1113">
        <v>0.33078498279940399</v>
      </c>
      <c r="J1113">
        <v>0.54093519395557299</v>
      </c>
      <c r="K1113">
        <v>0.45728896186070001</v>
      </c>
      <c r="L1113">
        <v>1949.4279140393401</v>
      </c>
      <c r="M1113">
        <v>39.772398091064098</v>
      </c>
      <c r="N1113">
        <v>50.528469571925399</v>
      </c>
      <c r="O1113">
        <v>48.891170161850297</v>
      </c>
      <c r="P1113">
        <v>-0.13257106682289699</v>
      </c>
      <c r="Q1113">
        <v>0.348136782422447</v>
      </c>
      <c r="R1113">
        <v>0.86699073046088804</v>
      </c>
      <c r="S1113" t="s">
        <v>7759</v>
      </c>
      <c r="T1113" t="s">
        <v>13290</v>
      </c>
      <c r="U1113" t="s">
        <v>13290</v>
      </c>
      <c r="V1113" t="s">
        <v>13290</v>
      </c>
      <c r="W1113" t="s">
        <v>14378</v>
      </c>
      <c r="X1113">
        <v>1</v>
      </c>
      <c r="Y1113" t="s">
        <v>20961</v>
      </c>
      <c r="Z1113" t="s">
        <v>27443</v>
      </c>
      <c r="AA1113">
        <v>0.54624939753569235</v>
      </c>
      <c r="AB1113" t="str">
        <f>HYPERLINK("Melting_Curves/meltCurve_J3KNB8_MAP3K4.pdf", "Melting_Curves/meltCurve_J3KNB8_MAP3K4.pdf")</f>
        <v>Melting_Curves/meltCurve_J3KNB8_MAP3K4.pdf</v>
      </c>
    </row>
    <row r="1114" spans="1:28" x14ac:dyDescent="0.25">
      <c r="A1114" t="s">
        <v>1118</v>
      </c>
      <c r="B1114">
        <v>0.99252571173614901</v>
      </c>
      <c r="C1114">
        <v>0.83660959452594497</v>
      </c>
      <c r="D1114">
        <v>0.43187027672425998</v>
      </c>
      <c r="E1114">
        <v>0.191230208535735</v>
      </c>
      <c r="F1114">
        <v>0.14296303118894399</v>
      </c>
      <c r="G1114">
        <v>7.0783016879074401E-2</v>
      </c>
      <c r="H1114">
        <v>4.5008058867115598E-2</v>
      </c>
      <c r="I1114">
        <v>4.5234879638346E-2</v>
      </c>
      <c r="J1114">
        <v>6.3879861705172597E-2</v>
      </c>
      <c r="K1114">
        <v>3.0916994102355402E-2</v>
      </c>
      <c r="L1114">
        <v>1093.4428948095599</v>
      </c>
      <c r="M1114">
        <v>24.0620214524209</v>
      </c>
      <c r="N1114">
        <v>45.6881072551651</v>
      </c>
      <c r="O1114">
        <v>45.132304566343102</v>
      </c>
      <c r="P1114">
        <v>-0.12520762913789199</v>
      </c>
      <c r="Q1114">
        <v>6.06241573918423E-2</v>
      </c>
      <c r="R1114">
        <v>0.99387586130634398</v>
      </c>
      <c r="S1114" t="s">
        <v>7760</v>
      </c>
      <c r="T1114" t="s">
        <v>13290</v>
      </c>
      <c r="U1114" t="s">
        <v>13290</v>
      </c>
      <c r="V1114" t="s">
        <v>13290</v>
      </c>
      <c r="W1114" t="s">
        <v>14379</v>
      </c>
      <c r="X1114">
        <v>6</v>
      </c>
      <c r="Y1114" t="s">
        <v>20962</v>
      </c>
      <c r="Z1114" t="s">
        <v>27444</v>
      </c>
      <c r="AA1114">
        <v>0.2408919031892594</v>
      </c>
      <c r="AB1114" t="str">
        <f>HYPERLINK("Melting_Curves/meltCurve_J3KND1_SAAL1.pdf", "Melting_Curves/meltCurve_J3KND1_SAAL1.pdf")</f>
        <v>Melting_Curves/meltCurve_J3KND1_SAAL1.pdf</v>
      </c>
    </row>
    <row r="1115" spans="1:28" x14ac:dyDescent="0.25">
      <c r="A1115" t="s">
        <v>1119</v>
      </c>
      <c r="B1115">
        <v>0.99252571173614901</v>
      </c>
      <c r="C1115">
        <v>1.0214527470640899</v>
      </c>
      <c r="D1115">
        <v>0.95236088205139702</v>
      </c>
      <c r="E1115">
        <v>1.15390684203475</v>
      </c>
      <c r="F1115">
        <v>0.55684326761576497</v>
      </c>
      <c r="G1115">
        <v>0.60124797506754701</v>
      </c>
      <c r="H1115">
        <v>0.60192902417291005</v>
      </c>
      <c r="I1115">
        <v>0.67532235038852995</v>
      </c>
      <c r="J1115">
        <v>0.95456433910822303</v>
      </c>
      <c r="K1115">
        <v>1.06210638298822</v>
      </c>
      <c r="L1115">
        <v>3744.53857242698</v>
      </c>
      <c r="M1115">
        <v>72.920968232290306</v>
      </c>
      <c r="O1115">
        <v>51.3120584477685</v>
      </c>
      <c r="P1115">
        <v>-9.1166919372582603E-2</v>
      </c>
      <c r="Q1115">
        <v>0.74339551750796296</v>
      </c>
      <c r="R1115">
        <v>0.406739769520088</v>
      </c>
      <c r="S1115" t="s">
        <v>7761</v>
      </c>
      <c r="T1115" t="s">
        <v>13290</v>
      </c>
      <c r="U1115" t="s">
        <v>13290</v>
      </c>
      <c r="V1115" t="s">
        <v>13290</v>
      </c>
      <c r="W1115" t="s">
        <v>14380</v>
      </c>
      <c r="X1115">
        <v>13</v>
      </c>
      <c r="Y1115" t="s">
        <v>20963</v>
      </c>
      <c r="Z1115" t="s">
        <v>27445</v>
      </c>
      <c r="AA1115">
        <v>0.84075549843437236</v>
      </c>
      <c r="AB1115" t="str">
        <f>HYPERLINK("Melting_Curves/meltCurve_J3KND3_MYL6.pdf", "Melting_Curves/meltCurve_J3KND3_MYL6.pdf")</f>
        <v>Melting_Curves/meltCurve_J3KND3_MYL6.pdf</v>
      </c>
    </row>
    <row r="1116" spans="1:28" x14ac:dyDescent="0.25">
      <c r="A1116" t="s">
        <v>1120</v>
      </c>
      <c r="B1116">
        <v>0.99252571173614901</v>
      </c>
      <c r="C1116">
        <v>0.88506240035381301</v>
      </c>
      <c r="D1116">
        <v>0.94437621057744503</v>
      </c>
      <c r="E1116">
        <v>0.64683541736955497</v>
      </c>
      <c r="F1116">
        <v>0.143221676867964</v>
      </c>
      <c r="G1116">
        <v>4.7346873132539498E-2</v>
      </c>
      <c r="H1116">
        <v>1.8056895989899499E-2</v>
      </c>
      <c r="I1116">
        <v>1.5563613784955301E-2</v>
      </c>
      <c r="J1116">
        <v>4.4216779223499201E-3</v>
      </c>
      <c r="K1116">
        <v>7.6203445914396701E-3</v>
      </c>
      <c r="L1116">
        <v>1661.7813718540001</v>
      </c>
      <c r="M1116">
        <v>32.966590169962501</v>
      </c>
      <c r="N1116">
        <v>50.441231048818203</v>
      </c>
      <c r="O1116">
        <v>50.2236554096012</v>
      </c>
      <c r="P1116">
        <v>-0.16233954615239701</v>
      </c>
      <c r="Q1116">
        <v>1.0726018820730401E-2</v>
      </c>
      <c r="R1116">
        <v>0.99221577230697</v>
      </c>
      <c r="S1116" t="s">
        <v>7762</v>
      </c>
      <c r="T1116" t="s">
        <v>13290</v>
      </c>
      <c r="U1116" t="s">
        <v>13290</v>
      </c>
      <c r="V1116" t="s">
        <v>13290</v>
      </c>
      <c r="W1116" t="s">
        <v>14381</v>
      </c>
      <c r="X1116">
        <v>2</v>
      </c>
      <c r="Y1116" t="s">
        <v>20964</v>
      </c>
      <c r="Z1116" t="s">
        <v>27446</v>
      </c>
      <c r="AA1116">
        <v>0.35903258979810282</v>
      </c>
      <c r="AB1116" t="str">
        <f>HYPERLINK("Melting_Curves/meltCurve_J3KND8_PAH.pdf", "Melting_Curves/meltCurve_J3KND8_PAH.pdf")</f>
        <v>Melting_Curves/meltCurve_J3KND8_PAH.pdf</v>
      </c>
    </row>
    <row r="1117" spans="1:28" x14ac:dyDescent="0.25">
      <c r="A1117" t="s">
        <v>1121</v>
      </c>
      <c r="B1117">
        <v>0.99252571173614901</v>
      </c>
      <c r="C1117">
        <v>1.09011164435119</v>
      </c>
      <c r="D1117">
        <v>0.913366778580462</v>
      </c>
      <c r="E1117">
        <v>0.67369622046608202</v>
      </c>
      <c r="F1117">
        <v>0.35777977120787502</v>
      </c>
      <c r="G1117">
        <v>0.19570109283278</v>
      </c>
      <c r="H1117">
        <v>0.118266492663061</v>
      </c>
      <c r="I1117">
        <v>0.10136301412056201</v>
      </c>
      <c r="J1117">
        <v>0.11262702698407</v>
      </c>
      <c r="K1117">
        <v>0.117428270022099</v>
      </c>
      <c r="L1117">
        <v>1155.88229440739</v>
      </c>
      <c r="M1117">
        <v>22.702984430926801</v>
      </c>
      <c r="N1117">
        <v>51.4566630288721</v>
      </c>
      <c r="O1117">
        <v>50.523148940006898</v>
      </c>
      <c r="P1117">
        <v>-0.100366839004894</v>
      </c>
      <c r="Q1117">
        <v>0.106593407277561</v>
      </c>
      <c r="R1117">
        <v>0.99234294139745904</v>
      </c>
      <c r="S1117" t="s">
        <v>7763</v>
      </c>
      <c r="T1117" t="s">
        <v>13290</v>
      </c>
      <c r="U1117" t="s">
        <v>13290</v>
      </c>
      <c r="V1117" t="s">
        <v>13290</v>
      </c>
      <c r="W1117" t="s">
        <v>14382</v>
      </c>
      <c r="X1117">
        <v>8</v>
      </c>
      <c r="Y1117" t="s">
        <v>20965</v>
      </c>
      <c r="Z1117" t="s">
        <v>27447</v>
      </c>
      <c r="AA1117">
        <v>0.44132808706532151</v>
      </c>
      <c r="AB1117" t="str">
        <f>HYPERLINK("Melting_Curves/meltCurve_J3KNF4_CCS.pdf", "Melting_Curves/meltCurve_J3KNF4_CCS.pdf")</f>
        <v>Melting_Curves/meltCurve_J3KNF4_CCS.pdf</v>
      </c>
    </row>
    <row r="1118" spans="1:28" x14ac:dyDescent="0.25">
      <c r="A1118" t="s">
        <v>1122</v>
      </c>
      <c r="B1118">
        <v>0.99252571173614901</v>
      </c>
      <c r="C1118">
        <v>0.88768542744677603</v>
      </c>
      <c r="D1118">
        <v>0.75288891905758004</v>
      </c>
      <c r="E1118">
        <v>0.54810924528931004</v>
      </c>
      <c r="F1118">
        <v>0.59378068361161496</v>
      </c>
      <c r="G1118">
        <v>0.39679866095650002</v>
      </c>
      <c r="H1118">
        <v>0.44010021750915201</v>
      </c>
      <c r="I1118">
        <v>0.43237097475087</v>
      </c>
      <c r="J1118">
        <v>0.588565915745767</v>
      </c>
      <c r="K1118">
        <v>0.49797455247769601</v>
      </c>
      <c r="L1118">
        <v>945.79637267912699</v>
      </c>
      <c r="M1118">
        <v>20.566257659059101</v>
      </c>
      <c r="N1118">
        <v>54.585940254289</v>
      </c>
      <c r="O1118">
        <v>45.559601761716401</v>
      </c>
      <c r="P1118">
        <v>-5.8639459375999403E-2</v>
      </c>
      <c r="Q1118">
        <v>0.48040861304465099</v>
      </c>
      <c r="R1118">
        <v>0.90910821441388401</v>
      </c>
      <c r="S1118" t="s">
        <v>7764</v>
      </c>
      <c r="T1118" t="s">
        <v>13290</v>
      </c>
      <c r="U1118" t="s">
        <v>13290</v>
      </c>
      <c r="V1118" t="s">
        <v>13290</v>
      </c>
      <c r="W1118" t="s">
        <v>14383</v>
      </c>
      <c r="X1118">
        <v>4</v>
      </c>
      <c r="Y1118" t="s">
        <v>20966</v>
      </c>
      <c r="Z1118" t="s">
        <v>27448</v>
      </c>
      <c r="AA1118">
        <v>0.59165537891458453</v>
      </c>
      <c r="AB1118" t="str">
        <f>HYPERLINK("Melting_Curves/meltCurve_J3KNF8_CYB5B.pdf", "Melting_Curves/meltCurve_J3KNF8_CYB5B.pdf")</f>
        <v>Melting_Curves/meltCurve_J3KNF8_CYB5B.pdf</v>
      </c>
    </row>
    <row r="1119" spans="1:28" x14ac:dyDescent="0.25">
      <c r="A1119" t="s">
        <v>1123</v>
      </c>
      <c r="B1119">
        <v>0.99252571173614901</v>
      </c>
      <c r="C1119">
        <v>0.73083282208849598</v>
      </c>
      <c r="D1119">
        <v>0.44641534345394801</v>
      </c>
      <c r="E1119">
        <v>0.189708863380156</v>
      </c>
      <c r="F1119">
        <v>0.11622931897179201</v>
      </c>
      <c r="G1119">
        <v>6.2017705239788001E-2</v>
      </c>
      <c r="H1119">
        <v>5.7633579289131202E-2</v>
      </c>
      <c r="I1119">
        <v>6.26747900951211E-2</v>
      </c>
      <c r="J1119">
        <v>7.1747380741882902E-2</v>
      </c>
      <c r="K1119">
        <v>7.1539172389089398E-2</v>
      </c>
      <c r="L1119">
        <v>944.71653402380298</v>
      </c>
      <c r="M1119">
        <v>20.946366362408501</v>
      </c>
      <c r="N1119">
        <v>45.4018396836505</v>
      </c>
      <c r="O1119">
        <v>44.696647843864802</v>
      </c>
      <c r="P1119">
        <v>-0.10958599086332101</v>
      </c>
      <c r="Q1119">
        <v>6.4659988305917807E-2</v>
      </c>
      <c r="R1119">
        <v>0.99550261630993397</v>
      </c>
      <c r="S1119" t="s">
        <v>7765</v>
      </c>
      <c r="T1119" t="s">
        <v>13290</v>
      </c>
      <c r="U1119" t="s">
        <v>13290</v>
      </c>
      <c r="V1119" t="s">
        <v>13290</v>
      </c>
      <c r="W1119" t="s">
        <v>14384</v>
      </c>
      <c r="X1119">
        <v>11</v>
      </c>
      <c r="Y1119" t="s">
        <v>20967</v>
      </c>
      <c r="Z1119" t="s">
        <v>27449</v>
      </c>
      <c r="AA1119">
        <v>0.23777142012198471</v>
      </c>
      <c r="AB1119" t="str">
        <f>HYPERLINK("Melting_Curves/meltCurve_J3KNI1_COG4.pdf", "Melting_Curves/meltCurve_J3KNI1_COG4.pdf")</f>
        <v>Melting_Curves/meltCurve_J3KNI1_COG4.pdf</v>
      </c>
    </row>
    <row r="1120" spans="1:28" x14ac:dyDescent="0.25">
      <c r="A1120" t="s">
        <v>1124</v>
      </c>
      <c r="B1120">
        <v>0.99252571173614901</v>
      </c>
      <c r="C1120">
        <v>1.08476670093497</v>
      </c>
      <c r="D1120">
        <v>0.965848910656947</v>
      </c>
      <c r="E1120">
        <v>0.74215157129561005</v>
      </c>
      <c r="F1120">
        <v>0.19738944659955199</v>
      </c>
      <c r="G1120">
        <v>0.121880462360572</v>
      </c>
      <c r="H1120">
        <v>9.0152058511119904E-2</v>
      </c>
      <c r="I1120">
        <v>9.5638648137839705E-2</v>
      </c>
      <c r="J1120">
        <v>0.12550516589524299</v>
      </c>
      <c r="K1120">
        <v>0.107160479252772</v>
      </c>
      <c r="L1120">
        <v>2210.4495695614901</v>
      </c>
      <c r="M1120">
        <v>43.676461213164501</v>
      </c>
      <c r="N1120">
        <v>50.886727776360303</v>
      </c>
      <c r="O1120">
        <v>50.503894288092702</v>
      </c>
      <c r="P1120">
        <v>-0.193321903887649</v>
      </c>
      <c r="Q1120">
        <v>0.105834888559346</v>
      </c>
      <c r="R1120">
        <v>0.99488666560733396</v>
      </c>
      <c r="S1120" t="s">
        <v>7766</v>
      </c>
      <c r="T1120" t="s">
        <v>13290</v>
      </c>
      <c r="U1120" t="s">
        <v>13290</v>
      </c>
      <c r="V1120" t="s">
        <v>13290</v>
      </c>
      <c r="W1120" t="s">
        <v>14385</v>
      </c>
      <c r="X1120">
        <v>9</v>
      </c>
      <c r="Y1120" t="s">
        <v>20968</v>
      </c>
      <c r="Z1120" t="s">
        <v>27450</v>
      </c>
      <c r="AA1120">
        <v>0.42468067152532429</v>
      </c>
      <c r="AB1120" t="str">
        <f>HYPERLINK("Melting_Curves/meltCurve_J3KNL3_CHID1.pdf", "Melting_Curves/meltCurve_J3KNL3_CHID1.pdf")</f>
        <v>Melting_Curves/meltCurve_J3KNL3_CHID1.pdf</v>
      </c>
    </row>
    <row r="1121" spans="1:28" x14ac:dyDescent="0.25">
      <c r="A1121" t="s">
        <v>1125</v>
      </c>
      <c r="B1121">
        <v>0.99252571173614901</v>
      </c>
      <c r="C1121">
        <v>0.95090934665153304</v>
      </c>
      <c r="D1121">
        <v>0.94933975276739102</v>
      </c>
      <c r="E1121">
        <v>0.75397473681378802</v>
      </c>
      <c r="F1121">
        <v>0.46550122869701799</v>
      </c>
      <c r="G1121">
        <v>0.29206610587366799</v>
      </c>
      <c r="H1121">
        <v>0.29253614313791398</v>
      </c>
      <c r="I1121">
        <v>0.35556581240785001</v>
      </c>
      <c r="J1121">
        <v>0.49859208094602098</v>
      </c>
      <c r="K1121">
        <v>0.58048563707012601</v>
      </c>
      <c r="L1121">
        <v>1989.9878845553101</v>
      </c>
      <c r="M1121">
        <v>39.807878180793502</v>
      </c>
      <c r="N1121">
        <v>52.168724230737503</v>
      </c>
      <c r="O1121">
        <v>49.864146996556101</v>
      </c>
      <c r="P1121">
        <v>-0.118715315063423</v>
      </c>
      <c r="Q1121">
        <v>0.40518053668440601</v>
      </c>
      <c r="R1121">
        <v>0.89664489569441297</v>
      </c>
      <c r="S1121" t="s">
        <v>7767</v>
      </c>
      <c r="T1121" t="s">
        <v>13290</v>
      </c>
      <c r="U1121" t="s">
        <v>13290</v>
      </c>
      <c r="V1121" t="s">
        <v>13290</v>
      </c>
      <c r="W1121" t="s">
        <v>14386</v>
      </c>
      <c r="X1121">
        <v>14</v>
      </c>
      <c r="Y1121" t="s">
        <v>20969</v>
      </c>
      <c r="Z1121" t="s">
        <v>27451</v>
      </c>
      <c r="AA1121">
        <v>0.60532762295950848</v>
      </c>
      <c r="AB1121" t="str">
        <f>HYPERLINK("Melting_Curves/meltCurve_J3KNL6_SEC16A.pdf", "Melting_Curves/meltCurve_J3KNL6_SEC16A.pdf")</f>
        <v>Melting_Curves/meltCurve_J3KNL6_SEC16A.pdf</v>
      </c>
    </row>
    <row r="1122" spans="1:28" x14ac:dyDescent="0.25">
      <c r="A1122" t="s">
        <v>1126</v>
      </c>
      <c r="B1122">
        <v>0.99252571173614901</v>
      </c>
      <c r="C1122">
        <v>1.0409624016260799</v>
      </c>
      <c r="D1122">
        <v>0.91291100819502402</v>
      </c>
      <c r="E1122">
        <v>0.81940491187840103</v>
      </c>
      <c r="F1122">
        <v>0.62896153100972296</v>
      </c>
      <c r="G1122">
        <v>0.51063804780290301</v>
      </c>
      <c r="H1122">
        <v>0.46979810919118398</v>
      </c>
      <c r="I1122">
        <v>0.58405080189703895</v>
      </c>
      <c r="J1122">
        <v>0.83577483248863405</v>
      </c>
      <c r="K1122">
        <v>0.82554401954030199</v>
      </c>
      <c r="L1122">
        <v>1737.3653620360001</v>
      </c>
      <c r="M1122">
        <v>35.382248574355003</v>
      </c>
      <c r="O1122">
        <v>48.946682422242603</v>
      </c>
      <c r="P1122">
        <v>-6.4880135748262693E-2</v>
      </c>
      <c r="Q1122">
        <v>0.64098872193642897</v>
      </c>
      <c r="R1122">
        <v>0.64415458967209005</v>
      </c>
      <c r="S1122" t="s">
        <v>7768</v>
      </c>
      <c r="T1122" t="s">
        <v>13290</v>
      </c>
      <c r="U1122" t="s">
        <v>13290</v>
      </c>
      <c r="V1122" t="s">
        <v>13290</v>
      </c>
      <c r="W1122" t="s">
        <v>14387</v>
      </c>
      <c r="X1122">
        <v>2</v>
      </c>
      <c r="Y1122" t="s">
        <v>20970</v>
      </c>
      <c r="Z1122" t="s">
        <v>27452</v>
      </c>
      <c r="AA1122">
        <v>0.75148568468665633</v>
      </c>
      <c r="AB1122" t="str">
        <f>HYPERLINK("Melting_Curves/meltCurve_J3KNM5_YAF2.pdf", "Melting_Curves/meltCurve_J3KNM5_YAF2.pdf")</f>
        <v>Melting_Curves/meltCurve_J3KNM5_YAF2.pdf</v>
      </c>
    </row>
    <row r="1123" spans="1:28" x14ac:dyDescent="0.25">
      <c r="A1123" t="s">
        <v>1127</v>
      </c>
      <c r="B1123">
        <v>0.99252571173614901</v>
      </c>
      <c r="C1123">
        <v>0.85525314234989402</v>
      </c>
      <c r="D1123">
        <v>0.68726575781201704</v>
      </c>
      <c r="E1123">
        <v>0.39332606743523602</v>
      </c>
      <c r="F1123">
        <v>0.27367425412931201</v>
      </c>
      <c r="G1123">
        <v>0.19730059648678999</v>
      </c>
      <c r="H1123">
        <v>0.11514675216218601</v>
      </c>
      <c r="I1123">
        <v>0.115127964879397</v>
      </c>
      <c r="J1123">
        <v>0.119222427362096</v>
      </c>
      <c r="K1123">
        <v>9.1712912463538895E-2</v>
      </c>
      <c r="L1123">
        <v>742.675434647359</v>
      </c>
      <c r="M1123">
        <v>15.5633902312732</v>
      </c>
      <c r="N1123">
        <v>48.425526629722803</v>
      </c>
      <c r="O1123">
        <v>46.952374151339299</v>
      </c>
      <c r="P1123">
        <v>-7.4461880512014897E-2</v>
      </c>
      <c r="Q1123">
        <v>0.10151801880486699</v>
      </c>
      <c r="R1123">
        <v>0.996054482241165</v>
      </c>
      <c r="S1123" t="s">
        <v>7769</v>
      </c>
      <c r="T1123" t="s">
        <v>13290</v>
      </c>
      <c r="U1123" t="s">
        <v>13290</v>
      </c>
      <c r="V1123" t="s">
        <v>13290</v>
      </c>
      <c r="W1123" t="s">
        <v>14388</v>
      </c>
      <c r="X1123">
        <v>10</v>
      </c>
      <c r="Y1123" t="s">
        <v>20971</v>
      </c>
      <c r="Z1123" t="s">
        <v>27453</v>
      </c>
      <c r="AA1123">
        <v>0.35446927329359512</v>
      </c>
      <c r="AB1123" t="str">
        <f>HYPERLINK("Melting_Curves/meltCurve_J3KNN5_DDX41.pdf", "Melting_Curves/meltCurve_J3KNN5_DDX41.pdf")</f>
        <v>Melting_Curves/meltCurve_J3KNN5_DDX41.pdf</v>
      </c>
    </row>
    <row r="1124" spans="1:28" x14ac:dyDescent="0.25">
      <c r="A1124" t="s">
        <v>1128</v>
      </c>
      <c r="B1124">
        <v>0.99252571173614901</v>
      </c>
      <c r="C1124">
        <v>0.96804209666864505</v>
      </c>
      <c r="D1124">
        <v>0.88996466611823599</v>
      </c>
      <c r="E1124">
        <v>0.75981537494023099</v>
      </c>
      <c r="F1124">
        <v>0.36785546147164899</v>
      </c>
      <c r="G1124">
        <v>0.20314757225941199</v>
      </c>
      <c r="H1124">
        <v>0.15371018303542999</v>
      </c>
      <c r="I1124">
        <v>0.15807961339802501</v>
      </c>
      <c r="J1124">
        <v>0.226484863895733</v>
      </c>
      <c r="K1124">
        <v>0.16615053063383001</v>
      </c>
      <c r="L1124">
        <v>1341.7292679377199</v>
      </c>
      <c r="M1124">
        <v>26.3150670206443</v>
      </c>
      <c r="N1124">
        <v>51.790489402695101</v>
      </c>
      <c r="O1124">
        <v>50.695399388472701</v>
      </c>
      <c r="P1124">
        <v>-0.108025081816993</v>
      </c>
      <c r="Q1124">
        <v>0.16757734355079301</v>
      </c>
      <c r="R1124">
        <v>0.99149385816203195</v>
      </c>
      <c r="S1124" t="s">
        <v>7770</v>
      </c>
      <c r="T1124" t="s">
        <v>13290</v>
      </c>
      <c r="U1124" t="s">
        <v>13290</v>
      </c>
      <c r="V1124" t="s">
        <v>13290</v>
      </c>
      <c r="W1124" t="s">
        <v>14389</v>
      </c>
      <c r="X1124">
        <v>7</v>
      </c>
      <c r="Y1124" t="s">
        <v>20972</v>
      </c>
      <c r="Z1124" t="s">
        <v>27454</v>
      </c>
      <c r="AA1124">
        <v>0.4792363902890186</v>
      </c>
      <c r="AB1124" t="str">
        <f>HYPERLINK("Melting_Curves/meltCurve_J3KNP4_SEMA4B.pdf", "Melting_Curves/meltCurve_J3KNP4_SEMA4B.pdf")</f>
        <v>Melting_Curves/meltCurve_J3KNP4_SEMA4B.pdf</v>
      </c>
    </row>
    <row r="1125" spans="1:28" x14ac:dyDescent="0.25">
      <c r="A1125" t="s">
        <v>1129</v>
      </c>
      <c r="B1125">
        <v>0.99252571173614901</v>
      </c>
      <c r="C1125">
        <v>0.92623897367354202</v>
      </c>
      <c r="D1125">
        <v>0.79863547145347002</v>
      </c>
      <c r="E1125">
        <v>0.61731714582506203</v>
      </c>
      <c r="F1125">
        <v>0.21226208117126399</v>
      </c>
      <c r="G1125">
        <v>0.138735864816254</v>
      </c>
      <c r="H1125">
        <v>0.13128186966626201</v>
      </c>
      <c r="I1125">
        <v>0.17464369365152299</v>
      </c>
      <c r="J1125">
        <v>0.25462453318636102</v>
      </c>
      <c r="K1125">
        <v>0.27060440337314301</v>
      </c>
      <c r="L1125">
        <v>1188.6996380295</v>
      </c>
      <c r="M1125">
        <v>24.2601626199083</v>
      </c>
      <c r="N1125">
        <v>49.923849545938701</v>
      </c>
      <c r="O1125">
        <v>48.668728029029197</v>
      </c>
      <c r="P1125">
        <v>-0.10204486181929701</v>
      </c>
      <c r="Q1125">
        <v>0.18115665220491201</v>
      </c>
      <c r="R1125">
        <v>0.96211136828378896</v>
      </c>
      <c r="S1125" t="s">
        <v>7771</v>
      </c>
      <c r="T1125" t="s">
        <v>13290</v>
      </c>
      <c r="U1125" t="s">
        <v>13290</v>
      </c>
      <c r="V1125" t="s">
        <v>13290</v>
      </c>
      <c r="W1125" t="s">
        <v>14390</v>
      </c>
      <c r="X1125">
        <v>6</v>
      </c>
      <c r="Y1125" t="s">
        <v>20973</v>
      </c>
      <c r="Z1125" t="s">
        <v>27455</v>
      </c>
      <c r="AA1125">
        <v>0.4344746527601378</v>
      </c>
      <c r="AB1125" t="str">
        <f>HYPERLINK("Melting_Curves/meltCurve_J3KNR0_MARK3.pdf", "Melting_Curves/meltCurve_J3KNR0_MARK3.pdf")</f>
        <v>Melting_Curves/meltCurve_J3KNR0_MARK3.pdf</v>
      </c>
    </row>
    <row r="1126" spans="1:28" x14ac:dyDescent="0.25">
      <c r="A1126" t="s">
        <v>1130</v>
      </c>
      <c r="B1126">
        <v>0.99252571173614901</v>
      </c>
      <c r="C1126">
        <v>1.0177932301111601</v>
      </c>
      <c r="D1126">
        <v>0.83429307389859197</v>
      </c>
      <c r="E1126">
        <v>0.63067275821941804</v>
      </c>
      <c r="F1126">
        <v>0.46306463486097399</v>
      </c>
      <c r="G1126">
        <v>0.32522414350711498</v>
      </c>
      <c r="H1126">
        <v>0.25868854269742603</v>
      </c>
      <c r="I1126">
        <v>0.28810099564714903</v>
      </c>
      <c r="J1126">
        <v>0.25429320449734</v>
      </c>
      <c r="K1126">
        <v>0.233551657057366</v>
      </c>
      <c r="L1126">
        <v>858.36940611028297</v>
      </c>
      <c r="M1126">
        <v>17.188801032432199</v>
      </c>
      <c r="N1126">
        <v>51.9643867613824</v>
      </c>
      <c r="O1126">
        <v>49.276502801000802</v>
      </c>
      <c r="P1126">
        <v>-6.5910262035476494E-2</v>
      </c>
      <c r="Q1126">
        <v>0.244243959714502</v>
      </c>
      <c r="R1126">
        <v>0.99292529502031401</v>
      </c>
      <c r="S1126" t="s">
        <v>7772</v>
      </c>
      <c r="T1126" t="s">
        <v>13290</v>
      </c>
      <c r="U1126" t="s">
        <v>13290</v>
      </c>
      <c r="V1126" t="s">
        <v>13290</v>
      </c>
      <c r="W1126" t="s">
        <v>14391</v>
      </c>
      <c r="X1126">
        <v>3</v>
      </c>
      <c r="Y1126" t="s">
        <v>20974</v>
      </c>
      <c r="Z1126" t="s">
        <v>27456</v>
      </c>
      <c r="AA1126">
        <v>0.50866788045519828</v>
      </c>
      <c r="AB1126" t="str">
        <f>HYPERLINK("Melting_Curves/meltCurve_J3KNT4_FGFR1.pdf", "Melting_Curves/meltCurve_J3KNT4_FGFR1.pdf")</f>
        <v>Melting_Curves/meltCurve_J3KNT4_FGFR1.pdf</v>
      </c>
    </row>
    <row r="1127" spans="1:28" x14ac:dyDescent="0.25">
      <c r="A1127" t="s">
        <v>1131</v>
      </c>
      <c r="B1127">
        <v>0.99252571173614901</v>
      </c>
      <c r="C1127">
        <v>0.93632545033852399</v>
      </c>
      <c r="D1127">
        <v>0.97452897536565197</v>
      </c>
      <c r="E1127">
        <v>0.86272809981647303</v>
      </c>
      <c r="F1127">
        <v>0.13006064990496699</v>
      </c>
      <c r="G1127">
        <v>7.9103002949429804E-2</v>
      </c>
      <c r="H1127">
        <v>4.9753965036218102E-2</v>
      </c>
      <c r="I1127">
        <v>6.6704821250874499E-2</v>
      </c>
      <c r="J1127">
        <v>5.5491503426125299E-2</v>
      </c>
      <c r="K1127">
        <v>5.09167976905473E-2</v>
      </c>
      <c r="L1127">
        <v>3117.7017163711698</v>
      </c>
      <c r="M1127">
        <v>61.097140683751697</v>
      </c>
      <c r="N1127">
        <v>51.135137728612101</v>
      </c>
      <c r="O1127">
        <v>50.974021044059299</v>
      </c>
      <c r="P1127">
        <v>-0.281744381968076</v>
      </c>
      <c r="Q1127">
        <v>5.9750552409101099E-2</v>
      </c>
      <c r="R1127">
        <v>0.99712857000890098</v>
      </c>
      <c r="S1127" t="s">
        <v>7773</v>
      </c>
      <c r="T1127" t="s">
        <v>13290</v>
      </c>
      <c r="U1127" t="s">
        <v>13290</v>
      </c>
      <c r="V1127" t="s">
        <v>13290</v>
      </c>
      <c r="W1127" t="s">
        <v>14392</v>
      </c>
      <c r="X1127">
        <v>2</v>
      </c>
      <c r="Y1127" t="s">
        <v>20975</v>
      </c>
      <c r="Z1127" t="s">
        <v>27457</v>
      </c>
      <c r="AA1127">
        <v>0.40681992048375631</v>
      </c>
      <c r="AB1127" t="str">
        <f>HYPERLINK("Melting_Curves/meltCurve_J3KNV1_ZNF292.pdf", "Melting_Curves/meltCurve_J3KNV1_ZNF292.pdf")</f>
        <v>Melting_Curves/meltCurve_J3KNV1_ZNF292.pdf</v>
      </c>
    </row>
    <row r="1128" spans="1:28" x14ac:dyDescent="0.25">
      <c r="A1128" t="s">
        <v>1132</v>
      </c>
      <c r="B1128">
        <v>0.99252571173614901</v>
      </c>
      <c r="C1128">
        <v>0.96228633643822103</v>
      </c>
      <c r="D1128">
        <v>0.38602062591867198</v>
      </c>
      <c r="E1128">
        <v>0.32466794942361699</v>
      </c>
      <c r="F1128">
        <v>0.16786964924912101</v>
      </c>
      <c r="G1128">
        <v>0.114997728459502</v>
      </c>
      <c r="H1128">
        <v>9.1528808070660703E-2</v>
      </c>
      <c r="I1128">
        <v>0.129258907992788</v>
      </c>
      <c r="J1128">
        <v>0.122499302961353</v>
      </c>
      <c r="K1128">
        <v>0.14586657231564901</v>
      </c>
      <c r="L1128">
        <v>2008.94852173965</v>
      </c>
      <c r="M1128">
        <v>44.482339245912797</v>
      </c>
      <c r="N1128">
        <v>45.532776121859698</v>
      </c>
      <c r="O1128">
        <v>45.071842275167597</v>
      </c>
      <c r="P1128">
        <v>-0.20931122261612101</v>
      </c>
      <c r="Q1128">
        <v>0.151660664068519</v>
      </c>
      <c r="R1128">
        <v>0.96922378397824005</v>
      </c>
      <c r="S1128" t="s">
        <v>7774</v>
      </c>
      <c r="T1128" t="s">
        <v>13290</v>
      </c>
      <c r="U1128" t="s">
        <v>13290</v>
      </c>
      <c r="V1128" t="s">
        <v>13290</v>
      </c>
      <c r="W1128" t="s">
        <v>14393</v>
      </c>
      <c r="X1128">
        <v>3</v>
      </c>
      <c r="Y1128" t="s">
        <v>20976</v>
      </c>
      <c r="Z1128" t="s">
        <v>27458</v>
      </c>
      <c r="AA1128">
        <v>0.29986311394764209</v>
      </c>
      <c r="AB1128" t="str">
        <f>HYPERLINK("Melting_Curves/meltCurve_J3KNW7_CCDC41.pdf", "Melting_Curves/meltCurve_J3KNW7_CCDC41.pdf")</f>
        <v>Melting_Curves/meltCurve_J3KNW7_CCDC41.pdf</v>
      </c>
    </row>
    <row r="1129" spans="1:28" x14ac:dyDescent="0.25">
      <c r="A1129" t="s">
        <v>1133</v>
      </c>
      <c r="B1129">
        <v>0.99252571173614901</v>
      </c>
      <c r="C1129">
        <v>0.94316071813880198</v>
      </c>
      <c r="D1129">
        <v>0.89666298839888803</v>
      </c>
      <c r="E1129">
        <v>0.83880235419489102</v>
      </c>
      <c r="F1129">
        <v>0.25859119691675297</v>
      </c>
      <c r="G1129">
        <v>0.161857250642609</v>
      </c>
      <c r="H1129">
        <v>0.136487747257974</v>
      </c>
      <c r="I1129">
        <v>0.110507559559148</v>
      </c>
      <c r="J1129">
        <v>0.17691262746172101</v>
      </c>
      <c r="K1129">
        <v>0.18641924070160101</v>
      </c>
      <c r="L1129">
        <v>2398.20081225389</v>
      </c>
      <c r="M1129">
        <v>46.958563094696601</v>
      </c>
      <c r="N1129">
        <v>51.467918662630701</v>
      </c>
      <c r="O1129">
        <v>50.978213620825798</v>
      </c>
      <c r="P1129">
        <v>-0.195273669223613</v>
      </c>
      <c r="Q1129">
        <v>0.15204458925636999</v>
      </c>
      <c r="R1129">
        <v>0.98760548104871704</v>
      </c>
      <c r="S1129" t="s">
        <v>7775</v>
      </c>
      <c r="T1129" t="s">
        <v>13290</v>
      </c>
      <c r="U1129" t="s">
        <v>13290</v>
      </c>
      <c r="V1129" t="s">
        <v>13290</v>
      </c>
      <c r="W1129" t="s">
        <v>14394</v>
      </c>
      <c r="X1129">
        <v>4</v>
      </c>
      <c r="Y1129" t="s">
        <v>20977</v>
      </c>
      <c r="Z1129" t="s">
        <v>27459</v>
      </c>
      <c r="AA1129">
        <v>0.46712356081647699</v>
      </c>
      <c r="AB1129" t="str">
        <f>HYPERLINK("Melting_Curves/meltCurve_J3KNX9_MYO18A.pdf", "Melting_Curves/meltCurve_J3KNX9_MYO18A.pdf")</f>
        <v>Melting_Curves/meltCurve_J3KNX9_MYO18A.pdf</v>
      </c>
    </row>
    <row r="1130" spans="1:28" x14ac:dyDescent="0.25">
      <c r="A1130" t="s">
        <v>1134</v>
      </c>
      <c r="B1130">
        <v>0.99252571173614901</v>
      </c>
      <c r="C1130">
        <v>1.11474572952536</v>
      </c>
      <c r="D1130">
        <v>0.88468608866460796</v>
      </c>
      <c r="E1130">
        <v>0.91243683045659696</v>
      </c>
      <c r="F1130">
        <v>0.50881381101761103</v>
      </c>
      <c r="G1130">
        <v>0.385861059231283</v>
      </c>
      <c r="H1130">
        <v>0.32687856053116898</v>
      </c>
      <c r="I1130">
        <v>0.30573702222102001</v>
      </c>
      <c r="J1130">
        <v>0.44110815290896299</v>
      </c>
      <c r="K1130">
        <v>0.34908564451350799</v>
      </c>
      <c r="L1130">
        <v>2061.8399817272898</v>
      </c>
      <c r="M1130">
        <v>39.880063311845397</v>
      </c>
      <c r="N1130">
        <v>53.377690462720103</v>
      </c>
      <c r="O1130">
        <v>51.5715321445862</v>
      </c>
      <c r="P1130">
        <v>-0.124282003016861</v>
      </c>
      <c r="Q1130">
        <v>0.357132427861233</v>
      </c>
      <c r="R1130">
        <v>0.95911118648170901</v>
      </c>
      <c r="S1130" t="s">
        <v>7776</v>
      </c>
      <c r="T1130" t="s">
        <v>13290</v>
      </c>
      <c r="U1130" t="s">
        <v>13290</v>
      </c>
      <c r="V1130" t="s">
        <v>13290</v>
      </c>
      <c r="W1130" t="s">
        <v>14395</v>
      </c>
      <c r="X1130">
        <v>1</v>
      </c>
      <c r="Y1130" t="s">
        <v>20978</v>
      </c>
      <c r="Z1130" t="s">
        <v>27460</v>
      </c>
      <c r="AA1130">
        <v>0.61018322713417628</v>
      </c>
      <c r="AB1130" t="str">
        <f>HYPERLINK("Melting_Curves/meltCurve_J3KP19_SIPA1L1.pdf", "Melting_Curves/meltCurve_J3KP19_SIPA1L1.pdf")</f>
        <v>Melting_Curves/meltCurve_J3KP19_SIPA1L1.pdf</v>
      </c>
    </row>
    <row r="1131" spans="1:28" x14ac:dyDescent="0.25">
      <c r="A1131" t="s">
        <v>1135</v>
      </c>
      <c r="B1131">
        <v>0.99252571173614901</v>
      </c>
      <c r="C1131">
        <v>0.94346341335699402</v>
      </c>
      <c r="D1131">
        <v>0.96565144085382204</v>
      </c>
      <c r="E1131">
        <v>0.96215176242607803</v>
      </c>
      <c r="F1131">
        <v>0.24415250344460701</v>
      </c>
      <c r="G1131">
        <v>0.151737799330011</v>
      </c>
      <c r="H1131">
        <v>9.1675521722721601E-2</v>
      </c>
      <c r="I1131">
        <v>9.8050580479736194E-2</v>
      </c>
      <c r="J1131">
        <v>0.11624887417898799</v>
      </c>
      <c r="K1131">
        <v>9.9522915730004699E-2</v>
      </c>
      <c r="L1131">
        <v>3494.6394153875799</v>
      </c>
      <c r="M1131">
        <v>67.408622865951003</v>
      </c>
      <c r="N1131">
        <v>52.035749338911401</v>
      </c>
      <c r="O1131">
        <v>51.797047300837001</v>
      </c>
      <c r="P1131">
        <v>-0.28934233687104799</v>
      </c>
      <c r="Q1131">
        <v>0.110673139457408</v>
      </c>
      <c r="R1131">
        <v>0.99607659748200805</v>
      </c>
      <c r="S1131" t="s">
        <v>7777</v>
      </c>
      <c r="T1131" t="s">
        <v>13290</v>
      </c>
      <c r="U1131" t="s">
        <v>13290</v>
      </c>
      <c r="V1131" t="s">
        <v>13290</v>
      </c>
      <c r="W1131" t="s">
        <v>14396</v>
      </c>
      <c r="X1131">
        <v>3</v>
      </c>
      <c r="Y1131" t="s">
        <v>20979</v>
      </c>
      <c r="Z1131" t="s">
        <v>27461</v>
      </c>
      <c r="AA1131">
        <v>0.46285448220409181</v>
      </c>
      <c r="AB1131" t="str">
        <f>HYPERLINK("Melting_Curves/meltCurve_J3KP22_PTPRA.pdf", "Melting_Curves/meltCurve_J3KP22_PTPRA.pdf")</f>
        <v>Melting_Curves/meltCurve_J3KP22_PTPRA.pdf</v>
      </c>
    </row>
    <row r="1132" spans="1:28" x14ac:dyDescent="0.25">
      <c r="A1132" t="s">
        <v>1136</v>
      </c>
      <c r="B1132">
        <v>0.99252571173614901</v>
      </c>
      <c r="C1132">
        <v>0.89476759548568396</v>
      </c>
      <c r="D1132">
        <v>0.92860375215145297</v>
      </c>
      <c r="E1132">
        <v>0.97132760689409503</v>
      </c>
      <c r="F1132">
        <v>0.764315051622381</v>
      </c>
      <c r="G1132">
        <v>0.63110235292267103</v>
      </c>
      <c r="H1132">
        <v>0.566124903074257</v>
      </c>
      <c r="I1132">
        <v>0.76383401715183097</v>
      </c>
      <c r="J1132">
        <v>1.16562746183771</v>
      </c>
      <c r="K1132">
        <v>1.11145281860623</v>
      </c>
      <c r="L1132">
        <v>813.611481445251</v>
      </c>
      <c r="M1132">
        <v>18.536558420679398</v>
      </c>
      <c r="O1132">
        <v>43.390996204000501</v>
      </c>
      <c r="P1132">
        <v>-1.5986753483059401E-2</v>
      </c>
      <c r="Q1132">
        <v>0.85031726773542204</v>
      </c>
      <c r="R1132">
        <v>5.1926639827019803E-2</v>
      </c>
      <c r="S1132" t="s">
        <v>7778</v>
      </c>
      <c r="T1132" t="s">
        <v>13290</v>
      </c>
      <c r="U1132" t="s">
        <v>13290</v>
      </c>
      <c r="V1132" t="s">
        <v>13290</v>
      </c>
      <c r="W1132" t="s">
        <v>14397</v>
      </c>
      <c r="X1132">
        <v>5</v>
      </c>
      <c r="Y1132" t="s">
        <v>20980</v>
      </c>
      <c r="Z1132" t="s">
        <v>27462</v>
      </c>
      <c r="AA1132">
        <v>0.87325313071633726</v>
      </c>
      <c r="AB1132" t="str">
        <f>HYPERLINK("Melting_Curves/meltCurve_J3KP75_PHACTR2.pdf", "Melting_Curves/meltCurve_J3KP75_PHACTR2.pdf")</f>
        <v>Melting_Curves/meltCurve_J3KP75_PHACTR2.pdf</v>
      </c>
    </row>
    <row r="1133" spans="1:28" x14ac:dyDescent="0.25">
      <c r="A1133" t="s">
        <v>1137</v>
      </c>
      <c r="B1133">
        <v>0.99252571173614901</v>
      </c>
      <c r="C1133">
        <v>0.82476402940540805</v>
      </c>
      <c r="D1133">
        <v>1.0236243791699899</v>
      </c>
      <c r="E1133">
        <v>0.80562388382724703</v>
      </c>
      <c r="F1133">
        <v>0.25886896132224602</v>
      </c>
      <c r="G1133">
        <v>0.142393235408906</v>
      </c>
      <c r="H1133">
        <v>0.13858384675461799</v>
      </c>
      <c r="I1133">
        <v>0.163013902016416</v>
      </c>
      <c r="J1133">
        <v>0.198277749964649</v>
      </c>
      <c r="K1133">
        <v>0.32406345185698598</v>
      </c>
      <c r="L1133">
        <v>2718.8475162826799</v>
      </c>
      <c r="M1133">
        <v>53.655129690514698</v>
      </c>
      <c r="N1133">
        <v>51.1403906568206</v>
      </c>
      <c r="O1133">
        <v>50.602404990310603</v>
      </c>
      <c r="P1133">
        <v>-0.2136782051451</v>
      </c>
      <c r="Q1133">
        <v>0.19391684375836099</v>
      </c>
      <c r="R1133">
        <v>0.95622573303490099</v>
      </c>
      <c r="S1133" t="s">
        <v>7779</v>
      </c>
      <c r="T1133" t="s">
        <v>13290</v>
      </c>
      <c r="U1133" t="s">
        <v>13290</v>
      </c>
      <c r="V1133" t="s">
        <v>13290</v>
      </c>
      <c r="W1133" t="s">
        <v>14398</v>
      </c>
      <c r="X1133">
        <v>2</v>
      </c>
      <c r="Y1133" t="s">
        <v>20981</v>
      </c>
      <c r="Z1133" t="s">
        <v>27463</v>
      </c>
      <c r="AA1133">
        <v>0.48224837555728117</v>
      </c>
      <c r="AB1133" t="str">
        <f>HYPERLINK("Melting_Curves/meltCurve_J3KPD3_RBM7.pdf", "Melting_Curves/meltCurve_J3KPD3_RBM7.pdf")</f>
        <v>Melting_Curves/meltCurve_J3KPD3_RBM7.pdf</v>
      </c>
    </row>
    <row r="1134" spans="1:28" x14ac:dyDescent="0.25">
      <c r="A1134" t="s">
        <v>1138</v>
      </c>
      <c r="B1134">
        <v>0.99252571173614901</v>
      </c>
      <c r="C1134">
        <v>0.89186619559952096</v>
      </c>
      <c r="D1134">
        <v>0.86743460125502503</v>
      </c>
      <c r="E1134">
        <v>0.58021003017672801</v>
      </c>
      <c r="F1134">
        <v>0.154685646837811</v>
      </c>
      <c r="G1134">
        <v>8.7647022214324299E-2</v>
      </c>
      <c r="H1134">
        <v>6.2320797353610298E-2</v>
      </c>
      <c r="I1134">
        <v>6.7713755517121596E-2</v>
      </c>
      <c r="J1134">
        <v>7.5486890577497801E-2</v>
      </c>
      <c r="K1134">
        <v>7.4366421669641899E-2</v>
      </c>
      <c r="L1134">
        <v>1283.7815457623301</v>
      </c>
      <c r="M1134">
        <v>25.847240871495199</v>
      </c>
      <c r="N1134">
        <v>49.910948483527299</v>
      </c>
      <c r="O1134">
        <v>49.3735904702814</v>
      </c>
      <c r="P1134">
        <v>-0.123142042015086</v>
      </c>
      <c r="Q1134">
        <v>5.9103807514724299E-2</v>
      </c>
      <c r="R1134">
        <v>0.99031608736667498</v>
      </c>
      <c r="S1134" t="s">
        <v>7780</v>
      </c>
      <c r="T1134" t="s">
        <v>13290</v>
      </c>
      <c r="U1134" t="s">
        <v>13290</v>
      </c>
      <c r="V1134" t="s">
        <v>13290</v>
      </c>
      <c r="W1134" t="s">
        <v>14399</v>
      </c>
      <c r="X1134">
        <v>9</v>
      </c>
      <c r="Y1134" t="s">
        <v>20982</v>
      </c>
      <c r="Z1134" t="s">
        <v>27464</v>
      </c>
      <c r="AA1134">
        <v>0.37015883721383458</v>
      </c>
      <c r="AB1134" t="str">
        <f>HYPERLINK("Melting_Curves/meltCurve_J3KPF9_KIF3A.pdf", "Melting_Curves/meltCurve_J3KPF9_KIF3A.pdf")</f>
        <v>Melting_Curves/meltCurve_J3KPF9_KIF3A.pdf</v>
      </c>
    </row>
    <row r="1135" spans="1:28" x14ac:dyDescent="0.25">
      <c r="A1135" t="s">
        <v>1139</v>
      </c>
      <c r="B1135">
        <v>0.99252571173614901</v>
      </c>
      <c r="C1135">
        <v>1.03839165294213</v>
      </c>
      <c r="D1135">
        <v>0.91897385792013597</v>
      </c>
      <c r="E1135">
        <v>0.86648374969895503</v>
      </c>
      <c r="F1135">
        <v>0.61424581745790097</v>
      </c>
      <c r="G1135">
        <v>0.374229301961788</v>
      </c>
      <c r="H1135">
        <v>0.24322834065287599</v>
      </c>
      <c r="I1135">
        <v>0.201023103581874</v>
      </c>
      <c r="J1135">
        <v>0.29573681326985402</v>
      </c>
      <c r="K1135">
        <v>0.236686809886477</v>
      </c>
      <c r="L1135">
        <v>1182.2167807240301</v>
      </c>
      <c r="M1135">
        <v>22.283554651133102</v>
      </c>
      <c r="N1135">
        <v>54.549227314625703</v>
      </c>
      <c r="O1135">
        <v>52.631614709789602</v>
      </c>
      <c r="P1135">
        <v>-8.1650102666394303E-2</v>
      </c>
      <c r="Q1135">
        <v>0.22861763940014801</v>
      </c>
      <c r="R1135">
        <v>0.98928633678663602</v>
      </c>
      <c r="S1135" t="s">
        <v>7781</v>
      </c>
      <c r="T1135" t="s">
        <v>13290</v>
      </c>
      <c r="U1135" t="s">
        <v>13290</v>
      </c>
      <c r="V1135" t="s">
        <v>13290</v>
      </c>
      <c r="W1135" t="s">
        <v>14400</v>
      </c>
      <c r="X1135">
        <v>3</v>
      </c>
      <c r="Y1135" t="s">
        <v>20983</v>
      </c>
      <c r="Z1135" t="s">
        <v>27465</v>
      </c>
      <c r="AA1135">
        <v>0.57303102318839361</v>
      </c>
      <c r="AB1135" t="str">
        <f>HYPERLINK("Melting_Curves/meltCurve_J3KPH8_HDAC7.pdf", "Melting_Curves/meltCurve_J3KPH8_HDAC7.pdf")</f>
        <v>Melting_Curves/meltCurve_J3KPH8_HDAC7.pdf</v>
      </c>
    </row>
    <row r="1136" spans="1:28" x14ac:dyDescent="0.25">
      <c r="A1136" t="s">
        <v>1140</v>
      </c>
      <c r="B1136">
        <v>0.99252571173614901</v>
      </c>
      <c r="C1136">
        <v>0.92231171661405198</v>
      </c>
      <c r="D1136">
        <v>0.71431861384820605</v>
      </c>
      <c r="E1136">
        <v>0.73514161979767401</v>
      </c>
      <c r="F1136">
        <v>0.35182499997678901</v>
      </c>
      <c r="G1136">
        <v>0.25621879438668399</v>
      </c>
      <c r="H1136">
        <v>0.20714633235078</v>
      </c>
      <c r="I1136">
        <v>0.36819681376660002</v>
      </c>
      <c r="J1136">
        <v>0.16766576338327099</v>
      </c>
      <c r="K1136">
        <v>0.151803319154661</v>
      </c>
      <c r="L1136">
        <v>694.29973283685104</v>
      </c>
      <c r="M1136">
        <v>13.933621574402</v>
      </c>
      <c r="N1136">
        <v>51.4585955148547</v>
      </c>
      <c r="O1136">
        <v>48.8363758329589</v>
      </c>
      <c r="P1136">
        <v>-5.8612793697310997E-2</v>
      </c>
      <c r="Q1136">
        <v>0.17837567575736499</v>
      </c>
      <c r="R1136">
        <v>0.93562284041732602</v>
      </c>
      <c r="S1136" t="s">
        <v>7782</v>
      </c>
      <c r="T1136" t="s">
        <v>13290</v>
      </c>
      <c r="U1136" t="s">
        <v>13290</v>
      </c>
      <c r="V1136" t="s">
        <v>13290</v>
      </c>
      <c r="W1136" t="s">
        <v>14401</v>
      </c>
      <c r="X1136">
        <v>1</v>
      </c>
      <c r="Y1136" t="s">
        <v>20984</v>
      </c>
      <c r="Z1136" t="s">
        <v>27466</v>
      </c>
      <c r="AA1136">
        <v>0.47000139474006858</v>
      </c>
      <c r="AB1136" t="str">
        <f>HYPERLINK("Melting_Curves/meltCurve_J3KPJ3_CAMKK1.pdf", "Melting_Curves/meltCurve_J3KPJ3_CAMKK1.pdf")</f>
        <v>Melting_Curves/meltCurve_J3KPJ3_CAMKK1.pdf</v>
      </c>
    </row>
    <row r="1137" spans="1:28" x14ac:dyDescent="0.25">
      <c r="A1137" t="s">
        <v>1141</v>
      </c>
      <c r="B1137">
        <v>0.99252571173614901</v>
      </c>
      <c r="C1137">
        <v>0.82645734343449695</v>
      </c>
      <c r="D1137">
        <v>0.62141966095085799</v>
      </c>
      <c r="E1137">
        <v>0.48526011981991901</v>
      </c>
      <c r="F1137">
        <v>0.32395296033137599</v>
      </c>
      <c r="G1137">
        <v>0.19273671678593099</v>
      </c>
      <c r="H1137">
        <v>0.155092955312991</v>
      </c>
      <c r="I1137">
        <v>0.15878072987762801</v>
      </c>
      <c r="J1137">
        <v>0.166813400550199</v>
      </c>
      <c r="K1137">
        <v>0.12799896318932</v>
      </c>
      <c r="L1137">
        <v>629.48294393949402</v>
      </c>
      <c r="M1137">
        <v>13.202845967974</v>
      </c>
      <c r="N1137">
        <v>48.740198610240803</v>
      </c>
      <c r="O1137">
        <v>46.623848060154103</v>
      </c>
      <c r="P1137">
        <v>-6.1952867939971699E-2</v>
      </c>
      <c r="Q1137">
        <v>0.125036993260391</v>
      </c>
      <c r="R1137">
        <v>0.99043062870338905</v>
      </c>
      <c r="S1137" t="s">
        <v>7783</v>
      </c>
      <c r="T1137" t="s">
        <v>13290</v>
      </c>
      <c r="U1137" t="s">
        <v>13290</v>
      </c>
      <c r="V1137" t="s">
        <v>13290</v>
      </c>
      <c r="W1137" t="s">
        <v>14402</v>
      </c>
      <c r="X1137">
        <v>7</v>
      </c>
      <c r="Y1137" t="s">
        <v>20985</v>
      </c>
      <c r="Z1137" t="s">
        <v>27467</v>
      </c>
      <c r="AA1137">
        <v>0.37830999772632162</v>
      </c>
      <c r="AB1137" t="str">
        <f>HYPERLINK("Melting_Curves/meltCurve_J3KPL2_KDM1B.pdf", "Melting_Curves/meltCurve_J3KPL2_KDM1B.pdf")</f>
        <v>Melting_Curves/meltCurve_J3KPL2_KDM1B.pdf</v>
      </c>
    </row>
    <row r="1138" spans="1:28" x14ac:dyDescent="0.25">
      <c r="A1138" t="s">
        <v>1142</v>
      </c>
      <c r="B1138">
        <v>0.99252571173614901</v>
      </c>
      <c r="C1138">
        <v>0.75273066148034495</v>
      </c>
      <c r="D1138">
        <v>0.68620460109382397</v>
      </c>
      <c r="E1138">
        <v>0.58163378674003197</v>
      </c>
      <c r="F1138">
        <v>0.35047792441354197</v>
      </c>
      <c r="G1138">
        <v>0.15700200906377401</v>
      </c>
      <c r="H1138">
        <v>0.12042610299923499</v>
      </c>
      <c r="I1138">
        <v>0.111394438885701</v>
      </c>
      <c r="J1138">
        <v>0.166442315043941</v>
      </c>
      <c r="K1138">
        <v>0.127329176145447</v>
      </c>
      <c r="L1138">
        <v>559.79957600439695</v>
      </c>
      <c r="M1138">
        <v>11.445467906085099</v>
      </c>
      <c r="N1138">
        <v>49.590752736936999</v>
      </c>
      <c r="O1138">
        <v>47.488507743201197</v>
      </c>
      <c r="P1138">
        <v>-5.5890635295644302E-2</v>
      </c>
      <c r="Q1138">
        <v>7.2682820546546401E-2</v>
      </c>
      <c r="R1138">
        <v>0.96806238555551705</v>
      </c>
      <c r="S1138" t="s">
        <v>7784</v>
      </c>
      <c r="T1138" t="s">
        <v>13290</v>
      </c>
      <c r="U1138" t="s">
        <v>13290</v>
      </c>
      <c r="V1138" t="s">
        <v>13290</v>
      </c>
      <c r="W1138" t="s">
        <v>14403</v>
      </c>
      <c r="X1138">
        <v>5</v>
      </c>
      <c r="Y1138" t="s">
        <v>20986</v>
      </c>
      <c r="Z1138" t="s">
        <v>27468</v>
      </c>
      <c r="AA1138">
        <v>0.38515018563387282</v>
      </c>
      <c r="AB1138" t="str">
        <f>HYPERLINK("Melting_Curves/meltCurve_J3KPS0_DNAJB12.pdf", "Melting_Curves/meltCurve_J3KPS0_DNAJB12.pdf")</f>
        <v>Melting_Curves/meltCurve_J3KPS0_DNAJB12.pdf</v>
      </c>
    </row>
    <row r="1139" spans="1:28" x14ac:dyDescent="0.25">
      <c r="A1139" t="s">
        <v>1143</v>
      </c>
      <c r="B1139">
        <v>0.99252571173614901</v>
      </c>
      <c r="C1139">
        <v>0.98972206152090103</v>
      </c>
      <c r="D1139">
        <v>1.13144197608894</v>
      </c>
      <c r="E1139">
        <v>1.14115783004761</v>
      </c>
      <c r="F1139">
        <v>1.1539117951562301</v>
      </c>
      <c r="G1139">
        <v>0.83354075363055902</v>
      </c>
      <c r="H1139">
        <v>0.26186371388199697</v>
      </c>
      <c r="I1139">
        <v>0.16643051788691199</v>
      </c>
      <c r="J1139">
        <v>0.17279841453928799</v>
      </c>
      <c r="K1139">
        <v>0.17151532664724001</v>
      </c>
      <c r="L1139">
        <v>3201.2051024895</v>
      </c>
      <c r="M1139">
        <v>54.891576824277301</v>
      </c>
      <c r="N1139">
        <v>58.766429247839199</v>
      </c>
      <c r="O1139">
        <v>58.241444857718697</v>
      </c>
      <c r="P1139">
        <v>-0.19535601073793901</v>
      </c>
      <c r="Q1139">
        <v>0.17088848085555799</v>
      </c>
      <c r="R1139">
        <v>0.96529623264042497</v>
      </c>
      <c r="S1139" t="s">
        <v>7785</v>
      </c>
      <c r="T1139" t="s">
        <v>13290</v>
      </c>
      <c r="U1139" t="s">
        <v>13290</v>
      </c>
      <c r="V1139" t="s">
        <v>13290</v>
      </c>
      <c r="W1139" t="s">
        <v>14404</v>
      </c>
      <c r="X1139">
        <v>4</v>
      </c>
      <c r="Y1139" t="s">
        <v>20987</v>
      </c>
      <c r="Z1139" t="s">
        <v>27469</v>
      </c>
      <c r="AA1139">
        <v>0.67892648177883963</v>
      </c>
      <c r="AB1139" t="str">
        <f>HYPERLINK("Melting_Curves/meltCurve_J3KPT0_DPP8.pdf", "Melting_Curves/meltCurve_J3KPT0_DPP8.pdf")</f>
        <v>Melting_Curves/meltCurve_J3KPT0_DPP8.pdf</v>
      </c>
    </row>
    <row r="1140" spans="1:28" x14ac:dyDescent="0.25">
      <c r="A1140" t="s">
        <v>1144</v>
      </c>
      <c r="B1140">
        <v>0.99252571173614901</v>
      </c>
      <c r="C1140">
        <v>0.97978982359173195</v>
      </c>
      <c r="D1140">
        <v>0.86434971132485805</v>
      </c>
      <c r="E1140">
        <v>0.71307947244530601</v>
      </c>
      <c r="F1140">
        <v>0.33315332032164602</v>
      </c>
      <c r="G1140">
        <v>0.14474187594072699</v>
      </c>
      <c r="H1140">
        <v>7.7234869867891701E-2</v>
      </c>
      <c r="I1140">
        <v>7.1167503613120506E-2</v>
      </c>
      <c r="J1140">
        <v>7.6004281707897095E-2</v>
      </c>
      <c r="K1140">
        <v>7.1690581909044704E-2</v>
      </c>
      <c r="L1140">
        <v>1086.37953399513</v>
      </c>
      <c r="M1140">
        <v>21.252541203456602</v>
      </c>
      <c r="N1140">
        <v>51.415620975488103</v>
      </c>
      <c r="O1140">
        <v>50.671496182936799</v>
      </c>
      <c r="P1140">
        <v>-9.8781426817954696E-2</v>
      </c>
      <c r="Q1140">
        <v>5.79432249066206E-2</v>
      </c>
      <c r="R1140">
        <v>0.99661105202221401</v>
      </c>
      <c r="S1140" t="s">
        <v>7786</v>
      </c>
      <c r="T1140" t="s">
        <v>13290</v>
      </c>
      <c r="U1140" t="s">
        <v>13290</v>
      </c>
      <c r="V1140" t="s">
        <v>13290</v>
      </c>
      <c r="W1140" t="s">
        <v>14405</v>
      </c>
      <c r="X1140">
        <v>11</v>
      </c>
      <c r="Y1140" t="s">
        <v>20988</v>
      </c>
      <c r="Z1140" t="s">
        <v>27470</v>
      </c>
      <c r="AA1140">
        <v>0.41872043790779062</v>
      </c>
      <c r="AB1140" t="str">
        <f>HYPERLINK("Melting_Curves/meltCurve_J3KPT4_TRABD.pdf", "Melting_Curves/meltCurve_J3KPT4_TRABD.pdf")</f>
        <v>Melting_Curves/meltCurve_J3KPT4_TRABD.pdf</v>
      </c>
    </row>
    <row r="1141" spans="1:28" x14ac:dyDescent="0.25">
      <c r="A1141" t="s">
        <v>1145</v>
      </c>
      <c r="B1141">
        <v>0.99252571173614901</v>
      </c>
      <c r="C1141">
        <v>1.0253843117438399</v>
      </c>
      <c r="D1141">
        <v>0.90113617715349903</v>
      </c>
      <c r="E1141">
        <v>0.80054332089060198</v>
      </c>
      <c r="F1141">
        <v>0.55311024480850601</v>
      </c>
      <c r="G1141">
        <v>0.42243647326471401</v>
      </c>
      <c r="H1141">
        <v>0.42096247845260698</v>
      </c>
      <c r="I1141">
        <v>0.56026797417432495</v>
      </c>
      <c r="J1141">
        <v>0.810438541822045</v>
      </c>
      <c r="K1141">
        <v>0.62293344658958605</v>
      </c>
      <c r="L1141">
        <v>1990.92082741902</v>
      </c>
      <c r="M1141">
        <v>40.186041391908603</v>
      </c>
      <c r="O1141">
        <v>49.4203907341983</v>
      </c>
      <c r="P1141">
        <v>-8.8992340807745499E-2</v>
      </c>
      <c r="Q1141">
        <v>0.56223335928180196</v>
      </c>
      <c r="R1141">
        <v>0.74821936323690597</v>
      </c>
      <c r="S1141" t="s">
        <v>7787</v>
      </c>
      <c r="T1141" t="s">
        <v>13290</v>
      </c>
      <c r="U1141" t="s">
        <v>13290</v>
      </c>
      <c r="V1141" t="s">
        <v>13290</v>
      </c>
      <c r="W1141" t="s">
        <v>14406</v>
      </c>
      <c r="X1141">
        <v>4</v>
      </c>
      <c r="Y1141" t="s">
        <v>20989</v>
      </c>
      <c r="Z1141" t="s">
        <v>27471</v>
      </c>
      <c r="AA1141">
        <v>0.70296710501912041</v>
      </c>
      <c r="AB1141" t="str">
        <f>HYPERLINK("Melting_Curves/meltCurve_J3KPV1_CHCHD7.pdf", "Melting_Curves/meltCurve_J3KPV1_CHCHD7.pdf")</f>
        <v>Melting_Curves/meltCurve_J3KPV1_CHCHD7.pdf</v>
      </c>
    </row>
    <row r="1142" spans="1:28" x14ac:dyDescent="0.25">
      <c r="A1142" t="s">
        <v>1146</v>
      </c>
      <c r="B1142">
        <v>0.99252571173614901</v>
      </c>
      <c r="C1142">
        <v>1.23162445492526</v>
      </c>
      <c r="D1142">
        <v>0.70709137472582495</v>
      </c>
      <c r="E1142">
        <v>0.65024900549526399</v>
      </c>
      <c r="F1142">
        <v>0.182035268705866</v>
      </c>
      <c r="G1142">
        <v>0.107215547650517</v>
      </c>
      <c r="H1142">
        <v>7.3925541849549803E-2</v>
      </c>
      <c r="I1142">
        <v>6.8982976514779804E-2</v>
      </c>
      <c r="J1142">
        <v>7.4124142089530304E-2</v>
      </c>
      <c r="K1142">
        <v>7.6956063198525299E-2</v>
      </c>
      <c r="L1142">
        <v>1154.31969022314</v>
      </c>
      <c r="M1142">
        <v>23.150130528161899</v>
      </c>
      <c r="N1142">
        <v>50.144827657736897</v>
      </c>
      <c r="O1142">
        <v>49.494748522051097</v>
      </c>
      <c r="P1142">
        <v>-0.109785708255018</v>
      </c>
      <c r="Q1142">
        <v>6.11341342324382E-2</v>
      </c>
      <c r="R1142">
        <v>0.93925239993374299</v>
      </c>
      <c r="S1142" t="s">
        <v>7788</v>
      </c>
      <c r="T1142" t="s">
        <v>13290</v>
      </c>
      <c r="U1142" t="s">
        <v>13290</v>
      </c>
      <c r="V1142" t="s">
        <v>13290</v>
      </c>
      <c r="W1142" t="s">
        <v>14407</v>
      </c>
      <c r="X1142">
        <v>23</v>
      </c>
      <c r="Y1142" t="s">
        <v>20990</v>
      </c>
      <c r="Z1142" t="s">
        <v>27472</v>
      </c>
      <c r="AA1142">
        <v>0.3795624948145101</v>
      </c>
      <c r="AB1142" t="str">
        <f>HYPERLINK("Melting_Curves/meltCurve_J3KPV7_MPST.pdf", "Melting_Curves/meltCurve_J3KPV7_MPST.pdf")</f>
        <v>Melting_Curves/meltCurve_J3KPV7_MPST.pdf</v>
      </c>
    </row>
    <row r="1143" spans="1:28" x14ac:dyDescent="0.25">
      <c r="A1143" t="s">
        <v>1147</v>
      </c>
      <c r="B1143">
        <v>0.99252571173614901</v>
      </c>
      <c r="C1143">
        <v>0.89470415128333602</v>
      </c>
      <c r="D1143">
        <v>0.95165587231406101</v>
      </c>
      <c r="E1143">
        <v>0.81871982240778096</v>
      </c>
      <c r="F1143">
        <v>0.50365711179376305</v>
      </c>
      <c r="G1143">
        <v>0.17038708938855801</v>
      </c>
      <c r="H1143">
        <v>9.4699210853973606E-2</v>
      </c>
      <c r="I1143">
        <v>8.8559817057664303E-2</v>
      </c>
      <c r="J1143">
        <v>0.111904134515589</v>
      </c>
      <c r="K1143">
        <v>0.105620874118457</v>
      </c>
      <c r="L1143">
        <v>1315.7414837291501</v>
      </c>
      <c r="M1143">
        <v>25.039467837213799</v>
      </c>
      <c r="N1143">
        <v>52.939453416482898</v>
      </c>
      <c r="O1143">
        <v>52.214985153203102</v>
      </c>
      <c r="P1143">
        <v>-0.109725687027764</v>
      </c>
      <c r="Q1143">
        <v>8.4765124555329793E-2</v>
      </c>
      <c r="R1143">
        <v>0.98979448984187901</v>
      </c>
      <c r="S1143" t="s">
        <v>7789</v>
      </c>
      <c r="T1143" t="s">
        <v>13290</v>
      </c>
      <c r="U1143" t="s">
        <v>13290</v>
      </c>
      <c r="V1143" t="s">
        <v>13290</v>
      </c>
      <c r="W1143" t="s">
        <v>14408</v>
      </c>
      <c r="X1143">
        <v>13</v>
      </c>
      <c r="Y1143" t="s">
        <v>20991</v>
      </c>
      <c r="Z1143" t="s">
        <v>27473</v>
      </c>
      <c r="AA1143">
        <v>0.47590974060342972</v>
      </c>
      <c r="AB1143" t="str">
        <f>HYPERLINK("Melting_Curves/meltCurve_J3KPW7_HDAC2.pdf", "Melting_Curves/meltCurve_J3KPW7_HDAC2.pdf")</f>
        <v>Melting_Curves/meltCurve_J3KPW7_HDAC2.pdf</v>
      </c>
    </row>
    <row r="1144" spans="1:28" x14ac:dyDescent="0.25">
      <c r="A1144" t="s">
        <v>1148</v>
      </c>
      <c r="B1144">
        <v>0.99252571173614901</v>
      </c>
      <c r="C1144">
        <v>1.0061394418209</v>
      </c>
      <c r="D1144">
        <v>0.96446771818566501</v>
      </c>
      <c r="E1144">
        <v>0.93884645611719797</v>
      </c>
      <c r="F1144">
        <v>0.51955244608751205</v>
      </c>
      <c r="G1144">
        <v>0.28943791768875499</v>
      </c>
      <c r="H1144">
        <v>0.18120013828399301</v>
      </c>
      <c r="I1144">
        <v>0.17528574476088099</v>
      </c>
      <c r="J1144">
        <v>0.22376091295796099</v>
      </c>
      <c r="K1144">
        <v>0.18924487628130501</v>
      </c>
      <c r="L1144">
        <v>1821.9357990358801</v>
      </c>
      <c r="M1144">
        <v>34.561163769488203</v>
      </c>
      <c r="N1144">
        <v>53.4835859039963</v>
      </c>
      <c r="O1144">
        <v>52.5407286867271</v>
      </c>
      <c r="P1144">
        <v>-0.132305043840486</v>
      </c>
      <c r="Q1144">
        <v>0.19546963232008999</v>
      </c>
      <c r="R1144">
        <v>0.99653539359188203</v>
      </c>
      <c r="S1144" t="s">
        <v>7790</v>
      </c>
      <c r="T1144" t="s">
        <v>13290</v>
      </c>
      <c r="U1144" t="s">
        <v>13290</v>
      </c>
      <c r="V1144" t="s">
        <v>13290</v>
      </c>
      <c r="W1144" t="s">
        <v>14409</v>
      </c>
      <c r="X1144">
        <v>3</v>
      </c>
      <c r="Y1144" t="s">
        <v>20992</v>
      </c>
      <c r="Z1144" t="s">
        <v>27474</v>
      </c>
      <c r="AA1144">
        <v>0.54041557901827031</v>
      </c>
      <c r="AB1144" t="str">
        <f>HYPERLINK("Melting_Curves/meltCurve_J3KPY9_ANTXR2.pdf", "Melting_Curves/meltCurve_J3KPY9_ANTXR2.pdf")</f>
        <v>Melting_Curves/meltCurve_J3KPY9_ANTXR2.pdf</v>
      </c>
    </row>
    <row r="1145" spans="1:28" x14ac:dyDescent="0.25">
      <c r="A1145" t="s">
        <v>1149</v>
      </c>
      <c r="B1145">
        <v>0.99252571173614901</v>
      </c>
      <c r="C1145">
        <v>1.0297310658043599</v>
      </c>
      <c r="D1145">
        <v>0.88518333960808004</v>
      </c>
      <c r="E1145">
        <v>1.2473694952602901</v>
      </c>
      <c r="F1145">
        <v>0.81377179267569599</v>
      </c>
      <c r="G1145">
        <v>0.50489232650601201</v>
      </c>
      <c r="H1145">
        <v>0.37650385115063401</v>
      </c>
      <c r="I1145">
        <v>0.54376022226662002</v>
      </c>
      <c r="J1145">
        <v>0.91125531502788804</v>
      </c>
      <c r="K1145">
        <v>0.67475924727133396</v>
      </c>
      <c r="L1145">
        <v>13306.779250371001</v>
      </c>
      <c r="M1145">
        <v>250</v>
      </c>
      <c r="O1145">
        <v>53.223702806205601</v>
      </c>
      <c r="P1145">
        <v>-0.467091882916427</v>
      </c>
      <c r="Q1145">
        <v>0.60223418748872604</v>
      </c>
      <c r="R1145">
        <v>0.63513267751602498</v>
      </c>
      <c r="S1145" t="s">
        <v>7791</v>
      </c>
      <c r="T1145" t="s">
        <v>13290</v>
      </c>
      <c r="U1145" t="s">
        <v>13290</v>
      </c>
      <c r="V1145" t="s">
        <v>13290</v>
      </c>
      <c r="W1145" t="s">
        <v>14410</v>
      </c>
      <c r="X1145">
        <v>2</v>
      </c>
      <c r="Y1145" t="s">
        <v>20993</v>
      </c>
      <c r="Z1145" t="s">
        <v>27475</v>
      </c>
      <c r="AA1145">
        <v>0.77764784193444403</v>
      </c>
      <c r="AB1145" t="str">
        <f>HYPERLINK("Melting_Curves/meltCurve_J3KPZ4_C1D.pdf", "Melting_Curves/meltCurve_J3KPZ4_C1D.pdf")</f>
        <v>Melting_Curves/meltCurve_J3KPZ4_C1D.pdf</v>
      </c>
    </row>
    <row r="1146" spans="1:28" x14ac:dyDescent="0.25">
      <c r="A1146" t="s">
        <v>1150</v>
      </c>
      <c r="B1146">
        <v>0.99252571173614901</v>
      </c>
      <c r="C1146">
        <v>0.89050330209445006</v>
      </c>
      <c r="D1146">
        <v>0.724811401148581</v>
      </c>
      <c r="E1146">
        <v>0.56138510933709995</v>
      </c>
      <c r="F1146">
        <v>0.207934164373032</v>
      </c>
      <c r="G1146">
        <v>0.106300012994112</v>
      </c>
      <c r="H1146">
        <v>8.7019946049173097E-2</v>
      </c>
      <c r="I1146">
        <v>7.7261867751495697E-2</v>
      </c>
      <c r="J1146">
        <v>9.6480019536804296E-2</v>
      </c>
      <c r="K1146">
        <v>9.32346141979562E-2</v>
      </c>
      <c r="L1146">
        <v>827.91939743847195</v>
      </c>
      <c r="M1146">
        <v>16.911076681622198</v>
      </c>
      <c r="N1146">
        <v>49.343759541487501</v>
      </c>
      <c r="O1146">
        <v>48.288015614309202</v>
      </c>
      <c r="P1146">
        <v>-8.2126853837877198E-2</v>
      </c>
      <c r="Q1146">
        <v>6.2036583653893203E-2</v>
      </c>
      <c r="R1146">
        <v>0.98836651400433495</v>
      </c>
      <c r="S1146" t="s">
        <v>7792</v>
      </c>
      <c r="T1146" t="s">
        <v>13290</v>
      </c>
      <c r="U1146" t="s">
        <v>13290</v>
      </c>
      <c r="V1146" t="s">
        <v>13290</v>
      </c>
      <c r="W1146" t="s">
        <v>14411</v>
      </c>
      <c r="X1146">
        <v>2</v>
      </c>
      <c r="Y1146" t="s">
        <v>20994</v>
      </c>
      <c r="Z1146" t="s">
        <v>27476</v>
      </c>
      <c r="AA1146">
        <v>0.36048910344929053</v>
      </c>
      <c r="AB1146" t="str">
        <f>HYPERLINK("Melting_Curves/meltCurve_J3KPZ8_RFXANK.pdf", "Melting_Curves/meltCurve_J3KPZ8_RFXANK.pdf")</f>
        <v>Melting_Curves/meltCurve_J3KPZ8_RFXANK.pdf</v>
      </c>
    </row>
    <row r="1147" spans="1:28" x14ac:dyDescent="0.25">
      <c r="A1147" t="s">
        <v>1151</v>
      </c>
      <c r="B1147">
        <v>0.99252571173614901</v>
      </c>
      <c r="C1147">
        <v>0.76275101143905399</v>
      </c>
      <c r="D1147">
        <v>0.96710306040085003</v>
      </c>
      <c r="E1147">
        <v>0.88854594373181095</v>
      </c>
      <c r="F1147">
        <v>0.29274690155764899</v>
      </c>
      <c r="G1147">
        <v>8.0540140652166706E-2</v>
      </c>
      <c r="H1147">
        <v>5.1882569186061003E-2</v>
      </c>
      <c r="I1147">
        <v>4.9282920914475101E-2</v>
      </c>
      <c r="J1147">
        <v>5.5690199911073303E-2</v>
      </c>
      <c r="K1147">
        <v>5.5740149883022602E-2</v>
      </c>
      <c r="L1147">
        <v>2232.3608402929499</v>
      </c>
      <c r="M1147">
        <v>43.034166037324702</v>
      </c>
      <c r="N1147">
        <v>52.011019945459097</v>
      </c>
      <c r="O1147">
        <v>51.762510278520097</v>
      </c>
      <c r="P1147">
        <v>-0.19671823465580501</v>
      </c>
      <c r="Q1147">
        <v>5.3532130904580401E-2</v>
      </c>
      <c r="R1147">
        <v>0.96498200446177596</v>
      </c>
      <c r="S1147" t="s">
        <v>7793</v>
      </c>
      <c r="T1147" t="s">
        <v>13290</v>
      </c>
      <c r="U1147" t="s">
        <v>13290</v>
      </c>
      <c r="V1147" t="s">
        <v>13290</v>
      </c>
      <c r="W1147" t="s">
        <v>14412</v>
      </c>
      <c r="X1147">
        <v>22</v>
      </c>
      <c r="Y1147" t="s">
        <v>20995</v>
      </c>
      <c r="Z1147" t="s">
        <v>27477</v>
      </c>
      <c r="AA1147">
        <v>0.43107722905641049</v>
      </c>
      <c r="AB1147" t="str">
        <f>HYPERLINK("Melting_Curves/meltCurve_J3KQ32_OLA1.pdf", "Melting_Curves/meltCurve_J3KQ32_OLA1.pdf")</f>
        <v>Melting_Curves/meltCurve_J3KQ32_OLA1.pdf</v>
      </c>
    </row>
    <row r="1148" spans="1:28" x14ac:dyDescent="0.25">
      <c r="A1148" t="s">
        <v>1152</v>
      </c>
      <c r="B1148">
        <v>0.99252571173614901</v>
      </c>
      <c r="C1148">
        <v>0.85704726599357395</v>
      </c>
      <c r="D1148">
        <v>1.12910889490452</v>
      </c>
      <c r="E1148">
        <v>1.0722024915235899</v>
      </c>
      <c r="F1148">
        <v>0.84572499363714504</v>
      </c>
      <c r="G1148">
        <v>0.24911077283126401</v>
      </c>
      <c r="H1148">
        <v>0.141866347850892</v>
      </c>
      <c r="I1148">
        <v>0.115786953691055</v>
      </c>
      <c r="J1148">
        <v>0.12363788844639501</v>
      </c>
      <c r="K1148">
        <v>0.111069616456276</v>
      </c>
      <c r="L1148">
        <v>2831.4701586599999</v>
      </c>
      <c r="M1148">
        <v>51.641282803770999</v>
      </c>
      <c r="N1148">
        <v>55.1276804939424</v>
      </c>
      <c r="O1148">
        <v>54.747540151067398</v>
      </c>
      <c r="P1148">
        <v>-0.207088208759348</v>
      </c>
      <c r="Q1148">
        <v>0.121821668491782</v>
      </c>
      <c r="R1148">
        <v>0.97597180818507201</v>
      </c>
      <c r="S1148" t="s">
        <v>7794</v>
      </c>
      <c r="T1148" t="s">
        <v>13290</v>
      </c>
      <c r="U1148" t="s">
        <v>13290</v>
      </c>
      <c r="V1148" t="s">
        <v>13290</v>
      </c>
      <c r="W1148" t="s">
        <v>14413</v>
      </c>
      <c r="X1148">
        <v>7</v>
      </c>
      <c r="Y1148" t="s">
        <v>20996</v>
      </c>
      <c r="Z1148" t="s">
        <v>27478</v>
      </c>
      <c r="AA1148">
        <v>0.55791199870053421</v>
      </c>
      <c r="AB1148" t="str">
        <f>HYPERLINK("Melting_Curves/meltCurve_J3KQ34_COPS7B.pdf", "Melting_Curves/meltCurve_J3KQ34_COPS7B.pdf")</f>
        <v>Melting_Curves/meltCurve_J3KQ34_COPS7B.pdf</v>
      </c>
    </row>
    <row r="1149" spans="1:28" x14ac:dyDescent="0.25">
      <c r="A1149" t="s">
        <v>1153</v>
      </c>
      <c r="B1149">
        <v>0.99252571173614901</v>
      </c>
      <c r="C1149">
        <v>0.967897206427904</v>
      </c>
      <c r="D1149">
        <v>0.78377698329921697</v>
      </c>
      <c r="E1149">
        <v>0.44634886387057598</v>
      </c>
      <c r="F1149">
        <v>0.35889469417252601</v>
      </c>
      <c r="G1149">
        <v>0.138945953712861</v>
      </c>
      <c r="H1149">
        <v>2.9144167409760401E-2</v>
      </c>
      <c r="I1149">
        <v>3.6532031842722003E-2</v>
      </c>
      <c r="J1149">
        <v>0</v>
      </c>
      <c r="K1149">
        <v>4.8298563543947598E-2</v>
      </c>
      <c r="L1149">
        <v>754.829947548723</v>
      </c>
      <c r="M1149">
        <v>15.149438389442601</v>
      </c>
      <c r="N1149">
        <v>49.854045985042603</v>
      </c>
      <c r="O1149">
        <v>48.9816304854698</v>
      </c>
      <c r="P1149">
        <v>-7.6996843044989202E-2</v>
      </c>
      <c r="Q1149">
        <v>4.3027885472462198E-3</v>
      </c>
      <c r="R1149">
        <v>0.98825032259483303</v>
      </c>
      <c r="S1149" t="s">
        <v>7795</v>
      </c>
      <c r="T1149" t="s">
        <v>13290</v>
      </c>
      <c r="U1149" t="s">
        <v>13290</v>
      </c>
      <c r="V1149" t="s">
        <v>13290</v>
      </c>
      <c r="W1149" t="s">
        <v>14414</v>
      </c>
      <c r="X1149">
        <v>1</v>
      </c>
      <c r="Y1149" t="s">
        <v>20997</v>
      </c>
      <c r="Z1149" t="s">
        <v>27479</v>
      </c>
      <c r="AA1149">
        <v>0.35387133985224428</v>
      </c>
      <c r="AB1149" t="str">
        <f>HYPERLINK("Melting_Curves/meltCurve_J3KQ40_TBC1D8.pdf", "Melting_Curves/meltCurve_J3KQ40_TBC1D8.pdf")</f>
        <v>Melting_Curves/meltCurve_J3KQ40_TBC1D8.pdf</v>
      </c>
    </row>
    <row r="1150" spans="1:28" x14ac:dyDescent="0.25">
      <c r="A1150" t="s">
        <v>1154</v>
      </c>
      <c r="B1150">
        <v>0.99252571173614901</v>
      </c>
      <c r="C1150">
        <v>0.96362434232107597</v>
      </c>
      <c r="D1150">
        <v>0.96012612822089005</v>
      </c>
      <c r="E1150">
        <v>0.97565605738799099</v>
      </c>
      <c r="F1150">
        <v>0.54553594412378803</v>
      </c>
      <c r="G1150">
        <v>0.279799011137776</v>
      </c>
      <c r="H1150">
        <v>9.4372529422175097E-2</v>
      </c>
      <c r="I1150">
        <v>9.5375968289017801E-2</v>
      </c>
      <c r="J1150">
        <v>0.11838058827347001</v>
      </c>
      <c r="K1150">
        <v>0.11077330145316699</v>
      </c>
      <c r="L1150">
        <v>1625.01396067217</v>
      </c>
      <c r="M1150">
        <v>30.412917721550102</v>
      </c>
      <c r="N1150">
        <v>53.847472661349599</v>
      </c>
      <c r="O1150">
        <v>53.202268249726998</v>
      </c>
      <c r="P1150">
        <v>-0.127957380092284</v>
      </c>
      <c r="Q1150">
        <v>0.10464586503281199</v>
      </c>
      <c r="R1150">
        <v>0.99334392414541295</v>
      </c>
      <c r="S1150" t="s">
        <v>7796</v>
      </c>
      <c r="T1150" t="s">
        <v>13290</v>
      </c>
      <c r="U1150" t="s">
        <v>13290</v>
      </c>
      <c r="V1150" t="s">
        <v>13290</v>
      </c>
      <c r="W1150" t="s">
        <v>14415</v>
      </c>
      <c r="X1150">
        <v>11</v>
      </c>
      <c r="Y1150" t="s">
        <v>20998</v>
      </c>
      <c r="Z1150" t="s">
        <v>27480</v>
      </c>
      <c r="AA1150">
        <v>0.51120368421053342</v>
      </c>
      <c r="AB1150" t="str">
        <f>HYPERLINK("Melting_Curves/meltCurve_J3KQ48_PTRH2.pdf", "Melting_Curves/meltCurve_J3KQ48_PTRH2.pdf")</f>
        <v>Melting_Curves/meltCurve_J3KQ48_PTRH2.pdf</v>
      </c>
    </row>
    <row r="1151" spans="1:28" x14ac:dyDescent="0.25">
      <c r="A1151" t="s">
        <v>1155</v>
      </c>
      <c r="B1151">
        <v>0.99252571173614901</v>
      </c>
      <c r="C1151">
        <v>1.1065316405757799</v>
      </c>
      <c r="D1151">
        <v>1.0107372390531899</v>
      </c>
      <c r="E1151">
        <v>0.80597343065854898</v>
      </c>
      <c r="F1151">
        <v>0.205343556839087</v>
      </c>
      <c r="G1151">
        <v>9.2461976143261099E-2</v>
      </c>
      <c r="H1151">
        <v>6.3778015643397801E-2</v>
      </c>
      <c r="I1151">
        <v>7.1201584980052302E-2</v>
      </c>
      <c r="J1151">
        <v>8.4322465695187004E-2</v>
      </c>
      <c r="K1151">
        <v>7.6330769711736898E-2</v>
      </c>
      <c r="L1151">
        <v>2311.1240584871598</v>
      </c>
      <c r="M1151">
        <v>45.259254346413499</v>
      </c>
      <c r="N1151">
        <v>51.249782428439403</v>
      </c>
      <c r="O1151">
        <v>50.9647297611127</v>
      </c>
      <c r="P1151">
        <v>-0.20522748030403301</v>
      </c>
      <c r="Q1151">
        <v>7.5605645183191697E-2</v>
      </c>
      <c r="R1151">
        <v>0.993729613308587</v>
      </c>
      <c r="S1151" t="s">
        <v>7797</v>
      </c>
      <c r="T1151" t="s">
        <v>13290</v>
      </c>
      <c r="U1151" t="s">
        <v>13290</v>
      </c>
      <c r="V1151" t="s">
        <v>13290</v>
      </c>
      <c r="W1151" t="s">
        <v>14416</v>
      </c>
      <c r="X1151">
        <v>6</v>
      </c>
      <c r="Y1151" t="s">
        <v>20999</v>
      </c>
      <c r="Z1151" t="s">
        <v>27481</v>
      </c>
      <c r="AA1151">
        <v>0.41907013746291533</v>
      </c>
      <c r="AB1151" t="str">
        <f>HYPERLINK("Melting_Curves/meltCurve_J3KQ88_C6orf203.pdf", "Melting_Curves/meltCurve_J3KQ88_C6orf203.pdf")</f>
        <v>Melting_Curves/meltCurve_J3KQ88_C6orf203.pdf</v>
      </c>
    </row>
    <row r="1152" spans="1:28" x14ac:dyDescent="0.25">
      <c r="A1152" t="s">
        <v>1156</v>
      </c>
      <c r="B1152">
        <v>0.99252571173614901</v>
      </c>
      <c r="C1152">
        <v>0.96733950665719104</v>
      </c>
      <c r="D1152">
        <v>0.66138672625762196</v>
      </c>
      <c r="E1152">
        <v>0.37827902363031102</v>
      </c>
      <c r="F1152">
        <v>0.22624102813609001</v>
      </c>
      <c r="G1152">
        <v>0.12755444098952901</v>
      </c>
      <c r="H1152">
        <v>9.1778813125097405E-2</v>
      </c>
      <c r="I1152">
        <v>0.101738444727595</v>
      </c>
      <c r="J1152">
        <v>0.10644207399910099</v>
      </c>
      <c r="K1152">
        <v>9.5593200627316605E-2</v>
      </c>
      <c r="L1152">
        <v>964.71054467305203</v>
      </c>
      <c r="M1152">
        <v>20.272712830193999</v>
      </c>
      <c r="N1152">
        <v>48.111208593119997</v>
      </c>
      <c r="O1152">
        <v>47.130894222786402</v>
      </c>
      <c r="P1152">
        <v>-9.6874598308664295E-2</v>
      </c>
      <c r="Q1152">
        <v>9.9154797001008294E-2</v>
      </c>
      <c r="R1152">
        <v>0.99477260737571604</v>
      </c>
      <c r="S1152" t="s">
        <v>7798</v>
      </c>
      <c r="T1152" t="s">
        <v>13290</v>
      </c>
      <c r="U1152" t="s">
        <v>13290</v>
      </c>
      <c r="V1152" t="s">
        <v>13290</v>
      </c>
      <c r="W1152" t="s">
        <v>14417</v>
      </c>
      <c r="X1152">
        <v>3</v>
      </c>
      <c r="Y1152" t="s">
        <v>21000</v>
      </c>
      <c r="Z1152" t="s">
        <v>27482</v>
      </c>
      <c r="AA1152">
        <v>0.33952552640541872</v>
      </c>
      <c r="AB1152" t="str">
        <f>HYPERLINK("Melting_Curves/meltCurve_J3KQ98_PPP1R37.pdf", "Melting_Curves/meltCurve_J3KQ98_PPP1R37.pdf")</f>
        <v>Melting_Curves/meltCurve_J3KQ98_PPP1R37.pdf</v>
      </c>
    </row>
    <row r="1153" spans="1:28" x14ac:dyDescent="0.25">
      <c r="A1153" t="s">
        <v>1157</v>
      </c>
      <c r="B1153">
        <v>0.99252571173614901</v>
      </c>
      <c r="C1153">
        <v>0.82489271830204303</v>
      </c>
      <c r="D1153">
        <v>1.0714282068154799</v>
      </c>
      <c r="E1153">
        <v>1.0075628439641799</v>
      </c>
      <c r="F1153">
        <v>0.82459387218977598</v>
      </c>
      <c r="G1153">
        <v>0.54890360037608499</v>
      </c>
      <c r="H1153">
        <v>0.63791155726445103</v>
      </c>
      <c r="I1153">
        <v>0.359745091700443</v>
      </c>
      <c r="J1153">
        <v>8.3017705098681199E-2</v>
      </c>
      <c r="K1153">
        <v>8.8186907070874607E-2</v>
      </c>
      <c r="L1153">
        <v>810.94558477151804</v>
      </c>
      <c r="M1153">
        <v>13.4758238715586</v>
      </c>
      <c r="N1153">
        <v>60.177811336324403</v>
      </c>
      <c r="O1153">
        <v>58.898987796798799</v>
      </c>
      <c r="P1153">
        <v>-5.7207664421993203E-2</v>
      </c>
      <c r="Q1153">
        <v>0</v>
      </c>
      <c r="R1153">
        <v>0.91031781281686397</v>
      </c>
      <c r="S1153" t="s">
        <v>7799</v>
      </c>
      <c r="T1153" t="s">
        <v>13290</v>
      </c>
      <c r="U1153" t="s">
        <v>13290</v>
      </c>
      <c r="V1153" t="s">
        <v>13290</v>
      </c>
      <c r="W1153" t="s">
        <v>14418</v>
      </c>
      <c r="X1153">
        <v>3</v>
      </c>
      <c r="Y1153" t="s">
        <v>21001</v>
      </c>
      <c r="Z1153" t="s">
        <v>27483</v>
      </c>
      <c r="AA1153">
        <v>0.67684772295335449</v>
      </c>
      <c r="AB1153" t="str">
        <f>HYPERLINK("Melting_Curves/meltCurve_J3KQA0_SYT1.pdf", "Melting_Curves/meltCurve_J3KQA0_SYT1.pdf")</f>
        <v>Melting_Curves/meltCurve_J3KQA0_SYT1.pdf</v>
      </c>
    </row>
    <row r="1154" spans="1:28" x14ac:dyDescent="0.25">
      <c r="A1154" t="s">
        <v>1158</v>
      </c>
      <c r="B1154">
        <v>0.99252571173614901</v>
      </c>
      <c r="C1154">
        <v>0.95973314292891299</v>
      </c>
      <c r="D1154">
        <v>0.74379639849509505</v>
      </c>
      <c r="E1154">
        <v>0.42385371194351101</v>
      </c>
      <c r="F1154">
        <v>0.184159705118426</v>
      </c>
      <c r="G1154">
        <v>8.9980978672612594E-2</v>
      </c>
      <c r="H1154">
        <v>4.1752053053891902E-2</v>
      </c>
      <c r="I1154">
        <v>2.98813263961877E-2</v>
      </c>
      <c r="J1154">
        <v>3.4621438034992499E-2</v>
      </c>
      <c r="K1154">
        <v>2.5946839798025201E-2</v>
      </c>
      <c r="L1154">
        <v>947.15425132607197</v>
      </c>
      <c r="M1154">
        <v>19.474314172473999</v>
      </c>
      <c r="N1154">
        <v>48.7724220424859</v>
      </c>
      <c r="O1154">
        <v>48.131940144280797</v>
      </c>
      <c r="P1154">
        <v>-9.8474471723172599E-2</v>
      </c>
      <c r="Q1154">
        <v>2.6492794226450501E-2</v>
      </c>
      <c r="R1154">
        <v>0.99919243069882602</v>
      </c>
      <c r="S1154" t="s">
        <v>7800</v>
      </c>
      <c r="T1154" t="s">
        <v>13290</v>
      </c>
      <c r="U1154" t="s">
        <v>13290</v>
      </c>
      <c r="V1154" t="s">
        <v>13290</v>
      </c>
      <c r="W1154" t="s">
        <v>14419</v>
      </c>
      <c r="X1154">
        <v>1</v>
      </c>
      <c r="Y1154" t="s">
        <v>21002</v>
      </c>
      <c r="Z1154" t="s">
        <v>27484</v>
      </c>
      <c r="AA1154">
        <v>0.32119907740409243</v>
      </c>
      <c r="AB1154" t="str">
        <f>HYPERLINK("Melting_Curves/meltCurve_J3KQA6_CYTH2.pdf", "Melting_Curves/meltCurve_J3KQA6_CYTH2.pdf")</f>
        <v>Melting_Curves/meltCurve_J3KQA6_CYTH2.pdf</v>
      </c>
    </row>
    <row r="1155" spans="1:28" x14ac:dyDescent="0.25">
      <c r="A1155" t="s">
        <v>1159</v>
      </c>
      <c r="B1155">
        <v>0.99252571173614901</v>
      </c>
      <c r="C1155">
        <v>1.04922231174235</v>
      </c>
      <c r="D1155">
        <v>1.00811871617918</v>
      </c>
      <c r="E1155">
        <v>0.93397689364186198</v>
      </c>
      <c r="F1155">
        <v>0.74270487670344498</v>
      </c>
      <c r="G1155">
        <v>0.41698710113805898</v>
      </c>
      <c r="H1155">
        <v>0.20646923817542201</v>
      </c>
      <c r="I1155">
        <v>0.164375351861338</v>
      </c>
      <c r="J1155">
        <v>0.10782293483778201</v>
      </c>
      <c r="K1155">
        <v>9.4877552764605799E-2</v>
      </c>
      <c r="L1155">
        <v>1237.23314379926</v>
      </c>
      <c r="M1155">
        <v>22.354827201320798</v>
      </c>
      <c r="N1155">
        <v>55.894721924706701</v>
      </c>
      <c r="O1155">
        <v>54.908058214312099</v>
      </c>
      <c r="P1155">
        <v>-9.1744427116905503E-2</v>
      </c>
      <c r="Q1155">
        <v>9.8646037329145606E-2</v>
      </c>
      <c r="R1155">
        <v>0.99751856381271697</v>
      </c>
      <c r="S1155" t="s">
        <v>7801</v>
      </c>
      <c r="T1155" t="s">
        <v>13290</v>
      </c>
      <c r="U1155" t="s">
        <v>13290</v>
      </c>
      <c r="V1155" t="s">
        <v>13290</v>
      </c>
      <c r="W1155" t="s">
        <v>14420</v>
      </c>
      <c r="X1155">
        <v>19</v>
      </c>
      <c r="Y1155" t="s">
        <v>21003</v>
      </c>
      <c r="Z1155" t="s">
        <v>27485</v>
      </c>
      <c r="AA1155">
        <v>0.56972190047216764</v>
      </c>
      <c r="AB1155" t="str">
        <f>HYPERLINK("Melting_Curves/meltCurve_J3KQB0_THUMPD1.pdf", "Melting_Curves/meltCurve_J3KQB0_THUMPD1.pdf")</f>
        <v>Melting_Curves/meltCurve_J3KQB0_THUMPD1.pdf</v>
      </c>
    </row>
    <row r="1156" spans="1:28" x14ac:dyDescent="0.25">
      <c r="A1156" t="s">
        <v>1160</v>
      </c>
      <c r="B1156">
        <v>0.99252571173614901</v>
      </c>
      <c r="C1156">
        <v>0.92473797105423206</v>
      </c>
      <c r="D1156">
        <v>0.92899376045987503</v>
      </c>
      <c r="E1156">
        <v>0.70993210269374796</v>
      </c>
      <c r="F1156">
        <v>0.33146748904866402</v>
      </c>
      <c r="G1156">
        <v>0.205928804082393</v>
      </c>
      <c r="H1156">
        <v>0.17509742491988201</v>
      </c>
      <c r="I1156">
        <v>0.15741903781237401</v>
      </c>
      <c r="J1156">
        <v>0.15791807478829001</v>
      </c>
      <c r="K1156">
        <v>0.139677086122139</v>
      </c>
      <c r="L1156">
        <v>1283.6985107778</v>
      </c>
      <c r="M1156">
        <v>25.320169623620501</v>
      </c>
      <c r="N1156">
        <v>51.429627196309099</v>
      </c>
      <c r="O1156">
        <v>50.385585655348002</v>
      </c>
      <c r="P1156">
        <v>-0.106647970028538</v>
      </c>
      <c r="Q1156">
        <v>0.151119141873503</v>
      </c>
      <c r="R1156">
        <v>0.99543427145558405</v>
      </c>
      <c r="S1156" t="s">
        <v>7802</v>
      </c>
      <c r="T1156" t="s">
        <v>13290</v>
      </c>
      <c r="U1156" t="s">
        <v>13290</v>
      </c>
      <c r="V1156" t="s">
        <v>13290</v>
      </c>
      <c r="W1156" t="s">
        <v>14421</v>
      </c>
      <c r="X1156">
        <v>8</v>
      </c>
      <c r="Y1156" t="s">
        <v>21004</v>
      </c>
      <c r="Z1156" t="s">
        <v>27486</v>
      </c>
      <c r="AA1156">
        <v>0.46130175656941419</v>
      </c>
      <c r="AB1156" t="str">
        <f>HYPERLINK("Melting_Curves/meltCurve_J3KQE0_SUN2.pdf", "Melting_Curves/meltCurve_J3KQE0_SUN2.pdf")</f>
        <v>Melting_Curves/meltCurve_J3KQE0_SUN2.pdf</v>
      </c>
    </row>
    <row r="1157" spans="1:28" x14ac:dyDescent="0.25">
      <c r="A1157" t="s">
        <v>1161</v>
      </c>
      <c r="B1157">
        <v>0.99252571173614901</v>
      </c>
      <c r="C1157">
        <v>0.94873475314107603</v>
      </c>
      <c r="D1157">
        <v>0.861446480414368</v>
      </c>
      <c r="E1157">
        <v>0.75670639502676695</v>
      </c>
      <c r="F1157">
        <v>0.81890448677846595</v>
      </c>
      <c r="G1157">
        <v>0.617890081802286</v>
      </c>
      <c r="H1157">
        <v>0.23218278758355301</v>
      </c>
      <c r="I1157">
        <v>7.2364061988906103E-2</v>
      </c>
      <c r="J1157">
        <v>7.1302829553993197E-2</v>
      </c>
      <c r="K1157">
        <v>7.0795100667247299E-2</v>
      </c>
      <c r="L1157">
        <v>909.14391577125502</v>
      </c>
      <c r="M1157">
        <v>15.918849084996801</v>
      </c>
      <c r="N1157">
        <v>57.111158758916602</v>
      </c>
      <c r="O1157">
        <v>56.232694876593598</v>
      </c>
      <c r="P1157">
        <v>-7.0777875442116903E-2</v>
      </c>
      <c r="Q1157">
        <v>0</v>
      </c>
      <c r="R1157">
        <v>0.95349626793499398</v>
      </c>
      <c r="S1157" t="s">
        <v>7803</v>
      </c>
      <c r="T1157" t="s">
        <v>13290</v>
      </c>
      <c r="U1157" t="s">
        <v>13290</v>
      </c>
      <c r="V1157" t="s">
        <v>13290</v>
      </c>
      <c r="W1157" t="s">
        <v>14422</v>
      </c>
      <c r="X1157">
        <v>22</v>
      </c>
      <c r="Y1157" t="s">
        <v>21005</v>
      </c>
      <c r="Z1157" t="s">
        <v>27487</v>
      </c>
      <c r="AA1157">
        <v>0.5853992009643878</v>
      </c>
      <c r="AB1157" t="str">
        <f>HYPERLINK("Melting_Curves/meltCurve_J3KQE5_RAN.pdf", "Melting_Curves/meltCurve_J3KQE5_RAN.pdf")</f>
        <v>Melting_Curves/meltCurve_J3KQE5_RAN.pdf</v>
      </c>
    </row>
    <row r="1158" spans="1:28" x14ac:dyDescent="0.25">
      <c r="A1158" t="s">
        <v>1162</v>
      </c>
      <c r="B1158">
        <v>0.99252571173614901</v>
      </c>
      <c r="C1158">
        <v>0.92897307768517301</v>
      </c>
      <c r="D1158">
        <v>0.85660461927827503</v>
      </c>
      <c r="E1158">
        <v>0.76471835610567795</v>
      </c>
      <c r="F1158">
        <v>0.67578522086923898</v>
      </c>
      <c r="G1158">
        <v>0.52247357732178301</v>
      </c>
      <c r="H1158">
        <v>0.36600731008304899</v>
      </c>
      <c r="I1158">
        <v>0.15365178152679301</v>
      </c>
      <c r="J1158">
        <v>0.17742176613670099</v>
      </c>
      <c r="K1158">
        <v>0.15552358203160799</v>
      </c>
      <c r="L1158">
        <v>536.83255603862494</v>
      </c>
      <c r="M1158">
        <v>9.5097791570503194</v>
      </c>
      <c r="N1158">
        <v>56.4506018959542</v>
      </c>
      <c r="O1158">
        <v>54.123488497430799</v>
      </c>
      <c r="P1158">
        <v>-4.3952188044653402E-2</v>
      </c>
      <c r="Q1158">
        <v>0</v>
      </c>
      <c r="R1158">
        <v>0.98455796318567101</v>
      </c>
      <c r="S1158" t="s">
        <v>7804</v>
      </c>
      <c r="T1158" t="s">
        <v>13290</v>
      </c>
      <c r="U1158" t="s">
        <v>13290</v>
      </c>
      <c r="V1158" t="s">
        <v>13290</v>
      </c>
      <c r="W1158" t="s">
        <v>14423</v>
      </c>
      <c r="X1158">
        <v>12</v>
      </c>
      <c r="Y1158" t="s">
        <v>21006</v>
      </c>
      <c r="Z1158" t="s">
        <v>27488</v>
      </c>
      <c r="AA1158">
        <v>0.56681618866127104</v>
      </c>
      <c r="AB1158" t="str">
        <f>HYPERLINK("Melting_Curves/meltCurve_J3KQG4_GBA.pdf", "Melting_Curves/meltCurve_J3KQG4_GBA.pdf")</f>
        <v>Melting_Curves/meltCurve_J3KQG4_GBA.pdf</v>
      </c>
    </row>
    <row r="1159" spans="1:28" x14ac:dyDescent="0.25">
      <c r="A1159" t="s">
        <v>1163</v>
      </c>
      <c r="B1159">
        <v>0.99252571173614901</v>
      </c>
      <c r="C1159">
        <v>1.05746256963549</v>
      </c>
      <c r="D1159">
        <v>0.92274673536698903</v>
      </c>
      <c r="E1159">
        <v>0.74941003382639004</v>
      </c>
      <c r="F1159">
        <v>0.32999819675348901</v>
      </c>
      <c r="G1159">
        <v>0.201193251637411</v>
      </c>
      <c r="H1159">
        <v>0.15671952556279001</v>
      </c>
      <c r="I1159">
        <v>0.17005354701507</v>
      </c>
      <c r="J1159">
        <v>0.23013352178889801</v>
      </c>
      <c r="K1159">
        <v>0.20016788173955999</v>
      </c>
      <c r="L1159">
        <v>1645.7029789471201</v>
      </c>
      <c r="M1159">
        <v>32.4339356112662</v>
      </c>
      <c r="N1159">
        <v>51.475997557365197</v>
      </c>
      <c r="O1159">
        <v>50.548434876472697</v>
      </c>
      <c r="P1159">
        <v>-0.13065451400115999</v>
      </c>
      <c r="Q1159">
        <v>0.18550129140917801</v>
      </c>
      <c r="R1159">
        <v>0.99247701916539599</v>
      </c>
      <c r="S1159" t="s">
        <v>7805</v>
      </c>
      <c r="T1159" t="s">
        <v>13290</v>
      </c>
      <c r="U1159" t="s">
        <v>13290</v>
      </c>
      <c r="V1159" t="s">
        <v>13290</v>
      </c>
      <c r="W1159" t="s">
        <v>14424</v>
      </c>
      <c r="X1159">
        <v>10</v>
      </c>
      <c r="Y1159" t="s">
        <v>21007</v>
      </c>
      <c r="Z1159" t="s">
        <v>27489</v>
      </c>
      <c r="AA1159">
        <v>0.4814550349151876</v>
      </c>
      <c r="AB1159" t="str">
        <f>HYPERLINK("Melting_Curves/meltCurve_J3KQJ1_SUMF2.pdf", "Melting_Curves/meltCurve_J3KQJ1_SUMF2.pdf")</f>
        <v>Melting_Curves/meltCurve_J3KQJ1_SUMF2.pdf</v>
      </c>
    </row>
    <row r="1160" spans="1:28" x14ac:dyDescent="0.25">
      <c r="A1160" t="s">
        <v>1164</v>
      </c>
      <c r="B1160">
        <v>0.99252571173614901</v>
      </c>
      <c r="C1160">
        <v>0.96515847875462701</v>
      </c>
      <c r="D1160">
        <v>0.73749627500672399</v>
      </c>
      <c r="E1160">
        <v>0.55736208254163</v>
      </c>
      <c r="F1160">
        <v>0.28406378586236097</v>
      </c>
      <c r="G1160">
        <v>0.173218957765471</v>
      </c>
      <c r="H1160">
        <v>0.13549094694702499</v>
      </c>
      <c r="I1160">
        <v>0.18009272694067699</v>
      </c>
      <c r="J1160">
        <v>0.241372660909736</v>
      </c>
      <c r="K1160">
        <v>0.22023888977324199</v>
      </c>
      <c r="L1160">
        <v>961.38317992200302</v>
      </c>
      <c r="M1160">
        <v>19.825766545426902</v>
      </c>
      <c r="N1160">
        <v>49.598684552010702</v>
      </c>
      <c r="O1160">
        <v>48.006332657136497</v>
      </c>
      <c r="P1160">
        <v>-8.4788686417464898E-2</v>
      </c>
      <c r="Q1160">
        <v>0.178794540725703</v>
      </c>
      <c r="R1160">
        <v>0.98271351674402896</v>
      </c>
      <c r="S1160" t="s">
        <v>7806</v>
      </c>
      <c r="T1160" t="s">
        <v>13290</v>
      </c>
      <c r="U1160" t="s">
        <v>13290</v>
      </c>
      <c r="V1160" t="s">
        <v>13290</v>
      </c>
      <c r="W1160" t="s">
        <v>14425</v>
      </c>
      <c r="X1160">
        <v>4</v>
      </c>
      <c r="Y1160" t="s">
        <v>21008</v>
      </c>
      <c r="Z1160" t="s">
        <v>27490</v>
      </c>
      <c r="AA1160">
        <v>0.42302318582996729</v>
      </c>
      <c r="AB1160" t="str">
        <f>HYPERLINK("Melting_Curves/meltCurve_J3KQL8_APOL2.pdf", "Melting_Curves/meltCurve_J3KQL8_APOL2.pdf")</f>
        <v>Melting_Curves/meltCurve_J3KQL8_APOL2.pdf</v>
      </c>
    </row>
    <row r="1161" spans="1:28" x14ac:dyDescent="0.25">
      <c r="A1161" t="s">
        <v>1165</v>
      </c>
      <c r="B1161">
        <v>0.99252571173614901</v>
      </c>
      <c r="C1161">
        <v>0.93545795842826995</v>
      </c>
      <c r="D1161">
        <v>1.06022323522039</v>
      </c>
      <c r="E1161">
        <v>1.06767384632778</v>
      </c>
      <c r="F1161">
        <v>0.87058708963970899</v>
      </c>
      <c r="G1161">
        <v>0.77852528920632402</v>
      </c>
      <c r="H1161">
        <v>0.67370968509510598</v>
      </c>
      <c r="I1161">
        <v>0.39539015239331998</v>
      </c>
      <c r="J1161">
        <v>0.29677390808958498</v>
      </c>
      <c r="K1161">
        <v>0.24545957108625999</v>
      </c>
      <c r="L1161">
        <v>926.69856241752302</v>
      </c>
      <c r="M1161">
        <v>14.9845305713289</v>
      </c>
      <c r="N1161">
        <v>62.727671974390397</v>
      </c>
      <c r="O1161">
        <v>60.773620769771803</v>
      </c>
      <c r="P1161">
        <v>-5.5779390850315802E-2</v>
      </c>
      <c r="Q1161">
        <v>9.5181380166509094E-2</v>
      </c>
      <c r="R1161">
        <v>0.96948580809060403</v>
      </c>
      <c r="S1161" t="s">
        <v>7807</v>
      </c>
      <c r="T1161" t="s">
        <v>13290</v>
      </c>
      <c r="U1161" t="s">
        <v>13290</v>
      </c>
      <c r="V1161" t="s">
        <v>13290</v>
      </c>
      <c r="W1161" t="s">
        <v>14426</v>
      </c>
      <c r="X1161">
        <v>10</v>
      </c>
      <c r="Y1161" t="s">
        <v>21009</v>
      </c>
      <c r="Z1161" t="s">
        <v>27491</v>
      </c>
      <c r="AA1161">
        <v>0.7522339658747631</v>
      </c>
      <c r="AB1161" t="str">
        <f>HYPERLINK("Melting_Curves/meltCurve_J3KQS6_BABAM1.pdf", "Melting_Curves/meltCurve_J3KQS6_BABAM1.pdf")</f>
        <v>Melting_Curves/meltCurve_J3KQS6_BABAM1.pdf</v>
      </c>
    </row>
    <row r="1162" spans="1:28" x14ac:dyDescent="0.25">
      <c r="A1162" t="s">
        <v>1166</v>
      </c>
      <c r="B1162">
        <v>0.99252571173614901</v>
      </c>
      <c r="C1162">
        <v>0.95449821420974901</v>
      </c>
      <c r="D1162">
        <v>0.955081831304604</v>
      </c>
      <c r="E1162">
        <v>0.86133330245806505</v>
      </c>
      <c r="F1162">
        <v>0.55739579821851104</v>
      </c>
      <c r="G1162">
        <v>0.40949770678676101</v>
      </c>
      <c r="H1162">
        <v>0.47431803941025202</v>
      </c>
      <c r="I1162">
        <v>0.423288328083683</v>
      </c>
      <c r="J1162">
        <v>0.39048217683467101</v>
      </c>
      <c r="K1162">
        <v>0.490435567558617</v>
      </c>
      <c r="L1162">
        <v>1790.1126743924499</v>
      </c>
      <c r="M1162">
        <v>35.004217932753001</v>
      </c>
      <c r="N1162">
        <v>54.305265791440299</v>
      </c>
      <c r="O1162">
        <v>50.973870627180098</v>
      </c>
      <c r="P1162">
        <v>-9.6996775027556006E-2</v>
      </c>
      <c r="Q1162">
        <v>0.43500712134071801</v>
      </c>
      <c r="R1162">
        <v>0.98023900288069599</v>
      </c>
      <c r="S1162" t="s">
        <v>7808</v>
      </c>
      <c r="T1162" t="s">
        <v>13290</v>
      </c>
      <c r="U1162" t="s">
        <v>13290</v>
      </c>
      <c r="V1162" t="s">
        <v>13290</v>
      </c>
      <c r="W1162" t="s">
        <v>14427</v>
      </c>
      <c r="X1162">
        <v>2</v>
      </c>
      <c r="Y1162" t="s">
        <v>21010</v>
      </c>
      <c r="Z1162" t="s">
        <v>27492</v>
      </c>
      <c r="AA1162">
        <v>0.64741850641596055</v>
      </c>
      <c r="AB1162" t="str">
        <f>HYPERLINK("Melting_Curves/meltCurve_J3KQV0_CDKN1A.pdf", "Melting_Curves/meltCurve_J3KQV0_CDKN1A.pdf")</f>
        <v>Melting_Curves/meltCurve_J3KQV0_CDKN1A.pdf</v>
      </c>
    </row>
    <row r="1163" spans="1:28" x14ac:dyDescent="0.25">
      <c r="A1163" t="s">
        <v>1167</v>
      </c>
      <c r="B1163">
        <v>0.99252571173614901</v>
      </c>
      <c r="C1163">
        <v>1.0725828009498699</v>
      </c>
      <c r="D1163">
        <v>0.96659223980068998</v>
      </c>
      <c r="E1163">
        <v>1.1694147491853599</v>
      </c>
      <c r="F1163">
        <v>0.70516139597635996</v>
      </c>
      <c r="G1163">
        <v>0.454302567220918</v>
      </c>
      <c r="H1163">
        <v>0.391524825853654</v>
      </c>
      <c r="I1163">
        <v>0.418201042809557</v>
      </c>
      <c r="J1163">
        <v>0.60774274398300199</v>
      </c>
      <c r="K1163">
        <v>0.65265246602745097</v>
      </c>
      <c r="L1163">
        <v>13279.4260518466</v>
      </c>
      <c r="M1163">
        <v>250</v>
      </c>
      <c r="O1163">
        <v>53.114309997296601</v>
      </c>
      <c r="P1163">
        <v>-0.58260585088975203</v>
      </c>
      <c r="Q1163">
        <v>0.504884722521454</v>
      </c>
      <c r="R1163">
        <v>0.87821971776390695</v>
      </c>
      <c r="S1163" t="s">
        <v>7809</v>
      </c>
      <c r="T1163" t="s">
        <v>13290</v>
      </c>
      <c r="U1163" t="s">
        <v>13290</v>
      </c>
      <c r="V1163" t="s">
        <v>13290</v>
      </c>
      <c r="W1163" t="s">
        <v>14428</v>
      </c>
      <c r="X1163">
        <v>2</v>
      </c>
      <c r="Y1163" t="s">
        <v>21011</v>
      </c>
      <c r="Z1163" t="s">
        <v>27493</v>
      </c>
      <c r="AA1163">
        <v>0.72142340282013395</v>
      </c>
      <c r="AB1163" t="str">
        <f>HYPERLINK("Melting_Curves/meltCurve_J3KR33_MED19.pdf", "Melting_Curves/meltCurve_J3KR33_MED19.pdf")</f>
        <v>Melting_Curves/meltCurve_J3KR33_MED19.pdf</v>
      </c>
    </row>
    <row r="1164" spans="1:28" x14ac:dyDescent="0.25">
      <c r="A1164" t="s">
        <v>1168</v>
      </c>
      <c r="B1164">
        <v>0.99252571173614901</v>
      </c>
      <c r="C1164">
        <v>1.0231290386804901</v>
      </c>
      <c r="D1164">
        <v>0.86540888994286902</v>
      </c>
      <c r="E1164">
        <v>1.0571232187114501</v>
      </c>
      <c r="F1164">
        <v>1.1744648769539101</v>
      </c>
      <c r="G1164">
        <v>1.2141850197994699</v>
      </c>
      <c r="H1164">
        <v>1.36357105642506</v>
      </c>
      <c r="I1164">
        <v>1.93332952411104</v>
      </c>
      <c r="J1164">
        <v>3.0626742943682501</v>
      </c>
      <c r="K1164">
        <v>3.1959063840905899</v>
      </c>
      <c r="L1164">
        <v>2394.65798152056</v>
      </c>
      <c r="M1164">
        <v>42.145037004273298</v>
      </c>
      <c r="O1164">
        <v>56.691975632885999</v>
      </c>
      <c r="P1164">
        <v>9.2925647590292704E-2</v>
      </c>
      <c r="Q1164">
        <v>1.5</v>
      </c>
      <c r="R1164">
        <v>0.17105875949212199</v>
      </c>
      <c r="S1164" t="s">
        <v>7810</v>
      </c>
      <c r="T1164" t="s">
        <v>13290</v>
      </c>
      <c r="U1164" t="s">
        <v>13290</v>
      </c>
      <c r="V1164" t="s">
        <v>13290</v>
      </c>
      <c r="W1164" t="s">
        <v>14429</v>
      </c>
      <c r="X1164">
        <v>10</v>
      </c>
      <c r="Y1164" t="s">
        <v>21012</v>
      </c>
      <c r="Z1164" t="s">
        <v>27494</v>
      </c>
      <c r="AA1164">
        <v>1.2179208536188131</v>
      </c>
      <c r="AB1164" t="str">
        <f>HYPERLINK("Melting_Curves/meltCurve_J3KR35_CCDC12.pdf", "Melting_Curves/meltCurve_J3KR35_CCDC12.pdf")</f>
        <v>Melting_Curves/meltCurve_J3KR35_CCDC12.pdf</v>
      </c>
    </row>
    <row r="1165" spans="1:28" x14ac:dyDescent="0.25">
      <c r="A1165" t="s">
        <v>1169</v>
      </c>
      <c r="B1165">
        <v>0.99252571173614901</v>
      </c>
      <c r="C1165">
        <v>0.97387502030731399</v>
      </c>
      <c r="D1165">
        <v>1.14131808915297</v>
      </c>
      <c r="E1165">
        <v>1.1852535457170501</v>
      </c>
      <c r="F1165">
        <v>1.12650726158697</v>
      </c>
      <c r="G1165">
        <v>0.96197092564261499</v>
      </c>
      <c r="H1165">
        <v>0.75880618127692701</v>
      </c>
      <c r="I1165">
        <v>0.48238935021214002</v>
      </c>
      <c r="J1165">
        <v>0.33205186287891097</v>
      </c>
      <c r="K1165">
        <v>0.221629006931582</v>
      </c>
      <c r="L1165">
        <v>1821.8654317304899</v>
      </c>
      <c r="M1165">
        <v>29.071053532901999</v>
      </c>
      <c r="N1165">
        <v>63.824429525661202</v>
      </c>
      <c r="O1165">
        <v>62.375101460036397</v>
      </c>
      <c r="P1165">
        <v>-9.2684659904492303E-2</v>
      </c>
      <c r="Q1165">
        <v>0.20454587284624501</v>
      </c>
      <c r="R1165">
        <v>0.93428256124301001</v>
      </c>
      <c r="S1165" t="s">
        <v>7811</v>
      </c>
      <c r="T1165" t="s">
        <v>13290</v>
      </c>
      <c r="U1165" t="s">
        <v>13290</v>
      </c>
      <c r="V1165" t="s">
        <v>13290</v>
      </c>
      <c r="W1165" t="s">
        <v>14430</v>
      </c>
      <c r="X1165">
        <v>1</v>
      </c>
      <c r="Y1165" t="s">
        <v>21013</v>
      </c>
      <c r="Z1165" t="s">
        <v>27495</v>
      </c>
      <c r="AA1165">
        <v>0.80859505492846462</v>
      </c>
      <c r="AB1165" t="str">
        <f>HYPERLINK("Melting_Curves/meltCurve_J3KR86_GRAMD1A.pdf", "Melting_Curves/meltCurve_J3KR86_GRAMD1A.pdf")</f>
        <v>Melting_Curves/meltCurve_J3KR86_GRAMD1A.pdf</v>
      </c>
    </row>
    <row r="1166" spans="1:28" x14ac:dyDescent="0.25">
      <c r="A1166" t="s">
        <v>1170</v>
      </c>
      <c r="B1166">
        <v>0.99252571173614901</v>
      </c>
      <c r="C1166">
        <v>0.908656862749045</v>
      </c>
      <c r="D1166">
        <v>0.87285404988256599</v>
      </c>
      <c r="E1166">
        <v>0.44870032540281002</v>
      </c>
      <c r="F1166">
        <v>0.140246762679368</v>
      </c>
      <c r="G1166">
        <v>7.7985517537858498E-2</v>
      </c>
      <c r="H1166">
        <v>5.0926344729230397E-2</v>
      </c>
      <c r="I1166">
        <v>5.4100816861606803E-2</v>
      </c>
      <c r="J1166">
        <v>6.6467457252018303E-2</v>
      </c>
      <c r="K1166">
        <v>6.4787412509040104E-2</v>
      </c>
      <c r="L1166">
        <v>1320.23103867596</v>
      </c>
      <c r="M1166">
        <v>26.969814970952399</v>
      </c>
      <c r="N1166">
        <v>49.165078515264703</v>
      </c>
      <c r="O1166">
        <v>48.6854264867018</v>
      </c>
      <c r="P1166">
        <v>-0.130858768995256</v>
      </c>
      <c r="Q1166">
        <v>5.5114035237674802E-2</v>
      </c>
      <c r="R1166">
        <v>0.99607339701998598</v>
      </c>
      <c r="S1166" t="s">
        <v>7812</v>
      </c>
      <c r="T1166" t="s">
        <v>13290</v>
      </c>
      <c r="U1166" t="s">
        <v>13290</v>
      </c>
      <c r="V1166" t="s">
        <v>13290</v>
      </c>
      <c r="W1166" t="s">
        <v>14431</v>
      </c>
      <c r="X1166">
        <v>22</v>
      </c>
      <c r="Y1166" t="s">
        <v>21014</v>
      </c>
      <c r="Z1166" t="s">
        <v>27496</v>
      </c>
      <c r="AA1166">
        <v>0.3442320865806302</v>
      </c>
      <c r="AB1166" t="str">
        <f>HYPERLINK("Melting_Curves/meltCurve_J3KR97_TBCD.pdf", "Melting_Curves/meltCurve_J3KR97_TBCD.pdf")</f>
        <v>Melting_Curves/meltCurve_J3KR97_TBCD.pdf</v>
      </c>
    </row>
    <row r="1167" spans="1:28" x14ac:dyDescent="0.25">
      <c r="A1167" t="s">
        <v>1171</v>
      </c>
      <c r="B1167">
        <v>0.99252571173614901</v>
      </c>
      <c r="C1167">
        <v>1.07415413031916</v>
      </c>
      <c r="D1167">
        <v>1.03324798934545</v>
      </c>
      <c r="E1167">
        <v>1.1867158451530599</v>
      </c>
      <c r="F1167">
        <v>0.84489075103323996</v>
      </c>
      <c r="G1167">
        <v>0.70836048235134597</v>
      </c>
      <c r="H1167">
        <v>0.78104169478182905</v>
      </c>
      <c r="I1167">
        <v>1.0860692055549399</v>
      </c>
      <c r="J1167">
        <v>1.79140050618109</v>
      </c>
      <c r="K1167">
        <v>1.7010500660146901</v>
      </c>
      <c r="L1167">
        <v>15000</v>
      </c>
      <c r="M1167">
        <v>232.807156273061</v>
      </c>
      <c r="O1167">
        <v>64.426249763269894</v>
      </c>
      <c r="P1167">
        <v>0.45169309924601903</v>
      </c>
      <c r="Q1167">
        <v>1.5</v>
      </c>
      <c r="R1167">
        <v>0.72545060496677505</v>
      </c>
      <c r="S1167" t="s">
        <v>7813</v>
      </c>
      <c r="T1167" t="s">
        <v>13290</v>
      </c>
      <c r="U1167" t="s">
        <v>13290</v>
      </c>
      <c r="V1167" t="s">
        <v>13290</v>
      </c>
      <c r="W1167" t="s">
        <v>14432</v>
      </c>
      <c r="X1167">
        <v>1</v>
      </c>
      <c r="Y1167" t="s">
        <v>21015</v>
      </c>
      <c r="Z1167" t="s">
        <v>27497</v>
      </c>
      <c r="AA1167">
        <v>1.0927513164597571</v>
      </c>
      <c r="AB1167" t="str">
        <f>HYPERLINK("Melting_Curves/meltCurve_J3KRC8_C16orf55.pdf", "Melting_Curves/meltCurve_J3KRC8_C16orf55.pdf")</f>
        <v>Melting_Curves/meltCurve_J3KRC8_C16orf55.pdf</v>
      </c>
    </row>
    <row r="1168" spans="1:28" x14ac:dyDescent="0.25">
      <c r="A1168" t="s">
        <v>1172</v>
      </c>
      <c r="B1168">
        <v>0.99252571173614901</v>
      </c>
      <c r="C1168">
        <v>1.01277065767747</v>
      </c>
      <c r="D1168">
        <v>0.93556501112901602</v>
      </c>
      <c r="E1168">
        <v>0.741586851436422</v>
      </c>
      <c r="F1168">
        <v>0.64803718871327798</v>
      </c>
      <c r="G1168">
        <v>0.22210137615056</v>
      </c>
      <c r="H1168">
        <v>0.16696352996487601</v>
      </c>
      <c r="I1168">
        <v>0.143508272079096</v>
      </c>
      <c r="J1168">
        <v>0.20101925148803301</v>
      </c>
      <c r="K1168">
        <v>0.13034594512998099</v>
      </c>
      <c r="L1168">
        <v>1029.0359797771</v>
      </c>
      <c r="M1168">
        <v>19.4581407834415</v>
      </c>
      <c r="N1168">
        <v>53.684984770996898</v>
      </c>
      <c r="O1168">
        <v>52.335533561954598</v>
      </c>
      <c r="P1168">
        <v>-8.1249215386058504E-2</v>
      </c>
      <c r="Q1168">
        <v>0.125904853793325</v>
      </c>
      <c r="R1168">
        <v>0.97750846799592706</v>
      </c>
      <c r="S1168" t="s">
        <v>7814</v>
      </c>
      <c r="T1168" t="s">
        <v>13290</v>
      </c>
      <c r="U1168" t="s">
        <v>13290</v>
      </c>
      <c r="V1168" t="s">
        <v>13290</v>
      </c>
      <c r="W1168" t="s">
        <v>14433</v>
      </c>
      <c r="X1168">
        <v>1</v>
      </c>
      <c r="Y1168" t="s">
        <v>21016</v>
      </c>
      <c r="Z1168" t="s">
        <v>27498</v>
      </c>
      <c r="AA1168">
        <v>0.51392733973854821</v>
      </c>
      <c r="AB1168" t="str">
        <f>HYPERLINK("Melting_Curves/meltCurve_J3KRG2_GSDMA.pdf", "Melting_Curves/meltCurve_J3KRG2_GSDMA.pdf")</f>
        <v>Melting_Curves/meltCurve_J3KRG2_GSDMA.pdf</v>
      </c>
    </row>
    <row r="1169" spans="1:28" x14ac:dyDescent="0.25">
      <c r="A1169" t="s">
        <v>1173</v>
      </c>
      <c r="B1169">
        <v>0.99252571173614901</v>
      </c>
      <c r="C1169">
        <v>0.98677447942452301</v>
      </c>
      <c r="D1169">
        <v>0.82262783473579804</v>
      </c>
      <c r="E1169">
        <v>0.619214341861266</v>
      </c>
      <c r="F1169">
        <v>0.46336195260648899</v>
      </c>
      <c r="G1169">
        <v>0.34252092779439203</v>
      </c>
      <c r="H1169">
        <v>0.29591972177964299</v>
      </c>
      <c r="I1169">
        <v>0.36733512996183598</v>
      </c>
      <c r="J1169">
        <v>0.52917447501709503</v>
      </c>
      <c r="K1169">
        <v>0.72069980222192398</v>
      </c>
      <c r="L1169">
        <v>1314.6643503067701</v>
      </c>
      <c r="M1169">
        <v>27.643438801881501</v>
      </c>
      <c r="N1169">
        <v>51.922272658515197</v>
      </c>
      <c r="O1169">
        <v>47.311124309850399</v>
      </c>
      <c r="P1169">
        <v>-8.0188972249067805E-2</v>
      </c>
      <c r="Q1169">
        <v>0.451038455805157</v>
      </c>
      <c r="R1169">
        <v>0.791637492878286</v>
      </c>
      <c r="S1169" t="s">
        <v>7815</v>
      </c>
      <c r="T1169" t="s">
        <v>13290</v>
      </c>
      <c r="U1169" t="s">
        <v>13290</v>
      </c>
      <c r="V1169" t="s">
        <v>13290</v>
      </c>
      <c r="W1169" t="s">
        <v>14434</v>
      </c>
      <c r="X1169">
        <v>2</v>
      </c>
      <c r="Y1169" t="s">
        <v>21017</v>
      </c>
      <c r="Z1169" t="s">
        <v>27499</v>
      </c>
      <c r="AA1169">
        <v>0.59325811100712544</v>
      </c>
      <c r="AB1169" t="str">
        <f>HYPERLINK("Melting_Curves/meltCurve_J3KRP6_SS18.pdf", "Melting_Curves/meltCurve_J3KRP6_SS18.pdf")</f>
        <v>Melting_Curves/meltCurve_J3KRP6_SS18.pdf</v>
      </c>
    </row>
    <row r="1170" spans="1:28" x14ac:dyDescent="0.25">
      <c r="A1170" t="s">
        <v>1174</v>
      </c>
      <c r="B1170">
        <v>0.99252571173614901</v>
      </c>
      <c r="C1170">
        <v>1.0506888055063901</v>
      </c>
      <c r="D1170">
        <v>0.90384777701528196</v>
      </c>
      <c r="E1170">
        <v>0.80760467457638596</v>
      </c>
      <c r="F1170">
        <v>0.53988940763635795</v>
      </c>
      <c r="G1170">
        <v>0.283494785888809</v>
      </c>
      <c r="H1170">
        <v>0.21665548414553501</v>
      </c>
      <c r="I1170">
        <v>0.26504831121252398</v>
      </c>
      <c r="J1170">
        <v>0.34539273510210999</v>
      </c>
      <c r="K1170">
        <v>0.383370606672369</v>
      </c>
      <c r="L1170">
        <v>1393.72493178175</v>
      </c>
      <c r="M1170">
        <v>27.080062153954199</v>
      </c>
      <c r="N1170">
        <v>53.183912676734401</v>
      </c>
      <c r="O1170">
        <v>51.188616736978801</v>
      </c>
      <c r="P1170">
        <v>-9.3714809074201502E-2</v>
      </c>
      <c r="Q1170">
        <v>0.29142182058959099</v>
      </c>
      <c r="R1170">
        <v>0.96643281271897896</v>
      </c>
      <c r="S1170" t="s">
        <v>7816</v>
      </c>
      <c r="T1170" t="s">
        <v>13290</v>
      </c>
      <c r="U1170" t="s">
        <v>13290</v>
      </c>
      <c r="V1170" t="s">
        <v>13290</v>
      </c>
      <c r="W1170" t="s">
        <v>14435</v>
      </c>
      <c r="X1170">
        <v>7</v>
      </c>
      <c r="Y1170" t="s">
        <v>21018</v>
      </c>
      <c r="Z1170" t="s">
        <v>27500</v>
      </c>
      <c r="AA1170">
        <v>0.56776036003717423</v>
      </c>
      <c r="AB1170" t="str">
        <f>HYPERLINK("Melting_Curves/meltCurve_J3KS05_CBX1.pdf", "Melting_Curves/meltCurve_J3KS05_CBX1.pdf")</f>
        <v>Melting_Curves/meltCurve_J3KS05_CBX1.pdf</v>
      </c>
    </row>
    <row r="1171" spans="1:28" x14ac:dyDescent="0.25">
      <c r="A1171" t="s">
        <v>1175</v>
      </c>
      <c r="B1171">
        <v>0.99252571173614901</v>
      </c>
      <c r="C1171">
        <v>1.1648871776441501</v>
      </c>
      <c r="D1171">
        <v>0.81158349915384398</v>
      </c>
      <c r="E1171">
        <v>0.53794822657669605</v>
      </c>
      <c r="F1171">
        <v>0.29938661353594798</v>
      </c>
      <c r="G1171">
        <v>0.170473723493763</v>
      </c>
      <c r="H1171">
        <v>0.13386034601185601</v>
      </c>
      <c r="I1171">
        <v>0.134598058448227</v>
      </c>
      <c r="J1171">
        <v>0.213021255569498</v>
      </c>
      <c r="K1171">
        <v>0.27154636618142503</v>
      </c>
      <c r="L1171">
        <v>1294.6226630291901</v>
      </c>
      <c r="M1171">
        <v>26.427797491882401</v>
      </c>
      <c r="N1171">
        <v>49.853513122802802</v>
      </c>
      <c r="O1171">
        <v>48.709260559794402</v>
      </c>
      <c r="P1171">
        <v>-0.110666787571018</v>
      </c>
      <c r="Q1171">
        <v>0.18412603025680899</v>
      </c>
      <c r="R1171">
        <v>0.95937863831380299</v>
      </c>
      <c r="S1171" t="s">
        <v>7817</v>
      </c>
      <c r="T1171" t="s">
        <v>13290</v>
      </c>
      <c r="U1171" t="s">
        <v>13290</v>
      </c>
      <c r="V1171" t="s">
        <v>13290</v>
      </c>
      <c r="W1171" t="s">
        <v>14436</v>
      </c>
      <c r="X1171">
        <v>3</v>
      </c>
      <c r="Y1171" t="s">
        <v>21019</v>
      </c>
      <c r="Z1171" t="s">
        <v>27501</v>
      </c>
      <c r="AA1171">
        <v>0.43498633051377728</v>
      </c>
      <c r="AB1171" t="str">
        <f>HYPERLINK("Melting_Curves/meltCurve_J3KS15_ICT1.pdf", "Melting_Curves/meltCurve_J3KS15_ICT1.pdf")</f>
        <v>Melting_Curves/meltCurve_J3KS15_ICT1.pdf</v>
      </c>
    </row>
    <row r="1172" spans="1:28" x14ac:dyDescent="0.25">
      <c r="A1172" t="s">
        <v>1176</v>
      </c>
      <c r="B1172">
        <v>0.99252571173614901</v>
      </c>
      <c r="C1172">
        <v>1.0964533449718299</v>
      </c>
      <c r="D1172">
        <v>1.0069733737081099</v>
      </c>
      <c r="E1172">
        <v>1.20609355099764</v>
      </c>
      <c r="F1172">
        <v>0.83847434853416802</v>
      </c>
      <c r="G1172">
        <v>0.59651139779981799</v>
      </c>
      <c r="H1172">
        <v>0.70904926685300795</v>
      </c>
      <c r="I1172">
        <v>1.11833918033361</v>
      </c>
      <c r="J1172">
        <v>1.7473307508579901</v>
      </c>
      <c r="K1172">
        <v>1.6524050462630699</v>
      </c>
      <c r="L1172">
        <v>15000</v>
      </c>
      <c r="M1172">
        <v>233.204966264474</v>
      </c>
      <c r="O1172">
        <v>64.3163697211818</v>
      </c>
      <c r="P1172">
        <v>0.45323796826956803</v>
      </c>
      <c r="Q1172">
        <v>1.5</v>
      </c>
      <c r="R1172">
        <v>0.66695802190009501</v>
      </c>
      <c r="S1172" t="s">
        <v>7818</v>
      </c>
      <c r="T1172" t="s">
        <v>13290</v>
      </c>
      <c r="U1172" t="s">
        <v>13290</v>
      </c>
      <c r="V1172" t="s">
        <v>13290</v>
      </c>
      <c r="W1172" t="s">
        <v>14437</v>
      </c>
      <c r="X1172">
        <v>4</v>
      </c>
      <c r="Y1172" t="s">
        <v>21020</v>
      </c>
      <c r="Z1172" t="s">
        <v>27502</v>
      </c>
      <c r="AA1172">
        <v>1.0945834644339441</v>
      </c>
      <c r="AB1172" t="str">
        <f>HYPERLINK("Melting_Curves/meltCurve_J3KS94_MBP.pdf", "Melting_Curves/meltCurve_J3KS94_MBP.pdf")</f>
        <v>Melting_Curves/meltCurve_J3KS94_MBP.pdf</v>
      </c>
    </row>
    <row r="1173" spans="1:28" x14ac:dyDescent="0.25">
      <c r="A1173" t="s">
        <v>1177</v>
      </c>
      <c r="B1173">
        <v>0.99252571173614901</v>
      </c>
      <c r="C1173">
        <v>0.89626559724803201</v>
      </c>
      <c r="D1173">
        <v>0.61436518417229302</v>
      </c>
      <c r="E1173">
        <v>0.50192785530523498</v>
      </c>
      <c r="F1173">
        <v>0.307794182158112</v>
      </c>
      <c r="G1173">
        <v>0.11798355033808899</v>
      </c>
      <c r="H1173">
        <v>0.129002648742958</v>
      </c>
      <c r="I1173">
        <v>0.25647638115509602</v>
      </c>
      <c r="J1173">
        <v>0.38475200039955698</v>
      </c>
      <c r="K1173">
        <v>0.23978826915278501</v>
      </c>
      <c r="L1173">
        <v>889.00725904445699</v>
      </c>
      <c r="M1173">
        <v>19.024849982924199</v>
      </c>
      <c r="N1173">
        <v>48.272539222985003</v>
      </c>
      <c r="O1173">
        <v>46.221635816127097</v>
      </c>
      <c r="P1173">
        <v>-7.9452524588406598E-2</v>
      </c>
      <c r="Q1173">
        <v>0.22789824349294499</v>
      </c>
      <c r="R1173">
        <v>0.92233866422914601</v>
      </c>
      <c r="S1173" t="s">
        <v>7819</v>
      </c>
      <c r="T1173" t="s">
        <v>13290</v>
      </c>
      <c r="U1173" t="s">
        <v>13290</v>
      </c>
      <c r="V1173" t="s">
        <v>13290</v>
      </c>
      <c r="W1173" t="s">
        <v>14438</v>
      </c>
      <c r="X1173">
        <v>1</v>
      </c>
      <c r="Y1173" t="s">
        <v>21021</v>
      </c>
      <c r="Z1173" t="s">
        <v>27503</v>
      </c>
      <c r="AA1173">
        <v>0.41385906801921518</v>
      </c>
      <c r="AB1173" t="str">
        <f>HYPERLINK("Melting_Curves/meltCurve_J3KSJ7_CHTF8.pdf", "Melting_Curves/meltCurve_J3KSJ7_CHTF8.pdf")</f>
        <v>Melting_Curves/meltCurve_J3KSJ7_CHTF8.pdf</v>
      </c>
    </row>
    <row r="1174" spans="1:28" x14ac:dyDescent="0.25">
      <c r="A1174" t="s">
        <v>1178</v>
      </c>
      <c r="B1174">
        <v>0.99252571173614901</v>
      </c>
      <c r="C1174">
        <v>1.026518111538</v>
      </c>
      <c r="D1174">
        <v>0.84727176911650104</v>
      </c>
      <c r="E1174">
        <v>0.47189274640416001</v>
      </c>
      <c r="F1174">
        <v>0.209636315312524</v>
      </c>
      <c r="G1174">
        <v>0.17617713133702201</v>
      </c>
      <c r="H1174">
        <v>0.15926723269694401</v>
      </c>
      <c r="I1174">
        <v>0.21220230639710799</v>
      </c>
      <c r="J1174">
        <v>0.21776153444294499</v>
      </c>
      <c r="K1174">
        <v>0.176672628777613</v>
      </c>
      <c r="L1174">
        <v>1491.5176577724301</v>
      </c>
      <c r="M1174">
        <v>30.768511002856702</v>
      </c>
      <c r="N1174">
        <v>49.206717322241403</v>
      </c>
      <c r="O1174">
        <v>48.272090800962097</v>
      </c>
      <c r="P1174">
        <v>-0.130111370477272</v>
      </c>
      <c r="Q1174">
        <v>0.183488832960578</v>
      </c>
      <c r="R1174">
        <v>0.994942471889952</v>
      </c>
      <c r="S1174" t="s">
        <v>7820</v>
      </c>
      <c r="T1174" t="s">
        <v>13290</v>
      </c>
      <c r="U1174" t="s">
        <v>13290</v>
      </c>
      <c r="V1174" t="s">
        <v>13290</v>
      </c>
      <c r="W1174" t="s">
        <v>14439</v>
      </c>
      <c r="X1174">
        <v>3</v>
      </c>
      <c r="Y1174" t="s">
        <v>21022</v>
      </c>
      <c r="Z1174" t="s">
        <v>27504</v>
      </c>
      <c r="AA1174">
        <v>0.41885300660254748</v>
      </c>
      <c r="AB1174" t="str">
        <f>HYPERLINK("Melting_Curves/meltCurve_J3KSS7_GGA3.pdf", "Melting_Curves/meltCurve_J3KSS7_GGA3.pdf")</f>
        <v>Melting_Curves/meltCurve_J3KSS7_GGA3.pdf</v>
      </c>
    </row>
    <row r="1175" spans="1:28" x14ac:dyDescent="0.25">
      <c r="A1175" t="s">
        <v>1179</v>
      </c>
      <c r="B1175">
        <v>0.99252571173614901</v>
      </c>
      <c r="C1175">
        <v>0.94896651155809697</v>
      </c>
      <c r="D1175">
        <v>0.86002856033723296</v>
      </c>
      <c r="E1175">
        <v>0.706923004474594</v>
      </c>
      <c r="F1175">
        <v>0.26148782178775398</v>
      </c>
      <c r="G1175">
        <v>0.13218451057627501</v>
      </c>
      <c r="H1175">
        <v>9.8877988884906801E-2</v>
      </c>
      <c r="I1175">
        <v>0.10792171380492301</v>
      </c>
      <c r="J1175">
        <v>0.12664596414413301</v>
      </c>
      <c r="K1175">
        <v>0.153151761875018</v>
      </c>
      <c r="L1175">
        <v>1365.75177148943</v>
      </c>
      <c r="M1175">
        <v>27.0537498608108</v>
      </c>
      <c r="N1175">
        <v>50.955164122523897</v>
      </c>
      <c r="O1175">
        <v>50.209489424587701</v>
      </c>
      <c r="P1175">
        <v>-0.119769016625158</v>
      </c>
      <c r="Q1175">
        <v>0.11088376346376499</v>
      </c>
      <c r="R1175">
        <v>0.98942521635232095</v>
      </c>
      <c r="S1175" t="s">
        <v>7821</v>
      </c>
      <c r="T1175" t="s">
        <v>13290</v>
      </c>
      <c r="U1175" t="s">
        <v>13290</v>
      </c>
      <c r="V1175" t="s">
        <v>13290</v>
      </c>
      <c r="W1175" t="s">
        <v>14440</v>
      </c>
      <c r="X1175">
        <v>5</v>
      </c>
      <c r="Y1175" t="s">
        <v>21023</v>
      </c>
      <c r="Z1175" t="s">
        <v>27505</v>
      </c>
      <c r="AA1175">
        <v>0.42838986418034158</v>
      </c>
      <c r="AB1175" t="str">
        <f>HYPERLINK("Melting_Curves/meltCurve_J3KTA1_FBXL20.pdf", "Melting_Curves/meltCurve_J3KTA1_FBXL20.pdf")</f>
        <v>Melting_Curves/meltCurve_J3KTA1_FBXL20.pdf</v>
      </c>
    </row>
    <row r="1176" spans="1:28" x14ac:dyDescent="0.25">
      <c r="A1176" t="s">
        <v>1180</v>
      </c>
      <c r="B1176">
        <v>0.99252571173614901</v>
      </c>
      <c r="C1176">
        <v>0.95626478055509101</v>
      </c>
      <c r="D1176">
        <v>0.81094361429134798</v>
      </c>
      <c r="E1176">
        <v>0.453965774597618</v>
      </c>
      <c r="F1176">
        <v>0.14631364641736699</v>
      </c>
      <c r="G1176">
        <v>8.9542676531164794E-2</v>
      </c>
      <c r="H1176">
        <v>7.3501762324863704E-2</v>
      </c>
      <c r="I1176">
        <v>9.6342581835181101E-2</v>
      </c>
      <c r="J1176">
        <v>7.9258785064757906E-2</v>
      </c>
      <c r="K1176">
        <v>6.9438571275259806E-2</v>
      </c>
      <c r="L1176">
        <v>1199.9498443602299</v>
      </c>
      <c r="M1176">
        <v>24.6437511454324</v>
      </c>
      <c r="N1176">
        <v>48.997871159330799</v>
      </c>
      <c r="O1176">
        <v>48.374608971295302</v>
      </c>
      <c r="P1176">
        <v>-0.118276387411151</v>
      </c>
      <c r="Q1176">
        <v>7.1327361494364097E-2</v>
      </c>
      <c r="R1176">
        <v>0.99847610999742298</v>
      </c>
      <c r="S1176" t="s">
        <v>7822</v>
      </c>
      <c r="T1176" t="s">
        <v>13290</v>
      </c>
      <c r="U1176" t="s">
        <v>13290</v>
      </c>
      <c r="V1176" t="s">
        <v>13290</v>
      </c>
      <c r="W1176" t="s">
        <v>14441</v>
      </c>
      <c r="X1176">
        <v>58</v>
      </c>
      <c r="Y1176" t="s">
        <v>21024</v>
      </c>
      <c r="Z1176" t="s">
        <v>27506</v>
      </c>
      <c r="AA1176">
        <v>0.34885452675071282</v>
      </c>
      <c r="AB1176" t="str">
        <f>HYPERLINK("Melting_Curves/meltCurve_J3KTA4_DDX5.pdf", "Melting_Curves/meltCurve_J3KTA4_DDX5.pdf")</f>
        <v>Melting_Curves/meltCurve_J3KTA4_DDX5.pdf</v>
      </c>
    </row>
    <row r="1177" spans="1:28" x14ac:dyDescent="0.25">
      <c r="A1177" t="s">
        <v>1181</v>
      </c>
      <c r="B1177">
        <v>0.99252571173614901</v>
      </c>
      <c r="C1177">
        <v>0.85457728505652397</v>
      </c>
      <c r="D1177">
        <v>1.02399396165839</v>
      </c>
      <c r="E1177">
        <v>1.0093596825995199</v>
      </c>
      <c r="F1177">
        <v>1.0686581117849501</v>
      </c>
      <c r="G1177">
        <v>0.56966466172802799</v>
      </c>
      <c r="H1177">
        <v>0.14492175075435901</v>
      </c>
      <c r="I1177">
        <v>0.127251414458326</v>
      </c>
      <c r="J1177">
        <v>8.2183776341549497E-2</v>
      </c>
      <c r="K1177">
        <v>0.104788181424565</v>
      </c>
      <c r="L1177">
        <v>14203.1504383293</v>
      </c>
      <c r="M1177">
        <v>250</v>
      </c>
      <c r="N1177">
        <v>56.871954877148497</v>
      </c>
      <c r="O1177">
        <v>56.808961949606498</v>
      </c>
      <c r="P1177">
        <v>-0.97389307464765695</v>
      </c>
      <c r="Q1177">
        <v>0.114786261991301</v>
      </c>
      <c r="R1177">
        <v>0.98335512016005699</v>
      </c>
      <c r="S1177" t="s">
        <v>7823</v>
      </c>
      <c r="T1177" t="s">
        <v>13290</v>
      </c>
      <c r="U1177" t="s">
        <v>13290</v>
      </c>
      <c r="V1177" t="s">
        <v>13290</v>
      </c>
      <c r="W1177" t="s">
        <v>14442</v>
      </c>
      <c r="X1177">
        <v>1</v>
      </c>
      <c r="Y1177" t="s">
        <v>21025</v>
      </c>
      <c r="Z1177" t="s">
        <v>27507</v>
      </c>
      <c r="AA1177">
        <v>0.61096605722249453</v>
      </c>
      <c r="AB1177" t="str">
        <f>HYPERLINK("Melting_Curves/meltCurve_J3KTD2_RTTN.pdf", "Melting_Curves/meltCurve_J3KTD2_RTTN.pdf")</f>
        <v>Melting_Curves/meltCurve_J3KTD2_RTTN.pdf</v>
      </c>
    </row>
    <row r="1178" spans="1:28" x14ac:dyDescent="0.25">
      <c r="A1178" t="s">
        <v>1182</v>
      </c>
      <c r="B1178">
        <v>0.99252571173614901</v>
      </c>
      <c r="C1178">
        <v>0.83804506775682897</v>
      </c>
      <c r="D1178">
        <v>1.03317462814975</v>
      </c>
      <c r="E1178">
        <v>0.86581402733844604</v>
      </c>
      <c r="F1178">
        <v>0.72548885038660704</v>
      </c>
      <c r="G1178">
        <v>0.40369759518883003</v>
      </c>
      <c r="H1178">
        <v>0.19748259787085801</v>
      </c>
      <c r="I1178">
        <v>0.18928928750546301</v>
      </c>
      <c r="J1178">
        <v>0.265132908833002</v>
      </c>
      <c r="K1178">
        <v>0.24634571537922501</v>
      </c>
      <c r="L1178">
        <v>1376.31015434345</v>
      </c>
      <c r="M1178">
        <v>25.408876051162402</v>
      </c>
      <c r="N1178">
        <v>55.359795329761397</v>
      </c>
      <c r="O1178">
        <v>53.834337301045103</v>
      </c>
      <c r="P1178">
        <v>-9.3116513614514895E-2</v>
      </c>
      <c r="Q1178">
        <v>0.21085803970576</v>
      </c>
      <c r="R1178">
        <v>0.96196433549904803</v>
      </c>
      <c r="S1178" t="s">
        <v>7824</v>
      </c>
      <c r="T1178" t="s">
        <v>13290</v>
      </c>
      <c r="U1178" t="s">
        <v>13290</v>
      </c>
      <c r="V1178" t="s">
        <v>13290</v>
      </c>
      <c r="W1178" t="s">
        <v>14443</v>
      </c>
      <c r="X1178">
        <v>3</v>
      </c>
      <c r="Y1178" t="s">
        <v>21026</v>
      </c>
      <c r="Z1178" t="s">
        <v>27508</v>
      </c>
      <c r="AA1178">
        <v>0.59059744258901037</v>
      </c>
      <c r="AB1178" t="str">
        <f>HYPERLINK("Melting_Curves/meltCurve_J3KTE9_CDH3.pdf", "Melting_Curves/meltCurve_J3KTE9_CDH3.pdf")</f>
        <v>Melting_Curves/meltCurve_J3KTE9_CDH3.pdf</v>
      </c>
    </row>
    <row r="1179" spans="1:28" x14ac:dyDescent="0.25">
      <c r="A1179" t="s">
        <v>1183</v>
      </c>
      <c r="B1179">
        <v>0.99252571173614901</v>
      </c>
      <c r="C1179">
        <v>1.0332723795272201</v>
      </c>
      <c r="D1179">
        <v>0.89825644685764305</v>
      </c>
      <c r="E1179">
        <v>0.845212554548323</v>
      </c>
      <c r="F1179">
        <v>0.69217944487385097</v>
      </c>
      <c r="G1179">
        <v>0.54945181377491104</v>
      </c>
      <c r="H1179">
        <v>0.56728093014322101</v>
      </c>
      <c r="I1179">
        <v>0.98984119850121299</v>
      </c>
      <c r="J1179">
        <v>1.8987212519644401</v>
      </c>
      <c r="K1179">
        <v>3.0261370520659701</v>
      </c>
      <c r="L1179">
        <v>15000</v>
      </c>
      <c r="M1179">
        <v>230.47548924637701</v>
      </c>
      <c r="O1179">
        <v>65.077942175229097</v>
      </c>
      <c r="P1179">
        <v>0.44269125869131098</v>
      </c>
      <c r="Q1179">
        <v>1.5</v>
      </c>
      <c r="R1179">
        <v>0.42246289337950599</v>
      </c>
      <c r="S1179" t="s">
        <v>7825</v>
      </c>
      <c r="T1179" t="s">
        <v>13290</v>
      </c>
      <c r="U1179" t="s">
        <v>13290</v>
      </c>
      <c r="V1179" t="s">
        <v>13290</v>
      </c>
      <c r="W1179" t="s">
        <v>14444</v>
      </c>
      <c r="X1179">
        <v>21</v>
      </c>
      <c r="Y1179" t="s">
        <v>21027</v>
      </c>
      <c r="Z1179" t="s">
        <v>27509</v>
      </c>
      <c r="AA1179">
        <v>1.0818854249609</v>
      </c>
      <c r="AB1179" t="str">
        <f>HYPERLINK("Melting_Curves/meltCurve_J3KTL2_SRSF1.pdf", "Melting_Curves/meltCurve_J3KTL2_SRSF1.pdf")</f>
        <v>Melting_Curves/meltCurve_J3KTL2_SRSF1.pdf</v>
      </c>
    </row>
    <row r="1180" spans="1:28" x14ac:dyDescent="0.25">
      <c r="A1180" t="s">
        <v>1184</v>
      </c>
      <c r="B1180">
        <v>0.99252571173614901</v>
      </c>
      <c r="C1180">
        <v>0.80042033181320904</v>
      </c>
      <c r="D1180">
        <v>0.56955186634449895</v>
      </c>
      <c r="E1180">
        <v>0.27332616908269203</v>
      </c>
      <c r="F1180">
        <v>0.177250388065742</v>
      </c>
      <c r="G1180">
        <v>0.10514913175119001</v>
      </c>
      <c r="H1180">
        <v>7.5541081998489995E-2</v>
      </c>
      <c r="I1180">
        <v>8.3457361233195304E-2</v>
      </c>
      <c r="J1180">
        <v>0.118476269201554</v>
      </c>
      <c r="K1180">
        <v>0.17202514865297799</v>
      </c>
      <c r="L1180">
        <v>918.88112734824699</v>
      </c>
      <c r="M1180">
        <v>19.9695776996099</v>
      </c>
      <c r="N1180">
        <v>46.576458032296898</v>
      </c>
      <c r="O1180">
        <v>45.560075557980603</v>
      </c>
      <c r="P1180">
        <v>-9.7842645039215401E-2</v>
      </c>
      <c r="Q1180">
        <v>0.10712736933946</v>
      </c>
      <c r="R1180">
        <v>0.99051984130934001</v>
      </c>
      <c r="S1180" t="s">
        <v>7826</v>
      </c>
      <c r="T1180" t="s">
        <v>13290</v>
      </c>
      <c r="U1180" t="s">
        <v>13290</v>
      </c>
      <c r="V1180" t="s">
        <v>13290</v>
      </c>
      <c r="W1180" t="s">
        <v>14445</v>
      </c>
      <c r="X1180">
        <v>15</v>
      </c>
      <c r="Y1180" t="s">
        <v>21028</v>
      </c>
      <c r="Z1180" t="s">
        <v>27510</v>
      </c>
      <c r="AA1180">
        <v>0.29995729841147739</v>
      </c>
      <c r="AB1180" t="str">
        <f>HYPERLINK("Melting_Curves/meltCurve_J3QK89_CHERP.pdf", "Melting_Curves/meltCurve_J3QK89_CHERP.pdf")</f>
        <v>Melting_Curves/meltCurve_J3QK89_CHERP.pdf</v>
      </c>
    </row>
    <row r="1181" spans="1:28" x14ac:dyDescent="0.25">
      <c r="A1181" t="s">
        <v>1185</v>
      </c>
      <c r="B1181">
        <v>0.99252571173614901</v>
      </c>
      <c r="C1181">
        <v>1.07370305849477</v>
      </c>
      <c r="D1181">
        <v>0.94446133794884801</v>
      </c>
      <c r="E1181">
        <v>0.75653582861735602</v>
      </c>
      <c r="F1181">
        <v>0.26032800284091401</v>
      </c>
      <c r="G1181">
        <v>0.149017056169017</v>
      </c>
      <c r="H1181">
        <v>0.120436569698187</v>
      </c>
      <c r="I1181">
        <v>0.13055832658951599</v>
      </c>
      <c r="J1181">
        <v>0.164683157654896</v>
      </c>
      <c r="K1181">
        <v>0.17596547027298701</v>
      </c>
      <c r="L1181">
        <v>1994.4931371938701</v>
      </c>
      <c r="M1181">
        <v>39.321891545791303</v>
      </c>
      <c r="N1181">
        <v>51.168073855912702</v>
      </c>
      <c r="O1181">
        <v>50.5915517293273</v>
      </c>
      <c r="P1181">
        <v>-0.16612542603849501</v>
      </c>
      <c r="Q1181">
        <v>0.14505386935361</v>
      </c>
      <c r="R1181">
        <v>0.99365018505972602</v>
      </c>
      <c r="S1181" t="s">
        <v>7827</v>
      </c>
      <c r="T1181" t="s">
        <v>13290</v>
      </c>
      <c r="U1181" t="s">
        <v>13290</v>
      </c>
      <c r="V1181" t="s">
        <v>13290</v>
      </c>
      <c r="W1181" t="s">
        <v>14446</v>
      </c>
      <c r="X1181">
        <v>23</v>
      </c>
      <c r="Y1181" t="s">
        <v>21029</v>
      </c>
      <c r="Z1181" t="s">
        <v>27511</v>
      </c>
      <c r="AA1181">
        <v>0.4537202400214379</v>
      </c>
      <c r="AB1181" t="str">
        <f>HYPERLINK("Melting_Curves/meltCurve_J3QK90_NSFL1C.pdf", "Melting_Curves/meltCurve_J3QK90_NSFL1C.pdf")</f>
        <v>Melting_Curves/meltCurve_J3QK90_NSFL1C.pdf</v>
      </c>
    </row>
    <row r="1182" spans="1:28" x14ac:dyDescent="0.25">
      <c r="A1182" t="s">
        <v>1186</v>
      </c>
      <c r="B1182">
        <v>0.99252571173614901</v>
      </c>
      <c r="C1182">
        <v>0.79673114571568504</v>
      </c>
      <c r="D1182">
        <v>0.70014820747255402</v>
      </c>
      <c r="E1182">
        <v>0.38318885891494298</v>
      </c>
      <c r="F1182">
        <v>0.27561230667477299</v>
      </c>
      <c r="G1182">
        <v>0.21172243309559799</v>
      </c>
      <c r="H1182">
        <v>0.189794184830375</v>
      </c>
      <c r="I1182">
        <v>0.199659565528779</v>
      </c>
      <c r="J1182">
        <v>0.24439157190886701</v>
      </c>
      <c r="K1182">
        <v>0.28406498014263898</v>
      </c>
      <c r="L1182">
        <v>877.38328080943995</v>
      </c>
      <c r="M1182">
        <v>18.878570646532602</v>
      </c>
      <c r="N1182">
        <v>47.917572319798701</v>
      </c>
      <c r="O1182">
        <v>45.963040855866801</v>
      </c>
      <c r="P1182">
        <v>-8.0429193027588095E-2</v>
      </c>
      <c r="Q1182">
        <v>0.216758751343918</v>
      </c>
      <c r="R1182">
        <v>0.978640237206164</v>
      </c>
      <c r="S1182" t="s">
        <v>7828</v>
      </c>
      <c r="T1182" t="s">
        <v>13290</v>
      </c>
      <c r="U1182" t="s">
        <v>13290</v>
      </c>
      <c r="V1182" t="s">
        <v>13290</v>
      </c>
      <c r="W1182" t="s">
        <v>14447</v>
      </c>
      <c r="X1182">
        <v>6</v>
      </c>
      <c r="Y1182" t="s">
        <v>21030</v>
      </c>
      <c r="Z1182" t="s">
        <v>27512</v>
      </c>
      <c r="AA1182">
        <v>0.39919145147736579</v>
      </c>
      <c r="AB1182" t="str">
        <f>HYPERLINK("Melting_Curves/meltCurve_J3QKS7_SMARCE1.pdf", "Melting_Curves/meltCurve_J3QKS7_SMARCE1.pdf")</f>
        <v>Melting_Curves/meltCurve_J3QKS7_SMARCE1.pdf</v>
      </c>
    </row>
    <row r="1183" spans="1:28" x14ac:dyDescent="0.25">
      <c r="A1183" t="s">
        <v>1187</v>
      </c>
      <c r="B1183">
        <v>0.99252571173614901</v>
      </c>
      <c r="C1183">
        <v>0.88110039818408503</v>
      </c>
      <c r="D1183">
        <v>0.78432041141765396</v>
      </c>
      <c r="E1183">
        <v>0.489209270969864</v>
      </c>
      <c r="F1183">
        <v>0.20576777590512901</v>
      </c>
      <c r="G1183">
        <v>0.11616391380303601</v>
      </c>
      <c r="H1183">
        <v>7.1806256064270699E-2</v>
      </c>
      <c r="I1183">
        <v>6.0854183784796401E-2</v>
      </c>
      <c r="J1183">
        <v>7.2768423296532603E-2</v>
      </c>
      <c r="K1183">
        <v>7.2464006091887107E-2</v>
      </c>
      <c r="L1183">
        <v>891.02655966652299</v>
      </c>
      <c r="M1183">
        <v>18.218279140973198</v>
      </c>
      <c r="N1183">
        <v>49.213821380813599</v>
      </c>
      <c r="O1183">
        <v>48.330530549608604</v>
      </c>
      <c r="P1183">
        <v>-8.9204594229111506E-2</v>
      </c>
      <c r="Q1183">
        <v>5.3455629117260303E-2</v>
      </c>
      <c r="R1183">
        <v>0.99659369464415903</v>
      </c>
      <c r="S1183" t="s">
        <v>7829</v>
      </c>
      <c r="T1183" t="s">
        <v>13290</v>
      </c>
      <c r="U1183" t="s">
        <v>13290</v>
      </c>
      <c r="V1183" t="s">
        <v>13290</v>
      </c>
      <c r="W1183" t="s">
        <v>14448</v>
      </c>
      <c r="X1183">
        <v>2</v>
      </c>
      <c r="Y1183" t="s">
        <v>21031</v>
      </c>
      <c r="Z1183" t="s">
        <v>27513</v>
      </c>
      <c r="AA1183">
        <v>0.3505598722530392</v>
      </c>
      <c r="AB1183" t="str">
        <f>HYPERLINK("Melting_Curves/meltCurve_J3QL56_SCO1.pdf", "Melting_Curves/meltCurve_J3QL56_SCO1.pdf")</f>
        <v>Melting_Curves/meltCurve_J3QL56_SCO1.pdf</v>
      </c>
    </row>
    <row r="1184" spans="1:28" x14ac:dyDescent="0.25">
      <c r="A1184" t="s">
        <v>1188</v>
      </c>
      <c r="B1184">
        <v>0.99252571173614901</v>
      </c>
      <c r="C1184">
        <v>1.0620889741751101</v>
      </c>
      <c r="D1184">
        <v>0.90771764131868304</v>
      </c>
      <c r="E1184">
        <v>0.45969312314338101</v>
      </c>
      <c r="F1184">
        <v>0.263727194298156</v>
      </c>
      <c r="G1184">
        <v>0.179988451910992</v>
      </c>
      <c r="H1184">
        <v>7.4914409521731798E-2</v>
      </c>
      <c r="I1184">
        <v>5.2943756955525403E-2</v>
      </c>
      <c r="J1184">
        <v>5.6691082130090303E-2</v>
      </c>
      <c r="K1184">
        <v>5.2493289164186802E-2</v>
      </c>
      <c r="L1184">
        <v>1188.9319094180501</v>
      </c>
      <c r="M1184">
        <v>24.043777750851898</v>
      </c>
      <c r="N1184">
        <v>49.783295129128</v>
      </c>
      <c r="O1184">
        <v>49.110381620898998</v>
      </c>
      <c r="P1184">
        <v>-0.113264864190225</v>
      </c>
      <c r="Q1184">
        <v>7.4622391560517601E-2</v>
      </c>
      <c r="R1184">
        <v>0.98702369144430901</v>
      </c>
      <c r="S1184" t="s">
        <v>7830</v>
      </c>
      <c r="T1184" t="s">
        <v>13290</v>
      </c>
      <c r="U1184" t="s">
        <v>13290</v>
      </c>
      <c r="V1184" t="s">
        <v>13290</v>
      </c>
      <c r="W1184" t="s">
        <v>14449</v>
      </c>
      <c r="X1184">
        <v>9</v>
      </c>
      <c r="Y1184" t="s">
        <v>21032</v>
      </c>
      <c r="Z1184" t="s">
        <v>27514</v>
      </c>
      <c r="AA1184">
        <v>0.37498191641512491</v>
      </c>
      <c r="AB1184" t="str">
        <f>HYPERLINK("Melting_Curves/meltCurve_J3QL71_SCRN2.pdf", "Melting_Curves/meltCurve_J3QL71_SCRN2.pdf")</f>
        <v>Melting_Curves/meltCurve_J3QL71_SCRN2.pdf</v>
      </c>
    </row>
    <row r="1185" spans="1:28" x14ac:dyDescent="0.25">
      <c r="A1185" t="s">
        <v>1189</v>
      </c>
      <c r="B1185">
        <v>0.99252571173614901</v>
      </c>
      <c r="C1185">
        <v>0.971841334911419</v>
      </c>
      <c r="D1185">
        <v>0.90244837763416197</v>
      </c>
      <c r="E1185">
        <v>0.81899522675095604</v>
      </c>
      <c r="F1185">
        <v>0.85146430061490497</v>
      </c>
      <c r="G1185">
        <v>0.60640821976819803</v>
      </c>
      <c r="H1185">
        <v>0.48822145217305601</v>
      </c>
      <c r="I1185">
        <v>0.47211054494156401</v>
      </c>
      <c r="J1185">
        <v>0.54270535900940897</v>
      </c>
      <c r="K1185">
        <v>0.27687053053499</v>
      </c>
      <c r="L1185">
        <v>458.84170808293999</v>
      </c>
      <c r="M1185">
        <v>7.7134924536826199</v>
      </c>
      <c r="N1185">
        <v>62.654162321277198</v>
      </c>
      <c r="O1185">
        <v>55.8836727566623</v>
      </c>
      <c r="P1185">
        <v>-2.8971489924573102E-2</v>
      </c>
      <c r="Q1185">
        <v>0.161501290840036</v>
      </c>
      <c r="R1185">
        <v>0.92442362655810495</v>
      </c>
      <c r="S1185" t="s">
        <v>7831</v>
      </c>
      <c r="T1185" t="s">
        <v>13290</v>
      </c>
      <c r="U1185" t="s">
        <v>13290</v>
      </c>
      <c r="V1185" t="s">
        <v>13290</v>
      </c>
      <c r="W1185" t="s">
        <v>14450</v>
      </c>
      <c r="X1185">
        <v>5</v>
      </c>
      <c r="Y1185" t="s">
        <v>21033</v>
      </c>
      <c r="Z1185" t="s">
        <v>27515</v>
      </c>
      <c r="AA1185">
        <v>0.69607942368206288</v>
      </c>
      <c r="AB1185" t="str">
        <f>HYPERLINK("Melting_Curves/meltCurve_J3QLB2_SLC39A11.pdf", "Melting_Curves/meltCurve_J3QLB2_SLC39A11.pdf")</f>
        <v>Melting_Curves/meltCurve_J3QLB2_SLC39A11.pdf</v>
      </c>
    </row>
    <row r="1186" spans="1:28" x14ac:dyDescent="0.25">
      <c r="A1186" t="s">
        <v>1190</v>
      </c>
      <c r="B1186">
        <v>0.99252571173614901</v>
      </c>
      <c r="C1186">
        <v>0.95870350187057096</v>
      </c>
      <c r="D1186">
        <v>0.95387258763719796</v>
      </c>
      <c r="E1186">
        <v>1.1610152894386401</v>
      </c>
      <c r="F1186">
        <v>0.78681540527265204</v>
      </c>
      <c r="G1186">
        <v>0.62265037294152503</v>
      </c>
      <c r="H1186">
        <v>0.416454389381679</v>
      </c>
      <c r="I1186">
        <v>0.444422200300783</v>
      </c>
      <c r="J1186">
        <v>0.47395536428749602</v>
      </c>
      <c r="K1186">
        <v>0.353341150071381</v>
      </c>
      <c r="L1186">
        <v>1687.49669368625</v>
      </c>
      <c r="M1186">
        <v>30.6267316843679</v>
      </c>
      <c r="N1186">
        <v>58.507634922427698</v>
      </c>
      <c r="O1186">
        <v>54.865516828163102</v>
      </c>
      <c r="P1186">
        <v>-8.1492705154387002E-2</v>
      </c>
      <c r="Q1186">
        <v>0.41605104443538499</v>
      </c>
      <c r="R1186">
        <v>0.93312046674552096</v>
      </c>
      <c r="S1186" t="s">
        <v>7832</v>
      </c>
      <c r="T1186" t="s">
        <v>13290</v>
      </c>
      <c r="U1186" t="s">
        <v>13290</v>
      </c>
      <c r="V1186" t="s">
        <v>13290</v>
      </c>
      <c r="W1186" t="s">
        <v>14451</v>
      </c>
      <c r="X1186">
        <v>1</v>
      </c>
      <c r="Y1186" t="s">
        <v>21034</v>
      </c>
      <c r="Z1186" t="s">
        <v>27516</v>
      </c>
      <c r="AA1186">
        <v>0.71367693464896809</v>
      </c>
      <c r="AB1186" t="str">
        <f>HYPERLINK("Melting_Curves/meltCurve_J3QLM0_CD7.pdf", "Melting_Curves/meltCurve_J3QLM0_CD7.pdf")</f>
        <v>Melting_Curves/meltCurve_J3QLM0_CD7.pdf</v>
      </c>
    </row>
    <row r="1187" spans="1:28" x14ac:dyDescent="0.25">
      <c r="A1187" t="s">
        <v>1191</v>
      </c>
      <c r="B1187">
        <v>0.99252571173614901</v>
      </c>
      <c r="C1187">
        <v>0.90124239033029696</v>
      </c>
      <c r="D1187">
        <v>0.73088673220510203</v>
      </c>
      <c r="E1187">
        <v>0.31123585405134102</v>
      </c>
      <c r="F1187">
        <v>0.115209639979757</v>
      </c>
      <c r="G1187">
        <v>4.3625676206312601E-2</v>
      </c>
      <c r="H1187">
        <v>3.1615034431424598E-2</v>
      </c>
      <c r="I1187">
        <v>1.2354644633897099E-2</v>
      </c>
      <c r="J1187">
        <v>3.3319079735304701E-2</v>
      </c>
      <c r="K1187">
        <v>3.2135078891677903E-2</v>
      </c>
      <c r="L1187">
        <v>1079.9197072560701</v>
      </c>
      <c r="M1187">
        <v>22.5985587825758</v>
      </c>
      <c r="N1187">
        <v>47.885742326926298</v>
      </c>
      <c r="O1187">
        <v>47.417645271834402</v>
      </c>
      <c r="P1187">
        <v>-0.116439111914119</v>
      </c>
      <c r="Q1187">
        <v>2.2741982455062999E-2</v>
      </c>
      <c r="R1187">
        <v>0.99881900257688006</v>
      </c>
      <c r="S1187" t="s">
        <v>7833</v>
      </c>
      <c r="T1187" t="s">
        <v>13290</v>
      </c>
      <c r="U1187" t="s">
        <v>13290</v>
      </c>
      <c r="V1187" t="s">
        <v>13290</v>
      </c>
      <c r="W1187" t="s">
        <v>14452</v>
      </c>
      <c r="X1187">
        <v>1</v>
      </c>
      <c r="Y1187" t="s">
        <v>21035</v>
      </c>
      <c r="Z1187" t="s">
        <v>27517</v>
      </c>
      <c r="AA1187">
        <v>0.28714470319151919</v>
      </c>
      <c r="AB1187" t="str">
        <f>HYPERLINK("Melting_Curves/meltCurve_J3QLS3_MRPS7.pdf", "Melting_Curves/meltCurve_J3QLS3_MRPS7.pdf")</f>
        <v>Melting_Curves/meltCurve_J3QLS3_MRPS7.pdf</v>
      </c>
    </row>
    <row r="1188" spans="1:28" x14ac:dyDescent="0.25">
      <c r="A1188" t="s">
        <v>1192</v>
      </c>
      <c r="B1188">
        <v>0.99252571173614901</v>
      </c>
      <c r="C1188">
        <v>0.98538847005815799</v>
      </c>
      <c r="D1188">
        <v>0.77559363713893703</v>
      </c>
      <c r="E1188">
        <v>0.58565156039532296</v>
      </c>
      <c r="F1188">
        <v>0.277882674044096</v>
      </c>
      <c r="G1188">
        <v>0.17960477304649999</v>
      </c>
      <c r="H1188">
        <v>0.112343534289626</v>
      </c>
      <c r="I1188">
        <v>0.123872378278748</v>
      </c>
      <c r="J1188">
        <v>0.20013230258600301</v>
      </c>
      <c r="K1188">
        <v>0.19139668207501601</v>
      </c>
      <c r="L1188">
        <v>996.06126013415997</v>
      </c>
      <c r="M1188">
        <v>20.254592811419499</v>
      </c>
      <c r="N1188">
        <v>50.0257146173861</v>
      </c>
      <c r="O1188">
        <v>48.705218090875597</v>
      </c>
      <c r="P1188">
        <v>-8.8851854251904006E-2</v>
      </c>
      <c r="Q1188">
        <v>0.14539578054487801</v>
      </c>
      <c r="R1188">
        <v>0.98709860800344196</v>
      </c>
      <c r="S1188" t="s">
        <v>7834</v>
      </c>
      <c r="T1188" t="s">
        <v>13290</v>
      </c>
      <c r="U1188" t="s">
        <v>13290</v>
      </c>
      <c r="V1188" t="s">
        <v>13290</v>
      </c>
      <c r="W1188" t="s">
        <v>14453</v>
      </c>
      <c r="X1188">
        <v>2</v>
      </c>
      <c r="Y1188" t="s">
        <v>21036</v>
      </c>
      <c r="Z1188" t="s">
        <v>27518</v>
      </c>
      <c r="AA1188">
        <v>0.41847203369905123</v>
      </c>
      <c r="AB1188" t="str">
        <f>HYPERLINK("Melting_Curves/meltCurve_J3QLV8_SNX11.pdf", "Melting_Curves/meltCurve_J3QLV8_SNX11.pdf")</f>
        <v>Melting_Curves/meltCurve_J3QLV8_SNX11.pdf</v>
      </c>
    </row>
    <row r="1189" spans="1:28" x14ac:dyDescent="0.25">
      <c r="A1189" t="s">
        <v>1193</v>
      </c>
      <c r="B1189">
        <v>0.99252571173614901</v>
      </c>
      <c r="C1189">
        <v>1.0134727836966899</v>
      </c>
      <c r="D1189">
        <v>0.95970917755696294</v>
      </c>
      <c r="E1189">
        <v>0.85053579670980795</v>
      </c>
      <c r="F1189">
        <v>0.58515282881800801</v>
      </c>
      <c r="G1189">
        <v>0.47586117378437098</v>
      </c>
      <c r="H1189">
        <v>0.43201414738520399</v>
      </c>
      <c r="I1189">
        <v>0.54841747220927395</v>
      </c>
      <c r="J1189">
        <v>0.79521087941726398</v>
      </c>
      <c r="K1189">
        <v>0.90756802120701896</v>
      </c>
      <c r="L1189">
        <v>12420.6177653412</v>
      </c>
      <c r="M1189">
        <v>250</v>
      </c>
      <c r="O1189">
        <v>49.6792703990698</v>
      </c>
      <c r="P1189">
        <v>-0.47298704475895897</v>
      </c>
      <c r="Q1189">
        <v>0.62403741739137097</v>
      </c>
      <c r="R1189">
        <v>0.60784248033148502</v>
      </c>
      <c r="S1189" t="s">
        <v>7835</v>
      </c>
      <c r="T1189" t="s">
        <v>13290</v>
      </c>
      <c r="U1189" t="s">
        <v>13290</v>
      </c>
      <c r="V1189" t="s">
        <v>13290</v>
      </c>
      <c r="W1189" t="s">
        <v>14454</v>
      </c>
      <c r="X1189">
        <v>14</v>
      </c>
      <c r="Y1189" t="s">
        <v>21037</v>
      </c>
      <c r="Z1189" t="s">
        <v>27519</v>
      </c>
      <c r="AA1189">
        <v>0.74541175918261215</v>
      </c>
      <c r="AB1189" t="str">
        <f>HYPERLINK("Melting_Curves/meltCurve_J3QQJ0_SAP30BP.pdf", "Melting_Curves/meltCurve_J3QQJ0_SAP30BP.pdf")</f>
        <v>Melting_Curves/meltCurve_J3QQJ0_SAP30BP.pdf</v>
      </c>
    </row>
    <row r="1190" spans="1:28" x14ac:dyDescent="0.25">
      <c r="A1190" t="s">
        <v>1194</v>
      </c>
      <c r="B1190">
        <v>0.99252571173614901</v>
      </c>
      <c r="C1190">
        <v>1.1691092493928099</v>
      </c>
      <c r="D1190">
        <v>0.99086945685866701</v>
      </c>
      <c r="E1190">
        <v>0.83528282334758397</v>
      </c>
      <c r="F1190">
        <v>0.39216013037682501</v>
      </c>
      <c r="G1190">
        <v>0.10902248827342299</v>
      </c>
      <c r="H1190">
        <v>7.9843835091586005E-2</v>
      </c>
      <c r="I1190">
        <v>7.9605703432883604E-2</v>
      </c>
      <c r="J1190">
        <v>7.8938368003757503E-2</v>
      </c>
      <c r="K1190">
        <v>8.4929518189956296E-2</v>
      </c>
      <c r="L1190">
        <v>1708.8277964650199</v>
      </c>
      <c r="M1190">
        <v>32.829706711702201</v>
      </c>
      <c r="N1190">
        <v>52.308919330886098</v>
      </c>
      <c r="O1190">
        <v>51.859274623282801</v>
      </c>
      <c r="P1190">
        <v>-0.14644966429626199</v>
      </c>
      <c r="Q1190">
        <v>7.4650424013883998E-2</v>
      </c>
      <c r="R1190">
        <v>0.98435558632125997</v>
      </c>
      <c r="S1190" t="s">
        <v>7836</v>
      </c>
      <c r="T1190" t="s">
        <v>13290</v>
      </c>
      <c r="U1190" t="s">
        <v>13290</v>
      </c>
      <c r="V1190" t="s">
        <v>13290</v>
      </c>
      <c r="W1190" t="s">
        <v>14455</v>
      </c>
      <c r="X1190">
        <v>1</v>
      </c>
      <c r="Y1190" t="s">
        <v>21038</v>
      </c>
      <c r="Z1190" t="s">
        <v>27520</v>
      </c>
      <c r="AA1190">
        <v>0.45131705690285101</v>
      </c>
      <c r="AB1190" t="str">
        <f>HYPERLINK("Melting_Curves/meltCurve_J3QQJ5_TRAPPC8.pdf", "Melting_Curves/meltCurve_J3QQJ5_TRAPPC8.pdf")</f>
        <v>Melting_Curves/meltCurve_J3QQJ5_TRAPPC8.pdf</v>
      </c>
    </row>
    <row r="1191" spans="1:28" x14ac:dyDescent="0.25">
      <c r="A1191" t="s">
        <v>1195</v>
      </c>
      <c r="B1191">
        <v>0.99252571173614901</v>
      </c>
      <c r="C1191">
        <v>0.94214131821202196</v>
      </c>
      <c r="D1191">
        <v>0.91376236631118501</v>
      </c>
      <c r="E1191">
        <v>0.806601100697102</v>
      </c>
      <c r="F1191">
        <v>0.370250848269841</v>
      </c>
      <c r="G1191">
        <v>0.18674520508530201</v>
      </c>
      <c r="H1191">
        <v>0.11454236309738</v>
      </c>
      <c r="I1191">
        <v>0.117033564297751</v>
      </c>
      <c r="J1191">
        <v>0.156251886191942</v>
      </c>
      <c r="K1191">
        <v>0.17194028006074599</v>
      </c>
      <c r="L1191">
        <v>1518.5709857122399</v>
      </c>
      <c r="M1191">
        <v>29.4967039671862</v>
      </c>
      <c r="N1191">
        <v>52.043311655489603</v>
      </c>
      <c r="O1191">
        <v>51.247845299732703</v>
      </c>
      <c r="P1191">
        <v>-0.12430976486362701</v>
      </c>
      <c r="Q1191">
        <v>0.13609829532109899</v>
      </c>
      <c r="R1191">
        <v>0.99223686594757998</v>
      </c>
      <c r="S1191" t="s">
        <v>7837</v>
      </c>
      <c r="T1191" t="s">
        <v>13290</v>
      </c>
      <c r="U1191" t="s">
        <v>13290</v>
      </c>
      <c r="V1191" t="s">
        <v>13290</v>
      </c>
      <c r="W1191" t="s">
        <v>14456</v>
      </c>
      <c r="X1191">
        <v>9</v>
      </c>
      <c r="Y1191" t="s">
        <v>21039</v>
      </c>
      <c r="Z1191" t="s">
        <v>27521</v>
      </c>
      <c r="AA1191">
        <v>0.4724256737675715</v>
      </c>
      <c r="AB1191" t="str">
        <f>HYPERLINK("Melting_Curves/meltCurve_J3QQT2_RPL17.pdf", "Melting_Curves/meltCurve_J3QQT2_RPL17.pdf")</f>
        <v>Melting_Curves/meltCurve_J3QQT2_RPL17.pdf</v>
      </c>
    </row>
    <row r="1192" spans="1:28" x14ac:dyDescent="0.25">
      <c r="A1192" t="s">
        <v>1196</v>
      </c>
      <c r="B1192">
        <v>0.99252571173614901</v>
      </c>
      <c r="C1192">
        <v>0.90870580489361197</v>
      </c>
      <c r="D1192">
        <v>0.80234226991024005</v>
      </c>
      <c r="E1192">
        <v>0.64494842604848501</v>
      </c>
      <c r="F1192">
        <v>0.40910607860747999</v>
      </c>
      <c r="G1192">
        <v>0.35990669890099303</v>
      </c>
      <c r="H1192">
        <v>0.16506200492982501</v>
      </c>
      <c r="I1192">
        <v>0.17025045008666601</v>
      </c>
      <c r="J1192">
        <v>0.110089777658511</v>
      </c>
      <c r="K1192">
        <v>0.226540034398311</v>
      </c>
      <c r="L1192">
        <v>655.05555244360903</v>
      </c>
      <c r="M1192">
        <v>12.9231874998589</v>
      </c>
      <c r="N1192">
        <v>51.864278579912899</v>
      </c>
      <c r="O1192">
        <v>49.520696732514601</v>
      </c>
      <c r="P1192">
        <v>-5.6966718051422498E-2</v>
      </c>
      <c r="Q1192">
        <v>0.12698886130739301</v>
      </c>
      <c r="R1192">
        <v>0.98318938211155504</v>
      </c>
      <c r="S1192" t="s">
        <v>7838</v>
      </c>
      <c r="T1192" t="s">
        <v>13290</v>
      </c>
      <c r="U1192" t="s">
        <v>13290</v>
      </c>
      <c r="V1192" t="s">
        <v>13290</v>
      </c>
      <c r="W1192" t="s">
        <v>14457</v>
      </c>
      <c r="X1192">
        <v>1</v>
      </c>
      <c r="Y1192" t="s">
        <v>21040</v>
      </c>
      <c r="Z1192" t="s">
        <v>27522</v>
      </c>
      <c r="AA1192">
        <v>0.46396330134060748</v>
      </c>
      <c r="AB1192" t="str">
        <f>HYPERLINK("Melting_Curves/meltCurve_J3QQW9_SUZ12.pdf", "Melting_Curves/meltCurve_J3QQW9_SUZ12.pdf")</f>
        <v>Melting_Curves/meltCurve_J3QQW9_SUZ12.pdf</v>
      </c>
    </row>
    <row r="1193" spans="1:28" x14ac:dyDescent="0.25">
      <c r="A1193" t="s">
        <v>1197</v>
      </c>
      <c r="B1193">
        <v>0.99252571173614901</v>
      </c>
      <c r="C1193">
        <v>1.0872879786579199</v>
      </c>
      <c r="D1193">
        <v>0.92276969539917897</v>
      </c>
      <c r="E1193">
        <v>0.89838136049558104</v>
      </c>
      <c r="F1193">
        <v>0.58225422214909595</v>
      </c>
      <c r="G1193">
        <v>0.52495225366534204</v>
      </c>
      <c r="H1193">
        <v>0.56080146215972204</v>
      </c>
      <c r="I1193">
        <v>0.90126458093112105</v>
      </c>
      <c r="J1193">
        <v>1.3603502565796299</v>
      </c>
      <c r="K1193">
        <v>1.4794056758808201</v>
      </c>
      <c r="L1193">
        <v>15000</v>
      </c>
      <c r="M1193">
        <v>224.653800699497</v>
      </c>
      <c r="O1193">
        <v>66.764106753735504</v>
      </c>
      <c r="P1193">
        <v>0.403314432626381</v>
      </c>
      <c r="Q1193">
        <v>1.4794386645117501</v>
      </c>
      <c r="R1193">
        <v>0.33238659810875598</v>
      </c>
      <c r="S1193" t="s">
        <v>7839</v>
      </c>
      <c r="T1193" t="s">
        <v>13290</v>
      </c>
      <c r="U1193" t="s">
        <v>13290</v>
      </c>
      <c r="V1193" t="s">
        <v>13290</v>
      </c>
      <c r="W1193" t="s">
        <v>14458</v>
      </c>
      <c r="X1193">
        <v>7</v>
      </c>
      <c r="Y1193" t="s">
        <v>21041</v>
      </c>
      <c r="Z1193" t="s">
        <v>27523</v>
      </c>
      <c r="AA1193">
        <v>1.051559704309484</v>
      </c>
      <c r="AB1193" t="str">
        <f>HYPERLINK("Melting_Curves/meltCurve_J3QR07_YTHDC1.pdf", "Melting_Curves/meltCurve_J3QR07_YTHDC1.pdf")</f>
        <v>Melting_Curves/meltCurve_J3QR07_YTHDC1.pdf</v>
      </c>
    </row>
    <row r="1194" spans="1:28" x14ac:dyDescent="0.25">
      <c r="A1194" t="s">
        <v>1198</v>
      </c>
      <c r="B1194">
        <v>0.99252571173614901</v>
      </c>
      <c r="C1194">
        <v>0.95563913299886005</v>
      </c>
      <c r="D1194">
        <v>0.92626223242903105</v>
      </c>
      <c r="E1194">
        <v>0.87338532648433098</v>
      </c>
      <c r="F1194">
        <v>0.52237599581225402</v>
      </c>
      <c r="G1194">
        <v>0.251392023658641</v>
      </c>
      <c r="H1194">
        <v>0.15586077933782799</v>
      </c>
      <c r="I1194">
        <v>0.168354068278605</v>
      </c>
      <c r="J1194">
        <v>0.206688690245632</v>
      </c>
      <c r="K1194">
        <v>0.21619993660615799</v>
      </c>
      <c r="L1194">
        <v>1518.9329861869701</v>
      </c>
      <c r="M1194">
        <v>28.9392737456078</v>
      </c>
      <c r="N1194">
        <v>53.311395572239199</v>
      </c>
      <c r="O1194">
        <v>52.238195860414898</v>
      </c>
      <c r="P1194">
        <v>-0.113511751957837</v>
      </c>
      <c r="Q1194">
        <v>0.18040727695786399</v>
      </c>
      <c r="R1194">
        <v>0.99223553989727298</v>
      </c>
      <c r="S1194" t="s">
        <v>7840</v>
      </c>
      <c r="T1194" t="s">
        <v>13290</v>
      </c>
      <c r="U1194" t="s">
        <v>13290</v>
      </c>
      <c r="V1194" t="s">
        <v>13290</v>
      </c>
      <c r="W1194" t="s">
        <v>14459</v>
      </c>
      <c r="X1194">
        <v>10</v>
      </c>
      <c r="Y1194" t="s">
        <v>21042</v>
      </c>
      <c r="Z1194" t="s">
        <v>27524</v>
      </c>
      <c r="AA1194">
        <v>0.52720937177627114</v>
      </c>
      <c r="AB1194" t="str">
        <f>HYPERLINK("Melting_Curves/meltCurve_J3QR09_RPL19.pdf", "Melting_Curves/meltCurve_J3QR09_RPL19.pdf")</f>
        <v>Melting_Curves/meltCurve_J3QR09_RPL19.pdf</v>
      </c>
    </row>
    <row r="1195" spans="1:28" x14ac:dyDescent="0.25">
      <c r="A1195" t="s">
        <v>1199</v>
      </c>
      <c r="B1195">
        <v>0.99252571173614901</v>
      </c>
      <c r="C1195">
        <v>0.77040731505931703</v>
      </c>
      <c r="D1195">
        <v>0.650524146742961</v>
      </c>
      <c r="E1195">
        <v>0.59866162652500399</v>
      </c>
      <c r="F1195">
        <v>0.35981308854118399</v>
      </c>
      <c r="G1195">
        <v>0.17353103027028599</v>
      </c>
      <c r="H1195">
        <v>0.105976680055099</v>
      </c>
      <c r="I1195">
        <v>0.132595136625309</v>
      </c>
      <c r="J1195">
        <v>0.21285915414999801</v>
      </c>
      <c r="K1195">
        <v>0.22936239153582999</v>
      </c>
      <c r="L1195">
        <v>591.18903087313299</v>
      </c>
      <c r="M1195">
        <v>12.2599603095403</v>
      </c>
      <c r="N1195">
        <v>49.447981726780696</v>
      </c>
      <c r="O1195">
        <v>46.9920070395696</v>
      </c>
      <c r="P1195">
        <v>-5.6682967105873401E-2</v>
      </c>
      <c r="Q1195">
        <v>0.13113727199880401</v>
      </c>
      <c r="R1195">
        <v>0.94599908119494602</v>
      </c>
      <c r="S1195" t="s">
        <v>7841</v>
      </c>
      <c r="T1195" t="s">
        <v>13290</v>
      </c>
      <c r="U1195" t="s">
        <v>13290</v>
      </c>
      <c r="V1195" t="s">
        <v>13290</v>
      </c>
      <c r="W1195" t="s">
        <v>14460</v>
      </c>
      <c r="X1195">
        <v>1</v>
      </c>
      <c r="Y1195" t="s">
        <v>21043</v>
      </c>
      <c r="Z1195" t="s">
        <v>27525</v>
      </c>
      <c r="AA1195">
        <v>0.40151082757726769</v>
      </c>
      <c r="AB1195" t="str">
        <f>HYPERLINK("Melting_Curves/meltCurve_J3QRM9_ORMDL3.pdf", "Melting_Curves/meltCurve_J3QRM9_ORMDL3.pdf")</f>
        <v>Melting_Curves/meltCurve_J3QRM9_ORMDL3.pdf</v>
      </c>
    </row>
    <row r="1196" spans="1:28" x14ac:dyDescent="0.25">
      <c r="A1196" t="s">
        <v>1200</v>
      </c>
      <c r="B1196">
        <v>0.99252571173614901</v>
      </c>
      <c r="C1196">
        <v>0.95651153850492299</v>
      </c>
      <c r="D1196">
        <v>0.84316912262489196</v>
      </c>
      <c r="E1196">
        <v>0.75961829351077004</v>
      </c>
      <c r="F1196">
        <v>0.44548072329035798</v>
      </c>
      <c r="G1196">
        <v>0.319926481315638</v>
      </c>
      <c r="H1196">
        <v>0.224934270908245</v>
      </c>
      <c r="I1196">
        <v>0.24222487666793599</v>
      </c>
      <c r="J1196">
        <v>0.28643373166331498</v>
      </c>
      <c r="K1196">
        <v>0.367765576447105</v>
      </c>
      <c r="L1196">
        <v>1043.9836067418501</v>
      </c>
      <c r="M1196">
        <v>20.672208359172998</v>
      </c>
      <c r="N1196">
        <v>52.461214118796001</v>
      </c>
      <c r="O1196">
        <v>50.036331306645103</v>
      </c>
      <c r="P1196">
        <v>-7.5506303585787707E-2</v>
      </c>
      <c r="Q1196">
        <v>0.26897980751168399</v>
      </c>
      <c r="R1196">
        <v>0.97139719794741497</v>
      </c>
      <c r="S1196" t="s">
        <v>7842</v>
      </c>
      <c r="T1196" t="s">
        <v>13290</v>
      </c>
      <c r="U1196" t="s">
        <v>13290</v>
      </c>
      <c r="V1196" t="s">
        <v>13290</v>
      </c>
      <c r="W1196" t="s">
        <v>14461</v>
      </c>
      <c r="X1196">
        <v>7</v>
      </c>
      <c r="Y1196" t="s">
        <v>21044</v>
      </c>
      <c r="Z1196" t="s">
        <v>27526</v>
      </c>
      <c r="AA1196">
        <v>0.53441653485706309</v>
      </c>
      <c r="AB1196" t="str">
        <f>HYPERLINK("Melting_Curves/meltCurve_J3QRS3_MYL12A.pdf", "Melting_Curves/meltCurve_J3QRS3_MYL12A.pdf")</f>
        <v>Melting_Curves/meltCurve_J3QRS3_MYL12A.pdf</v>
      </c>
    </row>
    <row r="1197" spans="1:28" x14ac:dyDescent="0.25">
      <c r="A1197" t="s">
        <v>1201</v>
      </c>
      <c r="B1197">
        <v>0.99252571173614901</v>
      </c>
      <c r="C1197">
        <v>1.04079914052121</v>
      </c>
      <c r="D1197">
        <v>0.97395520231877697</v>
      </c>
      <c r="E1197">
        <v>0.88464973722574403</v>
      </c>
      <c r="F1197">
        <v>0.85093499073185797</v>
      </c>
      <c r="G1197">
        <v>0.69678562140108502</v>
      </c>
      <c r="H1197">
        <v>0.57604916693722397</v>
      </c>
      <c r="I1197">
        <v>0.39228629880058002</v>
      </c>
      <c r="J1197">
        <v>0.27722063022298699</v>
      </c>
      <c r="K1197">
        <v>0.26696142180258903</v>
      </c>
      <c r="L1197">
        <v>646.67877452709001</v>
      </c>
      <c r="M1197">
        <v>10.5604093032343</v>
      </c>
      <c r="N1197">
        <v>61.698386862203797</v>
      </c>
      <c r="O1197">
        <v>59.162645905009498</v>
      </c>
      <c r="P1197">
        <v>-4.2944166838996503E-2</v>
      </c>
      <c r="Q1197">
        <v>3.80341886898218E-2</v>
      </c>
      <c r="R1197">
        <v>0.98970728514744399</v>
      </c>
      <c r="S1197" t="s">
        <v>7843</v>
      </c>
      <c r="T1197" t="s">
        <v>13290</v>
      </c>
      <c r="U1197" t="s">
        <v>13290</v>
      </c>
      <c r="V1197" t="s">
        <v>13290</v>
      </c>
      <c r="W1197" t="s">
        <v>14462</v>
      </c>
      <c r="X1197">
        <v>7</v>
      </c>
      <c r="Y1197" t="s">
        <v>21045</v>
      </c>
      <c r="Z1197" t="s">
        <v>27527</v>
      </c>
      <c r="AA1197">
        <v>0.7080383377634466</v>
      </c>
      <c r="AB1197" t="str">
        <f>HYPERLINK("Melting_Curves/meltCurve_J3QRS9_ZNF207.pdf", "Melting_Curves/meltCurve_J3QRS9_ZNF207.pdf")</f>
        <v>Melting_Curves/meltCurve_J3QRS9_ZNF207.pdf</v>
      </c>
    </row>
    <row r="1198" spans="1:28" x14ac:dyDescent="0.25">
      <c r="A1198" t="s">
        <v>1202</v>
      </c>
      <c r="B1198">
        <v>0.99252571173614901</v>
      </c>
      <c r="C1198">
        <v>0.92894711101099103</v>
      </c>
      <c r="D1198">
        <v>0.75793716484385998</v>
      </c>
      <c r="E1198">
        <v>0.49220456035663102</v>
      </c>
      <c r="F1198">
        <v>0.198209266099062</v>
      </c>
      <c r="G1198">
        <v>0.104785485637825</v>
      </c>
      <c r="H1198">
        <v>7.4630472728825101E-2</v>
      </c>
      <c r="I1198">
        <v>8.9690118569940094E-2</v>
      </c>
      <c r="J1198">
        <v>9.9639490722173402E-2</v>
      </c>
      <c r="K1198">
        <v>0.100725630572761</v>
      </c>
      <c r="L1198">
        <v>963.95554905987603</v>
      </c>
      <c r="M1198">
        <v>19.799935034401699</v>
      </c>
      <c r="N1198">
        <v>49.098436699080402</v>
      </c>
      <c r="O1198">
        <v>48.196335745109501</v>
      </c>
      <c r="P1198">
        <v>-9.4817868760249599E-2</v>
      </c>
      <c r="Q1198">
        <v>7.6821468601356302E-2</v>
      </c>
      <c r="R1198">
        <v>0.996610723992707</v>
      </c>
      <c r="S1198" t="s">
        <v>7844</v>
      </c>
      <c r="T1198" t="s">
        <v>13290</v>
      </c>
      <c r="U1198" t="s">
        <v>13290</v>
      </c>
      <c r="V1198" t="s">
        <v>13290</v>
      </c>
      <c r="W1198" t="s">
        <v>14463</v>
      </c>
      <c r="X1198">
        <v>7</v>
      </c>
      <c r="Y1198" t="s">
        <v>21046</v>
      </c>
      <c r="Z1198" t="s">
        <v>27528</v>
      </c>
      <c r="AA1198">
        <v>0.35732168994530539</v>
      </c>
      <c r="AB1198" t="str">
        <f>HYPERLINK("Melting_Curves/meltCurve_J3QRU1_YES1.pdf", "Melting_Curves/meltCurve_J3QRU1_YES1.pdf")</f>
        <v>Melting_Curves/meltCurve_J3QRU1_YES1.pdf</v>
      </c>
    </row>
    <row r="1199" spans="1:28" x14ac:dyDescent="0.25">
      <c r="A1199" t="s">
        <v>1203</v>
      </c>
      <c r="B1199">
        <v>0.99252571173614901</v>
      </c>
      <c r="C1199">
        <v>0.94060724108188698</v>
      </c>
      <c r="D1199">
        <v>0.82976182844604696</v>
      </c>
      <c r="E1199">
        <v>0.69124999771687701</v>
      </c>
      <c r="F1199">
        <v>0.62472669784769996</v>
      </c>
      <c r="G1199">
        <v>0.46856679713375798</v>
      </c>
      <c r="H1199">
        <v>0.38780859458615002</v>
      </c>
      <c r="I1199">
        <v>0.49427489380961198</v>
      </c>
      <c r="J1199">
        <v>0.69890899652322003</v>
      </c>
      <c r="K1199">
        <v>0.55124726735386098</v>
      </c>
      <c r="L1199">
        <v>924.41641660721496</v>
      </c>
      <c r="M1199">
        <v>19.3987399618422</v>
      </c>
      <c r="O1199">
        <v>47.155691210251497</v>
      </c>
      <c r="P1199">
        <v>-4.8986149696139299E-2</v>
      </c>
      <c r="Q1199">
        <v>0.52370292702877297</v>
      </c>
      <c r="R1199">
        <v>0.83694522491507595</v>
      </c>
      <c r="S1199" t="s">
        <v>7845</v>
      </c>
      <c r="T1199" t="s">
        <v>13290</v>
      </c>
      <c r="U1199" t="s">
        <v>13290</v>
      </c>
      <c r="V1199" t="s">
        <v>13290</v>
      </c>
      <c r="W1199" t="s">
        <v>14464</v>
      </c>
      <c r="X1199">
        <v>6</v>
      </c>
      <c r="Y1199" t="s">
        <v>21047</v>
      </c>
      <c r="Z1199" t="s">
        <v>27529</v>
      </c>
      <c r="AA1199">
        <v>0.65249969817320286</v>
      </c>
      <c r="AB1199" t="str">
        <f>HYPERLINK("Melting_Curves/meltCurve_J3QRU4_VAMP2.pdf", "Melting_Curves/meltCurve_J3QRU4_VAMP2.pdf")</f>
        <v>Melting_Curves/meltCurve_J3QRU4_VAMP2.pdf</v>
      </c>
    </row>
    <row r="1200" spans="1:28" x14ac:dyDescent="0.25">
      <c r="A1200" t="s">
        <v>1204</v>
      </c>
      <c r="B1200">
        <v>0.99252571173614901</v>
      </c>
      <c r="C1200">
        <v>0.92375310886457596</v>
      </c>
      <c r="D1200">
        <v>0.92170797224069001</v>
      </c>
      <c r="E1200">
        <v>0.83271344573855199</v>
      </c>
      <c r="F1200">
        <v>0.26911111287387401</v>
      </c>
      <c r="G1200">
        <v>0.13371211005175099</v>
      </c>
      <c r="H1200">
        <v>0.102188628581866</v>
      </c>
      <c r="I1200">
        <v>0.104974252232959</v>
      </c>
      <c r="J1200">
        <v>0.133139866563913</v>
      </c>
      <c r="K1200">
        <v>0.130894910173216</v>
      </c>
      <c r="L1200">
        <v>2143.9176779111499</v>
      </c>
      <c r="M1200">
        <v>41.831031776383199</v>
      </c>
      <c r="N1200">
        <v>51.581035312592</v>
      </c>
      <c r="O1200">
        <v>51.135133630304601</v>
      </c>
      <c r="P1200">
        <v>-0.18055289457566001</v>
      </c>
      <c r="Q1200">
        <v>0.11715488650627499</v>
      </c>
      <c r="R1200">
        <v>0.99192170429043003</v>
      </c>
      <c r="S1200" t="s">
        <v>7846</v>
      </c>
      <c r="T1200" t="s">
        <v>13290</v>
      </c>
      <c r="U1200" t="s">
        <v>13290</v>
      </c>
      <c r="V1200" t="s">
        <v>13290</v>
      </c>
      <c r="W1200" t="s">
        <v>14465</v>
      </c>
      <c r="X1200">
        <v>14</v>
      </c>
      <c r="Y1200" t="s">
        <v>21048</v>
      </c>
      <c r="Z1200" t="s">
        <v>27530</v>
      </c>
      <c r="AA1200">
        <v>0.45113383013639657</v>
      </c>
      <c r="AB1200" t="str">
        <f>HYPERLINK("Melting_Curves/meltCurve_J3QRV5_LLGL2.pdf", "Melting_Curves/meltCurve_J3QRV5_LLGL2.pdf")</f>
        <v>Melting_Curves/meltCurve_J3QRV5_LLGL2.pdf</v>
      </c>
    </row>
    <row r="1201" spans="1:28" x14ac:dyDescent="0.25">
      <c r="A1201" t="s">
        <v>1205</v>
      </c>
      <c r="B1201">
        <v>0.99252571173614901</v>
      </c>
      <c r="C1201">
        <v>1.3388972364544001</v>
      </c>
      <c r="D1201">
        <v>1.1057941318150899</v>
      </c>
      <c r="E1201">
        <v>1.4948451684367901</v>
      </c>
      <c r="F1201">
        <v>1.8445369892101</v>
      </c>
      <c r="G1201">
        <v>2.2742400487552099</v>
      </c>
      <c r="H1201">
        <v>2.4527302648177298</v>
      </c>
      <c r="I1201">
        <v>3.3305389835737298</v>
      </c>
      <c r="J1201">
        <v>5.0223808128512601</v>
      </c>
      <c r="K1201">
        <v>5.1128003779681404</v>
      </c>
      <c r="L1201">
        <v>1093.8907947458199</v>
      </c>
      <c r="M1201">
        <v>24.673906012488299</v>
      </c>
      <c r="O1201">
        <v>44.045774005117998</v>
      </c>
      <c r="P1201">
        <v>7.00244655213587E-2</v>
      </c>
      <c r="Q1201">
        <v>1.5</v>
      </c>
      <c r="R1201">
        <v>-0.45907457790842798</v>
      </c>
      <c r="S1201" t="s">
        <v>7847</v>
      </c>
      <c r="T1201" t="s">
        <v>13290</v>
      </c>
      <c r="U1201" t="s">
        <v>13290</v>
      </c>
      <c r="V1201" t="s">
        <v>13290</v>
      </c>
      <c r="W1201" t="s">
        <v>14466</v>
      </c>
      <c r="X1201">
        <v>1</v>
      </c>
      <c r="Y1201" t="s">
        <v>21049</v>
      </c>
      <c r="Z1201" t="s">
        <v>27531</v>
      </c>
      <c r="AA1201">
        <v>1.4221719113641469</v>
      </c>
      <c r="AB1201" t="str">
        <f>HYPERLINK("Melting_Curves/meltCurve_J3QRX6_COPRS.pdf", "Melting_Curves/meltCurve_J3QRX6_COPRS.pdf")</f>
        <v>Melting_Curves/meltCurve_J3QRX6_COPRS.pdf</v>
      </c>
    </row>
    <row r="1202" spans="1:28" x14ac:dyDescent="0.25">
      <c r="A1202" t="s">
        <v>1206</v>
      </c>
      <c r="B1202">
        <v>0.99252571173614901</v>
      </c>
      <c r="C1202">
        <v>0.94046408043735996</v>
      </c>
      <c r="D1202">
        <v>0.87467530088351297</v>
      </c>
      <c r="E1202">
        <v>0.66603989997181201</v>
      </c>
      <c r="F1202">
        <v>0.36015103534545301</v>
      </c>
      <c r="G1202">
        <v>0.234516734764631</v>
      </c>
      <c r="H1202">
        <v>0.126880266129096</v>
      </c>
      <c r="I1202">
        <v>0.18415391468008699</v>
      </c>
      <c r="J1202">
        <v>0.309065468988026</v>
      </c>
      <c r="K1202">
        <v>0.34647689757295103</v>
      </c>
      <c r="L1202">
        <v>1233.3705789237599</v>
      </c>
      <c r="M1202">
        <v>24.7679391190937</v>
      </c>
      <c r="N1202">
        <v>51.0875561448144</v>
      </c>
      <c r="O1202">
        <v>49.475852627072904</v>
      </c>
      <c r="P1202">
        <v>-9.60498669637736E-2</v>
      </c>
      <c r="Q1202">
        <v>0.232543006900471</v>
      </c>
      <c r="R1202">
        <v>0.96000336888347004</v>
      </c>
      <c r="S1202" t="s">
        <v>7848</v>
      </c>
      <c r="T1202" t="s">
        <v>13290</v>
      </c>
      <c r="U1202" t="s">
        <v>13290</v>
      </c>
      <c r="V1202" t="s">
        <v>13290</v>
      </c>
      <c r="W1202" t="s">
        <v>14467</v>
      </c>
      <c r="X1202">
        <v>1</v>
      </c>
      <c r="Y1202" t="s">
        <v>21050</v>
      </c>
      <c r="Z1202" t="s">
        <v>27532</v>
      </c>
      <c r="AA1202">
        <v>0.49014616320930038</v>
      </c>
      <c r="AB1202" t="str">
        <f>HYPERLINK("Melting_Curves/meltCurve_J3QS41_HELZ.pdf", "Melting_Curves/meltCurve_J3QS41_HELZ.pdf")</f>
        <v>Melting_Curves/meltCurve_J3QS41_HELZ.pdf</v>
      </c>
    </row>
    <row r="1203" spans="1:28" x14ac:dyDescent="0.25">
      <c r="A1203" t="s">
        <v>1207</v>
      </c>
      <c r="B1203">
        <v>0.99252571173614901</v>
      </c>
      <c r="C1203">
        <v>1.16020873847524</v>
      </c>
      <c r="D1203">
        <v>1.1287646710647501</v>
      </c>
      <c r="E1203">
        <v>1.0629193429544599</v>
      </c>
      <c r="F1203">
        <v>0.70213069288947705</v>
      </c>
      <c r="G1203">
        <v>0.45168239169139801</v>
      </c>
      <c r="H1203">
        <v>0.56356059290371496</v>
      </c>
      <c r="I1203">
        <v>0.738113624237831</v>
      </c>
      <c r="J1203">
        <v>1.0271286775406301</v>
      </c>
      <c r="K1203">
        <v>0.92663656124199301</v>
      </c>
      <c r="L1203">
        <v>7188.7865771193101</v>
      </c>
      <c r="M1203">
        <v>139.72686065380199</v>
      </c>
      <c r="O1203">
        <v>51.438314765418902</v>
      </c>
      <c r="P1203">
        <v>-0.180265427911208</v>
      </c>
      <c r="Q1203">
        <v>0.73455212122563396</v>
      </c>
      <c r="R1203">
        <v>0.48772695357679802</v>
      </c>
      <c r="S1203" t="s">
        <v>7849</v>
      </c>
      <c r="T1203" t="s">
        <v>13290</v>
      </c>
      <c r="U1203" t="s">
        <v>13290</v>
      </c>
      <c r="V1203" t="s">
        <v>13290</v>
      </c>
      <c r="W1203" t="s">
        <v>14468</v>
      </c>
      <c r="X1203">
        <v>1</v>
      </c>
      <c r="Y1203" t="s">
        <v>21051</v>
      </c>
      <c r="Z1203" t="s">
        <v>27533</v>
      </c>
      <c r="AA1203">
        <v>0.83593133511787143</v>
      </c>
      <c r="AB1203" t="str">
        <f>HYPERLINK("Melting_Curves/meltCurve_J3QS47_CYB561.pdf", "Melting_Curves/meltCurve_J3QS47_CYB561.pdf")</f>
        <v>Melting_Curves/meltCurve_J3QS47_CYB561.pdf</v>
      </c>
    </row>
    <row r="1204" spans="1:28" x14ac:dyDescent="0.25">
      <c r="A1204" t="s">
        <v>1208</v>
      </c>
      <c r="B1204">
        <v>0.99252571173614901</v>
      </c>
      <c r="C1204">
        <v>0.965574504342679</v>
      </c>
      <c r="D1204">
        <v>0.87847846849352595</v>
      </c>
      <c r="E1204">
        <v>0.75809621499548496</v>
      </c>
      <c r="F1204">
        <v>0.43426292217410301</v>
      </c>
      <c r="G1204">
        <v>0.21627547414042</v>
      </c>
      <c r="H1204">
        <v>0.116855978908328</v>
      </c>
      <c r="I1204">
        <v>0.108999682324934</v>
      </c>
      <c r="J1204">
        <v>0.119464976527749</v>
      </c>
      <c r="K1204">
        <v>0.12705685165620101</v>
      </c>
      <c r="L1204">
        <v>1020.23377714573</v>
      </c>
      <c r="M1204">
        <v>19.715599137225201</v>
      </c>
      <c r="N1204">
        <v>52.319326127836099</v>
      </c>
      <c r="O1204">
        <v>51.223984995979798</v>
      </c>
      <c r="P1204">
        <v>-8.6900070253854406E-2</v>
      </c>
      <c r="Q1204">
        <v>9.6915180493926695E-2</v>
      </c>
      <c r="R1204">
        <v>0.99590170152618196</v>
      </c>
      <c r="S1204" t="s">
        <v>7850</v>
      </c>
      <c r="T1204" t="s">
        <v>13290</v>
      </c>
      <c r="U1204" t="s">
        <v>13290</v>
      </c>
      <c r="V1204" t="s">
        <v>13290</v>
      </c>
      <c r="W1204" t="s">
        <v>14469</v>
      </c>
      <c r="X1204">
        <v>1</v>
      </c>
      <c r="Y1204" t="s">
        <v>21052</v>
      </c>
      <c r="Z1204" t="s">
        <v>27534</v>
      </c>
      <c r="AA1204">
        <v>0.46338706063884871</v>
      </c>
      <c r="AB1204" t="str">
        <f>HYPERLINK("Melting_Curves/meltCurve_J3QSE8_BRIP1.pdf", "Melting_Curves/meltCurve_J3QSE8_BRIP1.pdf")</f>
        <v>Melting_Curves/meltCurve_J3QSE8_BRIP1.pdf</v>
      </c>
    </row>
    <row r="1205" spans="1:28" x14ac:dyDescent="0.25">
      <c r="A1205" t="s">
        <v>1209</v>
      </c>
      <c r="B1205">
        <v>0.99252571173614901</v>
      </c>
      <c r="C1205">
        <v>0.90663104772816805</v>
      </c>
      <c r="D1205">
        <v>0.58716725239663603</v>
      </c>
      <c r="E1205">
        <v>0.39049156520269102</v>
      </c>
      <c r="F1205">
        <v>0.16528094234886001</v>
      </c>
      <c r="G1205">
        <v>0.12345467057040101</v>
      </c>
      <c r="H1205">
        <v>0.11610339606950899</v>
      </c>
      <c r="I1205">
        <v>0.121050868378896</v>
      </c>
      <c r="J1205">
        <v>0.15533885499833899</v>
      </c>
      <c r="K1205">
        <v>0.21762542008048599</v>
      </c>
      <c r="L1205">
        <v>989.40438867203</v>
      </c>
      <c r="M1205">
        <v>21.2244544066033</v>
      </c>
      <c r="N1205">
        <v>47.3576212815898</v>
      </c>
      <c r="O1205">
        <v>46.208346653258801</v>
      </c>
      <c r="P1205">
        <v>-9.8601640113450198E-2</v>
      </c>
      <c r="Q1205">
        <v>0.14134875557373699</v>
      </c>
      <c r="R1205">
        <v>0.98379181766048296</v>
      </c>
      <c r="S1205" t="s">
        <v>7851</v>
      </c>
      <c r="T1205" t="s">
        <v>13290</v>
      </c>
      <c r="U1205" t="s">
        <v>13290</v>
      </c>
      <c r="V1205" t="s">
        <v>13290</v>
      </c>
      <c r="W1205" t="s">
        <v>14470</v>
      </c>
      <c r="X1205">
        <v>4</v>
      </c>
      <c r="Y1205" t="s">
        <v>21053</v>
      </c>
      <c r="Z1205" t="s">
        <v>27535</v>
      </c>
      <c r="AA1205">
        <v>0.34190731274277769</v>
      </c>
      <c r="AB1205" t="str">
        <f>HYPERLINK("Melting_Curves/meltCurve_J3QSH4_VEZF1.pdf", "Melting_Curves/meltCurve_J3QSH4_VEZF1.pdf")</f>
        <v>Melting_Curves/meltCurve_J3QSH4_VEZF1.pdf</v>
      </c>
    </row>
    <row r="1206" spans="1:28" x14ac:dyDescent="0.25">
      <c r="A1206" t="s">
        <v>1210</v>
      </c>
      <c r="B1206">
        <v>0.99252571173614901</v>
      </c>
      <c r="C1206">
        <v>1.0171060022304701</v>
      </c>
      <c r="D1206">
        <v>1.0109132270741901</v>
      </c>
      <c r="E1206">
        <v>0.95815627379782997</v>
      </c>
      <c r="F1206">
        <v>0.54751955493356697</v>
      </c>
      <c r="G1206">
        <v>0.309812430782127</v>
      </c>
      <c r="H1206">
        <v>0.25533547587751099</v>
      </c>
      <c r="I1206">
        <v>0.29540476271317601</v>
      </c>
      <c r="J1206">
        <v>0.46023384809432599</v>
      </c>
      <c r="K1206">
        <v>0.46231896610439399</v>
      </c>
      <c r="L1206">
        <v>2977.7495763745701</v>
      </c>
      <c r="M1206">
        <v>56.878125025981902</v>
      </c>
      <c r="N1206">
        <v>53.524323624721099</v>
      </c>
      <c r="O1206">
        <v>52.2885620334458</v>
      </c>
      <c r="P1206">
        <v>-0.17514216418523801</v>
      </c>
      <c r="Q1206">
        <v>0.35596138198221999</v>
      </c>
      <c r="R1206">
        <v>0.95837996640696999</v>
      </c>
      <c r="S1206" t="s">
        <v>7852</v>
      </c>
      <c r="T1206" t="s">
        <v>13290</v>
      </c>
      <c r="U1206" t="s">
        <v>13290</v>
      </c>
      <c r="V1206" t="s">
        <v>13290</v>
      </c>
      <c r="W1206" t="s">
        <v>14471</v>
      </c>
      <c r="X1206">
        <v>5</v>
      </c>
      <c r="Y1206" t="s">
        <v>21054</v>
      </c>
      <c r="Z1206" t="s">
        <v>27536</v>
      </c>
      <c r="AA1206">
        <v>0.62230629314832042</v>
      </c>
      <c r="AB1206" t="str">
        <f>HYPERLINK("Melting_Curves/meltCurve_J3QSS3_ABCA2.pdf", "Melting_Curves/meltCurve_J3QSS3_ABCA2.pdf")</f>
        <v>Melting_Curves/meltCurve_J3QSS3_ABCA2.pdf</v>
      </c>
    </row>
    <row r="1207" spans="1:28" x14ac:dyDescent="0.25">
      <c r="A1207" t="s">
        <v>1211</v>
      </c>
      <c r="B1207">
        <v>0.99252571173614901</v>
      </c>
      <c r="C1207">
        <v>1.0755018904856899</v>
      </c>
      <c r="D1207">
        <v>1.1713074613760499</v>
      </c>
      <c r="E1207">
        <v>1.17008686230859</v>
      </c>
      <c r="F1207">
        <v>0.73707104755514896</v>
      </c>
      <c r="G1207">
        <v>0.239038897660206</v>
      </c>
      <c r="H1207">
        <v>0.113332947925256</v>
      </c>
      <c r="I1207">
        <v>0.102982384680152</v>
      </c>
      <c r="J1207">
        <v>0.109551851370272</v>
      </c>
      <c r="K1207">
        <v>1.0471714344363099</v>
      </c>
      <c r="L1207">
        <v>13324.2360038877</v>
      </c>
      <c r="M1207">
        <v>250</v>
      </c>
      <c r="N1207">
        <v>53.518529344163497</v>
      </c>
      <c r="O1207">
        <v>53.293533366523</v>
      </c>
      <c r="P1207">
        <v>-0.79463735343747399</v>
      </c>
      <c r="Q1207">
        <v>0.32241548386281299</v>
      </c>
      <c r="R1207">
        <v>0.64178798290829397</v>
      </c>
      <c r="S1207" t="s">
        <v>7853</v>
      </c>
      <c r="T1207" t="s">
        <v>13290</v>
      </c>
      <c r="U1207" t="s">
        <v>13290</v>
      </c>
      <c r="V1207" t="s">
        <v>13290</v>
      </c>
      <c r="W1207" t="s">
        <v>14472</v>
      </c>
      <c r="X1207">
        <v>3</v>
      </c>
      <c r="Y1207" t="s">
        <v>21055</v>
      </c>
      <c r="Z1207" t="s">
        <v>27537</v>
      </c>
      <c r="AA1207">
        <v>0.62280564116806791</v>
      </c>
      <c r="AB1207" t="str">
        <f>HYPERLINK("Melting_Curves/meltCurve_J3QSV6_RSL1D1.pdf", "Melting_Curves/meltCurve_J3QSV6_RSL1D1.pdf")</f>
        <v>Melting_Curves/meltCurve_J3QSV6_RSL1D1.pdf</v>
      </c>
    </row>
    <row r="1208" spans="1:28" x14ac:dyDescent="0.25">
      <c r="A1208" t="s">
        <v>1212</v>
      </c>
      <c r="B1208">
        <v>0.99252571173614901</v>
      </c>
      <c r="C1208">
        <v>1.03046026974335</v>
      </c>
      <c r="D1208">
        <v>0.86906750955792</v>
      </c>
      <c r="E1208">
        <v>0.64341926552667195</v>
      </c>
      <c r="F1208">
        <v>0.33582491560859201</v>
      </c>
      <c r="G1208">
        <v>0.23905554917990601</v>
      </c>
      <c r="H1208">
        <v>0.207575367382513</v>
      </c>
      <c r="I1208">
        <v>0.35672958309930602</v>
      </c>
      <c r="J1208">
        <v>0.59604325767083899</v>
      </c>
      <c r="K1208">
        <v>0.70678757412214399</v>
      </c>
      <c r="L1208">
        <v>1704.40521087969</v>
      </c>
      <c r="M1208">
        <v>35.150074264670003</v>
      </c>
      <c r="N1208">
        <v>50.937347182872301</v>
      </c>
      <c r="O1208">
        <v>48.333237302930101</v>
      </c>
      <c r="P1208">
        <v>-0.107692434620455</v>
      </c>
      <c r="Q1208">
        <v>0.40767058160893499</v>
      </c>
      <c r="R1208">
        <v>0.74513559207631197</v>
      </c>
      <c r="S1208" t="s">
        <v>7854</v>
      </c>
      <c r="T1208" t="s">
        <v>13290</v>
      </c>
      <c r="U1208" t="s">
        <v>13290</v>
      </c>
      <c r="V1208" t="s">
        <v>13290</v>
      </c>
      <c r="W1208" t="s">
        <v>14473</v>
      </c>
      <c r="X1208">
        <v>2</v>
      </c>
      <c r="Y1208" t="s">
        <v>21056</v>
      </c>
      <c r="Z1208" t="s">
        <v>27538</v>
      </c>
      <c r="AA1208">
        <v>0.57787497185936576</v>
      </c>
      <c r="AB1208" t="str">
        <f>HYPERLINK("Melting_Curves/meltCurve_J3QSW3_ZFP62.pdf", "Melting_Curves/meltCurve_J3QSW3_ZFP62.pdf")</f>
        <v>Melting_Curves/meltCurve_J3QSW3_ZFP62.pdf</v>
      </c>
    </row>
    <row r="1209" spans="1:28" x14ac:dyDescent="0.25">
      <c r="A1209" t="s">
        <v>1213</v>
      </c>
      <c r="B1209">
        <v>0.99252571173614901</v>
      </c>
      <c r="C1209">
        <v>0.94661127966243497</v>
      </c>
      <c r="D1209">
        <v>1.08277270684855</v>
      </c>
      <c r="E1209">
        <v>1.1120936962441501</v>
      </c>
      <c r="F1209">
        <v>0.89635260778877501</v>
      </c>
      <c r="G1209">
        <v>0.44411524874305303</v>
      </c>
      <c r="H1209">
        <v>9.7119289248695395E-2</v>
      </c>
      <c r="I1209">
        <v>5.6097937271794601E-2</v>
      </c>
      <c r="J1209">
        <v>4.4423781865314899E-2</v>
      </c>
      <c r="K1209">
        <v>4.9013251386068303E-2</v>
      </c>
      <c r="L1209">
        <v>2203.9580952067799</v>
      </c>
      <c r="M1209">
        <v>39.149133762714698</v>
      </c>
      <c r="N1209">
        <v>56.437951689852198</v>
      </c>
      <c r="O1209">
        <v>56.150159647225401</v>
      </c>
      <c r="P1209">
        <v>-0.16615875661457</v>
      </c>
      <c r="Q1209">
        <v>4.6740247989311701E-2</v>
      </c>
      <c r="R1209">
        <v>0.98835187527473201</v>
      </c>
      <c r="S1209" t="s">
        <v>7855</v>
      </c>
      <c r="T1209" t="s">
        <v>13290</v>
      </c>
      <c r="U1209" t="s">
        <v>13290</v>
      </c>
      <c r="V1209" t="s">
        <v>13290</v>
      </c>
      <c r="W1209" t="s">
        <v>14474</v>
      </c>
      <c r="X1209">
        <v>8</v>
      </c>
      <c r="Y1209" t="s">
        <v>21057</v>
      </c>
      <c r="Z1209" t="s">
        <v>27539</v>
      </c>
      <c r="AA1209">
        <v>0.56840556091803018</v>
      </c>
      <c r="AB1209" t="str">
        <f>HYPERLINK("Melting_Curves/meltCurve_J3QT87_CRBN.pdf", "Melting_Curves/meltCurve_J3QT87_CRBN.pdf")</f>
        <v>Melting_Curves/meltCurve_J3QT87_CRBN.pdf</v>
      </c>
    </row>
    <row r="1210" spans="1:28" x14ac:dyDescent="0.25">
      <c r="A1210" t="s">
        <v>1214</v>
      </c>
      <c r="B1210">
        <v>0.99252571173614901</v>
      </c>
      <c r="C1210">
        <v>1.092497558127</v>
      </c>
      <c r="D1210">
        <v>0.98646608071139097</v>
      </c>
      <c r="E1210">
        <v>0.84514158732341205</v>
      </c>
      <c r="F1210">
        <v>0.69715453456515597</v>
      </c>
      <c r="G1210">
        <v>0.45655832382216299</v>
      </c>
      <c r="H1210">
        <v>0.26533002960630597</v>
      </c>
      <c r="I1210">
        <v>0.259921855605526</v>
      </c>
      <c r="J1210">
        <v>0.35535680889662002</v>
      </c>
      <c r="K1210">
        <v>0.38151514648830198</v>
      </c>
      <c r="L1210">
        <v>1252.0632443192501</v>
      </c>
      <c r="M1210">
        <v>23.478452406939699</v>
      </c>
      <c r="N1210">
        <v>55.588898099648901</v>
      </c>
      <c r="O1210">
        <v>52.945805500048202</v>
      </c>
      <c r="P1210">
        <v>-7.6765559482532095E-2</v>
      </c>
      <c r="Q1210">
        <v>0.30756149190811599</v>
      </c>
      <c r="R1210">
        <v>0.96861530390944905</v>
      </c>
      <c r="S1210" t="s">
        <v>7856</v>
      </c>
      <c r="T1210" t="s">
        <v>13290</v>
      </c>
      <c r="U1210" t="s">
        <v>13290</v>
      </c>
      <c r="V1210" t="s">
        <v>13290</v>
      </c>
      <c r="W1210" t="s">
        <v>14475</v>
      </c>
      <c r="X1210">
        <v>5</v>
      </c>
      <c r="Y1210" t="s">
        <v>21058</v>
      </c>
      <c r="Z1210" t="s">
        <v>27540</v>
      </c>
      <c r="AA1210">
        <v>0.6223640740334474</v>
      </c>
      <c r="AB1210" t="str">
        <f>HYPERLINK("Melting_Curves/meltCurve_J3QTA2_BAG1.pdf", "Melting_Curves/meltCurve_J3QTA2_BAG1.pdf")</f>
        <v>Melting_Curves/meltCurve_J3QTA2_BAG1.pdf</v>
      </c>
    </row>
    <row r="1211" spans="1:28" x14ac:dyDescent="0.25">
      <c r="A1211" t="s">
        <v>1215</v>
      </c>
      <c r="B1211">
        <v>0.99252571173614901</v>
      </c>
      <c r="C1211">
        <v>0.99913819049971597</v>
      </c>
      <c r="D1211">
        <v>0.91281623491675801</v>
      </c>
      <c r="E1211">
        <v>1.0269888024574101</v>
      </c>
      <c r="F1211">
        <v>0.85864956685191496</v>
      </c>
      <c r="G1211">
        <v>0.70583017276997395</v>
      </c>
      <c r="H1211">
        <v>0.75307364424833501</v>
      </c>
      <c r="I1211">
        <v>1.0390168348065001</v>
      </c>
      <c r="J1211">
        <v>1.85931254074966</v>
      </c>
      <c r="K1211">
        <v>1.92815616693475</v>
      </c>
      <c r="L1211">
        <v>15000</v>
      </c>
      <c r="M1211">
        <v>231.935981359831</v>
      </c>
      <c r="O1211">
        <v>64.668211319501395</v>
      </c>
      <c r="P1211">
        <v>0.44831916124972798</v>
      </c>
      <c r="Q1211">
        <v>1.5</v>
      </c>
      <c r="R1211">
        <v>0.70608107023625599</v>
      </c>
      <c r="S1211" t="s">
        <v>7857</v>
      </c>
      <c r="T1211" t="s">
        <v>13290</v>
      </c>
      <c r="U1211" t="s">
        <v>13290</v>
      </c>
      <c r="V1211" t="s">
        <v>13290</v>
      </c>
      <c r="W1211" t="s">
        <v>14476</v>
      </c>
      <c r="X1211">
        <v>13</v>
      </c>
      <c r="Y1211" t="s">
        <v>21059</v>
      </c>
      <c r="Z1211" t="s">
        <v>27541</v>
      </c>
      <c r="AA1211">
        <v>1.0887170896007861</v>
      </c>
      <c r="AB1211" t="str">
        <f>HYPERLINK("Melting_Curves/meltCurve_J3QTA6_CHCHD6.pdf", "Melting_Curves/meltCurve_J3QTA6_CHCHD6.pdf")</f>
        <v>Melting_Curves/meltCurve_J3QTA6_CHCHD6.pdf</v>
      </c>
    </row>
    <row r="1212" spans="1:28" x14ac:dyDescent="0.25">
      <c r="A1212" t="s">
        <v>1216</v>
      </c>
      <c r="B1212">
        <v>0.99252571173614901</v>
      </c>
      <c r="C1212">
        <v>0.81740949808024399</v>
      </c>
      <c r="D1212">
        <v>0.92937372109918903</v>
      </c>
      <c r="E1212">
        <v>0.77096134143534001</v>
      </c>
      <c r="F1212">
        <v>0.57052832349182603</v>
      </c>
      <c r="G1212">
        <v>0.22442557104991101</v>
      </c>
      <c r="H1212">
        <v>0.13345994427749999</v>
      </c>
      <c r="I1212">
        <v>0.14112091267525301</v>
      </c>
      <c r="J1212">
        <v>0.12033849394233</v>
      </c>
      <c r="K1212">
        <v>0.12693007667386799</v>
      </c>
      <c r="L1212">
        <v>937.94151608389495</v>
      </c>
      <c r="M1212">
        <v>17.801760965355101</v>
      </c>
      <c r="N1212">
        <v>53.282541300744597</v>
      </c>
      <c r="O1212">
        <v>52.036772328245902</v>
      </c>
      <c r="P1212">
        <v>-7.7826729011644197E-2</v>
      </c>
      <c r="Q1212">
        <v>9.0058223127122305E-2</v>
      </c>
      <c r="R1212">
        <v>0.96885017769979298</v>
      </c>
      <c r="S1212" t="s">
        <v>7858</v>
      </c>
      <c r="T1212" t="s">
        <v>13290</v>
      </c>
      <c r="U1212" t="s">
        <v>13290</v>
      </c>
      <c r="V1212" t="s">
        <v>13290</v>
      </c>
      <c r="W1212" t="s">
        <v>14477</v>
      </c>
      <c r="X1212">
        <v>3</v>
      </c>
      <c r="Y1212" t="s">
        <v>21060</v>
      </c>
      <c r="Z1212" t="s">
        <v>27542</v>
      </c>
      <c r="AA1212">
        <v>0.4901631793034964</v>
      </c>
      <c r="AB1212" t="str">
        <f>HYPERLINK("Melting_Curves/meltCurve_J9JIC5_C17orf75.pdf", "Melting_Curves/meltCurve_J9JIC5_C17orf75.pdf")</f>
        <v>Melting_Curves/meltCurve_J9JIC5_C17orf75.pdf</v>
      </c>
    </row>
    <row r="1213" spans="1:28" x14ac:dyDescent="0.25">
      <c r="A1213" t="s">
        <v>1217</v>
      </c>
      <c r="B1213">
        <v>0.99252571173614901</v>
      </c>
      <c r="C1213">
        <v>0.95678067547058399</v>
      </c>
      <c r="D1213">
        <v>0.91677807898277897</v>
      </c>
      <c r="E1213">
        <v>0.93571688967092004</v>
      </c>
      <c r="F1213">
        <v>0.40235421729543203</v>
      </c>
      <c r="G1213">
        <v>0.25018656788772098</v>
      </c>
      <c r="H1213">
        <v>0.194910121824484</v>
      </c>
      <c r="I1213">
        <v>0.23104130689771299</v>
      </c>
      <c r="J1213">
        <v>0.29905315974206698</v>
      </c>
      <c r="K1213">
        <v>0.30852741049545102</v>
      </c>
      <c r="L1213">
        <v>2750.2654559075299</v>
      </c>
      <c r="M1213">
        <v>53.108322113283997</v>
      </c>
      <c r="N1213">
        <v>52.493064443673703</v>
      </c>
      <c r="O1213">
        <v>51.712672859008897</v>
      </c>
      <c r="P1213">
        <v>-0.19114836168895799</v>
      </c>
      <c r="Q1213">
        <v>0.25549976701329802</v>
      </c>
      <c r="R1213">
        <v>0.98384613933354303</v>
      </c>
      <c r="S1213" t="s">
        <v>7859</v>
      </c>
      <c r="T1213" t="s">
        <v>13290</v>
      </c>
      <c r="U1213" t="s">
        <v>13290</v>
      </c>
      <c r="V1213" t="s">
        <v>13290</v>
      </c>
      <c r="W1213" t="s">
        <v>14478</v>
      </c>
      <c r="X1213">
        <v>50</v>
      </c>
      <c r="Y1213" t="s">
        <v>21061</v>
      </c>
      <c r="Z1213" t="s">
        <v>27543</v>
      </c>
      <c r="AA1213">
        <v>0.54949451208433331</v>
      </c>
      <c r="AB1213" t="str">
        <f>HYPERLINK("Melting_Curves/meltCurve_J9JID7_LMNB2.pdf", "Melting_Curves/meltCurve_J9JID7_LMNB2.pdf")</f>
        <v>Melting_Curves/meltCurve_J9JID7_LMNB2.pdf</v>
      </c>
    </row>
    <row r="1214" spans="1:28" x14ac:dyDescent="0.25">
      <c r="A1214" t="s">
        <v>1218</v>
      </c>
      <c r="B1214">
        <v>0.99252571173614901</v>
      </c>
      <c r="C1214">
        <v>1.0928432250578901</v>
      </c>
      <c r="D1214">
        <v>0.94527284787885901</v>
      </c>
      <c r="E1214">
        <v>0.71893885380550804</v>
      </c>
      <c r="F1214">
        <v>0.279985761511506</v>
      </c>
      <c r="G1214">
        <v>0.20061535678245801</v>
      </c>
      <c r="H1214">
        <v>0.161983400430083</v>
      </c>
      <c r="I1214">
        <v>0.192596469166602</v>
      </c>
      <c r="J1214">
        <v>0.205127171411707</v>
      </c>
      <c r="K1214">
        <v>0.19311790628836101</v>
      </c>
      <c r="L1214">
        <v>1894.1515041432301</v>
      </c>
      <c r="M1214">
        <v>37.583686384182499</v>
      </c>
      <c r="N1214">
        <v>51.035458347566802</v>
      </c>
      <c r="O1214">
        <v>50.256188910601999</v>
      </c>
      <c r="P1214">
        <v>-0.15194896736847799</v>
      </c>
      <c r="Q1214">
        <v>0.18726910935396601</v>
      </c>
      <c r="R1214">
        <v>0.99186273085174503</v>
      </c>
      <c r="S1214" t="s">
        <v>7860</v>
      </c>
      <c r="T1214" t="s">
        <v>13290</v>
      </c>
      <c r="U1214" t="s">
        <v>13290</v>
      </c>
      <c r="V1214" t="s">
        <v>13290</v>
      </c>
      <c r="W1214" t="s">
        <v>14479</v>
      </c>
      <c r="X1214">
        <v>3</v>
      </c>
      <c r="Y1214" t="s">
        <v>21062</v>
      </c>
      <c r="Z1214" t="s">
        <v>27544</v>
      </c>
      <c r="AA1214">
        <v>0.47217902556802421</v>
      </c>
      <c r="AB1214" t="str">
        <f>HYPERLINK("Melting_Curves/meltCurve_J9JID9_PITPNC1.pdf", "Melting_Curves/meltCurve_J9JID9_PITPNC1.pdf")</f>
        <v>Melting_Curves/meltCurve_J9JID9_PITPNC1.pdf</v>
      </c>
    </row>
    <row r="1215" spans="1:28" x14ac:dyDescent="0.25">
      <c r="A1215" t="s">
        <v>1219</v>
      </c>
      <c r="B1215">
        <v>0.99252571173614901</v>
      </c>
      <c r="C1215">
        <v>0.91802216409158499</v>
      </c>
      <c r="D1215">
        <v>0.82455131779488999</v>
      </c>
      <c r="E1215">
        <v>0.81986877268750902</v>
      </c>
      <c r="F1215">
        <v>0.41883803477632903</v>
      </c>
      <c r="G1215">
        <v>0.204916727971375</v>
      </c>
      <c r="H1215">
        <v>0.11832310898647599</v>
      </c>
      <c r="I1215">
        <v>0.11229228006762899</v>
      </c>
      <c r="J1215">
        <v>0.13252808925267701</v>
      </c>
      <c r="K1215">
        <v>0.118378326610103</v>
      </c>
      <c r="L1215">
        <v>1057.2821438885601</v>
      </c>
      <c r="M1215">
        <v>20.392812829855501</v>
      </c>
      <c r="N1215">
        <v>52.405362463312699</v>
      </c>
      <c r="O1215">
        <v>51.354988992789401</v>
      </c>
      <c r="P1215">
        <v>-8.9564594284969795E-2</v>
      </c>
      <c r="Q1215">
        <v>9.7829097764105297E-2</v>
      </c>
      <c r="R1215">
        <v>0.98009078950209505</v>
      </c>
      <c r="S1215" t="s">
        <v>7861</v>
      </c>
      <c r="T1215" t="s">
        <v>13290</v>
      </c>
      <c r="U1215" t="s">
        <v>13290</v>
      </c>
      <c r="V1215" t="s">
        <v>13290</v>
      </c>
      <c r="W1215" t="s">
        <v>14480</v>
      </c>
      <c r="X1215">
        <v>5</v>
      </c>
      <c r="Y1215" t="s">
        <v>21063</v>
      </c>
      <c r="Z1215" t="s">
        <v>27545</v>
      </c>
      <c r="AA1215">
        <v>0.46612096834447081</v>
      </c>
      <c r="AB1215" t="str">
        <f>HYPERLINK("Melting_Curves/meltCurve_J9JIE6_TMCO1.pdf", "Melting_Curves/meltCurve_J9JIE6_TMCO1.pdf")</f>
        <v>Melting_Curves/meltCurve_J9JIE6_TMCO1.pdf</v>
      </c>
    </row>
    <row r="1216" spans="1:28" x14ac:dyDescent="0.25">
      <c r="A1216" t="s">
        <v>1220</v>
      </c>
      <c r="B1216">
        <v>0.99252571173614901</v>
      </c>
      <c r="C1216">
        <v>1.00492529685607</v>
      </c>
      <c r="D1216">
        <v>0.68451972954171503</v>
      </c>
      <c r="E1216">
        <v>0.38847983953704701</v>
      </c>
      <c r="F1216">
        <v>0.26224740249669798</v>
      </c>
      <c r="G1216">
        <v>0.177508595910189</v>
      </c>
      <c r="H1216">
        <v>0.128651951748326</v>
      </c>
      <c r="I1216">
        <v>0.14221681032467601</v>
      </c>
      <c r="J1216">
        <v>0.182198270613178</v>
      </c>
      <c r="K1216">
        <v>0.19569557560870399</v>
      </c>
      <c r="L1216">
        <v>1126.1258234581801</v>
      </c>
      <c r="M1216">
        <v>23.778627956350501</v>
      </c>
      <c r="N1216">
        <v>48.185967732556499</v>
      </c>
      <c r="O1216">
        <v>47.027603710056503</v>
      </c>
      <c r="P1216">
        <v>-0.105225824312592</v>
      </c>
      <c r="Q1216">
        <v>0.16758238561079999</v>
      </c>
      <c r="R1216">
        <v>0.989434547736605</v>
      </c>
      <c r="S1216" t="s">
        <v>7862</v>
      </c>
      <c r="T1216" t="s">
        <v>13290</v>
      </c>
      <c r="U1216" t="s">
        <v>13290</v>
      </c>
      <c r="V1216" t="s">
        <v>13290</v>
      </c>
      <c r="W1216" t="s">
        <v>14481</v>
      </c>
      <c r="X1216">
        <v>3</v>
      </c>
      <c r="Y1216" t="s">
        <v>21064</v>
      </c>
      <c r="Z1216" t="s">
        <v>27546</v>
      </c>
      <c r="AA1216">
        <v>0.38000919690411622</v>
      </c>
      <c r="AB1216" t="str">
        <f>HYPERLINK("Melting_Curves/meltCurve_K4DI92_RWDD4.pdf", "Melting_Curves/meltCurve_K4DI92_RWDD4.pdf")</f>
        <v>Melting_Curves/meltCurve_K4DI92_RWDD4.pdf</v>
      </c>
    </row>
    <row r="1217" spans="1:28" x14ac:dyDescent="0.25">
      <c r="A1217" t="s">
        <v>1221</v>
      </c>
      <c r="B1217">
        <v>0.99252571173614901</v>
      </c>
      <c r="C1217">
        <v>0.96069723899789505</v>
      </c>
      <c r="D1217">
        <v>1.1041151052289699</v>
      </c>
      <c r="E1217">
        <v>1.1563156310835701</v>
      </c>
      <c r="F1217">
        <v>0.952706522537904</v>
      </c>
      <c r="G1217">
        <v>0.36502758505456001</v>
      </c>
      <c r="H1217">
        <v>0.118797517951489</v>
      </c>
      <c r="I1217">
        <v>0.123286767767713</v>
      </c>
      <c r="J1217">
        <v>0.14769598881871199</v>
      </c>
      <c r="K1217">
        <v>0.15908612055867499</v>
      </c>
      <c r="L1217">
        <v>3404.0540542663002</v>
      </c>
      <c r="M1217">
        <v>60.962823107543301</v>
      </c>
      <c r="N1217">
        <v>56.1304855435015</v>
      </c>
      <c r="O1217">
        <v>55.7782053698784</v>
      </c>
      <c r="P1217">
        <v>-0.236077589795299</v>
      </c>
      <c r="Q1217">
        <v>0.13599938376710399</v>
      </c>
      <c r="R1217">
        <v>0.979606268752655</v>
      </c>
      <c r="S1217" t="s">
        <v>7863</v>
      </c>
      <c r="T1217" t="s">
        <v>13290</v>
      </c>
      <c r="U1217" t="s">
        <v>13290</v>
      </c>
      <c r="V1217" t="s">
        <v>13290</v>
      </c>
      <c r="W1217" t="s">
        <v>14482</v>
      </c>
      <c r="X1217">
        <v>26</v>
      </c>
      <c r="Y1217" t="s">
        <v>21065</v>
      </c>
      <c r="Z1217" t="s">
        <v>27547</v>
      </c>
      <c r="AA1217">
        <v>0.59356844525827457</v>
      </c>
      <c r="AB1217" t="str">
        <f>HYPERLINK("Melting_Curves/meltCurve_K4DI93_CUL4B.pdf", "Melting_Curves/meltCurve_K4DI93_CUL4B.pdf")</f>
        <v>Melting_Curves/meltCurve_K4DI93_CUL4B.pdf</v>
      </c>
    </row>
    <row r="1218" spans="1:28" x14ac:dyDescent="0.25">
      <c r="A1218" t="s">
        <v>1222</v>
      </c>
      <c r="B1218">
        <v>0.99252571173614901</v>
      </c>
      <c r="C1218">
        <v>0.92061603410427295</v>
      </c>
      <c r="D1218">
        <v>0.71234652722710301</v>
      </c>
      <c r="E1218">
        <v>0.37046896454082601</v>
      </c>
      <c r="F1218">
        <v>0.21087086272129599</v>
      </c>
      <c r="G1218">
        <v>0.12892938710495899</v>
      </c>
      <c r="H1218">
        <v>8.5752864696300293E-2</v>
      </c>
      <c r="I1218">
        <v>9.8711196411104596E-2</v>
      </c>
      <c r="J1218">
        <v>0.115602598090369</v>
      </c>
      <c r="K1218">
        <v>9.0439505269593698E-2</v>
      </c>
      <c r="L1218">
        <v>978.36264318190899</v>
      </c>
      <c r="M1218">
        <v>20.506098491453201</v>
      </c>
      <c r="N1218">
        <v>48.209401285989699</v>
      </c>
      <c r="O1218">
        <v>47.264031758033902</v>
      </c>
      <c r="P1218">
        <v>-9.8104811224000804E-2</v>
      </c>
      <c r="Q1218">
        <v>9.5548636348793695E-2</v>
      </c>
      <c r="R1218">
        <v>0.99891414651174104</v>
      </c>
      <c r="S1218" t="s">
        <v>7864</v>
      </c>
      <c r="T1218" t="s">
        <v>13290</v>
      </c>
      <c r="U1218" t="s">
        <v>13290</v>
      </c>
      <c r="V1218" t="s">
        <v>13290</v>
      </c>
      <c r="W1218" t="s">
        <v>14483</v>
      </c>
      <c r="X1218">
        <v>1</v>
      </c>
      <c r="Y1218" t="s">
        <v>21066</v>
      </c>
      <c r="Z1218" t="s">
        <v>27548</v>
      </c>
      <c r="AA1218">
        <v>0.34027984299246727</v>
      </c>
      <c r="AB1218" t="str">
        <f>HYPERLINK("Melting_Curves/meltCurve_K7EID0_MLX.pdf", "Melting_Curves/meltCurve_K7EID0_MLX.pdf")</f>
        <v>Melting_Curves/meltCurve_K7EID0_MLX.pdf</v>
      </c>
    </row>
    <row r="1219" spans="1:28" x14ac:dyDescent="0.25">
      <c r="A1219" t="s">
        <v>1223</v>
      </c>
      <c r="B1219">
        <v>0.99252571173614901</v>
      </c>
      <c r="C1219">
        <v>0.923171946360278</v>
      </c>
      <c r="D1219">
        <v>1.1038748767184401</v>
      </c>
      <c r="E1219">
        <v>0.98355468736698404</v>
      </c>
      <c r="F1219">
        <v>0.33034433061122997</v>
      </c>
      <c r="G1219">
        <v>0.24978793139934999</v>
      </c>
      <c r="H1219">
        <v>0.12280252473358701</v>
      </c>
      <c r="I1219">
        <v>7.5646038596140094E-2</v>
      </c>
      <c r="J1219">
        <v>7.4184988970740495E-2</v>
      </c>
      <c r="K1219">
        <v>6.5855794542159896E-2</v>
      </c>
      <c r="L1219">
        <v>3045.79759010104</v>
      </c>
      <c r="M1219">
        <v>58.316774226858698</v>
      </c>
      <c r="N1219">
        <v>52.462046042925401</v>
      </c>
      <c r="O1219">
        <v>52.167193893181199</v>
      </c>
      <c r="P1219">
        <v>-0.24752059010858801</v>
      </c>
      <c r="Q1219">
        <v>0.114323609331933</v>
      </c>
      <c r="R1219">
        <v>0.97826468754540197</v>
      </c>
      <c r="S1219" t="s">
        <v>7865</v>
      </c>
      <c r="T1219" t="s">
        <v>13290</v>
      </c>
      <c r="U1219" t="s">
        <v>13290</v>
      </c>
      <c r="V1219" t="s">
        <v>13290</v>
      </c>
      <c r="W1219" t="s">
        <v>14484</v>
      </c>
      <c r="X1219">
        <v>34</v>
      </c>
      <c r="Y1219" t="s">
        <v>21067</v>
      </c>
      <c r="Z1219" t="s">
        <v>27549</v>
      </c>
      <c r="AA1219">
        <v>0.47683774111687749</v>
      </c>
      <c r="AB1219" t="str">
        <f>HYPERLINK("Melting_Curves/meltCurve_K7EIG1_CLUH.pdf", "Melting_Curves/meltCurve_K7EIG1_CLUH.pdf")</f>
        <v>Melting_Curves/meltCurve_K7EIG1_CLUH.pdf</v>
      </c>
    </row>
    <row r="1220" spans="1:28" x14ac:dyDescent="0.25">
      <c r="A1220" t="s">
        <v>1224</v>
      </c>
      <c r="B1220">
        <v>0.99252571173614901</v>
      </c>
      <c r="C1220">
        <v>0.96783959066133496</v>
      </c>
      <c r="D1220">
        <v>0.89202186802193395</v>
      </c>
      <c r="E1220">
        <v>0.52318637763170805</v>
      </c>
      <c r="F1220">
        <v>0.74270475422844495</v>
      </c>
      <c r="G1220">
        <v>0.312149889043146</v>
      </c>
      <c r="H1220">
        <v>0.22258603597134299</v>
      </c>
      <c r="I1220">
        <v>0.20374657815599201</v>
      </c>
      <c r="J1220">
        <v>0.40758248169429301</v>
      </c>
      <c r="K1220">
        <v>0.239803402289714</v>
      </c>
      <c r="L1220">
        <v>681.11277226581603</v>
      </c>
      <c r="M1220">
        <v>13.3429150247865</v>
      </c>
      <c r="N1220">
        <v>53.545702724485402</v>
      </c>
      <c r="O1220">
        <v>49.941066675892898</v>
      </c>
      <c r="P1220">
        <v>-5.1321936968530699E-2</v>
      </c>
      <c r="Q1220">
        <v>0.23175342846001801</v>
      </c>
      <c r="R1220">
        <v>0.86701178479242902</v>
      </c>
      <c r="S1220" t="s">
        <v>7866</v>
      </c>
      <c r="T1220" t="s">
        <v>13290</v>
      </c>
      <c r="U1220" t="s">
        <v>13290</v>
      </c>
      <c r="V1220" t="s">
        <v>13290</v>
      </c>
      <c r="W1220" t="s">
        <v>14485</v>
      </c>
      <c r="X1220">
        <v>1</v>
      </c>
      <c r="Y1220" t="s">
        <v>21068</v>
      </c>
      <c r="Z1220" t="s">
        <v>27550</v>
      </c>
      <c r="AA1220">
        <v>0.53599666890303854</v>
      </c>
      <c r="AB1220" t="str">
        <f>HYPERLINK("Melting_Curves/meltCurve_K7EIG5_LOC440335.pdf", "Melting_Curves/meltCurve_K7EIG5_LOC440335.pdf")</f>
        <v>Melting_Curves/meltCurve_K7EIG5_LOC440335.pdf</v>
      </c>
    </row>
    <row r="1221" spans="1:28" x14ac:dyDescent="0.25">
      <c r="A1221" t="s">
        <v>1225</v>
      </c>
      <c r="B1221">
        <v>0.99252571173614901</v>
      </c>
      <c r="C1221">
        <v>0.98533570843906104</v>
      </c>
      <c r="D1221">
        <v>0.85076136721314199</v>
      </c>
      <c r="E1221">
        <v>0.52839973537450102</v>
      </c>
      <c r="F1221">
        <v>0.593594227302501</v>
      </c>
      <c r="G1221">
        <v>0.21565135224544299</v>
      </c>
      <c r="H1221">
        <v>8.5868252441655094E-2</v>
      </c>
      <c r="I1221">
        <v>7.2209289679490599E-2</v>
      </c>
      <c r="J1221">
        <v>9.2304871653943202E-2</v>
      </c>
      <c r="K1221">
        <v>0.17901069070460901</v>
      </c>
      <c r="L1221">
        <v>714.77397830510199</v>
      </c>
      <c r="M1221">
        <v>13.9051607018454</v>
      </c>
      <c r="N1221">
        <v>51.9088864163026</v>
      </c>
      <c r="O1221">
        <v>50.375358430291101</v>
      </c>
      <c r="P1221">
        <v>-6.4647789625492794E-2</v>
      </c>
      <c r="Q1221">
        <v>6.3307964564139202E-2</v>
      </c>
      <c r="R1221">
        <v>0.95105953945555399</v>
      </c>
      <c r="S1221" t="s">
        <v>7867</v>
      </c>
      <c r="T1221" t="s">
        <v>13290</v>
      </c>
      <c r="U1221" t="s">
        <v>13290</v>
      </c>
      <c r="V1221" t="s">
        <v>13290</v>
      </c>
      <c r="W1221" t="s">
        <v>14486</v>
      </c>
      <c r="X1221">
        <v>2</v>
      </c>
      <c r="Y1221" t="s">
        <v>21069</v>
      </c>
      <c r="Z1221" t="s">
        <v>27551</v>
      </c>
      <c r="AA1221">
        <v>0.44341861040110492</v>
      </c>
      <c r="AB1221" t="str">
        <f>HYPERLINK("Melting_Curves/meltCurve_K7EIJ0_WBP2.pdf", "Melting_Curves/meltCurve_K7EIJ0_WBP2.pdf")</f>
        <v>Melting_Curves/meltCurve_K7EIJ0_WBP2.pdf</v>
      </c>
    </row>
    <row r="1222" spans="1:28" x14ac:dyDescent="0.25">
      <c r="A1222" t="s">
        <v>1226</v>
      </c>
      <c r="B1222">
        <v>0.99252571173614901</v>
      </c>
      <c r="C1222">
        <v>1.1046680098437001</v>
      </c>
      <c r="D1222">
        <v>1.0224024535424101</v>
      </c>
      <c r="E1222">
        <v>0.73713982234896402</v>
      </c>
      <c r="F1222">
        <v>0.53960883207253696</v>
      </c>
      <c r="G1222">
        <v>0.187539177021985</v>
      </c>
      <c r="H1222">
        <v>5.66713445074001E-2</v>
      </c>
      <c r="I1222">
        <v>6.3154151234879899E-2</v>
      </c>
      <c r="J1222">
        <v>5.10947820711962E-2</v>
      </c>
      <c r="K1222">
        <v>8.2268722091897895E-2</v>
      </c>
      <c r="L1222">
        <v>1164.7708754996499</v>
      </c>
      <c r="M1222">
        <v>22.059509349972501</v>
      </c>
      <c r="N1222">
        <v>53.018346787553803</v>
      </c>
      <c r="O1222">
        <v>52.373134910135299</v>
      </c>
      <c r="P1222">
        <v>-0.10075563405709601</v>
      </c>
      <c r="Q1222">
        <v>4.3175108111847597E-2</v>
      </c>
      <c r="R1222">
        <v>0.98447590809144603</v>
      </c>
      <c r="S1222" t="s">
        <v>7868</v>
      </c>
      <c r="T1222" t="s">
        <v>13290</v>
      </c>
      <c r="U1222" t="s">
        <v>13290</v>
      </c>
      <c r="V1222" t="s">
        <v>13290</v>
      </c>
      <c r="W1222" t="s">
        <v>14487</v>
      </c>
      <c r="X1222">
        <v>3</v>
      </c>
      <c r="Y1222" t="s">
        <v>21070</v>
      </c>
      <c r="Z1222" t="s">
        <v>27552</v>
      </c>
      <c r="AA1222">
        <v>0.46254802247798238</v>
      </c>
      <c r="AB1222" t="str">
        <f>HYPERLINK("Melting_Curves/meltCurve_K7EIN2_NUDT16L1.pdf", "Melting_Curves/meltCurve_K7EIN2_NUDT16L1.pdf")</f>
        <v>Melting_Curves/meltCurve_K7EIN2_NUDT16L1.pdf</v>
      </c>
    </row>
    <row r="1223" spans="1:28" x14ac:dyDescent="0.25">
      <c r="A1223" t="s">
        <v>1227</v>
      </c>
      <c r="B1223">
        <v>0.99252571173614901</v>
      </c>
      <c r="C1223">
        <v>0.95472874915238404</v>
      </c>
      <c r="D1223">
        <v>0.944419804550514</v>
      </c>
      <c r="E1223">
        <v>1.01062079203685</v>
      </c>
      <c r="F1223">
        <v>0.65213527061314702</v>
      </c>
      <c r="G1223">
        <v>0.45757297442624401</v>
      </c>
      <c r="H1223">
        <v>0.40704378829992899</v>
      </c>
      <c r="I1223">
        <v>0.530221354596913</v>
      </c>
      <c r="J1223">
        <v>0.61522566158549896</v>
      </c>
      <c r="K1223">
        <v>0.479641225101262</v>
      </c>
      <c r="L1223">
        <v>13256.716455850201</v>
      </c>
      <c r="M1223">
        <v>250</v>
      </c>
      <c r="N1223">
        <v>54.218009506605902</v>
      </c>
      <c r="O1223">
        <v>53.023469962761503</v>
      </c>
      <c r="P1223">
        <v>-0.59178862309896596</v>
      </c>
      <c r="Q1223">
        <v>0.49794099646716999</v>
      </c>
      <c r="R1223">
        <v>0.94361536820274405</v>
      </c>
      <c r="S1223" t="s">
        <v>7869</v>
      </c>
      <c r="T1223" t="s">
        <v>13290</v>
      </c>
      <c r="U1223" t="s">
        <v>13290</v>
      </c>
      <c r="V1223" t="s">
        <v>13290</v>
      </c>
      <c r="W1223" t="s">
        <v>14488</v>
      </c>
      <c r="X1223">
        <v>1</v>
      </c>
      <c r="Y1223" t="s">
        <v>21071</v>
      </c>
      <c r="Z1223" t="s">
        <v>27553</v>
      </c>
      <c r="AA1223">
        <v>0.71599622789130124</v>
      </c>
      <c r="AB1223" t="str">
        <f>HYPERLINK("Melting_Curves/meltCurve_K7EIP7_YIPF2.pdf", "Melting_Curves/meltCurve_K7EIP7_YIPF2.pdf")</f>
        <v>Melting_Curves/meltCurve_K7EIP7_YIPF2.pdf</v>
      </c>
    </row>
    <row r="1224" spans="1:28" x14ac:dyDescent="0.25">
      <c r="A1224" t="s">
        <v>1228</v>
      </c>
      <c r="B1224">
        <v>0.99252571173614901</v>
      </c>
      <c r="C1224">
        <v>1.0448036748382901</v>
      </c>
      <c r="D1224">
        <v>0.98660361728968504</v>
      </c>
      <c r="E1224">
        <v>0.69428863628716397</v>
      </c>
      <c r="F1224">
        <v>0.31433970938286698</v>
      </c>
      <c r="G1224">
        <v>0.17781749544315101</v>
      </c>
      <c r="H1224">
        <v>0.12058375516212901</v>
      </c>
      <c r="I1224">
        <v>0.105965723641441</v>
      </c>
      <c r="J1224">
        <v>0.11030799121797</v>
      </c>
      <c r="K1224">
        <v>0.1016960584359</v>
      </c>
      <c r="L1224">
        <v>1426.57945245216</v>
      </c>
      <c r="M1224">
        <v>28.0459111829575</v>
      </c>
      <c r="N1224">
        <v>51.326130048640202</v>
      </c>
      <c r="O1224">
        <v>50.609363194306297</v>
      </c>
      <c r="P1224">
        <v>-0.123138774304936</v>
      </c>
      <c r="Q1224">
        <v>0.111182835970856</v>
      </c>
      <c r="R1224">
        <v>0.99725697936278401</v>
      </c>
      <c r="S1224" t="s">
        <v>7870</v>
      </c>
      <c r="T1224" t="s">
        <v>13290</v>
      </c>
      <c r="U1224" t="s">
        <v>13290</v>
      </c>
      <c r="V1224" t="s">
        <v>13290</v>
      </c>
      <c r="W1224" t="s">
        <v>14489</v>
      </c>
      <c r="X1224">
        <v>12</v>
      </c>
      <c r="Y1224" t="s">
        <v>21072</v>
      </c>
      <c r="Z1224" t="s">
        <v>27554</v>
      </c>
      <c r="AA1224">
        <v>0.43948921972336852</v>
      </c>
      <c r="AB1224" t="str">
        <f>HYPERLINK("Melting_Curves/meltCurve_K7EIU8_SMAD4.pdf", "Melting_Curves/meltCurve_K7EIU8_SMAD4.pdf")</f>
        <v>Melting_Curves/meltCurve_K7EIU8_SMAD4.pdf</v>
      </c>
    </row>
    <row r="1225" spans="1:28" x14ac:dyDescent="0.25">
      <c r="A1225" t="s">
        <v>1229</v>
      </c>
      <c r="B1225">
        <v>0.99252571173614901</v>
      </c>
      <c r="C1225">
        <v>0.92435419491218496</v>
      </c>
      <c r="D1225">
        <v>0.81683083165387704</v>
      </c>
      <c r="E1225">
        <v>0.59046149857050301</v>
      </c>
      <c r="F1225">
        <v>0.33981978055244799</v>
      </c>
      <c r="G1225">
        <v>0.20792269589826501</v>
      </c>
      <c r="H1225">
        <v>0.166286262569455</v>
      </c>
      <c r="I1225">
        <v>0.24709807284964999</v>
      </c>
      <c r="J1225">
        <v>0.419400909817569</v>
      </c>
      <c r="K1225">
        <v>0.41339804647365602</v>
      </c>
      <c r="L1225">
        <v>1156.2247152341599</v>
      </c>
      <c r="M1225">
        <v>23.899815891649599</v>
      </c>
      <c r="N1225">
        <v>50.169128826515802</v>
      </c>
      <c r="O1225">
        <v>48.043081834102097</v>
      </c>
      <c r="P1225">
        <v>-8.8675774607423E-2</v>
      </c>
      <c r="Q1225">
        <v>0.286991940808143</v>
      </c>
      <c r="R1225">
        <v>0.92065952022474495</v>
      </c>
      <c r="S1225" t="s">
        <v>7871</v>
      </c>
      <c r="T1225" t="s">
        <v>13290</v>
      </c>
      <c r="U1225" t="s">
        <v>13290</v>
      </c>
      <c r="V1225" t="s">
        <v>13290</v>
      </c>
      <c r="W1225" t="s">
        <v>14490</v>
      </c>
      <c r="X1225">
        <v>5</v>
      </c>
      <c r="Y1225" t="s">
        <v>21073</v>
      </c>
      <c r="Z1225" t="s">
        <v>27555</v>
      </c>
      <c r="AA1225">
        <v>0.49303672376871122</v>
      </c>
      <c r="AB1225" t="str">
        <f>HYPERLINK("Melting_Curves/meltCurve_K7EIY4_STX10.pdf", "Melting_Curves/meltCurve_K7EIY4_STX10.pdf")</f>
        <v>Melting_Curves/meltCurve_K7EIY4_STX10.pdf</v>
      </c>
    </row>
    <row r="1226" spans="1:28" x14ac:dyDescent="0.25">
      <c r="A1226" t="s">
        <v>1230</v>
      </c>
      <c r="B1226">
        <v>0.99252571173614901</v>
      </c>
      <c r="C1226">
        <v>0.98992098090069103</v>
      </c>
      <c r="D1226">
        <v>0.66708273297635601</v>
      </c>
      <c r="E1226">
        <v>0.38623727077735698</v>
      </c>
      <c r="F1226">
        <v>0.256556656846196</v>
      </c>
      <c r="G1226">
        <v>0.15894223825508699</v>
      </c>
      <c r="H1226">
        <v>0.139302471050786</v>
      </c>
      <c r="I1226">
        <v>0.13793970616941301</v>
      </c>
      <c r="J1226">
        <v>0.20387834135670699</v>
      </c>
      <c r="K1226">
        <v>0.16851293571725201</v>
      </c>
      <c r="L1226">
        <v>1095.57989454883</v>
      </c>
      <c r="M1226">
        <v>23.191961118144299</v>
      </c>
      <c r="N1226">
        <v>48.0621092385393</v>
      </c>
      <c r="O1226">
        <v>46.892622484267797</v>
      </c>
      <c r="P1226">
        <v>-0.103394161664442</v>
      </c>
      <c r="Q1226">
        <v>0.16379032719509601</v>
      </c>
      <c r="R1226">
        <v>0.99001100016430499</v>
      </c>
      <c r="S1226" t="s">
        <v>7872</v>
      </c>
      <c r="T1226" t="s">
        <v>13290</v>
      </c>
      <c r="U1226" t="s">
        <v>13290</v>
      </c>
      <c r="V1226" t="s">
        <v>13290</v>
      </c>
      <c r="W1226" t="s">
        <v>14491</v>
      </c>
      <c r="X1226">
        <v>2</v>
      </c>
      <c r="Y1226" t="s">
        <v>21074</v>
      </c>
      <c r="Z1226" t="s">
        <v>27556</v>
      </c>
      <c r="AA1226">
        <v>0.37435012494772602</v>
      </c>
      <c r="AB1226" t="str">
        <f>HYPERLINK("Melting_Curves/meltCurve_K7EJ08_SEC14L1.pdf", "Melting_Curves/meltCurve_K7EJ08_SEC14L1.pdf")</f>
        <v>Melting_Curves/meltCurve_K7EJ08_SEC14L1.pdf</v>
      </c>
    </row>
    <row r="1227" spans="1:28" x14ac:dyDescent="0.25">
      <c r="A1227" t="s">
        <v>1231</v>
      </c>
      <c r="B1227">
        <v>0.99252571173614901</v>
      </c>
      <c r="C1227">
        <v>1.02564348743943</v>
      </c>
      <c r="D1227">
        <v>0.90805883259006903</v>
      </c>
      <c r="E1227">
        <v>0.94879983180484995</v>
      </c>
      <c r="F1227">
        <v>0.65810569395391105</v>
      </c>
      <c r="G1227">
        <v>0.36632262913138502</v>
      </c>
      <c r="H1227">
        <v>0.23087690924514001</v>
      </c>
      <c r="I1227">
        <v>0.29797660939921899</v>
      </c>
      <c r="J1227">
        <v>0.41581245565547797</v>
      </c>
      <c r="K1227">
        <v>0.55204501777067005</v>
      </c>
      <c r="L1227">
        <v>2647.17585761176</v>
      </c>
      <c r="M1227">
        <v>49.978888335974602</v>
      </c>
      <c r="N1227">
        <v>54.425225610403501</v>
      </c>
      <c r="O1227">
        <v>52.881291081606101</v>
      </c>
      <c r="P1227">
        <v>-0.149070061306777</v>
      </c>
      <c r="Q1227">
        <v>0.36909277837076199</v>
      </c>
      <c r="R1227">
        <v>0.91748457586230003</v>
      </c>
      <c r="S1227" t="s">
        <v>7873</v>
      </c>
      <c r="T1227" t="s">
        <v>13290</v>
      </c>
      <c r="U1227" t="s">
        <v>13290</v>
      </c>
      <c r="V1227" t="s">
        <v>13290</v>
      </c>
      <c r="W1227" t="s">
        <v>14492</v>
      </c>
      <c r="X1227">
        <v>1</v>
      </c>
      <c r="Y1227" t="s">
        <v>21075</v>
      </c>
      <c r="Z1227" t="s">
        <v>27557</v>
      </c>
      <c r="AA1227">
        <v>0.64324343716687116</v>
      </c>
      <c r="AB1227" t="str">
        <f>HYPERLINK("Melting_Curves/meltCurve_K7EJ78_RPS15.pdf", "Melting_Curves/meltCurve_K7EJ78_RPS15.pdf")</f>
        <v>Melting_Curves/meltCurve_K7EJ78_RPS15.pdf</v>
      </c>
    </row>
    <row r="1228" spans="1:28" x14ac:dyDescent="0.25">
      <c r="A1228" t="s">
        <v>1232</v>
      </c>
      <c r="B1228">
        <v>0.99252571173614901</v>
      </c>
      <c r="C1228">
        <v>1.2509500855090701</v>
      </c>
      <c r="D1228">
        <v>1.48716796769427</v>
      </c>
      <c r="E1228">
        <v>4.3645643064959501</v>
      </c>
      <c r="F1228">
        <v>0.89582583366061397</v>
      </c>
      <c r="G1228">
        <v>0.77787228051778801</v>
      </c>
      <c r="H1228">
        <v>1.0576753860816801</v>
      </c>
      <c r="I1228">
        <v>2.6009150964234</v>
      </c>
      <c r="J1228">
        <v>4.6436446455022304</v>
      </c>
      <c r="K1228">
        <v>2.3535971254993702</v>
      </c>
      <c r="L1228">
        <v>4229.2661382497599</v>
      </c>
      <c r="M1228">
        <v>98.5913557526235</v>
      </c>
      <c r="O1228">
        <v>42.879280920598802</v>
      </c>
      <c r="P1228">
        <v>0.28740964042358702</v>
      </c>
      <c r="Q1228">
        <v>1.5</v>
      </c>
      <c r="R1228">
        <v>-0.14189089153193599</v>
      </c>
      <c r="S1228" t="s">
        <v>7874</v>
      </c>
      <c r="T1228" t="s">
        <v>13290</v>
      </c>
      <c r="U1228" t="s">
        <v>13290</v>
      </c>
      <c r="V1228" t="s">
        <v>13290</v>
      </c>
      <c r="W1228" t="s">
        <v>14493</v>
      </c>
      <c r="X1228">
        <v>20</v>
      </c>
      <c r="Y1228" t="s">
        <v>21076</v>
      </c>
      <c r="Z1228" t="s">
        <v>27558</v>
      </c>
      <c r="AA1228">
        <v>1.451470666039274</v>
      </c>
      <c r="AB1228" t="str">
        <f>HYPERLINK("Melting_Curves/meltCurve_K7EJB9_CALR.pdf", "Melting_Curves/meltCurve_K7EJB9_CALR.pdf")</f>
        <v>Melting_Curves/meltCurve_K7EJB9_CALR.pdf</v>
      </c>
    </row>
    <row r="1229" spans="1:28" x14ac:dyDescent="0.25">
      <c r="A1229" t="s">
        <v>1233</v>
      </c>
      <c r="B1229">
        <v>0.99252571173614901</v>
      </c>
      <c r="C1229">
        <v>0.99460371741223697</v>
      </c>
      <c r="D1229">
        <v>0.85927789546713096</v>
      </c>
      <c r="E1229">
        <v>0.55527918446736202</v>
      </c>
      <c r="F1229">
        <v>0.43126351665689999</v>
      </c>
      <c r="G1229">
        <v>0.27373911246587501</v>
      </c>
      <c r="H1229">
        <v>0.101255820823065</v>
      </c>
      <c r="I1229">
        <v>8.97556345867912E-2</v>
      </c>
      <c r="J1229">
        <v>0.100650698026476</v>
      </c>
      <c r="K1229">
        <v>0.101602513396124</v>
      </c>
      <c r="L1229">
        <v>754.37854355210902</v>
      </c>
      <c r="M1229">
        <v>14.816732453216799</v>
      </c>
      <c r="N1229">
        <v>51.425178702769998</v>
      </c>
      <c r="O1229">
        <v>50.013515169688702</v>
      </c>
      <c r="P1229">
        <v>-6.8999117835864293E-2</v>
      </c>
      <c r="Q1229">
        <v>6.8479466917879997E-2</v>
      </c>
      <c r="R1229">
        <v>0.989463631954972</v>
      </c>
      <c r="S1229" t="s">
        <v>7875</v>
      </c>
      <c r="T1229" t="s">
        <v>13290</v>
      </c>
      <c r="U1229" t="s">
        <v>13290</v>
      </c>
      <c r="V1229" t="s">
        <v>13290</v>
      </c>
      <c r="W1229" t="s">
        <v>14494</v>
      </c>
      <c r="X1229">
        <v>12</v>
      </c>
      <c r="Y1229" t="s">
        <v>21077</v>
      </c>
      <c r="Z1229" t="s">
        <v>27559</v>
      </c>
      <c r="AA1229">
        <v>0.42939104039447051</v>
      </c>
      <c r="AB1229" t="str">
        <f>HYPERLINK("Melting_Curves/meltCurve_K7EJL1_AP1M1.pdf", "Melting_Curves/meltCurve_K7EJL1_AP1M1.pdf")</f>
        <v>Melting_Curves/meltCurve_K7EJL1_AP1M1.pdf</v>
      </c>
    </row>
    <row r="1230" spans="1:28" x14ac:dyDescent="0.25">
      <c r="A1230" t="s">
        <v>1234</v>
      </c>
      <c r="B1230">
        <v>0.99252571173614901</v>
      </c>
      <c r="C1230">
        <v>0.92099874243283997</v>
      </c>
      <c r="D1230">
        <v>0.815974134270671</v>
      </c>
      <c r="E1230">
        <v>0.67509903500615898</v>
      </c>
      <c r="F1230">
        <v>0.38482047461723701</v>
      </c>
      <c r="G1230">
        <v>0.17627441082606499</v>
      </c>
      <c r="H1230">
        <v>0.10115091232210199</v>
      </c>
      <c r="I1230">
        <v>9.4646110971070896E-2</v>
      </c>
      <c r="J1230">
        <v>0.10685569605088301</v>
      </c>
      <c r="K1230">
        <v>9.5971867947436201E-2</v>
      </c>
      <c r="L1230">
        <v>816.20551415105797</v>
      </c>
      <c r="M1230">
        <v>16.033571122553099</v>
      </c>
      <c r="N1230">
        <v>51.344605502923997</v>
      </c>
      <c r="O1230">
        <v>50.133900646656201</v>
      </c>
      <c r="P1230">
        <v>-7.48429207090959E-2</v>
      </c>
      <c r="Q1230">
        <v>6.39949998983598E-2</v>
      </c>
      <c r="R1230">
        <v>0.99363299696193796</v>
      </c>
      <c r="S1230" t="s">
        <v>7876</v>
      </c>
      <c r="T1230" t="s">
        <v>13290</v>
      </c>
      <c r="U1230" t="s">
        <v>13290</v>
      </c>
      <c r="V1230" t="s">
        <v>13290</v>
      </c>
      <c r="W1230" t="s">
        <v>14495</v>
      </c>
      <c r="X1230">
        <v>8</v>
      </c>
      <c r="Y1230" t="s">
        <v>21078</v>
      </c>
      <c r="Z1230" t="s">
        <v>27560</v>
      </c>
      <c r="AA1230">
        <v>0.42363955439987971</v>
      </c>
      <c r="AB1230" t="str">
        <f>HYPERLINK("Melting_Curves/meltCurve_K7EJQ7_SEC11C.pdf", "Melting_Curves/meltCurve_K7EJQ7_SEC11C.pdf")</f>
        <v>Melting_Curves/meltCurve_K7EJQ7_SEC11C.pdf</v>
      </c>
    </row>
    <row r="1231" spans="1:28" x14ac:dyDescent="0.25">
      <c r="A1231" t="s">
        <v>1235</v>
      </c>
      <c r="B1231">
        <v>0.99252571173614901</v>
      </c>
      <c r="C1231">
        <v>0.88719002769631194</v>
      </c>
      <c r="D1231">
        <v>0.77103012454874997</v>
      </c>
      <c r="E1231">
        <v>0.66336639673665199</v>
      </c>
      <c r="F1231">
        <v>0.48386104383662998</v>
      </c>
      <c r="G1231">
        <v>0.37418119966679497</v>
      </c>
      <c r="H1231">
        <v>0.36158278375945802</v>
      </c>
      <c r="I1231">
        <v>0.37433112928519502</v>
      </c>
      <c r="J1231">
        <v>0.493472038338509</v>
      </c>
      <c r="K1231">
        <v>0.34099211375021199</v>
      </c>
      <c r="L1231">
        <v>732.04581529142797</v>
      </c>
      <c r="M1231">
        <v>15.230125676667701</v>
      </c>
      <c r="N1231">
        <v>52.7873107358336</v>
      </c>
      <c r="O1231">
        <v>47.259827016099997</v>
      </c>
      <c r="P1231">
        <v>-5.0603151486841899E-2</v>
      </c>
      <c r="Q1231">
        <v>0.37196344699693101</v>
      </c>
      <c r="R1231">
        <v>0.95663645217323201</v>
      </c>
      <c r="S1231" t="s">
        <v>7877</v>
      </c>
      <c r="T1231" t="s">
        <v>13290</v>
      </c>
      <c r="U1231" t="s">
        <v>13290</v>
      </c>
      <c r="V1231" t="s">
        <v>13290</v>
      </c>
      <c r="W1231" t="s">
        <v>14496</v>
      </c>
      <c r="X1231">
        <v>6</v>
      </c>
      <c r="Y1231" t="s">
        <v>21079</v>
      </c>
      <c r="Z1231" t="s">
        <v>27561</v>
      </c>
      <c r="AA1231">
        <v>0.55644789863435706</v>
      </c>
      <c r="AB1231" t="str">
        <f>HYPERLINK("Melting_Curves/meltCurve_K7EK00_FAM210A.pdf", "Melting_Curves/meltCurve_K7EK00_FAM210A.pdf")</f>
        <v>Melting_Curves/meltCurve_K7EK00_FAM210A.pdf</v>
      </c>
    </row>
    <row r="1232" spans="1:28" x14ac:dyDescent="0.25">
      <c r="A1232" t="s">
        <v>1236</v>
      </c>
      <c r="B1232">
        <v>0.99252571173614901</v>
      </c>
      <c r="C1232">
        <v>1.0281317021851799</v>
      </c>
      <c r="D1232">
        <v>0.90984942065462904</v>
      </c>
      <c r="E1232">
        <v>0.66086941047978898</v>
      </c>
      <c r="F1232">
        <v>0.56286085645777395</v>
      </c>
      <c r="G1232">
        <v>0.384843191751505</v>
      </c>
      <c r="H1232">
        <v>0.44352598900728302</v>
      </c>
      <c r="I1232">
        <v>0.599281276085048</v>
      </c>
      <c r="J1232">
        <v>0.90488547656834695</v>
      </c>
      <c r="K1232">
        <v>0.78842492308457401</v>
      </c>
      <c r="L1232">
        <v>2260.7967948775899</v>
      </c>
      <c r="M1232">
        <v>47.892511497937399</v>
      </c>
      <c r="O1232">
        <v>47.123560137833202</v>
      </c>
      <c r="P1232">
        <v>-9.7760420586128605E-2</v>
      </c>
      <c r="Q1232">
        <v>0.61523719372058205</v>
      </c>
      <c r="R1232">
        <v>0.577192018078033</v>
      </c>
      <c r="S1232" t="s">
        <v>7878</v>
      </c>
      <c r="T1232" t="s">
        <v>13290</v>
      </c>
      <c r="U1232" t="s">
        <v>13290</v>
      </c>
      <c r="V1232" t="s">
        <v>13290</v>
      </c>
      <c r="W1232" t="s">
        <v>14497</v>
      </c>
      <c r="X1232">
        <v>6</v>
      </c>
      <c r="Y1232" t="s">
        <v>21080</v>
      </c>
      <c r="Z1232" t="s">
        <v>27562</v>
      </c>
      <c r="AA1232">
        <v>0.70852788840818626</v>
      </c>
      <c r="AB1232" t="str">
        <f>HYPERLINK("Melting_Curves/meltCurve_K7EK07_H3F3B.pdf", "Melting_Curves/meltCurve_K7EK07_H3F3B.pdf")</f>
        <v>Melting_Curves/meltCurve_K7EK07_H3F3B.pdf</v>
      </c>
    </row>
    <row r="1233" spans="1:28" x14ac:dyDescent="0.25">
      <c r="A1233" t="s">
        <v>1237</v>
      </c>
      <c r="B1233">
        <v>0.99252571173614901</v>
      </c>
      <c r="C1233">
        <v>0.99329866158625801</v>
      </c>
      <c r="D1233">
        <v>0.79979334782603795</v>
      </c>
      <c r="E1233">
        <v>0.65890869773274496</v>
      </c>
      <c r="F1233">
        <v>0.50958491652808302</v>
      </c>
      <c r="G1233">
        <v>0.38575799029860602</v>
      </c>
      <c r="H1233">
        <v>0.40767130165066101</v>
      </c>
      <c r="I1233">
        <v>0.51499936800937596</v>
      </c>
      <c r="J1233">
        <v>0.82415381997934301</v>
      </c>
      <c r="K1233">
        <v>0.81922461724714901</v>
      </c>
      <c r="L1233">
        <v>1629.92441374746</v>
      </c>
      <c r="M1233">
        <v>35.226065186337898</v>
      </c>
      <c r="O1233">
        <v>46.122049044940901</v>
      </c>
      <c r="P1233">
        <v>-7.9858208179653306E-2</v>
      </c>
      <c r="Q1233">
        <v>0.58176292102903504</v>
      </c>
      <c r="R1233">
        <v>0.57861957640514095</v>
      </c>
      <c r="S1233" t="s">
        <v>7879</v>
      </c>
      <c r="T1233" t="s">
        <v>13290</v>
      </c>
      <c r="U1233" t="s">
        <v>13290</v>
      </c>
      <c r="V1233" t="s">
        <v>13290</v>
      </c>
      <c r="W1233" t="s">
        <v>14498</v>
      </c>
      <c r="X1233">
        <v>1</v>
      </c>
      <c r="Y1233" t="s">
        <v>21081</v>
      </c>
      <c r="Z1233" t="s">
        <v>27563</v>
      </c>
      <c r="AA1233">
        <v>0.67096173613633137</v>
      </c>
      <c r="AB1233" t="str">
        <f>HYPERLINK("Melting_Curves/meltCurve_K7EKA0_FOSB.pdf", "Melting_Curves/meltCurve_K7EKA0_FOSB.pdf")</f>
        <v>Melting_Curves/meltCurve_K7EKA0_FOSB.pdf</v>
      </c>
    </row>
    <row r="1234" spans="1:28" x14ac:dyDescent="0.25">
      <c r="A1234" t="s">
        <v>1238</v>
      </c>
      <c r="B1234">
        <v>0.99252571173614901</v>
      </c>
      <c r="C1234">
        <v>0.81973202787827903</v>
      </c>
      <c r="D1234">
        <v>1.03438658568488</v>
      </c>
      <c r="E1234">
        <v>0.81293829043585497</v>
      </c>
      <c r="F1234">
        <v>0.79967829671945201</v>
      </c>
      <c r="G1234">
        <v>0.61922519094969097</v>
      </c>
      <c r="H1234">
        <v>0.20955308049724999</v>
      </c>
      <c r="I1234">
        <v>9.7973856329699197E-2</v>
      </c>
      <c r="J1234">
        <v>0.10440721927360901</v>
      </c>
      <c r="K1234">
        <v>0.10123060269954</v>
      </c>
      <c r="L1234">
        <v>1003.93206025799</v>
      </c>
      <c r="M1234">
        <v>17.573079149765402</v>
      </c>
      <c r="N1234">
        <v>57.266215937076304</v>
      </c>
      <c r="O1234">
        <v>56.404581816575998</v>
      </c>
      <c r="P1234">
        <v>-7.6286637162929702E-2</v>
      </c>
      <c r="Q1234">
        <v>2.0619503712969799E-2</v>
      </c>
      <c r="R1234">
        <v>0.95215515885817903</v>
      </c>
      <c r="S1234" t="s">
        <v>7880</v>
      </c>
      <c r="T1234" t="s">
        <v>13290</v>
      </c>
      <c r="U1234" t="s">
        <v>13290</v>
      </c>
      <c r="V1234" t="s">
        <v>13290</v>
      </c>
      <c r="W1234" t="s">
        <v>14499</v>
      </c>
      <c r="X1234">
        <v>45</v>
      </c>
      <c r="Y1234" t="s">
        <v>21082</v>
      </c>
      <c r="Z1234" t="s">
        <v>27564</v>
      </c>
      <c r="AA1234">
        <v>0.59339891821867619</v>
      </c>
      <c r="AB1234" t="str">
        <f>HYPERLINK("Melting_Curves/meltCurve_K7EKE6_LONP1.pdf", "Melting_Curves/meltCurve_K7EKE6_LONP1.pdf")</f>
        <v>Melting_Curves/meltCurve_K7EKE6_LONP1.pdf</v>
      </c>
    </row>
    <row r="1235" spans="1:28" x14ac:dyDescent="0.25">
      <c r="A1235" t="s">
        <v>1239</v>
      </c>
      <c r="B1235">
        <v>0.99252571173614901</v>
      </c>
      <c r="C1235">
        <v>1.07427217132365</v>
      </c>
      <c r="D1235">
        <v>1.4125477860645601</v>
      </c>
      <c r="E1235">
        <v>1.43518959290231</v>
      </c>
      <c r="F1235">
        <v>1.0348682984478399</v>
      </c>
      <c r="G1235">
        <v>0.48048422281506797</v>
      </c>
      <c r="H1235">
        <v>0.13816226819554001</v>
      </c>
      <c r="I1235">
        <v>0.145052307601236</v>
      </c>
      <c r="J1235">
        <v>0.32891265674932701</v>
      </c>
      <c r="K1235">
        <v>0.19945962010767701</v>
      </c>
      <c r="L1235">
        <v>14164.3999800077</v>
      </c>
      <c r="M1235">
        <v>250</v>
      </c>
      <c r="N1235">
        <v>56.775812728099602</v>
      </c>
      <c r="O1235">
        <v>56.6539743467035</v>
      </c>
      <c r="P1235">
        <v>-0.87935500311104697</v>
      </c>
      <c r="Q1235">
        <v>0.202896710259163</v>
      </c>
      <c r="R1235">
        <v>0.84026123927118102</v>
      </c>
      <c r="S1235" t="s">
        <v>7881</v>
      </c>
      <c r="T1235" t="s">
        <v>13290</v>
      </c>
      <c r="U1235" t="s">
        <v>13290</v>
      </c>
      <c r="V1235" t="s">
        <v>13290</v>
      </c>
      <c r="W1235" t="s">
        <v>14500</v>
      </c>
      <c r="X1235">
        <v>1</v>
      </c>
      <c r="Y1235" t="s">
        <v>21083</v>
      </c>
      <c r="Z1235" t="s">
        <v>27565</v>
      </c>
      <c r="AA1235">
        <v>0.64557022530960828</v>
      </c>
      <c r="AB1235" t="str">
        <f>HYPERLINK("Melting_Curves/meltCurve_K7EKI0_EVPL.pdf", "Melting_Curves/meltCurve_K7EKI0_EVPL.pdf")</f>
        <v>Melting_Curves/meltCurve_K7EKI0_EVPL.pdf</v>
      </c>
    </row>
    <row r="1236" spans="1:28" x14ac:dyDescent="0.25">
      <c r="A1236" t="s">
        <v>1240</v>
      </c>
      <c r="B1236">
        <v>0.99252571173614901</v>
      </c>
      <c r="C1236">
        <v>0.95851340890044101</v>
      </c>
      <c r="D1236">
        <v>0.99540783278079803</v>
      </c>
      <c r="E1236">
        <v>1.0638808673806099</v>
      </c>
      <c r="F1236">
        <v>0.78283890252274502</v>
      </c>
      <c r="G1236">
        <v>0.40634740394545099</v>
      </c>
      <c r="H1236">
        <v>0.23688874467510199</v>
      </c>
      <c r="I1236">
        <v>0.19294851068528701</v>
      </c>
      <c r="J1236">
        <v>0.27133409124693803</v>
      </c>
      <c r="K1236">
        <v>0.30698306760918498</v>
      </c>
      <c r="L1236">
        <v>2139.4198773211901</v>
      </c>
      <c r="M1236">
        <v>39.187587577625401</v>
      </c>
      <c r="N1236">
        <v>55.585602837731798</v>
      </c>
      <c r="O1236">
        <v>54.452742557552902</v>
      </c>
      <c r="P1236">
        <v>-0.13468151659170199</v>
      </c>
      <c r="Q1236">
        <v>0.25142005937502199</v>
      </c>
      <c r="R1236">
        <v>0.98626846635552701</v>
      </c>
      <c r="S1236" t="s">
        <v>7882</v>
      </c>
      <c r="T1236" t="s">
        <v>13290</v>
      </c>
      <c r="U1236" t="s">
        <v>13290</v>
      </c>
      <c r="V1236" t="s">
        <v>13290</v>
      </c>
      <c r="W1236" t="s">
        <v>14501</v>
      </c>
      <c r="X1236">
        <v>2</v>
      </c>
      <c r="Y1236" t="s">
        <v>21084</v>
      </c>
      <c r="Z1236" t="s">
        <v>27566</v>
      </c>
      <c r="AA1236">
        <v>0.61852156494633914</v>
      </c>
      <c r="AB1236" t="str">
        <f>HYPERLINK("Melting_Curves/meltCurve_K7EKI4_MRPL4.pdf", "Melting_Curves/meltCurve_K7EKI4_MRPL4.pdf")</f>
        <v>Melting_Curves/meltCurve_K7EKI4_MRPL4.pdf</v>
      </c>
    </row>
    <row r="1237" spans="1:28" x14ac:dyDescent="0.25">
      <c r="A1237" t="s">
        <v>1241</v>
      </c>
      <c r="B1237">
        <v>0.99252571173614901</v>
      </c>
      <c r="C1237">
        <v>1.0000574680702801</v>
      </c>
      <c r="D1237">
        <v>0.85034842370470598</v>
      </c>
      <c r="E1237">
        <v>0.66168897097703305</v>
      </c>
      <c r="F1237">
        <v>0.49641750840462801</v>
      </c>
      <c r="G1237">
        <v>0.32777024684631501</v>
      </c>
      <c r="H1237">
        <v>0.27998614889777301</v>
      </c>
      <c r="I1237">
        <v>0.35325643361338499</v>
      </c>
      <c r="J1237">
        <v>0.494127017870783</v>
      </c>
      <c r="K1237">
        <v>0.50347004572730103</v>
      </c>
      <c r="L1237">
        <v>1164.88295247424</v>
      </c>
      <c r="M1237">
        <v>23.8647504753954</v>
      </c>
      <c r="N1237">
        <v>52.1861522052751</v>
      </c>
      <c r="O1237">
        <v>48.473018590491201</v>
      </c>
      <c r="P1237">
        <v>-7.4695558669888501E-2</v>
      </c>
      <c r="Q1237">
        <v>0.39313688315441903</v>
      </c>
      <c r="R1237">
        <v>0.92553490351582401</v>
      </c>
      <c r="S1237" t="s">
        <v>7883</v>
      </c>
      <c r="T1237" t="s">
        <v>13290</v>
      </c>
      <c r="U1237" t="s">
        <v>13290</v>
      </c>
      <c r="V1237" t="s">
        <v>13290</v>
      </c>
      <c r="W1237" t="s">
        <v>14502</v>
      </c>
      <c r="X1237">
        <v>34</v>
      </c>
      <c r="Y1237" t="s">
        <v>21085</v>
      </c>
      <c r="Z1237" t="s">
        <v>27567</v>
      </c>
      <c r="AA1237">
        <v>0.57730470211509499</v>
      </c>
      <c r="AB1237" t="str">
        <f>HYPERLINK("Melting_Curves/meltCurve_K7EKI8_PPL.pdf", "Melting_Curves/meltCurve_K7EKI8_PPL.pdf")</f>
        <v>Melting_Curves/meltCurve_K7EKI8_PPL.pdf</v>
      </c>
    </row>
    <row r="1238" spans="1:28" x14ac:dyDescent="0.25">
      <c r="A1238" t="s">
        <v>1242</v>
      </c>
      <c r="B1238">
        <v>0.99252571173614901</v>
      </c>
      <c r="C1238">
        <v>0.95048345854465999</v>
      </c>
      <c r="D1238">
        <v>0.90661505569308898</v>
      </c>
      <c r="E1238">
        <v>0.96198383778547503</v>
      </c>
      <c r="F1238">
        <v>0.57147082447317699</v>
      </c>
      <c r="G1238">
        <v>0.45927021802477402</v>
      </c>
      <c r="H1238">
        <v>0.40740516963202</v>
      </c>
      <c r="I1238">
        <v>0.48124763519354402</v>
      </c>
      <c r="J1238">
        <v>0.676021195359232</v>
      </c>
      <c r="K1238">
        <v>0.59198847481269301</v>
      </c>
      <c r="L1238">
        <v>3441.7470258326198</v>
      </c>
      <c r="M1238">
        <v>66.932279096359807</v>
      </c>
      <c r="O1238">
        <v>51.375488924098399</v>
      </c>
      <c r="P1238">
        <v>-0.15522693327209799</v>
      </c>
      <c r="Q1238">
        <v>0.52340738647112095</v>
      </c>
      <c r="R1238">
        <v>0.87775728441271295</v>
      </c>
      <c r="S1238" t="s">
        <v>7884</v>
      </c>
      <c r="T1238" t="s">
        <v>13290</v>
      </c>
      <c r="U1238" t="s">
        <v>13290</v>
      </c>
      <c r="V1238" t="s">
        <v>13290</v>
      </c>
      <c r="W1238" t="s">
        <v>14503</v>
      </c>
      <c r="X1238">
        <v>3</v>
      </c>
      <c r="Y1238" t="s">
        <v>21086</v>
      </c>
      <c r="Z1238" t="s">
        <v>27568</v>
      </c>
      <c r="AA1238">
        <v>0.70545324778224883</v>
      </c>
      <c r="AB1238" t="str">
        <f>HYPERLINK("Melting_Curves/meltCurve_K7EKW3_TMUB2.pdf", "Melting_Curves/meltCurve_K7EKW3_TMUB2.pdf")</f>
        <v>Melting_Curves/meltCurve_K7EKW3_TMUB2.pdf</v>
      </c>
    </row>
    <row r="1239" spans="1:28" x14ac:dyDescent="0.25">
      <c r="A1239" t="s">
        <v>1243</v>
      </c>
      <c r="B1239">
        <v>0.99252571173614901</v>
      </c>
      <c r="C1239">
        <v>1.05365551224327</v>
      </c>
      <c r="D1239">
        <v>0.92839029793032002</v>
      </c>
      <c r="E1239">
        <v>0.62253662210116201</v>
      </c>
      <c r="F1239">
        <v>0.291117691390468</v>
      </c>
      <c r="G1239">
        <v>0.17986934818849401</v>
      </c>
      <c r="H1239">
        <v>0.123865430743095</v>
      </c>
      <c r="I1239">
        <v>0.144654718924737</v>
      </c>
      <c r="J1239">
        <v>0.20542057177675699</v>
      </c>
      <c r="K1239">
        <v>0.21567929385717499</v>
      </c>
      <c r="L1239">
        <v>1507.13901757758</v>
      </c>
      <c r="M1239">
        <v>30.200215178118</v>
      </c>
      <c r="N1239">
        <v>50.602974827866703</v>
      </c>
      <c r="O1239">
        <v>49.687619049779002</v>
      </c>
      <c r="P1239">
        <v>-0.12606478017748499</v>
      </c>
      <c r="Q1239">
        <v>0.17036085849595001</v>
      </c>
      <c r="R1239">
        <v>0.99209625393034895</v>
      </c>
      <c r="S1239" t="s">
        <v>7885</v>
      </c>
      <c r="T1239" t="s">
        <v>13290</v>
      </c>
      <c r="U1239" t="s">
        <v>13290</v>
      </c>
      <c r="V1239" t="s">
        <v>13290</v>
      </c>
      <c r="W1239" t="s">
        <v>14504</v>
      </c>
      <c r="X1239">
        <v>11</v>
      </c>
      <c r="Y1239" t="s">
        <v>21087</v>
      </c>
      <c r="Z1239" t="s">
        <v>27569</v>
      </c>
      <c r="AA1239">
        <v>0.44933255671638889</v>
      </c>
      <c r="AB1239" t="str">
        <f>HYPERLINK("Melting_Curves/meltCurve_K7EL21_CAPS.pdf", "Melting_Curves/meltCurve_K7EL21_CAPS.pdf")</f>
        <v>Melting_Curves/meltCurve_K7EL21_CAPS.pdf</v>
      </c>
    </row>
    <row r="1240" spans="1:28" x14ac:dyDescent="0.25">
      <c r="A1240" t="s">
        <v>1244</v>
      </c>
      <c r="B1240">
        <v>0.99252571173614901</v>
      </c>
      <c r="C1240">
        <v>1.09612371016709</v>
      </c>
      <c r="D1240">
        <v>0.95090259299204904</v>
      </c>
      <c r="E1240">
        <v>0.92537054672705199</v>
      </c>
      <c r="F1240">
        <v>0.64122080375840396</v>
      </c>
      <c r="G1240">
        <v>0.22158391404398201</v>
      </c>
      <c r="H1240">
        <v>0.15444272924188601</v>
      </c>
      <c r="I1240">
        <v>0.13843505773526901</v>
      </c>
      <c r="J1240">
        <v>0.14499569823792299</v>
      </c>
      <c r="K1240">
        <v>0.13029954705785901</v>
      </c>
      <c r="L1240">
        <v>1879.30273276612</v>
      </c>
      <c r="M1240">
        <v>35.048201677974397</v>
      </c>
      <c r="N1240">
        <v>54.104206457761798</v>
      </c>
      <c r="O1240">
        <v>53.446858233782898</v>
      </c>
      <c r="P1240">
        <v>-0.14189106836895701</v>
      </c>
      <c r="Q1240">
        <v>0.134494300589132</v>
      </c>
      <c r="R1240">
        <v>0.99178400135718703</v>
      </c>
      <c r="S1240" t="s">
        <v>7886</v>
      </c>
      <c r="T1240" t="s">
        <v>13290</v>
      </c>
      <c r="U1240" t="s">
        <v>13290</v>
      </c>
      <c r="V1240" t="s">
        <v>13290</v>
      </c>
      <c r="W1240" t="s">
        <v>14505</v>
      </c>
      <c r="X1240">
        <v>18</v>
      </c>
      <c r="Y1240" t="s">
        <v>21088</v>
      </c>
      <c r="Z1240" t="s">
        <v>27570</v>
      </c>
      <c r="AA1240">
        <v>0.53161757283089583</v>
      </c>
      <c r="AB1240" t="str">
        <f>HYPERLINK("Melting_Curves/meltCurve_K7EL68_CDC37.pdf", "Melting_Curves/meltCurve_K7EL68_CDC37.pdf")</f>
        <v>Melting_Curves/meltCurve_K7EL68_CDC37.pdf</v>
      </c>
    </row>
    <row r="1241" spans="1:28" x14ac:dyDescent="0.25">
      <c r="A1241" t="s">
        <v>1245</v>
      </c>
      <c r="B1241">
        <v>0.99252571173614901</v>
      </c>
      <c r="C1241">
        <v>1.0473220439501301</v>
      </c>
      <c r="D1241">
        <v>1.03173686809062</v>
      </c>
      <c r="E1241">
        <v>1.04254959679363</v>
      </c>
      <c r="F1241">
        <v>0.66191883190224698</v>
      </c>
      <c r="G1241">
        <v>0.38958711215665498</v>
      </c>
      <c r="H1241">
        <v>0.28546831135624301</v>
      </c>
      <c r="I1241">
        <v>0.356898099346041</v>
      </c>
      <c r="J1241">
        <v>0.54009446816301898</v>
      </c>
      <c r="K1241">
        <v>0.56814939106955098</v>
      </c>
      <c r="L1241">
        <v>13280.396830063701</v>
      </c>
      <c r="M1241">
        <v>250</v>
      </c>
      <c r="N1241">
        <v>53.536712044740199</v>
      </c>
      <c r="O1241">
        <v>53.118188999510203</v>
      </c>
      <c r="P1241">
        <v>-0.67298103961623701</v>
      </c>
      <c r="Q1241">
        <v>0.42803946771579099</v>
      </c>
      <c r="R1241">
        <v>0.92566536229043495</v>
      </c>
      <c r="S1241" t="s">
        <v>7887</v>
      </c>
      <c r="T1241" t="s">
        <v>13290</v>
      </c>
      <c r="U1241" t="s">
        <v>13290</v>
      </c>
      <c r="V1241" t="s">
        <v>13290</v>
      </c>
      <c r="W1241" t="s">
        <v>14506</v>
      </c>
      <c r="X1241">
        <v>25</v>
      </c>
      <c r="Y1241" t="s">
        <v>21089</v>
      </c>
      <c r="Z1241" t="s">
        <v>27571</v>
      </c>
      <c r="AA1241">
        <v>0.67826045913694477</v>
      </c>
      <c r="AB1241" t="str">
        <f>HYPERLINK("Melting_Curves/meltCurve_K7ELL7_PRKCSH.pdf", "Melting_Curves/meltCurve_K7ELL7_PRKCSH.pdf")</f>
        <v>Melting_Curves/meltCurve_K7ELL7_PRKCSH.pdf</v>
      </c>
    </row>
    <row r="1242" spans="1:28" x14ac:dyDescent="0.25">
      <c r="A1242" t="s">
        <v>1246</v>
      </c>
      <c r="B1242">
        <v>0.99252571173614901</v>
      </c>
      <c r="C1242">
        <v>0.92569079742750204</v>
      </c>
      <c r="D1242">
        <v>1.3498503279496299</v>
      </c>
      <c r="E1242">
        <v>1.4599717059575801</v>
      </c>
      <c r="F1242">
        <v>1.44447704242302</v>
      </c>
      <c r="G1242">
        <v>1.18954416882961</v>
      </c>
      <c r="H1242">
        <v>1.6868640618728801</v>
      </c>
      <c r="I1242">
        <v>1.95692818334292</v>
      </c>
      <c r="J1242">
        <v>1.2580808391065099</v>
      </c>
      <c r="K1242">
        <v>0.385923509077023</v>
      </c>
      <c r="L1242">
        <v>11148.4563251034</v>
      </c>
      <c r="M1242">
        <v>250</v>
      </c>
      <c r="O1242">
        <v>44.590971613906802</v>
      </c>
      <c r="P1242">
        <v>0.47861712393276001</v>
      </c>
      <c r="Q1242">
        <v>1.3414720408226799</v>
      </c>
      <c r="R1242">
        <v>0.13545598074057</v>
      </c>
      <c r="S1242" t="s">
        <v>7888</v>
      </c>
      <c r="T1242" t="s">
        <v>13290</v>
      </c>
      <c r="U1242" t="s">
        <v>13290</v>
      </c>
      <c r="V1242" t="s">
        <v>13290</v>
      </c>
      <c r="W1242" t="s">
        <v>14507</v>
      </c>
      <c r="X1242">
        <v>1</v>
      </c>
      <c r="Y1242" t="s">
        <v>21090</v>
      </c>
      <c r="Z1242" t="s">
        <v>27572</v>
      </c>
      <c r="AA1242">
        <v>1.289156553368513</v>
      </c>
      <c r="AB1242" t="str">
        <f>HYPERLINK("Melting_Curves/meltCurve_K7EM02_KATNAL2.pdf", "Melting_Curves/meltCurve_K7EM02_KATNAL2.pdf")</f>
        <v>Melting_Curves/meltCurve_K7EM02_KATNAL2.pdf</v>
      </c>
    </row>
    <row r="1243" spans="1:28" x14ac:dyDescent="0.25">
      <c r="A1243" t="s">
        <v>1247</v>
      </c>
      <c r="B1243">
        <v>0.99252571173614901</v>
      </c>
      <c r="C1243">
        <v>0.97170397525383401</v>
      </c>
      <c r="D1243">
        <v>0.85485208294771997</v>
      </c>
      <c r="E1243">
        <v>0.78789623408632203</v>
      </c>
      <c r="F1243">
        <v>0.61082230035401797</v>
      </c>
      <c r="G1243">
        <v>0.446449835255186</v>
      </c>
      <c r="H1243">
        <v>0.45954841771747401</v>
      </c>
      <c r="I1243">
        <v>0.56290177131443897</v>
      </c>
      <c r="J1243">
        <v>0.57645618377836405</v>
      </c>
      <c r="K1243">
        <v>0.41241228160827098</v>
      </c>
      <c r="L1243">
        <v>914.55297455337802</v>
      </c>
      <c r="M1243">
        <v>18.430288880480202</v>
      </c>
      <c r="N1243">
        <v>60.568894412269799</v>
      </c>
      <c r="O1243">
        <v>49.0491383965472</v>
      </c>
      <c r="P1243">
        <v>-4.8650762192987897E-2</v>
      </c>
      <c r="Q1243">
        <v>0.482119643067494</v>
      </c>
      <c r="R1243">
        <v>0.92683260211080698</v>
      </c>
      <c r="S1243" t="s">
        <v>7889</v>
      </c>
      <c r="T1243" t="s">
        <v>13290</v>
      </c>
      <c r="U1243" t="s">
        <v>13290</v>
      </c>
      <c r="V1243" t="s">
        <v>13290</v>
      </c>
      <c r="W1243" t="s">
        <v>14508</v>
      </c>
      <c r="X1243">
        <v>3</v>
      </c>
      <c r="Y1243" t="s">
        <v>21091</v>
      </c>
      <c r="Z1243" t="s">
        <v>27573</v>
      </c>
      <c r="AA1243">
        <v>0.65670607315956508</v>
      </c>
      <c r="AB1243" t="str">
        <f>HYPERLINK("Melting_Curves/meltCurve_K7EM09_TMEM205.pdf", "Melting_Curves/meltCurve_K7EM09_TMEM205.pdf")</f>
        <v>Melting_Curves/meltCurve_K7EM09_TMEM205.pdf</v>
      </c>
    </row>
    <row r="1244" spans="1:28" x14ac:dyDescent="0.25">
      <c r="A1244" t="s">
        <v>1248</v>
      </c>
      <c r="B1244">
        <v>0.99252571173614901</v>
      </c>
      <c r="C1244">
        <v>1.00137301118238</v>
      </c>
      <c r="D1244">
        <v>0.81324113943641496</v>
      </c>
      <c r="E1244">
        <v>0.62613276556898301</v>
      </c>
      <c r="F1244">
        <v>0.48196474654256899</v>
      </c>
      <c r="G1244">
        <v>0.34727407912514102</v>
      </c>
      <c r="H1244">
        <v>0.35522291601918998</v>
      </c>
      <c r="I1244">
        <v>0.426847554585225</v>
      </c>
      <c r="J1244">
        <v>0.39846244947148202</v>
      </c>
      <c r="K1244">
        <v>0.403083357638989</v>
      </c>
      <c r="L1244">
        <v>1045.8117251620199</v>
      </c>
      <c r="M1244">
        <v>21.6378501699166</v>
      </c>
      <c r="N1244">
        <v>51.842579344942202</v>
      </c>
      <c r="O1244">
        <v>47.925370953459698</v>
      </c>
      <c r="P1244">
        <v>-6.9478945546641496E-2</v>
      </c>
      <c r="Q1244">
        <v>0.38446285084142601</v>
      </c>
      <c r="R1244">
        <v>0.98282353382497201</v>
      </c>
      <c r="S1244" t="s">
        <v>7890</v>
      </c>
      <c r="T1244" t="s">
        <v>13290</v>
      </c>
      <c r="U1244" t="s">
        <v>13290</v>
      </c>
      <c r="V1244" t="s">
        <v>13290</v>
      </c>
      <c r="W1244" t="s">
        <v>14509</v>
      </c>
      <c r="X1244">
        <v>1</v>
      </c>
      <c r="Y1244" t="s">
        <v>21092</v>
      </c>
      <c r="Z1244" t="s">
        <v>27574</v>
      </c>
      <c r="AA1244">
        <v>0.56279983371812059</v>
      </c>
      <c r="AB1244" t="str">
        <f>HYPERLINK("Melting_Curves/meltCurve_K7EM88_UBALD1.pdf", "Melting_Curves/meltCurve_K7EM88_UBALD1.pdf")</f>
        <v>Melting_Curves/meltCurve_K7EM88_UBALD1.pdf</v>
      </c>
    </row>
    <row r="1245" spans="1:28" x14ac:dyDescent="0.25">
      <c r="A1245" t="s">
        <v>1249</v>
      </c>
      <c r="B1245">
        <v>0.99252571173614901</v>
      </c>
      <c r="C1245">
        <v>0.99197747972504702</v>
      </c>
      <c r="D1245">
        <v>0.96613201434574703</v>
      </c>
      <c r="E1245">
        <v>0.85044308207686004</v>
      </c>
      <c r="F1245">
        <v>0.62262874382990296</v>
      </c>
      <c r="G1245">
        <v>0.37610456069089498</v>
      </c>
      <c r="H1245">
        <v>0.34206755465732702</v>
      </c>
      <c r="I1245">
        <v>0.28375013109469299</v>
      </c>
      <c r="J1245">
        <v>0.30209364000136801</v>
      </c>
      <c r="K1245">
        <v>0.28397280594820301</v>
      </c>
      <c r="L1245">
        <v>1179.8754266037599</v>
      </c>
      <c r="M1245">
        <v>22.390561046351699</v>
      </c>
      <c r="N1245">
        <v>54.7590638158606</v>
      </c>
      <c r="O1245">
        <v>52.280275225853302</v>
      </c>
      <c r="P1245">
        <v>-7.65583098227956E-2</v>
      </c>
      <c r="Q1245">
        <v>0.28498319290427199</v>
      </c>
      <c r="R1245">
        <v>0.99768028938529396</v>
      </c>
      <c r="S1245" t="s">
        <v>7891</v>
      </c>
      <c r="T1245" t="s">
        <v>13290</v>
      </c>
      <c r="U1245" t="s">
        <v>13290</v>
      </c>
      <c r="V1245" t="s">
        <v>13290</v>
      </c>
      <c r="W1245" t="s">
        <v>14510</v>
      </c>
      <c r="X1245">
        <v>2</v>
      </c>
      <c r="Y1245" t="s">
        <v>21093</v>
      </c>
      <c r="Z1245" t="s">
        <v>27575</v>
      </c>
      <c r="AA1245">
        <v>0.5956221945398118</v>
      </c>
      <c r="AB1245" t="str">
        <f>HYPERLINK("Melting_Curves/meltCurve_K7EMM8_GLYR1.pdf", "Melting_Curves/meltCurve_K7EMM8_GLYR1.pdf")</f>
        <v>Melting_Curves/meltCurve_K7EMM8_GLYR1.pdf</v>
      </c>
    </row>
    <row r="1246" spans="1:28" x14ac:dyDescent="0.25">
      <c r="A1246" t="s">
        <v>1250</v>
      </c>
      <c r="B1246">
        <v>0.99252571173614901</v>
      </c>
      <c r="C1246">
        <v>1.00293080501205</v>
      </c>
      <c r="D1246">
        <v>0.86421470725569904</v>
      </c>
      <c r="E1246">
        <v>0.95823850741213401</v>
      </c>
      <c r="F1246">
        <v>0.58724017770291503</v>
      </c>
      <c r="G1246">
        <v>0.45579669065280498</v>
      </c>
      <c r="H1246">
        <v>0.29213255289406698</v>
      </c>
      <c r="I1246">
        <v>0.28263891344651998</v>
      </c>
      <c r="J1246">
        <v>0.36129660289965598</v>
      </c>
      <c r="K1246">
        <v>0.35874638433459899</v>
      </c>
      <c r="L1246">
        <v>1514.9688894959199</v>
      </c>
      <c r="M1246">
        <v>28.726217875923702</v>
      </c>
      <c r="N1246">
        <v>54.7606862303615</v>
      </c>
      <c r="O1246">
        <v>52.484603140056599</v>
      </c>
      <c r="P1246">
        <v>-9.2097049805311595E-2</v>
      </c>
      <c r="Q1246">
        <v>0.32693686453881798</v>
      </c>
      <c r="R1246">
        <v>0.96509579764747899</v>
      </c>
      <c r="S1246" t="s">
        <v>7892</v>
      </c>
      <c r="T1246" t="s">
        <v>13290</v>
      </c>
      <c r="U1246" t="s">
        <v>13290</v>
      </c>
      <c r="V1246" t="s">
        <v>13290</v>
      </c>
      <c r="W1246" t="s">
        <v>14511</v>
      </c>
      <c r="X1246">
        <v>2</v>
      </c>
      <c r="Y1246" t="s">
        <v>21094</v>
      </c>
      <c r="Z1246" t="s">
        <v>27576</v>
      </c>
      <c r="AA1246">
        <v>0.61745820904300208</v>
      </c>
      <c r="AB1246" t="str">
        <f>HYPERLINK("Melting_Curves/meltCurve_K7EMR7_RTN2.pdf", "Melting_Curves/meltCurve_K7EMR7_RTN2.pdf")</f>
        <v>Melting_Curves/meltCurve_K7EMR7_RTN2.pdf</v>
      </c>
    </row>
    <row r="1247" spans="1:28" x14ac:dyDescent="0.25">
      <c r="A1247" t="s">
        <v>1251</v>
      </c>
      <c r="B1247">
        <v>0.99252571173614901</v>
      </c>
      <c r="C1247">
        <v>0.97053272238218502</v>
      </c>
      <c r="D1247">
        <v>0.86293158525095204</v>
      </c>
      <c r="E1247">
        <v>0.56711235984950104</v>
      </c>
      <c r="F1247">
        <v>0.28855792533084201</v>
      </c>
      <c r="G1247">
        <v>0.19845679444456399</v>
      </c>
      <c r="H1247">
        <v>0.134371519446362</v>
      </c>
      <c r="I1247">
        <v>0.16081575550419999</v>
      </c>
      <c r="J1247">
        <v>0.16603372265253599</v>
      </c>
      <c r="K1247">
        <v>0.243436589822946</v>
      </c>
      <c r="L1247">
        <v>1185.7872029438799</v>
      </c>
      <c r="M1247">
        <v>24.054142007282401</v>
      </c>
      <c r="N1247">
        <v>50.172896764304902</v>
      </c>
      <c r="O1247">
        <v>48.959670457323199</v>
      </c>
      <c r="P1247">
        <v>-0.101761570463874</v>
      </c>
      <c r="Q1247">
        <v>0.17151321994836899</v>
      </c>
      <c r="R1247">
        <v>0.99317146469961803</v>
      </c>
      <c r="S1247" t="s">
        <v>7893</v>
      </c>
      <c r="T1247" t="s">
        <v>13290</v>
      </c>
      <c r="U1247" t="s">
        <v>13290</v>
      </c>
      <c r="V1247" t="s">
        <v>13290</v>
      </c>
      <c r="W1247" t="s">
        <v>14512</v>
      </c>
      <c r="X1247">
        <v>1</v>
      </c>
      <c r="Y1247" t="s">
        <v>21095</v>
      </c>
      <c r="Z1247" t="s">
        <v>27577</v>
      </c>
      <c r="AA1247">
        <v>0.43621063116351971</v>
      </c>
      <c r="AB1247" t="str">
        <f>HYPERLINK("Melting_Curves/meltCurve_K7EMV5_ZNF444.pdf", "Melting_Curves/meltCurve_K7EMV5_ZNF444.pdf")</f>
        <v>Melting_Curves/meltCurve_K7EMV5_ZNF444.pdf</v>
      </c>
    </row>
    <row r="1248" spans="1:28" x14ac:dyDescent="0.25">
      <c r="A1248" t="s">
        <v>1252</v>
      </c>
      <c r="B1248">
        <v>0.99252571173614901</v>
      </c>
      <c r="C1248">
        <v>1.09550549161973</v>
      </c>
      <c r="D1248">
        <v>1.03368507702652</v>
      </c>
      <c r="E1248">
        <v>1.0268724792846</v>
      </c>
      <c r="F1248">
        <v>0.88858424380032297</v>
      </c>
      <c r="G1248">
        <v>0.64386682606941203</v>
      </c>
      <c r="H1248">
        <v>0.48368827873408199</v>
      </c>
      <c r="I1248">
        <v>0.31737263535939603</v>
      </c>
      <c r="J1248">
        <v>0.27751940977749601</v>
      </c>
      <c r="K1248">
        <v>0.22749763249053601</v>
      </c>
      <c r="L1248">
        <v>1124.62430644917</v>
      </c>
      <c r="M1248">
        <v>19.394890503832201</v>
      </c>
      <c r="N1248">
        <v>59.7337140586583</v>
      </c>
      <c r="O1248">
        <v>57.37970399236</v>
      </c>
      <c r="P1248">
        <v>-6.6205302509850905E-2</v>
      </c>
      <c r="Q1248">
        <v>0.21655633057630699</v>
      </c>
      <c r="R1248">
        <v>0.98376082141838495</v>
      </c>
      <c r="S1248" t="s">
        <v>7894</v>
      </c>
      <c r="T1248" t="s">
        <v>13290</v>
      </c>
      <c r="U1248" t="s">
        <v>13290</v>
      </c>
      <c r="V1248" t="s">
        <v>13290</v>
      </c>
      <c r="W1248" t="s">
        <v>14513</v>
      </c>
      <c r="X1248">
        <v>1</v>
      </c>
      <c r="Y1248" t="s">
        <v>21096</v>
      </c>
      <c r="Z1248" t="s">
        <v>27578</v>
      </c>
      <c r="AA1248">
        <v>0.69539130131577154</v>
      </c>
      <c r="AB1248" t="str">
        <f>HYPERLINK("Melting_Curves/meltCurve_K7EN05_ELOF1.pdf", "Melting_Curves/meltCurve_K7EN05_ELOF1.pdf")</f>
        <v>Melting_Curves/meltCurve_K7EN05_ELOF1.pdf</v>
      </c>
    </row>
    <row r="1249" spans="1:28" x14ac:dyDescent="0.25">
      <c r="A1249" t="s">
        <v>1253</v>
      </c>
      <c r="B1249">
        <v>0.99252571173614901</v>
      </c>
      <c r="C1249">
        <v>0.99668749493741604</v>
      </c>
      <c r="D1249">
        <v>0.82506255877022605</v>
      </c>
      <c r="E1249">
        <v>0.80781868191680795</v>
      </c>
      <c r="F1249">
        <v>0.44755054391364302</v>
      </c>
      <c r="G1249">
        <v>0.282420438654091</v>
      </c>
      <c r="H1249">
        <v>0.165189590972706</v>
      </c>
      <c r="I1249">
        <v>0.136891164696126</v>
      </c>
      <c r="J1249">
        <v>0.16497973550491099</v>
      </c>
      <c r="K1249">
        <v>0.163507914007991</v>
      </c>
      <c r="L1249">
        <v>953.89161629131195</v>
      </c>
      <c r="M1249">
        <v>18.380844623978302</v>
      </c>
      <c r="N1249">
        <v>52.780963635082003</v>
      </c>
      <c r="O1249">
        <v>51.293387015935402</v>
      </c>
      <c r="P1249">
        <v>-7.7709655164780705E-2</v>
      </c>
      <c r="Q1249">
        <v>0.13261626715525299</v>
      </c>
      <c r="R1249">
        <v>0.98581608431816403</v>
      </c>
      <c r="S1249" t="s">
        <v>7895</v>
      </c>
      <c r="T1249" t="s">
        <v>13290</v>
      </c>
      <c r="U1249" t="s">
        <v>13290</v>
      </c>
      <c r="V1249" t="s">
        <v>13290</v>
      </c>
      <c r="W1249" t="s">
        <v>14514</v>
      </c>
      <c r="X1249">
        <v>4</v>
      </c>
      <c r="Y1249" t="s">
        <v>21097</v>
      </c>
      <c r="Z1249" t="s">
        <v>27579</v>
      </c>
      <c r="AA1249">
        <v>0.49050341323133428</v>
      </c>
      <c r="AB1249" t="str">
        <f>HYPERLINK("Melting_Curves/meltCurve_K7EN88_hCG_2039718.pdf", "Melting_Curves/meltCurve_K7EN88_hCG_2039718.pdf")</f>
        <v>Melting_Curves/meltCurve_K7EN88_hCG_2039718.pdf</v>
      </c>
    </row>
    <row r="1250" spans="1:28" x14ac:dyDescent="0.25">
      <c r="A1250" t="s">
        <v>1254</v>
      </c>
      <c r="B1250">
        <v>0.99252571173614901</v>
      </c>
      <c r="C1250">
        <v>0.95565659755158106</v>
      </c>
      <c r="D1250">
        <v>0.86119320353683604</v>
      </c>
      <c r="E1250">
        <v>0.90870311566140005</v>
      </c>
      <c r="F1250">
        <v>0.644479652871916</v>
      </c>
      <c r="G1250">
        <v>0.41847933561088402</v>
      </c>
      <c r="H1250">
        <v>0.38066407474074598</v>
      </c>
      <c r="I1250">
        <v>0.49551199543748198</v>
      </c>
      <c r="J1250">
        <v>0.61560767715850795</v>
      </c>
      <c r="K1250">
        <v>0.30086889684947299</v>
      </c>
      <c r="L1250">
        <v>1646.9857412455301</v>
      </c>
      <c r="M1250">
        <v>31.659854965199798</v>
      </c>
      <c r="N1250">
        <v>55.656210718401901</v>
      </c>
      <c r="O1250">
        <v>51.815055582290398</v>
      </c>
      <c r="P1250">
        <v>-8.6037158003646502E-2</v>
      </c>
      <c r="Q1250">
        <v>0.43676365991326999</v>
      </c>
      <c r="R1250">
        <v>0.86580040643502698</v>
      </c>
      <c r="S1250" t="s">
        <v>7896</v>
      </c>
      <c r="T1250" t="s">
        <v>13290</v>
      </c>
      <c r="U1250" t="s">
        <v>13290</v>
      </c>
      <c r="V1250" t="s">
        <v>13290</v>
      </c>
      <c r="W1250" t="s">
        <v>14515</v>
      </c>
      <c r="X1250">
        <v>3</v>
      </c>
      <c r="Y1250" t="s">
        <v>21098</v>
      </c>
      <c r="Z1250" t="s">
        <v>27580</v>
      </c>
      <c r="AA1250">
        <v>0.66569196602413394</v>
      </c>
      <c r="AB1250" t="str">
        <f>HYPERLINK("Melting_Curves/meltCurve_K7ENC0_FUT5.pdf", "Melting_Curves/meltCurve_K7ENC0_FUT5.pdf")</f>
        <v>Melting_Curves/meltCurve_K7ENC0_FUT5.pdf</v>
      </c>
    </row>
    <row r="1251" spans="1:28" x14ac:dyDescent="0.25">
      <c r="A1251" t="s">
        <v>1255</v>
      </c>
      <c r="B1251">
        <v>0.99252571173614901</v>
      </c>
      <c r="C1251">
        <v>0.85099591378921402</v>
      </c>
      <c r="D1251">
        <v>0.89427997213201005</v>
      </c>
      <c r="E1251">
        <v>0.79643706610152398</v>
      </c>
      <c r="F1251">
        <v>0.591063407811252</v>
      </c>
      <c r="G1251">
        <v>0.17777594141334799</v>
      </c>
      <c r="H1251">
        <v>4.3373468185683099E-2</v>
      </c>
      <c r="I1251">
        <v>3.9918535964798697E-2</v>
      </c>
      <c r="J1251">
        <v>4.9184215142241798E-2</v>
      </c>
      <c r="K1251">
        <v>5.47949398991242E-2</v>
      </c>
      <c r="L1251">
        <v>1064.49878380986</v>
      </c>
      <c r="M1251">
        <v>19.974335027841899</v>
      </c>
      <c r="N1251">
        <v>53.349459506992297</v>
      </c>
      <c r="O1251">
        <v>52.767785664387397</v>
      </c>
      <c r="P1251">
        <v>-9.3652235182459201E-2</v>
      </c>
      <c r="Q1251">
        <v>1.0398252834309301E-2</v>
      </c>
      <c r="R1251">
        <v>0.975177814513701</v>
      </c>
      <c r="S1251" t="s">
        <v>7897</v>
      </c>
      <c r="T1251" t="s">
        <v>13290</v>
      </c>
      <c r="U1251" t="s">
        <v>13290</v>
      </c>
      <c r="V1251" t="s">
        <v>13290</v>
      </c>
      <c r="W1251" t="s">
        <v>14516</v>
      </c>
      <c r="X1251">
        <v>3</v>
      </c>
      <c r="Y1251" t="s">
        <v>21099</v>
      </c>
      <c r="Z1251" t="s">
        <v>27581</v>
      </c>
      <c r="AA1251">
        <v>0.46250407209052719</v>
      </c>
      <c r="AB1251" t="str">
        <f>HYPERLINK("Melting_Curves/meltCurve_K7ENF0_NARS.pdf", "Melting_Curves/meltCurve_K7ENF0_NARS.pdf")</f>
        <v>Melting_Curves/meltCurve_K7ENF0_NARS.pdf</v>
      </c>
    </row>
    <row r="1252" spans="1:28" x14ac:dyDescent="0.25">
      <c r="A1252" t="s">
        <v>1256</v>
      </c>
      <c r="B1252">
        <v>0.99252571173614901</v>
      </c>
      <c r="C1252">
        <v>0.93586382608640795</v>
      </c>
      <c r="D1252">
        <v>0.988087916138638</v>
      </c>
      <c r="E1252">
        <v>0.783924177680973</v>
      </c>
      <c r="F1252">
        <v>0.26078199124303703</v>
      </c>
      <c r="G1252">
        <v>0.17134438616002801</v>
      </c>
      <c r="H1252">
        <v>0.150130398444066</v>
      </c>
      <c r="I1252">
        <v>0.166285800357902</v>
      </c>
      <c r="J1252">
        <v>0.15447940672319399</v>
      </c>
      <c r="K1252">
        <v>0.14729313963896301</v>
      </c>
      <c r="L1252">
        <v>2192.38889085039</v>
      </c>
      <c r="M1252">
        <v>43.140366881729499</v>
      </c>
      <c r="N1252">
        <v>51.263078278292802</v>
      </c>
      <c r="O1252">
        <v>50.711035135452903</v>
      </c>
      <c r="P1252">
        <v>-0.17957354639040199</v>
      </c>
      <c r="Q1252">
        <v>0.155653857470886</v>
      </c>
      <c r="R1252">
        <v>0.99682189366937601</v>
      </c>
      <c r="S1252" t="s">
        <v>7898</v>
      </c>
      <c r="T1252" t="s">
        <v>13290</v>
      </c>
      <c r="U1252" t="s">
        <v>13290</v>
      </c>
      <c r="V1252" t="s">
        <v>13290</v>
      </c>
      <c r="W1252" t="s">
        <v>14517</v>
      </c>
      <c r="X1252">
        <v>6</v>
      </c>
      <c r="Y1252" t="s">
        <v>21100</v>
      </c>
      <c r="Z1252" t="s">
        <v>27582</v>
      </c>
      <c r="AA1252">
        <v>0.46272555487055328</v>
      </c>
      <c r="AB1252" t="str">
        <f>HYPERLINK("Melting_Curves/meltCurve_K7ENL9_C18orf8.pdf", "Melting_Curves/meltCurve_K7ENL9_C18orf8.pdf")</f>
        <v>Melting_Curves/meltCurve_K7ENL9_C18orf8.pdf</v>
      </c>
    </row>
    <row r="1253" spans="1:28" x14ac:dyDescent="0.25">
      <c r="A1253" t="s">
        <v>1257</v>
      </c>
      <c r="B1253">
        <v>0.99252571173614901</v>
      </c>
      <c r="C1253">
        <v>0.98336233547719099</v>
      </c>
      <c r="D1253">
        <v>1.1501508158812801</v>
      </c>
      <c r="E1253">
        <v>1.27078272905559</v>
      </c>
      <c r="F1253">
        <v>1.12140569846171</v>
      </c>
      <c r="G1253">
        <v>0.57152088822854497</v>
      </c>
      <c r="H1253">
        <v>0.199966229918142</v>
      </c>
      <c r="I1253">
        <v>0.106505242325448</v>
      </c>
      <c r="J1253">
        <v>9.9354573555692799E-2</v>
      </c>
      <c r="K1253">
        <v>8.6934913973635494E-2</v>
      </c>
      <c r="L1253">
        <v>12089.896452847601</v>
      </c>
      <c r="M1253">
        <v>212.80499768395001</v>
      </c>
      <c r="N1253">
        <v>56.887708998401799</v>
      </c>
      <c r="O1253">
        <v>56.807069742863</v>
      </c>
      <c r="P1253">
        <v>-0.82115460302795296</v>
      </c>
      <c r="Q1253">
        <v>0.12318998689383399</v>
      </c>
      <c r="R1253">
        <v>0.94615189496111796</v>
      </c>
      <c r="S1253" t="s">
        <v>7899</v>
      </c>
      <c r="T1253" t="s">
        <v>13290</v>
      </c>
      <c r="U1253" t="s">
        <v>13290</v>
      </c>
      <c r="V1253" t="s">
        <v>13290</v>
      </c>
      <c r="W1253" t="s">
        <v>14518</v>
      </c>
      <c r="X1253">
        <v>10</v>
      </c>
      <c r="Y1253" t="s">
        <v>21101</v>
      </c>
      <c r="Z1253" t="s">
        <v>27583</v>
      </c>
      <c r="AA1253">
        <v>0.61467757988230487</v>
      </c>
      <c r="AB1253" t="str">
        <f>HYPERLINK("Melting_Curves/meltCurve_K7ENR6_PSMG2.pdf", "Melting_Curves/meltCurve_K7ENR6_PSMG2.pdf")</f>
        <v>Melting_Curves/meltCurve_K7ENR6_PSMG2.pdf</v>
      </c>
    </row>
    <row r="1254" spans="1:28" x14ac:dyDescent="0.25">
      <c r="A1254" t="s">
        <v>1258</v>
      </c>
      <c r="B1254">
        <v>0.99252571173614901</v>
      </c>
      <c r="C1254">
        <v>1.0112481870007699</v>
      </c>
      <c r="D1254">
        <v>0.85731729266301704</v>
      </c>
      <c r="E1254">
        <v>0.93012641600398305</v>
      </c>
      <c r="F1254">
        <v>0.63992411400773797</v>
      </c>
      <c r="G1254">
        <v>0.56706618403474696</v>
      </c>
      <c r="H1254">
        <v>0.51043005594873203</v>
      </c>
      <c r="I1254">
        <v>0.70614123772482895</v>
      </c>
      <c r="J1254">
        <v>1.26523491191437</v>
      </c>
      <c r="K1254">
        <v>1.37812452240205</v>
      </c>
      <c r="L1254">
        <v>15000</v>
      </c>
      <c r="M1254">
        <v>224.399906327509</v>
      </c>
      <c r="O1254">
        <v>66.839638536402404</v>
      </c>
      <c r="P1254">
        <v>0.31740801293591497</v>
      </c>
      <c r="Q1254">
        <v>1.3781719369473799</v>
      </c>
      <c r="R1254">
        <v>0.11035846015454701</v>
      </c>
      <c r="S1254" t="s">
        <v>7900</v>
      </c>
      <c r="T1254" t="s">
        <v>13290</v>
      </c>
      <c r="U1254" t="s">
        <v>13290</v>
      </c>
      <c r="V1254" t="s">
        <v>13290</v>
      </c>
      <c r="W1254" t="s">
        <v>14519</v>
      </c>
      <c r="X1254">
        <v>1</v>
      </c>
      <c r="Y1254" t="s">
        <v>20047</v>
      </c>
      <c r="Z1254" t="s">
        <v>27584</v>
      </c>
      <c r="AA1254">
        <v>1.0397168431048589</v>
      </c>
      <c r="AB1254" t="str">
        <f>HYPERLINK("Melting_Curves/meltCurve_K7ENW2_ZNF286A.pdf", "Melting_Curves/meltCurve_K7ENW2_ZNF286A.pdf")</f>
        <v>Melting_Curves/meltCurve_K7ENW2_ZNF286A.pdf</v>
      </c>
    </row>
    <row r="1255" spans="1:28" x14ac:dyDescent="0.25">
      <c r="A1255" t="s">
        <v>1259</v>
      </c>
      <c r="B1255">
        <v>0.99252571173614901</v>
      </c>
      <c r="C1255">
        <v>0.831377848204783</v>
      </c>
      <c r="D1255">
        <v>0.65626712363395301</v>
      </c>
      <c r="E1255">
        <v>0.43389449647789102</v>
      </c>
      <c r="F1255">
        <v>0.29781947371588802</v>
      </c>
      <c r="G1255">
        <v>0.18195404482064101</v>
      </c>
      <c r="H1255">
        <v>0.103411565898265</v>
      </c>
      <c r="I1255">
        <v>8.4082920646066206E-2</v>
      </c>
      <c r="J1255">
        <v>9.7792932262456805E-2</v>
      </c>
      <c r="K1255">
        <v>0.122982501630494</v>
      </c>
      <c r="L1255">
        <v>658.34145864859704</v>
      </c>
      <c r="M1255">
        <v>13.7307325841048</v>
      </c>
      <c r="N1255">
        <v>48.571161654551901</v>
      </c>
      <c r="O1255">
        <v>46.963889681449402</v>
      </c>
      <c r="P1255">
        <v>-6.7186144169799802E-2</v>
      </c>
      <c r="Q1255">
        <v>8.0931381178334899E-2</v>
      </c>
      <c r="R1255">
        <v>0.994198412745527</v>
      </c>
      <c r="S1255" t="s">
        <v>7901</v>
      </c>
      <c r="T1255" t="s">
        <v>13290</v>
      </c>
      <c r="U1255" t="s">
        <v>13290</v>
      </c>
      <c r="V1255" t="s">
        <v>13290</v>
      </c>
      <c r="W1255" t="s">
        <v>14520</v>
      </c>
      <c r="X1255">
        <v>2</v>
      </c>
      <c r="Y1255" t="s">
        <v>21102</v>
      </c>
      <c r="Z1255" t="s">
        <v>27585</v>
      </c>
      <c r="AA1255">
        <v>0.35254436759464602</v>
      </c>
      <c r="AB1255" t="str">
        <f>HYPERLINK("Melting_Curves/meltCurve_K7EP31_ATP5SL.pdf", "Melting_Curves/meltCurve_K7EP31_ATP5SL.pdf")</f>
        <v>Melting_Curves/meltCurve_K7EP31_ATP5SL.pdf</v>
      </c>
    </row>
    <row r="1256" spans="1:28" x14ac:dyDescent="0.25">
      <c r="A1256" t="s">
        <v>1260</v>
      </c>
      <c r="B1256">
        <v>0.99252571173614901</v>
      </c>
      <c r="C1256">
        <v>0.64856062664445002</v>
      </c>
      <c r="D1256">
        <v>0.29704844989130902</v>
      </c>
      <c r="E1256">
        <v>0.23216692143892101</v>
      </c>
      <c r="F1256">
        <v>0.15453636639874899</v>
      </c>
      <c r="G1256">
        <v>0.10060922146170501</v>
      </c>
      <c r="H1256">
        <v>9.7981828955847797E-2</v>
      </c>
      <c r="I1256">
        <v>9.3007022798773903E-2</v>
      </c>
      <c r="J1256">
        <v>0.15585070916229801</v>
      </c>
      <c r="K1256">
        <v>0.115840175330542</v>
      </c>
      <c r="L1256">
        <v>1198.0962485233999</v>
      </c>
      <c r="M1256">
        <v>27.423172290926299</v>
      </c>
      <c r="N1256">
        <v>44.165966517079099</v>
      </c>
      <c r="O1256">
        <v>43.458854541720299</v>
      </c>
      <c r="P1256">
        <v>-0.13754366261209</v>
      </c>
      <c r="Q1256">
        <v>0.128119256009052</v>
      </c>
      <c r="R1256">
        <v>0.98339117015362099</v>
      </c>
      <c r="S1256" t="s">
        <v>7902</v>
      </c>
      <c r="T1256" t="s">
        <v>13290</v>
      </c>
      <c r="U1256" t="s">
        <v>13290</v>
      </c>
      <c r="V1256" t="s">
        <v>13290</v>
      </c>
      <c r="W1256" t="s">
        <v>14521</v>
      </c>
      <c r="X1256">
        <v>6</v>
      </c>
      <c r="Y1256" t="s">
        <v>21103</v>
      </c>
      <c r="Z1256" t="s">
        <v>27586</v>
      </c>
      <c r="AA1256">
        <v>0.2437862787990954</v>
      </c>
      <c r="AB1256" t="str">
        <f>HYPERLINK("Melting_Curves/meltCurve_K7EP32_UBXN6.pdf", "Melting_Curves/meltCurve_K7EP32_UBXN6.pdf")</f>
        <v>Melting_Curves/meltCurve_K7EP32_UBXN6.pdf</v>
      </c>
    </row>
    <row r="1257" spans="1:28" x14ac:dyDescent="0.25">
      <c r="A1257" t="s">
        <v>1261</v>
      </c>
      <c r="B1257">
        <v>0.99252571173614901</v>
      </c>
      <c r="C1257">
        <v>1.03741171153825</v>
      </c>
      <c r="D1257">
        <v>1.0332207152206301</v>
      </c>
      <c r="E1257">
        <v>0.87940898130525902</v>
      </c>
      <c r="F1257">
        <v>0.59039500453188798</v>
      </c>
      <c r="G1257">
        <v>0.49381259358420498</v>
      </c>
      <c r="H1257">
        <v>0.40910603833959303</v>
      </c>
      <c r="I1257">
        <v>0.411005763517648</v>
      </c>
      <c r="J1257">
        <v>0.47982792353757803</v>
      </c>
      <c r="K1257">
        <v>0.50287034744023396</v>
      </c>
      <c r="L1257">
        <v>1803.4799447856101</v>
      </c>
      <c r="M1257">
        <v>35.015489957285297</v>
      </c>
      <c r="N1257">
        <v>55.2911735002643</v>
      </c>
      <c r="O1257">
        <v>51.338080241950102</v>
      </c>
      <c r="P1257">
        <v>-9.3010164037746201E-2</v>
      </c>
      <c r="Q1257">
        <v>0.454533241142413</v>
      </c>
      <c r="R1257">
        <v>0.98330674208021995</v>
      </c>
      <c r="S1257" t="s">
        <v>7903</v>
      </c>
      <c r="T1257" t="s">
        <v>13290</v>
      </c>
      <c r="U1257" t="s">
        <v>13290</v>
      </c>
      <c r="V1257" t="s">
        <v>13290</v>
      </c>
      <c r="W1257" t="s">
        <v>14522</v>
      </c>
      <c r="X1257">
        <v>5</v>
      </c>
      <c r="Y1257" t="s">
        <v>21104</v>
      </c>
      <c r="Z1257" t="s">
        <v>27587</v>
      </c>
      <c r="AA1257">
        <v>0.66626080668190857</v>
      </c>
      <c r="AB1257" t="str">
        <f>HYPERLINK("Melting_Curves/meltCurve_K7EP90_RBM42.pdf", "Melting_Curves/meltCurve_K7EP90_RBM42.pdf")</f>
        <v>Melting_Curves/meltCurve_K7EP90_RBM42.pdf</v>
      </c>
    </row>
    <row r="1258" spans="1:28" x14ac:dyDescent="0.25">
      <c r="A1258" t="s">
        <v>1262</v>
      </c>
      <c r="B1258">
        <v>0.99252571173614901</v>
      </c>
      <c r="C1258">
        <v>0.86087554799962795</v>
      </c>
      <c r="D1258">
        <v>0.95337495608784395</v>
      </c>
      <c r="E1258">
        <v>0.92500537232809898</v>
      </c>
      <c r="F1258">
        <v>0.70640779297743705</v>
      </c>
      <c r="G1258">
        <v>0.49245661451428402</v>
      </c>
      <c r="H1258">
        <v>0.45933898457783701</v>
      </c>
      <c r="I1258">
        <v>0.48090160073825</v>
      </c>
      <c r="J1258">
        <v>0.64613340282067699</v>
      </c>
      <c r="K1258">
        <v>0.36952998086773498</v>
      </c>
      <c r="L1258">
        <v>1722.4644997724999</v>
      </c>
      <c r="M1258">
        <v>32.780567264792403</v>
      </c>
      <c r="N1258">
        <v>58.484941231293902</v>
      </c>
      <c r="O1258">
        <v>52.350901195254899</v>
      </c>
      <c r="P1258">
        <v>-8.1075587874809701E-2</v>
      </c>
      <c r="Q1258">
        <v>0.48208819952140203</v>
      </c>
      <c r="R1258">
        <v>0.87102604033564601</v>
      </c>
      <c r="S1258" t="s">
        <v>7904</v>
      </c>
      <c r="T1258" t="s">
        <v>13290</v>
      </c>
      <c r="U1258" t="s">
        <v>13290</v>
      </c>
      <c r="V1258" t="s">
        <v>13290</v>
      </c>
      <c r="W1258" t="s">
        <v>14523</v>
      </c>
      <c r="X1258">
        <v>3</v>
      </c>
      <c r="Y1258" t="s">
        <v>21105</v>
      </c>
      <c r="Z1258" t="s">
        <v>27588</v>
      </c>
      <c r="AA1258">
        <v>0.70146614721477263</v>
      </c>
      <c r="AB1258" t="str">
        <f>HYPERLINK("Melting_Curves/meltCurve_K7EPJ5_MGRN1.pdf", "Melting_Curves/meltCurve_K7EPJ5_MGRN1.pdf")</f>
        <v>Melting_Curves/meltCurve_K7EPJ5_MGRN1.pdf</v>
      </c>
    </row>
    <row r="1259" spans="1:28" x14ac:dyDescent="0.25">
      <c r="A1259" t="s">
        <v>1263</v>
      </c>
      <c r="B1259">
        <v>0.99252571173614901</v>
      </c>
      <c r="C1259">
        <v>0.87098418522465604</v>
      </c>
      <c r="D1259">
        <v>0.71602033146840205</v>
      </c>
      <c r="E1259">
        <v>0.56237865023100697</v>
      </c>
      <c r="F1259">
        <v>0.42759167881910898</v>
      </c>
      <c r="G1259">
        <v>0.29075052704117499</v>
      </c>
      <c r="H1259">
        <v>0.24021848103462501</v>
      </c>
      <c r="I1259">
        <v>0.39558825666703001</v>
      </c>
      <c r="J1259">
        <v>0.67336555671523102</v>
      </c>
      <c r="K1259">
        <v>0.53899527587511897</v>
      </c>
      <c r="L1259">
        <v>1021.76954776712</v>
      </c>
      <c r="M1259">
        <v>22.249931371110801</v>
      </c>
      <c r="N1259">
        <v>50.296067719515698</v>
      </c>
      <c r="O1259">
        <v>45.556237983006802</v>
      </c>
      <c r="P1259">
        <v>-6.9870898586376795E-2</v>
      </c>
      <c r="Q1259">
        <v>0.427775721574639</v>
      </c>
      <c r="R1259">
        <v>0.75122419766930204</v>
      </c>
      <c r="S1259" t="s">
        <v>7905</v>
      </c>
      <c r="T1259" t="s">
        <v>13290</v>
      </c>
      <c r="U1259" t="s">
        <v>13290</v>
      </c>
      <c r="V1259" t="s">
        <v>13290</v>
      </c>
      <c r="W1259" t="s">
        <v>14524</v>
      </c>
      <c r="X1259">
        <v>1</v>
      </c>
      <c r="Y1259" t="s">
        <v>21106</v>
      </c>
      <c r="Z1259" t="s">
        <v>27589</v>
      </c>
      <c r="AA1259">
        <v>0.54769453021613701</v>
      </c>
      <c r="AB1259" t="str">
        <f>HYPERLINK("Melting_Curves/meltCurve_K7EPV6_SLC44A2.pdf", "Melting_Curves/meltCurve_K7EPV6_SLC44A2.pdf")</f>
        <v>Melting_Curves/meltCurve_K7EPV6_SLC44A2.pdf</v>
      </c>
    </row>
    <row r="1260" spans="1:28" x14ac:dyDescent="0.25">
      <c r="A1260" t="s">
        <v>1264</v>
      </c>
      <c r="B1260">
        <v>0.99252571173614901</v>
      </c>
      <c r="C1260">
        <v>1.2457718228141399</v>
      </c>
      <c r="D1260">
        <v>1.0375076196078199</v>
      </c>
      <c r="E1260">
        <v>1.0737138886323101</v>
      </c>
      <c r="F1260">
        <v>0.50084202036677306</v>
      </c>
      <c r="G1260">
        <v>0.25804627053780299</v>
      </c>
      <c r="H1260">
        <v>0.26446190371324702</v>
      </c>
      <c r="I1260">
        <v>0.33779064641536899</v>
      </c>
      <c r="J1260">
        <v>0.39424308966199201</v>
      </c>
      <c r="K1260">
        <v>0.31101085595282502</v>
      </c>
      <c r="L1260">
        <v>13247.9751871235</v>
      </c>
      <c r="M1260">
        <v>250</v>
      </c>
      <c r="N1260">
        <v>53.201320337858697</v>
      </c>
      <c r="O1260">
        <v>52.988510921625199</v>
      </c>
      <c r="P1260">
        <v>-0.81018679731156895</v>
      </c>
      <c r="Q1260">
        <v>0.31311054636688102</v>
      </c>
      <c r="R1260">
        <v>0.94307737771223599</v>
      </c>
      <c r="S1260" t="s">
        <v>7906</v>
      </c>
      <c r="T1260" t="s">
        <v>13290</v>
      </c>
      <c r="U1260" t="s">
        <v>13290</v>
      </c>
      <c r="V1260" t="s">
        <v>13290</v>
      </c>
      <c r="W1260" t="s">
        <v>14525</v>
      </c>
      <c r="X1260">
        <v>2</v>
      </c>
      <c r="Y1260" t="s">
        <v>21107</v>
      </c>
      <c r="Z1260" t="s">
        <v>27590</v>
      </c>
      <c r="AA1260">
        <v>0.61064108061895861</v>
      </c>
      <c r="AB1260" t="str">
        <f>HYPERLINK("Melting_Curves/meltCurve_K7EPX7_MOB3A.pdf", "Melting_Curves/meltCurve_K7EPX7_MOB3A.pdf")</f>
        <v>Melting_Curves/meltCurve_K7EPX7_MOB3A.pdf</v>
      </c>
    </row>
    <row r="1261" spans="1:28" x14ac:dyDescent="0.25">
      <c r="A1261" t="s">
        <v>1265</v>
      </c>
      <c r="B1261">
        <v>0.99252571173614901</v>
      </c>
      <c r="C1261">
        <v>0.88227883594716805</v>
      </c>
      <c r="D1261">
        <v>0.89042078575565298</v>
      </c>
      <c r="E1261">
        <v>0.87360640956740498</v>
      </c>
      <c r="F1261">
        <v>0.340817963896897</v>
      </c>
      <c r="G1261">
        <v>0.156844985348914</v>
      </c>
      <c r="H1261">
        <v>0.13065465949326699</v>
      </c>
      <c r="I1261">
        <v>0.14234948411626699</v>
      </c>
      <c r="J1261">
        <v>0.196354173061833</v>
      </c>
      <c r="K1261">
        <v>0.11824826627782301</v>
      </c>
      <c r="L1261">
        <v>2088.5498425963401</v>
      </c>
      <c r="M1261">
        <v>40.450726335876197</v>
      </c>
      <c r="N1261">
        <v>52.069402243541703</v>
      </c>
      <c r="O1261">
        <v>51.506230917365798</v>
      </c>
      <c r="P1261">
        <v>-0.16805555209301601</v>
      </c>
      <c r="Q1261">
        <v>0.14405564371281099</v>
      </c>
      <c r="R1261">
        <v>0.97845234858938102</v>
      </c>
      <c r="S1261" t="s">
        <v>7907</v>
      </c>
      <c r="T1261" t="s">
        <v>13290</v>
      </c>
      <c r="U1261" t="s">
        <v>13290</v>
      </c>
      <c r="V1261" t="s">
        <v>13290</v>
      </c>
      <c r="W1261" t="s">
        <v>14526</v>
      </c>
      <c r="X1261">
        <v>1</v>
      </c>
      <c r="Y1261" t="s">
        <v>21108</v>
      </c>
      <c r="Z1261" t="s">
        <v>27591</v>
      </c>
      <c r="AA1261">
        <v>0.47891814074769878</v>
      </c>
      <c r="AB1261" t="str">
        <f>HYPERLINK("Melting_Curves/meltCurve_K7EQ34_TMEM161A.pdf", "Melting_Curves/meltCurve_K7EQ34_TMEM161A.pdf")</f>
        <v>Melting_Curves/meltCurve_K7EQ34_TMEM161A.pdf</v>
      </c>
    </row>
    <row r="1262" spans="1:28" x14ac:dyDescent="0.25">
      <c r="A1262" t="s">
        <v>1266</v>
      </c>
      <c r="B1262">
        <v>0.99252571173614901</v>
      </c>
      <c r="C1262">
        <v>0.96262548460643205</v>
      </c>
      <c r="D1262">
        <v>0.85541334364508603</v>
      </c>
      <c r="E1262">
        <v>0.64589565068451704</v>
      </c>
      <c r="F1262">
        <v>0.32428549104340498</v>
      </c>
      <c r="G1262">
        <v>0.16481560599172301</v>
      </c>
      <c r="H1262">
        <v>5.5337964241550901E-2</v>
      </c>
      <c r="I1262">
        <v>4.4787898533310597E-2</v>
      </c>
      <c r="J1262">
        <v>5.2733064670354199E-2</v>
      </c>
      <c r="K1262">
        <v>7.5638578165976106E-2</v>
      </c>
      <c r="L1262">
        <v>937.73802529436</v>
      </c>
      <c r="M1262">
        <v>18.453876075448001</v>
      </c>
      <c r="N1262">
        <v>51.035461330868799</v>
      </c>
      <c r="O1262">
        <v>50.229770909230801</v>
      </c>
      <c r="P1262">
        <v>-8.8336044078231493E-2</v>
      </c>
      <c r="Q1262">
        <v>3.8271918478037299E-2</v>
      </c>
      <c r="R1262">
        <v>0.99796078879170003</v>
      </c>
      <c r="S1262" t="s">
        <v>7908</v>
      </c>
      <c r="T1262" t="s">
        <v>13290</v>
      </c>
      <c r="U1262" t="s">
        <v>13290</v>
      </c>
      <c r="V1262" t="s">
        <v>13290</v>
      </c>
      <c r="W1262" t="s">
        <v>14527</v>
      </c>
      <c r="X1262">
        <v>1</v>
      </c>
      <c r="Y1262" t="s">
        <v>21109</v>
      </c>
      <c r="Z1262" t="s">
        <v>27592</v>
      </c>
      <c r="AA1262">
        <v>0.40049843462637258</v>
      </c>
      <c r="AB1262" t="str">
        <f>HYPERLINK("Melting_Curves/meltCurve_K7EQH5_AES.pdf", "Melting_Curves/meltCurve_K7EQH5_AES.pdf")</f>
        <v>Melting_Curves/meltCurve_K7EQH5_AES.pdf</v>
      </c>
    </row>
    <row r="1263" spans="1:28" x14ac:dyDescent="0.25">
      <c r="A1263" t="s">
        <v>1267</v>
      </c>
      <c r="B1263">
        <v>0.99252571173614901</v>
      </c>
      <c r="C1263">
        <v>1.0544948130560701</v>
      </c>
      <c r="D1263">
        <v>0.91515926058422703</v>
      </c>
      <c r="E1263">
        <v>0.73356112844547905</v>
      </c>
      <c r="F1263">
        <v>0.45035406929684801</v>
      </c>
      <c r="G1263">
        <v>0.317524174912024</v>
      </c>
      <c r="H1263">
        <v>0.28125119457188003</v>
      </c>
      <c r="I1263">
        <v>0.34108436996276398</v>
      </c>
      <c r="J1263">
        <v>0.484343315110841</v>
      </c>
      <c r="K1263">
        <v>0.45037303943836599</v>
      </c>
      <c r="L1263">
        <v>1647.6190129546301</v>
      </c>
      <c r="M1263">
        <v>33.007631632038603</v>
      </c>
      <c r="N1263">
        <v>52.090988919478697</v>
      </c>
      <c r="O1263">
        <v>49.734136627357103</v>
      </c>
      <c r="P1263">
        <v>-0.103873502365407</v>
      </c>
      <c r="Q1263">
        <v>0.37395835772233899</v>
      </c>
      <c r="R1263">
        <v>0.95083065423517399</v>
      </c>
      <c r="S1263" t="s">
        <v>7909</v>
      </c>
      <c r="T1263" t="s">
        <v>13290</v>
      </c>
      <c r="U1263" t="s">
        <v>13290</v>
      </c>
      <c r="V1263" t="s">
        <v>13290</v>
      </c>
      <c r="W1263" t="s">
        <v>14528</v>
      </c>
      <c r="X1263">
        <v>9</v>
      </c>
      <c r="Y1263" t="s">
        <v>21110</v>
      </c>
      <c r="Z1263" t="s">
        <v>27593</v>
      </c>
      <c r="AA1263">
        <v>0.58407899224355808</v>
      </c>
      <c r="AB1263" t="str">
        <f>HYPERLINK("Melting_Curves/meltCurve_K7EQW8_TPM4.pdf", "Melting_Curves/meltCurve_K7EQW8_TPM4.pdf")</f>
        <v>Melting_Curves/meltCurve_K7EQW8_TPM4.pdf</v>
      </c>
    </row>
    <row r="1264" spans="1:28" x14ac:dyDescent="0.25">
      <c r="A1264" t="s">
        <v>1268</v>
      </c>
      <c r="B1264">
        <v>0.99252571173614901</v>
      </c>
      <c r="C1264">
        <v>0.85766319655790801</v>
      </c>
      <c r="D1264">
        <v>0.94549598813615798</v>
      </c>
      <c r="E1264">
        <v>0.53601482441942405</v>
      </c>
      <c r="F1264">
        <v>0.16168763984057599</v>
      </c>
      <c r="G1264">
        <v>9.2365454817195602E-2</v>
      </c>
      <c r="H1264">
        <v>7.2993244248180794E-2</v>
      </c>
      <c r="I1264">
        <v>7.7000769871911401E-2</v>
      </c>
      <c r="J1264">
        <v>8.5415315001499501E-2</v>
      </c>
      <c r="K1264">
        <v>8.4855593501400206E-2</v>
      </c>
      <c r="L1264">
        <v>1593.1730790194199</v>
      </c>
      <c r="M1264">
        <v>32.142229251753903</v>
      </c>
      <c r="N1264">
        <v>49.827900349622297</v>
      </c>
      <c r="O1264">
        <v>49.375673899609403</v>
      </c>
      <c r="P1264">
        <v>-0.150112012186781</v>
      </c>
      <c r="Q1264">
        <v>7.7619050653601598E-2</v>
      </c>
      <c r="R1264">
        <v>0.98672548684692896</v>
      </c>
      <c r="S1264" t="s">
        <v>7910</v>
      </c>
      <c r="T1264" t="s">
        <v>13290</v>
      </c>
      <c r="U1264" t="s">
        <v>13290</v>
      </c>
      <c r="V1264" t="s">
        <v>13290</v>
      </c>
      <c r="W1264" t="s">
        <v>14529</v>
      </c>
      <c r="X1264">
        <v>21</v>
      </c>
      <c r="Y1264" t="s">
        <v>21111</v>
      </c>
      <c r="Z1264" t="s">
        <v>27594</v>
      </c>
      <c r="AA1264">
        <v>0.37667106454801658</v>
      </c>
      <c r="AB1264" t="str">
        <f>HYPERLINK("Melting_Curves/meltCurve_K7ER00_FARSA.pdf", "Melting_Curves/meltCurve_K7ER00_FARSA.pdf")</f>
        <v>Melting_Curves/meltCurve_K7ER00_FARSA.pdf</v>
      </c>
    </row>
    <row r="1265" spans="1:28" x14ac:dyDescent="0.25">
      <c r="A1265" t="s">
        <v>1269</v>
      </c>
      <c r="B1265">
        <v>0.99252571173614901</v>
      </c>
      <c r="C1265">
        <v>1.0270616294506101</v>
      </c>
      <c r="D1265">
        <v>0.89475397669566303</v>
      </c>
      <c r="E1265">
        <v>0.80375942428879699</v>
      </c>
      <c r="F1265">
        <v>0.48408141633764201</v>
      </c>
      <c r="G1265">
        <v>0.428207111912909</v>
      </c>
      <c r="H1265">
        <v>0.36741793099084302</v>
      </c>
      <c r="I1265">
        <v>0.465051077943197</v>
      </c>
      <c r="J1265">
        <v>0.73072105913653795</v>
      </c>
      <c r="K1265">
        <v>0.76162962124965805</v>
      </c>
      <c r="L1265">
        <v>12414.7570709311</v>
      </c>
      <c r="M1265">
        <v>250</v>
      </c>
      <c r="O1265">
        <v>49.6558536176247</v>
      </c>
      <c r="P1265">
        <v>-0.57959178450607396</v>
      </c>
      <c r="Q1265">
        <v>0.53951803307101698</v>
      </c>
      <c r="R1265">
        <v>0.72112487878752596</v>
      </c>
      <c r="S1265" t="s">
        <v>7911</v>
      </c>
      <c r="T1265" t="s">
        <v>13290</v>
      </c>
      <c r="U1265" t="s">
        <v>13290</v>
      </c>
      <c r="V1265" t="s">
        <v>13290</v>
      </c>
      <c r="W1265" t="s">
        <v>14530</v>
      </c>
      <c r="X1265">
        <v>2</v>
      </c>
      <c r="Y1265" t="s">
        <v>21112</v>
      </c>
      <c r="Z1265" t="s">
        <v>27595</v>
      </c>
      <c r="AA1265">
        <v>0.6878184425432522</v>
      </c>
      <c r="AB1265" t="str">
        <f>HYPERLINK("Melting_Curves/meltCurve_K7ER74_APOC2.pdf", "Melting_Curves/meltCurve_K7ER74_APOC2.pdf")</f>
        <v>Melting_Curves/meltCurve_K7ER74_APOC2.pdf</v>
      </c>
    </row>
    <row r="1266" spans="1:28" x14ac:dyDescent="0.25">
      <c r="A1266" t="s">
        <v>1270</v>
      </c>
      <c r="B1266">
        <v>0.99252571173614901</v>
      </c>
      <c r="C1266">
        <v>0.90944532083732699</v>
      </c>
      <c r="D1266">
        <v>1.09768497250272</v>
      </c>
      <c r="E1266">
        <v>1.8029999787812001</v>
      </c>
      <c r="F1266">
        <v>0.85023661340155199</v>
      </c>
      <c r="G1266">
        <v>0.184600735414435</v>
      </c>
      <c r="H1266">
        <v>0.110794247701944</v>
      </c>
      <c r="I1266">
        <v>0.10709456648273601</v>
      </c>
      <c r="J1266">
        <v>0.119558742216133</v>
      </c>
      <c r="K1266">
        <v>0.12688602416267</v>
      </c>
      <c r="L1266">
        <v>3842.2739063076601</v>
      </c>
      <c r="M1266">
        <v>70.531955551385494</v>
      </c>
      <c r="N1266">
        <v>54.688308199990999</v>
      </c>
      <c r="O1266">
        <v>54.431905311201902</v>
      </c>
      <c r="P1266">
        <v>-0.28509293770796301</v>
      </c>
      <c r="Q1266">
        <v>0.119936606489287</v>
      </c>
      <c r="R1266">
        <v>0.78608622897152702</v>
      </c>
      <c r="S1266" t="s">
        <v>7912</v>
      </c>
      <c r="T1266" t="s">
        <v>13290</v>
      </c>
      <c r="U1266" t="s">
        <v>13290</v>
      </c>
      <c r="V1266" t="s">
        <v>13290</v>
      </c>
      <c r="W1266" t="s">
        <v>14531</v>
      </c>
      <c r="X1266">
        <v>5</v>
      </c>
      <c r="Y1266" t="s">
        <v>21113</v>
      </c>
      <c r="Z1266" t="s">
        <v>27596</v>
      </c>
      <c r="AA1266">
        <v>0.5456459406337949</v>
      </c>
      <c r="AB1266" t="str">
        <f>HYPERLINK("Melting_Curves/meltCurve_K7ERF1_EIF3K.pdf", "Melting_Curves/meltCurve_K7ERF1_EIF3K.pdf")</f>
        <v>Melting_Curves/meltCurve_K7ERF1_EIF3K.pdf</v>
      </c>
    </row>
    <row r="1267" spans="1:28" x14ac:dyDescent="0.25">
      <c r="A1267" t="s">
        <v>1271</v>
      </c>
      <c r="B1267">
        <v>0.99252571173614901</v>
      </c>
      <c r="C1267">
        <v>1.1052474361762701</v>
      </c>
      <c r="D1267">
        <v>0.96096467397261198</v>
      </c>
      <c r="E1267">
        <v>0.76874306810872495</v>
      </c>
      <c r="F1267">
        <v>0.25732525276375601</v>
      </c>
      <c r="G1267">
        <v>0.13865356031721601</v>
      </c>
      <c r="H1267">
        <v>0.104965482511151</v>
      </c>
      <c r="I1267">
        <v>0.128898089032293</v>
      </c>
      <c r="J1267">
        <v>0.15161589163226699</v>
      </c>
      <c r="K1267">
        <v>0.116329486309938</v>
      </c>
      <c r="L1267">
        <v>1992.51732753029</v>
      </c>
      <c r="M1267">
        <v>39.1635366783701</v>
      </c>
      <c r="N1267">
        <v>51.252206089985002</v>
      </c>
      <c r="O1267">
        <v>50.7447544712943</v>
      </c>
      <c r="P1267">
        <v>-0.16888800326866199</v>
      </c>
      <c r="Q1267">
        <v>0.124679833518935</v>
      </c>
      <c r="R1267">
        <v>0.99195638464829705</v>
      </c>
      <c r="S1267" t="s">
        <v>7913</v>
      </c>
      <c r="T1267" t="s">
        <v>13290</v>
      </c>
      <c r="U1267" t="s">
        <v>13290</v>
      </c>
      <c r="V1267" t="s">
        <v>13290</v>
      </c>
      <c r="W1267" t="s">
        <v>14532</v>
      </c>
      <c r="X1267">
        <v>25</v>
      </c>
      <c r="Y1267" t="s">
        <v>21114</v>
      </c>
      <c r="Z1267" t="s">
        <v>27597</v>
      </c>
      <c r="AA1267">
        <v>0.44524946570197071</v>
      </c>
      <c r="AB1267" t="str">
        <f>HYPERLINK("Melting_Curves/meltCurve_K7ES11_UBE2O.pdf", "Melting_Curves/meltCurve_K7ES11_UBE2O.pdf")</f>
        <v>Melting_Curves/meltCurve_K7ES11_UBE2O.pdf</v>
      </c>
    </row>
    <row r="1268" spans="1:28" x14ac:dyDescent="0.25">
      <c r="A1268" t="s">
        <v>1272</v>
      </c>
      <c r="B1268">
        <v>0.99252571173614901</v>
      </c>
      <c r="C1268">
        <v>1.0414188442357899</v>
      </c>
      <c r="D1268">
        <v>0.92063220712584903</v>
      </c>
      <c r="E1268">
        <v>0.80141659787949504</v>
      </c>
      <c r="F1268">
        <v>0.79015794062612399</v>
      </c>
      <c r="G1268">
        <v>0.55905740912302104</v>
      </c>
      <c r="H1268">
        <v>0.38610291843972</v>
      </c>
      <c r="I1268">
        <v>0.32292354011742003</v>
      </c>
      <c r="J1268">
        <v>0.326262225053911</v>
      </c>
      <c r="K1268">
        <v>0.277306527887413</v>
      </c>
      <c r="L1268">
        <v>712.01681856151504</v>
      </c>
      <c r="M1268">
        <v>12.794876663057</v>
      </c>
      <c r="N1268">
        <v>58.293420059614597</v>
      </c>
      <c r="O1268">
        <v>54.341787411860899</v>
      </c>
      <c r="P1268">
        <v>-4.5910314969630397E-2</v>
      </c>
      <c r="Q1268">
        <v>0.220194181418466</v>
      </c>
      <c r="R1268">
        <v>0.98141192207279304</v>
      </c>
      <c r="S1268" t="s">
        <v>7914</v>
      </c>
      <c r="T1268" t="s">
        <v>13290</v>
      </c>
      <c r="U1268" t="s">
        <v>13290</v>
      </c>
      <c r="V1268" t="s">
        <v>13290</v>
      </c>
      <c r="W1268" t="s">
        <v>14533</v>
      </c>
      <c r="X1268">
        <v>13</v>
      </c>
      <c r="Y1268" t="s">
        <v>21115</v>
      </c>
      <c r="Z1268" t="s">
        <v>27598</v>
      </c>
      <c r="AA1268">
        <v>0.64313277169440997</v>
      </c>
      <c r="AB1268" t="str">
        <f>HYPERLINK("Melting_Curves/meltCurve_K7ESE3_RAD23A.pdf", "Melting_Curves/meltCurve_K7ESE3_RAD23A.pdf")</f>
        <v>Melting_Curves/meltCurve_K7ESE3_RAD23A.pdf</v>
      </c>
    </row>
    <row r="1269" spans="1:28" x14ac:dyDescent="0.25">
      <c r="A1269" t="s">
        <v>1273</v>
      </c>
      <c r="B1269">
        <v>0.99252571173614901</v>
      </c>
      <c r="C1269">
        <v>0.92089424989690005</v>
      </c>
      <c r="D1269">
        <v>0.84793236977810205</v>
      </c>
      <c r="E1269">
        <v>0.67461363425875698</v>
      </c>
      <c r="F1269">
        <v>0.40114945743201502</v>
      </c>
      <c r="G1269">
        <v>0.25993857585305002</v>
      </c>
      <c r="H1269">
        <v>0.187975608232271</v>
      </c>
      <c r="I1269">
        <v>0.13177704306778601</v>
      </c>
      <c r="J1269">
        <v>0.14341106762422801</v>
      </c>
      <c r="K1269">
        <v>0.14523322168963099</v>
      </c>
      <c r="L1269">
        <v>785.76141891560303</v>
      </c>
      <c r="M1269">
        <v>15.439296169615</v>
      </c>
      <c r="N1269">
        <v>51.787055214217602</v>
      </c>
      <c r="O1269">
        <v>50.062738918523003</v>
      </c>
      <c r="P1269">
        <v>-6.8091389714949394E-2</v>
      </c>
      <c r="Q1269">
        <v>0.116920122363177</v>
      </c>
      <c r="R1269">
        <v>0.99737943277681296</v>
      </c>
      <c r="S1269" t="s">
        <v>7915</v>
      </c>
      <c r="T1269" t="s">
        <v>13290</v>
      </c>
      <c r="U1269" t="s">
        <v>13290</v>
      </c>
      <c r="V1269" t="s">
        <v>13290</v>
      </c>
      <c r="W1269" t="s">
        <v>14534</v>
      </c>
      <c r="X1269">
        <v>1</v>
      </c>
      <c r="Y1269" t="s">
        <v>21116</v>
      </c>
      <c r="Z1269" t="s">
        <v>27599</v>
      </c>
      <c r="AA1269">
        <v>0.45708737869554561</v>
      </c>
      <c r="AB1269" t="str">
        <f>HYPERLINK("Melting_Curves/meltCurve_K7ESE6_G6PC3.pdf", "Melting_Curves/meltCurve_K7ESE6_G6PC3.pdf")</f>
        <v>Melting_Curves/meltCurve_K7ESE6_G6PC3.pdf</v>
      </c>
    </row>
    <row r="1270" spans="1:28" x14ac:dyDescent="0.25">
      <c r="A1270" t="s">
        <v>1274</v>
      </c>
      <c r="B1270">
        <v>0.99252571173614901</v>
      </c>
      <c r="C1270">
        <v>0.90326228782705198</v>
      </c>
      <c r="D1270">
        <v>1.06410281542092</v>
      </c>
      <c r="E1270">
        <v>0.81334049026947197</v>
      </c>
      <c r="F1270">
        <v>0.14649115434229501</v>
      </c>
      <c r="G1270">
        <v>9.4116257974985795E-2</v>
      </c>
      <c r="H1270">
        <v>6.1764374793322002E-2</v>
      </c>
      <c r="I1270">
        <v>5.0375502520726298E-2</v>
      </c>
      <c r="J1270">
        <v>5.2322672080704402E-2</v>
      </c>
      <c r="K1270">
        <v>5.3372842319255397E-2</v>
      </c>
      <c r="L1270">
        <v>2729.2968949956698</v>
      </c>
      <c r="M1270">
        <v>53.617595442742299</v>
      </c>
      <c r="N1270">
        <v>51.028272999639498</v>
      </c>
      <c r="O1270">
        <v>50.832347611004998</v>
      </c>
      <c r="P1270">
        <v>-0.247438615813458</v>
      </c>
      <c r="Q1270">
        <v>6.1660466190789097E-2</v>
      </c>
      <c r="R1270">
        <v>0.99185262909543503</v>
      </c>
      <c r="S1270" t="s">
        <v>7916</v>
      </c>
      <c r="T1270" t="s">
        <v>13290</v>
      </c>
      <c r="U1270" t="s">
        <v>13290</v>
      </c>
      <c r="V1270" t="s">
        <v>13290</v>
      </c>
      <c r="W1270" t="s">
        <v>14535</v>
      </c>
      <c r="X1270">
        <v>42</v>
      </c>
      <c r="Y1270" t="s">
        <v>21117</v>
      </c>
      <c r="Z1270" t="s">
        <v>27600</v>
      </c>
      <c r="AA1270">
        <v>0.40451541002041652</v>
      </c>
      <c r="AB1270" t="str">
        <f>HYPERLINK("Melting_Curves/meltCurve_K7ESI9_DNM2.pdf", "Melting_Curves/meltCurve_K7ESI9_DNM2.pdf")</f>
        <v>Melting_Curves/meltCurve_K7ESI9_DNM2.pdf</v>
      </c>
    </row>
    <row r="1271" spans="1:28" x14ac:dyDescent="0.25">
      <c r="A1271" t="s">
        <v>1275</v>
      </c>
      <c r="B1271">
        <v>0.99252571173614901</v>
      </c>
      <c r="C1271">
        <v>0.96774674400320304</v>
      </c>
      <c r="D1271">
        <v>0.99069694857831003</v>
      </c>
      <c r="E1271">
        <v>0.92045319079451104</v>
      </c>
      <c r="F1271">
        <v>0.62862047682367195</v>
      </c>
      <c r="G1271">
        <v>0.19001478497166399</v>
      </c>
      <c r="H1271">
        <v>9.2419372430430399E-2</v>
      </c>
      <c r="I1271">
        <v>8.8913852073620805E-2</v>
      </c>
      <c r="J1271">
        <v>0.10301986125182</v>
      </c>
      <c r="K1271">
        <v>9.5023858332979105E-2</v>
      </c>
      <c r="L1271">
        <v>1880.6652112240299</v>
      </c>
      <c r="M1271">
        <v>35.036671016679001</v>
      </c>
      <c r="N1271">
        <v>53.975532971715197</v>
      </c>
      <c r="O1271">
        <v>53.503092089230599</v>
      </c>
      <c r="P1271">
        <v>-0.14929562677813699</v>
      </c>
      <c r="Q1271">
        <v>8.8069822895243302E-2</v>
      </c>
      <c r="R1271">
        <v>0.99827878342974996</v>
      </c>
      <c r="S1271" t="s">
        <v>7917</v>
      </c>
      <c r="T1271" t="s">
        <v>13290</v>
      </c>
      <c r="U1271" t="s">
        <v>13290</v>
      </c>
      <c r="V1271" t="s">
        <v>13290</v>
      </c>
      <c r="W1271" t="s">
        <v>14536</v>
      </c>
      <c r="X1271">
        <v>19</v>
      </c>
      <c r="Y1271" t="s">
        <v>21118</v>
      </c>
      <c r="Z1271" t="s">
        <v>27601</v>
      </c>
      <c r="AA1271">
        <v>0.50821958233081177</v>
      </c>
      <c r="AB1271" t="str">
        <f>HYPERLINK("Melting_Curves/meltCurve_M0QWZ7_SARS2.pdf", "Melting_Curves/meltCurve_M0QWZ7_SARS2.pdf")</f>
        <v>Melting_Curves/meltCurve_M0QWZ7_SARS2.pdf</v>
      </c>
    </row>
    <row r="1272" spans="1:28" x14ac:dyDescent="0.25">
      <c r="A1272" t="s">
        <v>1276</v>
      </c>
      <c r="B1272">
        <v>0.99252571173614901</v>
      </c>
      <c r="C1272">
        <v>0.83810386439708695</v>
      </c>
      <c r="D1272">
        <v>0.74552588077357496</v>
      </c>
      <c r="E1272">
        <v>0.26323147813207998</v>
      </c>
      <c r="F1272">
        <v>0.15694101269751801</v>
      </c>
      <c r="G1272">
        <v>0.10175388540201299</v>
      </c>
      <c r="H1272">
        <v>8.1886084560654104E-2</v>
      </c>
      <c r="I1272">
        <v>9.0327826227235994E-2</v>
      </c>
      <c r="J1272">
        <v>0.109690909768536</v>
      </c>
      <c r="K1272">
        <v>0.12690011478768701</v>
      </c>
      <c r="L1272">
        <v>1177.1096752726901</v>
      </c>
      <c r="M1272">
        <v>24.952529423093299</v>
      </c>
      <c r="N1272">
        <v>47.5843152369739</v>
      </c>
      <c r="O1272">
        <v>46.874121108826898</v>
      </c>
      <c r="P1272">
        <v>-0.120201508217784</v>
      </c>
      <c r="Q1272">
        <v>9.6803117114340795E-2</v>
      </c>
      <c r="R1272">
        <v>0.987018965717265</v>
      </c>
      <c r="S1272" t="s">
        <v>7918</v>
      </c>
      <c r="T1272" t="s">
        <v>13290</v>
      </c>
      <c r="U1272" t="s">
        <v>13290</v>
      </c>
      <c r="V1272" t="s">
        <v>13290</v>
      </c>
      <c r="W1272" t="s">
        <v>14537</v>
      </c>
      <c r="X1272">
        <v>15</v>
      </c>
      <c r="Y1272" t="s">
        <v>21119</v>
      </c>
      <c r="Z1272" t="s">
        <v>27602</v>
      </c>
      <c r="AA1272">
        <v>0.32085916254946167</v>
      </c>
      <c r="AB1272" t="str">
        <f>HYPERLINK("Melting_Curves/meltCurve_M0QX35_PAF1.pdf", "Melting_Curves/meltCurve_M0QX35_PAF1.pdf")</f>
        <v>Melting_Curves/meltCurve_M0QX35_PAF1.pdf</v>
      </c>
    </row>
    <row r="1273" spans="1:28" x14ac:dyDescent="0.25">
      <c r="A1273" t="s">
        <v>1277</v>
      </c>
      <c r="B1273">
        <v>0.99252571173614901</v>
      </c>
      <c r="C1273">
        <v>0.90410804752881802</v>
      </c>
      <c r="D1273">
        <v>0.88232366968570897</v>
      </c>
      <c r="E1273">
        <v>0.69993300255202495</v>
      </c>
      <c r="F1273">
        <v>0.383281153907303</v>
      </c>
      <c r="G1273">
        <v>0.26202283930194398</v>
      </c>
      <c r="H1273">
        <v>0.17019435272977201</v>
      </c>
      <c r="I1273">
        <v>0.13785513201652499</v>
      </c>
      <c r="J1273">
        <v>0.15660182111604201</v>
      </c>
      <c r="K1273">
        <v>0.18578451680421701</v>
      </c>
      <c r="L1273">
        <v>923.39973906605906</v>
      </c>
      <c r="M1273">
        <v>18.169601117700999</v>
      </c>
      <c r="N1273">
        <v>51.787138302741802</v>
      </c>
      <c r="O1273">
        <v>50.217501998230901</v>
      </c>
      <c r="P1273">
        <v>-7.7457122999934694E-2</v>
      </c>
      <c r="Q1273">
        <v>0.14373024709217699</v>
      </c>
      <c r="R1273">
        <v>0.99236289569335601</v>
      </c>
      <c r="S1273" t="s">
        <v>7919</v>
      </c>
      <c r="T1273" t="s">
        <v>13290</v>
      </c>
      <c r="U1273" t="s">
        <v>13290</v>
      </c>
      <c r="V1273" t="s">
        <v>13290</v>
      </c>
      <c r="W1273" t="s">
        <v>14538</v>
      </c>
      <c r="X1273">
        <v>11</v>
      </c>
      <c r="Y1273" t="s">
        <v>21120</v>
      </c>
      <c r="Z1273" t="s">
        <v>27603</v>
      </c>
      <c r="AA1273">
        <v>0.46680305336664768</v>
      </c>
      <c r="AB1273" t="str">
        <f>HYPERLINK("Melting_Curves/meltCurve_M0QXA7_WIZ.pdf", "Melting_Curves/meltCurve_M0QXA7_WIZ.pdf")</f>
        <v>Melting_Curves/meltCurve_M0QXA7_WIZ.pdf</v>
      </c>
    </row>
    <row r="1274" spans="1:28" x14ac:dyDescent="0.25">
      <c r="A1274" t="s">
        <v>1278</v>
      </c>
      <c r="B1274">
        <v>0.99252571173614901</v>
      </c>
      <c r="C1274">
        <v>1.05878494493279</v>
      </c>
      <c r="D1274">
        <v>0.84811444555538895</v>
      </c>
      <c r="E1274">
        <v>0.82457515468081699</v>
      </c>
      <c r="F1274">
        <v>0.54185495737017397</v>
      </c>
      <c r="G1274">
        <v>0.47564539397513</v>
      </c>
      <c r="H1274">
        <v>0.56742904206627898</v>
      </c>
      <c r="I1274">
        <v>1.2026323226303299</v>
      </c>
      <c r="J1274">
        <v>2.0827122415155501</v>
      </c>
      <c r="K1274">
        <v>2.4166962123325102</v>
      </c>
      <c r="L1274">
        <v>15000</v>
      </c>
      <c r="M1274">
        <v>233.99196279984801</v>
      </c>
      <c r="O1274">
        <v>64.100083220398105</v>
      </c>
      <c r="P1274">
        <v>0.45630198797937899</v>
      </c>
      <c r="Q1274">
        <v>1.5</v>
      </c>
      <c r="R1274">
        <v>0.50377174109189804</v>
      </c>
      <c r="S1274" t="s">
        <v>7920</v>
      </c>
      <c r="T1274" t="s">
        <v>13290</v>
      </c>
      <c r="U1274" t="s">
        <v>13290</v>
      </c>
      <c r="V1274" t="s">
        <v>13290</v>
      </c>
      <c r="W1274" t="s">
        <v>14539</v>
      </c>
      <c r="X1274">
        <v>5</v>
      </c>
      <c r="Y1274" t="s">
        <v>21121</v>
      </c>
      <c r="Z1274" t="s">
        <v>27604</v>
      </c>
      <c r="AA1274">
        <v>1.0981896881728599</v>
      </c>
      <c r="AB1274" t="str">
        <f>HYPERLINK("Melting_Curves/meltCurve_M0QXT0_USF2.pdf", "Melting_Curves/meltCurve_M0QXT0_USF2.pdf")</f>
        <v>Melting_Curves/meltCurve_M0QXT0_USF2.pdf</v>
      </c>
    </row>
    <row r="1275" spans="1:28" x14ac:dyDescent="0.25">
      <c r="A1275" t="s">
        <v>1279</v>
      </c>
      <c r="B1275">
        <v>0.99252571173614901</v>
      </c>
      <c r="C1275">
        <v>1.0983123954921801</v>
      </c>
      <c r="D1275">
        <v>0.97057788736785</v>
      </c>
      <c r="E1275">
        <v>0.94488763503030704</v>
      </c>
      <c r="F1275">
        <v>0.95001785766721702</v>
      </c>
      <c r="G1275">
        <v>0.83186838090402804</v>
      </c>
      <c r="H1275">
        <v>0.97052382194376396</v>
      </c>
      <c r="I1275">
        <v>1.2574825992683301</v>
      </c>
      <c r="J1275">
        <v>1.90446173751987</v>
      </c>
      <c r="K1275">
        <v>1.97012266924198</v>
      </c>
      <c r="L1275">
        <v>15000</v>
      </c>
      <c r="M1275">
        <v>234.43511647355999</v>
      </c>
      <c r="O1275">
        <v>63.978924908869899</v>
      </c>
      <c r="P1275">
        <v>0.45803186440906302</v>
      </c>
      <c r="Q1275">
        <v>1.5</v>
      </c>
      <c r="R1275">
        <v>0.715926324670215</v>
      </c>
      <c r="S1275" t="s">
        <v>7921</v>
      </c>
      <c r="T1275" t="s">
        <v>13290</v>
      </c>
      <c r="U1275" t="s">
        <v>13290</v>
      </c>
      <c r="V1275" t="s">
        <v>13290</v>
      </c>
      <c r="W1275" t="s">
        <v>14540</v>
      </c>
      <c r="X1275">
        <v>4</v>
      </c>
      <c r="Y1275" t="s">
        <v>21122</v>
      </c>
      <c r="Z1275" t="s">
        <v>27605</v>
      </c>
      <c r="AA1275">
        <v>1.100209676773217</v>
      </c>
      <c r="AB1275" t="str">
        <f>HYPERLINK("Melting_Curves/meltCurve_M0QXZ5_ZNF428.pdf", "Melting_Curves/meltCurve_M0QXZ5_ZNF428.pdf")</f>
        <v>Melting_Curves/meltCurve_M0QXZ5_ZNF428.pdf</v>
      </c>
    </row>
    <row r="1276" spans="1:28" x14ac:dyDescent="0.25">
      <c r="A1276" t="s">
        <v>1280</v>
      </c>
      <c r="B1276">
        <v>0.99252571173614901</v>
      </c>
      <c r="C1276">
        <v>0.98185632282747604</v>
      </c>
      <c r="D1276">
        <v>0.96382422282690505</v>
      </c>
      <c r="E1276">
        <v>0.75126774029404597</v>
      </c>
      <c r="F1276">
        <v>0.23294991211820501</v>
      </c>
      <c r="G1276">
        <v>0.15874984292875099</v>
      </c>
      <c r="H1276">
        <v>0.128367194925668</v>
      </c>
      <c r="I1276">
        <v>0.11371341721464499</v>
      </c>
      <c r="J1276">
        <v>0.15690514922155199</v>
      </c>
      <c r="K1276">
        <v>0.16361959809116</v>
      </c>
      <c r="L1276">
        <v>2156.16127394355</v>
      </c>
      <c r="M1276">
        <v>42.595918652948001</v>
      </c>
      <c r="N1276">
        <v>51.018001682894798</v>
      </c>
      <c r="O1276">
        <v>50.507779325577197</v>
      </c>
      <c r="P1276">
        <v>-0.180968423779612</v>
      </c>
      <c r="Q1276">
        <v>0.14167377932480299</v>
      </c>
      <c r="R1276">
        <v>0.99807591934911899</v>
      </c>
      <c r="S1276" t="s">
        <v>7922</v>
      </c>
      <c r="T1276" t="s">
        <v>13290</v>
      </c>
      <c r="U1276" t="s">
        <v>13290</v>
      </c>
      <c r="V1276" t="s">
        <v>13290</v>
      </c>
      <c r="W1276" t="s">
        <v>14541</v>
      </c>
      <c r="X1276">
        <v>1</v>
      </c>
      <c r="Y1276" t="s">
        <v>21123</v>
      </c>
      <c r="Z1276" t="s">
        <v>27606</v>
      </c>
      <c r="AA1276">
        <v>0.44813765186518523</v>
      </c>
      <c r="AB1276" t="str">
        <f>HYPERLINK("Melting_Curves/meltCurve_M0QY01_EPS15L1.pdf", "Melting_Curves/meltCurve_M0QY01_EPS15L1.pdf")</f>
        <v>Melting_Curves/meltCurve_M0QY01_EPS15L1.pdf</v>
      </c>
    </row>
    <row r="1277" spans="1:28" x14ac:dyDescent="0.25">
      <c r="A1277" t="s">
        <v>1281</v>
      </c>
      <c r="B1277">
        <v>0.99252571173614901</v>
      </c>
      <c r="C1277">
        <v>1.14202761286521</v>
      </c>
      <c r="D1277">
        <v>0.94551320509780001</v>
      </c>
      <c r="E1277">
        <v>0.87179154263231695</v>
      </c>
      <c r="F1277">
        <v>0.42071965828544899</v>
      </c>
      <c r="G1277">
        <v>0.21339455734111601</v>
      </c>
      <c r="H1277">
        <v>0.19417610096606999</v>
      </c>
      <c r="I1277">
        <v>0.16481917533415799</v>
      </c>
      <c r="J1277">
        <v>9.5064731214571693E-2</v>
      </c>
      <c r="K1277">
        <v>0.123567537665197</v>
      </c>
      <c r="L1277">
        <v>1655.3657601632699</v>
      </c>
      <c r="M1277">
        <v>31.7772593574431</v>
      </c>
      <c r="N1277">
        <v>52.649211755947199</v>
      </c>
      <c r="O1277">
        <v>51.887786936591603</v>
      </c>
      <c r="P1277">
        <v>-0.13126843258676599</v>
      </c>
      <c r="Q1277">
        <v>0.14263311909302201</v>
      </c>
      <c r="R1277">
        <v>0.98250581912429102</v>
      </c>
      <c r="S1277" t="s">
        <v>7923</v>
      </c>
      <c r="T1277" t="s">
        <v>13290</v>
      </c>
      <c r="U1277" t="s">
        <v>13290</v>
      </c>
      <c r="V1277" t="s">
        <v>13290</v>
      </c>
      <c r="W1277" t="s">
        <v>14542</v>
      </c>
      <c r="X1277">
        <v>1</v>
      </c>
      <c r="Y1277" t="s">
        <v>21124</v>
      </c>
      <c r="Z1277" t="s">
        <v>27607</v>
      </c>
      <c r="AA1277">
        <v>0.49312465358626278</v>
      </c>
      <c r="AB1277" t="str">
        <f>HYPERLINK("Melting_Curves/meltCurve_M0QY29_LIPE.pdf", "Melting_Curves/meltCurve_M0QY29_LIPE.pdf")</f>
        <v>Melting_Curves/meltCurve_M0QY29_LIPE.pdf</v>
      </c>
    </row>
    <row r="1278" spans="1:28" x14ac:dyDescent="0.25">
      <c r="A1278" t="s">
        <v>1282</v>
      </c>
      <c r="B1278">
        <v>0.99252571173614901</v>
      </c>
      <c r="C1278">
        <v>0.84074044381480595</v>
      </c>
      <c r="D1278">
        <v>0.65127695405562802</v>
      </c>
      <c r="E1278">
        <v>0.51183218952708998</v>
      </c>
      <c r="F1278">
        <v>0.304671451154086</v>
      </c>
      <c r="G1278">
        <v>0.21876953917782199</v>
      </c>
      <c r="H1278">
        <v>0.17980428345441299</v>
      </c>
      <c r="I1278">
        <v>0.198447156768708</v>
      </c>
      <c r="J1278">
        <v>0.24457184779003099</v>
      </c>
      <c r="K1278">
        <v>0.26610166643884497</v>
      </c>
      <c r="L1278">
        <v>747.76608848391595</v>
      </c>
      <c r="M1278">
        <v>15.8705731698437</v>
      </c>
      <c r="N1278">
        <v>48.753469951415198</v>
      </c>
      <c r="O1278">
        <v>46.387500771341301</v>
      </c>
      <c r="P1278">
        <v>-6.7872049921543998E-2</v>
      </c>
      <c r="Q1278">
        <v>0.20654192889234399</v>
      </c>
      <c r="R1278">
        <v>0.98158110947647004</v>
      </c>
      <c r="S1278" t="s">
        <v>7924</v>
      </c>
      <c r="T1278" t="s">
        <v>13290</v>
      </c>
      <c r="U1278" t="s">
        <v>13290</v>
      </c>
      <c r="V1278" t="s">
        <v>13290</v>
      </c>
      <c r="W1278" t="s">
        <v>14543</v>
      </c>
      <c r="X1278">
        <v>1</v>
      </c>
      <c r="Y1278" t="s">
        <v>21125</v>
      </c>
      <c r="Z1278" t="s">
        <v>27608</v>
      </c>
      <c r="AA1278">
        <v>0.41380642839469273</v>
      </c>
      <c r="AB1278" t="str">
        <f>HYPERLINK("Melting_Curves/meltCurve_M0QY76_ZFP36.pdf", "Melting_Curves/meltCurve_M0QY76_ZFP36.pdf")</f>
        <v>Melting_Curves/meltCurve_M0QY76_ZFP36.pdf</v>
      </c>
    </row>
    <row r="1279" spans="1:28" x14ac:dyDescent="0.25">
      <c r="A1279" t="s">
        <v>1283</v>
      </c>
      <c r="B1279">
        <v>0.99252571173614901</v>
      </c>
      <c r="C1279">
        <v>0.90164573661747305</v>
      </c>
      <c r="D1279">
        <v>0.79792220931380498</v>
      </c>
      <c r="E1279">
        <v>0.89778803593069401</v>
      </c>
      <c r="F1279">
        <v>0.98739841204170198</v>
      </c>
      <c r="G1279">
        <v>0.74556414781324298</v>
      </c>
      <c r="H1279">
        <v>0.53694735958142004</v>
      </c>
      <c r="I1279">
        <v>0.43294130283872601</v>
      </c>
      <c r="J1279">
        <v>0.23826440237851801</v>
      </c>
      <c r="K1279">
        <v>0.18270523290978499</v>
      </c>
      <c r="L1279">
        <v>790.18140271182995</v>
      </c>
      <c r="M1279">
        <v>12.770685523026801</v>
      </c>
      <c r="N1279">
        <v>61.8746269964482</v>
      </c>
      <c r="O1279">
        <v>60.416324108485803</v>
      </c>
      <c r="P1279">
        <v>-5.2854520094425698E-2</v>
      </c>
      <c r="Q1279">
        <v>0</v>
      </c>
      <c r="R1279">
        <v>0.92589052271501504</v>
      </c>
      <c r="S1279" t="s">
        <v>7925</v>
      </c>
      <c r="T1279" t="s">
        <v>13290</v>
      </c>
      <c r="U1279" t="s">
        <v>13290</v>
      </c>
      <c r="V1279" t="s">
        <v>13290</v>
      </c>
      <c r="W1279" t="s">
        <v>14544</v>
      </c>
      <c r="X1279">
        <v>2</v>
      </c>
      <c r="Y1279" t="s">
        <v>21126</v>
      </c>
      <c r="Z1279" t="s">
        <v>27609</v>
      </c>
      <c r="AA1279">
        <v>0.72147309512456748</v>
      </c>
      <c r="AB1279" t="str">
        <f>HYPERLINK("Melting_Curves/meltCurve_M0QYH5_MPV17L2.pdf", "Melting_Curves/meltCurve_M0QYH5_MPV17L2.pdf")</f>
        <v>Melting_Curves/meltCurve_M0QYH5_MPV17L2.pdf</v>
      </c>
    </row>
    <row r="1280" spans="1:28" x14ac:dyDescent="0.25">
      <c r="A1280" t="s">
        <v>1284</v>
      </c>
      <c r="B1280">
        <v>0.99252571173614901</v>
      </c>
      <c r="C1280">
        <v>1.0733725166308501</v>
      </c>
      <c r="D1280">
        <v>0.99412023267778005</v>
      </c>
      <c r="E1280">
        <v>0.98083061580307895</v>
      </c>
      <c r="F1280">
        <v>0.57122939042314302</v>
      </c>
      <c r="G1280">
        <v>0.46456753176703602</v>
      </c>
      <c r="H1280">
        <v>0.376557828113117</v>
      </c>
      <c r="I1280">
        <v>0.32126768703445102</v>
      </c>
      <c r="J1280">
        <v>0.40287082565795301</v>
      </c>
      <c r="K1280">
        <v>0.29733356040335601</v>
      </c>
      <c r="L1280">
        <v>2161.10588831514</v>
      </c>
      <c r="M1280">
        <v>41.178389260100801</v>
      </c>
      <c r="N1280">
        <v>54.1901100055128</v>
      </c>
      <c r="O1280">
        <v>52.358252155021503</v>
      </c>
      <c r="P1280">
        <v>-0.12514719910473901</v>
      </c>
      <c r="Q1280">
        <v>0.36350355006329399</v>
      </c>
      <c r="R1280">
        <v>0.97791086314383702</v>
      </c>
      <c r="S1280" t="s">
        <v>7926</v>
      </c>
      <c r="T1280" t="s">
        <v>13290</v>
      </c>
      <c r="U1280" t="s">
        <v>13290</v>
      </c>
      <c r="V1280" t="s">
        <v>13290</v>
      </c>
      <c r="W1280" t="s">
        <v>14545</v>
      </c>
      <c r="X1280">
        <v>4</v>
      </c>
      <c r="Y1280" t="s">
        <v>21127</v>
      </c>
      <c r="Z1280" t="s">
        <v>27610</v>
      </c>
      <c r="AA1280">
        <v>0.63049564835017569</v>
      </c>
      <c r="AB1280" t="str">
        <f>HYPERLINK("Melting_Curves/meltCurve_M0QYJ8_GMFG.pdf", "Melting_Curves/meltCurve_M0QYJ8_GMFG.pdf")</f>
        <v>Melting_Curves/meltCurve_M0QYJ8_GMFG.pdf</v>
      </c>
    </row>
    <row r="1281" spans="1:28" x14ac:dyDescent="0.25">
      <c r="A1281" t="s">
        <v>1285</v>
      </c>
      <c r="B1281">
        <v>0.99252571173614901</v>
      </c>
      <c r="C1281">
        <v>1.12996814127665</v>
      </c>
      <c r="D1281">
        <v>1.4851352314524899</v>
      </c>
      <c r="E1281">
        <v>4.5220485463309501</v>
      </c>
      <c r="F1281">
        <v>1.52745758253533</v>
      </c>
      <c r="G1281">
        <v>1.2421344974176001</v>
      </c>
      <c r="H1281">
        <v>0.73819856257737404</v>
      </c>
      <c r="I1281">
        <v>0.24359757095236301</v>
      </c>
      <c r="J1281">
        <v>0.19706618549264099</v>
      </c>
      <c r="K1281">
        <v>0.178502137233853</v>
      </c>
      <c r="L1281">
        <v>4778.7592045868696</v>
      </c>
      <c r="M1281">
        <v>77.838753272032307</v>
      </c>
      <c r="N1281">
        <v>61.784342873987597</v>
      </c>
      <c r="O1281">
        <v>61.352556651114199</v>
      </c>
      <c r="P1281">
        <v>-0.25545827559654799</v>
      </c>
      <c r="Q1281">
        <v>0.19459037789451</v>
      </c>
      <c r="R1281">
        <v>0.10036136727938499</v>
      </c>
      <c r="S1281" t="s">
        <v>7927</v>
      </c>
      <c r="T1281" t="s">
        <v>13290</v>
      </c>
      <c r="U1281" t="s">
        <v>13290</v>
      </c>
      <c r="V1281" t="s">
        <v>13290</v>
      </c>
      <c r="W1281" t="s">
        <v>14546</v>
      </c>
      <c r="X1281">
        <v>8</v>
      </c>
      <c r="Y1281" t="s">
        <v>21128</v>
      </c>
      <c r="Z1281" t="s">
        <v>27611</v>
      </c>
      <c r="AA1281">
        <v>0.76982460341452152</v>
      </c>
      <c r="AB1281" t="str">
        <f>HYPERLINK("Melting_Curves/meltCurve_M0QYM7_TUBB4A.pdf", "Melting_Curves/meltCurve_M0QYM7_TUBB4A.pdf")</f>
        <v>Melting_Curves/meltCurve_M0QYM7_TUBB4A.pdf</v>
      </c>
    </row>
    <row r="1282" spans="1:28" x14ac:dyDescent="0.25">
      <c r="A1282" t="s">
        <v>1286</v>
      </c>
      <c r="B1282">
        <v>0.99252571173614901</v>
      </c>
      <c r="C1282">
        <v>0.93853753643350901</v>
      </c>
      <c r="D1282">
        <v>0.95104725579834903</v>
      </c>
      <c r="E1282">
        <v>0.78141831011090201</v>
      </c>
      <c r="F1282">
        <v>0.49610618178259502</v>
      </c>
      <c r="G1282">
        <v>0.322698442732405</v>
      </c>
      <c r="H1282">
        <v>0.120202397860333</v>
      </c>
      <c r="I1282">
        <v>0.133445581591245</v>
      </c>
      <c r="J1282">
        <v>0.12821563822302001</v>
      </c>
      <c r="K1282">
        <v>0.13447658158480699</v>
      </c>
      <c r="L1282">
        <v>968.13390201191203</v>
      </c>
      <c r="M1282">
        <v>18.401438396886601</v>
      </c>
      <c r="N1282">
        <v>53.285938499830401</v>
      </c>
      <c r="O1282">
        <v>52.002326782098997</v>
      </c>
      <c r="P1282">
        <v>-7.9282228814557903E-2</v>
      </c>
      <c r="Q1282">
        <v>0.103836600451987</v>
      </c>
      <c r="R1282">
        <v>0.99452181995080602</v>
      </c>
      <c r="S1282" t="s">
        <v>7928</v>
      </c>
      <c r="T1282" t="s">
        <v>13290</v>
      </c>
      <c r="U1282" t="s">
        <v>13290</v>
      </c>
      <c r="V1282" t="s">
        <v>13290</v>
      </c>
      <c r="W1282" t="s">
        <v>14547</v>
      </c>
      <c r="X1282">
        <v>4</v>
      </c>
      <c r="Y1282" t="s">
        <v>21129</v>
      </c>
      <c r="Z1282" t="s">
        <v>27612</v>
      </c>
      <c r="AA1282">
        <v>0.49482589490560003</v>
      </c>
      <c r="AB1282" t="str">
        <f>HYPERLINK("Melting_Curves/meltCurve_M0QYS1_RPL13A.pdf", "Melting_Curves/meltCurve_M0QYS1_RPL13A.pdf")</f>
        <v>Melting_Curves/meltCurve_M0QYS1_RPL13A.pdf</v>
      </c>
    </row>
    <row r="1283" spans="1:28" x14ac:dyDescent="0.25">
      <c r="A1283" t="s">
        <v>1287</v>
      </c>
      <c r="B1283">
        <v>0.99252571173614901</v>
      </c>
      <c r="C1283">
        <v>0.94623216147634603</v>
      </c>
      <c r="D1283">
        <v>0.74881910395576101</v>
      </c>
      <c r="E1283">
        <v>0.37150412169146901</v>
      </c>
      <c r="F1283">
        <v>0.21776773700947399</v>
      </c>
      <c r="G1283">
        <v>8.1160329057648903E-2</v>
      </c>
      <c r="H1283">
        <v>6.0523743814597498E-2</v>
      </c>
      <c r="I1283">
        <v>5.7119499824474701E-2</v>
      </c>
      <c r="J1283">
        <v>5.0673289615648799E-2</v>
      </c>
      <c r="K1283">
        <v>7.8898250500419501E-2</v>
      </c>
      <c r="L1283">
        <v>1003.0305551658</v>
      </c>
      <c r="M1283">
        <v>20.810154655330901</v>
      </c>
      <c r="N1283">
        <v>48.489234676130003</v>
      </c>
      <c r="O1283">
        <v>47.760632662063102</v>
      </c>
      <c r="P1283">
        <v>-0.102555705010802</v>
      </c>
      <c r="Q1283">
        <v>5.8538639171284997E-2</v>
      </c>
      <c r="R1283">
        <v>0.99744160206683496</v>
      </c>
      <c r="S1283" t="s">
        <v>7929</v>
      </c>
      <c r="T1283" t="s">
        <v>13290</v>
      </c>
      <c r="U1283" t="s">
        <v>13290</v>
      </c>
      <c r="V1283" t="s">
        <v>13290</v>
      </c>
      <c r="W1283" t="s">
        <v>14548</v>
      </c>
      <c r="X1283">
        <v>3</v>
      </c>
      <c r="Y1283" t="s">
        <v>21130</v>
      </c>
      <c r="Z1283" t="s">
        <v>27613</v>
      </c>
      <c r="AA1283">
        <v>0.32810178168526338</v>
      </c>
      <c r="AB1283" t="str">
        <f>HYPERLINK("Melting_Curves/meltCurve_M0QZ22_SAMD4B.pdf", "Melting_Curves/meltCurve_M0QZ22_SAMD4B.pdf")</f>
        <v>Melting_Curves/meltCurve_M0QZ22_SAMD4B.pdf</v>
      </c>
    </row>
    <row r="1284" spans="1:28" x14ac:dyDescent="0.25">
      <c r="A1284" t="s">
        <v>1288</v>
      </c>
      <c r="B1284">
        <v>0.99252571173614901</v>
      </c>
      <c r="C1284">
        <v>1.06834904823666</v>
      </c>
      <c r="D1284">
        <v>0.92014217738959703</v>
      </c>
      <c r="E1284">
        <v>0.56735856676829299</v>
      </c>
      <c r="F1284">
        <v>0.18824500141021999</v>
      </c>
      <c r="G1284">
        <v>9.9599763970224894E-2</v>
      </c>
      <c r="H1284">
        <v>5.9566770674535599E-2</v>
      </c>
      <c r="I1284">
        <v>7.3456233484610806E-2</v>
      </c>
      <c r="J1284">
        <v>8.6940604322798806E-2</v>
      </c>
      <c r="K1284">
        <v>8.7332556737780301E-2</v>
      </c>
      <c r="L1284">
        <v>1551.15144811307</v>
      </c>
      <c r="M1284">
        <v>31.153368453006301</v>
      </c>
      <c r="N1284">
        <v>50.058785898859398</v>
      </c>
      <c r="O1284">
        <v>49.586998212302397</v>
      </c>
      <c r="P1284">
        <v>-0.145002515267279</v>
      </c>
      <c r="Q1284">
        <v>7.6799780223072003E-2</v>
      </c>
      <c r="R1284">
        <v>0.99608150993534905</v>
      </c>
      <c r="S1284" t="s">
        <v>7930</v>
      </c>
      <c r="T1284" t="s">
        <v>13290</v>
      </c>
      <c r="U1284" t="s">
        <v>13290</v>
      </c>
      <c r="V1284" t="s">
        <v>13290</v>
      </c>
      <c r="W1284" t="s">
        <v>14549</v>
      </c>
      <c r="X1284">
        <v>1</v>
      </c>
      <c r="Y1284" t="s">
        <v>21131</v>
      </c>
      <c r="Z1284" t="s">
        <v>27614</v>
      </c>
      <c r="AA1284">
        <v>0.3833674740444708</v>
      </c>
      <c r="AB1284" t="str">
        <f>HYPERLINK("Melting_Curves/meltCurve_M0QZL8_JOSD2.pdf", "Melting_Curves/meltCurve_M0QZL8_JOSD2.pdf")</f>
        <v>Melting_Curves/meltCurve_M0QZL8_JOSD2.pdf</v>
      </c>
    </row>
    <row r="1285" spans="1:28" x14ac:dyDescent="0.25">
      <c r="A1285" t="s">
        <v>1289</v>
      </c>
      <c r="B1285">
        <v>0.99252571173614901</v>
      </c>
      <c r="C1285">
        <v>0.931937406765461</v>
      </c>
      <c r="D1285">
        <v>0.57694942872330301</v>
      </c>
      <c r="E1285">
        <v>0.22247244982547701</v>
      </c>
      <c r="F1285">
        <v>0.108027729468052</v>
      </c>
      <c r="G1285">
        <v>6.1849022338162599E-2</v>
      </c>
      <c r="H1285">
        <v>5.0682740357780302E-2</v>
      </c>
      <c r="I1285">
        <v>6.4938696527149495E-2</v>
      </c>
      <c r="J1285">
        <v>9.0577635812731705E-2</v>
      </c>
      <c r="K1285">
        <v>7.1343842845092903E-2</v>
      </c>
      <c r="L1285">
        <v>1263.0281985695999</v>
      </c>
      <c r="M1285">
        <v>27.205959597713001</v>
      </c>
      <c r="N1285">
        <v>46.681824663154401</v>
      </c>
      <c r="O1285">
        <v>46.176036453784597</v>
      </c>
      <c r="P1285">
        <v>-0.137046897446989</v>
      </c>
      <c r="Q1285">
        <v>6.95830166403896E-2</v>
      </c>
      <c r="R1285">
        <v>0.99831578956876299</v>
      </c>
      <c r="S1285" t="s">
        <v>7931</v>
      </c>
      <c r="T1285" t="s">
        <v>13290</v>
      </c>
      <c r="U1285" t="s">
        <v>13290</v>
      </c>
      <c r="V1285" t="s">
        <v>13290</v>
      </c>
      <c r="W1285" t="s">
        <v>14550</v>
      </c>
      <c r="X1285">
        <v>18</v>
      </c>
      <c r="Y1285" t="s">
        <v>21132</v>
      </c>
      <c r="Z1285" t="s">
        <v>27615</v>
      </c>
      <c r="AA1285">
        <v>0.2758132503765347</v>
      </c>
      <c r="AB1285" t="str">
        <f>HYPERLINK("Melting_Curves/meltCurve_M0QZM1_HNRNPM.pdf", "Melting_Curves/meltCurve_M0QZM1_HNRNPM.pdf")</f>
        <v>Melting_Curves/meltCurve_M0QZM1_HNRNPM.pdf</v>
      </c>
    </row>
    <row r="1286" spans="1:28" x14ac:dyDescent="0.25">
      <c r="A1286" t="s">
        <v>1290</v>
      </c>
      <c r="B1286">
        <v>0.99252571173614901</v>
      </c>
      <c r="C1286">
        <v>0.91214427829690603</v>
      </c>
      <c r="D1286">
        <v>0.55713047288462403</v>
      </c>
      <c r="E1286">
        <v>0.23095516502013499</v>
      </c>
      <c r="F1286">
        <v>0.124937465872338</v>
      </c>
      <c r="G1286">
        <v>6.6076407825717803E-2</v>
      </c>
      <c r="H1286">
        <v>5.3119108460364897E-2</v>
      </c>
      <c r="I1286">
        <v>5.7505822153518599E-2</v>
      </c>
      <c r="J1286">
        <v>7.0427426131425996E-2</v>
      </c>
      <c r="K1286">
        <v>7.24329658515417E-2</v>
      </c>
      <c r="L1286">
        <v>1155.1197998667401</v>
      </c>
      <c r="M1286">
        <v>24.922493142564601</v>
      </c>
      <c r="N1286">
        <v>46.614768783766898</v>
      </c>
      <c r="O1286">
        <v>46.0531714384894</v>
      </c>
      <c r="P1286">
        <v>-0.12631744053410299</v>
      </c>
      <c r="Q1286">
        <v>6.6347093235310101E-2</v>
      </c>
      <c r="R1286">
        <v>0.99824230699582694</v>
      </c>
      <c r="S1286" t="s">
        <v>7932</v>
      </c>
      <c r="T1286" t="s">
        <v>13290</v>
      </c>
      <c r="U1286" t="s">
        <v>13290</v>
      </c>
      <c r="V1286" t="s">
        <v>13290</v>
      </c>
      <c r="W1286" t="s">
        <v>14551</v>
      </c>
      <c r="X1286">
        <v>18</v>
      </c>
      <c r="Y1286" t="s">
        <v>21133</v>
      </c>
      <c r="Z1286" t="s">
        <v>27616</v>
      </c>
      <c r="AA1286">
        <v>0.27247512700203402</v>
      </c>
      <c r="AB1286" t="str">
        <f>HYPERLINK("Melting_Curves/meltCurve_M0QZR4_ARHGEF1.pdf", "Melting_Curves/meltCurve_M0QZR4_ARHGEF1.pdf")</f>
        <v>Melting_Curves/meltCurve_M0QZR4_ARHGEF1.pdf</v>
      </c>
    </row>
    <row r="1287" spans="1:28" x14ac:dyDescent="0.25">
      <c r="A1287" t="s">
        <v>1291</v>
      </c>
      <c r="B1287">
        <v>0.99252571173614901</v>
      </c>
      <c r="C1287">
        <v>0.80426362022071396</v>
      </c>
      <c r="D1287">
        <v>0.53388772395873496</v>
      </c>
      <c r="E1287">
        <v>0.19602803030830601</v>
      </c>
      <c r="F1287">
        <v>0.108112292810617</v>
      </c>
      <c r="G1287">
        <v>7.7620630858737397E-2</v>
      </c>
      <c r="H1287">
        <v>6.72063705312822E-2</v>
      </c>
      <c r="I1287">
        <v>6.1301885888373597E-2</v>
      </c>
      <c r="J1287">
        <v>8.2762211044782999E-2</v>
      </c>
      <c r="K1287">
        <v>5.2248117621666403E-2</v>
      </c>
      <c r="L1287">
        <v>1011.80331278234</v>
      </c>
      <c r="M1287">
        <v>22.0698776158459</v>
      </c>
      <c r="N1287">
        <v>46.1283617462731</v>
      </c>
      <c r="O1287">
        <v>45.474020747893903</v>
      </c>
      <c r="P1287">
        <v>-0.113655008595319</v>
      </c>
      <c r="Q1287">
        <v>6.3295830006178194E-2</v>
      </c>
      <c r="R1287">
        <v>0.99759479912142501</v>
      </c>
      <c r="S1287" t="s">
        <v>7933</v>
      </c>
      <c r="T1287" t="s">
        <v>13290</v>
      </c>
      <c r="U1287" t="s">
        <v>13290</v>
      </c>
      <c r="V1287" t="s">
        <v>13290</v>
      </c>
      <c r="W1287" t="s">
        <v>14552</v>
      </c>
      <c r="X1287">
        <v>4</v>
      </c>
      <c r="Y1287" t="s">
        <v>21134</v>
      </c>
      <c r="Z1287" t="s">
        <v>27617</v>
      </c>
      <c r="AA1287">
        <v>0.25747256827267623</v>
      </c>
      <c r="AB1287" t="str">
        <f>HYPERLINK("Melting_Curves/meltCurve_M0QZW1_PRKD2.pdf", "Melting_Curves/meltCurve_M0QZW1_PRKD2.pdf")</f>
        <v>Melting_Curves/meltCurve_M0QZW1_PRKD2.pdf</v>
      </c>
    </row>
    <row r="1288" spans="1:28" x14ac:dyDescent="0.25">
      <c r="A1288" t="s">
        <v>1292</v>
      </c>
      <c r="B1288">
        <v>0.99252571173614901</v>
      </c>
      <c r="C1288">
        <v>1.0409545293319999</v>
      </c>
      <c r="D1288">
        <v>0.99055063022619405</v>
      </c>
      <c r="E1288">
        <v>2.0427798285824901</v>
      </c>
      <c r="F1288">
        <v>0.91548810434738004</v>
      </c>
      <c r="G1288">
        <v>0.74152322410462501</v>
      </c>
      <c r="H1288">
        <v>0.54637338038671601</v>
      </c>
      <c r="I1288">
        <v>0.388411653054266</v>
      </c>
      <c r="J1288">
        <v>0.351724343418091</v>
      </c>
      <c r="K1288">
        <v>0.36429264738391998</v>
      </c>
      <c r="L1288">
        <v>1839.2298651738199</v>
      </c>
      <c r="M1288">
        <v>31.6823051937853</v>
      </c>
      <c r="N1288">
        <v>60.557364336707302</v>
      </c>
      <c r="O1288">
        <v>57.822462617588201</v>
      </c>
      <c r="P1288">
        <v>-8.6959697421270896E-2</v>
      </c>
      <c r="Q1288">
        <v>0.365172784096991</v>
      </c>
      <c r="R1288">
        <v>0.52062444912649697</v>
      </c>
      <c r="S1288" t="s">
        <v>7934</v>
      </c>
      <c r="T1288" t="s">
        <v>13290</v>
      </c>
      <c r="U1288" t="s">
        <v>13290</v>
      </c>
      <c r="V1288" t="s">
        <v>13290</v>
      </c>
      <c r="W1288" t="s">
        <v>14546</v>
      </c>
      <c r="X1288">
        <v>7</v>
      </c>
      <c r="Y1288" t="s">
        <v>21128</v>
      </c>
      <c r="Z1288" t="s">
        <v>27618</v>
      </c>
      <c r="AA1288">
        <v>0.75098481228430425</v>
      </c>
      <c r="AB1288" t="str">
        <f>HYPERLINK("Melting_Curves/meltCurve_M0R042_TUBB4A.pdf", "Melting_Curves/meltCurve_M0R042_TUBB4A.pdf")</f>
        <v>Melting_Curves/meltCurve_M0R042_TUBB4A.pdf</v>
      </c>
    </row>
    <row r="1289" spans="1:28" x14ac:dyDescent="0.25">
      <c r="A1289" t="s">
        <v>1293</v>
      </c>
      <c r="B1289">
        <v>0.99252571173614901</v>
      </c>
      <c r="C1289">
        <v>1.0170520942890799</v>
      </c>
      <c r="D1289">
        <v>0.93396141777200603</v>
      </c>
      <c r="E1289">
        <v>0.86077563930868595</v>
      </c>
      <c r="F1289">
        <v>0.77697349375407598</v>
      </c>
      <c r="G1289">
        <v>0.55968423666992295</v>
      </c>
      <c r="H1289">
        <v>0.24805286332450299</v>
      </c>
      <c r="I1289">
        <v>0.18334398133306601</v>
      </c>
      <c r="J1289">
        <v>0.180077670109168</v>
      </c>
      <c r="K1289">
        <v>0.17612420423272501</v>
      </c>
      <c r="L1289">
        <v>971.65465899114895</v>
      </c>
      <c r="M1289">
        <v>17.308706685281901</v>
      </c>
      <c r="N1289">
        <v>57.017280926071201</v>
      </c>
      <c r="O1289">
        <v>55.403490293503197</v>
      </c>
      <c r="P1289">
        <v>-6.8947227397350305E-2</v>
      </c>
      <c r="Q1289">
        <v>0.11727700229997</v>
      </c>
      <c r="R1289">
        <v>0.98874497167715303</v>
      </c>
      <c r="S1289" t="s">
        <v>7935</v>
      </c>
      <c r="T1289" t="s">
        <v>13290</v>
      </c>
      <c r="U1289" t="s">
        <v>13290</v>
      </c>
      <c r="V1289" t="s">
        <v>13290</v>
      </c>
      <c r="W1289" t="s">
        <v>14553</v>
      </c>
      <c r="X1289">
        <v>5</v>
      </c>
      <c r="Y1289" t="s">
        <v>21135</v>
      </c>
      <c r="Z1289" t="s">
        <v>27619</v>
      </c>
      <c r="AA1289">
        <v>0.60556462534772393</v>
      </c>
      <c r="AB1289" t="str">
        <f>HYPERLINK("Melting_Curves/meltCurve_M0R0B4_KXD1.pdf", "Melting_Curves/meltCurve_M0R0B4_KXD1.pdf")</f>
        <v>Melting_Curves/meltCurve_M0R0B4_KXD1.pdf</v>
      </c>
    </row>
    <row r="1290" spans="1:28" x14ac:dyDescent="0.25">
      <c r="A1290" t="s">
        <v>1294</v>
      </c>
      <c r="B1290">
        <v>0.99252571173614901</v>
      </c>
      <c r="C1290">
        <v>1.0062495567771901</v>
      </c>
      <c r="D1290">
        <v>0.86888298265804598</v>
      </c>
      <c r="E1290">
        <v>0.82041245974736898</v>
      </c>
      <c r="F1290">
        <v>0.26373921462028799</v>
      </c>
      <c r="G1290">
        <v>0.15284605041252999</v>
      </c>
      <c r="H1290">
        <v>0.153833110511157</v>
      </c>
      <c r="I1290">
        <v>0.24365209121024101</v>
      </c>
      <c r="J1290">
        <v>0.32812952736853901</v>
      </c>
      <c r="K1290">
        <v>0.195905614922042</v>
      </c>
      <c r="L1290">
        <v>2785.4054791363501</v>
      </c>
      <c r="M1290">
        <v>54.975486636990901</v>
      </c>
      <c r="N1290">
        <v>51.186203593453598</v>
      </c>
      <c r="O1290">
        <v>50.599409181126703</v>
      </c>
      <c r="P1290">
        <v>-0.21351247499575501</v>
      </c>
      <c r="Q1290">
        <v>0.21393338116246499</v>
      </c>
      <c r="R1290">
        <v>0.96854925983887197</v>
      </c>
      <c r="S1290" t="s">
        <v>7936</v>
      </c>
      <c r="T1290" t="s">
        <v>13290</v>
      </c>
      <c r="U1290" t="s">
        <v>13290</v>
      </c>
      <c r="V1290" t="s">
        <v>13290</v>
      </c>
      <c r="W1290" t="s">
        <v>14554</v>
      </c>
      <c r="X1290">
        <v>1</v>
      </c>
      <c r="Y1290" t="s">
        <v>21136</v>
      </c>
      <c r="Z1290" t="s">
        <v>27620</v>
      </c>
      <c r="AA1290">
        <v>0.49486636417657348</v>
      </c>
      <c r="AB1290" t="str">
        <f>HYPERLINK("Melting_Curves/meltCurve_M0R0E9_SPHK2.pdf", "Melting_Curves/meltCurve_M0R0E9_SPHK2.pdf")</f>
        <v>Melting_Curves/meltCurve_M0R0E9_SPHK2.pdf</v>
      </c>
    </row>
    <row r="1291" spans="1:28" x14ac:dyDescent="0.25">
      <c r="A1291" t="s">
        <v>1295</v>
      </c>
      <c r="B1291">
        <v>0.99252571173614901</v>
      </c>
      <c r="C1291">
        <v>0.91712453122229998</v>
      </c>
      <c r="D1291">
        <v>0.66531823396421497</v>
      </c>
      <c r="E1291">
        <v>0.593169048343551</v>
      </c>
      <c r="F1291">
        <v>0.51618177970881995</v>
      </c>
      <c r="G1291">
        <v>0.28117904361923102</v>
      </c>
      <c r="H1291">
        <v>0.13335096073764699</v>
      </c>
      <c r="I1291">
        <v>0.13256917503686699</v>
      </c>
      <c r="J1291">
        <v>0.164245434376741</v>
      </c>
      <c r="K1291">
        <v>0.15875550546032299</v>
      </c>
      <c r="L1291">
        <v>535.92320307157604</v>
      </c>
      <c r="M1291">
        <v>10.582723199677201</v>
      </c>
      <c r="N1291">
        <v>51.411704364947099</v>
      </c>
      <c r="O1291">
        <v>48.933404317107097</v>
      </c>
      <c r="P1291">
        <v>-5.0122355240636601E-2</v>
      </c>
      <c r="Q1291">
        <v>7.3320695935324504E-2</v>
      </c>
      <c r="R1291">
        <v>0.96831869719068298</v>
      </c>
      <c r="S1291" t="s">
        <v>7937</v>
      </c>
      <c r="T1291" t="s">
        <v>13290</v>
      </c>
      <c r="U1291" t="s">
        <v>13290</v>
      </c>
      <c r="V1291" t="s">
        <v>13290</v>
      </c>
      <c r="W1291" t="s">
        <v>14555</v>
      </c>
      <c r="X1291">
        <v>12</v>
      </c>
      <c r="Y1291" t="s">
        <v>21137</v>
      </c>
      <c r="Z1291" t="s">
        <v>27621</v>
      </c>
      <c r="AA1291">
        <v>0.438909654743877</v>
      </c>
      <c r="AB1291" t="str">
        <f>HYPERLINK("Melting_Curves/meltCurve_M0R0F0_RPS5.pdf", "Melting_Curves/meltCurve_M0R0F0_RPS5.pdf")</f>
        <v>Melting_Curves/meltCurve_M0R0F0_RPS5.pdf</v>
      </c>
    </row>
    <row r="1292" spans="1:28" x14ac:dyDescent="0.25">
      <c r="A1292" t="s">
        <v>1296</v>
      </c>
      <c r="B1292">
        <v>0.99252571173614901</v>
      </c>
      <c r="C1292">
        <v>0.85557467935874498</v>
      </c>
      <c r="D1292">
        <v>0.97296173898531302</v>
      </c>
      <c r="E1292">
        <v>0.86337481281808204</v>
      </c>
      <c r="F1292">
        <v>0.47170700855245601</v>
      </c>
      <c r="G1292">
        <v>0.22414660252247801</v>
      </c>
      <c r="H1292">
        <v>0.153042282101573</v>
      </c>
      <c r="I1292">
        <v>0.16333635600872201</v>
      </c>
      <c r="J1292">
        <v>0.10331578634343699</v>
      </c>
      <c r="K1292">
        <v>8.8861403289474505E-2</v>
      </c>
      <c r="L1292">
        <v>1384.3566307761801</v>
      </c>
      <c r="M1292">
        <v>26.366466476849901</v>
      </c>
      <c r="N1292">
        <v>53.042723865558102</v>
      </c>
      <c r="O1292">
        <v>52.205232074964698</v>
      </c>
      <c r="P1292">
        <v>-0.111443657813506</v>
      </c>
      <c r="Q1292">
        <v>0.117382539624298</v>
      </c>
      <c r="R1292">
        <v>0.98270483821005905</v>
      </c>
      <c r="S1292" t="s">
        <v>7938</v>
      </c>
      <c r="T1292" t="s">
        <v>13290</v>
      </c>
      <c r="U1292" t="s">
        <v>13290</v>
      </c>
      <c r="V1292" t="s">
        <v>13290</v>
      </c>
      <c r="W1292" t="s">
        <v>14556</v>
      </c>
      <c r="X1292">
        <v>2</v>
      </c>
      <c r="Y1292" t="s">
        <v>21138</v>
      </c>
      <c r="Z1292" t="s">
        <v>27622</v>
      </c>
      <c r="AA1292">
        <v>0.49258124173105727</v>
      </c>
      <c r="AB1292" t="str">
        <f>HYPERLINK("Melting_Curves/meltCurve_M0R0N4_AP2S1.pdf", "Melting_Curves/meltCurve_M0R0N4_AP2S1.pdf")</f>
        <v>Melting_Curves/meltCurve_M0R0N4_AP2S1.pdf</v>
      </c>
    </row>
    <row r="1293" spans="1:28" x14ac:dyDescent="0.25">
      <c r="A1293" t="s">
        <v>1297</v>
      </c>
      <c r="B1293">
        <v>0.99252571173614901</v>
      </c>
      <c r="C1293">
        <v>0.93933927789836302</v>
      </c>
      <c r="D1293">
        <v>0.66638885873918097</v>
      </c>
      <c r="E1293">
        <v>0.28783530356562997</v>
      </c>
      <c r="F1293">
        <v>0.16663569582229901</v>
      </c>
      <c r="G1293">
        <v>0.109642248886064</v>
      </c>
      <c r="H1293">
        <v>9.0362864843966106E-2</v>
      </c>
      <c r="I1293">
        <v>8.8884453620445697E-2</v>
      </c>
      <c r="J1293">
        <v>9.7415656005572906E-2</v>
      </c>
      <c r="K1293">
        <v>8.5601288467233999E-2</v>
      </c>
      <c r="L1293">
        <v>1162.69014673177</v>
      </c>
      <c r="M1293">
        <v>24.706433669888</v>
      </c>
      <c r="N1293">
        <v>47.460306461031799</v>
      </c>
      <c r="O1293">
        <v>46.7551762770184</v>
      </c>
      <c r="P1293">
        <v>-0.11968814600823</v>
      </c>
      <c r="Q1293">
        <v>9.4007745511176494E-2</v>
      </c>
      <c r="R1293">
        <v>0.99916115912287395</v>
      </c>
      <c r="S1293" t="s">
        <v>7939</v>
      </c>
      <c r="T1293" t="s">
        <v>13290</v>
      </c>
      <c r="U1293" t="s">
        <v>13290</v>
      </c>
      <c r="V1293" t="s">
        <v>13290</v>
      </c>
      <c r="W1293" t="s">
        <v>14049</v>
      </c>
      <c r="X1293">
        <v>6</v>
      </c>
      <c r="Z1293" t="s">
        <v>27623</v>
      </c>
      <c r="AA1293">
        <v>0.31551711000452859</v>
      </c>
      <c r="AB1293" t="str">
        <f>HYPERLINK("Melting_Curves/meltCurve_M0R150_.pdf", "Melting_Curves/meltCurve_M0R150_.pdf")</f>
        <v>Melting_Curves/meltCurve_M0R150_.pdf</v>
      </c>
    </row>
    <row r="1294" spans="1:28" x14ac:dyDescent="0.25">
      <c r="A1294" t="s">
        <v>1298</v>
      </c>
      <c r="B1294">
        <v>0.99252571173614901</v>
      </c>
      <c r="C1294">
        <v>1.1515046378618099</v>
      </c>
      <c r="D1294">
        <v>1.09882003985312</v>
      </c>
      <c r="E1294">
        <v>2.1469054334277198</v>
      </c>
      <c r="F1294">
        <v>1.3059057384983199</v>
      </c>
      <c r="G1294">
        <v>1.0309617968304601</v>
      </c>
      <c r="H1294">
        <v>0.80324919644665305</v>
      </c>
      <c r="I1294">
        <v>1.1846720937220001</v>
      </c>
      <c r="J1294">
        <v>1.74771629380691</v>
      </c>
      <c r="K1294">
        <v>1.6179661256121001</v>
      </c>
      <c r="L1294">
        <v>11552.071032425099</v>
      </c>
      <c r="M1294">
        <v>250</v>
      </c>
      <c r="O1294">
        <v>46.205326374015101</v>
      </c>
      <c r="P1294">
        <v>0.54828569715024</v>
      </c>
      <c r="Q1294">
        <v>1.4053395192764799</v>
      </c>
      <c r="R1294">
        <v>0.14000553369187799</v>
      </c>
      <c r="S1294" t="s">
        <v>7940</v>
      </c>
      <c r="T1294" t="s">
        <v>13290</v>
      </c>
      <c r="U1294" t="s">
        <v>13290</v>
      </c>
      <c r="V1294" t="s">
        <v>13290</v>
      </c>
      <c r="W1294" t="s">
        <v>14557</v>
      </c>
      <c r="X1294">
        <v>3</v>
      </c>
      <c r="Y1294" t="s">
        <v>21139</v>
      </c>
      <c r="Z1294" t="s">
        <v>27624</v>
      </c>
      <c r="AA1294">
        <v>1.3214245515191809</v>
      </c>
      <c r="AB1294" t="str">
        <f>HYPERLINK("Melting_Curves/meltCurve_M0R226_MRPL34.pdf", "Melting_Curves/meltCurve_M0R226_MRPL34.pdf")</f>
        <v>Melting_Curves/meltCurve_M0R226_MRPL34.pdf</v>
      </c>
    </row>
    <row r="1295" spans="1:28" x14ac:dyDescent="0.25">
      <c r="A1295" t="s">
        <v>1299</v>
      </c>
      <c r="B1295">
        <v>0.99252571173614901</v>
      </c>
      <c r="C1295">
        <v>0.84128014760178604</v>
      </c>
      <c r="D1295">
        <v>0.76208807662831402</v>
      </c>
      <c r="E1295">
        <v>0.72295705742743999</v>
      </c>
      <c r="F1295">
        <v>0.47891979654560801</v>
      </c>
      <c r="G1295">
        <v>0.285812218908302</v>
      </c>
      <c r="H1295">
        <v>0.165229517669188</v>
      </c>
      <c r="I1295">
        <v>0.206815623563817</v>
      </c>
      <c r="J1295">
        <v>0.28044010601993602</v>
      </c>
      <c r="K1295">
        <v>0.30340725880956998</v>
      </c>
      <c r="L1295">
        <v>660.15415009589196</v>
      </c>
      <c r="M1295">
        <v>13.1841093488702</v>
      </c>
      <c r="N1295">
        <v>52.105577387377203</v>
      </c>
      <c r="O1295">
        <v>48.962018876841199</v>
      </c>
      <c r="P1295">
        <v>-5.3788214177937499E-2</v>
      </c>
      <c r="Q1295">
        <v>0.20111731848787001</v>
      </c>
      <c r="R1295">
        <v>0.94473004573885899</v>
      </c>
      <c r="S1295" t="s">
        <v>7941</v>
      </c>
      <c r="T1295" t="s">
        <v>13290</v>
      </c>
      <c r="U1295" t="s">
        <v>13290</v>
      </c>
      <c r="V1295" t="s">
        <v>13290</v>
      </c>
      <c r="W1295" t="s">
        <v>14558</v>
      </c>
      <c r="X1295">
        <v>2</v>
      </c>
      <c r="Y1295" t="s">
        <v>21140</v>
      </c>
      <c r="Z1295" t="s">
        <v>27625</v>
      </c>
      <c r="AA1295">
        <v>0.49301554909547007</v>
      </c>
      <c r="AB1295" t="str">
        <f>HYPERLINK("Melting_Curves/meltCurve_M0R2A0_EMC10.pdf", "Melting_Curves/meltCurve_M0R2A0_EMC10.pdf")</f>
        <v>Melting_Curves/meltCurve_M0R2A0_EMC10.pdf</v>
      </c>
    </row>
    <row r="1296" spans="1:28" x14ac:dyDescent="0.25">
      <c r="A1296" t="s">
        <v>1300</v>
      </c>
      <c r="B1296">
        <v>0.99252571173614901</v>
      </c>
      <c r="C1296">
        <v>0.87414588786087599</v>
      </c>
      <c r="D1296">
        <v>0.72435983559263595</v>
      </c>
      <c r="E1296">
        <v>0.42236836753999701</v>
      </c>
      <c r="F1296">
        <v>0.33452495837771001</v>
      </c>
      <c r="G1296">
        <v>0.229206018979314</v>
      </c>
      <c r="H1296">
        <v>0.129490715002508</v>
      </c>
      <c r="I1296">
        <v>9.9765982813891693E-2</v>
      </c>
      <c r="J1296">
        <v>9.9334369057584498E-2</v>
      </c>
      <c r="K1296">
        <v>8.9409517160398896E-2</v>
      </c>
      <c r="L1296">
        <v>667.21633362622595</v>
      </c>
      <c r="M1296">
        <v>13.7253808616731</v>
      </c>
      <c r="N1296">
        <v>49.260161239333101</v>
      </c>
      <c r="O1296">
        <v>47.614787523813099</v>
      </c>
      <c r="P1296">
        <v>-6.61194230816705E-2</v>
      </c>
      <c r="Q1296">
        <v>8.26302691028893E-2</v>
      </c>
      <c r="R1296">
        <v>0.99270128319369699</v>
      </c>
      <c r="S1296" t="s">
        <v>7942</v>
      </c>
      <c r="T1296" t="s">
        <v>13290</v>
      </c>
      <c r="U1296" t="s">
        <v>13290</v>
      </c>
      <c r="V1296" t="s">
        <v>13290</v>
      </c>
      <c r="W1296" t="s">
        <v>13349</v>
      </c>
      <c r="X1296">
        <v>36</v>
      </c>
      <c r="Y1296" t="s">
        <v>21141</v>
      </c>
      <c r="Z1296" t="s">
        <v>27626</v>
      </c>
      <c r="AA1296">
        <v>0.3731441501977904</v>
      </c>
      <c r="AB1296" t="str">
        <f>HYPERLINK("Melting_Curves/meltCurve_M0R2B7_POLD1.pdf", "Melting_Curves/meltCurve_M0R2B7_POLD1.pdf")</f>
        <v>Melting_Curves/meltCurve_M0R2B7_POLD1.pdf</v>
      </c>
    </row>
    <row r="1297" spans="1:28" x14ac:dyDescent="0.25">
      <c r="A1297" t="s">
        <v>1301</v>
      </c>
      <c r="B1297">
        <v>0.99252571173614901</v>
      </c>
      <c r="C1297">
        <v>1.0662901388450401</v>
      </c>
      <c r="D1297">
        <v>1.5759459760421499</v>
      </c>
      <c r="E1297">
        <v>5.2316222760449698</v>
      </c>
      <c r="F1297">
        <v>1.5915398797165501</v>
      </c>
      <c r="G1297">
        <v>1.749016614441</v>
      </c>
      <c r="H1297">
        <v>1.78281632993294</v>
      </c>
      <c r="I1297">
        <v>2.95354907471238</v>
      </c>
      <c r="J1297">
        <v>3.50272842400225</v>
      </c>
      <c r="K1297">
        <v>1.2104919931062901</v>
      </c>
      <c r="L1297">
        <v>10805.580428359201</v>
      </c>
      <c r="M1297">
        <v>250</v>
      </c>
      <c r="O1297">
        <v>43.219551322224397</v>
      </c>
      <c r="P1297">
        <v>0.723052319108205</v>
      </c>
      <c r="Q1297">
        <v>1.5</v>
      </c>
      <c r="R1297">
        <v>-0.24444955990836201</v>
      </c>
      <c r="S1297" t="s">
        <v>7943</v>
      </c>
      <c r="T1297" t="s">
        <v>13290</v>
      </c>
      <c r="U1297" t="s">
        <v>13290</v>
      </c>
      <c r="V1297" t="s">
        <v>13290</v>
      </c>
      <c r="W1297" t="s">
        <v>14559</v>
      </c>
      <c r="X1297">
        <v>3</v>
      </c>
      <c r="Y1297" t="s">
        <v>20048</v>
      </c>
      <c r="Z1297" t="s">
        <v>27627</v>
      </c>
      <c r="AA1297">
        <v>1.4462567108540361</v>
      </c>
      <c r="AB1297" t="str">
        <f>HYPERLINK("Melting_Curves/meltCurve_M0R2C4_LSR.pdf", "Melting_Curves/meltCurve_M0R2C4_LSR.pdf")</f>
        <v>Melting_Curves/meltCurve_M0R2C4_LSR.pdf</v>
      </c>
    </row>
    <row r="1298" spans="1:28" x14ac:dyDescent="0.25">
      <c r="A1298" t="s">
        <v>1302</v>
      </c>
      <c r="B1298">
        <v>0.99252571173614901</v>
      </c>
      <c r="C1298">
        <v>1.06919309377334</v>
      </c>
      <c r="D1298">
        <v>0.98263357747436297</v>
      </c>
      <c r="E1298">
        <v>0.84664846323083498</v>
      </c>
      <c r="F1298">
        <v>0.81382473860721405</v>
      </c>
      <c r="G1298">
        <v>0.56880535802285903</v>
      </c>
      <c r="H1298">
        <v>0.44122244144858003</v>
      </c>
      <c r="I1298">
        <v>0.52899182259030897</v>
      </c>
      <c r="J1298">
        <v>0.80851152134820203</v>
      </c>
      <c r="K1298">
        <v>0.74677608277335605</v>
      </c>
      <c r="L1298">
        <v>1397.60913090545</v>
      </c>
      <c r="M1298">
        <v>27.2279900757257</v>
      </c>
      <c r="O1298">
        <v>51.055373055310298</v>
      </c>
      <c r="P1298">
        <v>-5.0189783984308498E-2</v>
      </c>
      <c r="Q1298">
        <v>0.62355882270391605</v>
      </c>
      <c r="R1298">
        <v>0.71275909189289099</v>
      </c>
      <c r="S1298" t="s">
        <v>7944</v>
      </c>
      <c r="T1298" t="s">
        <v>13290</v>
      </c>
      <c r="U1298" t="s">
        <v>13290</v>
      </c>
      <c r="V1298" t="s">
        <v>13290</v>
      </c>
      <c r="W1298" t="s">
        <v>14560</v>
      </c>
      <c r="X1298">
        <v>3</v>
      </c>
      <c r="Y1298" t="s">
        <v>21142</v>
      </c>
      <c r="Z1298" t="s">
        <v>27628</v>
      </c>
      <c r="AA1298">
        <v>0.76861191112868232</v>
      </c>
      <c r="AB1298" t="str">
        <f>HYPERLINK("Melting_Curves/meltCurve_M0R2Z1_CGB1.pdf", "Melting_Curves/meltCurve_M0R2Z1_CGB1.pdf")</f>
        <v>Melting_Curves/meltCurve_M0R2Z1_CGB1.pdf</v>
      </c>
    </row>
    <row r="1299" spans="1:28" x14ac:dyDescent="0.25">
      <c r="A1299" t="s">
        <v>1303</v>
      </c>
      <c r="B1299">
        <v>0.99252571173614901</v>
      </c>
      <c r="C1299">
        <v>0.96853028622221904</v>
      </c>
      <c r="D1299">
        <v>1.0136040743130299</v>
      </c>
      <c r="E1299">
        <v>0.67693344371208997</v>
      </c>
      <c r="F1299">
        <v>0.55515541729025697</v>
      </c>
      <c r="G1299">
        <v>0.29512518252741898</v>
      </c>
      <c r="H1299">
        <v>0.21573609739479599</v>
      </c>
      <c r="I1299">
        <v>0.27701748404399101</v>
      </c>
      <c r="J1299">
        <v>0.42892195328447302</v>
      </c>
      <c r="K1299">
        <v>0.491504053087778</v>
      </c>
      <c r="L1299">
        <v>1373.29610312825</v>
      </c>
      <c r="M1299">
        <v>27.330355180844499</v>
      </c>
      <c r="N1299">
        <v>52.521275717983997</v>
      </c>
      <c r="O1299">
        <v>49.981312630165</v>
      </c>
      <c r="P1299">
        <v>-8.9293904539230098E-2</v>
      </c>
      <c r="Q1299">
        <v>0.34680921528366099</v>
      </c>
      <c r="R1299">
        <v>0.91431646023079505</v>
      </c>
      <c r="S1299" t="s">
        <v>7945</v>
      </c>
      <c r="T1299" t="s">
        <v>13290</v>
      </c>
      <c r="U1299" t="s">
        <v>13290</v>
      </c>
      <c r="V1299" t="s">
        <v>13290</v>
      </c>
      <c r="W1299" t="s">
        <v>14561</v>
      </c>
      <c r="X1299">
        <v>2</v>
      </c>
      <c r="Y1299" t="s">
        <v>21143</v>
      </c>
      <c r="Z1299" t="s">
        <v>27629</v>
      </c>
      <c r="AA1299">
        <v>0.57483419972789929</v>
      </c>
      <c r="AB1299" t="str">
        <f>HYPERLINK("Melting_Curves/meltCurve_M0R2Z9_SUGP2.pdf", "Melting_Curves/meltCurve_M0R2Z9_SUGP2.pdf")</f>
        <v>Melting_Curves/meltCurve_M0R2Z9_SUGP2.pdf</v>
      </c>
    </row>
    <row r="1300" spans="1:28" x14ac:dyDescent="0.25">
      <c r="A1300" t="s">
        <v>1304</v>
      </c>
      <c r="B1300">
        <v>0.99252571173614901</v>
      </c>
      <c r="C1300">
        <v>0.91433380121076002</v>
      </c>
      <c r="D1300">
        <v>0.79588685915247204</v>
      </c>
      <c r="E1300">
        <v>0.66766652514679703</v>
      </c>
      <c r="F1300">
        <v>0.47371184506708602</v>
      </c>
      <c r="G1300">
        <v>0.25475598848095599</v>
      </c>
      <c r="H1300">
        <v>0.124869383378474</v>
      </c>
      <c r="I1300">
        <v>0.10374812923883101</v>
      </c>
      <c r="J1300">
        <v>0.105966130208322</v>
      </c>
      <c r="K1300">
        <v>9.9144200681231406E-2</v>
      </c>
      <c r="L1300">
        <v>647.16423714772895</v>
      </c>
      <c r="M1300">
        <v>12.505935978400901</v>
      </c>
      <c r="N1300">
        <v>52.067624018660197</v>
      </c>
      <c r="O1300">
        <v>50.478842328446397</v>
      </c>
      <c r="P1300">
        <v>-5.9664217863831602E-2</v>
      </c>
      <c r="Q1300">
        <v>3.6885460640009402E-2</v>
      </c>
      <c r="R1300">
        <v>0.99397364495912999</v>
      </c>
      <c r="S1300" t="s">
        <v>7946</v>
      </c>
      <c r="T1300" t="s">
        <v>13290</v>
      </c>
      <c r="U1300" t="s">
        <v>13290</v>
      </c>
      <c r="V1300" t="s">
        <v>13290</v>
      </c>
      <c r="W1300" t="s">
        <v>14562</v>
      </c>
      <c r="X1300">
        <v>2</v>
      </c>
      <c r="Y1300" t="s">
        <v>21144</v>
      </c>
      <c r="Z1300" t="s">
        <v>27630</v>
      </c>
      <c r="AA1300">
        <v>0.44240871548484012</v>
      </c>
      <c r="AB1300" t="str">
        <f>HYPERLINK("Melting_Curves/meltCurve_M0R328_PEX11G.pdf", "Melting_Curves/meltCurve_M0R328_PEX11G.pdf")</f>
        <v>Melting_Curves/meltCurve_M0R328_PEX11G.pdf</v>
      </c>
    </row>
    <row r="1301" spans="1:28" x14ac:dyDescent="0.25">
      <c r="A1301" t="s">
        <v>1305</v>
      </c>
      <c r="B1301">
        <v>0.99252571173614901</v>
      </c>
      <c r="C1301">
        <v>1.04058740779409</v>
      </c>
      <c r="D1301">
        <v>0.90732572222388097</v>
      </c>
      <c r="E1301">
        <v>0.46896900405780201</v>
      </c>
      <c r="F1301">
        <v>0.106805280893555</v>
      </c>
      <c r="G1301">
        <v>6.36425669539505E-2</v>
      </c>
      <c r="H1301">
        <v>5.3081919313871601E-2</v>
      </c>
      <c r="I1301">
        <v>6.84376798371958E-2</v>
      </c>
      <c r="J1301">
        <v>7.2457311804765695E-2</v>
      </c>
      <c r="K1301">
        <v>5.8615355217451898E-2</v>
      </c>
      <c r="L1301">
        <v>1737.07355512398</v>
      </c>
      <c r="M1301">
        <v>35.315560050266903</v>
      </c>
      <c r="N1301">
        <v>49.363999545209303</v>
      </c>
      <c r="O1301">
        <v>49.0302879912375</v>
      </c>
      <c r="P1301">
        <v>-0.16937461411083801</v>
      </c>
      <c r="Q1301">
        <v>5.9399607444221701E-2</v>
      </c>
      <c r="R1301">
        <v>0.998182506809971</v>
      </c>
      <c r="S1301" t="s">
        <v>7947</v>
      </c>
      <c r="T1301" t="s">
        <v>13290</v>
      </c>
      <c r="U1301" t="s">
        <v>13290</v>
      </c>
      <c r="V1301" t="s">
        <v>13290</v>
      </c>
      <c r="W1301" t="s">
        <v>14563</v>
      </c>
      <c r="X1301">
        <v>2</v>
      </c>
      <c r="Y1301" t="s">
        <v>21145</v>
      </c>
      <c r="Z1301" t="s">
        <v>27631</v>
      </c>
      <c r="AA1301">
        <v>0.35156900519530182</v>
      </c>
      <c r="AB1301" t="str">
        <f>HYPERLINK("Melting_Curves/meltCurve_M0R366_FSD1.pdf", "Melting_Curves/meltCurve_M0R366_FSD1.pdf")</f>
        <v>Melting_Curves/meltCurve_M0R366_FSD1.pdf</v>
      </c>
    </row>
    <row r="1302" spans="1:28" x14ac:dyDescent="0.25">
      <c r="A1302" t="s">
        <v>1306</v>
      </c>
      <c r="B1302">
        <v>0.99252571173614901</v>
      </c>
      <c r="C1302">
        <v>1.0457362947019899</v>
      </c>
      <c r="D1302">
        <v>0.92764648627860702</v>
      </c>
      <c r="E1302">
        <v>0.79117072657416998</v>
      </c>
      <c r="F1302">
        <v>0.78953943108023195</v>
      </c>
      <c r="G1302">
        <v>0.68267344179414002</v>
      </c>
      <c r="H1302">
        <v>0.58051821790041103</v>
      </c>
      <c r="I1302">
        <v>0.63544189368425397</v>
      </c>
      <c r="J1302">
        <v>0.81434692118686303</v>
      </c>
      <c r="K1302">
        <v>0.64195170822342296</v>
      </c>
      <c r="L1302">
        <v>1034.5049658826799</v>
      </c>
      <c r="M1302">
        <v>21.0372956514388</v>
      </c>
      <c r="O1302">
        <v>48.736934236237701</v>
      </c>
      <c r="P1302">
        <v>-3.5316404117214997E-2</v>
      </c>
      <c r="Q1302">
        <v>0.67273977076554403</v>
      </c>
      <c r="R1302">
        <v>0.82210319998080095</v>
      </c>
      <c r="S1302" t="s">
        <v>7948</v>
      </c>
      <c r="T1302" t="s">
        <v>13290</v>
      </c>
      <c r="U1302" t="s">
        <v>13290</v>
      </c>
      <c r="V1302" t="s">
        <v>13290</v>
      </c>
      <c r="W1302" t="s">
        <v>14564</v>
      </c>
      <c r="X1302">
        <v>5</v>
      </c>
      <c r="Y1302" t="s">
        <v>21146</v>
      </c>
      <c r="Z1302" t="s">
        <v>27632</v>
      </c>
      <c r="AA1302">
        <v>0.77695648753263546</v>
      </c>
      <c r="AB1302" t="str">
        <f>HYPERLINK("Melting_Curves/meltCurve_M0R3D4_RABAC1.pdf", "Melting_Curves/meltCurve_M0R3D4_RABAC1.pdf")</f>
        <v>Melting_Curves/meltCurve_M0R3D4_RABAC1.pdf</v>
      </c>
    </row>
    <row r="1303" spans="1:28" x14ac:dyDescent="0.25">
      <c r="A1303" t="s">
        <v>1307</v>
      </c>
      <c r="B1303">
        <v>0.99252571173614901</v>
      </c>
      <c r="C1303">
        <v>0.90361139667119605</v>
      </c>
      <c r="D1303">
        <v>0.91235719112145897</v>
      </c>
      <c r="E1303">
        <v>0.80815533413462304</v>
      </c>
      <c r="F1303">
        <v>0.36461472853933902</v>
      </c>
      <c r="G1303">
        <v>0.18439187783531899</v>
      </c>
      <c r="H1303">
        <v>0.120594050537589</v>
      </c>
      <c r="I1303">
        <v>0.10072702821747399</v>
      </c>
      <c r="J1303">
        <v>0.10343614046520699</v>
      </c>
      <c r="K1303">
        <v>9.25135180427165E-2</v>
      </c>
      <c r="L1303">
        <v>1353.63434078008</v>
      </c>
      <c r="M1303">
        <v>26.1951130729413</v>
      </c>
      <c r="N1303">
        <v>52.106901614163398</v>
      </c>
      <c r="O1303">
        <v>51.376734915382002</v>
      </c>
      <c r="P1303">
        <v>-0.11503016748636399</v>
      </c>
      <c r="Q1303">
        <v>9.7570863273408498E-2</v>
      </c>
      <c r="R1303">
        <v>0.99053287973702198</v>
      </c>
      <c r="S1303" t="s">
        <v>7949</v>
      </c>
      <c r="T1303" t="s">
        <v>13290</v>
      </c>
      <c r="U1303" t="s">
        <v>13290</v>
      </c>
      <c r="V1303" t="s">
        <v>13290</v>
      </c>
      <c r="W1303" t="s">
        <v>14565</v>
      </c>
      <c r="X1303">
        <v>18</v>
      </c>
      <c r="Y1303" t="s">
        <v>21147</v>
      </c>
      <c r="Z1303" t="s">
        <v>27633</v>
      </c>
      <c r="AA1303">
        <v>0.45626598261901907</v>
      </c>
      <c r="AB1303" t="str">
        <f>HYPERLINK("Melting_Curves/meltCurve_O00116_AGPS.pdf", "Melting_Curves/meltCurve_O00116_AGPS.pdf")</f>
        <v>Melting_Curves/meltCurve_O00116_AGPS.pdf</v>
      </c>
    </row>
    <row r="1304" spans="1:28" x14ac:dyDescent="0.25">
      <c r="A1304" t="s">
        <v>1308</v>
      </c>
      <c r="B1304">
        <v>0.99252571173614901</v>
      </c>
      <c r="C1304">
        <v>0.99149630466208305</v>
      </c>
      <c r="D1304">
        <v>0.93485358364465598</v>
      </c>
      <c r="E1304">
        <v>0.77036460349624003</v>
      </c>
      <c r="F1304">
        <v>0.16097742670791099</v>
      </c>
      <c r="G1304">
        <v>0.103986268552542</v>
      </c>
      <c r="H1304">
        <v>7.6241829542875103E-2</v>
      </c>
      <c r="I1304">
        <v>8.8249644962261301E-2</v>
      </c>
      <c r="J1304">
        <v>0.114579136088964</v>
      </c>
      <c r="K1304">
        <v>0.10448478039515199</v>
      </c>
      <c r="L1304">
        <v>2575.7105207373502</v>
      </c>
      <c r="M1304">
        <v>50.8754970129919</v>
      </c>
      <c r="N1304">
        <v>50.840222646935104</v>
      </c>
      <c r="O1304">
        <v>50.549686236892903</v>
      </c>
      <c r="P1304">
        <v>-0.22751137485214801</v>
      </c>
      <c r="Q1304">
        <v>9.5783288226215402E-2</v>
      </c>
      <c r="R1304">
        <v>0.99714621474698295</v>
      </c>
      <c r="S1304" t="s">
        <v>7950</v>
      </c>
      <c r="T1304" t="s">
        <v>13290</v>
      </c>
      <c r="U1304" t="s">
        <v>13290</v>
      </c>
      <c r="V1304" t="s">
        <v>13290</v>
      </c>
      <c r="W1304" t="s">
        <v>14566</v>
      </c>
      <c r="X1304">
        <v>26</v>
      </c>
      <c r="Y1304" t="s">
        <v>21148</v>
      </c>
      <c r="Z1304" t="s">
        <v>27634</v>
      </c>
      <c r="AA1304">
        <v>0.41805875930724029</v>
      </c>
      <c r="AB1304" t="str">
        <f>HYPERLINK("Melting_Curves/meltCurve_O00139_2_KIF2A.pdf", "Melting_Curves/meltCurve_O00139_2_KIF2A.pdf")</f>
        <v>Melting_Curves/meltCurve_O00139_2_KIF2A.pdf</v>
      </c>
    </row>
    <row r="1305" spans="1:28" x14ac:dyDescent="0.25">
      <c r="A1305" t="s">
        <v>1309</v>
      </c>
      <c r="B1305">
        <v>0.99252571173614901</v>
      </c>
      <c r="C1305">
        <v>1.0376746457657899</v>
      </c>
      <c r="D1305">
        <v>0.82177478223776701</v>
      </c>
      <c r="E1305">
        <v>0.42915652358133999</v>
      </c>
      <c r="F1305">
        <v>0.30252724576175999</v>
      </c>
      <c r="G1305">
        <v>0.16929395164425801</v>
      </c>
      <c r="H1305">
        <v>0.124890615777945</v>
      </c>
      <c r="I1305">
        <v>0.121255438612901</v>
      </c>
      <c r="J1305">
        <v>0.12061978670488301</v>
      </c>
      <c r="K1305">
        <v>0.116192043230313</v>
      </c>
      <c r="L1305">
        <v>1122.5901795280499</v>
      </c>
      <c r="M1305">
        <v>23.054730906450999</v>
      </c>
      <c r="N1305">
        <v>49.325997051280403</v>
      </c>
      <c r="O1305">
        <v>48.330507325201999</v>
      </c>
      <c r="P1305">
        <v>-0.10397395132513799</v>
      </c>
      <c r="Q1305">
        <v>0.128158278488124</v>
      </c>
      <c r="R1305">
        <v>0.99040496955031199</v>
      </c>
      <c r="S1305" t="s">
        <v>7951</v>
      </c>
      <c r="T1305" t="s">
        <v>13290</v>
      </c>
      <c r="U1305" t="s">
        <v>13290</v>
      </c>
      <c r="V1305" t="s">
        <v>13290</v>
      </c>
      <c r="W1305" t="s">
        <v>14567</v>
      </c>
      <c r="X1305">
        <v>31</v>
      </c>
      <c r="Y1305" t="s">
        <v>21149</v>
      </c>
      <c r="Z1305" t="s">
        <v>27635</v>
      </c>
      <c r="AA1305">
        <v>0.38989911354044599</v>
      </c>
      <c r="AB1305" t="str">
        <f>HYPERLINK("Melting_Curves/meltCurve_O00148_DDX39A.pdf", "Melting_Curves/meltCurve_O00148_DDX39A.pdf")</f>
        <v>Melting_Curves/meltCurve_O00148_DDX39A.pdf</v>
      </c>
    </row>
    <row r="1306" spans="1:28" x14ac:dyDescent="0.25">
      <c r="A1306" t="s">
        <v>1310</v>
      </c>
      <c r="B1306">
        <v>0.99252571173614901</v>
      </c>
      <c r="C1306">
        <v>1.04385560152162</v>
      </c>
      <c r="D1306">
        <v>0.97810690216797003</v>
      </c>
      <c r="E1306">
        <v>0.89523447434452996</v>
      </c>
      <c r="F1306">
        <v>0.70002990483654803</v>
      </c>
      <c r="G1306">
        <v>0.49390965494281602</v>
      </c>
      <c r="H1306">
        <v>0.47447053101239101</v>
      </c>
      <c r="I1306">
        <v>0.54794519250077101</v>
      </c>
      <c r="J1306">
        <v>0.61117124822221602</v>
      </c>
      <c r="K1306">
        <v>0.59112416029012005</v>
      </c>
      <c r="L1306">
        <v>1777.6571030213199</v>
      </c>
      <c r="M1306">
        <v>34.388103366321701</v>
      </c>
      <c r="O1306">
        <v>51.520090265216197</v>
      </c>
      <c r="P1306">
        <v>-7.6164766207615198E-2</v>
      </c>
      <c r="Q1306">
        <v>0.54356309412428305</v>
      </c>
      <c r="R1306">
        <v>0.95422012090225705</v>
      </c>
      <c r="S1306" t="s">
        <v>7952</v>
      </c>
      <c r="T1306" t="s">
        <v>13290</v>
      </c>
      <c r="U1306" t="s">
        <v>13290</v>
      </c>
      <c r="V1306" t="s">
        <v>13290</v>
      </c>
      <c r="W1306" t="s">
        <v>14568</v>
      </c>
      <c r="X1306">
        <v>19</v>
      </c>
      <c r="Y1306" t="s">
        <v>21150</v>
      </c>
      <c r="Z1306" t="s">
        <v>27636</v>
      </c>
      <c r="AA1306">
        <v>0.72369076242561337</v>
      </c>
      <c r="AB1306" t="str">
        <f>HYPERLINK("Melting_Curves/meltCurve_O00151_PDLIM1.pdf", "Melting_Curves/meltCurve_O00151_PDLIM1.pdf")</f>
        <v>Melting_Curves/meltCurve_O00151_PDLIM1.pdf</v>
      </c>
    </row>
    <row r="1307" spans="1:28" x14ac:dyDescent="0.25">
      <c r="A1307" t="s">
        <v>1311</v>
      </c>
      <c r="B1307">
        <v>0.99252571173614901</v>
      </c>
      <c r="C1307">
        <v>1.0323238921106399</v>
      </c>
      <c r="D1307">
        <v>1.0442060781862199</v>
      </c>
      <c r="E1307">
        <v>1.01878612655365</v>
      </c>
      <c r="F1307">
        <v>1.0204846107590799</v>
      </c>
      <c r="G1307">
        <v>0.88381341485549303</v>
      </c>
      <c r="H1307">
        <v>0.84128492453327397</v>
      </c>
      <c r="I1307">
        <v>0.69677627505687301</v>
      </c>
      <c r="J1307">
        <v>0.23846811407618701</v>
      </c>
      <c r="K1307">
        <v>0.19067128595938801</v>
      </c>
      <c r="L1307">
        <v>1868.5061737045201</v>
      </c>
      <c r="M1307">
        <v>28.7850411334021</v>
      </c>
      <c r="N1307">
        <v>65.148617749969503</v>
      </c>
      <c r="O1307">
        <v>64.601533922035202</v>
      </c>
      <c r="P1307">
        <v>-0.105875389116858</v>
      </c>
      <c r="Q1307">
        <v>4.95535652543381E-2</v>
      </c>
      <c r="R1307">
        <v>0.969655285413907</v>
      </c>
      <c r="S1307" t="s">
        <v>7953</v>
      </c>
      <c r="T1307" t="s">
        <v>13290</v>
      </c>
      <c r="U1307" t="s">
        <v>13290</v>
      </c>
      <c r="V1307" t="s">
        <v>13290</v>
      </c>
      <c r="W1307" t="s">
        <v>14569</v>
      </c>
      <c r="X1307">
        <v>20</v>
      </c>
      <c r="Y1307" t="s">
        <v>21151</v>
      </c>
      <c r="Z1307" t="s">
        <v>27637</v>
      </c>
      <c r="AA1307">
        <v>0.83660771295643099</v>
      </c>
      <c r="AB1307" t="str">
        <f>HYPERLINK("Melting_Curves/meltCurve_O00154_ACOT7.pdf", "Melting_Curves/meltCurve_O00154_ACOT7.pdf")</f>
        <v>Melting_Curves/meltCurve_O00154_ACOT7.pdf</v>
      </c>
    </row>
    <row r="1308" spans="1:28" x14ac:dyDescent="0.25">
      <c r="A1308" t="s">
        <v>1312</v>
      </c>
      <c r="B1308">
        <v>0.99252571173614901</v>
      </c>
      <c r="C1308">
        <v>0.93438254998124703</v>
      </c>
      <c r="D1308">
        <v>0.61213251870359697</v>
      </c>
      <c r="E1308">
        <v>0.110826922757606</v>
      </c>
      <c r="F1308">
        <v>7.9595417656767295E-2</v>
      </c>
      <c r="G1308">
        <v>5.61761853049456E-2</v>
      </c>
      <c r="H1308">
        <v>6.5847048244371403E-2</v>
      </c>
      <c r="I1308">
        <v>0</v>
      </c>
      <c r="J1308">
        <v>0</v>
      </c>
      <c r="K1308">
        <v>0.109944632819287</v>
      </c>
      <c r="L1308">
        <v>1721.0213770913999</v>
      </c>
      <c r="M1308">
        <v>37.0773135072698</v>
      </c>
      <c r="N1308">
        <v>46.543787927989598</v>
      </c>
      <c r="O1308">
        <v>46.282671352042499</v>
      </c>
      <c r="P1308">
        <v>-0.190662653413498</v>
      </c>
      <c r="Q1308">
        <v>4.8004774325260499E-2</v>
      </c>
      <c r="R1308">
        <v>0.99263577866795205</v>
      </c>
      <c r="S1308" t="s">
        <v>7954</v>
      </c>
      <c r="T1308" t="s">
        <v>13290</v>
      </c>
      <c r="U1308" t="s">
        <v>13290</v>
      </c>
      <c r="V1308" t="s">
        <v>13290</v>
      </c>
      <c r="W1308" t="s">
        <v>14570</v>
      </c>
      <c r="X1308">
        <v>5</v>
      </c>
      <c r="Y1308" t="s">
        <v>21152</v>
      </c>
      <c r="Z1308" t="s">
        <v>27638</v>
      </c>
      <c r="AA1308">
        <v>0.25527415056129837</v>
      </c>
      <c r="AB1308" t="str">
        <f>HYPERLINK("Melting_Curves/meltCurve_O00159_MYO1C.pdf", "Melting_Curves/meltCurve_O00159_MYO1C.pdf")</f>
        <v>Melting_Curves/meltCurve_O00159_MYO1C.pdf</v>
      </c>
    </row>
    <row r="1309" spans="1:28" x14ac:dyDescent="0.25">
      <c r="A1309" t="s">
        <v>1313</v>
      </c>
      <c r="B1309">
        <v>0.99252571173614901</v>
      </c>
      <c r="C1309">
        <v>0.96672113329243203</v>
      </c>
      <c r="D1309">
        <v>0.82680446247888895</v>
      </c>
      <c r="E1309">
        <v>0.78311133489864004</v>
      </c>
      <c r="F1309">
        <v>0.69765317579521502</v>
      </c>
      <c r="G1309">
        <v>0.68083772173665802</v>
      </c>
      <c r="H1309">
        <v>0.56026503247274695</v>
      </c>
      <c r="I1309">
        <v>0.75926629410826996</v>
      </c>
      <c r="J1309">
        <v>1.21553650555392</v>
      </c>
      <c r="K1309">
        <v>1.05739948328744</v>
      </c>
      <c r="L1309">
        <v>3251.6857189300499</v>
      </c>
      <c r="M1309">
        <v>74.329137408998903</v>
      </c>
      <c r="O1309">
        <v>43.715485581489403</v>
      </c>
      <c r="P1309">
        <v>-7.5647194443456495E-2</v>
      </c>
      <c r="Q1309">
        <v>0.82203731353739296</v>
      </c>
      <c r="R1309">
        <v>0.110573745531691</v>
      </c>
      <c r="S1309" t="s">
        <v>7955</v>
      </c>
      <c r="T1309" t="s">
        <v>13290</v>
      </c>
      <c r="U1309" t="s">
        <v>13290</v>
      </c>
      <c r="V1309" t="s">
        <v>13290</v>
      </c>
      <c r="W1309" t="s">
        <v>14571</v>
      </c>
      <c r="X1309">
        <v>13</v>
      </c>
      <c r="Y1309" t="s">
        <v>21153</v>
      </c>
      <c r="Z1309" t="s">
        <v>27639</v>
      </c>
      <c r="AA1309">
        <v>0.84442318243911019</v>
      </c>
      <c r="AB1309" t="str">
        <f>HYPERLINK("Melting_Curves/meltCurve_O00161_SNAP23.pdf", "Melting_Curves/meltCurve_O00161_SNAP23.pdf")</f>
        <v>Melting_Curves/meltCurve_O00161_SNAP23.pdf</v>
      </c>
    </row>
    <row r="1310" spans="1:28" x14ac:dyDescent="0.25">
      <c r="A1310" t="s">
        <v>1314</v>
      </c>
      <c r="B1310">
        <v>0.99252571173614901</v>
      </c>
      <c r="C1310">
        <v>0.78310955984502195</v>
      </c>
      <c r="D1310">
        <v>0.61949031906728902</v>
      </c>
      <c r="E1310">
        <v>0.34641339615591898</v>
      </c>
      <c r="F1310">
        <v>0.184596610024823</v>
      </c>
      <c r="G1310">
        <v>9.3397996639120601E-2</v>
      </c>
      <c r="H1310">
        <v>6.2047989916036897E-2</v>
      </c>
      <c r="I1310">
        <v>8.1603606776679397E-2</v>
      </c>
      <c r="J1310">
        <v>0.109367185403464</v>
      </c>
      <c r="K1310">
        <v>0.15573933795113801</v>
      </c>
      <c r="L1310">
        <v>800.372890119506</v>
      </c>
      <c r="M1310">
        <v>17.152183241064801</v>
      </c>
      <c r="N1310">
        <v>47.197415796012201</v>
      </c>
      <c r="O1310">
        <v>46.042600529520698</v>
      </c>
      <c r="P1310">
        <v>-8.4917900053531406E-2</v>
      </c>
      <c r="Q1310">
        <v>8.8254244428613501E-2</v>
      </c>
      <c r="R1310">
        <v>0.98743139257102597</v>
      </c>
      <c r="S1310" t="s">
        <v>7956</v>
      </c>
      <c r="T1310" t="s">
        <v>13290</v>
      </c>
      <c r="U1310" t="s">
        <v>13290</v>
      </c>
      <c r="V1310" t="s">
        <v>13290</v>
      </c>
      <c r="W1310" t="s">
        <v>14572</v>
      </c>
      <c r="X1310">
        <v>3</v>
      </c>
      <c r="Y1310" t="s">
        <v>21154</v>
      </c>
      <c r="Z1310" t="s">
        <v>27640</v>
      </c>
      <c r="AA1310">
        <v>0.30978751900131141</v>
      </c>
      <c r="AB1310" t="str">
        <f>HYPERLINK("Melting_Curves/meltCurve_O00165_5_HAX1.pdf", "Melting_Curves/meltCurve_O00165_5_HAX1.pdf")</f>
        <v>Melting_Curves/meltCurve_O00165_5_HAX1.pdf</v>
      </c>
    </row>
    <row r="1311" spans="1:28" x14ac:dyDescent="0.25">
      <c r="A1311" t="s">
        <v>1315</v>
      </c>
      <c r="B1311">
        <v>0.99252571173614901</v>
      </c>
      <c r="C1311">
        <v>1.10715645484013</v>
      </c>
      <c r="D1311">
        <v>0.615050241474832</v>
      </c>
      <c r="E1311">
        <v>0.45269411956454297</v>
      </c>
      <c r="F1311">
        <v>0.16645937009290401</v>
      </c>
      <c r="G1311">
        <v>8.7396041378279193E-2</v>
      </c>
      <c r="H1311">
        <v>5.9676010687645498E-2</v>
      </c>
      <c r="I1311">
        <v>6.3874956731744606E-2</v>
      </c>
      <c r="J1311">
        <v>7.3516805676469593E-2</v>
      </c>
      <c r="K1311">
        <v>6.5868168055878404E-2</v>
      </c>
      <c r="L1311">
        <v>1010.03322219789</v>
      </c>
      <c r="M1311">
        <v>20.991349360691402</v>
      </c>
      <c r="N1311">
        <v>48.420163777571602</v>
      </c>
      <c r="O1311">
        <v>47.686344467079799</v>
      </c>
      <c r="P1311">
        <v>-0.103268075403949</v>
      </c>
      <c r="Q1311">
        <v>6.1643048559828599E-2</v>
      </c>
      <c r="R1311">
        <v>0.96563698641647899</v>
      </c>
      <c r="S1311" t="s">
        <v>7957</v>
      </c>
      <c r="T1311" t="s">
        <v>13290</v>
      </c>
      <c r="U1311" t="s">
        <v>13290</v>
      </c>
      <c r="V1311" t="s">
        <v>13290</v>
      </c>
      <c r="W1311" t="s">
        <v>14573</v>
      </c>
      <c r="X1311">
        <v>18</v>
      </c>
      <c r="Y1311" t="s">
        <v>21155</v>
      </c>
      <c r="Z1311" t="s">
        <v>27641</v>
      </c>
      <c r="AA1311">
        <v>0.32753091989922878</v>
      </c>
      <c r="AB1311" t="str">
        <f>HYPERLINK("Melting_Curves/meltCurve_O00170_AIP.pdf", "Melting_Curves/meltCurve_O00170_AIP.pdf")</f>
        <v>Melting_Curves/meltCurve_O00170_AIP.pdf</v>
      </c>
    </row>
    <row r="1312" spans="1:28" x14ac:dyDescent="0.25">
      <c r="A1312" t="s">
        <v>1316</v>
      </c>
      <c r="B1312">
        <v>0.99252571173614901</v>
      </c>
      <c r="C1312">
        <v>1.02308730473695</v>
      </c>
      <c r="D1312">
        <v>0.95367748958427201</v>
      </c>
      <c r="E1312">
        <v>0.79248553744682404</v>
      </c>
      <c r="F1312">
        <v>0.28721521073948902</v>
      </c>
      <c r="G1312">
        <v>0.122339332119436</v>
      </c>
      <c r="H1312">
        <v>8.4049697872095694E-2</v>
      </c>
      <c r="I1312">
        <v>9.2672980974405406E-2</v>
      </c>
      <c r="J1312">
        <v>0.11065378754252</v>
      </c>
      <c r="K1312">
        <v>0.113211368395818</v>
      </c>
      <c r="L1312">
        <v>1829.7944299911001</v>
      </c>
      <c r="M1312">
        <v>35.7134340714749</v>
      </c>
      <c r="N1312">
        <v>51.551726457916097</v>
      </c>
      <c r="O1312">
        <v>51.075608204552097</v>
      </c>
      <c r="P1312">
        <v>-0.157610737690384</v>
      </c>
      <c r="Q1312">
        <v>9.8374050598486196E-2</v>
      </c>
      <c r="R1312">
        <v>0.99855116595920002</v>
      </c>
      <c r="S1312" t="s">
        <v>7958</v>
      </c>
      <c r="T1312" t="s">
        <v>13290</v>
      </c>
      <c r="U1312" t="s">
        <v>13290</v>
      </c>
      <c r="V1312" t="s">
        <v>13290</v>
      </c>
      <c r="W1312" t="s">
        <v>14574</v>
      </c>
      <c r="X1312">
        <v>21</v>
      </c>
      <c r="Y1312" t="s">
        <v>21156</v>
      </c>
      <c r="Z1312" t="s">
        <v>27642</v>
      </c>
      <c r="AA1312">
        <v>0.4400579589776506</v>
      </c>
      <c r="AB1312" t="str">
        <f>HYPERLINK("Melting_Curves/meltCurve_O00178_GTPBP1.pdf", "Melting_Curves/meltCurve_O00178_GTPBP1.pdf")</f>
        <v>Melting_Curves/meltCurve_O00178_GTPBP1.pdf</v>
      </c>
    </row>
    <row r="1313" spans="1:28" x14ac:dyDescent="0.25">
      <c r="A1313" t="s">
        <v>1317</v>
      </c>
      <c r="B1313">
        <v>0.99252571173614901</v>
      </c>
      <c r="C1313">
        <v>0.88041809209816102</v>
      </c>
      <c r="D1313">
        <v>0.686788427868399</v>
      </c>
      <c r="E1313">
        <v>0.24446331023561699</v>
      </c>
      <c r="F1313">
        <v>0.12771769408554701</v>
      </c>
      <c r="G1313">
        <v>6.7661729357195902E-2</v>
      </c>
      <c r="H1313">
        <v>5.51363956980628E-2</v>
      </c>
      <c r="I1313">
        <v>6.2390470629113799E-2</v>
      </c>
      <c r="J1313">
        <v>7.0146226659566505E-2</v>
      </c>
      <c r="K1313">
        <v>7.5345892169839196E-2</v>
      </c>
      <c r="L1313">
        <v>1162.1274603138399</v>
      </c>
      <c r="M1313">
        <v>24.7049636389387</v>
      </c>
      <c r="N1313">
        <v>47.297238209940701</v>
      </c>
      <c r="O1313">
        <v>46.735294033948499</v>
      </c>
      <c r="P1313">
        <v>-0.123855024267688</v>
      </c>
      <c r="Q1313">
        <v>6.2809035955523798E-2</v>
      </c>
      <c r="R1313">
        <v>0.99718899939525396</v>
      </c>
      <c r="S1313" t="s">
        <v>7959</v>
      </c>
      <c r="T1313" t="s">
        <v>13290</v>
      </c>
      <c r="U1313" t="s">
        <v>13290</v>
      </c>
      <c r="V1313" t="s">
        <v>13290</v>
      </c>
      <c r="W1313" t="s">
        <v>14575</v>
      </c>
      <c r="X1313">
        <v>10</v>
      </c>
      <c r="Y1313" t="s">
        <v>21157</v>
      </c>
      <c r="Z1313" t="s">
        <v>27643</v>
      </c>
      <c r="AA1313">
        <v>0.29132673697271161</v>
      </c>
      <c r="AB1313" t="str">
        <f>HYPERLINK("Melting_Curves/meltCurve_O00186_STXBP3.pdf", "Melting_Curves/meltCurve_O00186_STXBP3.pdf")</f>
        <v>Melting_Curves/meltCurve_O00186_STXBP3.pdf</v>
      </c>
    </row>
    <row r="1314" spans="1:28" x14ac:dyDescent="0.25">
      <c r="A1314" t="s">
        <v>1318</v>
      </c>
      <c r="B1314">
        <v>0.99252571173614901</v>
      </c>
      <c r="C1314">
        <v>0.865044475094643</v>
      </c>
      <c r="D1314">
        <v>1.0223771352493101</v>
      </c>
      <c r="E1314">
        <v>0.70912907519263502</v>
      </c>
      <c r="F1314">
        <v>0.161374734681934</v>
      </c>
      <c r="G1314">
        <v>9.4409998198739201E-2</v>
      </c>
      <c r="H1314">
        <v>5.9729176475481698E-2</v>
      </c>
      <c r="I1314">
        <v>6.4125272222345195E-2</v>
      </c>
      <c r="J1314">
        <v>7.8993824229507598E-2</v>
      </c>
      <c r="K1314">
        <v>6.9026411581426098E-2</v>
      </c>
      <c r="L1314">
        <v>2249.2869703491701</v>
      </c>
      <c r="M1314">
        <v>44.548695571623597</v>
      </c>
      <c r="N1314">
        <v>50.667634845108502</v>
      </c>
      <c r="O1314">
        <v>50.389120127787898</v>
      </c>
      <c r="P1314">
        <v>-0.20508604825888599</v>
      </c>
      <c r="Q1314">
        <v>7.2108656506815305E-2</v>
      </c>
      <c r="R1314">
        <v>0.98787135203458099</v>
      </c>
      <c r="S1314" t="s">
        <v>7960</v>
      </c>
      <c r="T1314" t="s">
        <v>13290</v>
      </c>
      <c r="U1314" t="s">
        <v>13290</v>
      </c>
      <c r="V1314" t="s">
        <v>13290</v>
      </c>
      <c r="W1314" t="s">
        <v>14576</v>
      </c>
      <c r="X1314">
        <v>26</v>
      </c>
      <c r="Y1314" t="s">
        <v>21158</v>
      </c>
      <c r="Z1314" t="s">
        <v>27644</v>
      </c>
      <c r="AA1314">
        <v>0.39918450610980732</v>
      </c>
      <c r="AB1314" t="str">
        <f>HYPERLINK("Melting_Curves/meltCurve_O00203_AP3B1.pdf", "Melting_Curves/meltCurve_O00203_AP3B1.pdf")</f>
        <v>Melting_Curves/meltCurve_O00203_AP3B1.pdf</v>
      </c>
    </row>
    <row r="1315" spans="1:28" x14ac:dyDescent="0.25">
      <c r="A1315" t="s">
        <v>1319</v>
      </c>
      <c r="B1315">
        <v>0.99252571173614901</v>
      </c>
      <c r="C1315">
        <v>0.90451928198977405</v>
      </c>
      <c r="D1315">
        <v>0.93235710613117895</v>
      </c>
      <c r="E1315">
        <v>0.831791039960877</v>
      </c>
      <c r="F1315">
        <v>0.46620320722681502</v>
      </c>
      <c r="G1315">
        <v>0.18446200064639501</v>
      </c>
      <c r="H1315">
        <v>0.11561619144811699</v>
      </c>
      <c r="I1315">
        <v>0.121292403902442</v>
      </c>
      <c r="J1315">
        <v>0.179735434432967</v>
      </c>
      <c r="K1315">
        <v>0.18624885995628501</v>
      </c>
      <c r="L1315">
        <v>1482.1517861539</v>
      </c>
      <c r="M1315">
        <v>28.458846187569701</v>
      </c>
      <c r="N1315">
        <v>52.696891688721102</v>
      </c>
      <c r="O1315">
        <v>51.825410743858399</v>
      </c>
      <c r="P1315">
        <v>-0.117848659721528</v>
      </c>
      <c r="Q1315">
        <v>0.14156660733670801</v>
      </c>
      <c r="R1315">
        <v>0.98610876108963297</v>
      </c>
      <c r="S1315" t="s">
        <v>7961</v>
      </c>
      <c r="T1315" t="s">
        <v>13290</v>
      </c>
      <c r="U1315" t="s">
        <v>13290</v>
      </c>
      <c r="V1315" t="s">
        <v>13290</v>
      </c>
      <c r="W1315" t="s">
        <v>14577</v>
      </c>
      <c r="X1315">
        <v>9</v>
      </c>
      <c r="Y1315" t="s">
        <v>21159</v>
      </c>
      <c r="Z1315" t="s">
        <v>27645</v>
      </c>
      <c r="AA1315">
        <v>0.49333870912182909</v>
      </c>
      <c r="AB1315" t="str">
        <f>HYPERLINK("Melting_Curves/meltCurve_O00217_NDUFS8.pdf", "Melting_Curves/meltCurve_O00217_NDUFS8.pdf")</f>
        <v>Melting_Curves/meltCurve_O00217_NDUFS8.pdf</v>
      </c>
    </row>
    <row r="1316" spans="1:28" x14ac:dyDescent="0.25">
      <c r="A1316" t="s">
        <v>1320</v>
      </c>
      <c r="B1316">
        <v>0.99252571173614901</v>
      </c>
      <c r="C1316">
        <v>1.1078913222559601</v>
      </c>
      <c r="D1316">
        <v>1.0087448394827501</v>
      </c>
      <c r="E1316">
        <v>1.09922277487731</v>
      </c>
      <c r="F1316">
        <v>0.63653029419799501</v>
      </c>
      <c r="G1316">
        <v>0.49010769089505402</v>
      </c>
      <c r="H1316">
        <v>0.39181991197725602</v>
      </c>
      <c r="I1316">
        <v>0.549633231037156</v>
      </c>
      <c r="J1316">
        <v>0.86869791087825599</v>
      </c>
      <c r="K1316">
        <v>0.69553845914663504</v>
      </c>
      <c r="L1316">
        <v>13178.980691167</v>
      </c>
      <c r="M1316">
        <v>250</v>
      </c>
      <c r="O1316">
        <v>52.712549366739502</v>
      </c>
      <c r="P1316">
        <v>-0.475267030970348</v>
      </c>
      <c r="Q1316">
        <v>0.59915941169479103</v>
      </c>
      <c r="R1316">
        <v>0.74466182030921002</v>
      </c>
      <c r="S1316" t="s">
        <v>7962</v>
      </c>
      <c r="T1316" t="s">
        <v>13290</v>
      </c>
      <c r="U1316" t="s">
        <v>13290</v>
      </c>
      <c r="V1316" t="s">
        <v>13290</v>
      </c>
      <c r="W1316" t="s">
        <v>14578</v>
      </c>
      <c r="X1316">
        <v>5</v>
      </c>
      <c r="Y1316" t="s">
        <v>21160</v>
      </c>
      <c r="Z1316" t="s">
        <v>27646</v>
      </c>
      <c r="AA1316">
        <v>0.76909842777305715</v>
      </c>
      <c r="AB1316" t="str">
        <f>HYPERLINK("Melting_Curves/meltCurve_O00220_TNFRSF10A.pdf", "Melting_Curves/meltCurve_O00220_TNFRSF10A.pdf")</f>
        <v>Melting_Curves/meltCurve_O00220_TNFRSF10A.pdf</v>
      </c>
    </row>
    <row r="1317" spans="1:28" x14ac:dyDescent="0.25">
      <c r="A1317" t="s">
        <v>1321</v>
      </c>
      <c r="B1317">
        <v>0.99252571173614901</v>
      </c>
      <c r="C1317">
        <v>0.981060765582904</v>
      </c>
      <c r="D1317">
        <v>0.77524040084335799</v>
      </c>
      <c r="E1317">
        <v>0.42173835185349401</v>
      </c>
      <c r="F1317">
        <v>0.19809460340426499</v>
      </c>
      <c r="G1317">
        <v>0.133836076184978</v>
      </c>
      <c r="H1317">
        <v>0.11313733788702</v>
      </c>
      <c r="I1317">
        <v>0.12046037046734</v>
      </c>
      <c r="J1317">
        <v>0.14164549664831699</v>
      </c>
      <c r="K1317">
        <v>0.15813970657338</v>
      </c>
      <c r="L1317">
        <v>1199.3138067054499</v>
      </c>
      <c r="M1317">
        <v>24.9210440199363</v>
      </c>
      <c r="N1317">
        <v>48.704968602695601</v>
      </c>
      <c r="O1317">
        <v>47.817884244228999</v>
      </c>
      <c r="P1317">
        <v>-0.11355424224735999</v>
      </c>
      <c r="Q1317">
        <v>0.128471709902854</v>
      </c>
      <c r="R1317">
        <v>0.99792674013001403</v>
      </c>
      <c r="S1317" t="s">
        <v>7963</v>
      </c>
      <c r="T1317" t="s">
        <v>13290</v>
      </c>
      <c r="U1317" t="s">
        <v>13290</v>
      </c>
      <c r="V1317" t="s">
        <v>13290</v>
      </c>
      <c r="W1317" t="s">
        <v>14579</v>
      </c>
      <c r="X1317">
        <v>6</v>
      </c>
      <c r="Y1317" t="s">
        <v>21161</v>
      </c>
      <c r="Z1317" t="s">
        <v>27647</v>
      </c>
      <c r="AA1317">
        <v>0.37225056069621332</v>
      </c>
      <c r="AB1317" t="str">
        <f>HYPERLINK("Melting_Curves/meltCurve_O00221_NFKBIE.pdf", "Melting_Curves/meltCurve_O00221_NFKBIE.pdf")</f>
        <v>Melting_Curves/meltCurve_O00221_NFKBIE.pdf</v>
      </c>
    </row>
    <row r="1318" spans="1:28" x14ac:dyDescent="0.25">
      <c r="A1318" t="s">
        <v>1322</v>
      </c>
      <c r="B1318">
        <v>0.99252571173614901</v>
      </c>
      <c r="C1318">
        <v>0.84742494035665294</v>
      </c>
      <c r="D1318">
        <v>1.141364051287</v>
      </c>
      <c r="E1318">
        <v>0.76978941795495903</v>
      </c>
      <c r="F1318">
        <v>0.52255588559245802</v>
      </c>
      <c r="G1318">
        <v>0.19092266786853099</v>
      </c>
      <c r="H1318">
        <v>9.4236975047484503E-2</v>
      </c>
      <c r="I1318">
        <v>0.10507533554915501</v>
      </c>
      <c r="J1318">
        <v>9.7024536397620501E-2</v>
      </c>
      <c r="K1318">
        <v>8.9400745977623694E-2</v>
      </c>
      <c r="L1318">
        <v>1320.04662797065</v>
      </c>
      <c r="M1318">
        <v>25.063405076138299</v>
      </c>
      <c r="N1318">
        <v>53.055219225815399</v>
      </c>
      <c r="O1318">
        <v>52.336423903199297</v>
      </c>
      <c r="P1318">
        <v>-0.109723914519378</v>
      </c>
      <c r="Q1318">
        <v>8.3527312874511594E-2</v>
      </c>
      <c r="R1318">
        <v>0.96423369247319402</v>
      </c>
      <c r="S1318" t="s">
        <v>7964</v>
      </c>
      <c r="T1318" t="s">
        <v>13290</v>
      </c>
      <c r="U1318" t="s">
        <v>13290</v>
      </c>
      <c r="V1318" t="s">
        <v>13290</v>
      </c>
      <c r="W1318" t="s">
        <v>14580</v>
      </c>
      <c r="X1318">
        <v>17</v>
      </c>
      <c r="Y1318" t="s">
        <v>21162</v>
      </c>
      <c r="Z1318" t="s">
        <v>27648</v>
      </c>
      <c r="AA1318">
        <v>0.4789085782737324</v>
      </c>
      <c r="AB1318" t="str">
        <f>HYPERLINK("Melting_Curves/meltCurve_O00231_PSMD11.pdf", "Melting_Curves/meltCurve_O00231_PSMD11.pdf")</f>
        <v>Melting_Curves/meltCurve_O00231_PSMD11.pdf</v>
      </c>
    </row>
    <row r="1319" spans="1:28" x14ac:dyDescent="0.25">
      <c r="A1319" t="s">
        <v>1323</v>
      </c>
      <c r="B1319">
        <v>0.99252571173614901</v>
      </c>
      <c r="C1319">
        <v>0.77092717404143296</v>
      </c>
      <c r="D1319">
        <v>0.96847396656906704</v>
      </c>
      <c r="E1319">
        <v>0.70260220266101103</v>
      </c>
      <c r="F1319">
        <v>0.447777134006411</v>
      </c>
      <c r="G1319">
        <v>0.162303016842753</v>
      </c>
      <c r="H1319">
        <v>8.0529397474764799E-2</v>
      </c>
      <c r="I1319">
        <v>8.0723857607247401E-2</v>
      </c>
      <c r="J1319">
        <v>8.8962686816206005E-2</v>
      </c>
      <c r="K1319">
        <v>8.3909003847430705E-2</v>
      </c>
      <c r="L1319">
        <v>963.73823440872002</v>
      </c>
      <c r="M1319">
        <v>18.6174222423309</v>
      </c>
      <c r="N1319">
        <v>52.0862842823459</v>
      </c>
      <c r="O1319">
        <v>51.179244059322599</v>
      </c>
      <c r="P1319">
        <v>-8.6018578121742295E-2</v>
      </c>
      <c r="Q1319">
        <v>5.4181487204696302E-2</v>
      </c>
      <c r="R1319">
        <v>0.96162611782307705</v>
      </c>
      <c r="S1319" t="s">
        <v>7965</v>
      </c>
      <c r="T1319" t="s">
        <v>13290</v>
      </c>
      <c r="U1319" t="s">
        <v>13290</v>
      </c>
      <c r="V1319" t="s">
        <v>13290</v>
      </c>
      <c r="W1319" t="s">
        <v>14581</v>
      </c>
      <c r="X1319">
        <v>24</v>
      </c>
      <c r="Y1319" t="s">
        <v>21163</v>
      </c>
      <c r="Z1319" t="s">
        <v>27649</v>
      </c>
      <c r="AA1319">
        <v>0.43999972812814758</v>
      </c>
      <c r="AB1319" t="str">
        <f>HYPERLINK("Melting_Curves/meltCurve_O00232_PSMD12.pdf", "Melting_Curves/meltCurve_O00232_PSMD12.pdf")</f>
        <v>Melting_Curves/meltCurve_O00232_PSMD12.pdf</v>
      </c>
    </row>
    <row r="1320" spans="1:28" x14ac:dyDescent="0.25">
      <c r="A1320" t="s">
        <v>1324</v>
      </c>
      <c r="B1320">
        <v>0.99252571173614901</v>
      </c>
      <c r="C1320">
        <v>1.0538887852046801</v>
      </c>
      <c r="D1320">
        <v>0.93310647980629202</v>
      </c>
      <c r="E1320">
        <v>0.91121957299397405</v>
      </c>
      <c r="F1320">
        <v>0.71200481718494002</v>
      </c>
      <c r="G1320">
        <v>0.62799410747514695</v>
      </c>
      <c r="H1320">
        <v>0.60376395386269299</v>
      </c>
      <c r="I1320">
        <v>0.71084574864029904</v>
      </c>
      <c r="J1320">
        <v>0.95619484025439805</v>
      </c>
      <c r="K1320">
        <v>0.95548561655606401</v>
      </c>
      <c r="L1320">
        <v>12426.0702952136</v>
      </c>
      <c r="M1320">
        <v>250</v>
      </c>
      <c r="O1320">
        <v>49.701100683452701</v>
      </c>
      <c r="P1320">
        <v>-0.30048607961614898</v>
      </c>
      <c r="Q1320">
        <v>0.76104817911544898</v>
      </c>
      <c r="R1320">
        <v>0.46236701247747403</v>
      </c>
      <c r="S1320" t="s">
        <v>7966</v>
      </c>
      <c r="T1320" t="s">
        <v>13290</v>
      </c>
      <c r="U1320" t="s">
        <v>13290</v>
      </c>
      <c r="V1320" t="s">
        <v>13290</v>
      </c>
      <c r="W1320" t="s">
        <v>14582</v>
      </c>
      <c r="X1320">
        <v>10</v>
      </c>
      <c r="Y1320" t="s">
        <v>21164</v>
      </c>
      <c r="Z1320" t="s">
        <v>27650</v>
      </c>
      <c r="AA1320">
        <v>0.83836421155813801</v>
      </c>
      <c r="AB1320" t="str">
        <f>HYPERLINK("Melting_Curves/meltCurve_O00244_ATOX1.pdf", "Melting_Curves/meltCurve_O00244_ATOX1.pdf")</f>
        <v>Melting_Curves/meltCurve_O00244_ATOX1.pdf</v>
      </c>
    </row>
    <row r="1321" spans="1:28" x14ac:dyDescent="0.25">
      <c r="A1321" t="s">
        <v>1325</v>
      </c>
      <c r="B1321">
        <v>0.99252571173614901</v>
      </c>
      <c r="C1321">
        <v>0.95691206881002699</v>
      </c>
      <c r="D1321">
        <v>0.61542619080948202</v>
      </c>
      <c r="E1321">
        <v>0.49041228039490797</v>
      </c>
      <c r="F1321">
        <v>0.253612329165051</v>
      </c>
      <c r="G1321">
        <v>0.15620120944954499</v>
      </c>
      <c r="H1321">
        <v>0.15312870215136301</v>
      </c>
      <c r="I1321">
        <v>0.17045858105297701</v>
      </c>
      <c r="J1321">
        <v>0.248192143367993</v>
      </c>
      <c r="K1321">
        <v>0.25928682233318301</v>
      </c>
      <c r="L1321">
        <v>942.12896589587297</v>
      </c>
      <c r="M1321">
        <v>19.993544647749399</v>
      </c>
      <c r="N1321">
        <v>48.3078888441079</v>
      </c>
      <c r="O1321">
        <v>46.657852423226402</v>
      </c>
      <c r="P1321">
        <v>-8.6350696455991194E-2</v>
      </c>
      <c r="Q1321">
        <v>0.19397849349557</v>
      </c>
      <c r="R1321">
        <v>0.96817267552355901</v>
      </c>
      <c r="S1321" t="s">
        <v>7967</v>
      </c>
      <c r="T1321" t="s">
        <v>13290</v>
      </c>
      <c r="U1321" t="s">
        <v>13290</v>
      </c>
      <c r="V1321" t="s">
        <v>13290</v>
      </c>
      <c r="W1321" t="s">
        <v>14583</v>
      </c>
      <c r="X1321">
        <v>7</v>
      </c>
      <c r="Y1321" t="s">
        <v>21165</v>
      </c>
      <c r="Z1321" t="s">
        <v>27651</v>
      </c>
      <c r="AA1321">
        <v>0.39707126455190789</v>
      </c>
      <c r="AB1321" t="str">
        <f>HYPERLINK("Melting_Curves/meltCurve_O00257_CBX4.pdf", "Melting_Curves/meltCurve_O00257_CBX4.pdf")</f>
        <v>Melting_Curves/meltCurve_O00257_CBX4.pdf</v>
      </c>
    </row>
    <row r="1322" spans="1:28" x14ac:dyDescent="0.25">
      <c r="A1322" t="s">
        <v>1326</v>
      </c>
      <c r="B1322">
        <v>0.99252571173614901</v>
      </c>
      <c r="C1322">
        <v>0.90329256571203997</v>
      </c>
      <c r="D1322">
        <v>0.81891388858301595</v>
      </c>
      <c r="E1322">
        <v>0.73105658673868101</v>
      </c>
      <c r="F1322">
        <v>0.41872685436894203</v>
      </c>
      <c r="G1322">
        <v>0.303155855680595</v>
      </c>
      <c r="H1322">
        <v>0.26495118049238298</v>
      </c>
      <c r="I1322">
        <v>0.370537080789273</v>
      </c>
      <c r="J1322">
        <v>0.57690144471655502</v>
      </c>
      <c r="K1322">
        <v>0.529702743938819</v>
      </c>
      <c r="L1322">
        <v>1094.9102338673699</v>
      </c>
      <c r="M1322">
        <v>22.544023058035599</v>
      </c>
      <c r="N1322">
        <v>52.373462191279302</v>
      </c>
      <c r="O1322">
        <v>48.190358802580199</v>
      </c>
      <c r="P1322">
        <v>-6.9841637702059006E-2</v>
      </c>
      <c r="Q1322">
        <v>0.40283519782587102</v>
      </c>
      <c r="R1322">
        <v>0.82940475310607797</v>
      </c>
      <c r="S1322" t="s">
        <v>7968</v>
      </c>
      <c r="T1322" t="s">
        <v>13290</v>
      </c>
      <c r="U1322" t="s">
        <v>13290</v>
      </c>
      <c r="V1322" t="s">
        <v>13290</v>
      </c>
      <c r="W1322" t="s">
        <v>14584</v>
      </c>
      <c r="X1322">
        <v>13</v>
      </c>
      <c r="Y1322" t="s">
        <v>21166</v>
      </c>
      <c r="Z1322" t="s">
        <v>27652</v>
      </c>
      <c r="AA1322">
        <v>0.57993087431919399</v>
      </c>
      <c r="AB1322" t="str">
        <f>HYPERLINK("Melting_Curves/meltCurve_O00264_PGRMC1.pdf", "Melting_Curves/meltCurve_O00264_PGRMC1.pdf")</f>
        <v>Melting_Curves/meltCurve_O00264_PGRMC1.pdf</v>
      </c>
    </row>
    <row r="1323" spans="1:28" x14ac:dyDescent="0.25">
      <c r="A1323" t="s">
        <v>1327</v>
      </c>
      <c r="B1323">
        <v>0.99252571173614901</v>
      </c>
      <c r="C1323">
        <v>0.96933805254891203</v>
      </c>
      <c r="D1323">
        <v>0.82056966753369198</v>
      </c>
      <c r="E1323">
        <v>0.60801608840327404</v>
      </c>
      <c r="F1323">
        <v>0.15480386482358599</v>
      </c>
      <c r="G1323">
        <v>9.0792583499443302E-2</v>
      </c>
      <c r="H1323">
        <v>7.321735081123E-2</v>
      </c>
      <c r="I1323">
        <v>7.1877325295602396E-2</v>
      </c>
      <c r="J1323">
        <v>8.59636680988628E-2</v>
      </c>
      <c r="K1323">
        <v>8.2296853407508197E-2</v>
      </c>
      <c r="L1323">
        <v>1245.5968992436999</v>
      </c>
      <c r="M1323">
        <v>25.064160802878099</v>
      </c>
      <c r="N1323">
        <v>49.972078006094399</v>
      </c>
      <c r="O1323">
        <v>49.383223161879897</v>
      </c>
      <c r="P1323">
        <v>-0.118692997963547</v>
      </c>
      <c r="Q1323">
        <v>6.4582362266768306E-2</v>
      </c>
      <c r="R1323">
        <v>0.99067078395033104</v>
      </c>
      <c r="S1323" t="s">
        <v>7969</v>
      </c>
      <c r="T1323" t="s">
        <v>13290</v>
      </c>
      <c r="U1323" t="s">
        <v>13290</v>
      </c>
      <c r="V1323" t="s">
        <v>13290</v>
      </c>
      <c r="W1323" t="s">
        <v>14585</v>
      </c>
      <c r="X1323">
        <v>33</v>
      </c>
      <c r="Y1323" t="s">
        <v>21167</v>
      </c>
      <c r="Z1323" t="s">
        <v>27653</v>
      </c>
      <c r="AA1323">
        <v>0.37521233379616781</v>
      </c>
      <c r="AB1323" t="str">
        <f>HYPERLINK("Melting_Curves/meltCurve_O00267_2_SUPT5H.pdf", "Melting_Curves/meltCurve_O00267_2_SUPT5H.pdf")</f>
        <v>Melting_Curves/meltCurve_O00267_2_SUPT5H.pdf</v>
      </c>
    </row>
    <row r="1324" spans="1:28" x14ac:dyDescent="0.25">
      <c r="A1324" t="s">
        <v>1328</v>
      </c>
      <c r="B1324">
        <v>0.99252571173614901</v>
      </c>
      <c r="C1324">
        <v>1.08724619285077</v>
      </c>
      <c r="D1324">
        <v>1.00740646871216</v>
      </c>
      <c r="E1324">
        <v>0.94056952466039601</v>
      </c>
      <c r="F1324">
        <v>0.72237286181122196</v>
      </c>
      <c r="G1324">
        <v>0.43539088896452999</v>
      </c>
      <c r="H1324">
        <v>0.30363757875803299</v>
      </c>
      <c r="I1324">
        <v>0.30866823257914999</v>
      </c>
      <c r="J1324">
        <v>0.42654192154953402</v>
      </c>
      <c r="K1324">
        <v>0.44520413284689803</v>
      </c>
      <c r="L1324">
        <v>2016.70450625129</v>
      </c>
      <c r="M1324">
        <v>37.719374916596102</v>
      </c>
      <c r="N1324">
        <v>55.450447838521399</v>
      </c>
      <c r="O1324">
        <v>53.3163989492203</v>
      </c>
      <c r="P1324">
        <v>-0.11136118840861201</v>
      </c>
      <c r="Q1324">
        <v>0.37036480747179701</v>
      </c>
      <c r="R1324">
        <v>0.97031010129324402</v>
      </c>
      <c r="S1324" t="s">
        <v>7970</v>
      </c>
      <c r="T1324" t="s">
        <v>13290</v>
      </c>
      <c r="U1324" t="s">
        <v>13290</v>
      </c>
      <c r="V1324" t="s">
        <v>13290</v>
      </c>
      <c r="W1324" t="s">
        <v>14586</v>
      </c>
      <c r="X1324">
        <v>23</v>
      </c>
      <c r="Y1324" t="s">
        <v>21168</v>
      </c>
      <c r="Z1324" t="s">
        <v>27654</v>
      </c>
      <c r="AA1324">
        <v>0.65560042949992714</v>
      </c>
      <c r="AB1324" t="str">
        <f>HYPERLINK("Melting_Curves/meltCurve_O00273_DFFA.pdf", "Melting_Curves/meltCurve_O00273_DFFA.pdf")</f>
        <v>Melting_Curves/meltCurve_O00273_DFFA.pdf</v>
      </c>
    </row>
    <row r="1325" spans="1:28" x14ac:dyDescent="0.25">
      <c r="A1325" t="s">
        <v>1329</v>
      </c>
      <c r="B1325">
        <v>0.99252571173614901</v>
      </c>
      <c r="C1325">
        <v>1.18698510487719</v>
      </c>
      <c r="D1325">
        <v>1.0279193540906999</v>
      </c>
      <c r="E1325">
        <v>0.97624307457674897</v>
      </c>
      <c r="F1325">
        <v>0.56133740658602904</v>
      </c>
      <c r="G1325">
        <v>0.34811717100318801</v>
      </c>
      <c r="H1325">
        <v>0.252012146678739</v>
      </c>
      <c r="I1325">
        <v>0.27969589398607703</v>
      </c>
      <c r="J1325">
        <v>0.42175284774417499</v>
      </c>
      <c r="K1325">
        <v>0.430805412897038</v>
      </c>
      <c r="L1325">
        <v>3082.93542212384</v>
      </c>
      <c r="M1325">
        <v>58.663194551832397</v>
      </c>
      <c r="N1325">
        <v>53.623368466922699</v>
      </c>
      <c r="O1325">
        <v>52.492180010208202</v>
      </c>
      <c r="P1325">
        <v>-0.18301751861974</v>
      </c>
      <c r="Q1325">
        <v>0.34493958004462599</v>
      </c>
      <c r="R1325">
        <v>0.94601123230639295</v>
      </c>
      <c r="S1325" t="s">
        <v>7971</v>
      </c>
      <c r="T1325" t="s">
        <v>13290</v>
      </c>
      <c r="U1325" t="s">
        <v>13290</v>
      </c>
      <c r="V1325" t="s">
        <v>13290</v>
      </c>
      <c r="W1325" t="s">
        <v>14587</v>
      </c>
      <c r="X1325">
        <v>16</v>
      </c>
      <c r="Y1325" t="s">
        <v>21168</v>
      </c>
      <c r="Z1325" t="s">
        <v>27655</v>
      </c>
      <c r="AA1325">
        <v>0.6201433080259463</v>
      </c>
      <c r="AB1325" t="str">
        <f>HYPERLINK("Melting_Curves/meltCurve_O00273_2_DFFA.pdf", "Melting_Curves/meltCurve_O00273_2_DFFA.pdf")</f>
        <v>Melting_Curves/meltCurve_O00273_2_DFFA.pdf</v>
      </c>
    </row>
    <row r="1326" spans="1:28" x14ac:dyDescent="0.25">
      <c r="A1326" t="s">
        <v>1330</v>
      </c>
      <c r="B1326">
        <v>0.99252571173614901</v>
      </c>
      <c r="C1326">
        <v>0.99423285247566995</v>
      </c>
      <c r="D1326">
        <v>0.82165727672710498</v>
      </c>
      <c r="E1326">
        <v>0.78270989758107701</v>
      </c>
      <c r="F1326">
        <v>0.42153292866601699</v>
      </c>
      <c r="G1326">
        <v>0.37885433327359203</v>
      </c>
      <c r="H1326">
        <v>0.36838787368974901</v>
      </c>
      <c r="I1326">
        <v>0.51146250755312295</v>
      </c>
      <c r="J1326">
        <v>0.81248019864280097</v>
      </c>
      <c r="K1326">
        <v>1.04978532235001</v>
      </c>
      <c r="L1326">
        <v>1389.8617697173099</v>
      </c>
      <c r="M1326">
        <v>29.564295390814301</v>
      </c>
      <c r="O1326">
        <v>46.797962470572898</v>
      </c>
      <c r="P1326">
        <v>-6.2852353272418102E-2</v>
      </c>
      <c r="Q1326">
        <v>0.60204120824057705</v>
      </c>
      <c r="R1326">
        <v>0.37208918606971803</v>
      </c>
      <c r="S1326" t="s">
        <v>7972</v>
      </c>
      <c r="T1326" t="s">
        <v>13290</v>
      </c>
      <c r="U1326" t="s">
        <v>13290</v>
      </c>
      <c r="V1326" t="s">
        <v>13290</v>
      </c>
      <c r="W1326" t="s">
        <v>14588</v>
      </c>
      <c r="X1326">
        <v>4</v>
      </c>
      <c r="Y1326" t="s">
        <v>21169</v>
      </c>
      <c r="Z1326" t="s">
        <v>27656</v>
      </c>
      <c r="AA1326">
        <v>0.69751435493417491</v>
      </c>
      <c r="AB1326" t="str">
        <f>HYPERLINK("Melting_Curves/meltCurve_O00287_RFXAP.pdf", "Melting_Curves/meltCurve_O00287_RFXAP.pdf")</f>
        <v>Melting_Curves/meltCurve_O00287_RFXAP.pdf</v>
      </c>
    </row>
    <row r="1327" spans="1:28" x14ac:dyDescent="0.25">
      <c r="A1327" t="s">
        <v>1331</v>
      </c>
      <c r="B1327">
        <v>0.99252571173614901</v>
      </c>
      <c r="C1327">
        <v>1.0032832049857101</v>
      </c>
      <c r="D1327">
        <v>0.91517394338875402</v>
      </c>
      <c r="E1327">
        <v>0.678030713328163</v>
      </c>
      <c r="F1327">
        <v>0.184850038126354</v>
      </c>
      <c r="G1327">
        <v>0.117689117336316</v>
      </c>
      <c r="H1327">
        <v>8.6952952228893099E-2</v>
      </c>
      <c r="I1327">
        <v>9.0049615923290804E-2</v>
      </c>
      <c r="J1327">
        <v>0.12598439204619999</v>
      </c>
      <c r="K1327">
        <v>0.136742687396395</v>
      </c>
      <c r="L1327">
        <v>1909.7756209541801</v>
      </c>
      <c r="M1327">
        <v>38.0011023057165</v>
      </c>
      <c r="N1327">
        <v>50.574231395621197</v>
      </c>
      <c r="O1327">
        <v>50.117230869055703</v>
      </c>
      <c r="P1327">
        <v>-0.16939240015438001</v>
      </c>
      <c r="Q1327">
        <v>0.10639894241355501</v>
      </c>
      <c r="R1327">
        <v>0.99593793616470805</v>
      </c>
      <c r="S1327" t="s">
        <v>7973</v>
      </c>
      <c r="T1327" t="s">
        <v>13290</v>
      </c>
      <c r="U1327" t="s">
        <v>13290</v>
      </c>
      <c r="V1327" t="s">
        <v>13290</v>
      </c>
      <c r="W1327" t="s">
        <v>14589</v>
      </c>
      <c r="X1327">
        <v>20</v>
      </c>
      <c r="Y1327" t="s">
        <v>21170</v>
      </c>
      <c r="Z1327" t="s">
        <v>27657</v>
      </c>
      <c r="AA1327">
        <v>0.41532851954455291</v>
      </c>
      <c r="AB1327" t="str">
        <f>HYPERLINK("Melting_Curves/meltCurve_O00291_HIP1.pdf", "Melting_Curves/meltCurve_O00291_HIP1.pdf")</f>
        <v>Melting_Curves/meltCurve_O00291_HIP1.pdf</v>
      </c>
    </row>
    <row r="1328" spans="1:28" x14ac:dyDescent="0.25">
      <c r="A1328" t="s">
        <v>1332</v>
      </c>
      <c r="B1328">
        <v>0.99252571173614901</v>
      </c>
      <c r="C1328">
        <v>1.1638469454067299</v>
      </c>
      <c r="D1328">
        <v>0.85145188009519901</v>
      </c>
      <c r="E1328">
        <v>0.87366309200570302</v>
      </c>
      <c r="F1328">
        <v>0.39832604175366998</v>
      </c>
      <c r="G1328">
        <v>9.47580236450285E-2</v>
      </c>
      <c r="H1328">
        <v>5.3326842848991501E-2</v>
      </c>
      <c r="I1328">
        <v>4.9586317980044203E-2</v>
      </c>
      <c r="J1328">
        <v>5.6589350952411799E-2</v>
      </c>
      <c r="K1328">
        <v>5.6803424584657897E-2</v>
      </c>
      <c r="L1328">
        <v>1691.5304206277499</v>
      </c>
      <c r="M1328">
        <v>32.3521932379426</v>
      </c>
      <c r="N1328">
        <v>52.444500428974997</v>
      </c>
      <c r="O1328">
        <v>52.086323612411498</v>
      </c>
      <c r="P1328">
        <v>-0.148001417056351</v>
      </c>
      <c r="Q1328">
        <v>4.6888402700355297E-2</v>
      </c>
      <c r="R1328">
        <v>0.97536250268313995</v>
      </c>
      <c r="S1328" t="s">
        <v>7974</v>
      </c>
      <c r="T1328" t="s">
        <v>13290</v>
      </c>
      <c r="U1328" t="s">
        <v>13290</v>
      </c>
      <c r="V1328" t="s">
        <v>13290</v>
      </c>
      <c r="W1328" t="s">
        <v>14590</v>
      </c>
      <c r="X1328">
        <v>22</v>
      </c>
      <c r="Y1328" t="s">
        <v>21171</v>
      </c>
      <c r="Z1328" t="s">
        <v>27658</v>
      </c>
      <c r="AA1328">
        <v>0.44244932876224968</v>
      </c>
      <c r="AB1328" t="str">
        <f>HYPERLINK("Melting_Curves/meltCurve_O00299_CLIC1.pdf", "Melting_Curves/meltCurve_O00299_CLIC1.pdf")</f>
        <v>Melting_Curves/meltCurve_O00299_CLIC1.pdf</v>
      </c>
    </row>
    <row r="1329" spans="1:28" x14ac:dyDescent="0.25">
      <c r="A1329" t="s">
        <v>1333</v>
      </c>
      <c r="B1329">
        <v>0.99252571173614901</v>
      </c>
      <c r="C1329">
        <v>1.0377492437632601</v>
      </c>
      <c r="D1329">
        <v>0.93156510478809396</v>
      </c>
      <c r="E1329">
        <v>0.78480308987325298</v>
      </c>
      <c r="F1329">
        <v>0.60962788021621706</v>
      </c>
      <c r="G1329">
        <v>0.39381218977198901</v>
      </c>
      <c r="H1329">
        <v>0.224893698396396</v>
      </c>
      <c r="I1329">
        <v>0.19229384231765001</v>
      </c>
      <c r="J1329">
        <v>0.13289545429675501</v>
      </c>
      <c r="K1329">
        <v>0.104984086721346</v>
      </c>
      <c r="L1329">
        <v>780.32531843315098</v>
      </c>
      <c r="M1329">
        <v>14.4085096474673</v>
      </c>
      <c r="N1329">
        <v>54.8254823516532</v>
      </c>
      <c r="O1329">
        <v>53.146127418902601</v>
      </c>
      <c r="P1329">
        <v>-6.23271889795508E-2</v>
      </c>
      <c r="Q1329">
        <v>8.0527934276878405E-2</v>
      </c>
      <c r="R1329">
        <v>0.99627688201325104</v>
      </c>
      <c r="S1329" t="s">
        <v>7975</v>
      </c>
      <c r="T1329" t="s">
        <v>13290</v>
      </c>
      <c r="U1329" t="s">
        <v>13290</v>
      </c>
      <c r="V1329" t="s">
        <v>13290</v>
      </c>
      <c r="W1329" t="s">
        <v>14591</v>
      </c>
      <c r="X1329">
        <v>2</v>
      </c>
      <c r="Y1329" t="s">
        <v>21172</v>
      </c>
      <c r="Z1329" t="s">
        <v>27659</v>
      </c>
      <c r="AA1329">
        <v>0.53405023947796026</v>
      </c>
      <c r="AB1329" t="str">
        <f>HYPERLINK("Melting_Curves/meltCurve_O00300_TNFRSF11B.pdf", "Melting_Curves/meltCurve_O00300_TNFRSF11B.pdf")</f>
        <v>Melting_Curves/meltCurve_O00300_TNFRSF11B.pdf</v>
      </c>
    </row>
    <row r="1330" spans="1:28" x14ac:dyDescent="0.25">
      <c r="A1330" t="s">
        <v>1334</v>
      </c>
      <c r="B1330">
        <v>0.99252571173614901</v>
      </c>
      <c r="C1330">
        <v>1.0651508260669</v>
      </c>
      <c r="D1330">
        <v>1.14500904711149</v>
      </c>
      <c r="E1330">
        <v>2.7269956096900501</v>
      </c>
      <c r="F1330">
        <v>1.37387786279566</v>
      </c>
      <c r="G1330">
        <v>1.39137784368023</v>
      </c>
      <c r="H1330">
        <v>0.97502544133689595</v>
      </c>
      <c r="I1330">
        <v>0.26463423171411599</v>
      </c>
      <c r="J1330">
        <v>0.15760308227328901</v>
      </c>
      <c r="K1330">
        <v>0.136787078292013</v>
      </c>
      <c r="L1330">
        <v>6485.1136534208699</v>
      </c>
      <c r="M1330">
        <v>103.156804995477</v>
      </c>
      <c r="N1330">
        <v>63.0785404102093</v>
      </c>
      <c r="O1330">
        <v>62.842960644182099</v>
      </c>
      <c r="P1330">
        <v>-0.350264273063292</v>
      </c>
      <c r="Q1330">
        <v>0.14647850602444901</v>
      </c>
      <c r="R1330">
        <v>0.37619364293779201</v>
      </c>
      <c r="S1330" t="s">
        <v>7976</v>
      </c>
      <c r="T1330" t="s">
        <v>13290</v>
      </c>
      <c r="U1330" t="s">
        <v>13290</v>
      </c>
      <c r="V1330" t="s">
        <v>13290</v>
      </c>
      <c r="W1330" t="s">
        <v>14592</v>
      </c>
      <c r="X1330">
        <v>2</v>
      </c>
      <c r="Y1330" t="s">
        <v>21173</v>
      </c>
      <c r="Z1330" t="s">
        <v>27660</v>
      </c>
      <c r="AA1330">
        <v>0.79760165638156599</v>
      </c>
      <c r="AB1330" t="str">
        <f>HYPERLINK("Melting_Curves/meltCurve_O00308_WWP2.pdf", "Melting_Curves/meltCurve_O00308_WWP2.pdf")</f>
        <v>Melting_Curves/meltCurve_O00308_WWP2.pdf</v>
      </c>
    </row>
    <row r="1331" spans="1:28" x14ac:dyDescent="0.25">
      <c r="A1331" t="s">
        <v>1335</v>
      </c>
      <c r="B1331">
        <v>0.99252571173614901</v>
      </c>
      <c r="C1331">
        <v>0.97758857201182003</v>
      </c>
      <c r="D1331">
        <v>0.74176705292724998</v>
      </c>
      <c r="E1331">
        <v>0.69955323121135504</v>
      </c>
      <c r="F1331">
        <v>0.84726666916761195</v>
      </c>
      <c r="G1331">
        <v>0.46316004826072099</v>
      </c>
      <c r="H1331">
        <v>0.23514041881213499</v>
      </c>
      <c r="I1331">
        <v>0.187444293365325</v>
      </c>
      <c r="J1331">
        <v>0.16850620047540299</v>
      </c>
      <c r="K1331">
        <v>0.13450135032228899</v>
      </c>
      <c r="L1331">
        <v>554.28007721506003</v>
      </c>
      <c r="M1331">
        <v>9.88889973002909</v>
      </c>
      <c r="N1331">
        <v>56.050725515474198</v>
      </c>
      <c r="O1331">
        <v>53.903003459486499</v>
      </c>
      <c r="P1331">
        <v>-4.5887596424305302E-2</v>
      </c>
      <c r="Q1331">
        <v>0</v>
      </c>
      <c r="R1331">
        <v>0.91923981315634395</v>
      </c>
      <c r="S1331" t="s">
        <v>7977</v>
      </c>
      <c r="T1331" t="s">
        <v>13290</v>
      </c>
      <c r="U1331" t="s">
        <v>13290</v>
      </c>
      <c r="V1331" t="s">
        <v>13290</v>
      </c>
      <c r="W1331" t="s">
        <v>14593</v>
      </c>
      <c r="X1331">
        <v>17</v>
      </c>
      <c r="Y1331" t="s">
        <v>21174</v>
      </c>
      <c r="Z1331" t="s">
        <v>27661</v>
      </c>
      <c r="AA1331">
        <v>0.55585537629264392</v>
      </c>
      <c r="AB1331" t="str">
        <f>HYPERLINK("Melting_Curves/meltCurve_O00330_PDHX.pdf", "Melting_Curves/meltCurve_O00330_PDHX.pdf")</f>
        <v>Melting_Curves/meltCurve_O00330_PDHX.pdf</v>
      </c>
    </row>
    <row r="1332" spans="1:28" x14ac:dyDescent="0.25">
      <c r="A1332" t="s">
        <v>1336</v>
      </c>
      <c r="B1332">
        <v>0.99252571173614901</v>
      </c>
      <c r="C1332">
        <v>1.0432145735918901</v>
      </c>
      <c r="D1332">
        <v>0.97659196227123801</v>
      </c>
      <c r="E1332">
        <v>1.0127355198124699</v>
      </c>
      <c r="F1332">
        <v>0.85968997070726105</v>
      </c>
      <c r="G1332">
        <v>0.71164968369360004</v>
      </c>
      <c r="H1332">
        <v>0.58400388816832005</v>
      </c>
      <c r="I1332">
        <v>0.54205098191616596</v>
      </c>
      <c r="J1332">
        <v>0.51705640894710703</v>
      </c>
      <c r="K1332">
        <v>0.34049169861536999</v>
      </c>
      <c r="L1332">
        <v>774.87637124563196</v>
      </c>
      <c r="M1332">
        <v>13.158399056040301</v>
      </c>
      <c r="N1332">
        <v>64.376799281256297</v>
      </c>
      <c r="O1332">
        <v>57.578058371238498</v>
      </c>
      <c r="P1332">
        <v>-3.7876510528560697E-2</v>
      </c>
      <c r="Q1332">
        <v>0.33715690756366901</v>
      </c>
      <c r="R1332">
        <v>0.96665274548786695</v>
      </c>
      <c r="S1332" t="s">
        <v>7978</v>
      </c>
      <c r="T1332" t="s">
        <v>13290</v>
      </c>
      <c r="U1332" t="s">
        <v>13290</v>
      </c>
      <c r="V1332" t="s">
        <v>13290</v>
      </c>
      <c r="W1332" t="s">
        <v>14594</v>
      </c>
      <c r="X1332">
        <v>13</v>
      </c>
      <c r="Y1332" t="s">
        <v>21175</v>
      </c>
      <c r="Z1332" t="s">
        <v>27662</v>
      </c>
      <c r="AA1332">
        <v>0.76100647625192108</v>
      </c>
      <c r="AB1332" t="str">
        <f>HYPERLINK("Melting_Curves/meltCurve_O00391_QSOX1.pdf", "Melting_Curves/meltCurve_O00391_QSOX1.pdf")</f>
        <v>Melting_Curves/meltCurve_O00391_QSOX1.pdf</v>
      </c>
    </row>
    <row r="1333" spans="1:28" x14ac:dyDescent="0.25">
      <c r="A1333" t="s">
        <v>1337</v>
      </c>
      <c r="B1333">
        <v>0.99252571173614901</v>
      </c>
      <c r="C1333">
        <v>1.04121619840792</v>
      </c>
      <c r="D1333">
        <v>1.23563645693197</v>
      </c>
      <c r="E1333">
        <v>1.29693490414969</v>
      </c>
      <c r="F1333">
        <v>0.99583880670464398</v>
      </c>
      <c r="G1333">
        <v>0.79811078095811305</v>
      </c>
      <c r="H1333">
        <v>0.93663720367644099</v>
      </c>
      <c r="I1333">
        <v>1.23248230793949</v>
      </c>
      <c r="J1333">
        <v>0.93219141988683396</v>
      </c>
      <c r="K1333">
        <v>0.376732813624367</v>
      </c>
      <c r="L1333">
        <v>15000</v>
      </c>
      <c r="M1333">
        <v>221.44286930038601</v>
      </c>
      <c r="N1333">
        <v>68.167417926389902</v>
      </c>
      <c r="O1333">
        <v>67.732037430761196</v>
      </c>
      <c r="P1333">
        <v>-0.50982389551088303</v>
      </c>
      <c r="Q1333">
        <v>0.37624704835474498</v>
      </c>
      <c r="R1333">
        <v>0.61513094085793496</v>
      </c>
      <c r="S1333" t="s">
        <v>7979</v>
      </c>
      <c r="T1333" t="s">
        <v>13290</v>
      </c>
      <c r="U1333" t="s">
        <v>13290</v>
      </c>
      <c r="V1333" t="s">
        <v>13290</v>
      </c>
      <c r="W1333" t="s">
        <v>14595</v>
      </c>
      <c r="X1333">
        <v>4</v>
      </c>
      <c r="Y1333" t="s">
        <v>21176</v>
      </c>
      <c r="Z1333" t="s">
        <v>27663</v>
      </c>
      <c r="AA1333">
        <v>0.95304908601975435</v>
      </c>
      <c r="AB1333" t="str">
        <f>HYPERLINK("Melting_Curves/meltCurve_O00399_DCTN6.pdf", "Melting_Curves/meltCurve_O00399_DCTN6.pdf")</f>
        <v>Melting_Curves/meltCurve_O00399_DCTN6.pdf</v>
      </c>
    </row>
    <row r="1334" spans="1:28" x14ac:dyDescent="0.25">
      <c r="A1334" t="s">
        <v>1338</v>
      </c>
      <c r="B1334">
        <v>0.99252571173614901</v>
      </c>
      <c r="C1334">
        <v>0.98539504115663401</v>
      </c>
      <c r="D1334">
        <v>0.90035662062459199</v>
      </c>
      <c r="E1334">
        <v>0.92763057920016401</v>
      </c>
      <c r="F1334">
        <v>0.68532588006309703</v>
      </c>
      <c r="G1334">
        <v>0.50075581947387604</v>
      </c>
      <c r="H1334">
        <v>0.42919932042092901</v>
      </c>
      <c r="I1334">
        <v>0.35217401417010102</v>
      </c>
      <c r="J1334">
        <v>0.28732871819852701</v>
      </c>
      <c r="K1334">
        <v>0.28983960176441698</v>
      </c>
      <c r="L1334">
        <v>820.038434479491</v>
      </c>
      <c r="M1334">
        <v>15.0265945545425</v>
      </c>
      <c r="N1334">
        <v>57.484628163703597</v>
      </c>
      <c r="O1334">
        <v>53.633333564904298</v>
      </c>
      <c r="P1334">
        <v>-5.1384814201679403E-2</v>
      </c>
      <c r="Q1334">
        <v>0.26645724149142702</v>
      </c>
      <c r="R1334">
        <v>0.98753819468256998</v>
      </c>
      <c r="S1334" t="s">
        <v>7980</v>
      </c>
      <c r="T1334" t="s">
        <v>13290</v>
      </c>
      <c r="U1334" t="s">
        <v>13290</v>
      </c>
      <c r="V1334" t="s">
        <v>13290</v>
      </c>
      <c r="W1334" t="s">
        <v>14596</v>
      </c>
      <c r="X1334">
        <v>6</v>
      </c>
      <c r="Y1334" t="s">
        <v>21177</v>
      </c>
      <c r="Z1334" t="s">
        <v>27664</v>
      </c>
      <c r="AA1334">
        <v>0.63730173972031789</v>
      </c>
      <c r="AB1334" t="str">
        <f>HYPERLINK("Melting_Curves/meltCurve_O00400_SLC33A1.pdf", "Melting_Curves/meltCurve_O00400_SLC33A1.pdf")</f>
        <v>Melting_Curves/meltCurve_O00400_SLC33A1.pdf</v>
      </c>
    </row>
    <row r="1335" spans="1:28" x14ac:dyDescent="0.25">
      <c r="A1335" t="s">
        <v>1339</v>
      </c>
      <c r="B1335">
        <v>0.99252571173614901</v>
      </c>
      <c r="C1335">
        <v>1.0154920264140901</v>
      </c>
      <c r="D1335">
        <v>0.93361258245731205</v>
      </c>
      <c r="E1335">
        <v>0.60649199841637702</v>
      </c>
      <c r="F1335">
        <v>0.30179873579423899</v>
      </c>
      <c r="G1335">
        <v>0.17114142647282399</v>
      </c>
      <c r="H1335">
        <v>0.16786405132586699</v>
      </c>
      <c r="I1335">
        <v>0.18901611661843801</v>
      </c>
      <c r="J1335">
        <v>0.30912722576309398</v>
      </c>
      <c r="K1335">
        <v>0.27648397311155098</v>
      </c>
      <c r="L1335">
        <v>1691.3796544884699</v>
      </c>
      <c r="M1335">
        <v>34.1411143873963</v>
      </c>
      <c r="N1335">
        <v>50.411634498158598</v>
      </c>
      <c r="O1335">
        <v>49.371804184635501</v>
      </c>
      <c r="P1335">
        <v>-0.134367198406462</v>
      </c>
      <c r="Q1335">
        <v>0.22276408337163001</v>
      </c>
      <c r="R1335">
        <v>0.98329312476758202</v>
      </c>
      <c r="S1335" t="s">
        <v>7981</v>
      </c>
      <c r="T1335" t="s">
        <v>13290</v>
      </c>
      <c r="U1335" t="s">
        <v>13290</v>
      </c>
      <c r="V1335" t="s">
        <v>13290</v>
      </c>
      <c r="W1335" t="s">
        <v>14597</v>
      </c>
      <c r="X1335">
        <v>12</v>
      </c>
      <c r="Y1335" t="s">
        <v>21178</v>
      </c>
      <c r="Z1335" t="s">
        <v>27665</v>
      </c>
      <c r="AA1335">
        <v>0.47361672522512838</v>
      </c>
      <c r="AB1335" t="str">
        <f>HYPERLINK("Melting_Curves/meltCurve_O00401_WASL.pdf", "Melting_Curves/meltCurve_O00401_WASL.pdf")</f>
        <v>Melting_Curves/meltCurve_O00401_WASL.pdf</v>
      </c>
    </row>
    <row r="1336" spans="1:28" x14ac:dyDescent="0.25">
      <c r="A1336" t="s">
        <v>1340</v>
      </c>
      <c r="B1336">
        <v>0.99252571173614901</v>
      </c>
      <c r="C1336">
        <v>0.94878617918839403</v>
      </c>
      <c r="D1336">
        <v>0.97481229353351595</v>
      </c>
      <c r="E1336">
        <v>0.733456711751035</v>
      </c>
      <c r="F1336">
        <v>0.230049800658955</v>
      </c>
      <c r="G1336">
        <v>9.3903284431223796E-2</v>
      </c>
      <c r="H1336">
        <v>5.5761869058208798E-2</v>
      </c>
      <c r="I1336">
        <v>5.3520433599635903E-2</v>
      </c>
      <c r="J1336">
        <v>5.7462181409372301E-2</v>
      </c>
      <c r="K1336">
        <v>5.37098003039473E-2</v>
      </c>
      <c r="L1336">
        <v>1736.3533031412701</v>
      </c>
      <c r="M1336">
        <v>34.089051358179901</v>
      </c>
      <c r="N1336">
        <v>51.112994864906803</v>
      </c>
      <c r="O1336">
        <v>50.761480321760899</v>
      </c>
      <c r="P1336">
        <v>-0.15853380664018599</v>
      </c>
      <c r="Q1336">
        <v>5.5722793444310102E-2</v>
      </c>
      <c r="R1336">
        <v>0.998398753131019</v>
      </c>
      <c r="S1336" t="s">
        <v>7982</v>
      </c>
      <c r="T1336" t="s">
        <v>13290</v>
      </c>
      <c r="U1336" t="s">
        <v>13290</v>
      </c>
      <c r="V1336" t="s">
        <v>13290</v>
      </c>
      <c r="W1336" t="s">
        <v>14598</v>
      </c>
      <c r="X1336">
        <v>50</v>
      </c>
      <c r="Y1336" t="s">
        <v>21179</v>
      </c>
      <c r="Z1336" t="s">
        <v>27666</v>
      </c>
      <c r="AA1336">
        <v>0.40452506618170742</v>
      </c>
      <c r="AB1336" t="str">
        <f>HYPERLINK("Melting_Curves/meltCurve_O00410_IPO5.pdf", "Melting_Curves/meltCurve_O00410_IPO5.pdf")</f>
        <v>Melting_Curves/meltCurve_O00410_IPO5.pdf</v>
      </c>
    </row>
    <row r="1337" spans="1:28" x14ac:dyDescent="0.25">
      <c r="A1337" t="s">
        <v>1341</v>
      </c>
      <c r="B1337">
        <v>0.99252571173614901</v>
      </c>
      <c r="C1337">
        <v>0.94419138278767201</v>
      </c>
      <c r="D1337">
        <v>0.65205241666666103</v>
      </c>
      <c r="E1337">
        <v>0.40247867053228698</v>
      </c>
      <c r="F1337">
        <v>0.17122521189718301</v>
      </c>
      <c r="G1337">
        <v>8.5762772485381403E-2</v>
      </c>
      <c r="H1337">
        <v>7.0857597632246597E-2</v>
      </c>
      <c r="I1337">
        <v>9.6259431766505907E-2</v>
      </c>
      <c r="J1337">
        <v>0.150533998902004</v>
      </c>
      <c r="K1337">
        <v>0.232708168768788</v>
      </c>
      <c r="L1337">
        <v>1050.2492862085801</v>
      </c>
      <c r="M1337">
        <v>22.217207786440699</v>
      </c>
      <c r="N1337">
        <v>47.8799657741001</v>
      </c>
      <c r="O1337">
        <v>46.893904274826802</v>
      </c>
      <c r="P1337">
        <v>-0.10388664184102001</v>
      </c>
      <c r="Q1337">
        <v>0.12292387290083499</v>
      </c>
      <c r="R1337">
        <v>0.97774215487306604</v>
      </c>
      <c r="S1337" t="s">
        <v>7983</v>
      </c>
      <c r="T1337" t="s">
        <v>13290</v>
      </c>
      <c r="U1337" t="s">
        <v>13290</v>
      </c>
      <c r="V1337" t="s">
        <v>13290</v>
      </c>
      <c r="W1337" t="s">
        <v>14599</v>
      </c>
      <c r="X1337">
        <v>8</v>
      </c>
      <c r="Y1337" t="s">
        <v>21180</v>
      </c>
      <c r="Z1337" t="s">
        <v>27667</v>
      </c>
      <c r="AA1337">
        <v>0.34561804641623178</v>
      </c>
      <c r="AB1337" t="str">
        <f>HYPERLINK("Melting_Curves/meltCurve_O00422_SAP18.pdf", "Melting_Curves/meltCurve_O00422_SAP18.pdf")</f>
        <v>Melting_Curves/meltCurve_O00422_SAP18.pdf</v>
      </c>
    </row>
    <row r="1338" spans="1:28" x14ac:dyDescent="0.25">
      <c r="A1338" t="s">
        <v>1342</v>
      </c>
      <c r="B1338">
        <v>0.99252571173614901</v>
      </c>
      <c r="C1338">
        <v>1.00048561724843</v>
      </c>
      <c r="D1338">
        <v>0.99651944686622695</v>
      </c>
      <c r="E1338">
        <v>0.91115386624707195</v>
      </c>
      <c r="F1338">
        <v>0.15524300309769101</v>
      </c>
      <c r="G1338">
        <v>9.2117354043938102E-2</v>
      </c>
      <c r="H1338">
        <v>5.95093169742726E-2</v>
      </c>
      <c r="I1338">
        <v>6.1626566225292202E-2</v>
      </c>
      <c r="J1338">
        <v>7.4131408055459203E-2</v>
      </c>
      <c r="K1338">
        <v>6.94097498641955E-2</v>
      </c>
      <c r="L1338">
        <v>3323.5050027613902</v>
      </c>
      <c r="M1338">
        <v>64.764340152090796</v>
      </c>
      <c r="N1338">
        <v>51.438249273800402</v>
      </c>
      <c r="O1338">
        <v>51.268033470974999</v>
      </c>
      <c r="P1338">
        <v>-0.29344057018391001</v>
      </c>
      <c r="Q1338">
        <v>7.0839454000860502E-2</v>
      </c>
      <c r="R1338">
        <v>0.99964824067078195</v>
      </c>
      <c r="S1338" t="s">
        <v>7984</v>
      </c>
      <c r="T1338" t="s">
        <v>13290</v>
      </c>
      <c r="U1338" t="s">
        <v>13290</v>
      </c>
      <c r="V1338" t="s">
        <v>13290</v>
      </c>
      <c r="W1338" t="s">
        <v>14600</v>
      </c>
      <c r="X1338">
        <v>41</v>
      </c>
      <c r="Y1338" t="s">
        <v>21181</v>
      </c>
      <c r="Z1338" t="s">
        <v>27668</v>
      </c>
      <c r="AA1338">
        <v>0.4225973714235976</v>
      </c>
      <c r="AB1338" t="str">
        <f>HYPERLINK("Melting_Curves/meltCurve_O00429_3_DNM1L.pdf", "Melting_Curves/meltCurve_O00429_3_DNM1L.pdf")</f>
        <v>Melting_Curves/meltCurve_O00429_3_DNM1L.pdf</v>
      </c>
    </row>
    <row r="1339" spans="1:28" x14ac:dyDescent="0.25">
      <c r="A1339" t="s">
        <v>1343</v>
      </c>
      <c r="B1339">
        <v>0.99252571173614901</v>
      </c>
      <c r="C1339">
        <v>1.04146519940904</v>
      </c>
      <c r="D1339">
        <v>1.0103957246841</v>
      </c>
      <c r="E1339">
        <v>1.0039783345098601</v>
      </c>
      <c r="F1339">
        <v>9.7902601741540404E-2</v>
      </c>
      <c r="G1339">
        <v>6.2348641258771903E-2</v>
      </c>
      <c r="H1339">
        <v>3.4884444860963697E-2</v>
      </c>
      <c r="I1339">
        <v>4.26353404347556E-2</v>
      </c>
      <c r="J1339">
        <v>5.4619421089512503E-2</v>
      </c>
      <c r="K1339">
        <v>4.5051554595668702E-2</v>
      </c>
      <c r="L1339">
        <v>13146.102808343099</v>
      </c>
      <c r="M1339">
        <v>250</v>
      </c>
      <c r="N1339">
        <v>52.605583557698097</v>
      </c>
      <c r="O1339">
        <v>52.581046671836397</v>
      </c>
      <c r="P1339">
        <v>-1.13169596805974</v>
      </c>
      <c r="Q1339">
        <v>4.79078737853596E-2</v>
      </c>
      <c r="R1339">
        <v>0.99892640607621697</v>
      </c>
      <c r="S1339" t="s">
        <v>7985</v>
      </c>
      <c r="T1339" t="s">
        <v>13290</v>
      </c>
      <c r="U1339" t="s">
        <v>13290</v>
      </c>
      <c r="V1339" t="s">
        <v>13290</v>
      </c>
      <c r="W1339" t="s">
        <v>14601</v>
      </c>
      <c r="X1339">
        <v>41</v>
      </c>
      <c r="Y1339" t="s">
        <v>21181</v>
      </c>
      <c r="Z1339" t="s">
        <v>27669</v>
      </c>
      <c r="AA1339">
        <v>0.44737969905037628</v>
      </c>
      <c r="AB1339" t="str">
        <f>HYPERLINK("Melting_Curves/meltCurve_O00429_4_DNM1L.pdf", "Melting_Curves/meltCurve_O00429_4_DNM1L.pdf")</f>
        <v>Melting_Curves/meltCurve_O00429_4_DNM1L.pdf</v>
      </c>
    </row>
    <row r="1340" spans="1:28" x14ac:dyDescent="0.25">
      <c r="A1340" t="s">
        <v>1344</v>
      </c>
      <c r="B1340">
        <v>0.99252571173614901</v>
      </c>
      <c r="C1340">
        <v>1.0197997099960301</v>
      </c>
      <c r="D1340">
        <v>0.91002307149807704</v>
      </c>
      <c r="E1340">
        <v>0.656406678958115</v>
      </c>
      <c r="F1340">
        <v>0.34288904430121198</v>
      </c>
      <c r="G1340">
        <v>0.14450118951954599</v>
      </c>
      <c r="H1340">
        <v>9.7527977875943306E-2</v>
      </c>
      <c r="I1340">
        <v>6.85431524542858E-2</v>
      </c>
      <c r="J1340">
        <v>6.0674813054260902E-2</v>
      </c>
      <c r="K1340">
        <v>5.5823648191645897E-2</v>
      </c>
      <c r="L1340">
        <v>1078.5891699706899</v>
      </c>
      <c r="M1340">
        <v>21.153454664120801</v>
      </c>
      <c r="N1340">
        <v>51.280394173934397</v>
      </c>
      <c r="O1340">
        <v>50.539673610979399</v>
      </c>
      <c r="P1340">
        <v>-9.8710963457992101E-2</v>
      </c>
      <c r="Q1340">
        <v>5.66666489347534E-2</v>
      </c>
      <c r="R1340">
        <v>0.99885864354324105</v>
      </c>
      <c r="S1340" t="s">
        <v>7986</v>
      </c>
      <c r="T1340" t="s">
        <v>13290</v>
      </c>
      <c r="U1340" t="s">
        <v>13290</v>
      </c>
      <c r="V1340" t="s">
        <v>13290</v>
      </c>
      <c r="W1340" t="s">
        <v>14602</v>
      </c>
      <c r="X1340">
        <v>11</v>
      </c>
      <c r="Y1340" t="s">
        <v>21182</v>
      </c>
      <c r="Z1340" t="s">
        <v>27670</v>
      </c>
      <c r="AA1340">
        <v>0.41398299569066138</v>
      </c>
      <c r="AB1340" t="str">
        <f>HYPERLINK("Melting_Curves/meltCurve_O00442_RTCA.pdf", "Melting_Curves/meltCurve_O00442_RTCA.pdf")</f>
        <v>Melting_Curves/meltCurve_O00442_RTCA.pdf</v>
      </c>
    </row>
    <row r="1341" spans="1:28" x14ac:dyDescent="0.25">
      <c r="A1341" t="s">
        <v>1345</v>
      </c>
      <c r="B1341">
        <v>0.99252571173614901</v>
      </c>
      <c r="C1341">
        <v>1.0550775025466099</v>
      </c>
      <c r="D1341">
        <v>0.76681572245688401</v>
      </c>
      <c r="E1341">
        <v>0.39173142763212698</v>
      </c>
      <c r="F1341">
        <v>0.19256174608349699</v>
      </c>
      <c r="G1341">
        <v>0.15374784788006801</v>
      </c>
      <c r="H1341">
        <v>0.159350899770416</v>
      </c>
      <c r="I1341">
        <v>0.17573132398574901</v>
      </c>
      <c r="J1341">
        <v>0.285698579134186</v>
      </c>
      <c r="K1341">
        <v>0.34944410540417498</v>
      </c>
      <c r="L1341">
        <v>1615.0750381886801</v>
      </c>
      <c r="M1341">
        <v>34.079766211179198</v>
      </c>
      <c r="N1341">
        <v>48.2087169765082</v>
      </c>
      <c r="O1341">
        <v>47.228739177750903</v>
      </c>
      <c r="P1341">
        <v>-0.14080029805279901</v>
      </c>
      <c r="Q1341">
        <v>0.219502335258556</v>
      </c>
      <c r="R1341">
        <v>0.96296617354427405</v>
      </c>
      <c r="S1341" t="s">
        <v>7987</v>
      </c>
      <c r="T1341" t="s">
        <v>13290</v>
      </c>
      <c r="U1341" t="s">
        <v>13290</v>
      </c>
      <c r="V1341" t="s">
        <v>13290</v>
      </c>
      <c r="W1341" t="s">
        <v>14603</v>
      </c>
      <c r="X1341">
        <v>1</v>
      </c>
      <c r="Y1341" t="s">
        <v>21183</v>
      </c>
      <c r="Z1341" t="s">
        <v>27671</v>
      </c>
      <c r="AA1341">
        <v>0.4153705614401399</v>
      </c>
      <c r="AB1341" t="str">
        <f>HYPERLINK("Melting_Curves/meltCurve_O00443_PIK3C2A.pdf", "Melting_Curves/meltCurve_O00443_PIK3C2A.pdf")</f>
        <v>Melting_Curves/meltCurve_O00443_PIK3C2A.pdf</v>
      </c>
    </row>
    <row r="1342" spans="1:28" x14ac:dyDescent="0.25">
      <c r="A1342" t="s">
        <v>1346</v>
      </c>
      <c r="B1342">
        <v>0.99252571173614901</v>
      </c>
      <c r="C1342">
        <v>0.92553748846891504</v>
      </c>
      <c r="D1342">
        <v>0.75989783671420297</v>
      </c>
      <c r="E1342">
        <v>0.42743098700774401</v>
      </c>
      <c r="F1342">
        <v>0.30636014936870698</v>
      </c>
      <c r="G1342">
        <v>0.16629964893360299</v>
      </c>
      <c r="H1342">
        <v>0.12688505707096601</v>
      </c>
      <c r="I1342">
        <v>0.107349909038626</v>
      </c>
      <c r="J1342">
        <v>0.12611916823358199</v>
      </c>
      <c r="K1342">
        <v>8.9307508600211902E-2</v>
      </c>
      <c r="L1342">
        <v>843.76554160404896</v>
      </c>
      <c r="M1342">
        <v>17.397489286336</v>
      </c>
      <c r="N1342">
        <v>49.155419079688997</v>
      </c>
      <c r="O1342">
        <v>47.8720926056832</v>
      </c>
      <c r="P1342">
        <v>-8.1444519461828999E-2</v>
      </c>
      <c r="Q1342">
        <v>0.10361787893590201</v>
      </c>
      <c r="R1342">
        <v>0.99605221141378897</v>
      </c>
      <c r="S1342" t="s">
        <v>7988</v>
      </c>
      <c r="T1342" t="s">
        <v>13290</v>
      </c>
      <c r="U1342" t="s">
        <v>13290</v>
      </c>
      <c r="V1342" t="s">
        <v>13290</v>
      </c>
      <c r="W1342" t="s">
        <v>14604</v>
      </c>
      <c r="X1342">
        <v>6</v>
      </c>
      <c r="Y1342" t="s">
        <v>21184</v>
      </c>
      <c r="Z1342" t="s">
        <v>27672</v>
      </c>
      <c r="AA1342">
        <v>0.37438784650491652</v>
      </c>
      <c r="AB1342" t="str">
        <f>HYPERLINK("Melting_Curves/meltCurve_O00459_PIK3R2.pdf", "Melting_Curves/meltCurve_O00459_PIK3R2.pdf")</f>
        <v>Melting_Curves/meltCurve_O00459_PIK3R2.pdf</v>
      </c>
    </row>
    <row r="1343" spans="1:28" x14ac:dyDescent="0.25">
      <c r="A1343" t="s">
        <v>1347</v>
      </c>
      <c r="B1343">
        <v>0.99252571173614901</v>
      </c>
      <c r="C1343">
        <v>0.97500514575506703</v>
      </c>
      <c r="D1343">
        <v>0.92771473380981295</v>
      </c>
      <c r="E1343">
        <v>0.863673319636725</v>
      </c>
      <c r="F1343">
        <v>0.82608557939330196</v>
      </c>
      <c r="G1343">
        <v>0.57529177994150205</v>
      </c>
      <c r="H1343">
        <v>0.31958102790477999</v>
      </c>
      <c r="I1343">
        <v>0.14499253450754601</v>
      </c>
      <c r="J1343">
        <v>0.14077487465760699</v>
      </c>
      <c r="K1343">
        <v>0.122146918656601</v>
      </c>
      <c r="L1343">
        <v>906.27490718282797</v>
      </c>
      <c r="M1343">
        <v>15.793083915562599</v>
      </c>
      <c r="N1343">
        <v>57.703929753352</v>
      </c>
      <c r="O1343">
        <v>56.487876182898702</v>
      </c>
      <c r="P1343">
        <v>-6.6974003550106395E-2</v>
      </c>
      <c r="Q1343">
        <v>4.1882641837054702E-2</v>
      </c>
      <c r="R1343">
        <v>0.98971199508968399</v>
      </c>
      <c r="S1343" t="s">
        <v>7989</v>
      </c>
      <c r="T1343" t="s">
        <v>13290</v>
      </c>
      <c r="U1343" t="s">
        <v>13290</v>
      </c>
      <c r="V1343" t="s">
        <v>13290</v>
      </c>
      <c r="W1343" t="s">
        <v>14605</v>
      </c>
      <c r="X1343">
        <v>12</v>
      </c>
      <c r="Y1343" t="s">
        <v>21185</v>
      </c>
      <c r="Z1343" t="s">
        <v>27673</v>
      </c>
      <c r="AA1343">
        <v>0.61105601899163475</v>
      </c>
      <c r="AB1343" t="str">
        <f>HYPERLINK("Melting_Curves/meltCurve_O00462_MANBA.pdf", "Melting_Curves/meltCurve_O00462_MANBA.pdf")</f>
        <v>Melting_Curves/meltCurve_O00462_MANBA.pdf</v>
      </c>
    </row>
    <row r="1344" spans="1:28" x14ac:dyDescent="0.25">
      <c r="A1344" t="s">
        <v>1348</v>
      </c>
      <c r="B1344">
        <v>0.99252571173614901</v>
      </c>
      <c r="C1344">
        <v>0.91241226707758605</v>
      </c>
      <c r="D1344">
        <v>0.57152089444682197</v>
      </c>
      <c r="E1344">
        <v>0.32175134033508301</v>
      </c>
      <c r="F1344">
        <v>0.200549265609336</v>
      </c>
      <c r="G1344">
        <v>0.16624969207186499</v>
      </c>
      <c r="H1344">
        <v>0.14029765444686601</v>
      </c>
      <c r="I1344">
        <v>9.7663019975013393E-2</v>
      </c>
      <c r="J1344">
        <v>8.0460307675103704E-2</v>
      </c>
      <c r="K1344">
        <v>7.4235473318971595E-2</v>
      </c>
      <c r="L1344">
        <v>938.46282778060299</v>
      </c>
      <c r="M1344">
        <v>20.125940105366801</v>
      </c>
      <c r="N1344">
        <v>47.196916510124602</v>
      </c>
      <c r="O1344">
        <v>46.176475405880304</v>
      </c>
      <c r="P1344">
        <v>-9.7256799485168299E-2</v>
      </c>
      <c r="Q1344">
        <v>0.107453645282188</v>
      </c>
      <c r="R1344">
        <v>0.99164685131224195</v>
      </c>
      <c r="S1344" t="s">
        <v>7990</v>
      </c>
      <c r="T1344" t="s">
        <v>13290</v>
      </c>
      <c r="U1344" t="s">
        <v>13290</v>
      </c>
      <c r="V1344" t="s">
        <v>13290</v>
      </c>
      <c r="W1344" t="s">
        <v>14606</v>
      </c>
      <c r="X1344">
        <v>6</v>
      </c>
      <c r="Y1344" t="s">
        <v>21186</v>
      </c>
      <c r="Z1344" t="s">
        <v>27674</v>
      </c>
      <c r="AA1344">
        <v>0.31779259502444951</v>
      </c>
      <c r="AB1344" t="str">
        <f>HYPERLINK("Melting_Curves/meltCurve_O00463_TRAF5.pdf", "Melting_Curves/meltCurve_O00463_TRAF5.pdf")</f>
        <v>Melting_Curves/meltCurve_O00463_TRAF5.pdf</v>
      </c>
    </row>
    <row r="1345" spans="1:28" x14ac:dyDescent="0.25">
      <c r="A1345" t="s">
        <v>1349</v>
      </c>
      <c r="B1345">
        <v>0.99252571173614901</v>
      </c>
      <c r="C1345">
        <v>0.920905009198418</v>
      </c>
      <c r="D1345">
        <v>1.0198306362696099</v>
      </c>
      <c r="E1345">
        <v>0.85253226919212699</v>
      </c>
      <c r="F1345">
        <v>0.461820905210931</v>
      </c>
      <c r="G1345">
        <v>0.261993351119857</v>
      </c>
      <c r="H1345">
        <v>0.21853270099559599</v>
      </c>
      <c r="I1345">
        <v>0.23755766533829001</v>
      </c>
      <c r="J1345">
        <v>0.36924779534313301</v>
      </c>
      <c r="K1345">
        <v>0.29614371770264802</v>
      </c>
      <c r="L1345">
        <v>1925.7884071773101</v>
      </c>
      <c r="M1345">
        <v>37.359348176414997</v>
      </c>
      <c r="N1345">
        <v>52.6655217174212</v>
      </c>
      <c r="O1345">
        <v>51.4006734749616</v>
      </c>
      <c r="P1345">
        <v>-0.131965393083085</v>
      </c>
      <c r="Q1345">
        <v>0.27374631254106202</v>
      </c>
      <c r="R1345">
        <v>0.97806755796209599</v>
      </c>
      <c r="S1345" t="s">
        <v>7991</v>
      </c>
      <c r="T1345" t="s">
        <v>13290</v>
      </c>
      <c r="U1345" t="s">
        <v>13290</v>
      </c>
      <c r="V1345" t="s">
        <v>13290</v>
      </c>
      <c r="W1345" t="s">
        <v>14607</v>
      </c>
      <c r="X1345">
        <v>26</v>
      </c>
      <c r="Y1345" t="s">
        <v>21187</v>
      </c>
      <c r="Z1345" t="s">
        <v>27675</v>
      </c>
      <c r="AA1345">
        <v>0.55626635269456937</v>
      </c>
      <c r="AB1345" t="str">
        <f>HYPERLINK("Melting_Curves/meltCurve_O00468_6_AGRN.pdf", "Melting_Curves/meltCurve_O00468_6_AGRN.pdf")</f>
        <v>Melting_Curves/meltCurve_O00468_6_AGRN.pdf</v>
      </c>
    </row>
    <row r="1346" spans="1:28" x14ac:dyDescent="0.25">
      <c r="A1346" t="s">
        <v>1350</v>
      </c>
      <c r="B1346">
        <v>0.99252571173614901</v>
      </c>
      <c r="C1346">
        <v>0.92085116090434604</v>
      </c>
      <c r="D1346">
        <v>0.97333218563609503</v>
      </c>
      <c r="E1346">
        <v>0.64710024690328205</v>
      </c>
      <c r="F1346">
        <v>0.35495728958068401</v>
      </c>
      <c r="G1346">
        <v>0.194753173689235</v>
      </c>
      <c r="H1346">
        <v>0.16446685660725499</v>
      </c>
      <c r="I1346">
        <v>9.2186725504946998E-2</v>
      </c>
      <c r="J1346">
        <v>0.135019165166262</v>
      </c>
      <c r="K1346">
        <v>8.1843635219781899E-2</v>
      </c>
      <c r="L1346">
        <v>1109.08704269699</v>
      </c>
      <c r="M1346">
        <v>21.830705290590199</v>
      </c>
      <c r="N1346">
        <v>51.381756748421097</v>
      </c>
      <c r="O1346">
        <v>50.383463148916398</v>
      </c>
      <c r="P1346">
        <v>-9.6535894716385906E-2</v>
      </c>
      <c r="Q1346">
        <v>0.1088331041173</v>
      </c>
      <c r="R1346">
        <v>0.99200007517119604</v>
      </c>
      <c r="S1346" t="s">
        <v>7992</v>
      </c>
      <c r="T1346" t="s">
        <v>13290</v>
      </c>
      <c r="U1346" t="s">
        <v>13290</v>
      </c>
      <c r="V1346" t="s">
        <v>13290</v>
      </c>
      <c r="W1346" t="s">
        <v>14608</v>
      </c>
      <c r="X1346">
        <v>32</v>
      </c>
      <c r="Y1346" t="s">
        <v>21188</v>
      </c>
      <c r="Z1346" t="s">
        <v>27676</v>
      </c>
      <c r="AA1346">
        <v>0.44024267481361168</v>
      </c>
      <c r="AB1346" t="str">
        <f>HYPERLINK("Melting_Curves/meltCurve_O00469_PLOD2.pdf", "Melting_Curves/meltCurve_O00469_PLOD2.pdf")</f>
        <v>Melting_Curves/meltCurve_O00469_PLOD2.pdf</v>
      </c>
    </row>
    <row r="1347" spans="1:28" x14ac:dyDescent="0.25">
      <c r="A1347" t="s">
        <v>1351</v>
      </c>
      <c r="B1347">
        <v>0.99252571173614901</v>
      </c>
      <c r="C1347">
        <v>0.974648083052993</v>
      </c>
      <c r="D1347">
        <v>1.0325692620415401</v>
      </c>
      <c r="E1347">
        <v>0.84720589503015797</v>
      </c>
      <c r="F1347">
        <v>0.302595983284496</v>
      </c>
      <c r="G1347">
        <v>0.14228840968057799</v>
      </c>
      <c r="H1347">
        <v>0.117236462484702</v>
      </c>
      <c r="I1347">
        <v>0.13243809592042799</v>
      </c>
      <c r="J1347">
        <v>0.195574404809193</v>
      </c>
      <c r="K1347">
        <v>0.156561442761809</v>
      </c>
      <c r="L1347">
        <v>2274.9562664562</v>
      </c>
      <c r="M1347">
        <v>44.304026495997</v>
      </c>
      <c r="N1347">
        <v>51.755465090044197</v>
      </c>
      <c r="O1347">
        <v>51.2444638602691</v>
      </c>
      <c r="P1347">
        <v>-0.184367597468476</v>
      </c>
      <c r="Q1347">
        <v>0.14700258924436299</v>
      </c>
      <c r="R1347">
        <v>0.99605983597730996</v>
      </c>
      <c r="S1347" t="s">
        <v>7993</v>
      </c>
      <c r="T1347" t="s">
        <v>13290</v>
      </c>
      <c r="U1347" t="s">
        <v>13290</v>
      </c>
      <c r="V1347" t="s">
        <v>13290</v>
      </c>
      <c r="W1347" t="s">
        <v>14609</v>
      </c>
      <c r="X1347">
        <v>32</v>
      </c>
      <c r="Y1347" t="s">
        <v>21188</v>
      </c>
      <c r="Z1347" t="s">
        <v>27677</v>
      </c>
      <c r="AA1347">
        <v>0.47214849663065378</v>
      </c>
      <c r="AB1347" t="str">
        <f>HYPERLINK("Melting_Curves/meltCurve_O00469_2_PLOD2.pdf", "Melting_Curves/meltCurve_O00469_2_PLOD2.pdf")</f>
        <v>Melting_Curves/meltCurve_O00469_2_PLOD2.pdf</v>
      </c>
    </row>
    <row r="1348" spans="1:28" x14ac:dyDescent="0.25">
      <c r="A1348" t="s">
        <v>1352</v>
      </c>
      <c r="B1348">
        <v>0.99252571173614901</v>
      </c>
      <c r="C1348">
        <v>0.88769107892820298</v>
      </c>
      <c r="D1348">
        <v>0.78487945125083203</v>
      </c>
      <c r="E1348">
        <v>0.36860116453907399</v>
      </c>
      <c r="F1348">
        <v>0.25676902834768001</v>
      </c>
      <c r="G1348">
        <v>0.13598614915092899</v>
      </c>
      <c r="H1348">
        <v>9.7277582192072096E-2</v>
      </c>
      <c r="I1348">
        <v>8.4510276192867106E-2</v>
      </c>
      <c r="J1348">
        <v>0.10208843562644</v>
      </c>
      <c r="K1348">
        <v>8.9732215270739005E-2</v>
      </c>
      <c r="L1348">
        <v>946.01842550916194</v>
      </c>
      <c r="M1348">
        <v>19.649240259088401</v>
      </c>
      <c r="N1348">
        <v>48.642967957762203</v>
      </c>
      <c r="O1348">
        <v>47.6549425965284</v>
      </c>
      <c r="P1348">
        <v>-9.3698152268934104E-2</v>
      </c>
      <c r="Q1348">
        <v>9.1054080009249097E-2</v>
      </c>
      <c r="R1348">
        <v>0.99322129976094098</v>
      </c>
      <c r="S1348" t="s">
        <v>7994</v>
      </c>
      <c r="T1348" t="s">
        <v>13290</v>
      </c>
      <c r="U1348" t="s">
        <v>13290</v>
      </c>
      <c r="V1348" t="s">
        <v>13290</v>
      </c>
      <c r="W1348" t="s">
        <v>14610</v>
      </c>
      <c r="X1348">
        <v>6</v>
      </c>
      <c r="Y1348" t="s">
        <v>21189</v>
      </c>
      <c r="Z1348" t="s">
        <v>27678</v>
      </c>
      <c r="AA1348">
        <v>0.35121125919645452</v>
      </c>
      <c r="AB1348" t="str">
        <f>HYPERLINK("Melting_Curves/meltCurve_O00471_EXOC5.pdf", "Melting_Curves/meltCurve_O00471_EXOC5.pdf")</f>
        <v>Melting_Curves/meltCurve_O00471_EXOC5.pdf</v>
      </c>
    </row>
    <row r="1349" spans="1:28" x14ac:dyDescent="0.25">
      <c r="A1349" t="s">
        <v>1353</v>
      </c>
      <c r="B1349">
        <v>0.99252571173614901</v>
      </c>
      <c r="C1349">
        <v>1.31900024977745</v>
      </c>
      <c r="D1349">
        <v>1.2014149266776</v>
      </c>
      <c r="E1349">
        <v>1.70525676973482</v>
      </c>
      <c r="F1349">
        <v>1.2389946154381499</v>
      </c>
      <c r="G1349">
        <v>1.0812640259821999</v>
      </c>
      <c r="H1349">
        <v>1.42679018364572</v>
      </c>
      <c r="I1349">
        <v>2.3902794248128201</v>
      </c>
      <c r="J1349">
        <v>4.1483842992515703</v>
      </c>
      <c r="K1349">
        <v>4.8178808666013797</v>
      </c>
      <c r="L1349">
        <v>938.93644168046501</v>
      </c>
      <c r="M1349">
        <v>21.488950971491398</v>
      </c>
      <c r="O1349">
        <v>43.320805437335601</v>
      </c>
      <c r="P1349">
        <v>6.2006803928964599E-2</v>
      </c>
      <c r="Q1349">
        <v>1.5</v>
      </c>
      <c r="R1349">
        <v>-0.150826809171342</v>
      </c>
      <c r="S1349" t="s">
        <v>7995</v>
      </c>
      <c r="T1349" t="s">
        <v>13290</v>
      </c>
      <c r="U1349" t="s">
        <v>13290</v>
      </c>
      <c r="V1349" t="s">
        <v>13290</v>
      </c>
      <c r="W1349" t="s">
        <v>14611</v>
      </c>
      <c r="X1349">
        <v>5</v>
      </c>
      <c r="Y1349" t="s">
        <v>21190</v>
      </c>
      <c r="Z1349" t="s">
        <v>27679</v>
      </c>
      <c r="AA1349">
        <v>1.4297396941913321</v>
      </c>
      <c r="AB1349" t="str">
        <f>HYPERLINK("Melting_Curves/meltCurve_O00479_HMGN4.pdf", "Melting_Curves/meltCurve_O00479_HMGN4.pdf")</f>
        <v>Melting_Curves/meltCurve_O00479_HMGN4.pdf</v>
      </c>
    </row>
    <row r="1350" spans="1:28" x14ac:dyDescent="0.25">
      <c r="A1350" t="s">
        <v>1354</v>
      </c>
      <c r="B1350">
        <v>0.99252571173614901</v>
      </c>
      <c r="C1350">
        <v>0.86551191520535797</v>
      </c>
      <c r="D1350">
        <v>0.75531464025125805</v>
      </c>
      <c r="E1350">
        <v>0.62376957916508202</v>
      </c>
      <c r="F1350">
        <v>0.54450362261088503</v>
      </c>
      <c r="G1350">
        <v>0.40373696163149297</v>
      </c>
      <c r="H1350">
        <v>0.36510722105369697</v>
      </c>
      <c r="I1350">
        <v>0.37302177229181599</v>
      </c>
      <c r="J1350">
        <v>0.52322928008223402</v>
      </c>
      <c r="K1350">
        <v>0.41417884229153401</v>
      </c>
      <c r="L1350">
        <v>693.06372509939104</v>
      </c>
      <c r="M1350">
        <v>14.6500182671445</v>
      </c>
      <c r="N1350">
        <v>53.395163705991202</v>
      </c>
      <c r="O1350">
        <v>46.4528027862927</v>
      </c>
      <c r="P1350">
        <v>-4.68470960722666E-2</v>
      </c>
      <c r="Q1350">
        <v>0.405888158690556</v>
      </c>
      <c r="R1350">
        <v>0.94452290425519703</v>
      </c>
      <c r="S1350" t="s">
        <v>7996</v>
      </c>
      <c r="T1350" t="s">
        <v>13290</v>
      </c>
      <c r="U1350" t="s">
        <v>13290</v>
      </c>
      <c r="V1350" t="s">
        <v>13290</v>
      </c>
      <c r="W1350" t="s">
        <v>14612</v>
      </c>
      <c r="X1350">
        <v>8</v>
      </c>
      <c r="Y1350" t="s">
        <v>21191</v>
      </c>
      <c r="Z1350" t="s">
        <v>27680</v>
      </c>
      <c r="AA1350">
        <v>0.56723894303539313</v>
      </c>
      <c r="AB1350" t="str">
        <f>HYPERLINK("Melting_Curves/meltCurve_O00483_NDUFA4.pdf", "Melting_Curves/meltCurve_O00483_NDUFA4.pdf")</f>
        <v>Melting_Curves/meltCurve_O00483_NDUFA4.pdf</v>
      </c>
    </row>
    <row r="1351" spans="1:28" x14ac:dyDescent="0.25">
      <c r="A1351" t="s">
        <v>1355</v>
      </c>
      <c r="B1351">
        <v>0.99252571173614901</v>
      </c>
      <c r="C1351">
        <v>0.46448830602176</v>
      </c>
      <c r="D1351">
        <v>1.165592488925</v>
      </c>
      <c r="E1351">
        <v>0.63857188796021402</v>
      </c>
      <c r="F1351">
        <v>0.519652852389485</v>
      </c>
      <c r="G1351">
        <v>0.145247265650019</v>
      </c>
      <c r="H1351">
        <v>4.0756902535771203E-2</v>
      </c>
      <c r="I1351">
        <v>3.8203694562111E-2</v>
      </c>
      <c r="J1351">
        <v>4.74857975994648E-2</v>
      </c>
      <c r="K1351">
        <v>5.1560561151208502E-2</v>
      </c>
      <c r="L1351">
        <v>913.82458482671495</v>
      </c>
      <c r="M1351">
        <v>17.458260480327201</v>
      </c>
      <c r="N1351">
        <v>52.3655639189301</v>
      </c>
      <c r="O1351">
        <v>51.671107641630798</v>
      </c>
      <c r="P1351">
        <v>-8.4161847755042304E-2</v>
      </c>
      <c r="Q1351">
        <v>3.6822074594573002E-3</v>
      </c>
      <c r="R1351">
        <v>0.77951954358715303</v>
      </c>
      <c r="S1351" t="s">
        <v>7997</v>
      </c>
      <c r="T1351" t="s">
        <v>13290</v>
      </c>
      <c r="U1351" t="s">
        <v>13290</v>
      </c>
      <c r="V1351" t="s">
        <v>13290</v>
      </c>
      <c r="W1351" t="s">
        <v>14613</v>
      </c>
      <c r="X1351">
        <v>8</v>
      </c>
      <c r="Y1351" t="s">
        <v>21192</v>
      </c>
      <c r="Z1351" t="s">
        <v>27681</v>
      </c>
      <c r="AA1351">
        <v>0.43096737459095941</v>
      </c>
      <c r="AB1351" t="str">
        <f>HYPERLINK("Melting_Curves/meltCurve_O00487_PSMD14.pdf", "Melting_Curves/meltCurve_O00487_PSMD14.pdf")</f>
        <v>Melting_Curves/meltCurve_O00487_PSMD14.pdf</v>
      </c>
    </row>
    <row r="1352" spans="1:28" x14ac:dyDescent="0.25">
      <c r="A1352" t="s">
        <v>1356</v>
      </c>
      <c r="B1352">
        <v>0.99252571173614901</v>
      </c>
      <c r="C1352">
        <v>1.0317564606835601</v>
      </c>
      <c r="D1352">
        <v>0.97700618373243597</v>
      </c>
      <c r="E1352">
        <v>0.88816634418226204</v>
      </c>
      <c r="F1352">
        <v>0.64546987297282099</v>
      </c>
      <c r="G1352">
        <v>0.47802317031943498</v>
      </c>
      <c r="H1352">
        <v>0.39831974203182402</v>
      </c>
      <c r="I1352">
        <v>0.33640074427619299</v>
      </c>
      <c r="J1352">
        <v>0.41941790421931002</v>
      </c>
      <c r="K1352">
        <v>0.50737571747175803</v>
      </c>
      <c r="L1352">
        <v>1459.3230295549499</v>
      </c>
      <c r="M1352">
        <v>27.899683620801301</v>
      </c>
      <c r="N1352">
        <v>55.814647213777299</v>
      </c>
      <c r="O1352">
        <v>52.0395662078597</v>
      </c>
      <c r="P1352">
        <v>-7.8617581559690702E-2</v>
      </c>
      <c r="Q1352">
        <v>0.413442902664868</v>
      </c>
      <c r="R1352">
        <v>0.974802406193927</v>
      </c>
      <c r="S1352" t="s">
        <v>7998</v>
      </c>
      <c r="T1352" t="s">
        <v>13290</v>
      </c>
      <c r="U1352" t="s">
        <v>13290</v>
      </c>
      <c r="V1352" t="s">
        <v>13290</v>
      </c>
      <c r="W1352" t="s">
        <v>14614</v>
      </c>
      <c r="X1352">
        <v>5</v>
      </c>
      <c r="Y1352" t="s">
        <v>21193</v>
      </c>
      <c r="Z1352" t="s">
        <v>27682</v>
      </c>
      <c r="AA1352">
        <v>0.658393149539242</v>
      </c>
      <c r="AB1352" t="str">
        <f>HYPERLINK("Melting_Curves/meltCurve_O00488_ZNF593.pdf", "Melting_Curves/meltCurve_O00488_ZNF593.pdf")</f>
        <v>Melting_Curves/meltCurve_O00488_ZNF593.pdf</v>
      </c>
    </row>
    <row r="1353" spans="1:28" x14ac:dyDescent="0.25">
      <c r="A1353" t="s">
        <v>1357</v>
      </c>
      <c r="B1353">
        <v>0.99252571173614901</v>
      </c>
      <c r="C1353">
        <v>0.96062923126456401</v>
      </c>
      <c r="D1353">
        <v>0.89828420572555601</v>
      </c>
      <c r="E1353">
        <v>0.73353528774565602</v>
      </c>
      <c r="F1353">
        <v>0.394563110808829</v>
      </c>
      <c r="G1353">
        <v>0.11448572230519601</v>
      </c>
      <c r="H1353">
        <v>5.2898748080404998E-2</v>
      </c>
      <c r="I1353">
        <v>5.0268428210091698E-2</v>
      </c>
      <c r="J1353">
        <v>5.7380217065476802E-2</v>
      </c>
      <c r="K1353">
        <v>4.9629488621671998E-2</v>
      </c>
      <c r="L1353">
        <v>1119.74541864188</v>
      </c>
      <c r="M1353">
        <v>21.662896216893799</v>
      </c>
      <c r="N1353">
        <v>51.850997312772797</v>
      </c>
      <c r="O1353">
        <v>51.255126815056201</v>
      </c>
      <c r="P1353">
        <v>-0.102218589848711</v>
      </c>
      <c r="Q1353">
        <v>3.2612752624161898E-2</v>
      </c>
      <c r="R1353">
        <v>0.99665384421219305</v>
      </c>
      <c r="S1353" t="s">
        <v>7999</v>
      </c>
      <c r="T1353" t="s">
        <v>13290</v>
      </c>
      <c r="U1353" t="s">
        <v>13290</v>
      </c>
      <c r="V1353" t="s">
        <v>13290</v>
      </c>
      <c r="W1353" t="s">
        <v>14615</v>
      </c>
      <c r="X1353">
        <v>15</v>
      </c>
      <c r="Y1353" t="s">
        <v>21194</v>
      </c>
      <c r="Z1353" t="s">
        <v>27683</v>
      </c>
      <c r="AA1353">
        <v>0.42112478951474408</v>
      </c>
      <c r="AB1353" t="str">
        <f>HYPERLINK("Melting_Curves/meltCurve_O00505_KPNA3.pdf", "Melting_Curves/meltCurve_O00505_KPNA3.pdf")</f>
        <v>Melting_Curves/meltCurve_O00505_KPNA3.pdf</v>
      </c>
    </row>
    <row r="1354" spans="1:28" x14ac:dyDescent="0.25">
      <c r="A1354" t="s">
        <v>1358</v>
      </c>
      <c r="B1354">
        <v>0.99252571173614901</v>
      </c>
      <c r="C1354">
        <v>1.0002838834585699</v>
      </c>
      <c r="D1354">
        <v>0.93257605512478003</v>
      </c>
      <c r="E1354">
        <v>0.85336417512311202</v>
      </c>
      <c r="F1354">
        <v>0.35803675775278898</v>
      </c>
      <c r="G1354">
        <v>0.19170460645641599</v>
      </c>
      <c r="H1354">
        <v>0.15746739160318701</v>
      </c>
      <c r="I1354">
        <v>0.20533464913316701</v>
      </c>
      <c r="J1354">
        <v>0.12437536267133099</v>
      </c>
      <c r="K1354">
        <v>0.124363127807768</v>
      </c>
      <c r="L1354">
        <v>1876.17436989972</v>
      </c>
      <c r="M1354">
        <v>36.357178111913498</v>
      </c>
      <c r="N1354">
        <v>52.127431668158202</v>
      </c>
      <c r="O1354">
        <v>51.448582825033597</v>
      </c>
      <c r="P1354">
        <v>-0.14964962373096399</v>
      </c>
      <c r="Q1354">
        <v>0.15293336142758801</v>
      </c>
      <c r="R1354">
        <v>0.99433629882958996</v>
      </c>
      <c r="S1354" t="s">
        <v>8000</v>
      </c>
      <c r="T1354" t="s">
        <v>13290</v>
      </c>
      <c r="U1354" t="s">
        <v>13290</v>
      </c>
      <c r="V1354" t="s">
        <v>13290</v>
      </c>
      <c r="W1354" t="s">
        <v>14616</v>
      </c>
      <c r="X1354">
        <v>8</v>
      </c>
      <c r="Y1354" t="s">
        <v>21195</v>
      </c>
      <c r="Z1354" t="s">
        <v>27684</v>
      </c>
      <c r="AA1354">
        <v>0.48423781030147078</v>
      </c>
      <c r="AB1354" t="str">
        <f>HYPERLINK("Melting_Curves/meltCurve_O00506_STK25.pdf", "Melting_Curves/meltCurve_O00506_STK25.pdf")</f>
        <v>Melting_Curves/meltCurve_O00506_STK25.pdf</v>
      </c>
    </row>
    <row r="1355" spans="1:28" x14ac:dyDescent="0.25">
      <c r="A1355" t="s">
        <v>1359</v>
      </c>
      <c r="B1355">
        <v>0.99252571173614901</v>
      </c>
      <c r="C1355">
        <v>0.99408711563353602</v>
      </c>
      <c r="D1355">
        <v>0.90818732822674197</v>
      </c>
      <c r="E1355">
        <v>0.901763447931755</v>
      </c>
      <c r="F1355">
        <v>0.63484698236117498</v>
      </c>
      <c r="G1355">
        <v>0.43662324597835001</v>
      </c>
      <c r="H1355">
        <v>0.36326523460014998</v>
      </c>
      <c r="I1355">
        <v>0.49114465856414502</v>
      </c>
      <c r="J1355">
        <v>0.676436397511467</v>
      </c>
      <c r="K1355">
        <v>0.79209027477287397</v>
      </c>
      <c r="L1355">
        <v>2245.2467835827802</v>
      </c>
      <c r="M1355">
        <v>44.008905182814402</v>
      </c>
      <c r="O1355">
        <v>50.912996797412703</v>
      </c>
      <c r="P1355">
        <v>-9.63665518679101E-2</v>
      </c>
      <c r="Q1355">
        <v>0.55406263372782905</v>
      </c>
      <c r="R1355">
        <v>0.72504006211455096</v>
      </c>
      <c r="S1355" t="s">
        <v>8001</v>
      </c>
      <c r="T1355" t="s">
        <v>13290</v>
      </c>
      <c r="U1355" t="s">
        <v>13290</v>
      </c>
      <c r="V1355" t="s">
        <v>13290</v>
      </c>
      <c r="W1355" t="s">
        <v>14617</v>
      </c>
      <c r="X1355">
        <v>4</v>
      </c>
      <c r="Y1355" t="s">
        <v>21196</v>
      </c>
      <c r="Z1355" t="s">
        <v>27685</v>
      </c>
      <c r="AA1355">
        <v>0.71913806051521212</v>
      </c>
      <c r="AB1355" t="str">
        <f>HYPERLINK("Melting_Curves/meltCurve_O00512_BCL9.pdf", "Melting_Curves/meltCurve_O00512_BCL9.pdf")</f>
        <v>Melting_Curves/meltCurve_O00512_BCL9.pdf</v>
      </c>
    </row>
    <row r="1356" spans="1:28" x14ac:dyDescent="0.25">
      <c r="A1356" t="s">
        <v>1360</v>
      </c>
      <c r="B1356">
        <v>0.99252571173614901</v>
      </c>
      <c r="C1356">
        <v>1.02120775314879</v>
      </c>
      <c r="D1356">
        <v>0.94037738177689301</v>
      </c>
      <c r="E1356">
        <v>0.86604298309025796</v>
      </c>
      <c r="F1356">
        <v>0.528937477723468</v>
      </c>
      <c r="G1356">
        <v>0.29386239428787098</v>
      </c>
      <c r="H1356">
        <v>0.25830475194491098</v>
      </c>
      <c r="I1356">
        <v>0.402982263739108</v>
      </c>
      <c r="J1356">
        <v>1.4403058563212501</v>
      </c>
      <c r="K1356">
        <v>1.92021831359212</v>
      </c>
      <c r="L1356">
        <v>2226.69632913143</v>
      </c>
      <c r="M1356">
        <v>47.429943449344599</v>
      </c>
      <c r="O1356">
        <v>46.8638216007582</v>
      </c>
      <c r="P1356">
        <v>-4.7261009918809598E-2</v>
      </c>
      <c r="Q1356">
        <v>0.81321254977412905</v>
      </c>
      <c r="R1356">
        <v>2.52226724135679E-2</v>
      </c>
      <c r="S1356" t="s">
        <v>8002</v>
      </c>
      <c r="T1356" t="s">
        <v>13290</v>
      </c>
      <c r="U1356" t="s">
        <v>13290</v>
      </c>
      <c r="V1356" t="s">
        <v>13290</v>
      </c>
      <c r="W1356" t="s">
        <v>14618</v>
      </c>
      <c r="X1356">
        <v>36</v>
      </c>
      <c r="Y1356" t="s">
        <v>21197</v>
      </c>
      <c r="Z1356" t="s">
        <v>27686</v>
      </c>
      <c r="AA1356">
        <v>0.85689793721737706</v>
      </c>
      <c r="AB1356" t="str">
        <f>HYPERLINK("Melting_Curves/meltCurve_O00515_LAD1.pdf", "Melting_Curves/meltCurve_O00515_LAD1.pdf")</f>
        <v>Melting_Curves/meltCurve_O00515_LAD1.pdf</v>
      </c>
    </row>
    <row r="1357" spans="1:28" x14ac:dyDescent="0.25">
      <c r="A1357" t="s">
        <v>1361</v>
      </c>
      <c r="B1357">
        <v>0.99252571173614901</v>
      </c>
      <c r="C1357">
        <v>0.95892855931586496</v>
      </c>
      <c r="D1357">
        <v>0.88465757576321402</v>
      </c>
      <c r="E1357">
        <v>0.90133772938035495</v>
      </c>
      <c r="F1357">
        <v>0.48469045452534498</v>
      </c>
      <c r="G1357">
        <v>0.33283442516041101</v>
      </c>
      <c r="H1357">
        <v>0.242904005682955</v>
      </c>
      <c r="I1357">
        <v>0.273681434666247</v>
      </c>
      <c r="J1357">
        <v>0.38363623424468901</v>
      </c>
      <c r="K1357">
        <v>0.32322780134572998</v>
      </c>
      <c r="L1357">
        <v>1965.62499166371</v>
      </c>
      <c r="M1357">
        <v>37.9780729083041</v>
      </c>
      <c r="N1357">
        <v>53.078173704561998</v>
      </c>
      <c r="O1357">
        <v>51.613962385596402</v>
      </c>
      <c r="P1357">
        <v>-0.12771046764312</v>
      </c>
      <c r="Q1357">
        <v>0.30574397678487902</v>
      </c>
      <c r="R1357">
        <v>0.97133875289620297</v>
      </c>
      <c r="S1357" t="s">
        <v>8003</v>
      </c>
      <c r="T1357" t="s">
        <v>13290</v>
      </c>
      <c r="U1357" t="s">
        <v>13290</v>
      </c>
      <c r="V1357" t="s">
        <v>13290</v>
      </c>
      <c r="W1357" t="s">
        <v>14619</v>
      </c>
      <c r="X1357">
        <v>31</v>
      </c>
      <c r="Y1357" t="s">
        <v>20888</v>
      </c>
      <c r="Z1357" t="s">
        <v>27687</v>
      </c>
      <c r="AA1357">
        <v>0.58057505228552675</v>
      </c>
      <c r="AB1357" t="str">
        <f>HYPERLINK("Melting_Curves/meltCurve_O00533_2_CHL1.pdf", "Melting_Curves/meltCurve_O00533_2_CHL1.pdf")</f>
        <v>Melting_Curves/meltCurve_O00533_2_CHL1.pdf</v>
      </c>
    </row>
    <row r="1358" spans="1:28" x14ac:dyDescent="0.25">
      <c r="A1358" t="s">
        <v>1362</v>
      </c>
      <c r="B1358">
        <v>0.99252571173614901</v>
      </c>
      <c r="C1358">
        <v>1.0182412193599</v>
      </c>
      <c r="D1358">
        <v>0.909026999333579</v>
      </c>
      <c r="E1358">
        <v>0.61080056843249297</v>
      </c>
      <c r="F1358">
        <v>0.14540784122789799</v>
      </c>
      <c r="G1358">
        <v>7.7166294691966605E-2</v>
      </c>
      <c r="H1358">
        <v>5.3149250402405999E-2</v>
      </c>
      <c r="I1358">
        <v>5.5122324786875301E-2</v>
      </c>
      <c r="J1358">
        <v>5.8621130097374297E-2</v>
      </c>
      <c r="K1358">
        <v>5.0119695425582998E-2</v>
      </c>
      <c r="L1358">
        <v>1651.9019356343999</v>
      </c>
      <c r="M1358">
        <v>33.0171189491886</v>
      </c>
      <c r="N1358">
        <v>50.197059161663503</v>
      </c>
      <c r="O1358">
        <v>49.849229241737497</v>
      </c>
      <c r="P1358">
        <v>-0.15705220139927101</v>
      </c>
      <c r="Q1358">
        <v>5.1535168940017903E-2</v>
      </c>
      <c r="R1358">
        <v>0.99811926131677797</v>
      </c>
      <c r="S1358" t="s">
        <v>8004</v>
      </c>
      <c r="T1358" t="s">
        <v>13290</v>
      </c>
      <c r="U1358" t="s">
        <v>13290</v>
      </c>
      <c r="V1358" t="s">
        <v>13290</v>
      </c>
      <c r="W1358" t="s">
        <v>14620</v>
      </c>
      <c r="X1358">
        <v>35</v>
      </c>
      <c r="Y1358" t="s">
        <v>21198</v>
      </c>
      <c r="Z1358" t="s">
        <v>27688</v>
      </c>
      <c r="AA1358">
        <v>0.37352667293181557</v>
      </c>
      <c r="AB1358" t="str">
        <f>HYPERLINK("Melting_Curves/meltCurve_O00534_VWA5A.pdf", "Melting_Curves/meltCurve_O00534_VWA5A.pdf")</f>
        <v>Melting_Curves/meltCurve_O00534_VWA5A.pdf</v>
      </c>
    </row>
    <row r="1359" spans="1:28" x14ac:dyDescent="0.25">
      <c r="A1359" t="s">
        <v>1363</v>
      </c>
      <c r="B1359">
        <v>0.99252571173614901</v>
      </c>
      <c r="C1359">
        <v>0.97040643843558805</v>
      </c>
      <c r="D1359">
        <v>0.91387195883445405</v>
      </c>
      <c r="E1359">
        <v>0.74825861142606198</v>
      </c>
      <c r="F1359">
        <v>0.37985614187609201</v>
      </c>
      <c r="G1359">
        <v>0.24494197778000601</v>
      </c>
      <c r="H1359">
        <v>0.176860705704697</v>
      </c>
      <c r="I1359">
        <v>0.18272052730903801</v>
      </c>
      <c r="J1359">
        <v>0.248038624617753</v>
      </c>
      <c r="K1359">
        <v>0.182450107709935</v>
      </c>
      <c r="L1359">
        <v>1314.45058401034</v>
      </c>
      <c r="M1359">
        <v>25.827514303415299</v>
      </c>
      <c r="N1359">
        <v>51.868793665920599</v>
      </c>
      <c r="O1359">
        <v>50.591275599112798</v>
      </c>
      <c r="P1359">
        <v>-0.10307908093459101</v>
      </c>
      <c r="Q1359">
        <v>0.19235918702885901</v>
      </c>
      <c r="R1359">
        <v>0.99430254981604005</v>
      </c>
      <c r="S1359" t="s">
        <v>8005</v>
      </c>
      <c r="T1359" t="s">
        <v>13290</v>
      </c>
      <c r="U1359" t="s">
        <v>13290</v>
      </c>
      <c r="V1359" t="s">
        <v>13290</v>
      </c>
      <c r="W1359" t="s">
        <v>14621</v>
      </c>
      <c r="X1359">
        <v>13</v>
      </c>
      <c r="Y1359" t="s">
        <v>21199</v>
      </c>
      <c r="Z1359" t="s">
        <v>27689</v>
      </c>
      <c r="AA1359">
        <v>0.49245839955883969</v>
      </c>
      <c r="AB1359" t="str">
        <f>HYPERLINK("Melting_Curves/meltCurve_O00560_SDCBP.pdf", "Melting_Curves/meltCurve_O00560_SDCBP.pdf")</f>
        <v>Melting_Curves/meltCurve_O00560_SDCBP.pdf</v>
      </c>
    </row>
    <row r="1360" spans="1:28" x14ac:dyDescent="0.25">
      <c r="A1360" t="s">
        <v>1364</v>
      </c>
      <c r="B1360">
        <v>0.99252571173614901</v>
      </c>
      <c r="C1360">
        <v>0.91113596067730296</v>
      </c>
      <c r="D1360">
        <v>0.77674399876267597</v>
      </c>
      <c r="E1360">
        <v>0.53582544394148302</v>
      </c>
      <c r="F1360">
        <v>0.27604679068586901</v>
      </c>
      <c r="G1360">
        <v>0.21232198439097</v>
      </c>
      <c r="H1360">
        <v>0.18083231846225101</v>
      </c>
      <c r="I1360">
        <v>0.21607881598717099</v>
      </c>
      <c r="J1360">
        <v>0.24567888506496999</v>
      </c>
      <c r="K1360">
        <v>0.24450196141651001</v>
      </c>
      <c r="L1360">
        <v>987.17860426983498</v>
      </c>
      <c r="M1360">
        <v>20.4637338771755</v>
      </c>
      <c r="N1360">
        <v>49.538185617829903</v>
      </c>
      <c r="O1360">
        <v>47.786810402741303</v>
      </c>
      <c r="P1360">
        <v>-8.4847029333373306E-2</v>
      </c>
      <c r="Q1360">
        <v>0.207486098737762</v>
      </c>
      <c r="R1360">
        <v>0.99045479539791603</v>
      </c>
      <c r="S1360" t="s">
        <v>8006</v>
      </c>
      <c r="T1360" t="s">
        <v>13290</v>
      </c>
      <c r="U1360" t="s">
        <v>13290</v>
      </c>
      <c r="V1360" t="s">
        <v>13290</v>
      </c>
      <c r="W1360" t="s">
        <v>14622</v>
      </c>
      <c r="X1360">
        <v>4</v>
      </c>
      <c r="Y1360" t="s">
        <v>21200</v>
      </c>
      <c r="Z1360" t="s">
        <v>27690</v>
      </c>
      <c r="AA1360">
        <v>0.43585798440240509</v>
      </c>
      <c r="AB1360" t="str">
        <f>HYPERLINK("Melting_Curves/meltCurve_O00562_2_PITPNM1.pdf", "Melting_Curves/meltCurve_O00562_2_PITPNM1.pdf")</f>
        <v>Melting_Curves/meltCurve_O00562_2_PITPNM1.pdf</v>
      </c>
    </row>
    <row r="1361" spans="1:28" x14ac:dyDescent="0.25">
      <c r="A1361" t="s">
        <v>1365</v>
      </c>
      <c r="B1361">
        <v>0.99252571173614901</v>
      </c>
      <c r="C1361">
        <v>1.1096796180825601</v>
      </c>
      <c r="D1361">
        <v>1.30337294824033</v>
      </c>
      <c r="E1361">
        <v>0.97850382357064603</v>
      </c>
      <c r="F1361">
        <v>0.51197260091307795</v>
      </c>
      <c r="G1361">
        <v>0.31944199114621302</v>
      </c>
      <c r="H1361">
        <v>0.23242684996936999</v>
      </c>
      <c r="I1361">
        <v>0.27248964024460298</v>
      </c>
      <c r="J1361">
        <v>0.33992512124318502</v>
      </c>
      <c r="K1361">
        <v>0.42724458359013201</v>
      </c>
      <c r="L1361">
        <v>3383.55394390624</v>
      </c>
      <c r="M1361">
        <v>64.524127207946506</v>
      </c>
      <c r="N1361">
        <v>53.270196989794201</v>
      </c>
      <c r="O1361">
        <v>52.388267173530799</v>
      </c>
      <c r="P1361">
        <v>-0.21018227697125999</v>
      </c>
      <c r="Q1361">
        <v>0.31739731624276302</v>
      </c>
      <c r="R1361">
        <v>0.91334563541870895</v>
      </c>
      <c r="S1361" t="s">
        <v>8007</v>
      </c>
      <c r="T1361" t="s">
        <v>13290</v>
      </c>
      <c r="U1361" t="s">
        <v>13290</v>
      </c>
      <c r="V1361" t="s">
        <v>13290</v>
      </c>
      <c r="W1361" t="s">
        <v>14623</v>
      </c>
      <c r="X1361">
        <v>8</v>
      </c>
      <c r="Y1361" t="s">
        <v>21201</v>
      </c>
      <c r="Z1361" t="s">
        <v>27691</v>
      </c>
      <c r="AA1361">
        <v>0.60136368135219886</v>
      </c>
      <c r="AB1361" t="str">
        <f>HYPERLINK("Melting_Curves/meltCurve_O00566_MPHOSPH10.pdf", "Melting_Curves/meltCurve_O00566_MPHOSPH10.pdf")</f>
        <v>Melting_Curves/meltCurve_O00566_MPHOSPH10.pdf</v>
      </c>
    </row>
    <row r="1362" spans="1:28" x14ac:dyDescent="0.25">
      <c r="A1362" t="s">
        <v>1366</v>
      </c>
      <c r="B1362">
        <v>0.99252571173614901</v>
      </c>
      <c r="C1362">
        <v>0.94021916492861302</v>
      </c>
      <c r="D1362">
        <v>1.0016893020064399</v>
      </c>
      <c r="E1362">
        <v>0.923578535159577</v>
      </c>
      <c r="F1362">
        <v>0.47120472891957699</v>
      </c>
      <c r="G1362">
        <v>0.228406613250343</v>
      </c>
      <c r="H1362">
        <v>0.154180245273176</v>
      </c>
      <c r="I1362">
        <v>0.17168673429544201</v>
      </c>
      <c r="J1362">
        <v>0.222146321528743</v>
      </c>
      <c r="K1362">
        <v>0.22406878432011801</v>
      </c>
      <c r="L1362">
        <v>2146.7900608077398</v>
      </c>
      <c r="M1362">
        <v>40.999655908540497</v>
      </c>
      <c r="N1362">
        <v>52.992430815742999</v>
      </c>
      <c r="O1362">
        <v>52.2370701465275</v>
      </c>
      <c r="P1362">
        <v>-0.158310818790072</v>
      </c>
      <c r="Q1362">
        <v>0.19319543857097801</v>
      </c>
      <c r="R1362">
        <v>0.99415841907326397</v>
      </c>
      <c r="S1362" t="s">
        <v>8008</v>
      </c>
      <c r="T1362" t="s">
        <v>13290</v>
      </c>
      <c r="U1362" t="s">
        <v>13290</v>
      </c>
      <c r="V1362" t="s">
        <v>13290</v>
      </c>
      <c r="W1362" t="s">
        <v>14624</v>
      </c>
      <c r="X1362">
        <v>19</v>
      </c>
      <c r="Y1362" t="s">
        <v>21202</v>
      </c>
      <c r="Z1362" t="s">
        <v>27692</v>
      </c>
      <c r="AA1362">
        <v>0.52840742829845277</v>
      </c>
      <c r="AB1362" t="str">
        <f>HYPERLINK("Melting_Curves/meltCurve_O00567_NOP56.pdf", "Melting_Curves/meltCurve_O00567_NOP56.pdf")</f>
        <v>Melting_Curves/meltCurve_O00567_NOP56.pdf</v>
      </c>
    </row>
    <row r="1363" spans="1:28" x14ac:dyDescent="0.25">
      <c r="A1363" t="s">
        <v>1367</v>
      </c>
      <c r="B1363">
        <v>0.99252571173614901</v>
      </c>
      <c r="C1363">
        <v>0.92618344263191499</v>
      </c>
      <c r="D1363">
        <v>0.55281633671178498</v>
      </c>
      <c r="E1363">
        <v>0.15821079702681101</v>
      </c>
      <c r="F1363">
        <v>9.22124334928697E-2</v>
      </c>
      <c r="G1363">
        <v>5.3809399710413999E-2</v>
      </c>
      <c r="H1363">
        <v>4.4098609049055798E-2</v>
      </c>
      <c r="I1363">
        <v>4.4202290986491102E-2</v>
      </c>
      <c r="J1363">
        <v>5.1776684352613601E-2</v>
      </c>
      <c r="K1363">
        <v>5.6239974593056498E-2</v>
      </c>
      <c r="L1363">
        <v>1408.5770892579999</v>
      </c>
      <c r="M1363">
        <v>30.490663175956101</v>
      </c>
      <c r="N1363">
        <v>46.368740425321199</v>
      </c>
      <c r="O1363">
        <v>45.999648055836801</v>
      </c>
      <c r="P1363">
        <v>-0.15686430714021199</v>
      </c>
      <c r="Q1363">
        <v>5.3394345831938902E-2</v>
      </c>
      <c r="R1363">
        <v>0.99939257104692003</v>
      </c>
      <c r="S1363" t="s">
        <v>8009</v>
      </c>
      <c r="T1363" t="s">
        <v>13290</v>
      </c>
      <c r="U1363" t="s">
        <v>13290</v>
      </c>
      <c r="V1363" t="s">
        <v>13290</v>
      </c>
      <c r="W1363" t="s">
        <v>14625</v>
      </c>
      <c r="X1363">
        <v>48</v>
      </c>
      <c r="Y1363" t="s">
        <v>21203</v>
      </c>
      <c r="Z1363" t="s">
        <v>27693</v>
      </c>
      <c r="AA1363">
        <v>0.25446556932859882</v>
      </c>
      <c r="AB1363" t="str">
        <f>HYPERLINK("Melting_Curves/meltCurve_O00571_DDX3X.pdf", "Melting_Curves/meltCurve_O00571_DDX3X.pdf")</f>
        <v>Melting_Curves/meltCurve_O00571_DDX3X.pdf</v>
      </c>
    </row>
    <row r="1364" spans="1:28" x14ac:dyDescent="0.25">
      <c r="A1364" t="s">
        <v>1368</v>
      </c>
      <c r="B1364">
        <v>0.99252571173614901</v>
      </c>
      <c r="C1364">
        <v>1.04929112382107</v>
      </c>
      <c r="D1364">
        <v>0.875558094810716</v>
      </c>
      <c r="E1364">
        <v>0.59542921043071095</v>
      </c>
      <c r="F1364">
        <v>0.42327076016175103</v>
      </c>
      <c r="G1364">
        <v>0.27164510913732598</v>
      </c>
      <c r="H1364">
        <v>0.15696506125416901</v>
      </c>
      <c r="I1364">
        <v>0.10368215883097399</v>
      </c>
      <c r="J1364">
        <v>9.8745913100203295E-2</v>
      </c>
      <c r="K1364">
        <v>9.6067370365518906E-2</v>
      </c>
      <c r="L1364">
        <v>814.45510526861096</v>
      </c>
      <c r="M1364">
        <v>15.9366795968215</v>
      </c>
      <c r="N1364">
        <v>51.719126906964597</v>
      </c>
      <c r="O1364">
        <v>50.321322693524003</v>
      </c>
      <c r="P1364">
        <v>-7.2362171869439398E-2</v>
      </c>
      <c r="Q1364">
        <v>8.6115791882291001E-2</v>
      </c>
      <c r="R1364">
        <v>0.99013806123535297</v>
      </c>
      <c r="S1364" t="s">
        <v>8010</v>
      </c>
      <c r="T1364" t="s">
        <v>13290</v>
      </c>
      <c r="U1364" t="s">
        <v>13290</v>
      </c>
      <c r="V1364" t="s">
        <v>13290</v>
      </c>
      <c r="W1364" t="s">
        <v>14626</v>
      </c>
      <c r="X1364">
        <v>13</v>
      </c>
      <c r="Y1364" t="s">
        <v>21204</v>
      </c>
      <c r="Z1364" t="s">
        <v>27694</v>
      </c>
      <c r="AA1364">
        <v>0.44344820956160652</v>
      </c>
      <c r="AB1364" t="str">
        <f>HYPERLINK("Melting_Curves/meltCurve_O00625_PIR.pdf", "Melting_Curves/meltCurve_O00625_PIR.pdf")</f>
        <v>Melting_Curves/meltCurve_O00625_PIR.pdf</v>
      </c>
    </row>
    <row r="1365" spans="1:28" x14ac:dyDescent="0.25">
      <c r="A1365" t="s">
        <v>1369</v>
      </c>
      <c r="B1365">
        <v>0.99252571173614901</v>
      </c>
      <c r="C1365">
        <v>0.97331609469897695</v>
      </c>
      <c r="D1365">
        <v>0.92419025308609903</v>
      </c>
      <c r="E1365">
        <v>0.76775365587688404</v>
      </c>
      <c r="F1365">
        <v>0.66844627626038</v>
      </c>
      <c r="G1365">
        <v>0.36207095657927602</v>
      </c>
      <c r="H1365">
        <v>0.21739829412335401</v>
      </c>
      <c r="I1365">
        <v>0.23142259418285499</v>
      </c>
      <c r="J1365">
        <v>0.29957317366351</v>
      </c>
      <c r="K1365">
        <v>0.29343743599446598</v>
      </c>
      <c r="L1365">
        <v>971.62648281054396</v>
      </c>
      <c r="M1365">
        <v>18.4502207687535</v>
      </c>
      <c r="N1365">
        <v>54.556236997826801</v>
      </c>
      <c r="O1365">
        <v>52.055097488360801</v>
      </c>
      <c r="P1365">
        <v>-6.7655262352245296E-2</v>
      </c>
      <c r="Q1365">
        <v>0.23650915763380301</v>
      </c>
      <c r="R1365">
        <v>0.97501719545203502</v>
      </c>
      <c r="S1365" t="s">
        <v>8011</v>
      </c>
      <c r="T1365" t="s">
        <v>13290</v>
      </c>
      <c r="U1365" t="s">
        <v>13290</v>
      </c>
      <c r="V1365" t="s">
        <v>13290</v>
      </c>
      <c r="W1365" t="s">
        <v>14627</v>
      </c>
      <c r="X1365">
        <v>13</v>
      </c>
      <c r="Y1365" t="s">
        <v>21205</v>
      </c>
      <c r="Z1365" t="s">
        <v>27695</v>
      </c>
      <c r="AA1365">
        <v>0.5708297469549114</v>
      </c>
      <c r="AB1365" t="str">
        <f>HYPERLINK("Melting_Curves/meltCurve_O00629_KPNA4.pdf", "Melting_Curves/meltCurve_O00629_KPNA4.pdf")</f>
        <v>Melting_Curves/meltCurve_O00629_KPNA4.pdf</v>
      </c>
    </row>
    <row r="1366" spans="1:28" x14ac:dyDescent="0.25">
      <c r="A1366" t="s">
        <v>1370</v>
      </c>
      <c r="B1366">
        <v>0.99252571173614901</v>
      </c>
      <c r="C1366">
        <v>0.995566653444801</v>
      </c>
      <c r="D1366">
        <v>1.0134041977450401</v>
      </c>
      <c r="E1366">
        <v>1.0588760130827699</v>
      </c>
      <c r="F1366">
        <v>0.96584911102056403</v>
      </c>
      <c r="G1366">
        <v>0.94587325018074497</v>
      </c>
      <c r="H1366">
        <v>0.735421213721139</v>
      </c>
      <c r="I1366">
        <v>0.50143050234114095</v>
      </c>
      <c r="J1366">
        <v>0.46710970915605199</v>
      </c>
      <c r="K1366">
        <v>0.40869223635494401</v>
      </c>
      <c r="L1366">
        <v>1956.5328137216</v>
      </c>
      <c r="M1366">
        <v>32.0448470754163</v>
      </c>
      <c r="N1366">
        <v>64.533899292689398</v>
      </c>
      <c r="O1366">
        <v>60.819781537712501</v>
      </c>
      <c r="P1366">
        <v>-7.7572425369113199E-2</v>
      </c>
      <c r="Q1366">
        <v>0.41108605607923199</v>
      </c>
      <c r="R1366">
        <v>0.99009531115363802</v>
      </c>
      <c r="S1366" t="s">
        <v>8012</v>
      </c>
      <c r="T1366" t="s">
        <v>13290</v>
      </c>
      <c r="U1366" t="s">
        <v>13290</v>
      </c>
      <c r="V1366" t="s">
        <v>13290</v>
      </c>
      <c r="W1366" t="s">
        <v>14628</v>
      </c>
      <c r="X1366">
        <v>12</v>
      </c>
      <c r="Y1366" t="s">
        <v>21206</v>
      </c>
      <c r="Z1366" t="s">
        <v>27696</v>
      </c>
      <c r="AA1366">
        <v>0.82744160643169595</v>
      </c>
      <c r="AB1366" t="str">
        <f>HYPERLINK("Melting_Curves/meltCurve_O00743_PPP6C.pdf", "Melting_Curves/meltCurve_O00743_PPP6C.pdf")</f>
        <v>Melting_Curves/meltCurve_O00743_PPP6C.pdf</v>
      </c>
    </row>
    <row r="1367" spans="1:28" x14ac:dyDescent="0.25">
      <c r="A1367" t="s">
        <v>1371</v>
      </c>
      <c r="B1367">
        <v>0.99252571173614901</v>
      </c>
      <c r="C1367">
        <v>1.01251765179176</v>
      </c>
      <c r="D1367">
        <v>0.88007764034941705</v>
      </c>
      <c r="E1367">
        <v>0.79689902747678598</v>
      </c>
      <c r="F1367">
        <v>0.52339065911752403</v>
      </c>
      <c r="G1367">
        <v>0.35996607766788702</v>
      </c>
      <c r="H1367">
        <v>0.31862646798962202</v>
      </c>
      <c r="I1367">
        <v>0.29544423664392799</v>
      </c>
      <c r="J1367">
        <v>0.215736434575727</v>
      </c>
      <c r="K1367">
        <v>0.267387884233245</v>
      </c>
      <c r="L1367">
        <v>923.64525158046399</v>
      </c>
      <c r="M1367">
        <v>17.8367959830444</v>
      </c>
      <c r="N1367">
        <v>53.837102827200802</v>
      </c>
      <c r="O1367">
        <v>51.145407916678501</v>
      </c>
      <c r="P1367">
        <v>-6.5670677260863106E-2</v>
      </c>
      <c r="Q1367">
        <v>0.24681948295278</v>
      </c>
      <c r="R1367">
        <v>0.99147541213430201</v>
      </c>
      <c r="S1367" t="s">
        <v>8013</v>
      </c>
      <c r="T1367" t="s">
        <v>13290</v>
      </c>
      <c r="U1367" t="s">
        <v>13290</v>
      </c>
      <c r="V1367" t="s">
        <v>13290</v>
      </c>
      <c r="W1367" t="s">
        <v>14629</v>
      </c>
      <c r="X1367">
        <v>2</v>
      </c>
      <c r="Y1367" t="s">
        <v>21207</v>
      </c>
      <c r="Z1367" t="s">
        <v>27697</v>
      </c>
      <c r="AA1367">
        <v>0.55541607861982656</v>
      </c>
      <c r="AB1367" t="str">
        <f>HYPERLINK("Melting_Curves/meltCurve_O00748_CES2.pdf", "Melting_Curves/meltCurve_O00748_CES2.pdf")</f>
        <v>Melting_Curves/meltCurve_O00748_CES2.pdf</v>
      </c>
    </row>
    <row r="1368" spans="1:28" x14ac:dyDescent="0.25">
      <c r="A1368" t="s">
        <v>1372</v>
      </c>
      <c r="B1368">
        <v>0.99252571173614901</v>
      </c>
      <c r="C1368">
        <v>0.95919511922370604</v>
      </c>
      <c r="D1368">
        <v>1.0286333819737401</v>
      </c>
      <c r="E1368">
        <v>0.97710817484519497</v>
      </c>
      <c r="F1368">
        <v>0.949453931514882</v>
      </c>
      <c r="G1368">
        <v>0.78302420653942395</v>
      </c>
      <c r="H1368">
        <v>1.0537608959843601</v>
      </c>
      <c r="I1368">
        <v>1.1616638087157301</v>
      </c>
      <c r="J1368">
        <v>1.8084901756465801</v>
      </c>
      <c r="K1368">
        <v>2.0794987290558802</v>
      </c>
      <c r="L1368">
        <v>15000</v>
      </c>
      <c r="M1368">
        <v>233.63701828905499</v>
      </c>
      <c r="O1368">
        <v>64.197448319487094</v>
      </c>
      <c r="P1368">
        <v>0.45491880180253902</v>
      </c>
      <c r="Q1368">
        <v>1.5</v>
      </c>
      <c r="R1368">
        <v>0.69185577895108796</v>
      </c>
      <c r="S1368" t="s">
        <v>8014</v>
      </c>
      <c r="T1368" t="s">
        <v>13290</v>
      </c>
      <c r="U1368" t="s">
        <v>13290</v>
      </c>
      <c r="V1368" t="s">
        <v>13290</v>
      </c>
      <c r="W1368" t="s">
        <v>14630</v>
      </c>
      <c r="X1368">
        <v>24</v>
      </c>
      <c r="Y1368" t="s">
        <v>21208</v>
      </c>
      <c r="Z1368" t="s">
        <v>27698</v>
      </c>
      <c r="AA1368">
        <v>1.0965662479340059</v>
      </c>
      <c r="AB1368" t="str">
        <f>HYPERLINK("Melting_Curves/meltCurve_O00754_2_MAN2B1.pdf", "Melting_Curves/meltCurve_O00754_2_MAN2B1.pdf")</f>
        <v>Melting_Curves/meltCurve_O00754_2_MAN2B1.pdf</v>
      </c>
    </row>
    <row r="1369" spans="1:28" x14ac:dyDescent="0.25">
      <c r="A1369" t="s">
        <v>1373</v>
      </c>
      <c r="B1369">
        <v>0.99252571173614901</v>
      </c>
      <c r="C1369">
        <v>0.93350966570696703</v>
      </c>
      <c r="D1369">
        <v>1.02461577660489</v>
      </c>
      <c r="E1369">
        <v>0.79591693602198299</v>
      </c>
      <c r="F1369">
        <v>0.89788609059926305</v>
      </c>
      <c r="G1369">
        <v>0.83517348147985704</v>
      </c>
      <c r="H1369">
        <v>0.84099338145811597</v>
      </c>
      <c r="I1369">
        <v>1.0139790011586201</v>
      </c>
      <c r="J1369">
        <v>1.40447980625985</v>
      </c>
      <c r="K1369">
        <v>1.7791781049214099</v>
      </c>
      <c r="L1369">
        <v>15000</v>
      </c>
      <c r="M1369">
        <v>224.990831776557</v>
      </c>
      <c r="O1369">
        <v>66.664118120127696</v>
      </c>
      <c r="P1369">
        <v>0.42187395231178498</v>
      </c>
      <c r="Q1369">
        <v>1.5</v>
      </c>
      <c r="R1369">
        <v>0.78006510198227796</v>
      </c>
      <c r="S1369" t="s">
        <v>8015</v>
      </c>
      <c r="T1369" t="s">
        <v>13290</v>
      </c>
      <c r="U1369" t="s">
        <v>13290</v>
      </c>
      <c r="V1369" t="s">
        <v>13290</v>
      </c>
      <c r="W1369" t="s">
        <v>14631</v>
      </c>
      <c r="X1369">
        <v>3</v>
      </c>
      <c r="Y1369" t="s">
        <v>21209</v>
      </c>
      <c r="Z1369" t="s">
        <v>27699</v>
      </c>
      <c r="AA1369">
        <v>1.0554381676441551</v>
      </c>
      <c r="AB1369" t="str">
        <f>HYPERLINK("Melting_Curves/meltCurve_O00757_FBP2.pdf", "Melting_Curves/meltCurve_O00757_FBP2.pdf")</f>
        <v>Melting_Curves/meltCurve_O00757_FBP2.pdf</v>
      </c>
    </row>
    <row r="1370" spans="1:28" x14ac:dyDescent="0.25">
      <c r="A1370" t="s">
        <v>1374</v>
      </c>
      <c r="B1370">
        <v>0.99252571173614901</v>
      </c>
      <c r="C1370">
        <v>1.06476588655445</v>
      </c>
      <c r="D1370">
        <v>0.84522402868614099</v>
      </c>
      <c r="E1370">
        <v>0.54171828130371202</v>
      </c>
      <c r="F1370">
        <v>0.36744050351975299</v>
      </c>
      <c r="G1370">
        <v>0.247475124568484</v>
      </c>
      <c r="H1370">
        <v>0.183883222845133</v>
      </c>
      <c r="I1370">
        <v>0.196732786825983</v>
      </c>
      <c r="J1370">
        <v>0.221087456724019</v>
      </c>
      <c r="K1370">
        <v>0.19490698203585499</v>
      </c>
      <c r="L1370">
        <v>1097.8913813157201</v>
      </c>
      <c r="M1370">
        <v>22.307086155475901</v>
      </c>
      <c r="N1370">
        <v>50.381329466797801</v>
      </c>
      <c r="O1370">
        <v>48.826746256184798</v>
      </c>
      <c r="P1370">
        <v>-9.1215943725673002E-2</v>
      </c>
      <c r="Q1370">
        <v>0.20138675037032699</v>
      </c>
      <c r="R1370">
        <v>0.98885432783390304</v>
      </c>
      <c r="S1370" t="s">
        <v>8016</v>
      </c>
      <c r="T1370" t="s">
        <v>13290</v>
      </c>
      <c r="U1370" t="s">
        <v>13290</v>
      </c>
      <c r="V1370" t="s">
        <v>13290</v>
      </c>
      <c r="W1370" t="s">
        <v>14632</v>
      </c>
      <c r="X1370">
        <v>4</v>
      </c>
      <c r="Y1370" t="s">
        <v>21210</v>
      </c>
      <c r="Z1370" t="s">
        <v>27700</v>
      </c>
      <c r="AA1370">
        <v>0.45569968881242778</v>
      </c>
      <c r="AB1370" t="str">
        <f>HYPERLINK("Melting_Curves/meltCurve_O00762_2_UBE2C.pdf", "Melting_Curves/meltCurve_O00762_2_UBE2C.pdf")</f>
        <v>Melting_Curves/meltCurve_O00762_2_UBE2C.pdf</v>
      </c>
    </row>
    <row r="1371" spans="1:28" x14ac:dyDescent="0.25">
      <c r="A1371" t="s">
        <v>1375</v>
      </c>
      <c r="B1371">
        <v>0.99252571173614901</v>
      </c>
      <c r="C1371">
        <v>1.03090945694271</v>
      </c>
      <c r="D1371">
        <v>0.95948259974084804</v>
      </c>
      <c r="E1371">
        <v>0.77295424868977802</v>
      </c>
      <c r="F1371">
        <v>0.731272727423247</v>
      </c>
      <c r="G1371">
        <v>0.71523682519718002</v>
      </c>
      <c r="H1371">
        <v>0.54772157591724602</v>
      </c>
      <c r="I1371">
        <v>0.12846267003176001</v>
      </c>
      <c r="J1371">
        <v>0.14490536264957901</v>
      </c>
      <c r="K1371">
        <v>0.14976737397329101</v>
      </c>
      <c r="L1371">
        <v>700.62217452275797</v>
      </c>
      <c r="M1371">
        <v>11.876234687014399</v>
      </c>
      <c r="N1371">
        <v>58.993628307288098</v>
      </c>
      <c r="O1371">
        <v>57.395610383173803</v>
      </c>
      <c r="P1371">
        <v>-5.1742714166826298E-2</v>
      </c>
      <c r="Q1371">
        <v>0</v>
      </c>
      <c r="R1371">
        <v>0.93351216776174695</v>
      </c>
      <c r="S1371" t="s">
        <v>8017</v>
      </c>
      <c r="T1371" t="s">
        <v>13290</v>
      </c>
      <c r="U1371" t="s">
        <v>13290</v>
      </c>
      <c r="V1371" t="s">
        <v>13290</v>
      </c>
      <c r="W1371" t="s">
        <v>14633</v>
      </c>
      <c r="X1371">
        <v>12</v>
      </c>
      <c r="Y1371" t="s">
        <v>21211</v>
      </c>
      <c r="Z1371" t="s">
        <v>27701</v>
      </c>
      <c r="AA1371">
        <v>0.64087039998075157</v>
      </c>
      <c r="AB1371" t="str">
        <f>HYPERLINK("Melting_Curves/meltCurve_O00764_PDXK.pdf", "Melting_Curves/meltCurve_O00764_PDXK.pdf")</f>
        <v>Melting_Curves/meltCurve_O00764_PDXK.pdf</v>
      </c>
    </row>
    <row r="1372" spans="1:28" x14ac:dyDescent="0.25">
      <c r="A1372" t="s">
        <v>1376</v>
      </c>
      <c r="B1372">
        <v>0.99252571173614901</v>
      </c>
      <c r="C1372">
        <v>0.87448698451825602</v>
      </c>
      <c r="D1372">
        <v>0.71852873475750001</v>
      </c>
      <c r="E1372">
        <v>0.383671067962914</v>
      </c>
      <c r="F1372">
        <v>0.23938415039713401</v>
      </c>
      <c r="G1372">
        <v>0.1346075501848</v>
      </c>
      <c r="H1372">
        <v>9.5513181984148904E-2</v>
      </c>
      <c r="I1372">
        <v>8.0602469484455402E-2</v>
      </c>
      <c r="J1372">
        <v>8.0912965784469507E-2</v>
      </c>
      <c r="K1372">
        <v>6.7337570344682698E-2</v>
      </c>
      <c r="L1372">
        <v>821.77797102391901</v>
      </c>
      <c r="M1372">
        <v>17.1259259063815</v>
      </c>
      <c r="N1372">
        <v>48.419597128614697</v>
      </c>
      <c r="O1372">
        <v>47.344527684163097</v>
      </c>
      <c r="P1372">
        <v>-8.3987040051599807E-2</v>
      </c>
      <c r="Q1372">
        <v>7.1329008967372098E-2</v>
      </c>
      <c r="R1372">
        <v>0.99796065585840898</v>
      </c>
      <c r="S1372" t="s">
        <v>8018</v>
      </c>
      <c r="T1372" t="s">
        <v>13290</v>
      </c>
      <c r="U1372" t="s">
        <v>13290</v>
      </c>
      <c r="V1372" t="s">
        <v>13290</v>
      </c>
      <c r="W1372" t="s">
        <v>14634</v>
      </c>
      <c r="X1372">
        <v>4</v>
      </c>
      <c r="Y1372" t="s">
        <v>21212</v>
      </c>
      <c r="Z1372" t="s">
        <v>27702</v>
      </c>
      <c r="AA1372">
        <v>0.3367749301215065</v>
      </c>
      <c r="AB1372" t="str">
        <f>HYPERLINK("Melting_Curves/meltCurve_O00767_SCD.pdf", "Melting_Curves/meltCurve_O00767_SCD.pdf")</f>
        <v>Melting_Curves/meltCurve_O00767_SCD.pdf</v>
      </c>
    </row>
    <row r="1373" spans="1:28" x14ac:dyDescent="0.25">
      <c r="A1373" t="s">
        <v>1377</v>
      </c>
      <c r="B1373">
        <v>0.99252571173614901</v>
      </c>
      <c r="C1373">
        <v>0.85614327348492703</v>
      </c>
      <c r="D1373">
        <v>0.64778620788723695</v>
      </c>
      <c r="E1373">
        <v>0.30596906457790701</v>
      </c>
      <c r="F1373">
        <v>0.18555644892067599</v>
      </c>
      <c r="G1373">
        <v>0.10988856481546599</v>
      </c>
      <c r="H1373">
        <v>9.7795559135808702E-2</v>
      </c>
      <c r="I1373">
        <v>0.11641035850091901</v>
      </c>
      <c r="J1373">
        <v>0.157646666651513</v>
      </c>
      <c r="K1373">
        <v>0.18616158982247999</v>
      </c>
      <c r="L1373">
        <v>1030.0737641845999</v>
      </c>
      <c r="M1373">
        <v>22.098463786304499</v>
      </c>
      <c r="N1373">
        <v>47.253405108562603</v>
      </c>
      <c r="O1373">
        <v>46.236248346131902</v>
      </c>
      <c r="P1373">
        <v>-0.10402567586118699</v>
      </c>
      <c r="Q1373">
        <v>0.12941450233919999</v>
      </c>
      <c r="R1373">
        <v>0.99180754594100595</v>
      </c>
      <c r="S1373" t="s">
        <v>8019</v>
      </c>
      <c r="T1373" t="s">
        <v>13290</v>
      </c>
      <c r="U1373" t="s">
        <v>13290</v>
      </c>
      <c r="V1373" t="s">
        <v>13290</v>
      </c>
      <c r="W1373" t="s">
        <v>14635</v>
      </c>
      <c r="X1373">
        <v>15</v>
      </c>
      <c r="Y1373" t="s">
        <v>21213</v>
      </c>
      <c r="Z1373" t="s">
        <v>27703</v>
      </c>
      <c r="AA1373">
        <v>0.33167847300159597</v>
      </c>
      <c r="AB1373" t="str">
        <f>HYPERLINK("Melting_Curves/meltCurve_O14497_ARID1A.pdf", "Melting_Curves/meltCurve_O14497_ARID1A.pdf")</f>
        <v>Melting_Curves/meltCurve_O14497_ARID1A.pdf</v>
      </c>
    </row>
    <row r="1374" spans="1:28" x14ac:dyDescent="0.25">
      <c r="A1374" t="s">
        <v>1378</v>
      </c>
      <c r="B1374">
        <v>0.99252571173614901</v>
      </c>
      <c r="C1374">
        <v>0.91595457648404399</v>
      </c>
      <c r="D1374">
        <v>0.84320759701794301</v>
      </c>
      <c r="E1374">
        <v>0.69707732426054403</v>
      </c>
      <c r="F1374">
        <v>0.438731019493938</v>
      </c>
      <c r="G1374">
        <v>0.28308411021760399</v>
      </c>
      <c r="H1374">
        <v>0.20379140761179601</v>
      </c>
      <c r="I1374">
        <v>0.239861881913981</v>
      </c>
      <c r="J1374">
        <v>0.29124250747830599</v>
      </c>
      <c r="K1374">
        <v>0.23634079451759901</v>
      </c>
      <c r="L1374">
        <v>875.23370636968502</v>
      </c>
      <c r="M1374">
        <v>17.418715551787901</v>
      </c>
      <c r="N1374">
        <v>52.003184160018897</v>
      </c>
      <c r="O1374">
        <v>49.598518049234002</v>
      </c>
      <c r="P1374">
        <v>-6.8278398184483099E-2</v>
      </c>
      <c r="Q1374">
        <v>0.22237274389789</v>
      </c>
      <c r="R1374">
        <v>0.986287736198033</v>
      </c>
      <c r="S1374" t="s">
        <v>8020</v>
      </c>
      <c r="T1374" t="s">
        <v>13290</v>
      </c>
      <c r="U1374" t="s">
        <v>13290</v>
      </c>
      <c r="V1374" t="s">
        <v>13290</v>
      </c>
      <c r="W1374" t="s">
        <v>14636</v>
      </c>
      <c r="X1374">
        <v>2</v>
      </c>
      <c r="Y1374" t="s">
        <v>21214</v>
      </c>
      <c r="Z1374" t="s">
        <v>27704</v>
      </c>
      <c r="AA1374">
        <v>0.50203218534060778</v>
      </c>
      <c r="AB1374" t="str">
        <f>HYPERLINK("Melting_Curves/meltCurve_O14503_BHLHE40.pdf", "Melting_Curves/meltCurve_O14503_BHLHE40.pdf")</f>
        <v>Melting_Curves/meltCurve_O14503_BHLHE40.pdf</v>
      </c>
    </row>
    <row r="1375" spans="1:28" x14ac:dyDescent="0.25">
      <c r="A1375" t="s">
        <v>1379</v>
      </c>
      <c r="B1375">
        <v>0.99252571173614901</v>
      </c>
      <c r="C1375">
        <v>1.22144915254886</v>
      </c>
      <c r="D1375">
        <v>1.28761151995419</v>
      </c>
      <c r="E1375">
        <v>1.5417375162607101</v>
      </c>
      <c r="F1375">
        <v>1.54932009553463</v>
      </c>
      <c r="G1375">
        <v>1.3245595741337699</v>
      </c>
      <c r="H1375">
        <v>1.4411686620084001</v>
      </c>
      <c r="I1375">
        <v>2.2730807051194901</v>
      </c>
      <c r="J1375">
        <v>3.7234888303257501</v>
      </c>
      <c r="K1375">
        <v>3.6006872336573501</v>
      </c>
      <c r="L1375">
        <v>1109.72148087912</v>
      </c>
      <c r="M1375">
        <v>25.130864633367</v>
      </c>
      <c r="O1375">
        <v>43.880965601047002</v>
      </c>
      <c r="P1375">
        <v>7.1589131490139304E-2</v>
      </c>
      <c r="Q1375">
        <v>1.5</v>
      </c>
      <c r="R1375">
        <v>-0.136262779813945</v>
      </c>
      <c r="S1375" t="s">
        <v>8021</v>
      </c>
      <c r="T1375" t="s">
        <v>13290</v>
      </c>
      <c r="U1375" t="s">
        <v>13290</v>
      </c>
      <c r="V1375" t="s">
        <v>13290</v>
      </c>
      <c r="W1375" t="s">
        <v>14637</v>
      </c>
      <c r="X1375">
        <v>2</v>
      </c>
      <c r="Y1375" t="s">
        <v>21215</v>
      </c>
      <c r="Z1375" t="s">
        <v>27705</v>
      </c>
      <c r="AA1375">
        <v>1.4252019987477491</v>
      </c>
      <c r="AB1375" t="str">
        <f>HYPERLINK("Melting_Curves/meltCurve_O14519_2_CDK2AP1.pdf", "Melting_Curves/meltCurve_O14519_2_CDK2AP1.pdf")</f>
        <v>Melting_Curves/meltCurve_O14519_2_CDK2AP1.pdf</v>
      </c>
    </row>
    <row r="1376" spans="1:28" x14ac:dyDescent="0.25">
      <c r="A1376" t="s">
        <v>1380</v>
      </c>
      <c r="B1376">
        <v>0.99252571173614901</v>
      </c>
      <c r="C1376">
        <v>0.93433487945257099</v>
      </c>
      <c r="D1376">
        <v>0.85998680096817004</v>
      </c>
      <c r="E1376">
        <v>0.80623871842655204</v>
      </c>
      <c r="F1376">
        <v>0.57846868032160403</v>
      </c>
      <c r="G1376">
        <v>0.38152989253730701</v>
      </c>
      <c r="H1376">
        <v>0.302280471461155</v>
      </c>
      <c r="I1376">
        <v>0.224423297167785</v>
      </c>
      <c r="J1376">
        <v>0.156431769416877</v>
      </c>
      <c r="K1376">
        <v>0.16712585473038899</v>
      </c>
      <c r="L1376">
        <v>640.081771981771</v>
      </c>
      <c r="M1376">
        <v>11.8973572112571</v>
      </c>
      <c r="N1376">
        <v>54.831560385782701</v>
      </c>
      <c r="O1376">
        <v>52.347915437772997</v>
      </c>
      <c r="P1376">
        <v>-5.11355528113362E-2</v>
      </c>
      <c r="Q1376">
        <v>0.100246366449826</v>
      </c>
      <c r="R1376">
        <v>0.993932819119693</v>
      </c>
      <c r="S1376" t="s">
        <v>8022</v>
      </c>
      <c r="T1376" t="s">
        <v>13290</v>
      </c>
      <c r="U1376" t="s">
        <v>13290</v>
      </c>
      <c r="V1376" t="s">
        <v>13290</v>
      </c>
      <c r="W1376" t="s">
        <v>14638</v>
      </c>
      <c r="X1376">
        <v>3</v>
      </c>
      <c r="Y1376" t="s">
        <v>21216</v>
      </c>
      <c r="Z1376" t="s">
        <v>27706</v>
      </c>
      <c r="AA1376">
        <v>0.53828307595524028</v>
      </c>
      <c r="AB1376" t="str">
        <f>HYPERLINK("Melting_Curves/meltCurve_O14523_C2CD2L.pdf", "Melting_Curves/meltCurve_O14523_C2CD2L.pdf")</f>
        <v>Melting_Curves/meltCurve_O14523_C2CD2L.pdf</v>
      </c>
    </row>
    <row r="1377" spans="1:28" x14ac:dyDescent="0.25">
      <c r="A1377" t="s">
        <v>1381</v>
      </c>
      <c r="B1377">
        <v>0.99252571173614901</v>
      </c>
      <c r="C1377">
        <v>0.89154099493271199</v>
      </c>
      <c r="D1377">
        <v>0.82636258820379205</v>
      </c>
      <c r="E1377">
        <v>0.74403305436131295</v>
      </c>
      <c r="F1377">
        <v>0.30917457551230798</v>
      </c>
      <c r="G1377">
        <v>0.15381377464792101</v>
      </c>
      <c r="H1377">
        <v>0.123186195353296</v>
      </c>
      <c r="I1377">
        <v>0.137150101737262</v>
      </c>
      <c r="J1377">
        <v>0.180802189254227</v>
      </c>
      <c r="K1377">
        <v>0.176954940639832</v>
      </c>
      <c r="L1377">
        <v>1187.84916836507</v>
      </c>
      <c r="M1377">
        <v>23.489176260676999</v>
      </c>
      <c r="N1377">
        <v>51.266428495114504</v>
      </c>
      <c r="O1377">
        <v>50.207812686529699</v>
      </c>
      <c r="P1377">
        <v>-0.100986449590566</v>
      </c>
      <c r="Q1377">
        <v>0.136585912644718</v>
      </c>
      <c r="R1377">
        <v>0.97281036433970602</v>
      </c>
      <c r="S1377" t="s">
        <v>8023</v>
      </c>
      <c r="T1377" t="s">
        <v>13290</v>
      </c>
      <c r="U1377" t="s">
        <v>13290</v>
      </c>
      <c r="V1377" t="s">
        <v>13290</v>
      </c>
      <c r="W1377" t="s">
        <v>14639</v>
      </c>
      <c r="X1377">
        <v>3</v>
      </c>
      <c r="Y1377" t="s">
        <v>21217</v>
      </c>
      <c r="Z1377" t="s">
        <v>27707</v>
      </c>
      <c r="AA1377">
        <v>0.44957968279570693</v>
      </c>
      <c r="AB1377" t="str">
        <f>HYPERLINK("Melting_Curves/meltCurve_O14524_2_TMEM194A.pdf", "Melting_Curves/meltCurve_O14524_2_TMEM194A.pdf")</f>
        <v>Melting_Curves/meltCurve_O14524_2_TMEM194A.pdf</v>
      </c>
    </row>
    <row r="1378" spans="1:28" x14ac:dyDescent="0.25">
      <c r="A1378" t="s">
        <v>1382</v>
      </c>
      <c r="B1378">
        <v>0.99252571173614901</v>
      </c>
      <c r="C1378">
        <v>0.99191910397252603</v>
      </c>
      <c r="D1378">
        <v>0.84040816061002699</v>
      </c>
      <c r="E1378">
        <v>0.76859757894241998</v>
      </c>
      <c r="F1378">
        <v>0.50368298131009503</v>
      </c>
      <c r="G1378">
        <v>0.36878935306293698</v>
      </c>
      <c r="H1378">
        <v>0.32891268400384099</v>
      </c>
      <c r="I1378">
        <v>0.32354228246977901</v>
      </c>
      <c r="J1378">
        <v>0.39851955500845898</v>
      </c>
      <c r="K1378">
        <v>0.59307518723292996</v>
      </c>
      <c r="L1378">
        <v>1144.1076902862101</v>
      </c>
      <c r="M1378">
        <v>22.980810453955101</v>
      </c>
      <c r="N1378">
        <v>53.445607967233698</v>
      </c>
      <c r="O1378">
        <v>49.412964331243202</v>
      </c>
      <c r="P1378">
        <v>-7.0183993027453095E-2</v>
      </c>
      <c r="Q1378">
        <v>0.39637742476409199</v>
      </c>
      <c r="R1378">
        <v>0.90138845022491298</v>
      </c>
      <c r="S1378" t="s">
        <v>8024</v>
      </c>
      <c r="T1378" t="s">
        <v>13290</v>
      </c>
      <c r="U1378" t="s">
        <v>13290</v>
      </c>
      <c r="V1378" t="s">
        <v>13290</v>
      </c>
      <c r="W1378" t="s">
        <v>14640</v>
      </c>
      <c r="X1378">
        <v>13</v>
      </c>
      <c r="Y1378" t="s">
        <v>21218</v>
      </c>
      <c r="Z1378" t="s">
        <v>27708</v>
      </c>
      <c r="AA1378">
        <v>0.5996452444760727</v>
      </c>
      <c r="AB1378" t="str">
        <f>HYPERLINK("Melting_Curves/meltCurve_O14545_TRAFD1.pdf", "Melting_Curves/meltCurve_O14545_TRAFD1.pdf")</f>
        <v>Melting_Curves/meltCurve_O14545_TRAFD1.pdf</v>
      </c>
    </row>
    <row r="1379" spans="1:28" x14ac:dyDescent="0.25">
      <c r="A1379" t="s">
        <v>1383</v>
      </c>
      <c r="B1379">
        <v>0.99252571173614901</v>
      </c>
      <c r="C1379">
        <v>0.89480260034304804</v>
      </c>
      <c r="D1379">
        <v>0.93569177656187297</v>
      </c>
      <c r="E1379">
        <v>0.71607585182904898</v>
      </c>
      <c r="F1379">
        <v>0.70774042294837103</v>
      </c>
      <c r="G1379">
        <v>0.67128445319758501</v>
      </c>
      <c r="H1379">
        <v>0.56700500986183799</v>
      </c>
      <c r="I1379">
        <v>0.67826019387678105</v>
      </c>
      <c r="J1379">
        <v>0.89427106567560999</v>
      </c>
      <c r="K1379">
        <v>0.78005572518016897</v>
      </c>
      <c r="L1379">
        <v>2650.7146462678402</v>
      </c>
      <c r="M1379">
        <v>56.497534526426001</v>
      </c>
      <c r="O1379">
        <v>46.858680093583203</v>
      </c>
      <c r="P1379">
        <v>-8.5999044590248694E-2</v>
      </c>
      <c r="Q1379">
        <v>0.71469200817080003</v>
      </c>
      <c r="R1379">
        <v>0.57885079307615905</v>
      </c>
      <c r="S1379" t="s">
        <v>8025</v>
      </c>
      <c r="T1379" t="s">
        <v>13290</v>
      </c>
      <c r="U1379" t="s">
        <v>13290</v>
      </c>
      <c r="V1379" t="s">
        <v>13290</v>
      </c>
      <c r="W1379" t="s">
        <v>14641</v>
      </c>
      <c r="X1379">
        <v>3</v>
      </c>
      <c r="Y1379" t="s">
        <v>21219</v>
      </c>
      <c r="Z1379" t="s">
        <v>27709</v>
      </c>
      <c r="AA1379">
        <v>0.78094006699146779</v>
      </c>
      <c r="AB1379" t="str">
        <f>HYPERLINK("Melting_Curves/meltCurve_O14548_COX7A2L.pdf", "Melting_Curves/meltCurve_O14548_COX7A2L.pdf")</f>
        <v>Melting_Curves/meltCurve_O14548_COX7A2L.pdf</v>
      </c>
    </row>
    <row r="1380" spans="1:28" x14ac:dyDescent="0.25">
      <c r="A1380" t="s">
        <v>1384</v>
      </c>
      <c r="B1380">
        <v>0.99252571173614901</v>
      </c>
      <c r="C1380">
        <v>1.0326648459414201</v>
      </c>
      <c r="D1380">
        <v>1.07536186224954</v>
      </c>
      <c r="E1380">
        <v>1.1987804523702099</v>
      </c>
      <c r="F1380">
        <v>1.12409246792155</v>
      </c>
      <c r="G1380">
        <v>1.01662077027507</v>
      </c>
      <c r="H1380">
        <v>1.1443076086194699</v>
      </c>
      <c r="I1380">
        <v>1.2562093069289699</v>
      </c>
      <c r="J1380">
        <v>0.50052438997765403</v>
      </c>
      <c r="K1380">
        <v>0.30114414277593798</v>
      </c>
      <c r="L1380">
        <v>15000</v>
      </c>
      <c r="M1380">
        <v>224.46455946146801</v>
      </c>
      <c r="N1380">
        <v>67.101239098920701</v>
      </c>
      <c r="O1380">
        <v>66.820409998138203</v>
      </c>
      <c r="P1380">
        <v>-0.58695211689204396</v>
      </c>
      <c r="Q1380">
        <v>0.30108576291137201</v>
      </c>
      <c r="R1380">
        <v>0.83002755593566602</v>
      </c>
      <c r="S1380" t="s">
        <v>8026</v>
      </c>
      <c r="T1380" t="s">
        <v>13290</v>
      </c>
      <c r="U1380" t="s">
        <v>13290</v>
      </c>
      <c r="V1380" t="s">
        <v>13290</v>
      </c>
      <c r="W1380" t="s">
        <v>14642</v>
      </c>
      <c r="X1380">
        <v>2</v>
      </c>
      <c r="Y1380" t="s">
        <v>21220</v>
      </c>
      <c r="Z1380" t="s">
        <v>27710</v>
      </c>
      <c r="AA1380">
        <v>0.92614913979001479</v>
      </c>
      <c r="AB1380" t="str">
        <f>HYPERLINK("Melting_Curves/meltCurve_O14556_GAPDHS.pdf", "Melting_Curves/meltCurve_O14556_GAPDHS.pdf")</f>
        <v>Melting_Curves/meltCurve_O14556_GAPDHS.pdf</v>
      </c>
    </row>
    <row r="1381" spans="1:28" x14ac:dyDescent="0.25">
      <c r="A1381" t="s">
        <v>1385</v>
      </c>
      <c r="B1381">
        <v>0.99252571173614901</v>
      </c>
      <c r="C1381">
        <v>1.0300336215902499</v>
      </c>
      <c r="D1381">
        <v>1.0586437981655199</v>
      </c>
      <c r="E1381">
        <v>0.90308972095841</v>
      </c>
      <c r="F1381">
        <v>1.1591612656463399</v>
      </c>
      <c r="G1381">
        <v>1.0732200862590999</v>
      </c>
      <c r="H1381">
        <v>1.10898729633249</v>
      </c>
      <c r="I1381">
        <v>1.0775787071371501</v>
      </c>
      <c r="J1381">
        <v>1.21317445694555</v>
      </c>
      <c r="K1381">
        <v>1.12002772055804</v>
      </c>
      <c r="L1381">
        <v>12862.8052997741</v>
      </c>
      <c r="M1381">
        <v>250</v>
      </c>
      <c r="O1381">
        <v>51.447929588455203</v>
      </c>
      <c r="P1381">
        <v>0.15229104051502601</v>
      </c>
      <c r="Q1381">
        <v>1.12536093726665</v>
      </c>
      <c r="R1381">
        <v>0.58900728848828898</v>
      </c>
      <c r="S1381" t="s">
        <v>8027</v>
      </c>
      <c r="T1381" t="s">
        <v>13290</v>
      </c>
      <c r="U1381" t="s">
        <v>13290</v>
      </c>
      <c r="V1381" t="s">
        <v>13290</v>
      </c>
      <c r="W1381" t="s">
        <v>14643</v>
      </c>
      <c r="X1381">
        <v>3</v>
      </c>
      <c r="Y1381" t="s">
        <v>20941</v>
      </c>
      <c r="Z1381" t="s">
        <v>27711</v>
      </c>
      <c r="AA1381">
        <v>1.077498423584988</v>
      </c>
      <c r="AB1381" t="str">
        <f>HYPERLINK("Melting_Curves/meltCurve_O14561_NDUFAB1.pdf", "Melting_Curves/meltCurve_O14561_NDUFAB1.pdf")</f>
        <v>Melting_Curves/meltCurve_O14561_NDUFAB1.pdf</v>
      </c>
    </row>
    <row r="1382" spans="1:28" x14ac:dyDescent="0.25">
      <c r="A1382" t="s">
        <v>1386</v>
      </c>
      <c r="B1382">
        <v>0.99252571173614901</v>
      </c>
      <c r="C1382">
        <v>0.90796975571013405</v>
      </c>
      <c r="D1382">
        <v>0.96579939403870996</v>
      </c>
      <c r="E1382">
        <v>0.63580927416269595</v>
      </c>
      <c r="F1382">
        <v>0.30093713503186797</v>
      </c>
      <c r="G1382">
        <v>0.131464321183626</v>
      </c>
      <c r="H1382">
        <v>8.3516781676816296E-2</v>
      </c>
      <c r="I1382">
        <v>9.32951998829991E-2</v>
      </c>
      <c r="J1382">
        <v>0.130354765315259</v>
      </c>
      <c r="K1382">
        <v>0.13067883202528099</v>
      </c>
      <c r="L1382">
        <v>1338.4493271839201</v>
      </c>
      <c r="M1382">
        <v>26.5485027094971</v>
      </c>
      <c r="N1382">
        <v>50.865415884888399</v>
      </c>
      <c r="O1382">
        <v>50.131812034610697</v>
      </c>
      <c r="P1382">
        <v>-0.118533686713045</v>
      </c>
      <c r="Q1382">
        <v>0.10469600261732299</v>
      </c>
      <c r="R1382">
        <v>0.992020777989429</v>
      </c>
      <c r="S1382" t="s">
        <v>8028</v>
      </c>
      <c r="T1382" t="s">
        <v>13290</v>
      </c>
      <c r="U1382" t="s">
        <v>13290</v>
      </c>
      <c r="V1382" t="s">
        <v>13290</v>
      </c>
      <c r="W1382" t="s">
        <v>14644</v>
      </c>
      <c r="X1382">
        <v>13</v>
      </c>
      <c r="Y1382" t="s">
        <v>21221</v>
      </c>
      <c r="Z1382" t="s">
        <v>27712</v>
      </c>
      <c r="AA1382">
        <v>0.42265064271468972</v>
      </c>
      <c r="AB1382" t="str">
        <f>HYPERLINK("Melting_Curves/meltCurve_O14578_4_CIT.pdf", "Melting_Curves/meltCurve_O14578_4_CIT.pdf")</f>
        <v>Melting_Curves/meltCurve_O14578_4_CIT.pdf</v>
      </c>
    </row>
    <row r="1383" spans="1:28" x14ac:dyDescent="0.25">
      <c r="A1383" t="s">
        <v>1387</v>
      </c>
      <c r="B1383">
        <v>0.99252571173614901</v>
      </c>
      <c r="C1383">
        <v>0.84230641032141895</v>
      </c>
      <c r="D1383">
        <v>1.0835137866639899</v>
      </c>
      <c r="E1383">
        <v>1.0609006523754301</v>
      </c>
      <c r="F1383">
        <v>0.45828664465762198</v>
      </c>
      <c r="G1383">
        <v>0.13588445123631501</v>
      </c>
      <c r="H1383">
        <v>8.7158917433641001E-2</v>
      </c>
      <c r="I1383">
        <v>9.0490581485348498E-2</v>
      </c>
      <c r="J1383">
        <v>9.9748035055607295E-2</v>
      </c>
      <c r="K1383">
        <v>0.12301575577698801</v>
      </c>
      <c r="L1383">
        <v>10177.1212039249</v>
      </c>
      <c r="M1383">
        <v>191.733138622898</v>
      </c>
      <c r="N1383">
        <v>53.1465283008623</v>
      </c>
      <c r="O1383">
        <v>53.073828260618299</v>
      </c>
      <c r="P1383">
        <v>-0.80627323574117205</v>
      </c>
      <c r="Q1383">
        <v>0.107258820936852</v>
      </c>
      <c r="R1383">
        <v>0.97909214162620795</v>
      </c>
      <c r="S1383" t="s">
        <v>8029</v>
      </c>
      <c r="T1383" t="s">
        <v>13290</v>
      </c>
      <c r="U1383" t="s">
        <v>13290</v>
      </c>
      <c r="V1383" t="s">
        <v>13290</v>
      </c>
      <c r="W1383" t="s">
        <v>14645</v>
      </c>
      <c r="X1383">
        <v>14</v>
      </c>
      <c r="Y1383" t="s">
        <v>21222</v>
      </c>
      <c r="Z1383" t="s">
        <v>27713</v>
      </c>
      <c r="AA1383">
        <v>0.49662393155916212</v>
      </c>
      <c r="AB1383" t="str">
        <f>HYPERLINK("Melting_Curves/meltCurve_O14579_COPE.pdf", "Melting_Curves/meltCurve_O14579_COPE.pdf")</f>
        <v>Melting_Curves/meltCurve_O14579_COPE.pdf</v>
      </c>
    </row>
    <row r="1384" spans="1:28" x14ac:dyDescent="0.25">
      <c r="A1384" t="s">
        <v>1388</v>
      </c>
      <c r="B1384">
        <v>0.99252571173614901</v>
      </c>
      <c r="C1384">
        <v>0.90105901840974301</v>
      </c>
      <c r="D1384">
        <v>1.0731287739788899</v>
      </c>
      <c r="E1384">
        <v>0.99314515536225501</v>
      </c>
      <c r="F1384">
        <v>0.21078644246292599</v>
      </c>
      <c r="G1384">
        <v>0.10680228370009399</v>
      </c>
      <c r="H1384">
        <v>6.4524792605479206E-2</v>
      </c>
      <c r="I1384">
        <v>6.1685426711077199E-2</v>
      </c>
      <c r="J1384">
        <v>6.9840078570829495E-2</v>
      </c>
      <c r="K1384">
        <v>7.1787680255993094E-2</v>
      </c>
      <c r="L1384">
        <v>4705.9073894726198</v>
      </c>
      <c r="M1384">
        <v>90.212567250185501</v>
      </c>
      <c r="N1384">
        <v>52.258487357361098</v>
      </c>
      <c r="O1384">
        <v>52.139036398861997</v>
      </c>
      <c r="P1384">
        <v>-0.40021990229700199</v>
      </c>
      <c r="Q1384">
        <v>7.4759583454406295E-2</v>
      </c>
      <c r="R1384">
        <v>0.99150968974068499</v>
      </c>
      <c r="S1384" t="s">
        <v>8030</v>
      </c>
      <c r="T1384" t="s">
        <v>13290</v>
      </c>
      <c r="U1384" t="s">
        <v>13290</v>
      </c>
      <c r="V1384" t="s">
        <v>13290</v>
      </c>
      <c r="W1384" t="s">
        <v>14646</v>
      </c>
      <c r="X1384">
        <v>16</v>
      </c>
      <c r="Y1384" t="s">
        <v>21223</v>
      </c>
      <c r="Z1384" t="s">
        <v>27714</v>
      </c>
      <c r="AA1384">
        <v>0.45058538118960723</v>
      </c>
      <c r="AB1384" t="str">
        <f>HYPERLINK("Melting_Curves/meltCurve_O14617_AP3D1.pdf", "Melting_Curves/meltCurve_O14617_AP3D1.pdf")</f>
        <v>Melting_Curves/meltCurve_O14617_AP3D1.pdf</v>
      </c>
    </row>
    <row r="1385" spans="1:28" x14ac:dyDescent="0.25">
      <c r="A1385" t="s">
        <v>1389</v>
      </c>
      <c r="B1385">
        <v>0.99252571173614901</v>
      </c>
      <c r="C1385">
        <v>1.0134331883451599</v>
      </c>
      <c r="D1385">
        <v>0.911886096847908</v>
      </c>
      <c r="E1385">
        <v>0.78270653001739598</v>
      </c>
      <c r="F1385">
        <v>0.53668449778826799</v>
      </c>
      <c r="G1385">
        <v>0.27792610456279598</v>
      </c>
      <c r="H1385">
        <v>0.15241670920744901</v>
      </c>
      <c r="I1385">
        <v>0.15041069185507</v>
      </c>
      <c r="J1385">
        <v>0.182488472991928</v>
      </c>
      <c r="K1385">
        <v>0.15890839615479199</v>
      </c>
      <c r="L1385">
        <v>1040.3646634894501</v>
      </c>
      <c r="M1385">
        <v>19.8458994769634</v>
      </c>
      <c r="N1385">
        <v>53.295573658149102</v>
      </c>
      <c r="O1385">
        <v>51.898581440619203</v>
      </c>
      <c r="P1385">
        <v>-8.2330617600568701E-2</v>
      </c>
      <c r="Q1385">
        <v>0.13882466598873899</v>
      </c>
      <c r="R1385">
        <v>0.99524014779133396</v>
      </c>
      <c r="S1385" t="s">
        <v>8031</v>
      </c>
      <c r="T1385" t="s">
        <v>13290</v>
      </c>
      <c r="U1385" t="s">
        <v>13290</v>
      </c>
      <c r="V1385" t="s">
        <v>13290</v>
      </c>
      <c r="W1385" t="s">
        <v>14647</v>
      </c>
      <c r="X1385">
        <v>5</v>
      </c>
      <c r="Y1385" t="s">
        <v>21224</v>
      </c>
      <c r="Z1385" t="s">
        <v>27715</v>
      </c>
      <c r="AA1385">
        <v>0.50746824662838763</v>
      </c>
      <c r="AB1385" t="str">
        <f>HYPERLINK("Melting_Curves/meltCurve_O14656_TOR1A.pdf", "Melting_Curves/meltCurve_O14656_TOR1A.pdf")</f>
        <v>Melting_Curves/meltCurve_O14656_TOR1A.pdf</v>
      </c>
    </row>
    <row r="1386" spans="1:28" x14ac:dyDescent="0.25">
      <c r="A1386" t="s">
        <v>1390</v>
      </c>
      <c r="B1386">
        <v>0.99252571173614901</v>
      </c>
      <c r="C1386">
        <v>0.96435489018431897</v>
      </c>
      <c r="D1386">
        <v>0.86515980822775396</v>
      </c>
      <c r="E1386">
        <v>0.55397129613935103</v>
      </c>
      <c r="F1386">
        <v>0.272387815574541</v>
      </c>
      <c r="G1386">
        <v>0.14429352956560099</v>
      </c>
      <c r="H1386">
        <v>0.109346702893513</v>
      </c>
      <c r="I1386">
        <v>0.12173064042993099</v>
      </c>
      <c r="J1386">
        <v>0.161796152979687</v>
      </c>
      <c r="K1386">
        <v>0.150979004693127</v>
      </c>
      <c r="L1386">
        <v>1165.78461069067</v>
      </c>
      <c r="M1386">
        <v>23.581442686509799</v>
      </c>
      <c r="N1386">
        <v>50.064793548727003</v>
      </c>
      <c r="O1386">
        <v>49.0851505397344</v>
      </c>
      <c r="P1386">
        <v>-0.104724035004683</v>
      </c>
      <c r="Q1386">
        <v>0.128076178401347</v>
      </c>
      <c r="R1386">
        <v>0.99738429435295906</v>
      </c>
      <c r="S1386" t="s">
        <v>8032</v>
      </c>
      <c r="T1386" t="s">
        <v>13290</v>
      </c>
      <c r="U1386" t="s">
        <v>13290</v>
      </c>
      <c r="V1386" t="s">
        <v>13290</v>
      </c>
      <c r="W1386" t="s">
        <v>14648</v>
      </c>
      <c r="X1386">
        <v>2</v>
      </c>
      <c r="Y1386" t="s">
        <v>21225</v>
      </c>
      <c r="Z1386" t="s">
        <v>27716</v>
      </c>
      <c r="AA1386">
        <v>0.41107117187148162</v>
      </c>
      <c r="AB1386" t="str">
        <f>HYPERLINK("Melting_Curves/meltCurve_O14657_TOR1B.pdf", "Melting_Curves/meltCurve_O14657_TOR1B.pdf")</f>
        <v>Melting_Curves/meltCurve_O14657_TOR1B.pdf</v>
      </c>
    </row>
    <row r="1387" spans="1:28" x14ac:dyDescent="0.25">
      <c r="A1387" t="s">
        <v>1391</v>
      </c>
      <c r="B1387">
        <v>0.99252571173614901</v>
      </c>
      <c r="C1387">
        <v>0.94289058578405205</v>
      </c>
      <c r="D1387">
        <v>0.83583478935894995</v>
      </c>
      <c r="E1387">
        <v>0.50076245341821102</v>
      </c>
      <c r="F1387">
        <v>0.26332492419787401</v>
      </c>
      <c r="G1387">
        <v>0.15296883718712101</v>
      </c>
      <c r="H1387">
        <v>0.11420404015270499</v>
      </c>
      <c r="I1387">
        <v>0.106756430204637</v>
      </c>
      <c r="J1387">
        <v>0.10303462249791701</v>
      </c>
      <c r="K1387">
        <v>9.5536563756485796E-2</v>
      </c>
      <c r="L1387">
        <v>1002.47070310686</v>
      </c>
      <c r="M1387">
        <v>20.382334498540001</v>
      </c>
      <c r="N1387">
        <v>49.7122596627541</v>
      </c>
      <c r="O1387">
        <v>48.717224837748901</v>
      </c>
      <c r="P1387">
        <v>-9.4401700815380393E-2</v>
      </c>
      <c r="Q1387">
        <v>9.7483288663081896E-2</v>
      </c>
      <c r="R1387">
        <v>0.99960229803526102</v>
      </c>
      <c r="S1387" t="s">
        <v>8033</v>
      </c>
      <c r="T1387" t="s">
        <v>13290</v>
      </c>
      <c r="U1387" t="s">
        <v>13290</v>
      </c>
      <c r="V1387" t="s">
        <v>13290</v>
      </c>
      <c r="W1387" t="s">
        <v>14649</v>
      </c>
      <c r="X1387">
        <v>5</v>
      </c>
      <c r="Y1387" t="s">
        <v>21226</v>
      </c>
      <c r="Z1387" t="s">
        <v>27717</v>
      </c>
      <c r="AA1387">
        <v>0.38590148404457181</v>
      </c>
      <c r="AB1387" t="str">
        <f>HYPERLINK("Melting_Curves/meltCurve_O14662_2_STX16.pdf", "Melting_Curves/meltCurve_O14662_2_STX16.pdf")</f>
        <v>Melting_Curves/meltCurve_O14662_2_STX16.pdf</v>
      </c>
    </row>
    <row r="1388" spans="1:28" x14ac:dyDescent="0.25">
      <c r="A1388" t="s">
        <v>1392</v>
      </c>
      <c r="B1388">
        <v>0.99252571173614901</v>
      </c>
      <c r="C1388">
        <v>0.90461438105428005</v>
      </c>
      <c r="D1388">
        <v>0.84831009165099103</v>
      </c>
      <c r="E1388">
        <v>0.797326265147698</v>
      </c>
      <c r="F1388">
        <v>0.53890706702064595</v>
      </c>
      <c r="G1388">
        <v>0.368454273216966</v>
      </c>
      <c r="H1388">
        <v>0.23636403475451701</v>
      </c>
      <c r="I1388">
        <v>0.249127301494461</v>
      </c>
      <c r="J1388">
        <v>0.33905403051885002</v>
      </c>
      <c r="K1388">
        <v>0.25429849554916101</v>
      </c>
      <c r="L1388">
        <v>812.74473401242199</v>
      </c>
      <c r="M1388">
        <v>15.7457383539784</v>
      </c>
      <c r="N1388">
        <v>53.836392627205399</v>
      </c>
      <c r="O1388">
        <v>50.805758247359897</v>
      </c>
      <c r="P1388">
        <v>-5.8985820301226899E-2</v>
      </c>
      <c r="Q1388">
        <v>0.238760618381155</v>
      </c>
      <c r="R1388">
        <v>0.97237580492515097</v>
      </c>
      <c r="S1388" t="s">
        <v>8034</v>
      </c>
      <c r="T1388" t="s">
        <v>13290</v>
      </c>
      <c r="U1388" t="s">
        <v>13290</v>
      </c>
      <c r="V1388" t="s">
        <v>13290</v>
      </c>
      <c r="W1388" t="s">
        <v>14650</v>
      </c>
      <c r="X1388">
        <v>22</v>
      </c>
      <c r="Y1388" t="s">
        <v>21227</v>
      </c>
      <c r="Z1388" t="s">
        <v>27718</v>
      </c>
      <c r="AA1388">
        <v>0.54948605581283927</v>
      </c>
      <c r="AB1388" t="str">
        <f>HYPERLINK("Melting_Curves/meltCurve_O14672_ADAM10.pdf", "Melting_Curves/meltCurve_O14672_ADAM10.pdf")</f>
        <v>Melting_Curves/meltCurve_O14672_ADAM10.pdf</v>
      </c>
    </row>
    <row r="1389" spans="1:28" x14ac:dyDescent="0.25">
      <c r="A1389" t="s">
        <v>1393</v>
      </c>
      <c r="B1389">
        <v>0.99252571173614901</v>
      </c>
      <c r="C1389">
        <v>1.0265817526769501</v>
      </c>
      <c r="D1389">
        <v>0.89674257335687602</v>
      </c>
      <c r="E1389">
        <v>0.75645740109980797</v>
      </c>
      <c r="F1389">
        <v>0.48381391782614802</v>
      </c>
      <c r="G1389">
        <v>0.32848048882541703</v>
      </c>
      <c r="H1389">
        <v>0.28620729642642201</v>
      </c>
      <c r="I1389">
        <v>0.290100766846066</v>
      </c>
      <c r="J1389">
        <v>0.37241842311083401</v>
      </c>
      <c r="K1389">
        <v>0.41565406720855602</v>
      </c>
      <c r="L1389">
        <v>1305.0071599810601</v>
      </c>
      <c r="M1389">
        <v>25.862108391468499</v>
      </c>
      <c r="N1389">
        <v>52.682941184660301</v>
      </c>
      <c r="O1389">
        <v>50.1614006442366</v>
      </c>
      <c r="P1389">
        <v>-8.6091606302995394E-2</v>
      </c>
      <c r="Q1389">
        <v>0.33208465489536398</v>
      </c>
      <c r="R1389">
        <v>0.97631328880993595</v>
      </c>
      <c r="S1389" t="s">
        <v>8035</v>
      </c>
      <c r="T1389" t="s">
        <v>13290</v>
      </c>
      <c r="U1389" t="s">
        <v>13290</v>
      </c>
      <c r="V1389" t="s">
        <v>13290</v>
      </c>
      <c r="W1389" t="s">
        <v>14651</v>
      </c>
      <c r="X1389">
        <v>6</v>
      </c>
      <c r="Y1389" t="s">
        <v>21228</v>
      </c>
      <c r="Z1389" t="s">
        <v>27719</v>
      </c>
      <c r="AA1389">
        <v>0.57057539839206628</v>
      </c>
      <c r="AB1389" t="str">
        <f>HYPERLINK("Melting_Curves/meltCurve_O14686_MLL2.pdf", "Melting_Curves/meltCurve_O14686_MLL2.pdf")</f>
        <v>Melting_Curves/meltCurve_O14686_MLL2.pdf</v>
      </c>
    </row>
    <row r="1390" spans="1:28" x14ac:dyDescent="0.25">
      <c r="A1390" t="s">
        <v>1394</v>
      </c>
      <c r="B1390">
        <v>0.99252571173614901</v>
      </c>
      <c r="C1390">
        <v>1.1022441944874799</v>
      </c>
      <c r="D1390">
        <v>1.0984017345379999</v>
      </c>
      <c r="E1390">
        <v>1.2279443156944101</v>
      </c>
      <c r="F1390">
        <v>0.963002373739276</v>
      </c>
      <c r="G1390">
        <v>0.79642409837850703</v>
      </c>
      <c r="H1390">
        <v>0.84482621524508605</v>
      </c>
      <c r="I1390">
        <v>0.85910624810932201</v>
      </c>
      <c r="J1390">
        <v>0.29081590259125201</v>
      </c>
      <c r="K1390">
        <v>0.17580964736408899</v>
      </c>
      <c r="L1390">
        <v>4249.6220816532305</v>
      </c>
      <c r="M1390">
        <v>64.918739532370097</v>
      </c>
      <c r="N1390">
        <v>65.843452229182702</v>
      </c>
      <c r="O1390">
        <v>65.398606032498193</v>
      </c>
      <c r="P1390">
        <v>-0.20915563731689599</v>
      </c>
      <c r="Q1390">
        <v>0.157193556539033</v>
      </c>
      <c r="R1390">
        <v>0.871283853938429</v>
      </c>
      <c r="S1390" t="s">
        <v>8036</v>
      </c>
      <c r="T1390" t="s">
        <v>13290</v>
      </c>
      <c r="U1390" t="s">
        <v>13290</v>
      </c>
      <c r="V1390" t="s">
        <v>13290</v>
      </c>
      <c r="W1390" t="s">
        <v>14652</v>
      </c>
      <c r="X1390">
        <v>4</v>
      </c>
      <c r="Y1390" t="s">
        <v>21229</v>
      </c>
      <c r="Z1390" t="s">
        <v>27720</v>
      </c>
      <c r="AA1390">
        <v>0.87341943867500049</v>
      </c>
      <c r="AB1390" t="str">
        <f>HYPERLINK("Melting_Curves/meltCurve_O14732_IMPA2.pdf", "Melting_Curves/meltCurve_O14732_IMPA2.pdf")</f>
        <v>Melting_Curves/meltCurve_O14732_IMPA2.pdf</v>
      </c>
    </row>
    <row r="1391" spans="1:28" x14ac:dyDescent="0.25">
      <c r="A1391" t="s">
        <v>1395</v>
      </c>
      <c r="B1391">
        <v>0.99252571173614901</v>
      </c>
      <c r="C1391">
        <v>0.96812697384780599</v>
      </c>
      <c r="D1391">
        <v>0.82396496402761199</v>
      </c>
      <c r="E1391">
        <v>0.66236542651553998</v>
      </c>
      <c r="F1391">
        <v>0.21689663564891401</v>
      </c>
      <c r="G1391">
        <v>0.11799043308564799</v>
      </c>
      <c r="H1391">
        <v>9.2125696980708396E-2</v>
      </c>
      <c r="I1391">
        <v>0.10319817426967499</v>
      </c>
      <c r="J1391">
        <v>0.10874218343622601</v>
      </c>
      <c r="K1391">
        <v>9.8474804850002498E-2</v>
      </c>
      <c r="L1391">
        <v>1203.1354854440301</v>
      </c>
      <c r="M1391">
        <v>24.025478338020299</v>
      </c>
      <c r="N1391">
        <v>50.475989169555902</v>
      </c>
      <c r="O1391">
        <v>49.734414944099498</v>
      </c>
      <c r="P1391">
        <v>-0.110337691484253</v>
      </c>
      <c r="Q1391">
        <v>8.6387525494903097E-2</v>
      </c>
      <c r="R1391">
        <v>0.98964527066929997</v>
      </c>
      <c r="S1391" t="s">
        <v>8037</v>
      </c>
      <c r="T1391" t="s">
        <v>13290</v>
      </c>
      <c r="U1391" t="s">
        <v>13290</v>
      </c>
      <c r="V1391" t="s">
        <v>13290</v>
      </c>
      <c r="W1391" t="s">
        <v>14653</v>
      </c>
      <c r="X1391">
        <v>11</v>
      </c>
      <c r="Y1391" t="s">
        <v>21230</v>
      </c>
      <c r="Z1391" t="s">
        <v>27721</v>
      </c>
      <c r="AA1391">
        <v>0.40213457310067718</v>
      </c>
      <c r="AB1391" t="str">
        <f>HYPERLINK("Melting_Curves/meltCurve_O14733_MAP2K7.pdf", "Melting_Curves/meltCurve_O14733_MAP2K7.pdf")</f>
        <v>Melting_Curves/meltCurve_O14733_MAP2K7.pdf</v>
      </c>
    </row>
    <row r="1392" spans="1:28" x14ac:dyDescent="0.25">
      <c r="A1392" t="s">
        <v>1396</v>
      </c>
      <c r="B1392">
        <v>0.99252571173614901</v>
      </c>
      <c r="C1392">
        <v>1.0509144662820999</v>
      </c>
      <c r="D1392">
        <v>0.99521338950056704</v>
      </c>
      <c r="E1392">
        <v>0.92395851872159396</v>
      </c>
      <c r="F1392">
        <v>0.85376954648494696</v>
      </c>
      <c r="G1392">
        <v>0.64348105948419199</v>
      </c>
      <c r="H1392">
        <v>0.54935670374805201</v>
      </c>
      <c r="I1392">
        <v>0.22769188935467699</v>
      </c>
      <c r="J1392">
        <v>0.19844151056123899</v>
      </c>
      <c r="K1392">
        <v>0.17172773716325099</v>
      </c>
      <c r="L1392">
        <v>819.44105276398398</v>
      </c>
      <c r="M1392">
        <v>13.718425915575001</v>
      </c>
      <c r="N1392">
        <v>60.006551068372701</v>
      </c>
      <c r="O1392">
        <v>58.506520983058202</v>
      </c>
      <c r="P1392">
        <v>-5.6849785855487403E-2</v>
      </c>
      <c r="Q1392">
        <v>3.0324456788973098E-2</v>
      </c>
      <c r="R1392">
        <v>0.98171781777478595</v>
      </c>
      <c r="S1392" t="s">
        <v>8038</v>
      </c>
      <c r="T1392" t="s">
        <v>13290</v>
      </c>
      <c r="U1392" t="s">
        <v>13290</v>
      </c>
      <c r="V1392" t="s">
        <v>13290</v>
      </c>
      <c r="W1392" t="s">
        <v>14654</v>
      </c>
      <c r="X1392">
        <v>9</v>
      </c>
      <c r="Y1392" t="s">
        <v>21231</v>
      </c>
      <c r="Z1392" t="s">
        <v>27722</v>
      </c>
      <c r="AA1392">
        <v>0.67465131070590145</v>
      </c>
      <c r="AB1392" t="str">
        <f>HYPERLINK("Melting_Curves/meltCurve_O14734_ACOT8.pdf", "Melting_Curves/meltCurve_O14734_ACOT8.pdf")</f>
        <v>Melting_Curves/meltCurve_O14734_ACOT8.pdf</v>
      </c>
    </row>
    <row r="1393" spans="1:28" x14ac:dyDescent="0.25">
      <c r="A1393" t="s">
        <v>1397</v>
      </c>
      <c r="B1393">
        <v>0.99252571173614901</v>
      </c>
      <c r="C1393">
        <v>1.1170039482485199</v>
      </c>
      <c r="D1393">
        <v>1.0322670504825999</v>
      </c>
      <c r="E1393">
        <v>1.00723887741177</v>
      </c>
      <c r="F1393">
        <v>0.91173980972882296</v>
      </c>
      <c r="G1393">
        <v>0.87264965470409905</v>
      </c>
      <c r="H1393">
        <v>0.94431007969733605</v>
      </c>
      <c r="I1393">
        <v>1.34515825023404</v>
      </c>
      <c r="J1393">
        <v>1.8860977230926601</v>
      </c>
      <c r="K1393">
        <v>1.7906323702771101</v>
      </c>
      <c r="L1393">
        <v>15000</v>
      </c>
      <c r="M1393">
        <v>235.17672586219601</v>
      </c>
      <c r="O1393">
        <v>63.777209231350398</v>
      </c>
      <c r="P1393">
        <v>0.46093410242361599</v>
      </c>
      <c r="Q1393">
        <v>1.5</v>
      </c>
      <c r="R1393">
        <v>0.77241428617718499</v>
      </c>
      <c r="S1393" t="s">
        <v>8039</v>
      </c>
      <c r="T1393" t="s">
        <v>13290</v>
      </c>
      <c r="U1393" t="s">
        <v>13290</v>
      </c>
      <c r="V1393" t="s">
        <v>13290</v>
      </c>
      <c r="W1393" t="s">
        <v>14655</v>
      </c>
      <c r="X1393">
        <v>16</v>
      </c>
      <c r="Y1393" t="s">
        <v>21232</v>
      </c>
      <c r="Z1393" t="s">
        <v>27723</v>
      </c>
      <c r="AA1393">
        <v>1.103573057190788</v>
      </c>
      <c r="AB1393" t="str">
        <f>HYPERLINK("Melting_Curves/meltCurve_O14737_PDCD5.pdf", "Melting_Curves/meltCurve_O14737_PDCD5.pdf")</f>
        <v>Melting_Curves/meltCurve_O14737_PDCD5.pdf</v>
      </c>
    </row>
    <row r="1394" spans="1:28" x14ac:dyDescent="0.25">
      <c r="A1394" t="s">
        <v>1398</v>
      </c>
      <c r="B1394">
        <v>0.99252571173614901</v>
      </c>
      <c r="C1394">
        <v>0.86422913220586595</v>
      </c>
      <c r="D1394">
        <v>1.3904576529597601</v>
      </c>
      <c r="E1394">
        <v>1.55763843603524</v>
      </c>
      <c r="F1394">
        <v>1.23249488511467</v>
      </c>
      <c r="G1394">
        <v>0.41147587209908698</v>
      </c>
      <c r="H1394">
        <v>0.120001410031251</v>
      </c>
      <c r="I1394">
        <v>0.12175791492244301</v>
      </c>
      <c r="J1394">
        <v>0.12579763317197301</v>
      </c>
      <c r="K1394">
        <v>0.118304344664124</v>
      </c>
      <c r="L1394">
        <v>14159.802640353901</v>
      </c>
      <c r="M1394">
        <v>250</v>
      </c>
      <c r="N1394">
        <v>56.702346508491502</v>
      </c>
      <c r="O1394">
        <v>56.635587035037801</v>
      </c>
      <c r="P1394">
        <v>-0.96950385244381099</v>
      </c>
      <c r="Q1394">
        <v>0.12146529959848</v>
      </c>
      <c r="R1394">
        <v>0.823106531720872</v>
      </c>
      <c r="S1394" t="s">
        <v>8040</v>
      </c>
      <c r="T1394" t="s">
        <v>13290</v>
      </c>
      <c r="U1394" t="s">
        <v>13290</v>
      </c>
      <c r="V1394" t="s">
        <v>13290</v>
      </c>
      <c r="W1394" t="s">
        <v>14656</v>
      </c>
      <c r="X1394">
        <v>16</v>
      </c>
      <c r="Y1394" t="s">
        <v>21233</v>
      </c>
      <c r="Z1394" t="s">
        <v>27724</v>
      </c>
      <c r="AA1394">
        <v>0.60882342228377151</v>
      </c>
      <c r="AB1394" t="str">
        <f>HYPERLINK("Melting_Curves/meltCurve_O14744_PRMT5.pdf", "Melting_Curves/meltCurve_O14744_PRMT5.pdf")</f>
        <v>Melting_Curves/meltCurve_O14744_PRMT5.pdf</v>
      </c>
    </row>
    <row r="1395" spans="1:28" x14ac:dyDescent="0.25">
      <c r="A1395" t="s">
        <v>1399</v>
      </c>
      <c r="B1395">
        <v>0.99252571173614901</v>
      </c>
      <c r="C1395">
        <v>1.07551444924461</v>
      </c>
      <c r="D1395">
        <v>0.98025754547208299</v>
      </c>
      <c r="E1395">
        <v>0.99236281417812999</v>
      </c>
      <c r="F1395">
        <v>0.78442804573832103</v>
      </c>
      <c r="G1395">
        <v>0.57919349807728104</v>
      </c>
      <c r="H1395">
        <v>0.47507759034403102</v>
      </c>
      <c r="I1395">
        <v>0.582943973393654</v>
      </c>
      <c r="J1395">
        <v>0.85583764912268401</v>
      </c>
      <c r="K1395">
        <v>0.91549366181237801</v>
      </c>
      <c r="L1395">
        <v>13260.5628233836</v>
      </c>
      <c r="M1395">
        <v>250</v>
      </c>
      <c r="O1395">
        <v>53.038858168340603</v>
      </c>
      <c r="P1395">
        <v>-0.37506785473955301</v>
      </c>
      <c r="Q1395">
        <v>0.68170927571764095</v>
      </c>
      <c r="R1395">
        <v>0.60991735695296101</v>
      </c>
      <c r="S1395" t="s">
        <v>8041</v>
      </c>
      <c r="T1395" t="s">
        <v>13290</v>
      </c>
      <c r="U1395" t="s">
        <v>13290</v>
      </c>
      <c r="V1395" t="s">
        <v>13290</v>
      </c>
      <c r="W1395" t="s">
        <v>14657</v>
      </c>
      <c r="X1395">
        <v>30</v>
      </c>
      <c r="Y1395" t="s">
        <v>21234</v>
      </c>
      <c r="Z1395" t="s">
        <v>27725</v>
      </c>
      <c r="AA1395">
        <v>0.82011315855124001</v>
      </c>
      <c r="AB1395" t="str">
        <f>HYPERLINK("Melting_Curves/meltCurve_O14745_SLC9A3R1.pdf", "Melting_Curves/meltCurve_O14745_SLC9A3R1.pdf")</f>
        <v>Melting_Curves/meltCurve_O14745_SLC9A3R1.pdf</v>
      </c>
    </row>
    <row r="1396" spans="1:28" x14ac:dyDescent="0.25">
      <c r="A1396" t="s">
        <v>1400</v>
      </c>
      <c r="B1396">
        <v>0.99252571173614901</v>
      </c>
      <c r="C1396">
        <v>1.0509381771912401</v>
      </c>
      <c r="D1396">
        <v>0.95185597200675298</v>
      </c>
      <c r="E1396">
        <v>0.85611542636593396</v>
      </c>
      <c r="F1396">
        <v>0.38194128474516797</v>
      </c>
      <c r="G1396">
        <v>0.13923702413149699</v>
      </c>
      <c r="H1396">
        <v>8.8291632143557702E-2</v>
      </c>
      <c r="I1396">
        <v>8.7978053559868596E-2</v>
      </c>
      <c r="J1396">
        <v>9.68695745184604E-2</v>
      </c>
      <c r="K1396">
        <v>8.4526379957463496E-2</v>
      </c>
      <c r="L1396">
        <v>1732.4283401013199</v>
      </c>
      <c r="M1396">
        <v>33.296769618976903</v>
      </c>
      <c r="N1396">
        <v>52.329642066016802</v>
      </c>
      <c r="O1396">
        <v>51.843324150900699</v>
      </c>
      <c r="P1396">
        <v>-0.14662592609192199</v>
      </c>
      <c r="Q1396">
        <v>8.6813189446010797E-2</v>
      </c>
      <c r="R1396">
        <v>0.99748905466468996</v>
      </c>
      <c r="S1396" t="s">
        <v>8042</v>
      </c>
      <c r="T1396" t="s">
        <v>13290</v>
      </c>
      <c r="U1396" t="s">
        <v>13290</v>
      </c>
      <c r="V1396" t="s">
        <v>13290</v>
      </c>
      <c r="W1396" t="s">
        <v>14658</v>
      </c>
      <c r="X1396">
        <v>8</v>
      </c>
      <c r="Y1396" t="s">
        <v>21235</v>
      </c>
      <c r="Z1396" t="s">
        <v>27726</v>
      </c>
      <c r="AA1396">
        <v>0.45774166482408779</v>
      </c>
      <c r="AB1396" t="str">
        <f>HYPERLINK("Melting_Curves/meltCurve_O14757_CHEK1.pdf", "Melting_Curves/meltCurve_O14757_CHEK1.pdf")</f>
        <v>Melting_Curves/meltCurve_O14757_CHEK1.pdf</v>
      </c>
    </row>
    <row r="1397" spans="1:28" x14ac:dyDescent="0.25">
      <c r="A1397" t="s">
        <v>1401</v>
      </c>
      <c r="B1397">
        <v>0.99252571173614901</v>
      </c>
      <c r="C1397">
        <v>0.97644865108684997</v>
      </c>
      <c r="D1397">
        <v>0.92765335147162398</v>
      </c>
      <c r="E1397">
        <v>0.86516221933535797</v>
      </c>
      <c r="F1397">
        <v>0.63547528511115503</v>
      </c>
      <c r="G1397">
        <v>0.50221989460957905</v>
      </c>
      <c r="H1397">
        <v>0.37764294991332997</v>
      </c>
      <c r="I1397">
        <v>0.35214127732441303</v>
      </c>
      <c r="J1397">
        <v>0.42869328754590003</v>
      </c>
      <c r="K1397">
        <v>0.35193745536291898</v>
      </c>
      <c r="L1397">
        <v>992.35217284088299</v>
      </c>
      <c r="M1397">
        <v>18.873529205688801</v>
      </c>
      <c r="N1397">
        <v>56.377250170779199</v>
      </c>
      <c r="O1397">
        <v>51.999436015885301</v>
      </c>
      <c r="P1397">
        <v>-5.8093624389809403E-2</v>
      </c>
      <c r="Q1397">
        <v>0.359799203524168</v>
      </c>
      <c r="R1397">
        <v>0.98910367126738596</v>
      </c>
      <c r="S1397" t="s">
        <v>8043</v>
      </c>
      <c r="T1397" t="s">
        <v>13290</v>
      </c>
      <c r="U1397" t="s">
        <v>13290</v>
      </c>
      <c r="V1397" t="s">
        <v>13290</v>
      </c>
      <c r="W1397" t="s">
        <v>14659</v>
      </c>
      <c r="X1397">
        <v>9</v>
      </c>
      <c r="Y1397" t="s">
        <v>21236</v>
      </c>
      <c r="Z1397" t="s">
        <v>27727</v>
      </c>
      <c r="AA1397">
        <v>0.63799429951628817</v>
      </c>
      <c r="AB1397" t="str">
        <f>HYPERLINK("Melting_Curves/meltCurve_O14763_2_TNFRSF10B.pdf", "Melting_Curves/meltCurve_O14763_2_TNFRSF10B.pdf")</f>
        <v>Melting_Curves/meltCurve_O14763_2_TNFRSF10B.pdf</v>
      </c>
    </row>
    <row r="1398" spans="1:28" x14ac:dyDescent="0.25">
      <c r="A1398" t="s">
        <v>1402</v>
      </c>
      <c r="B1398">
        <v>0.99252571173614901</v>
      </c>
      <c r="C1398">
        <v>1.0454349128670599</v>
      </c>
      <c r="D1398">
        <v>0.97655928605915399</v>
      </c>
      <c r="E1398">
        <v>0.86602242329680201</v>
      </c>
      <c r="F1398">
        <v>0.59101047956500197</v>
      </c>
      <c r="G1398">
        <v>0.173079856050664</v>
      </c>
      <c r="H1398">
        <v>8.9641135729055202E-2</v>
      </c>
      <c r="I1398">
        <v>9.8094127679802703E-2</v>
      </c>
      <c r="J1398">
        <v>0.106117943668787</v>
      </c>
      <c r="K1398">
        <v>0.102366360495355</v>
      </c>
      <c r="L1398">
        <v>1609.9365791963701</v>
      </c>
      <c r="M1398">
        <v>30.207033701737299</v>
      </c>
      <c r="N1398">
        <v>53.635826862952698</v>
      </c>
      <c r="O1398">
        <v>53.064791081643598</v>
      </c>
      <c r="P1398">
        <v>-0.12994308264957199</v>
      </c>
      <c r="Q1398">
        <v>8.6919956704514398E-2</v>
      </c>
      <c r="R1398">
        <v>0.99511991523391397</v>
      </c>
      <c r="S1398" t="s">
        <v>8044</v>
      </c>
      <c r="T1398" t="s">
        <v>13290</v>
      </c>
      <c r="U1398" t="s">
        <v>13290</v>
      </c>
      <c r="V1398" t="s">
        <v>13290</v>
      </c>
      <c r="W1398" t="s">
        <v>14660</v>
      </c>
      <c r="X1398">
        <v>6</v>
      </c>
      <c r="Y1398" t="s">
        <v>21237</v>
      </c>
      <c r="Z1398" t="s">
        <v>27728</v>
      </c>
      <c r="AA1398">
        <v>0.49748585033501308</v>
      </c>
      <c r="AB1398" t="str">
        <f>HYPERLINK("Melting_Curves/meltCurve_O14772_FPGT.pdf", "Melting_Curves/meltCurve_O14772_FPGT.pdf")</f>
        <v>Melting_Curves/meltCurve_O14772_FPGT.pdf</v>
      </c>
    </row>
    <row r="1399" spans="1:28" x14ac:dyDescent="0.25">
      <c r="A1399" t="s">
        <v>1403</v>
      </c>
      <c r="B1399">
        <v>0.99252571173614901</v>
      </c>
      <c r="C1399">
        <v>0.96218905375286601</v>
      </c>
      <c r="D1399">
        <v>0.90745369904223605</v>
      </c>
      <c r="E1399">
        <v>0.76854513520098799</v>
      </c>
      <c r="F1399">
        <v>0.56860387328944295</v>
      </c>
      <c r="G1399">
        <v>0.31945622411894298</v>
      </c>
      <c r="H1399">
        <v>0.15593450306853199</v>
      </c>
      <c r="I1399">
        <v>0.131245302547917</v>
      </c>
      <c r="J1399">
        <v>0.19212560753479499</v>
      </c>
      <c r="K1399">
        <v>0.20012470927498299</v>
      </c>
      <c r="L1399">
        <v>934.42306494315596</v>
      </c>
      <c r="M1399">
        <v>17.766083568447801</v>
      </c>
      <c r="N1399">
        <v>53.595737716849598</v>
      </c>
      <c r="O1399">
        <v>51.943096065427397</v>
      </c>
      <c r="P1399">
        <v>-7.3450418269501397E-2</v>
      </c>
      <c r="Q1399">
        <v>0.14105009785709499</v>
      </c>
      <c r="R1399">
        <v>0.98972265556358396</v>
      </c>
      <c r="S1399" t="s">
        <v>8045</v>
      </c>
      <c r="T1399" t="s">
        <v>13290</v>
      </c>
      <c r="U1399" t="s">
        <v>13290</v>
      </c>
      <c r="V1399" t="s">
        <v>13290</v>
      </c>
      <c r="W1399" t="s">
        <v>14661</v>
      </c>
      <c r="X1399">
        <v>5</v>
      </c>
      <c r="Y1399" t="s">
        <v>21238</v>
      </c>
      <c r="Z1399" t="s">
        <v>27729</v>
      </c>
      <c r="AA1399">
        <v>0.51616411301446063</v>
      </c>
      <c r="AB1399" t="str">
        <f>HYPERLINK("Melting_Curves/meltCurve_O14773_TPP1.pdf", "Melting_Curves/meltCurve_O14773_TPP1.pdf")</f>
        <v>Melting_Curves/meltCurve_O14773_TPP1.pdf</v>
      </c>
    </row>
    <row r="1400" spans="1:28" x14ac:dyDescent="0.25">
      <c r="A1400" t="s">
        <v>1404</v>
      </c>
      <c r="B1400">
        <v>0.99252571173614901</v>
      </c>
      <c r="C1400">
        <v>0.96073062728049496</v>
      </c>
      <c r="D1400">
        <v>0.77713655848430496</v>
      </c>
      <c r="E1400">
        <v>0.37520007763053698</v>
      </c>
      <c r="F1400">
        <v>0.166667360094027</v>
      </c>
      <c r="G1400">
        <v>9.8972068154866893E-2</v>
      </c>
      <c r="H1400">
        <v>7.8252856084510505E-2</v>
      </c>
      <c r="I1400">
        <v>8.1848021239851701E-2</v>
      </c>
      <c r="J1400">
        <v>0.10805783559690001</v>
      </c>
      <c r="K1400">
        <v>0.13330156765955001</v>
      </c>
      <c r="L1400">
        <v>1239.05845732483</v>
      </c>
      <c r="M1400">
        <v>25.8038142083516</v>
      </c>
      <c r="N1400">
        <v>48.420316267438999</v>
      </c>
      <c r="O1400">
        <v>47.732815549723298</v>
      </c>
      <c r="P1400">
        <v>-0.122121296424804</v>
      </c>
      <c r="Q1400">
        <v>9.6393536838966107E-2</v>
      </c>
      <c r="R1400">
        <v>0.99814481477600103</v>
      </c>
      <c r="S1400" t="s">
        <v>8046</v>
      </c>
      <c r="T1400" t="s">
        <v>13290</v>
      </c>
      <c r="U1400" t="s">
        <v>13290</v>
      </c>
      <c r="V1400" t="s">
        <v>13290</v>
      </c>
      <c r="W1400" t="s">
        <v>14662</v>
      </c>
      <c r="X1400">
        <v>53</v>
      </c>
      <c r="Y1400" t="s">
        <v>21239</v>
      </c>
      <c r="Z1400" t="s">
        <v>27730</v>
      </c>
      <c r="AA1400">
        <v>0.3453781902666308</v>
      </c>
      <c r="AB1400" t="str">
        <f>HYPERLINK("Melting_Curves/meltCurve_O14776_2_TCERG1.pdf", "Melting_Curves/meltCurve_O14776_2_TCERG1.pdf")</f>
        <v>Melting_Curves/meltCurve_O14776_2_TCERG1.pdf</v>
      </c>
    </row>
    <row r="1401" spans="1:28" x14ac:dyDescent="0.25">
      <c r="A1401" t="s">
        <v>1405</v>
      </c>
      <c r="B1401">
        <v>0.99252571173614901</v>
      </c>
      <c r="C1401">
        <v>0.95626660996903301</v>
      </c>
      <c r="D1401">
        <v>0.55163793521170001</v>
      </c>
      <c r="E1401">
        <v>0.31648454676065801</v>
      </c>
      <c r="F1401">
        <v>0.178178161760709</v>
      </c>
      <c r="G1401">
        <v>8.8855990894954801E-2</v>
      </c>
      <c r="H1401">
        <v>0.12834402144604801</v>
      </c>
      <c r="I1401">
        <v>9.4551475977666499E-2</v>
      </c>
      <c r="J1401">
        <v>0.14000776949986199</v>
      </c>
      <c r="K1401">
        <v>0.14444261866416</v>
      </c>
      <c r="L1401">
        <v>1152.92588826309</v>
      </c>
      <c r="M1401">
        <v>24.8688124070692</v>
      </c>
      <c r="N1401">
        <v>46.902698457253997</v>
      </c>
      <c r="O1401">
        <v>46.063659467771799</v>
      </c>
      <c r="P1401">
        <v>-0.118105106326631</v>
      </c>
      <c r="Q1401">
        <v>0.124963652602245</v>
      </c>
      <c r="R1401">
        <v>0.98862445564785895</v>
      </c>
      <c r="S1401" t="s">
        <v>8047</v>
      </c>
      <c r="T1401" t="s">
        <v>13290</v>
      </c>
      <c r="U1401" t="s">
        <v>13290</v>
      </c>
      <c r="V1401" t="s">
        <v>13290</v>
      </c>
      <c r="W1401" t="s">
        <v>14663</v>
      </c>
      <c r="X1401">
        <v>5</v>
      </c>
      <c r="Y1401" t="s">
        <v>21240</v>
      </c>
      <c r="Z1401" t="s">
        <v>27731</v>
      </c>
      <c r="AA1401">
        <v>0.31853117361571948</v>
      </c>
      <c r="AB1401" t="str">
        <f>HYPERLINK("Melting_Curves/meltCurve_O14777_NDC80.pdf", "Melting_Curves/meltCurve_O14777_NDC80.pdf")</f>
        <v>Melting_Curves/meltCurve_O14777_NDC80.pdf</v>
      </c>
    </row>
    <row r="1402" spans="1:28" x14ac:dyDescent="0.25">
      <c r="A1402" t="s">
        <v>1406</v>
      </c>
      <c r="B1402">
        <v>0.99252571173614901</v>
      </c>
      <c r="C1402">
        <v>0.94269080982984699</v>
      </c>
      <c r="D1402">
        <v>0.59644431625013195</v>
      </c>
      <c r="E1402">
        <v>0.240075420197497</v>
      </c>
      <c r="F1402">
        <v>0.16971544332514099</v>
      </c>
      <c r="G1402">
        <v>9.4111124052954798E-2</v>
      </c>
      <c r="H1402">
        <v>6.6328401147844801E-2</v>
      </c>
      <c r="I1402">
        <v>5.0667980167632201E-2</v>
      </c>
      <c r="J1402">
        <v>6.2249309205431501E-2</v>
      </c>
      <c r="K1402">
        <v>5.0578447567840398E-2</v>
      </c>
      <c r="L1402">
        <v>1147.5548003440999</v>
      </c>
      <c r="M1402">
        <v>24.5858415613421</v>
      </c>
      <c r="N1402">
        <v>46.964040778623698</v>
      </c>
      <c r="O1402">
        <v>46.369925106548997</v>
      </c>
      <c r="P1402">
        <v>-0.12326081642671501</v>
      </c>
      <c r="Q1402">
        <v>7.0113148026424696E-2</v>
      </c>
      <c r="R1402">
        <v>0.99504718199849096</v>
      </c>
      <c r="S1402" t="s">
        <v>8048</v>
      </c>
      <c r="T1402" t="s">
        <v>13290</v>
      </c>
      <c r="U1402" t="s">
        <v>13290</v>
      </c>
      <c r="V1402" t="s">
        <v>13290</v>
      </c>
      <c r="W1402" t="s">
        <v>14664</v>
      </c>
      <c r="X1402">
        <v>11</v>
      </c>
      <c r="Y1402" t="s">
        <v>21241</v>
      </c>
      <c r="Z1402" t="s">
        <v>27732</v>
      </c>
      <c r="AA1402">
        <v>0.2857119146071051</v>
      </c>
      <c r="AB1402" t="str">
        <f>HYPERLINK("Melting_Curves/meltCurve_O14787_2_TNPO2.pdf", "Melting_Curves/meltCurve_O14787_2_TNPO2.pdf")</f>
        <v>Melting_Curves/meltCurve_O14787_2_TNPO2.pdf</v>
      </c>
    </row>
    <row r="1403" spans="1:28" x14ac:dyDescent="0.25">
      <c r="A1403" t="s">
        <v>1407</v>
      </c>
      <c r="B1403">
        <v>0.99252571173614901</v>
      </c>
      <c r="C1403">
        <v>0.83605769980534095</v>
      </c>
      <c r="D1403">
        <v>1.1992509884396101</v>
      </c>
      <c r="E1403">
        <v>0.29345333846751198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12356.417940154301</v>
      </c>
      <c r="M1403">
        <v>250</v>
      </c>
      <c r="N1403">
        <v>49.425663245352403</v>
      </c>
      <c r="O1403">
        <v>49.422510310438099</v>
      </c>
      <c r="P1403">
        <v>-1.26460597675943</v>
      </c>
      <c r="Q1403">
        <v>0</v>
      </c>
      <c r="R1403">
        <v>0.96834978602629496</v>
      </c>
      <c r="S1403" t="s">
        <v>8049</v>
      </c>
      <c r="T1403" t="s">
        <v>13290</v>
      </c>
      <c r="U1403" t="s">
        <v>13290</v>
      </c>
      <c r="V1403" t="s">
        <v>13290</v>
      </c>
      <c r="W1403" t="s">
        <v>14665</v>
      </c>
      <c r="X1403">
        <v>2</v>
      </c>
      <c r="Y1403" t="s">
        <v>21242</v>
      </c>
      <c r="Z1403" t="s">
        <v>27733</v>
      </c>
      <c r="AA1403">
        <v>0.31427579997194682</v>
      </c>
      <c r="AB1403" t="str">
        <f>HYPERLINK("Melting_Curves/meltCurve_O14802_POLR3A.pdf", "Melting_Curves/meltCurve_O14802_POLR3A.pdf")</f>
        <v>Melting_Curves/meltCurve_O14802_POLR3A.pdf</v>
      </c>
    </row>
    <row r="1404" spans="1:28" x14ac:dyDescent="0.25">
      <c r="A1404" t="s">
        <v>1408</v>
      </c>
      <c r="B1404">
        <v>0.99252571173614901</v>
      </c>
      <c r="C1404">
        <v>0.96481239990592105</v>
      </c>
      <c r="D1404">
        <v>1.0653656299930301</v>
      </c>
      <c r="E1404">
        <v>0.97824764239458095</v>
      </c>
      <c r="F1404">
        <v>0.86999146194644905</v>
      </c>
      <c r="G1404">
        <v>0.74335966255877595</v>
      </c>
      <c r="H1404">
        <v>1.1525351647708699</v>
      </c>
      <c r="I1404">
        <v>1.70979038458887</v>
      </c>
      <c r="J1404">
        <v>2.61103538167362</v>
      </c>
      <c r="K1404">
        <v>1.55564928829909</v>
      </c>
      <c r="L1404">
        <v>15000</v>
      </c>
      <c r="M1404">
        <v>245.887351266754</v>
      </c>
      <c r="O1404">
        <v>60.9995091292814</v>
      </c>
      <c r="P1404">
        <v>0.50387157853979403</v>
      </c>
      <c r="Q1404">
        <v>1.5</v>
      </c>
      <c r="R1404">
        <v>0.51430394861530604</v>
      </c>
      <c r="S1404" t="s">
        <v>8050</v>
      </c>
      <c r="T1404" t="s">
        <v>13290</v>
      </c>
      <c r="U1404" t="s">
        <v>13290</v>
      </c>
      <c r="V1404" t="s">
        <v>13290</v>
      </c>
      <c r="W1404" t="s">
        <v>14666</v>
      </c>
      <c r="X1404">
        <v>20</v>
      </c>
      <c r="Y1404" t="s">
        <v>21243</v>
      </c>
      <c r="Z1404" t="s">
        <v>27734</v>
      </c>
      <c r="AA1404">
        <v>1.14988558711832</v>
      </c>
      <c r="AB1404" t="str">
        <f>HYPERLINK("Melting_Curves/meltCurve_O14818_PSMA7.pdf", "Melting_Curves/meltCurve_O14818_PSMA7.pdf")</f>
        <v>Melting_Curves/meltCurve_O14818_PSMA7.pdf</v>
      </c>
    </row>
    <row r="1405" spans="1:28" x14ac:dyDescent="0.25">
      <c r="A1405" t="s">
        <v>1409</v>
      </c>
      <c r="B1405">
        <v>0.99252571173614901</v>
      </c>
      <c r="C1405">
        <v>1.0096595812993201</v>
      </c>
      <c r="D1405">
        <v>0.91972530814011699</v>
      </c>
      <c r="E1405">
        <v>0.84548637583191399</v>
      </c>
      <c r="F1405">
        <v>0.69499472783612404</v>
      </c>
      <c r="G1405">
        <v>0.601378760300457</v>
      </c>
      <c r="H1405">
        <v>0.48058246167796598</v>
      </c>
      <c r="I1405">
        <v>0.534392134162475</v>
      </c>
      <c r="J1405">
        <v>0.670871467782581</v>
      </c>
      <c r="K1405">
        <v>0.41993325046393898</v>
      </c>
      <c r="L1405">
        <v>910.49258281918696</v>
      </c>
      <c r="M1405">
        <v>17.6866435552353</v>
      </c>
      <c r="O1405">
        <v>50.834534115714199</v>
      </c>
      <c r="P1405">
        <v>-4.2146660205083897E-2</v>
      </c>
      <c r="Q1405">
        <v>0.51547786923030503</v>
      </c>
      <c r="R1405">
        <v>0.90896848132377195</v>
      </c>
      <c r="S1405" t="s">
        <v>8051</v>
      </c>
      <c r="T1405" t="s">
        <v>13290</v>
      </c>
      <c r="U1405" t="s">
        <v>13290</v>
      </c>
      <c r="V1405" t="s">
        <v>13290</v>
      </c>
      <c r="W1405" t="s">
        <v>14667</v>
      </c>
      <c r="X1405">
        <v>11</v>
      </c>
      <c r="Y1405" t="s">
        <v>21244</v>
      </c>
      <c r="Z1405" t="s">
        <v>27735</v>
      </c>
      <c r="AA1405">
        <v>0.70924474036395879</v>
      </c>
      <c r="AB1405" t="str">
        <f>HYPERLINK("Melting_Curves/meltCurve_O14828_SCAMP3.pdf", "Melting_Curves/meltCurve_O14828_SCAMP3.pdf")</f>
        <v>Melting_Curves/meltCurve_O14828_SCAMP3.pdf</v>
      </c>
    </row>
    <row r="1406" spans="1:28" x14ac:dyDescent="0.25">
      <c r="A1406" t="s">
        <v>1410</v>
      </c>
      <c r="B1406">
        <v>0.99252571173614901</v>
      </c>
      <c r="C1406">
        <v>0.88849539797857202</v>
      </c>
      <c r="D1406">
        <v>1.08199048961595</v>
      </c>
      <c r="E1406">
        <v>1.0827583811756201</v>
      </c>
      <c r="F1406">
        <v>0.51782751598788102</v>
      </c>
      <c r="G1406">
        <v>0.17368381854861201</v>
      </c>
      <c r="H1406">
        <v>0.112005140134656</v>
      </c>
      <c r="I1406">
        <v>0.119783530760377</v>
      </c>
      <c r="J1406">
        <v>0.140449168392346</v>
      </c>
      <c r="K1406">
        <v>0.104078059486107</v>
      </c>
      <c r="L1406">
        <v>7014.5739391085099</v>
      </c>
      <c r="M1406">
        <v>132.07024212878</v>
      </c>
      <c r="N1406">
        <v>53.233770641667597</v>
      </c>
      <c r="O1406">
        <v>53.100273625756401</v>
      </c>
      <c r="P1406">
        <v>-0.54098780127965895</v>
      </c>
      <c r="Q1406">
        <v>0.129959963989903</v>
      </c>
      <c r="R1406">
        <v>0.98337725961560096</v>
      </c>
      <c r="S1406" t="s">
        <v>8052</v>
      </c>
      <c r="T1406" t="s">
        <v>13290</v>
      </c>
      <c r="U1406" t="s">
        <v>13290</v>
      </c>
      <c r="V1406" t="s">
        <v>13290</v>
      </c>
      <c r="W1406" t="s">
        <v>14668</v>
      </c>
      <c r="X1406">
        <v>9</v>
      </c>
      <c r="Y1406" t="s">
        <v>21245</v>
      </c>
      <c r="Z1406" t="s">
        <v>27736</v>
      </c>
      <c r="AA1406">
        <v>0.51052922585271265</v>
      </c>
      <c r="AB1406" t="str">
        <f>HYPERLINK("Melting_Curves/meltCurve_O14841_OPLAH.pdf", "Melting_Curves/meltCurve_O14841_OPLAH.pdf")</f>
        <v>Melting_Curves/meltCurve_O14841_OPLAH.pdf</v>
      </c>
    </row>
    <row r="1407" spans="1:28" x14ac:dyDescent="0.25">
      <c r="A1407" t="s">
        <v>1411</v>
      </c>
      <c r="B1407">
        <v>0.99252571173614901</v>
      </c>
      <c r="C1407">
        <v>0.86264056647057397</v>
      </c>
      <c r="D1407">
        <v>0.85300433852887003</v>
      </c>
      <c r="E1407">
        <v>0.55719254324255796</v>
      </c>
      <c r="F1407">
        <v>0.60419626477884203</v>
      </c>
      <c r="G1407">
        <v>0.325781084615891</v>
      </c>
      <c r="H1407">
        <v>0.40200844485092302</v>
      </c>
      <c r="I1407">
        <v>0.61177463810343802</v>
      </c>
      <c r="J1407">
        <v>0.36993142468416401</v>
      </c>
      <c r="K1407">
        <v>0.58499656225668395</v>
      </c>
      <c r="L1407">
        <v>963.07506266924497</v>
      </c>
      <c r="M1407">
        <v>20.476253263494598</v>
      </c>
      <c r="N1407">
        <v>54.274098592390999</v>
      </c>
      <c r="O1407">
        <v>46.592047675152699</v>
      </c>
      <c r="P1407">
        <v>-5.8513772372532198E-2</v>
      </c>
      <c r="Q1407">
        <v>0.46744248880267802</v>
      </c>
      <c r="R1407">
        <v>0.79612555682141695</v>
      </c>
      <c r="S1407" t="s">
        <v>8053</v>
      </c>
      <c r="T1407" t="s">
        <v>13290</v>
      </c>
      <c r="U1407" t="s">
        <v>13290</v>
      </c>
      <c r="V1407" t="s">
        <v>13290</v>
      </c>
      <c r="W1407" t="s">
        <v>14669</v>
      </c>
      <c r="X1407">
        <v>1</v>
      </c>
      <c r="Y1407" t="s">
        <v>21246</v>
      </c>
      <c r="Z1407" t="s">
        <v>27737</v>
      </c>
      <c r="AA1407">
        <v>0.59969642304299797</v>
      </c>
      <c r="AB1407" t="str">
        <f>HYPERLINK("Melting_Curves/meltCurve_O14867_BACH1.pdf", "Melting_Curves/meltCurve_O14867_BACH1.pdf")</f>
        <v>Melting_Curves/meltCurve_O14867_BACH1.pdf</v>
      </c>
    </row>
    <row r="1408" spans="1:28" x14ac:dyDescent="0.25">
      <c r="A1408" t="s">
        <v>1412</v>
      </c>
      <c r="B1408">
        <v>0.99252571173614901</v>
      </c>
      <c r="C1408">
        <v>0.96110582493663299</v>
      </c>
      <c r="D1408">
        <v>0.94048564428193204</v>
      </c>
      <c r="E1408">
        <v>0.97867779116818499</v>
      </c>
      <c r="F1408">
        <v>0.98118102077283398</v>
      </c>
      <c r="G1408">
        <v>0.80536693480999899</v>
      </c>
      <c r="H1408">
        <v>0.41337836184295901</v>
      </c>
      <c r="I1408">
        <v>0.17027584998506401</v>
      </c>
      <c r="J1408">
        <v>0.17210476519686199</v>
      </c>
      <c r="K1408">
        <v>0.159480655628638</v>
      </c>
      <c r="L1408">
        <v>1880.68829584114</v>
      </c>
      <c r="M1408">
        <v>31.812593875747499</v>
      </c>
      <c r="N1408">
        <v>59.738814241865498</v>
      </c>
      <c r="O1408">
        <v>58.885623372369302</v>
      </c>
      <c r="P1408">
        <v>-0.116044417517463</v>
      </c>
      <c r="Q1408">
        <v>0.14080444892246699</v>
      </c>
      <c r="R1408">
        <v>0.99384571403259003</v>
      </c>
      <c r="S1408" t="s">
        <v>8054</v>
      </c>
      <c r="T1408" t="s">
        <v>13290</v>
      </c>
      <c r="U1408" t="s">
        <v>13290</v>
      </c>
      <c r="V1408" t="s">
        <v>13290</v>
      </c>
      <c r="W1408" t="s">
        <v>14670</v>
      </c>
      <c r="X1408">
        <v>7</v>
      </c>
      <c r="Y1408" t="s">
        <v>21247</v>
      </c>
      <c r="Z1408" t="s">
        <v>27738</v>
      </c>
      <c r="AA1408">
        <v>0.69334118204130413</v>
      </c>
      <c r="AB1408" t="str">
        <f>HYPERLINK("Melting_Curves/meltCurve_O14874_BCKDK.pdf", "Melting_Curves/meltCurve_O14874_BCKDK.pdf")</f>
        <v>Melting_Curves/meltCurve_O14874_BCKDK.pdf</v>
      </c>
    </row>
    <row r="1409" spans="1:28" x14ac:dyDescent="0.25">
      <c r="A1409" t="s">
        <v>1413</v>
      </c>
      <c r="B1409">
        <v>0.99252571173614901</v>
      </c>
      <c r="C1409">
        <v>0.97316221022363503</v>
      </c>
      <c r="D1409">
        <v>0.71836001959272899</v>
      </c>
      <c r="E1409">
        <v>0.474069471657314</v>
      </c>
      <c r="F1409">
        <v>0.23048624324963601</v>
      </c>
      <c r="G1409">
        <v>0.133923503022365</v>
      </c>
      <c r="H1409">
        <v>7.1251057689883102E-2</v>
      </c>
      <c r="I1409">
        <v>6.08863918141987E-2</v>
      </c>
      <c r="J1409">
        <v>7.3647634945944507E-2</v>
      </c>
      <c r="K1409">
        <v>6.7949151893547999E-2</v>
      </c>
      <c r="L1409">
        <v>874.17309395870802</v>
      </c>
      <c r="M1409">
        <v>17.931625679025501</v>
      </c>
      <c r="N1409">
        <v>49.090362125158201</v>
      </c>
      <c r="O1409">
        <v>48.156177583973303</v>
      </c>
      <c r="P1409">
        <v>-8.7659114768926905E-2</v>
      </c>
      <c r="Q1409">
        <v>5.83973249653153E-2</v>
      </c>
      <c r="R1409">
        <v>0.99630648654884202</v>
      </c>
      <c r="S1409" t="s">
        <v>8055</v>
      </c>
      <c r="T1409" t="s">
        <v>13290</v>
      </c>
      <c r="U1409" t="s">
        <v>13290</v>
      </c>
      <c r="V1409" t="s">
        <v>13290</v>
      </c>
      <c r="W1409" t="s">
        <v>14671</v>
      </c>
      <c r="X1409">
        <v>7</v>
      </c>
      <c r="Y1409" t="s">
        <v>21248</v>
      </c>
      <c r="Z1409" t="s">
        <v>27739</v>
      </c>
      <c r="AA1409">
        <v>0.34955962269837321</v>
      </c>
      <c r="AB1409" t="str">
        <f>HYPERLINK("Melting_Curves/meltCurve_O14896_IRF6.pdf", "Melting_Curves/meltCurve_O14896_IRF6.pdf")</f>
        <v>Melting_Curves/meltCurve_O14896_IRF6.pdf</v>
      </c>
    </row>
    <row r="1410" spans="1:28" x14ac:dyDescent="0.25">
      <c r="A1410" t="s">
        <v>1414</v>
      </c>
      <c r="B1410">
        <v>0.99252571173614901</v>
      </c>
      <c r="C1410">
        <v>0.95876310827405398</v>
      </c>
      <c r="D1410">
        <v>0.51190925620931105</v>
      </c>
      <c r="E1410">
        <v>0.127094561231405</v>
      </c>
      <c r="F1410">
        <v>7.0517372618654803E-2</v>
      </c>
      <c r="G1410">
        <v>3.5944155174265899E-2</v>
      </c>
      <c r="H1410">
        <v>2.8297242516522401E-2</v>
      </c>
      <c r="I1410">
        <v>3.1382077566181402E-2</v>
      </c>
      <c r="J1410">
        <v>4.9817805706394498E-2</v>
      </c>
      <c r="K1410">
        <v>6.5421234526371094E-2</v>
      </c>
      <c r="L1410">
        <v>1696.9939512599999</v>
      </c>
      <c r="M1410">
        <v>36.9001688736235</v>
      </c>
      <c r="N1410">
        <v>46.114744089355298</v>
      </c>
      <c r="O1410">
        <v>45.854331645308797</v>
      </c>
      <c r="P1410">
        <v>-0.19153912726244399</v>
      </c>
      <c r="Q1410">
        <v>4.7931098827673602E-2</v>
      </c>
      <c r="R1410">
        <v>0.99832173520779099</v>
      </c>
      <c r="S1410" t="s">
        <v>8056</v>
      </c>
      <c r="T1410" t="s">
        <v>13290</v>
      </c>
      <c r="U1410" t="s">
        <v>13290</v>
      </c>
      <c r="V1410" t="s">
        <v>13290</v>
      </c>
      <c r="W1410" t="s">
        <v>14672</v>
      </c>
      <c r="X1410">
        <v>1</v>
      </c>
      <c r="Y1410" t="s">
        <v>21249</v>
      </c>
      <c r="Z1410" t="s">
        <v>27740</v>
      </c>
      <c r="AA1410">
        <v>0.24166542511643879</v>
      </c>
      <c r="AB1410" t="str">
        <f>HYPERLINK("Melting_Curves/meltCurve_O14907_TAX1BP3.pdf", "Melting_Curves/meltCurve_O14907_TAX1BP3.pdf")</f>
        <v>Melting_Curves/meltCurve_O14907_TAX1BP3.pdf</v>
      </c>
    </row>
    <row r="1411" spans="1:28" x14ac:dyDescent="0.25">
      <c r="A1411" t="s">
        <v>1415</v>
      </c>
      <c r="B1411">
        <v>0.99252571173614901</v>
      </c>
      <c r="C1411">
        <v>1.01380060909837</v>
      </c>
      <c r="D1411">
        <v>0.82423073963844595</v>
      </c>
      <c r="E1411">
        <v>0.41266149932371998</v>
      </c>
      <c r="F1411">
        <v>0.161230704327815</v>
      </c>
      <c r="G1411">
        <v>8.2879511161055894E-2</v>
      </c>
      <c r="H1411">
        <v>8.4531023553776397E-2</v>
      </c>
      <c r="I1411">
        <v>0.106104838511248</v>
      </c>
      <c r="J1411">
        <v>0.15916090860676901</v>
      </c>
      <c r="K1411">
        <v>0.150935168364983</v>
      </c>
      <c r="L1411">
        <v>1444.03781137291</v>
      </c>
      <c r="M1411">
        <v>29.859954581156501</v>
      </c>
      <c r="N1411">
        <v>48.783408641273702</v>
      </c>
      <c r="O1411">
        <v>48.145002202277901</v>
      </c>
      <c r="P1411">
        <v>-0.13736632495336501</v>
      </c>
      <c r="Q1411">
        <v>0.114069921030685</v>
      </c>
      <c r="R1411">
        <v>0.99425667790744998</v>
      </c>
      <c r="S1411" t="s">
        <v>8057</v>
      </c>
      <c r="T1411" t="s">
        <v>13290</v>
      </c>
      <c r="U1411" t="s">
        <v>13290</v>
      </c>
      <c r="V1411" t="s">
        <v>13290</v>
      </c>
      <c r="W1411" t="s">
        <v>14673</v>
      </c>
      <c r="X1411">
        <v>6</v>
      </c>
      <c r="Y1411" t="s">
        <v>21250</v>
      </c>
      <c r="Z1411" t="s">
        <v>27741</v>
      </c>
      <c r="AA1411">
        <v>0.36636306832921589</v>
      </c>
      <c r="AB1411" t="str">
        <f>HYPERLINK("Melting_Curves/meltCurve_O14908_GIPC1.pdf", "Melting_Curves/meltCurve_O14908_GIPC1.pdf")</f>
        <v>Melting_Curves/meltCurve_O14908_GIPC1.pdf</v>
      </c>
    </row>
    <row r="1412" spans="1:28" x14ac:dyDescent="0.25">
      <c r="A1412" t="s">
        <v>1416</v>
      </c>
      <c r="B1412">
        <v>0.99252571173614901</v>
      </c>
      <c r="C1412">
        <v>0.85095189789450099</v>
      </c>
      <c r="D1412">
        <v>0.58405103185944196</v>
      </c>
      <c r="E1412">
        <v>0.192725121657561</v>
      </c>
      <c r="F1412">
        <v>9.8264218044075202E-2</v>
      </c>
      <c r="G1412">
        <v>6.3758141117484193E-2</v>
      </c>
      <c r="H1412">
        <v>5.3399444027926901E-2</v>
      </c>
      <c r="I1412">
        <v>6.3428772960012897E-2</v>
      </c>
      <c r="J1412">
        <v>9.0766481788973896E-2</v>
      </c>
      <c r="K1412">
        <v>0.106415889715766</v>
      </c>
      <c r="L1412">
        <v>1164.5965979355999</v>
      </c>
      <c r="M1412">
        <v>25.2101125165387</v>
      </c>
      <c r="N1412">
        <v>46.476772537243299</v>
      </c>
      <c r="O1412">
        <v>45.907882106505603</v>
      </c>
      <c r="P1412">
        <v>-0.12757913573547899</v>
      </c>
      <c r="Q1412">
        <v>7.0720255622372094E-2</v>
      </c>
      <c r="R1412">
        <v>0.99625416485094198</v>
      </c>
      <c r="S1412" t="s">
        <v>8058</v>
      </c>
      <c r="T1412" t="s">
        <v>13290</v>
      </c>
      <c r="U1412" t="s">
        <v>13290</v>
      </c>
      <c r="V1412" t="s">
        <v>13290</v>
      </c>
      <c r="W1412" t="s">
        <v>14674</v>
      </c>
      <c r="X1412">
        <v>7</v>
      </c>
      <c r="Y1412" t="s">
        <v>21251</v>
      </c>
      <c r="Z1412" t="s">
        <v>27742</v>
      </c>
      <c r="AA1412">
        <v>0.27097969362218832</v>
      </c>
      <c r="AB1412" t="str">
        <f>HYPERLINK("Melting_Curves/meltCurve_O14920_IKBKB.pdf", "Melting_Curves/meltCurve_O14920_IKBKB.pdf")</f>
        <v>Melting_Curves/meltCurve_O14920_IKBKB.pdf</v>
      </c>
    </row>
    <row r="1413" spans="1:28" x14ac:dyDescent="0.25">
      <c r="A1413" t="s">
        <v>1417</v>
      </c>
      <c r="B1413">
        <v>0.99252571173614901</v>
      </c>
      <c r="C1413">
        <v>0.90207374717803002</v>
      </c>
      <c r="D1413">
        <v>0.85324225489857097</v>
      </c>
      <c r="E1413">
        <v>0.89293899738672</v>
      </c>
      <c r="F1413">
        <v>0.70786524684387797</v>
      </c>
      <c r="G1413">
        <v>0.57937807081001502</v>
      </c>
      <c r="H1413">
        <v>0.49231363156675501</v>
      </c>
      <c r="I1413">
        <v>0.52030896517316705</v>
      </c>
      <c r="J1413">
        <v>0.474379213120389</v>
      </c>
      <c r="K1413">
        <v>0.26069878198302898</v>
      </c>
      <c r="L1413">
        <v>361.03961580251399</v>
      </c>
      <c r="M1413">
        <v>5.8145050846764201</v>
      </c>
      <c r="N1413">
        <v>62.092922959119697</v>
      </c>
      <c r="O1413">
        <v>55.929927749969998</v>
      </c>
      <c r="P1413">
        <v>-2.6084242387257799E-2</v>
      </c>
      <c r="Q1413">
        <v>0</v>
      </c>
      <c r="R1413">
        <v>0.93921504410999601</v>
      </c>
      <c r="S1413" t="s">
        <v>8059</v>
      </c>
      <c r="T1413" t="s">
        <v>13290</v>
      </c>
      <c r="U1413" t="s">
        <v>13290</v>
      </c>
      <c r="V1413" t="s">
        <v>13290</v>
      </c>
      <c r="W1413" t="s">
        <v>14675</v>
      </c>
      <c r="X1413">
        <v>4</v>
      </c>
      <c r="Y1413" t="s">
        <v>21252</v>
      </c>
      <c r="Z1413" t="s">
        <v>27743</v>
      </c>
      <c r="AA1413">
        <v>0.67066792452511881</v>
      </c>
      <c r="AB1413" t="str">
        <f>HYPERLINK("Melting_Curves/meltCurve_O14925_TIMM23.pdf", "Melting_Curves/meltCurve_O14925_TIMM23.pdf")</f>
        <v>Melting_Curves/meltCurve_O14925_TIMM23.pdf</v>
      </c>
    </row>
    <row r="1414" spans="1:28" x14ac:dyDescent="0.25">
      <c r="A1414" t="s">
        <v>1418</v>
      </c>
      <c r="B1414">
        <v>0.99252571173614901</v>
      </c>
      <c r="C1414">
        <v>0.96912945304713705</v>
      </c>
      <c r="D1414">
        <v>0.86840653886797503</v>
      </c>
      <c r="E1414">
        <v>0.45781739436310998</v>
      </c>
      <c r="F1414">
        <v>0.133779158581906</v>
      </c>
      <c r="G1414">
        <v>7.8807284365369504E-2</v>
      </c>
      <c r="H1414">
        <v>4.80319001077485E-2</v>
      </c>
      <c r="I1414">
        <v>4.9716814988142698E-2</v>
      </c>
      <c r="J1414">
        <v>5.98971967882614E-2</v>
      </c>
      <c r="K1414">
        <v>5.0837819876315603E-2</v>
      </c>
      <c r="L1414">
        <v>1370.08418463566</v>
      </c>
      <c r="M1414">
        <v>27.935964198348099</v>
      </c>
      <c r="N1414">
        <v>49.2308843620388</v>
      </c>
      <c r="O1414">
        <v>48.794495816810603</v>
      </c>
      <c r="P1414">
        <v>-0.135921735996298</v>
      </c>
      <c r="Q1414">
        <v>5.0374618439209103E-2</v>
      </c>
      <c r="R1414">
        <v>0.99959472558447005</v>
      </c>
      <c r="S1414" t="s">
        <v>8060</v>
      </c>
      <c r="T1414" t="s">
        <v>13290</v>
      </c>
      <c r="U1414" t="s">
        <v>13290</v>
      </c>
      <c r="V1414" t="s">
        <v>13290</v>
      </c>
      <c r="W1414" t="s">
        <v>14676</v>
      </c>
      <c r="X1414">
        <v>13</v>
      </c>
      <c r="Y1414" t="s">
        <v>21253</v>
      </c>
      <c r="Z1414" t="s">
        <v>27744</v>
      </c>
      <c r="AA1414">
        <v>0.34334554510030479</v>
      </c>
      <c r="AB1414" t="str">
        <f>HYPERLINK("Melting_Curves/meltCurve_O14929_HAT1.pdf", "Melting_Curves/meltCurve_O14929_HAT1.pdf")</f>
        <v>Melting_Curves/meltCurve_O14929_HAT1.pdf</v>
      </c>
    </row>
    <row r="1415" spans="1:28" x14ac:dyDescent="0.25">
      <c r="A1415" t="s">
        <v>1419</v>
      </c>
      <c r="B1415">
        <v>0.99252571173614901</v>
      </c>
      <c r="C1415">
        <v>1.13251151735721</v>
      </c>
      <c r="D1415">
        <v>0.76806568693279897</v>
      </c>
      <c r="E1415">
        <v>0.38766633111567</v>
      </c>
      <c r="F1415">
        <v>0.232002014837834</v>
      </c>
      <c r="G1415">
        <v>0.176119660698035</v>
      </c>
      <c r="H1415">
        <v>0.115272253325002</v>
      </c>
      <c r="I1415">
        <v>0.10134301830869</v>
      </c>
      <c r="J1415">
        <v>0.12518845483948801</v>
      </c>
      <c r="K1415">
        <v>0.14291808983575</v>
      </c>
      <c r="L1415">
        <v>1364.62802659468</v>
      </c>
      <c r="M1415">
        <v>28.394401894211999</v>
      </c>
      <c r="N1415">
        <v>48.604860057457103</v>
      </c>
      <c r="O1415">
        <v>47.8232774744191</v>
      </c>
      <c r="P1415">
        <v>-0.12819460724682</v>
      </c>
      <c r="Q1415">
        <v>0.13635994677955801</v>
      </c>
      <c r="R1415">
        <v>0.97718946488210201</v>
      </c>
      <c r="S1415" t="s">
        <v>8061</v>
      </c>
      <c r="T1415" t="s">
        <v>13290</v>
      </c>
      <c r="U1415" t="s">
        <v>13290</v>
      </c>
      <c r="V1415" t="s">
        <v>13290</v>
      </c>
      <c r="W1415" t="s">
        <v>14677</v>
      </c>
      <c r="X1415">
        <v>4</v>
      </c>
      <c r="Y1415" t="s">
        <v>21254</v>
      </c>
      <c r="Z1415" t="s">
        <v>27745</v>
      </c>
      <c r="AA1415">
        <v>0.37421914217734248</v>
      </c>
      <c r="AB1415" t="str">
        <f>HYPERLINK("Melting_Curves/meltCurve_O14933_UBE2L6.pdf", "Melting_Curves/meltCurve_O14933_UBE2L6.pdf")</f>
        <v>Melting_Curves/meltCurve_O14933_UBE2L6.pdf</v>
      </c>
    </row>
    <row r="1416" spans="1:28" x14ac:dyDescent="0.25">
      <c r="A1416" t="s">
        <v>1420</v>
      </c>
      <c r="B1416">
        <v>0.99252571173614901</v>
      </c>
      <c r="C1416">
        <v>1.00463560438778</v>
      </c>
      <c r="D1416">
        <v>0.95024681682003198</v>
      </c>
      <c r="E1416">
        <v>0.918188053627783</v>
      </c>
      <c r="F1416">
        <v>0.59848607398740405</v>
      </c>
      <c r="G1416">
        <v>0.44883978064560198</v>
      </c>
      <c r="H1416">
        <v>0.39345132378561498</v>
      </c>
      <c r="I1416">
        <v>0.50876666740642695</v>
      </c>
      <c r="J1416">
        <v>0.58640645048944495</v>
      </c>
      <c r="K1416">
        <v>0.45785896541343601</v>
      </c>
      <c r="L1416">
        <v>2209.16863603002</v>
      </c>
      <c r="M1416">
        <v>42.824164877584302</v>
      </c>
      <c r="N1416">
        <v>55.660722762970202</v>
      </c>
      <c r="O1416">
        <v>51.474839836791404</v>
      </c>
      <c r="P1416">
        <v>-0.108520053005343</v>
      </c>
      <c r="Q1416">
        <v>0.47823431273065597</v>
      </c>
      <c r="R1416">
        <v>0.95682805634289203</v>
      </c>
      <c r="S1416" t="s">
        <v>8062</v>
      </c>
      <c r="T1416" t="s">
        <v>13290</v>
      </c>
      <c r="U1416" t="s">
        <v>13290</v>
      </c>
      <c r="V1416" t="s">
        <v>13290</v>
      </c>
      <c r="W1416" t="s">
        <v>14678</v>
      </c>
      <c r="X1416">
        <v>6</v>
      </c>
      <c r="Y1416" t="s">
        <v>21255</v>
      </c>
      <c r="Z1416" t="s">
        <v>27746</v>
      </c>
      <c r="AA1416">
        <v>0.68137835586375795</v>
      </c>
      <c r="AB1416" t="str">
        <f>HYPERLINK("Melting_Curves/meltCurve_O14949_UQCRQ.pdf", "Melting_Curves/meltCurve_O14949_UQCRQ.pdf")</f>
        <v>Melting_Curves/meltCurve_O14949_UQCRQ.pdf</v>
      </c>
    </row>
    <row r="1417" spans="1:28" x14ac:dyDescent="0.25">
      <c r="A1417" t="s">
        <v>1421</v>
      </c>
      <c r="B1417">
        <v>0.99252571173614901</v>
      </c>
      <c r="C1417">
        <v>1.01037050277037</v>
      </c>
      <c r="D1417">
        <v>0.90547880097367694</v>
      </c>
      <c r="E1417">
        <v>0.61129610316538296</v>
      </c>
      <c r="F1417">
        <v>0.18859426002721999</v>
      </c>
      <c r="G1417">
        <v>0.113574528901527</v>
      </c>
      <c r="H1417">
        <v>8.7989407473148901E-2</v>
      </c>
      <c r="I1417">
        <v>9.7874774674985704E-2</v>
      </c>
      <c r="J1417">
        <v>0.120489658551016</v>
      </c>
      <c r="K1417">
        <v>0.11711783312355301</v>
      </c>
      <c r="L1417">
        <v>1599.8580041503001</v>
      </c>
      <c r="M1417">
        <v>32.063393057449296</v>
      </c>
      <c r="N1417">
        <v>50.249094003361598</v>
      </c>
      <c r="O1417">
        <v>49.703843362355897</v>
      </c>
      <c r="P1417">
        <v>-0.14503584991124399</v>
      </c>
      <c r="Q1417">
        <v>0.100681501873015</v>
      </c>
      <c r="R1417">
        <v>0.99769325334608405</v>
      </c>
      <c r="S1417" t="s">
        <v>8063</v>
      </c>
      <c r="T1417" t="s">
        <v>13290</v>
      </c>
      <c r="U1417" t="s">
        <v>13290</v>
      </c>
      <c r="V1417" t="s">
        <v>13290</v>
      </c>
      <c r="W1417" t="s">
        <v>14679</v>
      </c>
      <c r="X1417">
        <v>23</v>
      </c>
      <c r="Y1417" t="s">
        <v>21256</v>
      </c>
      <c r="Z1417" t="s">
        <v>27747</v>
      </c>
      <c r="AA1417">
        <v>0.40221123217277632</v>
      </c>
      <c r="AB1417" t="str">
        <f>HYPERLINK("Melting_Curves/meltCurve_O14964_HGS.pdf", "Melting_Curves/meltCurve_O14964_HGS.pdf")</f>
        <v>Melting_Curves/meltCurve_O14964_HGS.pdf</v>
      </c>
    </row>
    <row r="1418" spans="1:28" x14ac:dyDescent="0.25">
      <c r="A1418" t="s">
        <v>1422</v>
      </c>
      <c r="B1418">
        <v>0.99252571173614901</v>
      </c>
      <c r="C1418">
        <v>0.98634665503347596</v>
      </c>
      <c r="D1418">
        <v>0.83018599818157501</v>
      </c>
      <c r="E1418">
        <v>0.73681587890049705</v>
      </c>
      <c r="F1418">
        <v>0.396477968326507</v>
      </c>
      <c r="G1418">
        <v>0.16445983140099099</v>
      </c>
      <c r="H1418">
        <v>0.120723570352366</v>
      </c>
      <c r="I1418">
        <v>0.13430879338395199</v>
      </c>
      <c r="J1418">
        <v>0.16404137101608099</v>
      </c>
      <c r="K1418">
        <v>0.19241207779046601</v>
      </c>
      <c r="L1418">
        <v>1095.8448328173799</v>
      </c>
      <c r="M1418">
        <v>21.506846067520701</v>
      </c>
      <c r="N1418">
        <v>51.704810958454097</v>
      </c>
      <c r="O1418">
        <v>50.5189146510426</v>
      </c>
      <c r="P1418">
        <v>-9.2146485861674607E-2</v>
      </c>
      <c r="Q1418">
        <v>0.134224185244781</v>
      </c>
      <c r="R1418">
        <v>0.984548041023805</v>
      </c>
      <c r="S1418" t="s">
        <v>8064</v>
      </c>
      <c r="T1418" t="s">
        <v>13290</v>
      </c>
      <c r="U1418" t="s">
        <v>13290</v>
      </c>
      <c r="V1418" t="s">
        <v>13290</v>
      </c>
      <c r="W1418" t="s">
        <v>14680</v>
      </c>
      <c r="X1418">
        <v>6</v>
      </c>
      <c r="Y1418" t="s">
        <v>21257</v>
      </c>
      <c r="Z1418" t="s">
        <v>27748</v>
      </c>
      <c r="AA1418">
        <v>0.46080167914268411</v>
      </c>
      <c r="AB1418" t="str">
        <f>HYPERLINK("Melting_Curves/meltCurve_O14965_AURKA.pdf", "Melting_Curves/meltCurve_O14965_AURKA.pdf")</f>
        <v>Melting_Curves/meltCurve_O14965_AURKA.pdf</v>
      </c>
    </row>
    <row r="1419" spans="1:28" x14ac:dyDescent="0.25">
      <c r="A1419" t="s">
        <v>1423</v>
      </c>
      <c r="B1419">
        <v>0.99252571173614901</v>
      </c>
      <c r="C1419">
        <v>0.95427617701814504</v>
      </c>
      <c r="D1419">
        <v>0.92240970938806899</v>
      </c>
      <c r="E1419">
        <v>0.630801260358265</v>
      </c>
      <c r="F1419">
        <v>0.21386821813913001</v>
      </c>
      <c r="G1419">
        <v>0.14053152473646299</v>
      </c>
      <c r="H1419">
        <v>0.116162597258711</v>
      </c>
      <c r="I1419">
        <v>0.14056279934318799</v>
      </c>
      <c r="J1419">
        <v>0.204995117650704</v>
      </c>
      <c r="K1419">
        <v>0.24651968731714799</v>
      </c>
      <c r="L1419">
        <v>1889.3103031588801</v>
      </c>
      <c r="M1419">
        <v>37.9304920579726</v>
      </c>
      <c r="N1419">
        <v>50.342840061182997</v>
      </c>
      <c r="O1419">
        <v>49.671957131615699</v>
      </c>
      <c r="P1419">
        <v>-0.15933344672402</v>
      </c>
      <c r="Q1419">
        <v>0.16538031326109001</v>
      </c>
      <c r="R1419">
        <v>0.98672337656631803</v>
      </c>
      <c r="S1419" t="s">
        <v>8065</v>
      </c>
      <c r="T1419" t="s">
        <v>13290</v>
      </c>
      <c r="U1419" t="s">
        <v>13290</v>
      </c>
      <c r="V1419" t="s">
        <v>13290</v>
      </c>
      <c r="W1419" t="s">
        <v>14681</v>
      </c>
      <c r="X1419">
        <v>39</v>
      </c>
      <c r="Y1419" t="s">
        <v>21258</v>
      </c>
      <c r="Z1419" t="s">
        <v>27749</v>
      </c>
      <c r="AA1419">
        <v>0.44149596161544152</v>
      </c>
      <c r="AB1419" t="str">
        <f>HYPERLINK("Melting_Curves/meltCurve_O14974_PPP1R12A.pdf", "Melting_Curves/meltCurve_O14974_PPP1R12A.pdf")</f>
        <v>Melting_Curves/meltCurve_O14974_PPP1R12A.pdf</v>
      </c>
    </row>
    <row r="1420" spans="1:28" x14ac:dyDescent="0.25">
      <c r="A1420" t="s">
        <v>1424</v>
      </c>
      <c r="B1420">
        <v>0.99252571173614901</v>
      </c>
      <c r="C1420">
        <v>0.87877476934537002</v>
      </c>
      <c r="D1420">
        <v>0.80325137365676103</v>
      </c>
      <c r="E1420">
        <v>0.588499475885223</v>
      </c>
      <c r="F1420">
        <v>0.22763279249580701</v>
      </c>
      <c r="G1420">
        <v>0.13282428290824599</v>
      </c>
      <c r="H1420">
        <v>9.17843950653775E-2</v>
      </c>
      <c r="I1420">
        <v>9.0650032987371607E-2</v>
      </c>
      <c r="J1420">
        <v>8.3249941724064094E-2</v>
      </c>
      <c r="K1420">
        <v>6.3890846578164698E-2</v>
      </c>
      <c r="L1420">
        <v>882.05325461535995</v>
      </c>
      <c r="M1420">
        <v>17.782742900448799</v>
      </c>
      <c r="N1420">
        <v>49.954258417315998</v>
      </c>
      <c r="O1420">
        <v>48.9871574857493</v>
      </c>
      <c r="P1420">
        <v>-8.5403707163047696E-2</v>
      </c>
      <c r="Q1420">
        <v>5.8982851073909097E-2</v>
      </c>
      <c r="R1420">
        <v>0.99140619047729395</v>
      </c>
      <c r="S1420" t="s">
        <v>8066</v>
      </c>
      <c r="T1420" t="s">
        <v>13290</v>
      </c>
      <c r="U1420" t="s">
        <v>13290</v>
      </c>
      <c r="V1420" t="s">
        <v>13290</v>
      </c>
      <c r="W1420" t="s">
        <v>14682</v>
      </c>
      <c r="X1420">
        <v>8</v>
      </c>
      <c r="Y1420" t="s">
        <v>21259</v>
      </c>
      <c r="Z1420" t="s">
        <v>27750</v>
      </c>
      <c r="AA1420">
        <v>0.37667978843816302</v>
      </c>
      <c r="AB1420" t="str">
        <f>HYPERLINK("Melting_Curves/meltCurve_O14975_2_SLC27A2.pdf", "Melting_Curves/meltCurve_O14975_2_SLC27A2.pdf")</f>
        <v>Melting_Curves/meltCurve_O14975_2_SLC27A2.pdf</v>
      </c>
    </row>
    <row r="1421" spans="1:28" x14ac:dyDescent="0.25">
      <c r="A1421" t="s">
        <v>1425</v>
      </c>
      <c r="B1421">
        <v>0.99252571173614901</v>
      </c>
      <c r="C1421">
        <v>0.87474475541230201</v>
      </c>
      <c r="D1421">
        <v>0.61914484928862301</v>
      </c>
      <c r="E1421">
        <v>0.281962091156854</v>
      </c>
      <c r="F1421">
        <v>0.18793197223271299</v>
      </c>
      <c r="G1421">
        <v>0.11567800852724799</v>
      </c>
      <c r="H1421">
        <v>9.6674610743652703E-2</v>
      </c>
      <c r="I1421">
        <v>0.10696584707871599</v>
      </c>
      <c r="J1421">
        <v>0.114827700958006</v>
      </c>
      <c r="K1421">
        <v>0.10982601030816801</v>
      </c>
      <c r="L1421">
        <v>1017.46819385729</v>
      </c>
      <c r="M1421">
        <v>21.841608612628701</v>
      </c>
      <c r="N1421">
        <v>47.101845713652601</v>
      </c>
      <c r="O1421">
        <v>46.198725730114603</v>
      </c>
      <c r="P1421">
        <v>-0.105579380983015</v>
      </c>
      <c r="Q1421">
        <v>0.10674712640251501</v>
      </c>
      <c r="R1421">
        <v>0.99861201062899196</v>
      </c>
      <c r="S1421" t="s">
        <v>8067</v>
      </c>
      <c r="T1421" t="s">
        <v>13290</v>
      </c>
      <c r="U1421" t="s">
        <v>13290</v>
      </c>
      <c r="V1421" t="s">
        <v>13290</v>
      </c>
      <c r="W1421" t="s">
        <v>14683</v>
      </c>
      <c r="X1421">
        <v>11</v>
      </c>
      <c r="Y1421" t="s">
        <v>21260</v>
      </c>
      <c r="Z1421" t="s">
        <v>27751</v>
      </c>
      <c r="AA1421">
        <v>0.31371259738583501</v>
      </c>
      <c r="AB1421" t="str">
        <f>HYPERLINK("Melting_Curves/meltCurve_O14976_GAK.pdf", "Melting_Curves/meltCurve_O14976_GAK.pdf")</f>
        <v>Melting_Curves/meltCurve_O14976_GAK.pdf</v>
      </c>
    </row>
    <row r="1422" spans="1:28" x14ac:dyDescent="0.25">
      <c r="A1422" t="s">
        <v>1426</v>
      </c>
      <c r="B1422">
        <v>0.99252571173614901</v>
      </c>
      <c r="C1422">
        <v>1.10949434977726</v>
      </c>
      <c r="D1422">
        <v>1.0914874916255599</v>
      </c>
      <c r="E1422">
        <v>1.0982069587460599</v>
      </c>
      <c r="F1422">
        <v>0.92436403742974305</v>
      </c>
      <c r="G1422">
        <v>0.81926032978433205</v>
      </c>
      <c r="H1422">
        <v>0.829825572507776</v>
      </c>
      <c r="I1422">
        <v>0.99492179832317595</v>
      </c>
      <c r="J1422">
        <v>1.47972602070947</v>
      </c>
      <c r="K1422">
        <v>2.85281402128832</v>
      </c>
      <c r="L1422">
        <v>15000</v>
      </c>
      <c r="M1422">
        <v>226.71468909709699</v>
      </c>
      <c r="O1422">
        <v>66.157302768664195</v>
      </c>
      <c r="P1422">
        <v>0.42836291789928799</v>
      </c>
      <c r="Q1422">
        <v>1.5</v>
      </c>
      <c r="R1422">
        <v>0.412284856309442</v>
      </c>
      <c r="S1422" t="s">
        <v>8068</v>
      </c>
      <c r="T1422" t="s">
        <v>13290</v>
      </c>
      <c r="U1422" t="s">
        <v>13290</v>
      </c>
      <c r="V1422" t="s">
        <v>13290</v>
      </c>
      <c r="W1422" t="s">
        <v>14684</v>
      </c>
      <c r="X1422">
        <v>13</v>
      </c>
      <c r="Y1422" t="s">
        <v>21261</v>
      </c>
      <c r="Z1422" t="s">
        <v>27752</v>
      </c>
      <c r="AA1422">
        <v>1.063888537208963</v>
      </c>
      <c r="AB1422" t="str">
        <f>HYPERLINK("Melting_Curves/meltCurve_O14979_3_HNRPDL.pdf", "Melting_Curves/meltCurve_O14979_3_HNRPDL.pdf")</f>
        <v>Melting_Curves/meltCurve_O14979_3_HNRPDL.pdf</v>
      </c>
    </row>
    <row r="1423" spans="1:28" x14ac:dyDescent="0.25">
      <c r="A1423" t="s">
        <v>1427</v>
      </c>
      <c r="B1423">
        <v>0.99252571173614901</v>
      </c>
      <c r="C1423">
        <v>1.0265745739635601</v>
      </c>
      <c r="D1423">
        <v>0.71581145042737404</v>
      </c>
      <c r="E1423">
        <v>0.34511786429006602</v>
      </c>
      <c r="F1423">
        <v>0.158423482270378</v>
      </c>
      <c r="G1423">
        <v>9.5904908909560299E-2</v>
      </c>
      <c r="H1423">
        <v>6.8566568200493894E-2</v>
      </c>
      <c r="I1423">
        <v>6.3042709552612694E-2</v>
      </c>
      <c r="J1423">
        <v>6.8329606831553202E-2</v>
      </c>
      <c r="K1423">
        <v>6.2390277564348798E-2</v>
      </c>
      <c r="L1423">
        <v>1196.69139344409</v>
      </c>
      <c r="M1423">
        <v>25.0231455566412</v>
      </c>
      <c r="N1423">
        <v>48.114099949125098</v>
      </c>
      <c r="O1423">
        <v>47.521090750016498</v>
      </c>
      <c r="P1423">
        <v>-0.12240784779691501</v>
      </c>
      <c r="Q1423">
        <v>7.0160650206487499E-2</v>
      </c>
      <c r="R1423">
        <v>0.99470230868846898</v>
      </c>
      <c r="S1423" t="s">
        <v>8069</v>
      </c>
      <c r="T1423" t="s">
        <v>13290</v>
      </c>
      <c r="U1423" t="s">
        <v>13290</v>
      </c>
      <c r="V1423" t="s">
        <v>13290</v>
      </c>
      <c r="W1423" t="s">
        <v>14685</v>
      </c>
      <c r="X1423">
        <v>36</v>
      </c>
      <c r="Y1423" t="s">
        <v>21262</v>
      </c>
      <c r="Z1423" t="s">
        <v>27753</v>
      </c>
      <c r="AA1423">
        <v>0.32085078828803609</v>
      </c>
      <c r="AB1423" t="str">
        <f>HYPERLINK("Melting_Curves/meltCurve_O14980_XPO1.pdf", "Melting_Curves/meltCurve_O14980_XPO1.pdf")</f>
        <v>Melting_Curves/meltCurve_O14980_XPO1.pdf</v>
      </c>
    </row>
    <row r="1424" spans="1:28" x14ac:dyDescent="0.25">
      <c r="A1424" t="s">
        <v>1428</v>
      </c>
      <c r="B1424">
        <v>0.99252571173614901</v>
      </c>
      <c r="C1424">
        <v>0.90484968390612996</v>
      </c>
      <c r="D1424">
        <v>0.77646475002479198</v>
      </c>
      <c r="E1424">
        <v>0.37484458940867399</v>
      </c>
      <c r="F1424">
        <v>0.16232053914003999</v>
      </c>
      <c r="G1424">
        <v>9.8036768728447202E-2</v>
      </c>
      <c r="H1424">
        <v>7.7015245612853694E-2</v>
      </c>
      <c r="I1424">
        <v>7.7510850104523799E-2</v>
      </c>
      <c r="J1424">
        <v>5.7503858741611402E-2</v>
      </c>
      <c r="K1424">
        <v>4.9836632273347198E-2</v>
      </c>
      <c r="L1424">
        <v>1061.0383628463801</v>
      </c>
      <c r="M1424">
        <v>22.032709562842399</v>
      </c>
      <c r="N1424">
        <v>48.444874982986697</v>
      </c>
      <c r="O1424">
        <v>47.765966020694698</v>
      </c>
      <c r="P1424">
        <v>-0.108252624877042</v>
      </c>
      <c r="Q1424">
        <v>6.1272696741524101E-2</v>
      </c>
      <c r="R1424">
        <v>0.99823452998017104</v>
      </c>
      <c r="S1424" t="s">
        <v>8070</v>
      </c>
      <c r="T1424" t="s">
        <v>13290</v>
      </c>
      <c r="U1424" t="s">
        <v>13290</v>
      </c>
      <c r="V1424" t="s">
        <v>13290</v>
      </c>
      <c r="W1424" t="s">
        <v>14686</v>
      </c>
      <c r="X1424">
        <v>19</v>
      </c>
      <c r="Y1424" t="s">
        <v>21263</v>
      </c>
      <c r="Z1424" t="s">
        <v>27754</v>
      </c>
      <c r="AA1424">
        <v>0.32736469389225142</v>
      </c>
      <c r="AB1424" t="str">
        <f>HYPERLINK("Melting_Curves/meltCurve_O14981_BTAF1.pdf", "Melting_Curves/meltCurve_O14981_BTAF1.pdf")</f>
        <v>Melting_Curves/meltCurve_O14981_BTAF1.pdf</v>
      </c>
    </row>
    <row r="1425" spans="1:28" x14ac:dyDescent="0.25">
      <c r="A1425" t="s">
        <v>1429</v>
      </c>
      <c r="B1425">
        <v>0.99252571173614901</v>
      </c>
      <c r="C1425">
        <v>1.0283582415667301</v>
      </c>
      <c r="D1425">
        <v>0.88651349839944704</v>
      </c>
      <c r="E1425">
        <v>0.85905679065215601</v>
      </c>
      <c r="F1425">
        <v>0.51330918707705198</v>
      </c>
      <c r="G1425">
        <v>0.31412659642414398</v>
      </c>
      <c r="H1425">
        <v>0.21685652644336301</v>
      </c>
      <c r="I1425">
        <v>0.26641319787491102</v>
      </c>
      <c r="J1425">
        <v>0.388578580471243</v>
      </c>
      <c r="K1425">
        <v>0.42060525260571102</v>
      </c>
      <c r="L1425">
        <v>1677.33284752859</v>
      </c>
      <c r="M1425">
        <v>32.5372616115894</v>
      </c>
      <c r="N1425">
        <v>53.1862387268161</v>
      </c>
      <c r="O1425">
        <v>51.357578643035303</v>
      </c>
      <c r="P1425">
        <v>-0.10831834325892099</v>
      </c>
      <c r="Q1425">
        <v>0.31611434432315699</v>
      </c>
      <c r="R1425">
        <v>0.95391652023782503</v>
      </c>
      <c r="S1425" t="s">
        <v>8071</v>
      </c>
      <c r="T1425" t="s">
        <v>13290</v>
      </c>
      <c r="U1425" t="s">
        <v>13290</v>
      </c>
      <c r="V1425" t="s">
        <v>13290</v>
      </c>
      <c r="W1425" t="s">
        <v>14687</v>
      </c>
      <c r="X1425">
        <v>9</v>
      </c>
      <c r="Y1425" t="s">
        <v>21264</v>
      </c>
      <c r="Z1425" t="s">
        <v>27755</v>
      </c>
      <c r="AA1425">
        <v>0.58312524004785748</v>
      </c>
      <c r="AB1425" t="str">
        <f>HYPERLINK("Melting_Curves/meltCurve_O15014_ZNF609.pdf", "Melting_Curves/meltCurve_O15014_ZNF609.pdf")</f>
        <v>Melting_Curves/meltCurve_O15014_ZNF609.pdf</v>
      </c>
    </row>
    <row r="1426" spans="1:28" x14ac:dyDescent="0.25">
      <c r="A1426" t="s">
        <v>1430</v>
      </c>
      <c r="B1426">
        <v>0.99252571173614901</v>
      </c>
      <c r="C1426">
        <v>1.1120019337443401</v>
      </c>
      <c r="D1426">
        <v>1.1052609305999499</v>
      </c>
      <c r="E1426">
        <v>1.13167988661993</v>
      </c>
      <c r="F1426">
        <v>0.86550504780660897</v>
      </c>
      <c r="G1426">
        <v>0.44691577754367801</v>
      </c>
      <c r="H1426">
        <v>0.20925964729341301</v>
      </c>
      <c r="I1426">
        <v>0.20218765933708399</v>
      </c>
      <c r="J1426">
        <v>0.17474109902842699</v>
      </c>
      <c r="K1426">
        <v>0.33902449349852198</v>
      </c>
      <c r="L1426">
        <v>2365.9601552386098</v>
      </c>
      <c r="M1426">
        <v>42.683561527551603</v>
      </c>
      <c r="N1426">
        <v>56.235256310330897</v>
      </c>
      <c r="O1426">
        <v>55.308992106737598</v>
      </c>
      <c r="P1426">
        <v>-0.14882861900731001</v>
      </c>
      <c r="Q1426">
        <v>0.228597921896841</v>
      </c>
      <c r="R1426">
        <v>0.96155643045707895</v>
      </c>
      <c r="S1426" t="s">
        <v>8072</v>
      </c>
      <c r="T1426" t="s">
        <v>13290</v>
      </c>
      <c r="U1426" t="s">
        <v>13290</v>
      </c>
      <c r="V1426" t="s">
        <v>13290</v>
      </c>
      <c r="W1426" t="s">
        <v>14688</v>
      </c>
      <c r="X1426">
        <v>3</v>
      </c>
      <c r="Y1426" t="s">
        <v>21265</v>
      </c>
      <c r="Z1426" t="s">
        <v>27756</v>
      </c>
      <c r="AA1426">
        <v>0.62794769261128025</v>
      </c>
      <c r="AB1426" t="str">
        <f>HYPERLINK("Melting_Curves/meltCurve_O15015_ZNF646.pdf", "Melting_Curves/meltCurve_O15015_ZNF646.pdf")</f>
        <v>Melting_Curves/meltCurve_O15015_ZNF646.pdf</v>
      </c>
    </row>
    <row r="1427" spans="1:28" x14ac:dyDescent="0.25">
      <c r="A1427" t="s">
        <v>1431</v>
      </c>
      <c r="B1427">
        <v>0.99252571173614901</v>
      </c>
      <c r="C1427">
        <v>0.74900011124169896</v>
      </c>
      <c r="D1427">
        <v>0.69281559189756203</v>
      </c>
      <c r="E1427">
        <v>0.30539582229815598</v>
      </c>
      <c r="F1427">
        <v>0.165654089253536</v>
      </c>
      <c r="G1427">
        <v>0.105035905216844</v>
      </c>
      <c r="H1427">
        <v>9.9228059804347096E-2</v>
      </c>
      <c r="I1427">
        <v>0.102117283529949</v>
      </c>
      <c r="J1427">
        <v>0.129702278212903</v>
      </c>
      <c r="K1427">
        <v>0.12418663594580601</v>
      </c>
      <c r="L1427">
        <v>842.72352695522602</v>
      </c>
      <c r="M1427">
        <v>18.0408220361528</v>
      </c>
      <c r="N1427">
        <v>47.273628085639501</v>
      </c>
      <c r="O1427">
        <v>46.149459691531199</v>
      </c>
      <c r="P1427">
        <v>-8.8308264454000293E-2</v>
      </c>
      <c r="Q1427">
        <v>9.6454118279290499E-2</v>
      </c>
      <c r="R1427">
        <v>0.97896444746840605</v>
      </c>
      <c r="S1427" t="s">
        <v>8073</v>
      </c>
      <c r="T1427" t="s">
        <v>13290</v>
      </c>
      <c r="U1427" t="s">
        <v>13290</v>
      </c>
      <c r="V1427" t="s">
        <v>13290</v>
      </c>
      <c r="W1427" t="s">
        <v>14689</v>
      </c>
      <c r="X1427">
        <v>26</v>
      </c>
      <c r="Y1427" t="s">
        <v>21266</v>
      </c>
      <c r="Z1427" t="s">
        <v>27757</v>
      </c>
      <c r="AA1427">
        <v>0.31544875768115538</v>
      </c>
      <c r="AB1427" t="str">
        <f>HYPERLINK("Melting_Curves/meltCurve_O15020_SPTBN2.pdf", "Melting_Curves/meltCurve_O15020_SPTBN2.pdf")</f>
        <v>Melting_Curves/meltCurve_O15020_SPTBN2.pdf</v>
      </c>
    </row>
    <row r="1428" spans="1:28" x14ac:dyDescent="0.25">
      <c r="A1428" t="s">
        <v>1432</v>
      </c>
      <c r="B1428">
        <v>0.99252571173614901</v>
      </c>
      <c r="C1428">
        <v>0.90121254141168905</v>
      </c>
      <c r="D1428">
        <v>0.89662828277198503</v>
      </c>
      <c r="E1428">
        <v>0.84644986622668605</v>
      </c>
      <c r="F1428">
        <v>0.37764283230680401</v>
      </c>
      <c r="G1428">
        <v>0.28821484712809498</v>
      </c>
      <c r="H1428">
        <v>0.31315090417227298</v>
      </c>
      <c r="I1428">
        <v>0.383385483908047</v>
      </c>
      <c r="J1428">
        <v>0.47166844182519402</v>
      </c>
      <c r="K1428">
        <v>0.44819143602496597</v>
      </c>
      <c r="L1428">
        <v>5277.9751662272702</v>
      </c>
      <c r="M1428">
        <v>105.300787925961</v>
      </c>
      <c r="N1428">
        <v>50.812064047968903</v>
      </c>
      <c r="O1428">
        <v>50.104775429423498</v>
      </c>
      <c r="P1428">
        <v>-0.32567318603712098</v>
      </c>
      <c r="Q1428">
        <v>0.38014590635197198</v>
      </c>
      <c r="R1428">
        <v>0.93439761092200002</v>
      </c>
      <c r="S1428" t="s">
        <v>8074</v>
      </c>
      <c r="T1428" t="s">
        <v>13290</v>
      </c>
      <c r="U1428" t="s">
        <v>13290</v>
      </c>
      <c r="V1428" t="s">
        <v>13290</v>
      </c>
      <c r="W1428" t="s">
        <v>14690</v>
      </c>
      <c r="X1428">
        <v>20</v>
      </c>
      <c r="Y1428" t="s">
        <v>20767</v>
      </c>
      <c r="Z1428" t="s">
        <v>27758</v>
      </c>
      <c r="AA1428">
        <v>0.5896098086370466</v>
      </c>
      <c r="AB1428" t="str">
        <f>HYPERLINK("Melting_Curves/meltCurve_O15031_PLXNB2.pdf", "Melting_Curves/meltCurve_O15031_PLXNB2.pdf")</f>
        <v>Melting_Curves/meltCurve_O15031_PLXNB2.pdf</v>
      </c>
    </row>
    <row r="1429" spans="1:28" x14ac:dyDescent="0.25">
      <c r="A1429" t="s">
        <v>1433</v>
      </c>
      <c r="B1429">
        <v>0.99252571173614901</v>
      </c>
      <c r="C1429">
        <v>1.0086446432074101</v>
      </c>
      <c r="D1429">
        <v>0.97895977662117295</v>
      </c>
      <c r="E1429">
        <v>0.76889491473438798</v>
      </c>
      <c r="F1429">
        <v>0.44338336374299703</v>
      </c>
      <c r="G1429">
        <v>0.29684424979382601</v>
      </c>
      <c r="H1429">
        <v>0.14307826254561901</v>
      </c>
      <c r="I1429">
        <v>0.177024248287382</v>
      </c>
      <c r="J1429">
        <v>0.17336085186820799</v>
      </c>
      <c r="K1429">
        <v>0.126077848608485</v>
      </c>
      <c r="L1429">
        <v>1152.5647879336</v>
      </c>
      <c r="M1429">
        <v>22.215010610589498</v>
      </c>
      <c r="N1429">
        <v>52.716712670259298</v>
      </c>
      <c r="O1429">
        <v>51.467325612050701</v>
      </c>
      <c r="P1429">
        <v>-9.1914510336229993E-2</v>
      </c>
      <c r="Q1429">
        <v>0.14823492410945699</v>
      </c>
      <c r="R1429">
        <v>0.99583866863820902</v>
      </c>
      <c r="S1429" t="s">
        <v>8075</v>
      </c>
      <c r="T1429" t="s">
        <v>13290</v>
      </c>
      <c r="U1429" t="s">
        <v>13290</v>
      </c>
      <c r="V1429" t="s">
        <v>13290</v>
      </c>
      <c r="W1429" t="s">
        <v>14691</v>
      </c>
      <c r="X1429">
        <v>4</v>
      </c>
      <c r="Y1429" t="s">
        <v>21267</v>
      </c>
      <c r="Z1429" t="s">
        <v>27759</v>
      </c>
      <c r="AA1429">
        <v>0.49532083267556348</v>
      </c>
      <c r="AB1429" t="str">
        <f>HYPERLINK("Melting_Curves/meltCurve_O15034_RIMBP2.pdf", "Melting_Curves/meltCurve_O15034_RIMBP2.pdf")</f>
        <v>Melting_Curves/meltCurve_O15034_RIMBP2.pdf</v>
      </c>
    </row>
    <row r="1430" spans="1:28" x14ac:dyDescent="0.25">
      <c r="A1430" t="s">
        <v>1434</v>
      </c>
      <c r="B1430">
        <v>0.99252571173614901</v>
      </c>
      <c r="C1430">
        <v>0.98735538135019196</v>
      </c>
      <c r="D1430">
        <v>0.97852785668480002</v>
      </c>
      <c r="E1430">
        <v>0.804609401682569</v>
      </c>
      <c r="F1430">
        <v>0.626625041625965</v>
      </c>
      <c r="G1430">
        <v>0.33681709460874398</v>
      </c>
      <c r="H1430">
        <v>0.18467340406289701</v>
      </c>
      <c r="I1430">
        <v>0.200424738444931</v>
      </c>
      <c r="J1430">
        <v>0.222406877984023</v>
      </c>
      <c r="K1430">
        <v>0.132802187543242</v>
      </c>
      <c r="L1430">
        <v>1043.61374874025</v>
      </c>
      <c r="M1430">
        <v>19.568058511720501</v>
      </c>
      <c r="N1430">
        <v>54.362628859635699</v>
      </c>
      <c r="O1430">
        <v>52.784893710121501</v>
      </c>
      <c r="P1430">
        <v>-7.8324702459567005E-2</v>
      </c>
      <c r="Q1430">
        <v>0.15490556240487199</v>
      </c>
      <c r="R1430">
        <v>0.99272000047186604</v>
      </c>
      <c r="S1430" t="s">
        <v>8076</v>
      </c>
      <c r="T1430" t="s">
        <v>13290</v>
      </c>
      <c r="U1430" t="s">
        <v>13290</v>
      </c>
      <c r="V1430" t="s">
        <v>13290</v>
      </c>
      <c r="W1430" t="s">
        <v>14692</v>
      </c>
      <c r="X1430">
        <v>5</v>
      </c>
      <c r="Y1430" t="s">
        <v>21268</v>
      </c>
      <c r="Z1430" t="s">
        <v>27760</v>
      </c>
      <c r="AA1430">
        <v>0.54249536457119196</v>
      </c>
      <c r="AB1430" t="str">
        <f>HYPERLINK("Melting_Curves/meltCurve_O15040_TECPR2.pdf", "Melting_Curves/meltCurve_O15040_TECPR2.pdf")</f>
        <v>Melting_Curves/meltCurve_O15040_TECPR2.pdf</v>
      </c>
    </row>
    <row r="1431" spans="1:28" x14ac:dyDescent="0.25">
      <c r="A1431" t="s">
        <v>1435</v>
      </c>
      <c r="B1431">
        <v>0.99252571173614901</v>
      </c>
      <c r="C1431">
        <v>0.92211242509149705</v>
      </c>
      <c r="D1431">
        <v>0.962044829014019</v>
      </c>
      <c r="E1431">
        <v>0.61991129126276001</v>
      </c>
      <c r="F1431">
        <v>0.202351103357335</v>
      </c>
      <c r="G1431">
        <v>0.116192504082391</v>
      </c>
      <c r="H1431">
        <v>8.5172137152898494E-2</v>
      </c>
      <c r="I1431">
        <v>9.3983110100777006E-2</v>
      </c>
      <c r="J1431">
        <v>0.116620110250255</v>
      </c>
      <c r="K1431">
        <v>0.109262421450205</v>
      </c>
      <c r="L1431">
        <v>1711.2290785452701</v>
      </c>
      <c r="M1431">
        <v>34.194330428599898</v>
      </c>
      <c r="N1431">
        <v>50.374114452773703</v>
      </c>
      <c r="O1431">
        <v>49.874013470372603</v>
      </c>
      <c r="P1431">
        <v>-0.154210247303459</v>
      </c>
      <c r="Q1431">
        <v>0.100312537668451</v>
      </c>
      <c r="R1431">
        <v>0.99563592309643101</v>
      </c>
      <c r="S1431" t="s">
        <v>8077</v>
      </c>
      <c r="T1431" t="s">
        <v>13290</v>
      </c>
      <c r="U1431" t="s">
        <v>13290</v>
      </c>
      <c r="V1431" t="s">
        <v>13290</v>
      </c>
      <c r="W1431" t="s">
        <v>14693</v>
      </c>
      <c r="X1431">
        <v>12</v>
      </c>
      <c r="Y1431" t="s">
        <v>21269</v>
      </c>
      <c r="Z1431" t="s">
        <v>27761</v>
      </c>
      <c r="AA1431">
        <v>0.40580848786080331</v>
      </c>
      <c r="AB1431" t="str">
        <f>HYPERLINK("Melting_Curves/meltCurve_O15066_KIF3B.pdf", "Melting_Curves/meltCurve_O15066_KIF3B.pdf")</f>
        <v>Melting_Curves/meltCurve_O15066_KIF3B.pdf</v>
      </c>
    </row>
    <row r="1432" spans="1:28" x14ac:dyDescent="0.25">
      <c r="A1432" t="s">
        <v>1436</v>
      </c>
      <c r="B1432">
        <v>0.99252571173614901</v>
      </c>
      <c r="C1432">
        <v>0.97149924551080202</v>
      </c>
      <c r="D1432">
        <v>0.98421316086231703</v>
      </c>
      <c r="E1432">
        <v>0.74774380532306595</v>
      </c>
      <c r="F1432">
        <v>0.32889249771622903</v>
      </c>
      <c r="G1432">
        <v>0.16541833288208799</v>
      </c>
      <c r="H1432">
        <v>9.9020609219254999E-2</v>
      </c>
      <c r="I1432">
        <v>9.40892503158441E-2</v>
      </c>
      <c r="J1432">
        <v>0.104813251947126</v>
      </c>
      <c r="K1432">
        <v>9.42870679924179E-2</v>
      </c>
      <c r="L1432">
        <v>1464.7661932128001</v>
      </c>
      <c r="M1432">
        <v>28.572399741600901</v>
      </c>
      <c r="N1432">
        <v>51.6562700149791</v>
      </c>
      <c r="O1432">
        <v>51.015924776448699</v>
      </c>
      <c r="P1432">
        <v>-0.126396420494404</v>
      </c>
      <c r="Q1432">
        <v>9.7285589787592802E-2</v>
      </c>
      <c r="R1432">
        <v>0.99908041887358401</v>
      </c>
      <c r="S1432" t="s">
        <v>8078</v>
      </c>
      <c r="T1432" t="s">
        <v>13290</v>
      </c>
      <c r="U1432" t="s">
        <v>13290</v>
      </c>
      <c r="V1432" t="s">
        <v>13290</v>
      </c>
      <c r="W1432" t="s">
        <v>14694</v>
      </c>
      <c r="X1432">
        <v>43</v>
      </c>
      <c r="Y1432" t="s">
        <v>21270</v>
      </c>
      <c r="Z1432" t="s">
        <v>27762</v>
      </c>
      <c r="AA1432">
        <v>0.44253951686969012</v>
      </c>
      <c r="AB1432" t="str">
        <f>HYPERLINK("Melting_Curves/meltCurve_O15067_PFAS.pdf", "Melting_Curves/meltCurve_O15067_PFAS.pdf")</f>
        <v>Melting_Curves/meltCurve_O15067_PFAS.pdf</v>
      </c>
    </row>
    <row r="1433" spans="1:28" x14ac:dyDescent="0.25">
      <c r="A1433" t="s">
        <v>1437</v>
      </c>
      <c r="B1433">
        <v>0.99252571173614901</v>
      </c>
      <c r="C1433">
        <v>1.10001255563583</v>
      </c>
      <c r="D1433">
        <v>1.0015787422328299</v>
      </c>
      <c r="E1433">
        <v>0.85575458353866396</v>
      </c>
      <c r="F1433">
        <v>0.75115056866521501</v>
      </c>
      <c r="G1433">
        <v>0.61159076693745695</v>
      </c>
      <c r="H1433">
        <v>0.36683934402798701</v>
      </c>
      <c r="I1433">
        <v>0.169026500682252</v>
      </c>
      <c r="J1433">
        <v>0.131664875381796</v>
      </c>
      <c r="K1433">
        <v>0.155533634627781</v>
      </c>
      <c r="L1433">
        <v>817.35229845424203</v>
      </c>
      <c r="M1433">
        <v>14.1930464501367</v>
      </c>
      <c r="N1433">
        <v>57.926435407798998</v>
      </c>
      <c r="O1433">
        <v>56.481162601426</v>
      </c>
      <c r="P1433">
        <v>-6.0331546383961897E-2</v>
      </c>
      <c r="Q1433">
        <v>3.9764010537271799E-2</v>
      </c>
      <c r="R1433">
        <v>0.98172038002296702</v>
      </c>
      <c r="S1433" t="s">
        <v>8079</v>
      </c>
      <c r="T1433" t="s">
        <v>13290</v>
      </c>
      <c r="U1433" t="s">
        <v>13290</v>
      </c>
      <c r="V1433" t="s">
        <v>13290</v>
      </c>
      <c r="W1433" t="s">
        <v>14695</v>
      </c>
      <c r="X1433">
        <v>14</v>
      </c>
      <c r="Y1433" t="s">
        <v>21271</v>
      </c>
      <c r="Z1433" t="s">
        <v>27763</v>
      </c>
      <c r="AA1433">
        <v>0.61684104169863907</v>
      </c>
      <c r="AB1433" t="str">
        <f>HYPERLINK("Melting_Curves/meltCurve_O15075_4_DCLK1.pdf", "Melting_Curves/meltCurve_O15075_4_DCLK1.pdf")</f>
        <v>Melting_Curves/meltCurve_O15075_4_DCLK1.pdf</v>
      </c>
    </row>
    <row r="1434" spans="1:28" x14ac:dyDescent="0.25">
      <c r="A1434" t="s">
        <v>1438</v>
      </c>
      <c r="B1434">
        <v>0.99252571173614901</v>
      </c>
      <c r="C1434">
        <v>0.81299102094597697</v>
      </c>
      <c r="D1434">
        <v>1.33623622378318</v>
      </c>
      <c r="E1434">
        <v>1.25264102760888</v>
      </c>
      <c r="F1434">
        <v>0.53986288112381198</v>
      </c>
      <c r="G1434">
        <v>0.11806947336559601</v>
      </c>
      <c r="H1434">
        <v>0.11168198247130701</v>
      </c>
      <c r="I1434">
        <v>0.118706234265171</v>
      </c>
      <c r="J1434">
        <v>0.122551833398482</v>
      </c>
      <c r="K1434">
        <v>0.12047734777781299</v>
      </c>
      <c r="L1434">
        <v>13295.3423812168</v>
      </c>
      <c r="M1434">
        <v>250</v>
      </c>
      <c r="N1434">
        <v>53.238836572549602</v>
      </c>
      <c r="O1434">
        <v>53.177952745341202</v>
      </c>
      <c r="P1434">
        <v>-1.03626406608827</v>
      </c>
      <c r="Q1434">
        <v>0.118297351289454</v>
      </c>
      <c r="R1434">
        <v>0.90818738478386396</v>
      </c>
      <c r="S1434" t="s">
        <v>8080</v>
      </c>
      <c r="T1434" t="s">
        <v>13290</v>
      </c>
      <c r="U1434" t="s">
        <v>13290</v>
      </c>
      <c r="V1434" t="s">
        <v>13290</v>
      </c>
      <c r="W1434" t="s">
        <v>14696</v>
      </c>
      <c r="X1434">
        <v>10</v>
      </c>
      <c r="Y1434" t="s">
        <v>21272</v>
      </c>
      <c r="Z1434" t="s">
        <v>27764</v>
      </c>
      <c r="AA1434">
        <v>0.50578125690420128</v>
      </c>
      <c r="AB1434" t="str">
        <f>HYPERLINK("Melting_Curves/meltCurve_O15084_ANKRD28.pdf", "Melting_Curves/meltCurve_O15084_ANKRD28.pdf")</f>
        <v>Melting_Curves/meltCurve_O15084_ANKRD28.pdf</v>
      </c>
    </row>
    <row r="1435" spans="1:28" x14ac:dyDescent="0.25">
      <c r="A1435" t="s">
        <v>1439</v>
      </c>
      <c r="B1435">
        <v>0.99252571173614901</v>
      </c>
      <c r="C1435">
        <v>0.777719442448637</v>
      </c>
      <c r="D1435">
        <v>0.255673592609381</v>
      </c>
      <c r="E1435">
        <v>0.1670681721426</v>
      </c>
      <c r="F1435">
        <v>0.101481935607073</v>
      </c>
      <c r="G1435">
        <v>6.1782600126497798E-2</v>
      </c>
      <c r="H1435">
        <v>3.9945321508518199E-2</v>
      </c>
      <c r="I1435">
        <v>3.6550046517568699E-2</v>
      </c>
      <c r="J1435">
        <v>3.3709466424907998E-2</v>
      </c>
      <c r="K1435">
        <v>3.0561894476675799E-2</v>
      </c>
      <c r="L1435">
        <v>1466.1763778089501</v>
      </c>
      <c r="M1435">
        <v>33.054986048521698</v>
      </c>
      <c r="N1435">
        <v>44.527763262622202</v>
      </c>
      <c r="O1435">
        <v>44.194282511737697</v>
      </c>
      <c r="P1435">
        <v>-0.17577592128345901</v>
      </c>
      <c r="Q1435">
        <v>5.9959506706972102E-2</v>
      </c>
      <c r="R1435">
        <v>0.98957669540678905</v>
      </c>
      <c r="S1435" t="s">
        <v>8081</v>
      </c>
      <c r="T1435" t="s">
        <v>13290</v>
      </c>
      <c r="U1435" t="s">
        <v>13290</v>
      </c>
      <c r="V1435" t="s">
        <v>13290</v>
      </c>
      <c r="W1435" t="s">
        <v>14697</v>
      </c>
      <c r="X1435">
        <v>10</v>
      </c>
      <c r="Y1435" t="s">
        <v>21273</v>
      </c>
      <c r="Z1435" t="s">
        <v>27765</v>
      </c>
      <c r="AA1435">
        <v>0.2015574828668214</v>
      </c>
      <c r="AB1435" t="str">
        <f>HYPERLINK("Melting_Curves/meltCurve_O15091_2_KIAA0391.pdf", "Melting_Curves/meltCurve_O15091_2_KIAA0391.pdf")</f>
        <v>Melting_Curves/meltCurve_O15091_2_KIAA0391.pdf</v>
      </c>
    </row>
    <row r="1436" spans="1:28" x14ac:dyDescent="0.25">
      <c r="A1436" t="s">
        <v>1440</v>
      </c>
      <c r="B1436">
        <v>0.99252571173614901</v>
      </c>
      <c r="C1436">
        <v>1.09232833106086</v>
      </c>
      <c r="D1436">
        <v>1.06188730607919</v>
      </c>
      <c r="E1436">
        <v>1.0825971869545301</v>
      </c>
      <c r="F1436">
        <v>0.90687069439759005</v>
      </c>
      <c r="G1436">
        <v>0.81717016067355697</v>
      </c>
      <c r="H1436">
        <v>0.72644685299478395</v>
      </c>
      <c r="I1436">
        <v>0.96186796967746502</v>
      </c>
      <c r="J1436">
        <v>1.1924214893473399</v>
      </c>
      <c r="K1436">
        <v>1.11580407713409</v>
      </c>
      <c r="L1436">
        <v>6938.6056456360602</v>
      </c>
      <c r="M1436">
        <v>105.88304702270101</v>
      </c>
      <c r="O1436">
        <v>65.507479448532607</v>
      </c>
      <c r="P1436">
        <v>6.3267537480683395E-2</v>
      </c>
      <c r="Q1436">
        <v>1.15656885025388</v>
      </c>
      <c r="R1436">
        <v>0.240682477617496</v>
      </c>
      <c r="S1436" t="s">
        <v>8082</v>
      </c>
      <c r="T1436" t="s">
        <v>13290</v>
      </c>
      <c r="U1436" t="s">
        <v>13290</v>
      </c>
      <c r="V1436" t="s">
        <v>13290</v>
      </c>
      <c r="W1436" t="s">
        <v>14698</v>
      </c>
      <c r="X1436">
        <v>7</v>
      </c>
      <c r="Y1436" t="s">
        <v>21274</v>
      </c>
      <c r="Z1436" t="s">
        <v>27766</v>
      </c>
      <c r="AA1436">
        <v>1.023228219140605</v>
      </c>
      <c r="AB1436" t="str">
        <f>HYPERLINK("Melting_Curves/meltCurve_O15116_LSM1.pdf", "Melting_Curves/meltCurve_O15116_LSM1.pdf")</f>
        <v>Melting_Curves/meltCurve_O15116_LSM1.pdf</v>
      </c>
    </row>
    <row r="1437" spans="1:28" x14ac:dyDescent="0.25">
      <c r="A1437" t="s">
        <v>1441</v>
      </c>
      <c r="B1437">
        <v>0.99252571173614901</v>
      </c>
      <c r="C1437">
        <v>0.90541351857126595</v>
      </c>
      <c r="D1437">
        <v>0.89958355172277704</v>
      </c>
      <c r="E1437">
        <v>0.90194887922976796</v>
      </c>
      <c r="F1437">
        <v>0.76280031488080502</v>
      </c>
      <c r="G1437">
        <v>0.68795851157111498</v>
      </c>
      <c r="H1437">
        <v>0.65032593203512701</v>
      </c>
      <c r="I1437">
        <v>0.67626832375759405</v>
      </c>
      <c r="J1437">
        <v>0.88274858827848401</v>
      </c>
      <c r="K1437">
        <v>0.52361527545966602</v>
      </c>
      <c r="L1437">
        <v>532.08210590699798</v>
      </c>
      <c r="M1437">
        <v>10.560783203484499</v>
      </c>
      <c r="O1437">
        <v>48.676941629729399</v>
      </c>
      <c r="P1437">
        <v>-1.91231690782083E-2</v>
      </c>
      <c r="Q1437">
        <v>0.64756773863678496</v>
      </c>
      <c r="R1437">
        <v>0.62754088195665603</v>
      </c>
      <c r="S1437" t="s">
        <v>8083</v>
      </c>
      <c r="T1437" t="s">
        <v>13290</v>
      </c>
      <c r="U1437" t="s">
        <v>13290</v>
      </c>
      <c r="V1437" t="s">
        <v>13290</v>
      </c>
      <c r="W1437" t="s">
        <v>14699</v>
      </c>
      <c r="X1437">
        <v>9</v>
      </c>
      <c r="Y1437" t="s">
        <v>21275</v>
      </c>
      <c r="Z1437" t="s">
        <v>27767</v>
      </c>
      <c r="AA1437">
        <v>0.7838896271075122</v>
      </c>
      <c r="AB1437" t="str">
        <f>HYPERLINK("Melting_Curves/meltCurve_O15118_NPC1.pdf", "Melting_Curves/meltCurve_O15118_NPC1.pdf")</f>
        <v>Melting_Curves/meltCurve_O15118_NPC1.pdf</v>
      </c>
    </row>
    <row r="1438" spans="1:28" x14ac:dyDescent="0.25">
      <c r="A1438" t="s">
        <v>1442</v>
      </c>
      <c r="B1438">
        <v>0.99252571173614901</v>
      </c>
      <c r="C1438">
        <v>0.967039576742171</v>
      </c>
      <c r="D1438">
        <v>0.84578292924679099</v>
      </c>
      <c r="E1438">
        <v>0.73654447146660496</v>
      </c>
      <c r="F1438">
        <v>0.46992899122473603</v>
      </c>
      <c r="G1438">
        <v>0.33133912264767701</v>
      </c>
      <c r="H1438">
        <v>0.243212424897707</v>
      </c>
      <c r="I1438">
        <v>0.23448112045348601</v>
      </c>
      <c r="J1438">
        <v>0.19599338378190401</v>
      </c>
      <c r="K1438">
        <v>0.143417348915575</v>
      </c>
      <c r="L1438">
        <v>739.01367690269501</v>
      </c>
      <c r="M1438">
        <v>14.298093838701099</v>
      </c>
      <c r="N1438">
        <v>53.054371207085303</v>
      </c>
      <c r="O1438">
        <v>50.706640062148601</v>
      </c>
      <c r="P1438">
        <v>-5.9631517347547999E-2</v>
      </c>
      <c r="Q1438">
        <v>0.15419590062242899</v>
      </c>
      <c r="R1438">
        <v>0.99526348195245795</v>
      </c>
      <c r="S1438" t="s">
        <v>8084</v>
      </c>
      <c r="T1438" t="s">
        <v>13290</v>
      </c>
      <c r="U1438" t="s">
        <v>13290</v>
      </c>
      <c r="V1438" t="s">
        <v>13290</v>
      </c>
      <c r="W1438" t="s">
        <v>14700</v>
      </c>
      <c r="X1438">
        <v>3</v>
      </c>
      <c r="Y1438" t="s">
        <v>21276</v>
      </c>
      <c r="Z1438" t="s">
        <v>27768</v>
      </c>
      <c r="AA1438">
        <v>0.50425052319331742</v>
      </c>
      <c r="AB1438" t="str">
        <f>HYPERLINK("Melting_Curves/meltCurve_O15121_DEGS1.pdf", "Melting_Curves/meltCurve_O15121_DEGS1.pdf")</f>
        <v>Melting_Curves/meltCurve_O15121_DEGS1.pdf</v>
      </c>
    </row>
    <row r="1439" spans="1:28" x14ac:dyDescent="0.25">
      <c r="A1439" t="s">
        <v>1443</v>
      </c>
      <c r="B1439">
        <v>0.99252571173614901</v>
      </c>
      <c r="C1439">
        <v>0.99596608446045898</v>
      </c>
      <c r="D1439">
        <v>0.92535376817139203</v>
      </c>
      <c r="E1439">
        <v>0.86984668094665896</v>
      </c>
      <c r="F1439">
        <v>0.71821947771632999</v>
      </c>
      <c r="G1439">
        <v>0.61568028089094695</v>
      </c>
      <c r="H1439">
        <v>0.48308908056337602</v>
      </c>
      <c r="I1439">
        <v>0.50322478579312502</v>
      </c>
      <c r="J1439">
        <v>0.60797058726363096</v>
      </c>
      <c r="K1439">
        <v>0.36822585049798001</v>
      </c>
      <c r="L1439">
        <v>758.96535545410995</v>
      </c>
      <c r="M1439">
        <v>14.283851472447999</v>
      </c>
      <c r="N1439">
        <v>63.479354744948203</v>
      </c>
      <c r="O1439">
        <v>52.125601781841702</v>
      </c>
      <c r="P1439">
        <v>-3.75982528599655E-2</v>
      </c>
      <c r="Q1439">
        <v>0.451242738518292</v>
      </c>
      <c r="R1439">
        <v>0.93526959105557295</v>
      </c>
      <c r="S1439" t="s">
        <v>8085</v>
      </c>
      <c r="T1439" t="s">
        <v>13290</v>
      </c>
      <c r="U1439" t="s">
        <v>13290</v>
      </c>
      <c r="V1439" t="s">
        <v>13290</v>
      </c>
      <c r="W1439" t="s">
        <v>14701</v>
      </c>
      <c r="X1439">
        <v>13</v>
      </c>
      <c r="Y1439" t="s">
        <v>21277</v>
      </c>
      <c r="Z1439" t="s">
        <v>27769</v>
      </c>
      <c r="AA1439">
        <v>0.70403533408367625</v>
      </c>
      <c r="AB1439" t="str">
        <f>HYPERLINK("Melting_Curves/meltCurve_O15126_SCAMP1.pdf", "Melting_Curves/meltCurve_O15126_SCAMP1.pdf")</f>
        <v>Melting_Curves/meltCurve_O15126_SCAMP1.pdf</v>
      </c>
    </row>
    <row r="1440" spans="1:28" x14ac:dyDescent="0.25">
      <c r="A1440" t="s">
        <v>1444</v>
      </c>
      <c r="B1440">
        <v>0.99252571173614901</v>
      </c>
      <c r="C1440">
        <v>0.96157936995508397</v>
      </c>
      <c r="D1440">
        <v>0.929507331065071</v>
      </c>
      <c r="E1440">
        <v>0.86416941781905499</v>
      </c>
      <c r="F1440">
        <v>0.741287767739649</v>
      </c>
      <c r="G1440">
        <v>0.60558311744867799</v>
      </c>
      <c r="H1440">
        <v>0.42397217240209201</v>
      </c>
      <c r="I1440">
        <v>0.36229914311763201</v>
      </c>
      <c r="J1440">
        <v>0.53290327033211604</v>
      </c>
      <c r="K1440">
        <v>0.36283841999487798</v>
      </c>
      <c r="L1440">
        <v>801.72678788173403</v>
      </c>
      <c r="M1440">
        <v>14.8504030300252</v>
      </c>
      <c r="N1440">
        <v>59.6088764335801</v>
      </c>
      <c r="O1440">
        <v>53.036277028017302</v>
      </c>
      <c r="P1440">
        <v>-4.3630904375261598E-2</v>
      </c>
      <c r="Q1440">
        <v>0.37677715295993103</v>
      </c>
      <c r="R1440">
        <v>0.95354355291458703</v>
      </c>
      <c r="S1440" t="s">
        <v>8086</v>
      </c>
      <c r="T1440" t="s">
        <v>13290</v>
      </c>
      <c r="U1440" t="s">
        <v>13290</v>
      </c>
      <c r="V1440" t="s">
        <v>13290</v>
      </c>
      <c r="W1440" t="s">
        <v>14702</v>
      </c>
      <c r="X1440">
        <v>4</v>
      </c>
      <c r="Y1440" t="s">
        <v>21278</v>
      </c>
      <c r="Z1440" t="s">
        <v>27770</v>
      </c>
      <c r="AA1440">
        <v>0.68029711923995262</v>
      </c>
      <c r="AB1440" t="str">
        <f>HYPERLINK("Melting_Curves/meltCurve_O15127_SCAMP2.pdf", "Melting_Curves/meltCurve_O15127_SCAMP2.pdf")</f>
        <v>Melting_Curves/meltCurve_O15127_SCAMP2.pdf</v>
      </c>
    </row>
    <row r="1441" spans="1:28" x14ac:dyDescent="0.25">
      <c r="A1441" t="s">
        <v>1445</v>
      </c>
      <c r="B1441">
        <v>0.99252571173614901</v>
      </c>
      <c r="C1441">
        <v>0.96429171570549599</v>
      </c>
      <c r="D1441">
        <v>1.07923876449264</v>
      </c>
      <c r="E1441">
        <v>0.99408609874466902</v>
      </c>
      <c r="F1441">
        <v>0.87509457125282997</v>
      </c>
      <c r="G1441">
        <v>0.71236151888807597</v>
      </c>
      <c r="H1441">
        <v>0.48792204254948002</v>
      </c>
      <c r="I1441">
        <v>0.165360914132234</v>
      </c>
      <c r="J1441">
        <v>0.14640239510611899</v>
      </c>
      <c r="K1441">
        <v>0.14053916088832399</v>
      </c>
      <c r="L1441">
        <v>1159.3379107174501</v>
      </c>
      <c r="M1441">
        <v>19.542708728563898</v>
      </c>
      <c r="N1441">
        <v>59.7282407928612</v>
      </c>
      <c r="O1441">
        <v>58.712604644974199</v>
      </c>
      <c r="P1441">
        <v>-7.8053245117163703E-2</v>
      </c>
      <c r="Q1441">
        <v>6.2044830967947502E-2</v>
      </c>
      <c r="R1441">
        <v>0.98423068250925405</v>
      </c>
      <c r="S1441" t="s">
        <v>8087</v>
      </c>
      <c r="T1441" t="s">
        <v>13290</v>
      </c>
      <c r="U1441" t="s">
        <v>13290</v>
      </c>
      <c r="V1441" t="s">
        <v>13290</v>
      </c>
      <c r="W1441" t="s">
        <v>14703</v>
      </c>
      <c r="X1441">
        <v>16</v>
      </c>
      <c r="Y1441" t="s">
        <v>21279</v>
      </c>
      <c r="Z1441" t="s">
        <v>27771</v>
      </c>
      <c r="AA1441">
        <v>0.67526474707539519</v>
      </c>
      <c r="AB1441" t="str">
        <f>HYPERLINK("Melting_Curves/meltCurve_O15143_ARPC1B.pdf", "Melting_Curves/meltCurve_O15143_ARPC1B.pdf")</f>
        <v>Melting_Curves/meltCurve_O15143_ARPC1B.pdf</v>
      </c>
    </row>
    <row r="1442" spans="1:28" x14ac:dyDescent="0.25">
      <c r="A1442" t="s">
        <v>1446</v>
      </c>
      <c r="B1442">
        <v>0.99252571173614901</v>
      </c>
      <c r="C1442">
        <v>0.92712259154278098</v>
      </c>
      <c r="D1442">
        <v>1.1081595805432001</v>
      </c>
      <c r="E1442">
        <v>0.95332683018841802</v>
      </c>
      <c r="F1442">
        <v>1.06902863636427</v>
      </c>
      <c r="G1442">
        <v>0.93954503719636695</v>
      </c>
      <c r="H1442">
        <v>0.80893673646006403</v>
      </c>
      <c r="I1442">
        <v>0.46512900331770402</v>
      </c>
      <c r="J1442">
        <v>0.17072366063529201</v>
      </c>
      <c r="K1442">
        <v>0.14699486826047301</v>
      </c>
      <c r="L1442">
        <v>2148.41361396619</v>
      </c>
      <c r="M1442">
        <v>34.007054022661599</v>
      </c>
      <c r="N1442">
        <v>63.566132141036299</v>
      </c>
      <c r="O1442">
        <v>62.958270274061299</v>
      </c>
      <c r="P1442">
        <v>-0.122305902626028</v>
      </c>
      <c r="Q1442">
        <v>9.4289367066384605E-2</v>
      </c>
      <c r="R1442">
        <v>0.976587647389901</v>
      </c>
      <c r="S1442" t="s">
        <v>8088</v>
      </c>
      <c r="T1442" t="s">
        <v>13290</v>
      </c>
      <c r="U1442" t="s">
        <v>13290</v>
      </c>
      <c r="V1442" t="s">
        <v>13290</v>
      </c>
      <c r="W1442" t="s">
        <v>14704</v>
      </c>
      <c r="X1442">
        <v>20</v>
      </c>
      <c r="Y1442" t="s">
        <v>21280</v>
      </c>
      <c r="Z1442" t="s">
        <v>27772</v>
      </c>
      <c r="AA1442">
        <v>0.79682289878581181</v>
      </c>
      <c r="AB1442" t="str">
        <f>HYPERLINK("Melting_Curves/meltCurve_O15144_ARPC2.pdf", "Melting_Curves/meltCurve_O15144_ARPC2.pdf")</f>
        <v>Melting_Curves/meltCurve_O15144_ARPC2.pdf</v>
      </c>
    </row>
    <row r="1443" spans="1:28" x14ac:dyDescent="0.25">
      <c r="A1443" t="s">
        <v>1447</v>
      </c>
      <c r="B1443">
        <v>0.99252571173614901</v>
      </c>
      <c r="C1443">
        <v>1.0967970241295799</v>
      </c>
      <c r="D1443">
        <v>1.1124810864587</v>
      </c>
      <c r="E1443">
        <v>1.07137868477698</v>
      </c>
      <c r="F1443">
        <v>0.94808350528496999</v>
      </c>
      <c r="G1443">
        <v>0.78629608167536402</v>
      </c>
      <c r="H1443">
        <v>0.490909313420064</v>
      </c>
      <c r="I1443">
        <v>0.25438823066918997</v>
      </c>
      <c r="J1443">
        <v>0.20120376943768101</v>
      </c>
      <c r="K1443">
        <v>0.21209888184665601</v>
      </c>
      <c r="L1443">
        <v>1535.3105042867001</v>
      </c>
      <c r="M1443">
        <v>25.871878609929201</v>
      </c>
      <c r="N1443">
        <v>60.339240304816499</v>
      </c>
      <c r="O1443">
        <v>58.991711235428902</v>
      </c>
      <c r="P1443">
        <v>-9.05824211912203E-2</v>
      </c>
      <c r="Q1443">
        <v>0.17384463145678</v>
      </c>
      <c r="R1443">
        <v>0.97719129263698401</v>
      </c>
      <c r="S1443" t="s">
        <v>8089</v>
      </c>
      <c r="T1443" t="s">
        <v>13290</v>
      </c>
      <c r="U1443" t="s">
        <v>13290</v>
      </c>
      <c r="V1443" t="s">
        <v>13290</v>
      </c>
      <c r="W1443" t="s">
        <v>14705</v>
      </c>
      <c r="X1443">
        <v>12</v>
      </c>
      <c r="Y1443" t="s">
        <v>21281</v>
      </c>
      <c r="Z1443" t="s">
        <v>27773</v>
      </c>
      <c r="AA1443">
        <v>0.71284743443493215</v>
      </c>
      <c r="AB1443" t="str">
        <f>HYPERLINK("Melting_Curves/meltCurve_O15145_ARPC3.pdf", "Melting_Curves/meltCurve_O15145_ARPC3.pdf")</f>
        <v>Melting_Curves/meltCurve_O15145_ARPC3.pdf</v>
      </c>
    </row>
    <row r="1444" spans="1:28" x14ac:dyDescent="0.25">
      <c r="A1444" t="s">
        <v>1448</v>
      </c>
      <c r="B1444">
        <v>0.99252571173614901</v>
      </c>
      <c r="C1444">
        <v>1.02413663192335</v>
      </c>
      <c r="D1444">
        <v>0.94892985769609195</v>
      </c>
      <c r="E1444">
        <v>0.97572328072293701</v>
      </c>
      <c r="F1444">
        <v>0.65184582374817102</v>
      </c>
      <c r="G1444">
        <v>0.487372719279204</v>
      </c>
      <c r="H1444">
        <v>0.41746708438823699</v>
      </c>
      <c r="I1444">
        <v>0.53977695318350505</v>
      </c>
      <c r="J1444">
        <v>0.649603028863323</v>
      </c>
      <c r="K1444">
        <v>0.590313385495842</v>
      </c>
      <c r="L1444">
        <v>3308.83556791512</v>
      </c>
      <c r="M1444">
        <v>63.3440932682526</v>
      </c>
      <c r="O1444">
        <v>52.183910484004898</v>
      </c>
      <c r="P1444">
        <v>-0.140548811594115</v>
      </c>
      <c r="Q1444">
        <v>0.53685442211053003</v>
      </c>
      <c r="R1444">
        <v>0.92648853976837697</v>
      </c>
      <c r="S1444" t="s">
        <v>8090</v>
      </c>
      <c r="T1444" t="s">
        <v>13290</v>
      </c>
      <c r="U1444" t="s">
        <v>13290</v>
      </c>
      <c r="V1444" t="s">
        <v>13290</v>
      </c>
      <c r="W1444" t="s">
        <v>14706</v>
      </c>
      <c r="X1444">
        <v>10</v>
      </c>
      <c r="Y1444" t="s">
        <v>21282</v>
      </c>
      <c r="Z1444" t="s">
        <v>27774</v>
      </c>
      <c r="AA1444">
        <v>0.72641797436610411</v>
      </c>
      <c r="AB1444" t="str">
        <f>HYPERLINK("Melting_Curves/meltCurve_O15156_ZBTB7B.pdf", "Melting_Curves/meltCurve_O15156_ZBTB7B.pdf")</f>
        <v>Melting_Curves/meltCurve_O15156_ZBTB7B.pdf</v>
      </c>
    </row>
    <row r="1445" spans="1:28" x14ac:dyDescent="0.25">
      <c r="A1445" t="s">
        <v>1449</v>
      </c>
      <c r="B1445">
        <v>0.99252571173614901</v>
      </c>
      <c r="C1445">
        <v>1.04040015425483</v>
      </c>
      <c r="D1445">
        <v>0.84910137614111403</v>
      </c>
      <c r="E1445">
        <v>0.35894236159149401</v>
      </c>
      <c r="F1445">
        <v>0.15749167963212499</v>
      </c>
      <c r="G1445">
        <v>9.6356946402995303E-2</v>
      </c>
      <c r="H1445">
        <v>7.0798229901243195E-2</v>
      </c>
      <c r="I1445">
        <v>6.9821540323367196E-2</v>
      </c>
      <c r="J1445">
        <v>8.0366316470486907E-2</v>
      </c>
      <c r="K1445">
        <v>7.6596083951251906E-2</v>
      </c>
      <c r="L1445">
        <v>1551.9888801611</v>
      </c>
      <c r="M1445">
        <v>32.0824800540952</v>
      </c>
      <c r="N1445">
        <v>48.643640579321598</v>
      </c>
      <c r="O1445">
        <v>48.188195523686403</v>
      </c>
      <c r="P1445">
        <v>-0.152930129532305</v>
      </c>
      <c r="Q1445">
        <v>8.1194736160483699E-2</v>
      </c>
      <c r="R1445">
        <v>0.99714369574521799</v>
      </c>
      <c r="S1445" t="s">
        <v>8091</v>
      </c>
      <c r="T1445" t="s">
        <v>13290</v>
      </c>
      <c r="U1445" t="s">
        <v>13290</v>
      </c>
      <c r="V1445" t="s">
        <v>13290</v>
      </c>
      <c r="W1445" t="s">
        <v>14707</v>
      </c>
      <c r="X1445">
        <v>16</v>
      </c>
      <c r="Y1445" t="s">
        <v>21283</v>
      </c>
      <c r="Z1445" t="s">
        <v>27775</v>
      </c>
      <c r="AA1445">
        <v>0.34252565308051641</v>
      </c>
      <c r="AB1445" t="str">
        <f>HYPERLINK("Melting_Curves/meltCurve_O15160_POLR1C.pdf", "Melting_Curves/meltCurve_O15160_POLR1C.pdf")</f>
        <v>Melting_Curves/meltCurve_O15160_POLR1C.pdf</v>
      </c>
    </row>
    <row r="1446" spans="1:28" x14ac:dyDescent="0.25">
      <c r="A1446" t="s">
        <v>1450</v>
      </c>
      <c r="B1446">
        <v>0.99252571173614901</v>
      </c>
      <c r="C1446">
        <v>0.93979225938103295</v>
      </c>
      <c r="D1446">
        <v>0.66830994677820399</v>
      </c>
      <c r="E1446">
        <v>0.40122218087418299</v>
      </c>
      <c r="F1446">
        <v>0.168949160453463</v>
      </c>
      <c r="G1446">
        <v>8.7788514598121897E-2</v>
      </c>
      <c r="H1446">
        <v>7.0622663018346396E-2</v>
      </c>
      <c r="I1446">
        <v>8.6629148860090405E-2</v>
      </c>
      <c r="J1446">
        <v>0.104641844661853</v>
      </c>
      <c r="K1446">
        <v>0.12915155996658001</v>
      </c>
      <c r="L1446">
        <v>987.299263018798</v>
      </c>
      <c r="M1446">
        <v>20.733590004611301</v>
      </c>
      <c r="N1446">
        <v>48.064028345609003</v>
      </c>
      <c r="O1446">
        <v>47.182025387930302</v>
      </c>
      <c r="P1446">
        <v>-0.100254870235068</v>
      </c>
      <c r="Q1446">
        <v>8.7453134963003401E-2</v>
      </c>
      <c r="R1446">
        <v>0.99433643763377899</v>
      </c>
      <c r="S1446" t="s">
        <v>8092</v>
      </c>
      <c r="T1446" t="s">
        <v>13290</v>
      </c>
      <c r="U1446" t="s">
        <v>13290</v>
      </c>
      <c r="V1446" t="s">
        <v>13290</v>
      </c>
      <c r="W1446" t="s">
        <v>14708</v>
      </c>
      <c r="X1446">
        <v>3</v>
      </c>
      <c r="Y1446" t="s">
        <v>21284</v>
      </c>
      <c r="Z1446" t="s">
        <v>27776</v>
      </c>
      <c r="AA1446">
        <v>0.3312976123568781</v>
      </c>
      <c r="AB1446" t="str">
        <f>HYPERLINK("Melting_Curves/meltCurve_O15169_2_AXIN1.pdf", "Melting_Curves/meltCurve_O15169_2_AXIN1.pdf")</f>
        <v>Melting_Curves/meltCurve_O15169_2_AXIN1.pdf</v>
      </c>
    </row>
    <row r="1447" spans="1:28" x14ac:dyDescent="0.25">
      <c r="A1447" t="s">
        <v>1451</v>
      </c>
      <c r="B1447">
        <v>0.99252571173614901</v>
      </c>
      <c r="C1447">
        <v>0.92579648434634598</v>
      </c>
      <c r="D1447">
        <v>0.871661850285533</v>
      </c>
      <c r="E1447">
        <v>0.76907708490808102</v>
      </c>
      <c r="F1447">
        <v>0.46148915156321202</v>
      </c>
      <c r="G1447">
        <v>0.31771369788746201</v>
      </c>
      <c r="H1447">
        <v>0.25327743298591299</v>
      </c>
      <c r="I1447">
        <v>0.34286832413695101</v>
      </c>
      <c r="J1447">
        <v>0.50066088432439204</v>
      </c>
      <c r="K1447">
        <v>0.43025045847405302</v>
      </c>
      <c r="L1447">
        <v>1367.52974842855</v>
      </c>
      <c r="M1447">
        <v>27.307952226439198</v>
      </c>
      <c r="N1447">
        <v>52.589459070094499</v>
      </c>
      <c r="O1447">
        <v>49.811838317586201</v>
      </c>
      <c r="P1447">
        <v>-8.7128628106318301E-2</v>
      </c>
      <c r="Q1447">
        <v>0.364288299391958</v>
      </c>
      <c r="R1447">
        <v>0.92057419501529303</v>
      </c>
      <c r="S1447" t="s">
        <v>8093</v>
      </c>
      <c r="T1447" t="s">
        <v>13290</v>
      </c>
      <c r="U1447" t="s">
        <v>13290</v>
      </c>
      <c r="V1447" t="s">
        <v>13290</v>
      </c>
      <c r="W1447" t="s">
        <v>14709</v>
      </c>
      <c r="X1447">
        <v>11</v>
      </c>
      <c r="Y1447" t="s">
        <v>21285</v>
      </c>
      <c r="Z1447" t="s">
        <v>27777</v>
      </c>
      <c r="AA1447">
        <v>0.58260708686664986</v>
      </c>
      <c r="AB1447" t="str">
        <f>HYPERLINK("Melting_Curves/meltCurve_O15173_PGRMC2.pdf", "Melting_Curves/meltCurve_O15173_PGRMC2.pdf")</f>
        <v>Melting_Curves/meltCurve_O15173_PGRMC2.pdf</v>
      </c>
    </row>
    <row r="1448" spans="1:28" x14ac:dyDescent="0.25">
      <c r="A1448" t="s">
        <v>1452</v>
      </c>
      <c r="B1448">
        <v>0.99252571173614901</v>
      </c>
      <c r="C1448">
        <v>0.74369147901589505</v>
      </c>
      <c r="D1448">
        <v>0.16089891410658999</v>
      </c>
      <c r="E1448">
        <v>0.12537165854009599</v>
      </c>
      <c r="F1448">
        <v>7.2783632028954895E-2</v>
      </c>
      <c r="G1448">
        <v>3.5483962717926698E-2</v>
      </c>
      <c r="H1448">
        <v>2.27433119035724E-2</v>
      </c>
      <c r="I1448">
        <v>2.8744413433456399E-2</v>
      </c>
      <c r="J1448">
        <v>3.0955731459254999E-2</v>
      </c>
      <c r="K1448">
        <v>3.1522291740264101E-2</v>
      </c>
      <c r="L1448">
        <v>1847.8268045565401</v>
      </c>
      <c r="M1448">
        <v>42.082225396036002</v>
      </c>
      <c r="N1448">
        <v>44.0139567704313</v>
      </c>
      <c r="O1448">
        <v>43.811123804405497</v>
      </c>
      <c r="P1448">
        <v>-0.22876550588926101</v>
      </c>
      <c r="Q1448">
        <v>4.7345793847952303E-2</v>
      </c>
      <c r="R1448">
        <v>0.99323867847372205</v>
      </c>
      <c r="S1448" t="s">
        <v>8094</v>
      </c>
      <c r="T1448" t="s">
        <v>13290</v>
      </c>
      <c r="U1448" t="s">
        <v>13290</v>
      </c>
      <c r="V1448" t="s">
        <v>13290</v>
      </c>
      <c r="W1448" t="s">
        <v>14710</v>
      </c>
      <c r="X1448">
        <v>3</v>
      </c>
      <c r="Y1448" t="s">
        <v>21286</v>
      </c>
      <c r="Z1448" t="s">
        <v>27778</v>
      </c>
      <c r="AA1448">
        <v>0.1745442418197628</v>
      </c>
      <c r="AB1448" t="str">
        <f>HYPERLINK("Melting_Curves/meltCurve_O15211_RGL2.pdf", "Melting_Curves/meltCurve_O15211_RGL2.pdf")</f>
        <v>Melting_Curves/meltCurve_O15211_RGL2.pdf</v>
      </c>
    </row>
    <row r="1449" spans="1:28" x14ac:dyDescent="0.25">
      <c r="A1449" t="s">
        <v>1453</v>
      </c>
      <c r="B1449">
        <v>0.99252571173614901</v>
      </c>
      <c r="C1449">
        <v>1.0745991849233301</v>
      </c>
      <c r="D1449">
        <v>1.04682628967118</v>
      </c>
      <c r="E1449">
        <v>1.1457681281604599</v>
      </c>
      <c r="F1449">
        <v>0.99991197781365204</v>
      </c>
      <c r="G1449">
        <v>0.88845398114091001</v>
      </c>
      <c r="H1449">
        <v>0.81978111673757204</v>
      </c>
      <c r="I1449">
        <v>0.89507477135637903</v>
      </c>
      <c r="J1449">
        <v>1.16491221220522</v>
      </c>
      <c r="K1449">
        <v>1.19034956601432</v>
      </c>
      <c r="L1449">
        <v>15000</v>
      </c>
      <c r="M1449">
        <v>225.40747052324099</v>
      </c>
      <c r="O1449">
        <v>66.540917113628893</v>
      </c>
      <c r="P1449">
        <v>0.16127757473671001</v>
      </c>
      <c r="Q1449">
        <v>1.1904383609610001</v>
      </c>
      <c r="R1449">
        <v>0.40834246100268001</v>
      </c>
      <c r="S1449" t="s">
        <v>8095</v>
      </c>
      <c r="T1449" t="s">
        <v>13290</v>
      </c>
      <c r="U1449" t="s">
        <v>13290</v>
      </c>
      <c r="V1449" t="s">
        <v>13290</v>
      </c>
      <c r="W1449" t="s">
        <v>14711</v>
      </c>
      <c r="X1449">
        <v>13</v>
      </c>
      <c r="Y1449" t="s">
        <v>21287</v>
      </c>
      <c r="Z1449" t="s">
        <v>27779</v>
      </c>
      <c r="AA1449">
        <v>1.0218975035897899</v>
      </c>
      <c r="AB1449" t="str">
        <f>HYPERLINK("Melting_Curves/meltCurve_O15212_PFDN6.pdf", "Melting_Curves/meltCurve_O15212_PFDN6.pdf")</f>
        <v>Melting_Curves/meltCurve_O15212_PFDN6.pdf</v>
      </c>
    </row>
    <row r="1450" spans="1:28" x14ac:dyDescent="0.25">
      <c r="A1450" t="s">
        <v>1454</v>
      </c>
      <c r="B1450">
        <v>0.99252571173614901</v>
      </c>
      <c r="C1450">
        <v>1.33350557614735</v>
      </c>
      <c r="D1450">
        <v>2.02602673775039</v>
      </c>
      <c r="E1450">
        <v>8.3311144716016994</v>
      </c>
      <c r="F1450">
        <v>5.2743707025603301</v>
      </c>
      <c r="G1450">
        <v>5.8646876787178899</v>
      </c>
      <c r="H1450">
        <v>7.5532678819520296</v>
      </c>
      <c r="I1450">
        <v>0.64322668494769197</v>
      </c>
      <c r="J1450">
        <v>0.46940417713821703</v>
      </c>
      <c r="K1450">
        <v>0.44575026141877599</v>
      </c>
      <c r="L1450">
        <v>15000</v>
      </c>
      <c r="M1450">
        <v>235.02592945648101</v>
      </c>
      <c r="N1450">
        <v>64.499393876355697</v>
      </c>
      <c r="O1450">
        <v>63.818124015462402</v>
      </c>
      <c r="P1450">
        <v>-0.49945282308186201</v>
      </c>
      <c r="Q1450">
        <v>0.45752126657076803</v>
      </c>
      <c r="R1450">
        <v>-0.59015779136962898</v>
      </c>
      <c r="S1450" t="s">
        <v>8096</v>
      </c>
      <c r="T1450" t="s">
        <v>13290</v>
      </c>
      <c r="U1450" t="s">
        <v>13290</v>
      </c>
      <c r="V1450" t="s">
        <v>13290</v>
      </c>
      <c r="W1450" t="s">
        <v>14712</v>
      </c>
      <c r="X1450">
        <v>3</v>
      </c>
      <c r="Y1450" t="s">
        <v>21288</v>
      </c>
      <c r="Z1450" t="s">
        <v>27780</v>
      </c>
      <c r="AA1450">
        <v>0.88836777361856067</v>
      </c>
      <c r="AB1450" t="str">
        <f>HYPERLINK("Melting_Curves/meltCurve_O15213_WDR46.pdf", "Melting_Curves/meltCurve_O15213_WDR46.pdf")</f>
        <v>Melting_Curves/meltCurve_O15213_WDR46.pdf</v>
      </c>
    </row>
    <row r="1451" spans="1:28" x14ac:dyDescent="0.25">
      <c r="A1451" t="s">
        <v>1455</v>
      </c>
      <c r="B1451">
        <v>0.99252571173614901</v>
      </c>
      <c r="C1451">
        <v>1.0351776053886601</v>
      </c>
      <c r="D1451">
        <v>0.965291314915948</v>
      </c>
      <c r="E1451">
        <v>0.80363498101220898</v>
      </c>
      <c r="F1451">
        <v>0.29215033380369798</v>
      </c>
      <c r="G1451">
        <v>0.13767505239987499</v>
      </c>
      <c r="H1451">
        <v>7.9856343589340503E-2</v>
      </c>
      <c r="I1451">
        <v>9.43044757094708E-2</v>
      </c>
      <c r="J1451">
        <v>0.14921498531678401</v>
      </c>
      <c r="K1451">
        <v>0.20838091561632199</v>
      </c>
      <c r="L1451">
        <v>1995.8697213023299</v>
      </c>
      <c r="M1451">
        <v>39.014018617534703</v>
      </c>
      <c r="N1451">
        <v>51.557151238321097</v>
      </c>
      <c r="O1451">
        <v>51.023905905387402</v>
      </c>
      <c r="P1451">
        <v>-0.166225662796637</v>
      </c>
      <c r="Q1451">
        <v>0.13041895715135499</v>
      </c>
      <c r="R1451">
        <v>0.99195825259466897</v>
      </c>
      <c r="S1451" t="s">
        <v>8097</v>
      </c>
      <c r="T1451" t="s">
        <v>13290</v>
      </c>
      <c r="U1451" t="s">
        <v>13290</v>
      </c>
      <c r="V1451" t="s">
        <v>13290</v>
      </c>
      <c r="W1451" t="s">
        <v>14713</v>
      </c>
      <c r="X1451">
        <v>7</v>
      </c>
      <c r="Y1451" t="s">
        <v>21289</v>
      </c>
      <c r="Z1451" t="s">
        <v>27781</v>
      </c>
      <c r="AA1451">
        <v>0.4570712115185544</v>
      </c>
      <c r="AB1451" t="str">
        <f>HYPERLINK("Melting_Curves/meltCurve_O15228_GNPAT.pdf", "Melting_Curves/meltCurve_O15228_GNPAT.pdf")</f>
        <v>Melting_Curves/meltCurve_O15228_GNPAT.pdf</v>
      </c>
    </row>
    <row r="1452" spans="1:28" x14ac:dyDescent="0.25">
      <c r="A1452" t="s">
        <v>1456</v>
      </c>
      <c r="B1452">
        <v>0.99252571173614901</v>
      </c>
      <c r="C1452">
        <v>0.96591335157239899</v>
      </c>
      <c r="D1452">
        <v>1.1553411282106401</v>
      </c>
      <c r="E1452">
        <v>1.0336527403864699</v>
      </c>
      <c r="F1452">
        <v>0.536291196702256</v>
      </c>
      <c r="G1452">
        <v>0.34091700275304898</v>
      </c>
      <c r="H1452">
        <v>0.32352389135946202</v>
      </c>
      <c r="I1452">
        <v>0.36963332195402199</v>
      </c>
      <c r="J1452">
        <v>0.51322106124446998</v>
      </c>
      <c r="K1452">
        <v>0.43618347453536899</v>
      </c>
      <c r="L1452">
        <v>13236.1329635445</v>
      </c>
      <c r="M1452">
        <v>250</v>
      </c>
      <c r="N1452">
        <v>53.280610337864204</v>
      </c>
      <c r="O1452">
        <v>52.941143831039703</v>
      </c>
      <c r="P1452">
        <v>-0.71223462920215297</v>
      </c>
      <c r="Q1452">
        <v>0.39669574643349098</v>
      </c>
      <c r="R1452">
        <v>0.94787900341120002</v>
      </c>
      <c r="S1452" t="s">
        <v>8098</v>
      </c>
      <c r="T1452" t="s">
        <v>13290</v>
      </c>
      <c r="U1452" t="s">
        <v>13290</v>
      </c>
      <c r="V1452" t="s">
        <v>13290</v>
      </c>
      <c r="W1452" t="s">
        <v>14714</v>
      </c>
      <c r="X1452">
        <v>15</v>
      </c>
      <c r="Y1452" t="s">
        <v>21290</v>
      </c>
      <c r="Z1452" t="s">
        <v>27782</v>
      </c>
      <c r="AA1452">
        <v>0.65706817448699206</v>
      </c>
      <c r="AB1452" t="str">
        <f>HYPERLINK("Melting_Curves/meltCurve_O15230_LAMA5.pdf", "Melting_Curves/meltCurve_O15230_LAMA5.pdf")</f>
        <v>Melting_Curves/meltCurve_O15230_LAMA5.pdf</v>
      </c>
    </row>
    <row r="1453" spans="1:28" x14ac:dyDescent="0.25">
      <c r="A1453" t="s">
        <v>1457</v>
      </c>
      <c r="B1453">
        <v>0.99252571173614901</v>
      </c>
      <c r="C1453">
        <v>1.0225205447721999</v>
      </c>
      <c r="D1453">
        <v>0.97109534091668104</v>
      </c>
      <c r="E1453">
        <v>0.94884509197019296</v>
      </c>
      <c r="F1453">
        <v>0.87109699849666999</v>
      </c>
      <c r="G1453">
        <v>0.82582774087001198</v>
      </c>
      <c r="H1453">
        <v>1.2623353903346399</v>
      </c>
      <c r="I1453">
        <v>2.1293748809948201</v>
      </c>
      <c r="J1453">
        <v>3.3624858536281099</v>
      </c>
      <c r="K1453">
        <v>3.77025573600713</v>
      </c>
      <c r="L1453">
        <v>15000</v>
      </c>
      <c r="M1453">
        <v>246.809370009871</v>
      </c>
      <c r="O1453">
        <v>60.771646298495703</v>
      </c>
      <c r="P1453">
        <v>0.50765720824791605</v>
      </c>
      <c r="Q1453">
        <v>1.5</v>
      </c>
      <c r="R1453">
        <v>0.16489067605767199</v>
      </c>
      <c r="S1453" t="s">
        <v>8099</v>
      </c>
      <c r="T1453" t="s">
        <v>13290</v>
      </c>
      <c r="U1453" t="s">
        <v>13290</v>
      </c>
      <c r="V1453" t="s">
        <v>13290</v>
      </c>
      <c r="W1453" t="s">
        <v>14715</v>
      </c>
      <c r="X1453">
        <v>12</v>
      </c>
      <c r="Y1453" t="s">
        <v>21291</v>
      </c>
      <c r="Z1453" t="s">
        <v>27783</v>
      </c>
      <c r="AA1453">
        <v>1.1536844408931839</v>
      </c>
      <c r="AB1453" t="str">
        <f>HYPERLINK("Melting_Curves/meltCurve_O15234_CASC3.pdf", "Melting_Curves/meltCurve_O15234_CASC3.pdf")</f>
        <v>Melting_Curves/meltCurve_O15234_CASC3.pdf</v>
      </c>
    </row>
    <row r="1454" spans="1:28" x14ac:dyDescent="0.25">
      <c r="A1454" t="s">
        <v>1458</v>
      </c>
      <c r="B1454">
        <v>0.99252571173614901</v>
      </c>
      <c r="C1454">
        <v>0.93540422200043005</v>
      </c>
      <c r="D1454">
        <v>0.786486242411093</v>
      </c>
      <c r="E1454">
        <v>0.73732956873764799</v>
      </c>
      <c r="F1454">
        <v>0.46299174648784303</v>
      </c>
      <c r="G1454">
        <v>0.32768955586575199</v>
      </c>
      <c r="H1454">
        <v>0.26598626182249702</v>
      </c>
      <c r="I1454">
        <v>0.16727116437490899</v>
      </c>
      <c r="J1454">
        <v>0.147024745837711</v>
      </c>
      <c r="K1454">
        <v>0.114600025948582</v>
      </c>
      <c r="L1454">
        <v>586.89457049300904</v>
      </c>
      <c r="M1454">
        <v>11.2044057257738</v>
      </c>
      <c r="N1454">
        <v>53.092600343882701</v>
      </c>
      <c r="O1454">
        <v>50.7952472974508</v>
      </c>
      <c r="P1454">
        <v>-5.1314827543468298E-2</v>
      </c>
      <c r="Q1454">
        <v>6.9747914631451094E-2</v>
      </c>
      <c r="R1454">
        <v>0.99095295063531297</v>
      </c>
      <c r="S1454" t="s">
        <v>8100</v>
      </c>
      <c r="T1454" t="s">
        <v>13290</v>
      </c>
      <c r="U1454" t="s">
        <v>13290</v>
      </c>
      <c r="V1454" t="s">
        <v>13290</v>
      </c>
      <c r="W1454" t="s">
        <v>14716</v>
      </c>
      <c r="X1454">
        <v>2</v>
      </c>
      <c r="Y1454" t="s">
        <v>21292</v>
      </c>
      <c r="Z1454" t="s">
        <v>27784</v>
      </c>
      <c r="AA1454">
        <v>0.48373068112524031</v>
      </c>
      <c r="AB1454" t="str">
        <f>HYPERLINK("Melting_Curves/meltCurve_O15235_MRPS12.pdf", "Melting_Curves/meltCurve_O15235_MRPS12.pdf")</f>
        <v>Melting_Curves/meltCurve_O15235_MRPS12.pdf</v>
      </c>
    </row>
    <row r="1455" spans="1:28" x14ac:dyDescent="0.25">
      <c r="A1455" t="s">
        <v>1459</v>
      </c>
      <c r="B1455">
        <v>0.99252571173614901</v>
      </c>
      <c r="C1455">
        <v>0.98746412666843197</v>
      </c>
      <c r="D1455">
        <v>0.99137354713688897</v>
      </c>
      <c r="E1455">
        <v>0.82556200301008098</v>
      </c>
      <c r="F1455">
        <v>0.56545071249097201</v>
      </c>
      <c r="G1455">
        <v>0.42486938336289798</v>
      </c>
      <c r="H1455">
        <v>0.32524097951751002</v>
      </c>
      <c r="I1455">
        <v>0.25757834313578398</v>
      </c>
      <c r="J1455">
        <v>0.32149793717641301</v>
      </c>
      <c r="K1455">
        <v>0.30006537121635601</v>
      </c>
      <c r="L1455">
        <v>1127.2296793907401</v>
      </c>
      <c r="M1455">
        <v>21.5706093079982</v>
      </c>
      <c r="N1455">
        <v>54.462632728359601</v>
      </c>
      <c r="O1455">
        <v>51.814750705717401</v>
      </c>
      <c r="P1455">
        <v>-7.3769123932692499E-2</v>
      </c>
      <c r="Q1455">
        <v>0.29121399404888798</v>
      </c>
      <c r="R1455">
        <v>0.99494959644394798</v>
      </c>
      <c r="S1455" t="s">
        <v>8101</v>
      </c>
      <c r="T1455" t="s">
        <v>13290</v>
      </c>
      <c r="U1455" t="s">
        <v>13290</v>
      </c>
      <c r="V1455" t="s">
        <v>13290</v>
      </c>
      <c r="W1455" t="s">
        <v>14717</v>
      </c>
      <c r="X1455">
        <v>1</v>
      </c>
      <c r="Y1455" t="s">
        <v>21293</v>
      </c>
      <c r="Z1455" t="s">
        <v>27785</v>
      </c>
      <c r="AA1455">
        <v>0.58936688671136905</v>
      </c>
      <c r="AB1455" t="str">
        <f>HYPERLINK("Melting_Curves/meltCurve_O15239_NDUFA1.pdf", "Melting_Curves/meltCurve_O15239_NDUFA1.pdf")</f>
        <v>Melting_Curves/meltCurve_O15239_NDUFA1.pdf</v>
      </c>
    </row>
    <row r="1456" spans="1:28" x14ac:dyDescent="0.25">
      <c r="A1456" t="s">
        <v>1460</v>
      </c>
      <c r="B1456">
        <v>0.99252571173614901</v>
      </c>
      <c r="C1456">
        <v>1.1057781859199101</v>
      </c>
      <c r="D1456">
        <v>0.93476252297344098</v>
      </c>
      <c r="E1456">
        <v>0.94248195381048605</v>
      </c>
      <c r="F1456">
        <v>0.68902232306501798</v>
      </c>
      <c r="G1456">
        <v>0.44359502506161302</v>
      </c>
      <c r="H1456">
        <v>0.45164283037104302</v>
      </c>
      <c r="I1456">
        <v>0.58674769353803802</v>
      </c>
      <c r="J1456">
        <v>0.80780768130672798</v>
      </c>
      <c r="K1456">
        <v>0.85227393441163501</v>
      </c>
      <c r="L1456">
        <v>2798.0918154624201</v>
      </c>
      <c r="M1456">
        <v>54.628635644935002</v>
      </c>
      <c r="O1456">
        <v>51.151715725908701</v>
      </c>
      <c r="P1456">
        <v>-9.8569238029401499E-2</v>
      </c>
      <c r="Q1456">
        <v>0.63081743342332697</v>
      </c>
      <c r="R1456">
        <v>0.65039566587874598</v>
      </c>
      <c r="S1456" t="s">
        <v>8102</v>
      </c>
      <c r="T1456" t="s">
        <v>13290</v>
      </c>
      <c r="U1456" t="s">
        <v>13290</v>
      </c>
      <c r="V1456" t="s">
        <v>13290</v>
      </c>
      <c r="W1456" t="s">
        <v>14718</v>
      </c>
      <c r="X1456">
        <v>2</v>
      </c>
      <c r="Y1456" t="s">
        <v>21294</v>
      </c>
      <c r="Z1456" t="s">
        <v>27786</v>
      </c>
      <c r="AA1456">
        <v>0.76959277032295015</v>
      </c>
      <c r="AB1456" t="str">
        <f>HYPERLINK("Melting_Curves/meltCurve_O15240_VGF.pdf", "Melting_Curves/meltCurve_O15240_VGF.pdf")</f>
        <v>Melting_Curves/meltCurve_O15240_VGF.pdf</v>
      </c>
    </row>
    <row r="1457" spans="1:28" x14ac:dyDescent="0.25">
      <c r="A1457" t="s">
        <v>1461</v>
      </c>
      <c r="B1457">
        <v>0.99252571173614901</v>
      </c>
      <c r="C1457">
        <v>0.904911070505517</v>
      </c>
      <c r="D1457">
        <v>0.78354850762220696</v>
      </c>
      <c r="E1457">
        <v>0.66087567076403397</v>
      </c>
      <c r="F1457">
        <v>0.51404622782220899</v>
      </c>
      <c r="G1457">
        <v>0.37609021984869401</v>
      </c>
      <c r="H1457">
        <v>0.27407926013704198</v>
      </c>
      <c r="I1457">
        <v>0.321723086764233</v>
      </c>
      <c r="J1457">
        <v>0.42690569734605199</v>
      </c>
      <c r="K1457">
        <v>0.31780614346390901</v>
      </c>
      <c r="L1457">
        <v>696.45886619554904</v>
      </c>
      <c r="M1457">
        <v>14.1884615901975</v>
      </c>
      <c r="N1457">
        <v>52.779378637997702</v>
      </c>
      <c r="O1457">
        <v>48.142092576007897</v>
      </c>
      <c r="P1457">
        <v>-5.0497068563811101E-2</v>
      </c>
      <c r="Q1457">
        <v>0.31473096670755402</v>
      </c>
      <c r="R1457">
        <v>0.96733274807874303</v>
      </c>
      <c r="S1457" t="s">
        <v>8103</v>
      </c>
      <c r="T1457" t="s">
        <v>13290</v>
      </c>
      <c r="U1457" t="s">
        <v>13290</v>
      </c>
      <c r="V1457" t="s">
        <v>13290</v>
      </c>
      <c r="W1457" t="s">
        <v>14719</v>
      </c>
      <c r="X1457">
        <v>4</v>
      </c>
      <c r="Y1457" t="s">
        <v>21295</v>
      </c>
      <c r="Z1457" t="s">
        <v>27787</v>
      </c>
      <c r="AA1457">
        <v>0.54096815000123855</v>
      </c>
      <c r="AB1457" t="str">
        <f>HYPERLINK("Melting_Curves/meltCurve_O15258_RER1.pdf", "Melting_Curves/meltCurve_O15258_RER1.pdf")</f>
        <v>Melting_Curves/meltCurve_O15258_RER1.pdf</v>
      </c>
    </row>
    <row r="1458" spans="1:28" x14ac:dyDescent="0.25">
      <c r="A1458" t="s">
        <v>1462</v>
      </c>
      <c r="B1458">
        <v>0.99252571173614901</v>
      </c>
      <c r="C1458">
        <v>1.10504624580705</v>
      </c>
      <c r="D1458">
        <v>0.57315612211404099</v>
      </c>
      <c r="E1458">
        <v>0.73064267752974699</v>
      </c>
      <c r="F1458">
        <v>0.40132338072268298</v>
      </c>
      <c r="G1458">
        <v>8.4576286101143303E-2</v>
      </c>
      <c r="H1458">
        <v>4.9651686354566502E-2</v>
      </c>
      <c r="I1458">
        <v>4.6766579265969499E-2</v>
      </c>
      <c r="J1458">
        <v>5.7993579703677703E-2</v>
      </c>
      <c r="K1458">
        <v>6.2635978028368094E-2</v>
      </c>
      <c r="L1458">
        <v>739.80162140730795</v>
      </c>
      <c r="M1458">
        <v>14.5198697825673</v>
      </c>
      <c r="N1458">
        <v>50.960015456102603</v>
      </c>
      <c r="O1458">
        <v>50.013788487294697</v>
      </c>
      <c r="P1458">
        <v>-7.24945329390385E-2</v>
      </c>
      <c r="Q1458">
        <v>1.2829924796991E-3</v>
      </c>
      <c r="R1458">
        <v>0.91930783719137599</v>
      </c>
      <c r="S1458" t="s">
        <v>8104</v>
      </c>
      <c r="T1458" t="s">
        <v>13290</v>
      </c>
      <c r="U1458" t="s">
        <v>13290</v>
      </c>
      <c r="V1458" t="s">
        <v>13290</v>
      </c>
      <c r="W1458" t="s">
        <v>14720</v>
      </c>
      <c r="X1458">
        <v>12</v>
      </c>
      <c r="Y1458" t="s">
        <v>21296</v>
      </c>
      <c r="Z1458" t="s">
        <v>27788</v>
      </c>
      <c r="AA1458">
        <v>0.39022844186360162</v>
      </c>
      <c r="AB1458" t="str">
        <f>HYPERLINK("Melting_Curves/meltCurve_O15264_MAPK13.pdf", "Melting_Curves/meltCurve_O15264_MAPK13.pdf")</f>
        <v>Melting_Curves/meltCurve_O15264_MAPK13.pdf</v>
      </c>
    </row>
    <row r="1459" spans="1:28" x14ac:dyDescent="0.25">
      <c r="A1459" t="s">
        <v>1463</v>
      </c>
      <c r="B1459">
        <v>0.99252571173614901</v>
      </c>
      <c r="C1459">
        <v>0.89889918074929298</v>
      </c>
      <c r="D1459">
        <v>0.85767814124405195</v>
      </c>
      <c r="E1459">
        <v>0.67483449852930499</v>
      </c>
      <c r="F1459">
        <v>0.31514330767165299</v>
      </c>
      <c r="G1459">
        <v>0.126113805765349</v>
      </c>
      <c r="H1459">
        <v>7.7609904900349899E-2</v>
      </c>
      <c r="I1459">
        <v>8.2281510147646897E-2</v>
      </c>
      <c r="J1459">
        <v>0.100040872187539</v>
      </c>
      <c r="K1459">
        <v>9.0911581276611197E-2</v>
      </c>
      <c r="L1459">
        <v>1018.26989018923</v>
      </c>
      <c r="M1459">
        <v>20.111219449652701</v>
      </c>
      <c r="N1459">
        <v>50.999344647488698</v>
      </c>
      <c r="O1459">
        <v>50.139296931621701</v>
      </c>
      <c r="P1459">
        <v>-9.3517067933495401E-2</v>
      </c>
      <c r="Q1459">
        <v>6.743979624075E-2</v>
      </c>
      <c r="R1459">
        <v>0.99118128632702995</v>
      </c>
      <c r="S1459" t="s">
        <v>8105</v>
      </c>
      <c r="T1459" t="s">
        <v>13290</v>
      </c>
      <c r="U1459" t="s">
        <v>13290</v>
      </c>
      <c r="V1459" t="s">
        <v>13290</v>
      </c>
      <c r="W1459" t="s">
        <v>14721</v>
      </c>
      <c r="X1459">
        <v>13</v>
      </c>
      <c r="Y1459" t="s">
        <v>21297</v>
      </c>
      <c r="Z1459" t="s">
        <v>27789</v>
      </c>
      <c r="AA1459">
        <v>0.41075825151270962</v>
      </c>
      <c r="AB1459" t="str">
        <f>HYPERLINK("Melting_Curves/meltCurve_O15269_SPTLC1.pdf", "Melting_Curves/meltCurve_O15269_SPTLC1.pdf")</f>
        <v>Melting_Curves/meltCurve_O15269_SPTLC1.pdf</v>
      </c>
    </row>
    <row r="1460" spans="1:28" x14ac:dyDescent="0.25">
      <c r="A1460" t="s">
        <v>1464</v>
      </c>
      <c r="B1460">
        <v>0.99252571173614901</v>
      </c>
      <c r="C1460">
        <v>0.90260041437646898</v>
      </c>
      <c r="D1460">
        <v>1.01240975150325</v>
      </c>
      <c r="E1460">
        <v>1.06400327200341</v>
      </c>
      <c r="F1460">
        <v>0.45448861996794299</v>
      </c>
      <c r="G1460">
        <v>0.158893020598638</v>
      </c>
      <c r="H1460">
        <v>8.2881081712501803E-2</v>
      </c>
      <c r="I1460">
        <v>8.6606571093748599E-2</v>
      </c>
      <c r="J1460">
        <v>0.105407861912448</v>
      </c>
      <c r="K1460">
        <v>0.12505553486396301</v>
      </c>
      <c r="L1460">
        <v>7935.5280633985103</v>
      </c>
      <c r="M1460">
        <v>149.62875216787799</v>
      </c>
      <c r="N1460">
        <v>53.1245947832155</v>
      </c>
      <c r="O1460">
        <v>53.025306340078998</v>
      </c>
      <c r="P1460">
        <v>-0.62661861283735398</v>
      </c>
      <c r="Q1460">
        <v>0.111757752342604</v>
      </c>
      <c r="R1460">
        <v>0.98985744835935996</v>
      </c>
      <c r="S1460" t="s">
        <v>8106</v>
      </c>
      <c r="T1460" t="s">
        <v>13290</v>
      </c>
      <c r="U1460" t="s">
        <v>13290</v>
      </c>
      <c r="V1460" t="s">
        <v>13290</v>
      </c>
      <c r="W1460" t="s">
        <v>14722</v>
      </c>
      <c r="X1460">
        <v>12</v>
      </c>
      <c r="Y1460" t="s">
        <v>21298</v>
      </c>
      <c r="Z1460" t="s">
        <v>27790</v>
      </c>
      <c r="AA1460">
        <v>0.49792339775023792</v>
      </c>
      <c r="AB1460" t="str">
        <f>HYPERLINK("Melting_Curves/meltCurve_O15270_SPTLC2.pdf", "Melting_Curves/meltCurve_O15270_SPTLC2.pdf")</f>
        <v>Melting_Curves/meltCurve_O15270_SPTLC2.pdf</v>
      </c>
    </row>
    <row r="1461" spans="1:28" x14ac:dyDescent="0.25">
      <c r="A1461" t="s">
        <v>1465</v>
      </c>
      <c r="B1461">
        <v>0.99252571173614901</v>
      </c>
      <c r="C1461">
        <v>0.86442221646157902</v>
      </c>
      <c r="D1461">
        <v>0.92567427483306797</v>
      </c>
      <c r="E1461">
        <v>0.62979455040816001</v>
      </c>
      <c r="F1461">
        <v>0.16933703434403499</v>
      </c>
      <c r="G1461">
        <v>9.9832430164994101E-2</v>
      </c>
      <c r="H1461">
        <v>7.0363600616782804E-2</v>
      </c>
      <c r="I1461">
        <v>7.0698450456101097E-2</v>
      </c>
      <c r="J1461">
        <v>9.0655741244992899E-2</v>
      </c>
      <c r="K1461">
        <v>8.6548636460670902E-2</v>
      </c>
      <c r="L1461">
        <v>1631.67642733606</v>
      </c>
      <c r="M1461">
        <v>32.578949109382997</v>
      </c>
      <c r="N1461">
        <v>50.337404312404097</v>
      </c>
      <c r="O1461">
        <v>49.896190576778899</v>
      </c>
      <c r="P1461">
        <v>-0.15087845225017499</v>
      </c>
      <c r="Q1461">
        <v>7.5694537011509994E-2</v>
      </c>
      <c r="R1461">
        <v>0.98653045406172002</v>
      </c>
      <c r="S1461" t="s">
        <v>8107</v>
      </c>
      <c r="T1461" t="s">
        <v>13290</v>
      </c>
      <c r="U1461" t="s">
        <v>13290</v>
      </c>
      <c r="V1461" t="s">
        <v>13290</v>
      </c>
      <c r="W1461" t="s">
        <v>14723</v>
      </c>
      <c r="X1461">
        <v>21</v>
      </c>
      <c r="Y1461" t="s">
        <v>21299</v>
      </c>
      <c r="Z1461" t="s">
        <v>27791</v>
      </c>
      <c r="AA1461">
        <v>0.3912225476691043</v>
      </c>
      <c r="AB1461" t="str">
        <f>HYPERLINK("Melting_Curves/meltCurve_O15294_OGT.pdf", "Melting_Curves/meltCurve_O15294_OGT.pdf")</f>
        <v>Melting_Curves/meltCurve_O15294_OGT.pdf</v>
      </c>
    </row>
    <row r="1462" spans="1:28" x14ac:dyDescent="0.25">
      <c r="A1462" t="s">
        <v>1466</v>
      </c>
      <c r="B1462">
        <v>0.99252571173614901</v>
      </c>
      <c r="C1462">
        <v>1.0755390978539801</v>
      </c>
      <c r="D1462">
        <v>0.99077715950361001</v>
      </c>
      <c r="E1462">
        <v>0.91781022995327299</v>
      </c>
      <c r="F1462">
        <v>0.752407457024869</v>
      </c>
      <c r="G1462">
        <v>0.52908496350272105</v>
      </c>
      <c r="H1462">
        <v>0.304755015432639</v>
      </c>
      <c r="I1462">
        <v>0.175245065558813</v>
      </c>
      <c r="J1462">
        <v>0.119646593214135</v>
      </c>
      <c r="K1462">
        <v>0.118661033252311</v>
      </c>
      <c r="L1462">
        <v>950.17128948407606</v>
      </c>
      <c r="M1462">
        <v>16.776498193497801</v>
      </c>
      <c r="N1462">
        <v>57.141887144676502</v>
      </c>
      <c r="O1462">
        <v>55.8506787360486</v>
      </c>
      <c r="P1462">
        <v>-6.9927408869983207E-2</v>
      </c>
      <c r="Q1462">
        <v>6.8878667352503295E-2</v>
      </c>
      <c r="R1462">
        <v>0.99474241079166303</v>
      </c>
      <c r="S1462" t="s">
        <v>8108</v>
      </c>
      <c r="T1462" t="s">
        <v>13290</v>
      </c>
      <c r="U1462" t="s">
        <v>13290</v>
      </c>
      <c r="V1462" t="s">
        <v>13290</v>
      </c>
      <c r="W1462" t="s">
        <v>14724</v>
      </c>
      <c r="X1462">
        <v>18</v>
      </c>
      <c r="Y1462" t="s">
        <v>21300</v>
      </c>
      <c r="Z1462" t="s">
        <v>27792</v>
      </c>
      <c r="AA1462">
        <v>0.59935005669958064</v>
      </c>
      <c r="AB1462" t="str">
        <f>HYPERLINK("Melting_Curves/meltCurve_O15305_PMM2.pdf", "Melting_Curves/meltCurve_O15305_PMM2.pdf")</f>
        <v>Melting_Curves/meltCurve_O15305_PMM2.pdf</v>
      </c>
    </row>
    <row r="1463" spans="1:28" x14ac:dyDescent="0.25">
      <c r="A1463" t="s">
        <v>1467</v>
      </c>
      <c r="B1463">
        <v>0.99252571173614901</v>
      </c>
      <c r="C1463">
        <v>0.933157605056956</v>
      </c>
      <c r="D1463">
        <v>0.795526703798076</v>
      </c>
      <c r="E1463">
        <v>0.63969770739338505</v>
      </c>
      <c r="F1463">
        <v>0.30720257701138098</v>
      </c>
      <c r="G1463">
        <v>0.16644895536697901</v>
      </c>
      <c r="H1463">
        <v>0.139985593369887</v>
      </c>
      <c r="I1463">
        <v>6.5381924459922303E-2</v>
      </c>
      <c r="J1463">
        <v>0</v>
      </c>
      <c r="K1463">
        <v>0</v>
      </c>
      <c r="L1463">
        <v>734.818566928682</v>
      </c>
      <c r="M1463">
        <v>14.4422595112657</v>
      </c>
      <c r="N1463">
        <v>50.879748840187503</v>
      </c>
      <c r="O1463">
        <v>49.934091753836</v>
      </c>
      <c r="P1463">
        <v>-7.2315082744842898E-2</v>
      </c>
      <c r="Q1463">
        <v>0</v>
      </c>
      <c r="R1463">
        <v>0.99338437715887096</v>
      </c>
      <c r="S1463" t="s">
        <v>8109</v>
      </c>
      <c r="T1463" t="s">
        <v>13290</v>
      </c>
      <c r="U1463" t="s">
        <v>13290</v>
      </c>
      <c r="V1463" t="s">
        <v>13290</v>
      </c>
      <c r="W1463" t="s">
        <v>14725</v>
      </c>
      <c r="X1463">
        <v>2</v>
      </c>
      <c r="Y1463" t="s">
        <v>21301</v>
      </c>
      <c r="Z1463" t="s">
        <v>27793</v>
      </c>
      <c r="AA1463">
        <v>0.38734800938243369</v>
      </c>
      <c r="AB1463" t="str">
        <f>HYPERLINK("Melting_Curves/meltCurve_O15327_INPP4B.pdf", "Melting_Curves/meltCurve_O15327_INPP4B.pdf")</f>
        <v>Melting_Curves/meltCurve_O15327_INPP4B.pdf</v>
      </c>
    </row>
    <row r="1464" spans="1:28" x14ac:dyDescent="0.25">
      <c r="A1464" t="s">
        <v>1468</v>
      </c>
      <c r="B1464">
        <v>0.99252571173614901</v>
      </c>
      <c r="C1464">
        <v>1.00661499803819</v>
      </c>
      <c r="D1464">
        <v>0.89946757201468197</v>
      </c>
      <c r="E1464">
        <v>0.73443547514055396</v>
      </c>
      <c r="F1464">
        <v>0.23075010600135201</v>
      </c>
      <c r="G1464">
        <v>0.17551511740451201</v>
      </c>
      <c r="H1464">
        <v>0.15582430653061199</v>
      </c>
      <c r="I1464">
        <v>0.20762475507758299</v>
      </c>
      <c r="J1464">
        <v>0.23899920061221</v>
      </c>
      <c r="K1464">
        <v>0.29006298776596801</v>
      </c>
      <c r="L1464">
        <v>2722.1157706548302</v>
      </c>
      <c r="M1464">
        <v>54.236730159886797</v>
      </c>
      <c r="N1464">
        <v>50.701110692374698</v>
      </c>
      <c r="O1464">
        <v>50.121431755126899</v>
      </c>
      <c r="P1464">
        <v>-0.213517786547158</v>
      </c>
      <c r="Q1464">
        <v>0.21073333379089099</v>
      </c>
      <c r="R1464">
        <v>0.982736748485179</v>
      </c>
      <c r="S1464" t="s">
        <v>8110</v>
      </c>
      <c r="T1464" t="s">
        <v>13290</v>
      </c>
      <c r="U1464" t="s">
        <v>13290</v>
      </c>
      <c r="V1464" t="s">
        <v>13290</v>
      </c>
      <c r="W1464" t="s">
        <v>14726</v>
      </c>
      <c r="X1464">
        <v>6</v>
      </c>
      <c r="Y1464" t="s">
        <v>21302</v>
      </c>
      <c r="Z1464" t="s">
        <v>27794</v>
      </c>
      <c r="AA1464">
        <v>0.48029220350596552</v>
      </c>
      <c r="AB1464" t="str">
        <f>HYPERLINK("Melting_Curves/meltCurve_O15344_MID1.pdf", "Melting_Curves/meltCurve_O15344_MID1.pdf")</f>
        <v>Melting_Curves/meltCurve_O15344_MID1.pdf</v>
      </c>
    </row>
    <row r="1465" spans="1:28" x14ac:dyDescent="0.25">
      <c r="A1465" t="s">
        <v>1469</v>
      </c>
      <c r="B1465">
        <v>0.99252571173614901</v>
      </c>
      <c r="C1465">
        <v>1.10544399484148</v>
      </c>
      <c r="D1465">
        <v>0.62507995061689803</v>
      </c>
      <c r="E1465">
        <v>0.26606482194432302</v>
      </c>
      <c r="F1465">
        <v>0.14194197273432599</v>
      </c>
      <c r="G1465">
        <v>8.05118765592963E-2</v>
      </c>
      <c r="H1465">
        <v>6.5308735948290106E-2</v>
      </c>
      <c r="I1465">
        <v>7.1384358928174602E-2</v>
      </c>
      <c r="J1465">
        <v>9.1624369745275297E-2</v>
      </c>
      <c r="K1465">
        <v>9.6170315739110002E-2</v>
      </c>
      <c r="L1465">
        <v>1529.8767401047901</v>
      </c>
      <c r="M1465">
        <v>32.646080034790302</v>
      </c>
      <c r="N1465">
        <v>47.155599944404699</v>
      </c>
      <c r="O1465">
        <v>46.687705494979902</v>
      </c>
      <c r="P1465">
        <v>-0.15876016776156601</v>
      </c>
      <c r="Q1465">
        <v>9.1821964688770796E-2</v>
      </c>
      <c r="R1465">
        <v>0.97998622303564198</v>
      </c>
      <c r="S1465" t="s">
        <v>8111</v>
      </c>
      <c r="T1465" t="s">
        <v>13290</v>
      </c>
      <c r="U1465" t="s">
        <v>13290</v>
      </c>
      <c r="V1465" t="s">
        <v>13290</v>
      </c>
      <c r="W1465" t="s">
        <v>14727</v>
      </c>
      <c r="X1465">
        <v>27</v>
      </c>
      <c r="Y1465" t="s">
        <v>21303</v>
      </c>
      <c r="Z1465" t="s">
        <v>27795</v>
      </c>
      <c r="AA1465">
        <v>0.3041140956427727</v>
      </c>
      <c r="AB1465" t="str">
        <f>HYPERLINK("Melting_Curves/meltCurve_O15355_PPM1G.pdf", "Melting_Curves/meltCurve_O15355_PPM1G.pdf")</f>
        <v>Melting_Curves/meltCurve_O15355_PPM1G.pdf</v>
      </c>
    </row>
    <row r="1466" spans="1:28" x14ac:dyDescent="0.25">
      <c r="A1466" t="s">
        <v>1470</v>
      </c>
      <c r="B1466">
        <v>0.99252571173614901</v>
      </c>
      <c r="C1466">
        <v>0.89434774225170099</v>
      </c>
      <c r="D1466">
        <v>0.53617504882382006</v>
      </c>
      <c r="E1466">
        <v>0.230241301073565</v>
      </c>
      <c r="F1466">
        <v>0.144694431098775</v>
      </c>
      <c r="G1466">
        <v>9.4661852152940901E-2</v>
      </c>
      <c r="H1466">
        <v>6.0296461439024097E-2</v>
      </c>
      <c r="I1466">
        <v>5.8541713118673899E-2</v>
      </c>
      <c r="J1466">
        <v>7.0232469889011898E-2</v>
      </c>
      <c r="K1466">
        <v>6.6684350893247604E-2</v>
      </c>
      <c r="L1466">
        <v>1102.3926765828401</v>
      </c>
      <c r="M1466">
        <v>23.872241695428698</v>
      </c>
      <c r="N1466">
        <v>46.487203027449397</v>
      </c>
      <c r="O1466">
        <v>45.858451741409098</v>
      </c>
      <c r="P1466">
        <v>-0.120613995020525</v>
      </c>
      <c r="Q1466">
        <v>7.3219307092793007E-2</v>
      </c>
      <c r="R1466">
        <v>0.99737915891258</v>
      </c>
      <c r="S1466" t="s">
        <v>8112</v>
      </c>
      <c r="T1466" t="s">
        <v>13290</v>
      </c>
      <c r="U1466" t="s">
        <v>13290</v>
      </c>
      <c r="V1466" t="s">
        <v>13290</v>
      </c>
      <c r="W1466" t="s">
        <v>14728</v>
      </c>
      <c r="X1466">
        <v>29</v>
      </c>
      <c r="Y1466" t="s">
        <v>21304</v>
      </c>
      <c r="Z1466" t="s">
        <v>27796</v>
      </c>
      <c r="AA1466">
        <v>0.27353620921725558</v>
      </c>
      <c r="AB1466" t="str">
        <f>HYPERLINK("Melting_Curves/meltCurve_O15357_INPPL1.pdf", "Melting_Curves/meltCurve_O15357_INPPL1.pdf")</f>
        <v>Melting_Curves/meltCurve_O15357_INPPL1.pdf</v>
      </c>
    </row>
    <row r="1467" spans="1:28" x14ac:dyDescent="0.25">
      <c r="A1467" t="s">
        <v>1471</v>
      </c>
      <c r="B1467">
        <v>0.99252571173614901</v>
      </c>
      <c r="C1467">
        <v>0.77741800822775997</v>
      </c>
      <c r="D1467">
        <v>0.84585712941140501</v>
      </c>
      <c r="E1467">
        <v>0.74966557404345202</v>
      </c>
      <c r="F1467">
        <v>0.46183650001177601</v>
      </c>
      <c r="G1467">
        <v>0.183185079089216</v>
      </c>
      <c r="H1467">
        <v>0.11143364440011</v>
      </c>
      <c r="I1467">
        <v>0.109090003489729</v>
      </c>
      <c r="J1467">
        <v>0.13014281572369801</v>
      </c>
      <c r="K1467">
        <v>0.13304175628459899</v>
      </c>
      <c r="L1467">
        <v>758.23108887815602</v>
      </c>
      <c r="M1467">
        <v>14.695921666127401</v>
      </c>
      <c r="N1467">
        <v>52.109617758985699</v>
      </c>
      <c r="O1467">
        <v>50.667553719904298</v>
      </c>
      <c r="P1467">
        <v>-6.7618039183774306E-2</v>
      </c>
      <c r="Q1467">
        <v>6.7587308263662799E-2</v>
      </c>
      <c r="R1467">
        <v>0.95581584782061701</v>
      </c>
      <c r="S1467" t="s">
        <v>8113</v>
      </c>
      <c r="T1467" t="s">
        <v>13290</v>
      </c>
      <c r="U1467" t="s">
        <v>13290</v>
      </c>
      <c r="V1467" t="s">
        <v>13290</v>
      </c>
      <c r="W1467" t="s">
        <v>14729</v>
      </c>
      <c r="X1467">
        <v>7</v>
      </c>
      <c r="Y1467" t="s">
        <v>21305</v>
      </c>
      <c r="Z1467" t="s">
        <v>27797</v>
      </c>
      <c r="AA1467">
        <v>0.44977911883339589</v>
      </c>
      <c r="AB1467" t="str">
        <f>HYPERLINK("Melting_Curves/meltCurve_O15379_HDAC3.pdf", "Melting_Curves/meltCurve_O15379_HDAC3.pdf")</f>
        <v>Melting_Curves/meltCurve_O15379_HDAC3.pdf</v>
      </c>
    </row>
    <row r="1468" spans="1:28" x14ac:dyDescent="0.25">
      <c r="A1468" t="s">
        <v>1472</v>
      </c>
      <c r="B1468">
        <v>0.99252571173614901</v>
      </c>
      <c r="C1468">
        <v>1.0257019067286901</v>
      </c>
      <c r="D1468">
        <v>0.97642934451590102</v>
      </c>
      <c r="E1468">
        <v>0.82722434464976102</v>
      </c>
      <c r="F1468">
        <v>0.67972452433484598</v>
      </c>
      <c r="G1468">
        <v>0.55404136349073596</v>
      </c>
      <c r="H1468">
        <v>0.469620276051329</v>
      </c>
      <c r="I1468">
        <v>0.36625994613855001</v>
      </c>
      <c r="J1468">
        <v>0.251781634910204</v>
      </c>
      <c r="K1468">
        <v>0.16503491672885301</v>
      </c>
      <c r="L1468">
        <v>528.41073080588501</v>
      </c>
      <c r="M1468">
        <v>8.9717629466375808</v>
      </c>
      <c r="N1468">
        <v>58.926853517229901</v>
      </c>
      <c r="O1468">
        <v>56.191671592157</v>
      </c>
      <c r="P1468">
        <v>-3.9854925576208698E-2</v>
      </c>
      <c r="Q1468">
        <v>2.2606696317966899E-3</v>
      </c>
      <c r="R1468">
        <v>0.98571568243787699</v>
      </c>
      <c r="S1468" t="s">
        <v>8114</v>
      </c>
      <c r="T1468" t="s">
        <v>13290</v>
      </c>
      <c r="U1468" t="s">
        <v>13290</v>
      </c>
      <c r="V1468" t="s">
        <v>13290</v>
      </c>
      <c r="W1468" t="s">
        <v>14730</v>
      </c>
      <c r="X1468">
        <v>17</v>
      </c>
      <c r="Y1468" t="s">
        <v>21306</v>
      </c>
      <c r="Z1468" t="s">
        <v>27798</v>
      </c>
      <c r="AA1468">
        <v>0.63106604229777674</v>
      </c>
      <c r="AB1468" t="str">
        <f>HYPERLINK("Melting_Curves/meltCurve_O15382_BCAT2.pdf", "Melting_Curves/meltCurve_O15382_BCAT2.pdf")</f>
        <v>Melting_Curves/meltCurve_O15382_BCAT2.pdf</v>
      </c>
    </row>
    <row r="1469" spans="1:28" x14ac:dyDescent="0.25">
      <c r="A1469" t="s">
        <v>1473</v>
      </c>
      <c r="B1469">
        <v>0.99252571173614901</v>
      </c>
      <c r="C1469">
        <v>0.89612193174078902</v>
      </c>
      <c r="D1469">
        <v>0.58736254099754304</v>
      </c>
      <c r="E1469">
        <v>0.35368673786946803</v>
      </c>
      <c r="F1469">
        <v>0.29005128740480501</v>
      </c>
      <c r="G1469">
        <v>0.14769596453945</v>
      </c>
      <c r="H1469">
        <v>0.102004298921409</v>
      </c>
      <c r="I1469">
        <v>0.12068020954188299</v>
      </c>
      <c r="J1469">
        <v>9.9559852738776405E-2</v>
      </c>
      <c r="K1469">
        <v>0.108043579378825</v>
      </c>
      <c r="L1469">
        <v>800.68050555243201</v>
      </c>
      <c r="M1469">
        <v>17.036137484198999</v>
      </c>
      <c r="N1469">
        <v>47.682786964735101</v>
      </c>
      <c r="O1469">
        <v>46.365677506806797</v>
      </c>
      <c r="P1469">
        <v>-8.19067041967039E-2</v>
      </c>
      <c r="Q1469">
        <v>0.108382755383748</v>
      </c>
      <c r="R1469">
        <v>0.98855848592336804</v>
      </c>
      <c r="S1469" t="s">
        <v>8115</v>
      </c>
      <c r="T1469" t="s">
        <v>13290</v>
      </c>
      <c r="U1469" t="s">
        <v>13290</v>
      </c>
      <c r="V1469" t="s">
        <v>13290</v>
      </c>
      <c r="W1469" t="s">
        <v>14731</v>
      </c>
      <c r="X1469">
        <v>5</v>
      </c>
      <c r="Y1469" t="s">
        <v>21307</v>
      </c>
      <c r="Z1469" t="s">
        <v>27799</v>
      </c>
      <c r="AA1469">
        <v>0.3349256495728905</v>
      </c>
      <c r="AB1469" t="str">
        <f>HYPERLINK("Melting_Curves/meltCurve_O15397_IPO8.pdf", "Melting_Curves/meltCurve_O15397_IPO8.pdf")</f>
        <v>Melting_Curves/meltCurve_O15397_IPO8.pdf</v>
      </c>
    </row>
    <row r="1470" spans="1:28" x14ac:dyDescent="0.25">
      <c r="A1470" t="s">
        <v>1474</v>
      </c>
      <c r="B1470">
        <v>0.99252571173614901</v>
      </c>
      <c r="C1470">
        <v>0.99011280978579097</v>
      </c>
      <c r="D1470">
        <v>0.91069742709752299</v>
      </c>
      <c r="E1470">
        <v>0.93930958685229204</v>
      </c>
      <c r="F1470">
        <v>0.80276763849379096</v>
      </c>
      <c r="G1470">
        <v>0.59018155515247195</v>
      </c>
      <c r="H1470">
        <v>0.46287904212306102</v>
      </c>
      <c r="I1470">
        <v>0.53579599081746099</v>
      </c>
      <c r="J1470">
        <v>0.80505277360724803</v>
      </c>
      <c r="K1470">
        <v>0.74265898488857196</v>
      </c>
      <c r="L1470">
        <v>2854.4461754373301</v>
      </c>
      <c r="M1470">
        <v>53.8808390546033</v>
      </c>
      <c r="O1470">
        <v>52.904192947812398</v>
      </c>
      <c r="P1470">
        <v>-9.5104306919006801E-2</v>
      </c>
      <c r="Q1470">
        <v>0.62647846807109098</v>
      </c>
      <c r="R1470">
        <v>0.71714604864296105</v>
      </c>
      <c r="S1470" t="s">
        <v>8116</v>
      </c>
      <c r="T1470" t="s">
        <v>13290</v>
      </c>
      <c r="U1470" t="s">
        <v>13290</v>
      </c>
      <c r="V1470" t="s">
        <v>13290</v>
      </c>
      <c r="W1470" t="s">
        <v>14732</v>
      </c>
      <c r="X1470">
        <v>10</v>
      </c>
      <c r="Y1470" t="s">
        <v>21308</v>
      </c>
      <c r="Z1470" t="s">
        <v>27800</v>
      </c>
      <c r="AA1470">
        <v>0.78880267229575052</v>
      </c>
      <c r="AB1470" t="str">
        <f>HYPERLINK("Melting_Curves/meltCurve_O15400_2_STX7.pdf", "Melting_Curves/meltCurve_O15400_2_STX7.pdf")</f>
        <v>Melting_Curves/meltCurve_O15400_2_STX7.pdf</v>
      </c>
    </row>
    <row r="1471" spans="1:28" x14ac:dyDescent="0.25">
      <c r="A1471" t="s">
        <v>1475</v>
      </c>
      <c r="B1471">
        <v>0.99252571173614901</v>
      </c>
      <c r="C1471">
        <v>0.87191143361932999</v>
      </c>
      <c r="D1471">
        <v>0.83296133429637798</v>
      </c>
      <c r="E1471">
        <v>0.78311294622954697</v>
      </c>
      <c r="F1471">
        <v>0.72326058036947005</v>
      </c>
      <c r="G1471">
        <v>0.52825534618273695</v>
      </c>
      <c r="H1471">
        <v>0.52737655133979799</v>
      </c>
      <c r="I1471">
        <v>0.70853467674402804</v>
      </c>
      <c r="J1471">
        <v>1.10488119652279</v>
      </c>
      <c r="K1471">
        <v>0.89823417944226502</v>
      </c>
      <c r="L1471">
        <v>1059.4680805666801</v>
      </c>
      <c r="M1471">
        <v>24.3669296975531</v>
      </c>
      <c r="O1471">
        <v>43.190084057124302</v>
      </c>
      <c r="P1471">
        <v>-3.4809179958960899E-2</v>
      </c>
      <c r="Q1471">
        <v>0.75320830636448899</v>
      </c>
      <c r="R1471">
        <v>0.18348276177533099</v>
      </c>
      <c r="S1471" t="s">
        <v>8117</v>
      </c>
      <c r="T1471" t="s">
        <v>13290</v>
      </c>
      <c r="U1471" t="s">
        <v>13290</v>
      </c>
      <c r="V1471" t="s">
        <v>13290</v>
      </c>
      <c r="W1471" t="s">
        <v>14733</v>
      </c>
      <c r="X1471">
        <v>7</v>
      </c>
      <c r="Y1471" t="s">
        <v>21309</v>
      </c>
      <c r="Z1471" t="s">
        <v>27801</v>
      </c>
      <c r="AA1471">
        <v>0.78517056627024595</v>
      </c>
      <c r="AB1471" t="str">
        <f>HYPERLINK("Melting_Curves/meltCurve_O15427_SLC16A3.pdf", "Melting_Curves/meltCurve_O15427_SLC16A3.pdf")</f>
        <v>Melting_Curves/meltCurve_O15427_SLC16A3.pdf</v>
      </c>
    </row>
    <row r="1472" spans="1:28" x14ac:dyDescent="0.25">
      <c r="A1472" t="s">
        <v>1476</v>
      </c>
      <c r="B1472">
        <v>0.99252571173614901</v>
      </c>
      <c r="C1472">
        <v>0.75863823094131699</v>
      </c>
      <c r="D1472">
        <v>0.43255203563324002</v>
      </c>
      <c r="E1472">
        <v>0.37199299043898298</v>
      </c>
      <c r="F1472">
        <v>0.25938358828250402</v>
      </c>
      <c r="G1472">
        <v>0.17953309028801201</v>
      </c>
      <c r="H1472">
        <v>0.17502078507107099</v>
      </c>
      <c r="I1472">
        <v>0.14777159093828099</v>
      </c>
      <c r="J1472">
        <v>0.16879489263029099</v>
      </c>
      <c r="K1472">
        <v>0.17095801781054501</v>
      </c>
      <c r="L1472">
        <v>833.93631295749901</v>
      </c>
      <c r="M1472">
        <v>18.554613835019101</v>
      </c>
      <c r="N1472">
        <v>46.017822642385497</v>
      </c>
      <c r="O1472">
        <v>44.4326481038214</v>
      </c>
      <c r="P1472">
        <v>-8.6070550878728905E-2</v>
      </c>
      <c r="Q1472">
        <v>0.17558508622538799</v>
      </c>
      <c r="R1472">
        <v>0.97672417084323704</v>
      </c>
      <c r="S1472" t="s">
        <v>8118</v>
      </c>
      <c r="T1472" t="s">
        <v>13290</v>
      </c>
      <c r="U1472" t="s">
        <v>13290</v>
      </c>
      <c r="V1472" t="s">
        <v>13290</v>
      </c>
      <c r="W1472" t="s">
        <v>14734</v>
      </c>
      <c r="X1472">
        <v>2</v>
      </c>
      <c r="Y1472" t="s">
        <v>21310</v>
      </c>
      <c r="Z1472" t="s">
        <v>27802</v>
      </c>
      <c r="AA1472">
        <v>0.32817446847997089</v>
      </c>
      <c r="AB1472" t="str">
        <f>HYPERLINK("Melting_Curves/meltCurve_O15431_SLC31A1.pdf", "Melting_Curves/meltCurve_O15431_SLC31A1.pdf")</f>
        <v>Melting_Curves/meltCurve_O15431_SLC31A1.pdf</v>
      </c>
    </row>
    <row r="1473" spans="1:28" x14ac:dyDescent="0.25">
      <c r="A1473" t="s">
        <v>1477</v>
      </c>
      <c r="B1473">
        <v>0.99252571173614901</v>
      </c>
      <c r="C1473">
        <v>0.84400823280012505</v>
      </c>
      <c r="D1473">
        <v>0.78133968987706603</v>
      </c>
      <c r="E1473">
        <v>0.74787072165538204</v>
      </c>
      <c r="F1473">
        <v>0.66588930119824197</v>
      </c>
      <c r="G1473">
        <v>0.47784138471260301</v>
      </c>
      <c r="H1473">
        <v>0.29663817896646799</v>
      </c>
      <c r="I1473">
        <v>0.124277524638625</v>
      </c>
      <c r="J1473">
        <v>0.115732538835309</v>
      </c>
      <c r="K1473">
        <v>8.7187092330698601E-2</v>
      </c>
      <c r="L1473">
        <v>533.46116014330403</v>
      </c>
      <c r="M1473">
        <v>9.6873324931510307</v>
      </c>
      <c r="N1473">
        <v>55.067910631028198</v>
      </c>
      <c r="O1473">
        <v>52.874919483858797</v>
      </c>
      <c r="P1473">
        <v>-4.5828224727792598E-2</v>
      </c>
      <c r="Q1473">
        <v>0</v>
      </c>
      <c r="R1473">
        <v>0.96564726054276095</v>
      </c>
      <c r="S1473" t="s">
        <v>8119</v>
      </c>
      <c r="T1473" t="s">
        <v>13290</v>
      </c>
      <c r="U1473" t="s">
        <v>13290</v>
      </c>
      <c r="V1473" t="s">
        <v>13290</v>
      </c>
      <c r="W1473" t="s">
        <v>14735</v>
      </c>
      <c r="X1473">
        <v>25</v>
      </c>
      <c r="Y1473" t="s">
        <v>21311</v>
      </c>
      <c r="Z1473" t="s">
        <v>27803</v>
      </c>
      <c r="AA1473">
        <v>0.52810434048086174</v>
      </c>
      <c r="AB1473" t="str">
        <f>HYPERLINK("Melting_Curves/meltCurve_O15439_2_ABCC4.pdf", "Melting_Curves/meltCurve_O15439_2_ABCC4.pdf")</f>
        <v>Melting_Curves/meltCurve_O15439_2_ABCC4.pdf</v>
      </c>
    </row>
    <row r="1474" spans="1:28" x14ac:dyDescent="0.25">
      <c r="A1474" t="s">
        <v>1478</v>
      </c>
      <c r="B1474">
        <v>0.99252571173614901</v>
      </c>
      <c r="C1474">
        <v>0.98708327081924796</v>
      </c>
      <c r="D1474">
        <v>0.78349484585689999</v>
      </c>
      <c r="E1474">
        <v>0.92005239697885499</v>
      </c>
      <c r="F1474">
        <v>0.97743679324922705</v>
      </c>
      <c r="G1474">
        <v>0.83679149570087497</v>
      </c>
      <c r="H1474">
        <v>0.86308524469954595</v>
      </c>
      <c r="I1474">
        <v>1.1029454332692401</v>
      </c>
      <c r="J1474">
        <v>1.69950889544937</v>
      </c>
      <c r="K1474">
        <v>2.1445133211890499</v>
      </c>
      <c r="L1474">
        <v>15000</v>
      </c>
      <c r="M1474">
        <v>233.02625358079999</v>
      </c>
      <c r="O1474">
        <v>64.365711808650801</v>
      </c>
      <c r="P1474">
        <v>0.45254362217323302</v>
      </c>
      <c r="Q1474">
        <v>1.5</v>
      </c>
      <c r="R1474">
        <v>0.68094738060256099</v>
      </c>
      <c r="S1474" t="s">
        <v>8120</v>
      </c>
      <c r="T1474" t="s">
        <v>13290</v>
      </c>
      <c r="U1474" t="s">
        <v>13290</v>
      </c>
      <c r="V1474" t="s">
        <v>13290</v>
      </c>
      <c r="W1474" t="s">
        <v>14736</v>
      </c>
      <c r="X1474">
        <v>11</v>
      </c>
      <c r="Y1474" t="s">
        <v>21312</v>
      </c>
      <c r="Z1474" t="s">
        <v>27804</v>
      </c>
      <c r="AA1474">
        <v>1.0937611618865291</v>
      </c>
      <c r="AB1474" t="str">
        <f>HYPERLINK("Melting_Curves/meltCurve_O15446_CD3EAP.pdf", "Melting_Curves/meltCurve_O15446_CD3EAP.pdf")</f>
        <v>Melting_Curves/meltCurve_O15446_CD3EAP.pdf</v>
      </c>
    </row>
    <row r="1475" spans="1:28" x14ac:dyDescent="0.25">
      <c r="A1475" t="s">
        <v>1479</v>
      </c>
      <c r="B1475">
        <v>0.99252571173614901</v>
      </c>
      <c r="C1475">
        <v>0.88525188476982697</v>
      </c>
      <c r="D1475">
        <v>0.87789726053935901</v>
      </c>
      <c r="E1475">
        <v>0.62713691220413503</v>
      </c>
      <c r="F1475">
        <v>0.34212270144761697</v>
      </c>
      <c r="G1475">
        <v>0.18392244617893</v>
      </c>
      <c r="H1475">
        <v>0.17202946084579099</v>
      </c>
      <c r="I1475">
        <v>0.179151129041076</v>
      </c>
      <c r="J1475">
        <v>0.26282769500776099</v>
      </c>
      <c r="K1475">
        <v>0.21568026727741299</v>
      </c>
      <c r="L1475">
        <v>1097.6742442843999</v>
      </c>
      <c r="M1475">
        <v>22.103389842790499</v>
      </c>
      <c r="N1475">
        <v>50.767710894179203</v>
      </c>
      <c r="O1475">
        <v>49.259772794176101</v>
      </c>
      <c r="P1475">
        <v>-9.0732274820163494E-2</v>
      </c>
      <c r="Q1475">
        <v>0.191191335563619</v>
      </c>
      <c r="R1475">
        <v>0.98167312287636699</v>
      </c>
      <c r="S1475" t="s">
        <v>8121</v>
      </c>
      <c r="T1475" t="s">
        <v>13290</v>
      </c>
      <c r="U1475" t="s">
        <v>13290</v>
      </c>
      <c r="V1475" t="s">
        <v>13290</v>
      </c>
      <c r="W1475" t="s">
        <v>14737</v>
      </c>
      <c r="X1475">
        <v>9</v>
      </c>
      <c r="Y1475" t="s">
        <v>21313</v>
      </c>
      <c r="Z1475" t="s">
        <v>27805</v>
      </c>
      <c r="AA1475">
        <v>0.46089026503818309</v>
      </c>
      <c r="AB1475" t="str">
        <f>HYPERLINK("Melting_Curves/meltCurve_O15460_2_P4HA2.pdf", "Melting_Curves/meltCurve_O15460_2_P4HA2.pdf")</f>
        <v>Melting_Curves/meltCurve_O15460_2_P4HA2.pdf</v>
      </c>
    </row>
    <row r="1476" spans="1:28" x14ac:dyDescent="0.25">
      <c r="A1476" t="s">
        <v>1480</v>
      </c>
      <c r="B1476">
        <v>0.99252571173614901</v>
      </c>
      <c r="C1476">
        <v>1.0712194667366</v>
      </c>
      <c r="D1476">
        <v>0.96185933568610504</v>
      </c>
      <c r="E1476">
        <v>0.79040721824423399</v>
      </c>
      <c r="F1476">
        <v>0.65849918493500703</v>
      </c>
      <c r="G1476">
        <v>0.41270233035078702</v>
      </c>
      <c r="H1476">
        <v>0.163286665676105</v>
      </c>
      <c r="I1476">
        <v>0.116200142022825</v>
      </c>
      <c r="J1476">
        <v>0.13075340773900301</v>
      </c>
      <c r="K1476">
        <v>0.13308344271296799</v>
      </c>
      <c r="L1476">
        <v>923.17380437292002</v>
      </c>
      <c r="M1476">
        <v>16.967628702042401</v>
      </c>
      <c r="N1476">
        <v>54.972270539889102</v>
      </c>
      <c r="O1476">
        <v>53.669067746981902</v>
      </c>
      <c r="P1476">
        <v>-7.2725426673361501E-2</v>
      </c>
      <c r="Q1476">
        <v>7.9927333708994797E-2</v>
      </c>
      <c r="R1476">
        <v>0.98812161719139302</v>
      </c>
      <c r="S1476" t="s">
        <v>8122</v>
      </c>
      <c r="T1476" t="s">
        <v>13290</v>
      </c>
      <c r="U1476" t="s">
        <v>13290</v>
      </c>
      <c r="V1476" t="s">
        <v>13290</v>
      </c>
      <c r="W1476" t="s">
        <v>14738</v>
      </c>
      <c r="X1476">
        <v>14</v>
      </c>
      <c r="Y1476" t="s">
        <v>21314</v>
      </c>
      <c r="Z1476" t="s">
        <v>27806</v>
      </c>
      <c r="AA1476">
        <v>0.53759352043031383</v>
      </c>
      <c r="AB1476" t="str">
        <f>HYPERLINK("Melting_Curves/meltCurve_O15498_YKT6.pdf", "Melting_Curves/meltCurve_O15498_YKT6.pdf")</f>
        <v>Melting_Curves/meltCurve_O15498_YKT6.pdf</v>
      </c>
    </row>
    <row r="1477" spans="1:28" x14ac:dyDescent="0.25">
      <c r="A1477" t="s">
        <v>1481</v>
      </c>
      <c r="B1477">
        <v>0.99252571173614901</v>
      </c>
      <c r="C1477">
        <v>0.94495913452326996</v>
      </c>
      <c r="D1477">
        <v>0.98949147900515799</v>
      </c>
      <c r="E1477">
        <v>0.934750906333216</v>
      </c>
      <c r="F1477">
        <v>0.91763018194340396</v>
      </c>
      <c r="G1477">
        <v>0.76984661881849203</v>
      </c>
      <c r="H1477">
        <v>0.65825118523348103</v>
      </c>
      <c r="I1477">
        <v>0.43660230553976098</v>
      </c>
      <c r="J1477">
        <v>0.27981630574397798</v>
      </c>
      <c r="K1477">
        <v>0.25978301201139697</v>
      </c>
      <c r="L1477">
        <v>768.20342918101505</v>
      </c>
      <c r="M1477">
        <v>12.195580726439299</v>
      </c>
      <c r="N1477">
        <v>63.012681197475601</v>
      </c>
      <c r="O1477">
        <v>61.368452389839</v>
      </c>
      <c r="P1477">
        <v>-4.9585696612022501E-2</v>
      </c>
      <c r="Q1477">
        <v>2.1600511134926398E-3</v>
      </c>
      <c r="R1477">
        <v>0.98746429947293701</v>
      </c>
      <c r="S1477" t="s">
        <v>8123</v>
      </c>
      <c r="T1477" t="s">
        <v>13290</v>
      </c>
      <c r="U1477" t="s">
        <v>13290</v>
      </c>
      <c r="V1477" t="s">
        <v>13290</v>
      </c>
      <c r="W1477" t="s">
        <v>14739</v>
      </c>
      <c r="X1477">
        <v>5</v>
      </c>
      <c r="Y1477" t="s">
        <v>21315</v>
      </c>
      <c r="Z1477" t="s">
        <v>27807</v>
      </c>
      <c r="AA1477">
        <v>0.74816166970518261</v>
      </c>
      <c r="AB1477" t="str">
        <f>HYPERLINK("Melting_Curves/meltCurve_O15511_ARPC5.pdf", "Melting_Curves/meltCurve_O15511_ARPC5.pdf")</f>
        <v>Melting_Curves/meltCurve_O15511_ARPC5.pdf</v>
      </c>
    </row>
    <row r="1478" spans="1:28" x14ac:dyDescent="0.25">
      <c r="A1478" t="s">
        <v>1482</v>
      </c>
      <c r="B1478">
        <v>0.99252571173614901</v>
      </c>
      <c r="C1478">
        <v>1.04455287079756</v>
      </c>
      <c r="D1478">
        <v>1.10759018054438</v>
      </c>
      <c r="E1478">
        <v>1.0702405926298</v>
      </c>
      <c r="F1478">
        <v>1.42577658513272</v>
      </c>
      <c r="G1478">
        <v>1.3612085800368801</v>
      </c>
      <c r="H1478">
        <v>1.2685801982540399</v>
      </c>
      <c r="I1478">
        <v>0.99037248729068195</v>
      </c>
      <c r="J1478">
        <v>0.35288132808543399</v>
      </c>
      <c r="K1478">
        <v>0.34044227546254802</v>
      </c>
      <c r="L1478">
        <v>11320.840613703</v>
      </c>
      <c r="M1478">
        <v>172.67024257449299</v>
      </c>
      <c r="N1478">
        <v>65.999959565037301</v>
      </c>
      <c r="O1478">
        <v>65.554562094523206</v>
      </c>
      <c r="P1478">
        <v>-0.43431119538393098</v>
      </c>
      <c r="Q1478">
        <v>0.34045195882635398</v>
      </c>
      <c r="R1478">
        <v>0.67960997700277104</v>
      </c>
      <c r="S1478" t="s">
        <v>8124</v>
      </c>
      <c r="T1478" t="s">
        <v>13290</v>
      </c>
      <c r="U1478" t="s">
        <v>13290</v>
      </c>
      <c r="V1478" t="s">
        <v>13290</v>
      </c>
      <c r="W1478" t="s">
        <v>14740</v>
      </c>
      <c r="X1478">
        <v>6</v>
      </c>
      <c r="Y1478" t="s">
        <v>21316</v>
      </c>
      <c r="Z1478" t="s">
        <v>27808</v>
      </c>
      <c r="AA1478">
        <v>0.90261962724087219</v>
      </c>
      <c r="AB1478" t="str">
        <f>HYPERLINK("Melting_Curves/meltCurve_O15514_POLR2D.pdf", "Melting_Curves/meltCurve_O15514_POLR2D.pdf")</f>
        <v>Melting_Curves/meltCurve_O15514_POLR2D.pdf</v>
      </c>
    </row>
    <row r="1479" spans="1:28" x14ac:dyDescent="0.25">
      <c r="A1479" t="s">
        <v>1483</v>
      </c>
      <c r="B1479">
        <v>0.99252571173614901</v>
      </c>
      <c r="C1479">
        <v>1.0725459857459501</v>
      </c>
      <c r="D1479">
        <v>0.93555010982665598</v>
      </c>
      <c r="E1479">
        <v>0.98499188173694496</v>
      </c>
      <c r="F1479">
        <v>0.90732397575004198</v>
      </c>
      <c r="G1479">
        <v>0.84119464515672104</v>
      </c>
      <c r="H1479">
        <v>0.82809308602565701</v>
      </c>
      <c r="I1479">
        <v>1.0023673925118901</v>
      </c>
      <c r="J1479">
        <v>1.1575586509795199</v>
      </c>
      <c r="K1479">
        <v>1.13810548549821</v>
      </c>
      <c r="L1479">
        <v>15000</v>
      </c>
      <c r="M1479">
        <v>230.455691498867</v>
      </c>
      <c r="O1479">
        <v>65.083532141122603</v>
      </c>
      <c r="P1479">
        <v>0.13092191453866101</v>
      </c>
      <c r="Q1479">
        <v>1.1478958590744099</v>
      </c>
      <c r="R1479">
        <v>0.36308887932119899</v>
      </c>
      <c r="S1479" t="s">
        <v>8125</v>
      </c>
      <c r="T1479" t="s">
        <v>13290</v>
      </c>
      <c r="U1479" t="s">
        <v>13290</v>
      </c>
      <c r="V1479" t="s">
        <v>13290</v>
      </c>
      <c r="W1479" t="s">
        <v>14741</v>
      </c>
      <c r="X1479">
        <v>18</v>
      </c>
      <c r="Y1479" t="s">
        <v>21317</v>
      </c>
      <c r="Z1479" t="s">
        <v>27809</v>
      </c>
      <c r="AA1479">
        <v>1.0241934622208839</v>
      </c>
      <c r="AB1479" t="str">
        <f>HYPERLINK("Melting_Curves/meltCurve_O15541_RNF113A.pdf", "Melting_Curves/meltCurve_O15541_RNF113A.pdf")</f>
        <v>Melting_Curves/meltCurve_O15541_RNF113A.pdf</v>
      </c>
    </row>
    <row r="1480" spans="1:28" x14ac:dyDescent="0.25">
      <c r="A1480" t="s">
        <v>1484</v>
      </c>
      <c r="B1480">
        <v>0.99252571173614901</v>
      </c>
      <c r="C1480">
        <v>0.94370731453947898</v>
      </c>
      <c r="D1480">
        <v>0.92379370177368103</v>
      </c>
      <c r="E1480">
        <v>1.05768302596033</v>
      </c>
      <c r="F1480">
        <v>0.67725660496680995</v>
      </c>
      <c r="G1480">
        <v>0.74574208080342497</v>
      </c>
      <c r="H1480">
        <v>0.659228467491217</v>
      </c>
      <c r="I1480">
        <v>0.89374076132718105</v>
      </c>
      <c r="J1480">
        <v>1.47401413128709</v>
      </c>
      <c r="K1480">
        <v>1.2264178172534299</v>
      </c>
      <c r="L1480">
        <v>10063.7547131542</v>
      </c>
      <c r="M1480">
        <v>250</v>
      </c>
      <c r="O1480">
        <v>40.252458179861897</v>
      </c>
      <c r="P1480">
        <v>-6.8735665852684702E-2</v>
      </c>
      <c r="Q1480">
        <v>0.95573154462383803</v>
      </c>
      <c r="R1480">
        <v>2.14487359328019E-3</v>
      </c>
      <c r="S1480" t="s">
        <v>8126</v>
      </c>
      <c r="T1480" t="s">
        <v>13290</v>
      </c>
      <c r="U1480" t="s">
        <v>13290</v>
      </c>
      <c r="V1480" t="s">
        <v>13290</v>
      </c>
      <c r="W1480" t="s">
        <v>14742</v>
      </c>
      <c r="X1480">
        <v>4</v>
      </c>
      <c r="Y1480" t="s">
        <v>21318</v>
      </c>
      <c r="Z1480" t="s">
        <v>27810</v>
      </c>
      <c r="AA1480">
        <v>0.95615401081723983</v>
      </c>
      <c r="AB1480" t="str">
        <f>HYPERLINK("Melting_Curves/meltCurve_O15551_CLDN3.pdf", "Melting_Curves/meltCurve_O15551_CLDN3.pdf")</f>
        <v>Melting_Curves/meltCurve_O15551_CLDN3.pdf</v>
      </c>
    </row>
    <row r="1481" spans="1:28" x14ac:dyDescent="0.25">
      <c r="A1481" t="s">
        <v>1485</v>
      </c>
      <c r="B1481">
        <v>0.99252571173614901</v>
      </c>
      <c r="C1481">
        <v>1.07812692366604</v>
      </c>
      <c r="D1481">
        <v>1.1471737535093101</v>
      </c>
      <c r="E1481">
        <v>1.2011531624738601</v>
      </c>
      <c r="F1481">
        <v>1.0031723692243599</v>
      </c>
      <c r="G1481">
        <v>0.56206702991603197</v>
      </c>
      <c r="H1481">
        <v>0.12979417690961301</v>
      </c>
      <c r="I1481">
        <v>0.113807475298035</v>
      </c>
      <c r="J1481">
        <v>0.10823942320904301</v>
      </c>
      <c r="K1481">
        <v>0.101000528832804</v>
      </c>
      <c r="L1481">
        <v>4007.6764905770401</v>
      </c>
      <c r="M1481">
        <v>70.524336884294101</v>
      </c>
      <c r="N1481">
        <v>57.029506596394498</v>
      </c>
      <c r="O1481">
        <v>56.781195156087001</v>
      </c>
      <c r="P1481">
        <v>-0.27609427364071598</v>
      </c>
      <c r="Q1481">
        <v>0.11083371952479699</v>
      </c>
      <c r="R1481">
        <v>0.96788569237344002</v>
      </c>
      <c r="S1481" t="s">
        <v>8127</v>
      </c>
      <c r="T1481" t="s">
        <v>13290</v>
      </c>
      <c r="U1481" t="s">
        <v>13290</v>
      </c>
      <c r="V1481" t="s">
        <v>13290</v>
      </c>
      <c r="W1481" t="s">
        <v>14743</v>
      </c>
      <c r="X1481">
        <v>48</v>
      </c>
      <c r="Y1481" t="s">
        <v>21319</v>
      </c>
      <c r="Z1481" t="s">
        <v>27811</v>
      </c>
      <c r="AA1481">
        <v>0.61068001154793494</v>
      </c>
      <c r="AB1481" t="str">
        <f>HYPERLINK("Melting_Curves/meltCurve_O43143_DHX15.pdf", "Melting_Curves/meltCurve_O43143_DHX15.pdf")</f>
        <v>Melting_Curves/meltCurve_O43143_DHX15.pdf</v>
      </c>
    </row>
    <row r="1482" spans="1:28" x14ac:dyDescent="0.25">
      <c r="A1482" t="s">
        <v>1486</v>
      </c>
      <c r="B1482">
        <v>0.99252571173614901</v>
      </c>
      <c r="C1482">
        <v>0.955842252522628</v>
      </c>
      <c r="D1482">
        <v>0.93801116345615598</v>
      </c>
      <c r="E1482">
        <v>0.87533991672968703</v>
      </c>
      <c r="F1482">
        <v>0.70978377446387098</v>
      </c>
      <c r="G1482">
        <v>0.42084455856202202</v>
      </c>
      <c r="H1482">
        <v>0.14862799582880201</v>
      </c>
      <c r="I1482">
        <v>0.10015734780708201</v>
      </c>
      <c r="J1482">
        <v>0.124535096935409</v>
      </c>
      <c r="K1482">
        <v>0.120469235676141</v>
      </c>
      <c r="L1482">
        <v>1106.0311045639801</v>
      </c>
      <c r="M1482">
        <v>20.109701619935301</v>
      </c>
      <c r="N1482">
        <v>55.469235854889398</v>
      </c>
      <c r="O1482">
        <v>54.464663196040597</v>
      </c>
      <c r="P1482">
        <v>-8.5087312001720594E-2</v>
      </c>
      <c r="Q1482">
        <v>7.8235118676692805E-2</v>
      </c>
      <c r="R1482">
        <v>0.99264282151799699</v>
      </c>
      <c r="S1482" t="s">
        <v>8128</v>
      </c>
      <c r="T1482" t="s">
        <v>13290</v>
      </c>
      <c r="U1482" t="s">
        <v>13290</v>
      </c>
      <c r="V1482" t="s">
        <v>13290</v>
      </c>
      <c r="W1482" t="s">
        <v>14744</v>
      </c>
      <c r="X1482">
        <v>21</v>
      </c>
      <c r="Y1482" t="s">
        <v>21320</v>
      </c>
      <c r="Z1482" t="s">
        <v>27812</v>
      </c>
      <c r="AA1482">
        <v>0.55128642795475147</v>
      </c>
      <c r="AB1482" t="str">
        <f>HYPERLINK("Melting_Curves/meltCurve_O43148_RNMT.pdf", "Melting_Curves/meltCurve_O43148_RNMT.pdf")</f>
        <v>Melting_Curves/meltCurve_O43148_RNMT.pdf</v>
      </c>
    </row>
    <row r="1483" spans="1:28" x14ac:dyDescent="0.25">
      <c r="A1483" t="s">
        <v>1487</v>
      </c>
      <c r="B1483">
        <v>0.99252571173614901</v>
      </c>
      <c r="C1483">
        <v>0.95000126326230205</v>
      </c>
      <c r="D1483">
        <v>1.20770095161206</v>
      </c>
      <c r="E1483">
        <v>0.90065763596660298</v>
      </c>
      <c r="F1483">
        <v>0.37983534699004301</v>
      </c>
      <c r="G1483">
        <v>0.31757503337924597</v>
      </c>
      <c r="H1483">
        <v>0.16106331023072701</v>
      </c>
      <c r="I1483">
        <v>0.154984770379273</v>
      </c>
      <c r="J1483">
        <v>8.9954554822315805E-2</v>
      </c>
      <c r="K1483">
        <v>6.0622782527275001E-2</v>
      </c>
      <c r="L1483">
        <v>1858.43352607208</v>
      </c>
      <c r="M1483">
        <v>35.622298018687403</v>
      </c>
      <c r="N1483">
        <v>52.654527987032601</v>
      </c>
      <c r="O1483">
        <v>52.006920357386598</v>
      </c>
      <c r="P1483">
        <v>-0.14732955963391101</v>
      </c>
      <c r="Q1483">
        <v>0.13962528350939499</v>
      </c>
      <c r="R1483">
        <v>0.95517236830769603</v>
      </c>
      <c r="S1483" t="s">
        <v>8129</v>
      </c>
      <c r="T1483" t="s">
        <v>13290</v>
      </c>
      <c r="U1483" t="s">
        <v>13290</v>
      </c>
      <c r="V1483" t="s">
        <v>13290</v>
      </c>
      <c r="W1483" t="s">
        <v>14745</v>
      </c>
      <c r="X1483">
        <v>1</v>
      </c>
      <c r="Y1483" t="s">
        <v>21321</v>
      </c>
      <c r="Z1483" t="s">
        <v>27813</v>
      </c>
      <c r="AA1483">
        <v>0.4925787466703016</v>
      </c>
      <c r="AB1483" t="str">
        <f>HYPERLINK("Melting_Curves/meltCurve_O43149_ZZEF1.pdf", "Melting_Curves/meltCurve_O43149_ZZEF1.pdf")</f>
        <v>Melting_Curves/meltCurve_O43149_ZZEF1.pdf</v>
      </c>
    </row>
    <row r="1484" spans="1:28" x14ac:dyDescent="0.25">
      <c r="A1484" t="s">
        <v>1488</v>
      </c>
      <c r="B1484">
        <v>0.99252571173614901</v>
      </c>
      <c r="C1484">
        <v>1.04474265645829</v>
      </c>
      <c r="D1484">
        <v>0.96705771070243796</v>
      </c>
      <c r="E1484">
        <v>0.571371803462704</v>
      </c>
      <c r="F1484">
        <v>0.170017746189635</v>
      </c>
      <c r="G1484">
        <v>0.105878172926619</v>
      </c>
      <c r="H1484">
        <v>8.4122301995013596E-2</v>
      </c>
      <c r="I1484">
        <v>9.2472317477939894E-2</v>
      </c>
      <c r="J1484">
        <v>0.123710568119521</v>
      </c>
      <c r="K1484">
        <v>0.11806563216806799</v>
      </c>
      <c r="L1484">
        <v>1990.8339224240799</v>
      </c>
      <c r="M1484">
        <v>40.044903722577502</v>
      </c>
      <c r="N1484">
        <v>50.007273509138301</v>
      </c>
      <c r="O1484">
        <v>49.591552401766002</v>
      </c>
      <c r="P1484">
        <v>-0.18081349649645601</v>
      </c>
      <c r="Q1484">
        <v>0.104325309448033</v>
      </c>
      <c r="R1484">
        <v>0.997883462623678</v>
      </c>
      <c r="S1484" t="s">
        <v>8130</v>
      </c>
      <c r="T1484" t="s">
        <v>13290</v>
      </c>
      <c r="U1484" t="s">
        <v>13290</v>
      </c>
      <c r="V1484" t="s">
        <v>13290</v>
      </c>
      <c r="W1484" t="s">
        <v>14746</v>
      </c>
      <c r="X1484">
        <v>1</v>
      </c>
      <c r="Y1484" t="s">
        <v>21322</v>
      </c>
      <c r="Z1484" t="s">
        <v>27814</v>
      </c>
      <c r="AA1484">
        <v>0.39744829140375382</v>
      </c>
      <c r="AB1484" t="str">
        <f>HYPERLINK("Melting_Curves/meltCurve_O43150_2_ASAP2.pdf", "Melting_Curves/meltCurve_O43150_2_ASAP2.pdf")</f>
        <v>Melting_Curves/meltCurve_O43150_2_ASAP2.pdf</v>
      </c>
    </row>
    <row r="1485" spans="1:28" x14ac:dyDescent="0.25">
      <c r="A1485" t="s">
        <v>1489</v>
      </c>
      <c r="B1485">
        <v>0.99252571173614901</v>
      </c>
      <c r="C1485">
        <v>0.93201219100367305</v>
      </c>
      <c r="D1485">
        <v>0.68836590763731698</v>
      </c>
      <c r="E1485">
        <v>0.20650500510186601</v>
      </c>
      <c r="F1485">
        <v>0.122782371330337</v>
      </c>
      <c r="G1485">
        <v>7.1276255357395304E-2</v>
      </c>
      <c r="H1485">
        <v>4.11233220049394E-2</v>
      </c>
      <c r="I1485">
        <v>3.9288134987101597E-2</v>
      </c>
      <c r="J1485">
        <v>2.31741009097245E-2</v>
      </c>
      <c r="K1485">
        <v>6.83035013839572E-3</v>
      </c>
      <c r="L1485">
        <v>1299.00780852452</v>
      </c>
      <c r="M1485">
        <v>27.564073238636599</v>
      </c>
      <c r="N1485">
        <v>47.265907992100203</v>
      </c>
      <c r="O1485">
        <v>46.880888857273597</v>
      </c>
      <c r="P1485">
        <v>-0.141266234077041</v>
      </c>
      <c r="Q1485">
        <v>3.8948044860985402E-2</v>
      </c>
      <c r="R1485">
        <v>0.99665910126537705</v>
      </c>
      <c r="S1485" t="s">
        <v>8131</v>
      </c>
      <c r="T1485" t="s">
        <v>13290</v>
      </c>
      <c r="U1485" t="s">
        <v>13290</v>
      </c>
      <c r="V1485" t="s">
        <v>13290</v>
      </c>
      <c r="W1485" t="s">
        <v>14747</v>
      </c>
      <c r="X1485">
        <v>5</v>
      </c>
      <c r="Y1485" t="s">
        <v>21323</v>
      </c>
      <c r="Z1485" t="s">
        <v>27815</v>
      </c>
      <c r="AA1485">
        <v>0.27417466662326451</v>
      </c>
      <c r="AB1485" t="str">
        <f>HYPERLINK("Melting_Curves/meltCurve_O43156_TTI1.pdf", "Melting_Curves/meltCurve_O43156_TTI1.pdf")</f>
        <v>Melting_Curves/meltCurve_O43156_TTI1.pdf</v>
      </c>
    </row>
    <row r="1486" spans="1:28" x14ac:dyDescent="0.25">
      <c r="A1486" t="s">
        <v>1490</v>
      </c>
      <c r="B1486">
        <v>0.99252571173614901</v>
      </c>
      <c r="C1486">
        <v>0.94130557551054095</v>
      </c>
      <c r="D1486">
        <v>0.88680136446725699</v>
      </c>
      <c r="E1486">
        <v>0.95540391428161897</v>
      </c>
      <c r="F1486">
        <v>0.42922084055302001</v>
      </c>
      <c r="G1486">
        <v>0.186228809131987</v>
      </c>
      <c r="H1486">
        <v>0.16182922934664301</v>
      </c>
      <c r="I1486">
        <v>0.17378011081379599</v>
      </c>
      <c r="J1486">
        <v>0.202574334387355</v>
      </c>
      <c r="K1486">
        <v>0.18064127635671501</v>
      </c>
      <c r="L1486">
        <v>2669.5551724834099</v>
      </c>
      <c r="M1486">
        <v>51.004070218522202</v>
      </c>
      <c r="N1486">
        <v>52.795650432168301</v>
      </c>
      <c r="O1486">
        <v>52.2597682805171</v>
      </c>
      <c r="P1486">
        <v>-0.20055529494129301</v>
      </c>
      <c r="Q1486">
        <v>0.178029129724778</v>
      </c>
      <c r="R1486">
        <v>0.98691884182607803</v>
      </c>
      <c r="S1486" t="s">
        <v>8132</v>
      </c>
      <c r="T1486" t="s">
        <v>13290</v>
      </c>
      <c r="U1486" t="s">
        <v>13290</v>
      </c>
      <c r="V1486" t="s">
        <v>13290</v>
      </c>
      <c r="W1486" t="s">
        <v>14748</v>
      </c>
      <c r="X1486">
        <v>16</v>
      </c>
      <c r="Y1486" t="s">
        <v>21324</v>
      </c>
      <c r="Z1486" t="s">
        <v>27816</v>
      </c>
      <c r="AA1486">
        <v>0.51795749766942856</v>
      </c>
      <c r="AB1486" t="str">
        <f>HYPERLINK("Melting_Curves/meltCurve_O43157_2_PLXNB1.pdf", "Melting_Curves/meltCurve_O43157_2_PLXNB1.pdf")</f>
        <v>Melting_Curves/meltCurve_O43157_2_PLXNB1.pdf</v>
      </c>
    </row>
    <row r="1487" spans="1:28" x14ac:dyDescent="0.25">
      <c r="A1487" t="s">
        <v>1491</v>
      </c>
      <c r="B1487">
        <v>0.99252571173614901</v>
      </c>
      <c r="C1487">
        <v>1.0299968326208899</v>
      </c>
      <c r="D1487">
        <v>0.91986257860925802</v>
      </c>
      <c r="E1487">
        <v>0.70773606645494003</v>
      </c>
      <c r="F1487">
        <v>0.59457532185455197</v>
      </c>
      <c r="G1487">
        <v>0.43818821205914299</v>
      </c>
      <c r="H1487">
        <v>0.303345911654191</v>
      </c>
      <c r="I1487">
        <v>0.35248360055907901</v>
      </c>
      <c r="J1487">
        <v>0.44378269904172402</v>
      </c>
      <c r="K1487">
        <v>0.45868951419508702</v>
      </c>
      <c r="L1487">
        <v>1039.2182714375001</v>
      </c>
      <c r="M1487">
        <v>20.6510115082319</v>
      </c>
      <c r="N1487">
        <v>54.281553812333897</v>
      </c>
      <c r="O1487">
        <v>49.858121996596601</v>
      </c>
      <c r="P1487">
        <v>-6.3259016255849093E-2</v>
      </c>
      <c r="Q1487">
        <v>0.38910782715290898</v>
      </c>
      <c r="R1487">
        <v>0.96106393223766895</v>
      </c>
      <c r="S1487" t="s">
        <v>8133</v>
      </c>
      <c r="T1487" t="s">
        <v>13290</v>
      </c>
      <c r="U1487" t="s">
        <v>13290</v>
      </c>
      <c r="V1487" t="s">
        <v>13290</v>
      </c>
      <c r="W1487" t="s">
        <v>14749</v>
      </c>
      <c r="X1487">
        <v>1</v>
      </c>
      <c r="Y1487" t="s">
        <v>21325</v>
      </c>
      <c r="Z1487" t="s">
        <v>27817</v>
      </c>
      <c r="AA1487">
        <v>0.60729853714639215</v>
      </c>
      <c r="AB1487" t="str">
        <f>HYPERLINK("Melting_Curves/meltCurve_O43164_2_PJA2.pdf", "Melting_Curves/meltCurve_O43164_2_PJA2.pdf")</f>
        <v>Melting_Curves/meltCurve_O43164_2_PJA2.pdf</v>
      </c>
    </row>
    <row r="1488" spans="1:28" x14ac:dyDescent="0.25">
      <c r="A1488" t="s">
        <v>1492</v>
      </c>
      <c r="B1488">
        <v>0.99252571173614901</v>
      </c>
      <c r="C1488">
        <v>1.01875012128153</v>
      </c>
      <c r="D1488">
        <v>1.27477225655821</v>
      </c>
      <c r="E1488">
        <v>0.885639741586707</v>
      </c>
      <c r="F1488">
        <v>0.47973113052009497</v>
      </c>
      <c r="G1488">
        <v>0.29636959038257399</v>
      </c>
      <c r="H1488">
        <v>0.21802385158051399</v>
      </c>
      <c r="I1488">
        <v>0.21095218722435999</v>
      </c>
      <c r="J1488">
        <v>0.22448007617638799</v>
      </c>
      <c r="K1488">
        <v>0.22350032069803</v>
      </c>
      <c r="L1488">
        <v>1979.21479656359</v>
      </c>
      <c r="M1488">
        <v>37.900274139849103</v>
      </c>
      <c r="N1488">
        <v>53.062744812837202</v>
      </c>
      <c r="O1488">
        <v>52.076911655665</v>
      </c>
      <c r="P1488">
        <v>-0.14086095007097299</v>
      </c>
      <c r="Q1488">
        <v>0.22580162329383999</v>
      </c>
      <c r="R1488">
        <v>0.94798775707669103</v>
      </c>
      <c r="S1488" t="s">
        <v>8134</v>
      </c>
      <c r="T1488" t="s">
        <v>13290</v>
      </c>
      <c r="U1488" t="s">
        <v>13290</v>
      </c>
      <c r="V1488" t="s">
        <v>13290</v>
      </c>
      <c r="W1488" t="s">
        <v>14750</v>
      </c>
      <c r="X1488">
        <v>9</v>
      </c>
      <c r="Y1488" t="s">
        <v>21326</v>
      </c>
      <c r="Z1488" t="s">
        <v>27818</v>
      </c>
      <c r="AA1488">
        <v>0.54431353545021399</v>
      </c>
      <c r="AB1488" t="str">
        <f>HYPERLINK("Melting_Curves/meltCurve_O43172_2_PRPF4.pdf", "Melting_Curves/meltCurve_O43172_2_PRPF4.pdf")</f>
        <v>Melting_Curves/meltCurve_O43172_2_PRPF4.pdf</v>
      </c>
    </row>
    <row r="1489" spans="1:28" x14ac:dyDescent="0.25">
      <c r="A1489" t="s">
        <v>1493</v>
      </c>
      <c r="B1489">
        <v>0.99252571173614901</v>
      </c>
      <c r="C1489">
        <v>1.1068629164299499</v>
      </c>
      <c r="D1489">
        <v>0.90577691774026703</v>
      </c>
      <c r="E1489">
        <v>1.27204143500637</v>
      </c>
      <c r="F1489">
        <v>0.84746613628506495</v>
      </c>
      <c r="G1489">
        <v>0.75303975304475002</v>
      </c>
      <c r="H1489">
        <v>0.25882335495222902</v>
      </c>
      <c r="I1489">
        <v>7.4876801389562694E-2</v>
      </c>
      <c r="J1489">
        <v>6.9021795713516104E-2</v>
      </c>
      <c r="K1489">
        <v>6.6699556583843203E-2</v>
      </c>
      <c r="L1489">
        <v>1848.0831790888401</v>
      </c>
      <c r="M1489">
        <v>31.623606721011701</v>
      </c>
      <c r="N1489">
        <v>58.615167703912498</v>
      </c>
      <c r="O1489">
        <v>58.207787495144899</v>
      </c>
      <c r="P1489">
        <v>-0.12969834452755799</v>
      </c>
      <c r="Q1489">
        <v>4.5091385323721603E-2</v>
      </c>
      <c r="R1489">
        <v>0.94437821671713695</v>
      </c>
      <c r="S1489" t="s">
        <v>8135</v>
      </c>
      <c r="T1489" t="s">
        <v>13290</v>
      </c>
      <c r="U1489" t="s">
        <v>13290</v>
      </c>
      <c r="V1489" t="s">
        <v>13290</v>
      </c>
      <c r="W1489" t="s">
        <v>14751</v>
      </c>
      <c r="X1489">
        <v>35</v>
      </c>
      <c r="Y1489" t="s">
        <v>21327</v>
      </c>
      <c r="Z1489" t="s">
        <v>27819</v>
      </c>
      <c r="AA1489">
        <v>0.63775508948928461</v>
      </c>
      <c r="AB1489" t="str">
        <f>HYPERLINK("Melting_Curves/meltCurve_O43175_PHGDH.pdf", "Melting_Curves/meltCurve_O43175_PHGDH.pdf")</f>
        <v>Melting_Curves/meltCurve_O43175_PHGDH.pdf</v>
      </c>
    </row>
    <row r="1490" spans="1:28" x14ac:dyDescent="0.25">
      <c r="A1490" t="s">
        <v>1494</v>
      </c>
      <c r="B1490">
        <v>0.99252571173614901</v>
      </c>
      <c r="C1490">
        <v>1.05809946324841</v>
      </c>
      <c r="D1490">
        <v>1.03769251192607</v>
      </c>
      <c r="E1490">
        <v>1.10646241194217</v>
      </c>
      <c r="F1490">
        <v>1.0712727091499901</v>
      </c>
      <c r="G1490">
        <v>0.99584720212012401</v>
      </c>
      <c r="H1490">
        <v>1.0455294710754199</v>
      </c>
      <c r="I1490">
        <v>1.3213666879223001</v>
      </c>
      <c r="J1490">
        <v>2.0547198249313898</v>
      </c>
      <c r="K1490">
        <v>2.3679957907486102</v>
      </c>
      <c r="L1490">
        <v>15000</v>
      </c>
      <c r="M1490">
        <v>234.96249326404799</v>
      </c>
      <c r="O1490">
        <v>63.835351407447398</v>
      </c>
      <c r="P1490">
        <v>0.46009477620217099</v>
      </c>
      <c r="Q1490">
        <v>1.5</v>
      </c>
      <c r="R1490">
        <v>0.50236797677303302</v>
      </c>
      <c r="S1490" t="s">
        <v>8136</v>
      </c>
      <c r="T1490" t="s">
        <v>13290</v>
      </c>
      <c r="U1490" t="s">
        <v>13290</v>
      </c>
      <c r="V1490" t="s">
        <v>13290</v>
      </c>
      <c r="W1490" t="s">
        <v>14752</v>
      </c>
      <c r="X1490">
        <v>6</v>
      </c>
      <c r="Y1490" t="s">
        <v>21328</v>
      </c>
      <c r="Z1490" t="s">
        <v>27820</v>
      </c>
      <c r="AA1490">
        <v>1.1026036409836559</v>
      </c>
      <c r="AB1490" t="str">
        <f>HYPERLINK("Melting_Curves/meltCurve_O43181_NDUFS4.pdf", "Melting_Curves/meltCurve_O43181_NDUFS4.pdf")</f>
        <v>Melting_Curves/meltCurve_O43181_NDUFS4.pdf</v>
      </c>
    </row>
    <row r="1491" spans="1:28" x14ac:dyDescent="0.25">
      <c r="A1491" t="s">
        <v>1495</v>
      </c>
      <c r="B1491">
        <v>0.99252571173614901</v>
      </c>
      <c r="C1491">
        <v>0.80449588011807105</v>
      </c>
      <c r="D1491">
        <v>1.39818944297181</v>
      </c>
      <c r="E1491">
        <v>1.58784885375244</v>
      </c>
      <c r="F1491">
        <v>0.48752907757184999</v>
      </c>
      <c r="G1491">
        <v>0.19914748518918399</v>
      </c>
      <c r="H1491">
        <v>0.14281823210049499</v>
      </c>
      <c r="I1491">
        <v>0.146306347839711</v>
      </c>
      <c r="J1491">
        <v>0.14633080047470601</v>
      </c>
      <c r="K1491">
        <v>0.163156918803221</v>
      </c>
      <c r="L1491">
        <v>13276.2568559969</v>
      </c>
      <c r="M1491">
        <v>250</v>
      </c>
      <c r="N1491">
        <v>53.186799648702198</v>
      </c>
      <c r="O1491">
        <v>53.101629771558102</v>
      </c>
      <c r="P1491">
        <v>-0.98919760416119296</v>
      </c>
      <c r="Q1491">
        <v>0.15955193317898</v>
      </c>
      <c r="R1491">
        <v>0.80502383436857305</v>
      </c>
      <c r="S1491" t="s">
        <v>8137</v>
      </c>
      <c r="T1491" t="s">
        <v>13290</v>
      </c>
      <c r="U1491" t="s">
        <v>13290</v>
      </c>
      <c r="V1491" t="s">
        <v>13290</v>
      </c>
      <c r="W1491" t="s">
        <v>14753</v>
      </c>
      <c r="X1491">
        <v>13</v>
      </c>
      <c r="Y1491" t="s">
        <v>21329</v>
      </c>
      <c r="Z1491" t="s">
        <v>27821</v>
      </c>
      <c r="AA1491">
        <v>0.52676676047953286</v>
      </c>
      <c r="AB1491" t="str">
        <f>HYPERLINK("Melting_Curves/meltCurve_O43237_DYNC1LI2.pdf", "Melting_Curves/meltCurve_O43237_DYNC1LI2.pdf")</f>
        <v>Melting_Curves/meltCurve_O43237_DYNC1LI2.pdf</v>
      </c>
    </row>
    <row r="1492" spans="1:28" x14ac:dyDescent="0.25">
      <c r="A1492" t="s">
        <v>1496</v>
      </c>
      <c r="B1492">
        <v>0.99252571173614901</v>
      </c>
      <c r="C1492">
        <v>0.85078351146872799</v>
      </c>
      <c r="D1492">
        <v>1.11449006763004</v>
      </c>
      <c r="E1492">
        <v>0.845148416524519</v>
      </c>
      <c r="F1492">
        <v>0.66525324566501998</v>
      </c>
      <c r="G1492">
        <v>0.25926087535678299</v>
      </c>
      <c r="H1492">
        <v>0.108872591632658</v>
      </c>
      <c r="I1492">
        <v>0.10267763325865201</v>
      </c>
      <c r="J1492">
        <v>0.12625826488591599</v>
      </c>
      <c r="K1492">
        <v>0.116393900924103</v>
      </c>
      <c r="L1492">
        <v>1477.62046646163</v>
      </c>
      <c r="M1492">
        <v>27.420671484523499</v>
      </c>
      <c r="N1492">
        <v>54.323806515199003</v>
      </c>
      <c r="O1492">
        <v>53.602941365427</v>
      </c>
      <c r="P1492">
        <v>-0.115239001494178</v>
      </c>
      <c r="Q1492">
        <v>9.89145590242375E-2</v>
      </c>
      <c r="R1492">
        <v>0.96986474574121595</v>
      </c>
      <c r="S1492" t="s">
        <v>8138</v>
      </c>
      <c r="T1492" t="s">
        <v>13290</v>
      </c>
      <c r="U1492" t="s">
        <v>13290</v>
      </c>
      <c r="V1492" t="s">
        <v>13290</v>
      </c>
      <c r="W1492" t="s">
        <v>14754</v>
      </c>
      <c r="X1492">
        <v>25</v>
      </c>
      <c r="Y1492" t="s">
        <v>21330</v>
      </c>
      <c r="Z1492" t="s">
        <v>27822</v>
      </c>
      <c r="AA1492">
        <v>0.52304946496831861</v>
      </c>
      <c r="AB1492" t="str">
        <f>HYPERLINK("Melting_Curves/meltCurve_O43242_PSMD3.pdf", "Melting_Curves/meltCurve_O43242_PSMD3.pdf")</f>
        <v>Melting_Curves/meltCurve_O43242_PSMD3.pdf</v>
      </c>
    </row>
    <row r="1493" spans="1:28" x14ac:dyDescent="0.25">
      <c r="A1493" t="s">
        <v>1497</v>
      </c>
      <c r="B1493">
        <v>0.99252571173614901</v>
      </c>
      <c r="C1493">
        <v>0.97698597898444295</v>
      </c>
      <c r="D1493">
        <v>0.92499371999314195</v>
      </c>
      <c r="E1493">
        <v>0.707089103275377</v>
      </c>
      <c r="F1493">
        <v>0.48313447371215001</v>
      </c>
      <c r="G1493">
        <v>0.31845035082357698</v>
      </c>
      <c r="H1493">
        <v>0.27071977622131499</v>
      </c>
      <c r="I1493">
        <v>0.32281914564724601</v>
      </c>
      <c r="J1493">
        <v>0.471498295414429</v>
      </c>
      <c r="K1493">
        <v>0.70288493735129098</v>
      </c>
      <c r="L1493">
        <v>1623.9930560584501</v>
      </c>
      <c r="M1493">
        <v>32.843111751504402</v>
      </c>
      <c r="N1493">
        <v>52.342312277904803</v>
      </c>
      <c r="O1493">
        <v>49.264753305755903</v>
      </c>
      <c r="P1493">
        <v>-9.6879999365860794E-2</v>
      </c>
      <c r="Q1493">
        <v>0.41872163042591798</v>
      </c>
      <c r="R1493">
        <v>0.82060391141146305</v>
      </c>
      <c r="S1493" t="s">
        <v>8139</v>
      </c>
      <c r="T1493" t="s">
        <v>13290</v>
      </c>
      <c r="U1493" t="s">
        <v>13290</v>
      </c>
      <c r="V1493" t="s">
        <v>13290</v>
      </c>
      <c r="W1493" t="s">
        <v>14755</v>
      </c>
      <c r="X1493">
        <v>2</v>
      </c>
      <c r="Y1493" t="s">
        <v>21331</v>
      </c>
      <c r="Z1493" t="s">
        <v>27823</v>
      </c>
      <c r="AA1493">
        <v>0.60473029820858326</v>
      </c>
      <c r="AB1493" t="str">
        <f>HYPERLINK("Melting_Curves/meltCurve_O43251_6_RBFOX2.pdf", "Melting_Curves/meltCurve_O43251_6_RBFOX2.pdf")</f>
        <v>Melting_Curves/meltCurve_O43251_6_RBFOX2.pdf</v>
      </c>
    </row>
    <row r="1494" spans="1:28" x14ac:dyDescent="0.25">
      <c r="A1494" t="s">
        <v>1498</v>
      </c>
      <c r="B1494">
        <v>0.99252571173614901</v>
      </c>
      <c r="C1494">
        <v>0.99380312339596599</v>
      </c>
      <c r="D1494">
        <v>1.0183241839894199</v>
      </c>
      <c r="E1494">
        <v>0.95273634525606898</v>
      </c>
      <c r="F1494">
        <v>0.84776185816778404</v>
      </c>
      <c r="G1494">
        <v>0.23750822413567299</v>
      </c>
      <c r="H1494">
        <v>0.10105920636839801</v>
      </c>
      <c r="I1494">
        <v>9.6448237859574598E-2</v>
      </c>
      <c r="J1494">
        <v>9.9378031980458803E-2</v>
      </c>
      <c r="K1494">
        <v>8.87652308587219E-2</v>
      </c>
      <c r="L1494">
        <v>2710.9381668584601</v>
      </c>
      <c r="M1494">
        <v>49.383238805961199</v>
      </c>
      <c r="N1494">
        <v>55.128470004496897</v>
      </c>
      <c r="O1494">
        <v>54.806122820259297</v>
      </c>
      <c r="P1494">
        <v>-0.204083041191161</v>
      </c>
      <c r="Q1494">
        <v>9.4025411749547802E-2</v>
      </c>
      <c r="R1494">
        <v>0.99869756013430799</v>
      </c>
      <c r="S1494" t="s">
        <v>8140</v>
      </c>
      <c r="T1494" t="s">
        <v>13290</v>
      </c>
      <c r="U1494" t="s">
        <v>13290</v>
      </c>
      <c r="V1494" t="s">
        <v>13290</v>
      </c>
      <c r="W1494" t="s">
        <v>14756</v>
      </c>
      <c r="X1494">
        <v>24</v>
      </c>
      <c r="Y1494" t="s">
        <v>21332</v>
      </c>
      <c r="Z1494" t="s">
        <v>27824</v>
      </c>
      <c r="AA1494">
        <v>0.54611738319150327</v>
      </c>
      <c r="AB1494" t="str">
        <f>HYPERLINK("Melting_Curves/meltCurve_O43252_PAPSS1.pdf", "Melting_Curves/meltCurve_O43252_PAPSS1.pdf")</f>
        <v>Melting_Curves/meltCurve_O43252_PAPSS1.pdf</v>
      </c>
    </row>
    <row r="1495" spans="1:28" x14ac:dyDescent="0.25">
      <c r="A1495" t="s">
        <v>1499</v>
      </c>
      <c r="B1495">
        <v>0.99252571173614901</v>
      </c>
      <c r="C1495">
        <v>0.81663810564121497</v>
      </c>
      <c r="D1495">
        <v>0.754568454684995</v>
      </c>
      <c r="E1495">
        <v>0.34682797360015699</v>
      </c>
      <c r="F1495">
        <v>0.174055399716223</v>
      </c>
      <c r="G1495">
        <v>6.7786192871988102E-2</v>
      </c>
      <c r="H1495">
        <v>5.1596292089278899E-2</v>
      </c>
      <c r="I1495">
        <v>5.5021667878702198E-2</v>
      </c>
      <c r="J1495">
        <v>5.8160998132195399E-2</v>
      </c>
      <c r="K1495">
        <v>5.1595534640626703E-2</v>
      </c>
      <c r="L1495">
        <v>889.71126906841403</v>
      </c>
      <c r="M1495">
        <v>18.583521761066699</v>
      </c>
      <c r="N1495">
        <v>48.093691470875498</v>
      </c>
      <c r="O1495">
        <v>47.332301049509198</v>
      </c>
      <c r="P1495">
        <v>-9.4205371144172004E-2</v>
      </c>
      <c r="Q1495">
        <v>4.0276085243540601E-2</v>
      </c>
      <c r="R1495">
        <v>0.99014178675823905</v>
      </c>
      <c r="S1495" t="s">
        <v>8141</v>
      </c>
      <c r="T1495" t="s">
        <v>13290</v>
      </c>
      <c r="U1495" t="s">
        <v>13290</v>
      </c>
      <c r="V1495" t="s">
        <v>13290</v>
      </c>
      <c r="W1495" t="s">
        <v>14757</v>
      </c>
      <c r="X1495">
        <v>8</v>
      </c>
      <c r="Y1495" t="s">
        <v>21333</v>
      </c>
      <c r="Z1495" t="s">
        <v>27825</v>
      </c>
      <c r="AA1495">
        <v>0.30823004755158262</v>
      </c>
      <c r="AB1495" t="str">
        <f>HYPERLINK("Melting_Curves/meltCurve_O43264_ZW10.pdf", "Melting_Curves/meltCurve_O43264_ZW10.pdf")</f>
        <v>Melting_Curves/meltCurve_O43264_ZW10.pdf</v>
      </c>
    </row>
    <row r="1496" spans="1:28" x14ac:dyDescent="0.25">
      <c r="A1496" t="s">
        <v>1500</v>
      </c>
      <c r="B1496">
        <v>0.99252571173614901</v>
      </c>
      <c r="C1496">
        <v>1.1537110214981501</v>
      </c>
      <c r="D1496">
        <v>1.0611053696782999</v>
      </c>
      <c r="E1496">
        <v>1.33533646310223</v>
      </c>
      <c r="F1496">
        <v>0.884691311317229</v>
      </c>
      <c r="G1496">
        <v>0.69613340288702197</v>
      </c>
      <c r="H1496">
        <v>0.46812193742638802</v>
      </c>
      <c r="I1496">
        <v>0.48185823816199802</v>
      </c>
      <c r="J1496">
        <v>0.65963026553433302</v>
      </c>
      <c r="K1496">
        <v>0.48479736947561602</v>
      </c>
      <c r="L1496">
        <v>2343.4948784651101</v>
      </c>
      <c r="M1496">
        <v>42.1026793788782</v>
      </c>
      <c r="O1496">
        <v>55.536295369479703</v>
      </c>
      <c r="P1496">
        <v>-9.0211973052669606E-2</v>
      </c>
      <c r="Q1496">
        <v>0.524017975125455</v>
      </c>
      <c r="R1496">
        <v>0.79983291610213603</v>
      </c>
      <c r="S1496" t="s">
        <v>8142</v>
      </c>
      <c r="T1496" t="s">
        <v>13290</v>
      </c>
      <c r="U1496" t="s">
        <v>13290</v>
      </c>
      <c r="V1496" t="s">
        <v>13290</v>
      </c>
      <c r="W1496" t="s">
        <v>14758</v>
      </c>
      <c r="X1496">
        <v>27</v>
      </c>
      <c r="Y1496" t="s">
        <v>20598</v>
      </c>
      <c r="Z1496" t="s">
        <v>27826</v>
      </c>
      <c r="AA1496">
        <v>0.77414877551481898</v>
      </c>
      <c r="AB1496" t="str">
        <f>HYPERLINK("Melting_Curves/meltCurve_O43278_2_SPINT1.pdf", "Melting_Curves/meltCurve_O43278_2_SPINT1.pdf")</f>
        <v>Melting_Curves/meltCurve_O43278_2_SPINT1.pdf</v>
      </c>
    </row>
    <row r="1497" spans="1:28" x14ac:dyDescent="0.25">
      <c r="A1497" t="s">
        <v>1501</v>
      </c>
      <c r="B1497">
        <v>0.99252571173614901</v>
      </c>
      <c r="C1497">
        <v>0.932897377743797</v>
      </c>
      <c r="D1497">
        <v>0.93559390099153195</v>
      </c>
      <c r="E1497">
        <v>0.53008357329201095</v>
      </c>
      <c r="F1497">
        <v>0.201877336359257</v>
      </c>
      <c r="G1497">
        <v>9.8646466098883001E-2</v>
      </c>
      <c r="H1497">
        <v>6.6503649214178798E-2</v>
      </c>
      <c r="I1497">
        <v>8.1347029751460395E-2</v>
      </c>
      <c r="J1497">
        <v>9.6365868493737197E-2</v>
      </c>
      <c r="K1497">
        <v>3.3970246080627299E-2</v>
      </c>
      <c r="L1497">
        <v>1393.6294821623301</v>
      </c>
      <c r="M1497">
        <v>28.070339787651399</v>
      </c>
      <c r="N1497">
        <v>49.913076288817301</v>
      </c>
      <c r="O1497">
        <v>49.397834606499401</v>
      </c>
      <c r="P1497">
        <v>-0.13221811019635599</v>
      </c>
      <c r="Q1497">
        <v>6.9304761706529397E-2</v>
      </c>
      <c r="R1497">
        <v>0.99588210632899599</v>
      </c>
      <c r="S1497" t="s">
        <v>8143</v>
      </c>
      <c r="T1497" t="s">
        <v>13290</v>
      </c>
      <c r="U1497" t="s">
        <v>13290</v>
      </c>
      <c r="V1497" t="s">
        <v>13290</v>
      </c>
      <c r="W1497" t="s">
        <v>14759</v>
      </c>
      <c r="X1497">
        <v>1</v>
      </c>
      <c r="Y1497" t="s">
        <v>21334</v>
      </c>
      <c r="Z1497" t="s">
        <v>27827</v>
      </c>
      <c r="AA1497">
        <v>0.37516116960240181</v>
      </c>
      <c r="AB1497" t="str">
        <f>HYPERLINK("Melting_Curves/meltCurve_O43286_B4GALT5.pdf", "Melting_Curves/meltCurve_O43286_B4GALT5.pdf")</f>
        <v>Melting_Curves/meltCurve_O43286_B4GALT5.pdf</v>
      </c>
    </row>
    <row r="1498" spans="1:28" x14ac:dyDescent="0.25">
      <c r="A1498" t="s">
        <v>1502</v>
      </c>
      <c r="B1498">
        <v>0.99252571173614901</v>
      </c>
      <c r="C1498">
        <v>1.10394309463715</v>
      </c>
      <c r="D1498">
        <v>1.2496214901831499</v>
      </c>
      <c r="E1498">
        <v>1.0964790073391699</v>
      </c>
      <c r="F1498">
        <v>0.81820747348591505</v>
      </c>
      <c r="G1498">
        <v>0.61239426690589505</v>
      </c>
      <c r="H1498">
        <v>0.50688116989010801</v>
      </c>
      <c r="I1498">
        <v>0.67389010058170595</v>
      </c>
      <c r="J1498">
        <v>1.03113127670334</v>
      </c>
      <c r="K1498">
        <v>1.3652838066273101</v>
      </c>
      <c r="L1498">
        <v>4617.3783414134004</v>
      </c>
      <c r="M1498">
        <v>89.216429374343804</v>
      </c>
      <c r="O1498">
        <v>51.7288021884942</v>
      </c>
      <c r="P1498">
        <v>-7.1976729415352297E-2</v>
      </c>
      <c r="Q1498">
        <v>0.83306794995566302</v>
      </c>
      <c r="R1498">
        <v>0.184264828772777</v>
      </c>
      <c r="S1498" t="s">
        <v>8144</v>
      </c>
      <c r="T1498" t="s">
        <v>13290</v>
      </c>
      <c r="U1498" t="s">
        <v>13290</v>
      </c>
      <c r="V1498" t="s">
        <v>13290</v>
      </c>
      <c r="W1498" t="s">
        <v>14760</v>
      </c>
      <c r="X1498">
        <v>41</v>
      </c>
      <c r="Y1498" t="s">
        <v>21335</v>
      </c>
      <c r="Z1498" t="s">
        <v>27828</v>
      </c>
      <c r="AA1498">
        <v>0.89859560920347514</v>
      </c>
      <c r="AB1498" t="str">
        <f>HYPERLINK("Melting_Curves/meltCurve_O43290_SART1.pdf", "Melting_Curves/meltCurve_O43290_SART1.pdf")</f>
        <v>Melting_Curves/meltCurve_O43290_SART1.pdf</v>
      </c>
    </row>
    <row r="1499" spans="1:28" x14ac:dyDescent="0.25">
      <c r="A1499" t="s">
        <v>1503</v>
      </c>
      <c r="B1499">
        <v>0.99252571173614901</v>
      </c>
      <c r="C1499">
        <v>0.87345176683568804</v>
      </c>
      <c r="D1499">
        <v>0.86500721538189296</v>
      </c>
      <c r="E1499">
        <v>0.91768582622783201</v>
      </c>
      <c r="F1499">
        <v>0.51214796485359804</v>
      </c>
      <c r="G1499">
        <v>0.34519478092206901</v>
      </c>
      <c r="H1499">
        <v>0.22306349073318499</v>
      </c>
      <c r="I1499">
        <v>0.24757404329469301</v>
      </c>
      <c r="J1499">
        <v>0.33958807366591998</v>
      </c>
      <c r="K1499">
        <v>0.28840003115770801</v>
      </c>
      <c r="L1499">
        <v>1724.87223772214</v>
      </c>
      <c r="M1499">
        <v>33.068750345866903</v>
      </c>
      <c r="N1499">
        <v>53.462527636107197</v>
      </c>
      <c r="O1499">
        <v>51.9705635561767</v>
      </c>
      <c r="P1499">
        <v>-0.11507832890391401</v>
      </c>
      <c r="Q1499">
        <v>0.27657894537614702</v>
      </c>
      <c r="R1499">
        <v>0.95266590170721099</v>
      </c>
      <c r="S1499" t="s">
        <v>8145</v>
      </c>
      <c r="T1499" t="s">
        <v>13290</v>
      </c>
      <c r="U1499" t="s">
        <v>13290</v>
      </c>
      <c r="V1499" t="s">
        <v>13290</v>
      </c>
      <c r="W1499" t="s">
        <v>14761</v>
      </c>
      <c r="X1499">
        <v>7</v>
      </c>
      <c r="Y1499" t="s">
        <v>21336</v>
      </c>
      <c r="Z1499" t="s">
        <v>27829</v>
      </c>
      <c r="AA1499">
        <v>0.57362795594650962</v>
      </c>
      <c r="AB1499" t="str">
        <f>HYPERLINK("Melting_Curves/meltCurve_O43291_SPINT2.pdf", "Melting_Curves/meltCurve_O43291_SPINT2.pdf")</f>
        <v>Melting_Curves/meltCurve_O43291_SPINT2.pdf</v>
      </c>
    </row>
    <row r="1500" spans="1:28" x14ac:dyDescent="0.25">
      <c r="A1500" t="s">
        <v>1504</v>
      </c>
      <c r="B1500">
        <v>0.99252571173614901</v>
      </c>
      <c r="C1500">
        <v>0.86786909872512796</v>
      </c>
      <c r="D1500">
        <v>0.960914791395999</v>
      </c>
      <c r="E1500">
        <v>0.90691161316388502</v>
      </c>
      <c r="F1500">
        <v>0.31390442102302801</v>
      </c>
      <c r="G1500">
        <v>0.14780187053312499</v>
      </c>
      <c r="H1500">
        <v>0.100271173739302</v>
      </c>
      <c r="I1500">
        <v>6.8296554249564004E-2</v>
      </c>
      <c r="J1500">
        <v>9.5361983607478301E-2</v>
      </c>
      <c r="K1500">
        <v>6.9005634156643805E-2</v>
      </c>
      <c r="L1500">
        <v>2291.5424121390201</v>
      </c>
      <c r="M1500">
        <v>44.144411385218099</v>
      </c>
      <c r="N1500">
        <v>52.146132626433499</v>
      </c>
      <c r="O1500">
        <v>51.803947816340703</v>
      </c>
      <c r="P1500">
        <v>-0.19374675564382601</v>
      </c>
      <c r="Q1500">
        <v>9.0545558257946093E-2</v>
      </c>
      <c r="R1500">
        <v>0.98650537541469796</v>
      </c>
      <c r="S1500" t="s">
        <v>8146</v>
      </c>
      <c r="T1500" t="s">
        <v>13290</v>
      </c>
      <c r="U1500" t="s">
        <v>13290</v>
      </c>
      <c r="V1500" t="s">
        <v>13290</v>
      </c>
      <c r="W1500" t="s">
        <v>14762</v>
      </c>
      <c r="X1500">
        <v>4</v>
      </c>
      <c r="Y1500" t="s">
        <v>21337</v>
      </c>
      <c r="Z1500" t="s">
        <v>27830</v>
      </c>
      <c r="AA1500">
        <v>0.45427820131172392</v>
      </c>
      <c r="AB1500" t="str">
        <f>HYPERLINK("Melting_Curves/meltCurve_O43292_GPAA1.pdf", "Melting_Curves/meltCurve_O43292_GPAA1.pdf")</f>
        <v>Melting_Curves/meltCurve_O43292_GPAA1.pdf</v>
      </c>
    </row>
    <row r="1501" spans="1:28" x14ac:dyDescent="0.25">
      <c r="A1501" t="s">
        <v>1505</v>
      </c>
      <c r="B1501">
        <v>0.99252571173614901</v>
      </c>
      <c r="C1501">
        <v>0.89407650582751597</v>
      </c>
      <c r="D1501">
        <v>0.64816193566519997</v>
      </c>
      <c r="E1501">
        <v>0.52167509127786005</v>
      </c>
      <c r="F1501">
        <v>0.28207773793945101</v>
      </c>
      <c r="G1501">
        <v>0.22282057853037401</v>
      </c>
      <c r="H1501">
        <v>0.14642928235515301</v>
      </c>
      <c r="I1501">
        <v>0.13047228539723499</v>
      </c>
      <c r="J1501">
        <v>0.14801109461513201</v>
      </c>
      <c r="K1501">
        <v>0.16568743363954999</v>
      </c>
      <c r="L1501">
        <v>708.72699731766602</v>
      </c>
      <c r="M1501">
        <v>14.732848532401899</v>
      </c>
      <c r="N1501">
        <v>49.109432473063997</v>
      </c>
      <c r="O1501">
        <v>47.245036115248297</v>
      </c>
      <c r="P1501">
        <v>-6.7827937120529896E-2</v>
      </c>
      <c r="Q1501">
        <v>0.13005682765193199</v>
      </c>
      <c r="R1501">
        <v>0.98996356711386602</v>
      </c>
      <c r="S1501" t="s">
        <v>8147</v>
      </c>
      <c r="T1501" t="s">
        <v>13290</v>
      </c>
      <c r="U1501" t="s">
        <v>13290</v>
      </c>
      <c r="V1501" t="s">
        <v>13290</v>
      </c>
      <c r="W1501" t="s">
        <v>14763</v>
      </c>
      <c r="X1501">
        <v>1</v>
      </c>
      <c r="Y1501" t="s">
        <v>21338</v>
      </c>
      <c r="Z1501" t="s">
        <v>27831</v>
      </c>
      <c r="AA1501">
        <v>0.3881700250598964</v>
      </c>
      <c r="AB1501" t="str">
        <f>HYPERLINK("Melting_Curves/meltCurve_O43293_DAPK3.pdf", "Melting_Curves/meltCurve_O43293_DAPK3.pdf")</f>
        <v>Melting_Curves/meltCurve_O43293_DAPK3.pdf</v>
      </c>
    </row>
    <row r="1502" spans="1:28" x14ac:dyDescent="0.25">
      <c r="A1502" t="s">
        <v>1506</v>
      </c>
      <c r="B1502">
        <v>0.99252571173614901</v>
      </c>
      <c r="C1502">
        <v>0.90901995308863204</v>
      </c>
      <c r="D1502">
        <v>0.89765156139426205</v>
      </c>
      <c r="E1502">
        <v>1.0235277334297599</v>
      </c>
      <c r="F1502">
        <v>0.81997224217644704</v>
      </c>
      <c r="G1502">
        <v>0.51506167145698101</v>
      </c>
      <c r="H1502">
        <v>0.315972105865163</v>
      </c>
      <c r="I1502">
        <v>0.28105428049976799</v>
      </c>
      <c r="J1502">
        <v>0.48211112450037003</v>
      </c>
      <c r="K1502">
        <v>0.14436335331985301</v>
      </c>
      <c r="L1502">
        <v>1689.2161408219099</v>
      </c>
      <c r="M1502">
        <v>30.5828876038691</v>
      </c>
      <c r="N1502">
        <v>56.877388401744099</v>
      </c>
      <c r="O1502">
        <v>54.999484086849499</v>
      </c>
      <c r="P1502">
        <v>-9.8233850557775296E-2</v>
      </c>
      <c r="Q1502">
        <v>0.29335927153653102</v>
      </c>
      <c r="R1502">
        <v>0.918391638062515</v>
      </c>
      <c r="S1502" t="s">
        <v>8148</v>
      </c>
      <c r="T1502" t="s">
        <v>13290</v>
      </c>
      <c r="U1502" t="s">
        <v>13290</v>
      </c>
      <c r="V1502" t="s">
        <v>13290</v>
      </c>
      <c r="W1502" t="s">
        <v>14764</v>
      </c>
      <c r="X1502">
        <v>3</v>
      </c>
      <c r="Y1502" t="s">
        <v>21339</v>
      </c>
      <c r="Z1502" t="s">
        <v>27832</v>
      </c>
      <c r="AA1502">
        <v>0.65672049746800953</v>
      </c>
      <c r="AB1502" t="str">
        <f>HYPERLINK("Melting_Curves/meltCurve_O43298_ZBTB43.pdf", "Melting_Curves/meltCurve_O43298_ZBTB43.pdf")</f>
        <v>Melting_Curves/meltCurve_O43298_ZBTB43.pdf</v>
      </c>
    </row>
    <row r="1503" spans="1:28" x14ac:dyDescent="0.25">
      <c r="A1503" t="s">
        <v>1507</v>
      </c>
      <c r="B1503">
        <v>0.99252571173614901</v>
      </c>
      <c r="C1503">
        <v>0.91998780009053105</v>
      </c>
      <c r="D1503">
        <v>0.87447518208678898</v>
      </c>
      <c r="E1503">
        <v>0.72811955261693095</v>
      </c>
      <c r="F1503">
        <v>0.58525360723082298</v>
      </c>
      <c r="G1503">
        <v>0.122109054483131</v>
      </c>
      <c r="H1503">
        <v>0.10259150519344901</v>
      </c>
      <c r="I1503">
        <v>8.4874898758586004E-2</v>
      </c>
      <c r="J1503">
        <v>8.8459373477829895E-2</v>
      </c>
      <c r="K1503">
        <v>8.2248750724810402E-2</v>
      </c>
      <c r="L1503">
        <v>938.90137506362805</v>
      </c>
      <c r="M1503">
        <v>17.880026250823398</v>
      </c>
      <c r="N1503">
        <v>52.7817602437242</v>
      </c>
      <c r="O1503">
        <v>51.867553458802099</v>
      </c>
      <c r="P1503">
        <v>-8.2411123903651698E-2</v>
      </c>
      <c r="Q1503">
        <v>4.3794117335988002E-2</v>
      </c>
      <c r="R1503">
        <v>0.97361951224144605</v>
      </c>
      <c r="S1503" t="s">
        <v>8149</v>
      </c>
      <c r="T1503" t="s">
        <v>13290</v>
      </c>
      <c r="U1503" t="s">
        <v>13290</v>
      </c>
      <c r="V1503" t="s">
        <v>13290</v>
      </c>
      <c r="W1503" t="s">
        <v>14765</v>
      </c>
      <c r="X1503">
        <v>2</v>
      </c>
      <c r="Y1503" t="s">
        <v>21340</v>
      </c>
      <c r="Z1503" t="s">
        <v>27833</v>
      </c>
      <c r="AA1503">
        <v>0.45853656387354119</v>
      </c>
      <c r="AB1503" t="str">
        <f>HYPERLINK("Melting_Curves/meltCurve_O43299_AP5Z1.pdf", "Melting_Curves/meltCurve_O43299_AP5Z1.pdf")</f>
        <v>Melting_Curves/meltCurve_O43299_AP5Z1.pdf</v>
      </c>
    </row>
    <row r="1504" spans="1:28" x14ac:dyDescent="0.25">
      <c r="A1504" t="s">
        <v>1508</v>
      </c>
      <c r="B1504">
        <v>0.99252571173614901</v>
      </c>
      <c r="C1504">
        <v>0.99031472636946505</v>
      </c>
      <c r="D1504">
        <v>0.92047541860073301</v>
      </c>
      <c r="E1504">
        <v>0.78031284512357901</v>
      </c>
      <c r="F1504">
        <v>0.59696993401466003</v>
      </c>
      <c r="G1504">
        <v>0.37295088333319898</v>
      </c>
      <c r="H1504">
        <v>0.18162889151608699</v>
      </c>
      <c r="I1504">
        <v>0.221199356368836</v>
      </c>
      <c r="J1504">
        <v>0.25266094312126902</v>
      </c>
      <c r="K1504">
        <v>0.24040886449864601</v>
      </c>
      <c r="L1504">
        <v>959.09500307178803</v>
      </c>
      <c r="M1504">
        <v>18.238637525088599</v>
      </c>
      <c r="N1504">
        <v>54.116672040100603</v>
      </c>
      <c r="O1504">
        <v>51.965928449082</v>
      </c>
      <c r="P1504">
        <v>-7.0064344663075803E-2</v>
      </c>
      <c r="Q1504">
        <v>0.20152161068979699</v>
      </c>
      <c r="R1504">
        <v>0.98877695562313395</v>
      </c>
      <c r="S1504" t="s">
        <v>8150</v>
      </c>
      <c r="T1504" t="s">
        <v>13290</v>
      </c>
      <c r="U1504" t="s">
        <v>13290</v>
      </c>
      <c r="V1504" t="s">
        <v>13290</v>
      </c>
      <c r="W1504" t="s">
        <v>14766</v>
      </c>
      <c r="X1504">
        <v>3</v>
      </c>
      <c r="Y1504" t="s">
        <v>21341</v>
      </c>
      <c r="Z1504" t="s">
        <v>27834</v>
      </c>
      <c r="AA1504">
        <v>0.54939422271664817</v>
      </c>
      <c r="AB1504" t="str">
        <f>HYPERLINK("Melting_Curves/meltCurve_O43310_CTIF.pdf", "Melting_Curves/meltCurve_O43310_CTIF.pdf")</f>
        <v>Melting_Curves/meltCurve_O43310_CTIF.pdf</v>
      </c>
    </row>
    <row r="1505" spans="1:28" x14ac:dyDescent="0.25">
      <c r="A1505" t="s">
        <v>1509</v>
      </c>
      <c r="B1505">
        <v>0.99252571173614901</v>
      </c>
      <c r="C1505">
        <v>0.998790314136623</v>
      </c>
      <c r="D1505">
        <v>0.96075508997582904</v>
      </c>
      <c r="E1505">
        <v>0.92331390043482697</v>
      </c>
      <c r="F1505">
        <v>0.50919003877031199</v>
      </c>
      <c r="G1505">
        <v>0.14328998968499801</v>
      </c>
      <c r="H1505">
        <v>0.10221836471634201</v>
      </c>
      <c r="I1505">
        <v>0.109214280611971</v>
      </c>
      <c r="J1505">
        <v>0.14122752165869301</v>
      </c>
      <c r="K1505">
        <v>0.137378359880235</v>
      </c>
      <c r="L1505">
        <v>2126.7410075610301</v>
      </c>
      <c r="M1505">
        <v>40.247788702602399</v>
      </c>
      <c r="N1505">
        <v>53.192470142826799</v>
      </c>
      <c r="O1505">
        <v>52.711242103232301</v>
      </c>
      <c r="P1505">
        <v>-0.168611095404364</v>
      </c>
      <c r="Q1505">
        <v>0.11670354183544999</v>
      </c>
      <c r="R1505">
        <v>0.99756444278775103</v>
      </c>
      <c r="S1505" t="s">
        <v>8151</v>
      </c>
      <c r="T1505" t="s">
        <v>13290</v>
      </c>
      <c r="U1505" t="s">
        <v>13290</v>
      </c>
      <c r="V1505" t="s">
        <v>13290</v>
      </c>
      <c r="W1505" t="s">
        <v>14767</v>
      </c>
      <c r="X1505">
        <v>23</v>
      </c>
      <c r="Y1505" t="s">
        <v>21342</v>
      </c>
      <c r="Z1505" t="s">
        <v>27835</v>
      </c>
      <c r="AA1505">
        <v>0.49797294176295243</v>
      </c>
      <c r="AB1505" t="str">
        <f>HYPERLINK("Melting_Curves/meltCurve_O43314_2_PPIP5K2.pdf", "Melting_Curves/meltCurve_O43314_2_PPIP5K2.pdf")</f>
        <v>Melting_Curves/meltCurve_O43314_2_PPIP5K2.pdf</v>
      </c>
    </row>
    <row r="1506" spans="1:28" x14ac:dyDescent="0.25">
      <c r="A1506" t="s">
        <v>1510</v>
      </c>
      <c r="B1506">
        <v>0.99252571173614901</v>
      </c>
      <c r="C1506">
        <v>0.951385682323586</v>
      </c>
      <c r="D1506">
        <v>0.75900389941674096</v>
      </c>
      <c r="E1506">
        <v>0.231152476248805</v>
      </c>
      <c r="F1506">
        <v>0.111260906010516</v>
      </c>
      <c r="G1506">
        <v>5.5042991758398302E-2</v>
      </c>
      <c r="H1506">
        <v>4.21025718691646E-2</v>
      </c>
      <c r="I1506">
        <v>4.3829581960517103E-2</v>
      </c>
      <c r="J1506">
        <v>5.6281752590778299E-2</v>
      </c>
      <c r="K1506">
        <v>5.1975012488676003E-2</v>
      </c>
      <c r="L1506">
        <v>1516.35195211615</v>
      </c>
      <c r="M1506">
        <v>31.941713737454801</v>
      </c>
      <c r="N1506">
        <v>47.6380382211917</v>
      </c>
      <c r="O1506">
        <v>47.2875501192446</v>
      </c>
      <c r="P1506">
        <v>-0.159997420287699</v>
      </c>
      <c r="Q1506">
        <v>5.25431604471246E-2</v>
      </c>
      <c r="R1506">
        <v>0.99882847461017898</v>
      </c>
      <c r="S1506" t="s">
        <v>8152</v>
      </c>
      <c r="T1506" t="s">
        <v>13290</v>
      </c>
      <c r="U1506" t="s">
        <v>13290</v>
      </c>
      <c r="V1506" t="s">
        <v>13290</v>
      </c>
      <c r="W1506" t="s">
        <v>14768</v>
      </c>
      <c r="X1506">
        <v>4</v>
      </c>
      <c r="Y1506" t="s">
        <v>21343</v>
      </c>
      <c r="Z1506" t="s">
        <v>27836</v>
      </c>
      <c r="AA1506">
        <v>0.29351701513401951</v>
      </c>
      <c r="AB1506" t="str">
        <f>HYPERLINK("Melting_Curves/meltCurve_O43318_2_MAP3K7.pdf", "Melting_Curves/meltCurve_O43318_2_MAP3K7.pdf")</f>
        <v>Melting_Curves/meltCurve_O43318_2_MAP3K7.pdf</v>
      </c>
    </row>
    <row r="1507" spans="1:28" x14ac:dyDescent="0.25">
      <c r="A1507" t="s">
        <v>1511</v>
      </c>
      <c r="B1507">
        <v>0.99252571173614901</v>
      </c>
      <c r="C1507">
        <v>1.0537134576606</v>
      </c>
      <c r="D1507">
        <v>0.95752946270077699</v>
      </c>
      <c r="E1507">
        <v>0.702853024301757</v>
      </c>
      <c r="F1507">
        <v>0.68827446593003205</v>
      </c>
      <c r="G1507">
        <v>0.238312799146184</v>
      </c>
      <c r="H1507">
        <v>0.15284040569636401</v>
      </c>
      <c r="I1507">
        <v>0.123984890324682</v>
      </c>
      <c r="J1507">
        <v>0.140919706801335</v>
      </c>
      <c r="K1507">
        <v>0.14748027694657401</v>
      </c>
      <c r="L1507">
        <v>981.20084389406202</v>
      </c>
      <c r="M1507">
        <v>18.430837904737</v>
      </c>
      <c r="N1507">
        <v>53.893487707634598</v>
      </c>
      <c r="O1507">
        <v>52.6220613184081</v>
      </c>
      <c r="P1507">
        <v>-7.8760714418210601E-2</v>
      </c>
      <c r="Q1507">
        <v>0.100558528868781</v>
      </c>
      <c r="R1507">
        <v>0.96895803401195701</v>
      </c>
      <c r="S1507" t="s">
        <v>8153</v>
      </c>
      <c r="T1507" t="s">
        <v>13290</v>
      </c>
      <c r="U1507" t="s">
        <v>13290</v>
      </c>
      <c r="V1507" t="s">
        <v>13290</v>
      </c>
      <c r="W1507" t="s">
        <v>14769</v>
      </c>
      <c r="X1507">
        <v>4</v>
      </c>
      <c r="Y1507" t="s">
        <v>21344</v>
      </c>
      <c r="Z1507" t="s">
        <v>27837</v>
      </c>
      <c r="AA1507">
        <v>0.51153708442631785</v>
      </c>
      <c r="AB1507" t="str">
        <f>HYPERLINK("Melting_Curves/meltCurve_O43325_LYRM1.pdf", "Melting_Curves/meltCurve_O43325_LYRM1.pdf")</f>
        <v>Melting_Curves/meltCurve_O43325_LYRM1.pdf</v>
      </c>
    </row>
    <row r="1508" spans="1:28" x14ac:dyDescent="0.25">
      <c r="A1508" t="s">
        <v>1512</v>
      </c>
      <c r="B1508">
        <v>0.99252571173614901</v>
      </c>
      <c r="C1508">
        <v>1.01498769474562</v>
      </c>
      <c r="D1508">
        <v>0.95612283305694601</v>
      </c>
      <c r="E1508">
        <v>0.804786152635251</v>
      </c>
      <c r="F1508">
        <v>0.56766592126528603</v>
      </c>
      <c r="G1508">
        <v>0.417100548555704</v>
      </c>
      <c r="H1508">
        <v>0.34524255640414903</v>
      </c>
      <c r="I1508">
        <v>0.33606826283879299</v>
      </c>
      <c r="J1508">
        <v>0.268032994079206</v>
      </c>
      <c r="K1508">
        <v>0.21097928092007801</v>
      </c>
      <c r="L1508">
        <v>893.09940224797799</v>
      </c>
      <c r="M1508">
        <v>16.988277589498299</v>
      </c>
      <c r="N1508">
        <v>54.859799104814201</v>
      </c>
      <c r="O1508">
        <v>51.859270655577802</v>
      </c>
      <c r="P1508">
        <v>-6.1111716319738101E-2</v>
      </c>
      <c r="Q1508">
        <v>0.25383548149393798</v>
      </c>
      <c r="R1508">
        <v>0.991926186909874</v>
      </c>
      <c r="S1508" t="s">
        <v>8154</v>
      </c>
      <c r="T1508" t="s">
        <v>13290</v>
      </c>
      <c r="U1508" t="s">
        <v>13290</v>
      </c>
      <c r="V1508" t="s">
        <v>13290</v>
      </c>
      <c r="W1508" t="s">
        <v>14770</v>
      </c>
      <c r="X1508">
        <v>11</v>
      </c>
      <c r="Y1508" t="s">
        <v>21345</v>
      </c>
      <c r="Z1508" t="s">
        <v>27838</v>
      </c>
      <c r="AA1508">
        <v>0.58003451767729997</v>
      </c>
      <c r="AB1508" t="str">
        <f>HYPERLINK("Melting_Curves/meltCurve_O43353_RIPK2.pdf", "Melting_Curves/meltCurve_O43353_RIPK2.pdf")</f>
        <v>Melting_Curves/meltCurve_O43353_RIPK2.pdf</v>
      </c>
    </row>
    <row r="1509" spans="1:28" x14ac:dyDescent="0.25">
      <c r="A1509" t="s">
        <v>1513</v>
      </c>
      <c r="B1509">
        <v>0.99252571173614901</v>
      </c>
      <c r="C1509">
        <v>0.61832551770561905</v>
      </c>
      <c r="D1509">
        <v>0.53888014345763102</v>
      </c>
      <c r="E1509">
        <v>0.26800090580336799</v>
      </c>
      <c r="F1509">
        <v>0.173126332068467</v>
      </c>
      <c r="G1509">
        <v>9.1006854766706294E-2</v>
      </c>
      <c r="H1509">
        <v>8.0073303510680496E-2</v>
      </c>
      <c r="I1509">
        <v>6.1279987351654498E-2</v>
      </c>
      <c r="J1509">
        <v>3.9292065193587897E-2</v>
      </c>
      <c r="K1509">
        <v>9.2834660248551595E-2</v>
      </c>
      <c r="L1509">
        <v>669.83882788025301</v>
      </c>
      <c r="M1509">
        <v>14.7200731166058</v>
      </c>
      <c r="N1509">
        <v>45.882145977920999</v>
      </c>
      <c r="O1509">
        <v>44.690051361060704</v>
      </c>
      <c r="P1509">
        <v>-7.7663124372868195E-2</v>
      </c>
      <c r="Q1509">
        <v>5.69634986482805E-2</v>
      </c>
      <c r="R1509">
        <v>0.97098596792770597</v>
      </c>
      <c r="S1509" t="s">
        <v>8155</v>
      </c>
      <c r="T1509" t="s">
        <v>13290</v>
      </c>
      <c r="U1509" t="s">
        <v>13290</v>
      </c>
      <c r="V1509" t="s">
        <v>13290</v>
      </c>
      <c r="W1509" t="s">
        <v>14771</v>
      </c>
      <c r="X1509">
        <v>1</v>
      </c>
      <c r="Y1509" t="s">
        <v>21346</v>
      </c>
      <c r="Z1509" t="s">
        <v>27839</v>
      </c>
      <c r="AA1509">
        <v>0.25995572726303362</v>
      </c>
      <c r="AB1509" t="str">
        <f>HYPERLINK("Melting_Curves/meltCurve_O43379_WDR62.pdf", "Melting_Curves/meltCurve_O43379_WDR62.pdf")</f>
        <v>Melting_Curves/meltCurve_O43379_WDR62.pdf</v>
      </c>
    </row>
    <row r="1510" spans="1:28" x14ac:dyDescent="0.25">
      <c r="A1510" t="s">
        <v>1514</v>
      </c>
      <c r="B1510">
        <v>0.99252571173614901</v>
      </c>
      <c r="C1510">
        <v>1.0024576407792201</v>
      </c>
      <c r="D1510">
        <v>0.81271457544917203</v>
      </c>
      <c r="E1510">
        <v>0.41119151335735599</v>
      </c>
      <c r="F1510">
        <v>0.25837223483355298</v>
      </c>
      <c r="G1510">
        <v>0.18361755701479399</v>
      </c>
      <c r="H1510">
        <v>0.14551581383484799</v>
      </c>
      <c r="I1510">
        <v>0.16503169550538399</v>
      </c>
      <c r="J1510">
        <v>0.16871631883961799</v>
      </c>
      <c r="K1510">
        <v>0.17751752729036899</v>
      </c>
      <c r="L1510">
        <v>1313.3977578911599</v>
      </c>
      <c r="M1510">
        <v>27.299019279844099</v>
      </c>
      <c r="N1510">
        <v>48.850567837334999</v>
      </c>
      <c r="O1510">
        <v>47.855593288738</v>
      </c>
      <c r="P1510">
        <v>-0.11848749687726801</v>
      </c>
      <c r="Q1510">
        <v>0.16916648162600001</v>
      </c>
      <c r="R1510">
        <v>0.99741430714068902</v>
      </c>
      <c r="S1510" t="s">
        <v>8156</v>
      </c>
      <c r="T1510" t="s">
        <v>13290</v>
      </c>
      <c r="U1510" t="s">
        <v>13290</v>
      </c>
      <c r="V1510" t="s">
        <v>13290</v>
      </c>
      <c r="W1510" t="s">
        <v>14772</v>
      </c>
      <c r="X1510">
        <v>16</v>
      </c>
      <c r="Y1510" t="s">
        <v>21347</v>
      </c>
      <c r="Z1510" t="s">
        <v>27840</v>
      </c>
      <c r="AA1510">
        <v>0.39990950411846821</v>
      </c>
      <c r="AB1510" t="str">
        <f>HYPERLINK("Melting_Curves/meltCurve_O43390_HNRNPR.pdf", "Melting_Curves/meltCurve_O43390_HNRNPR.pdf")</f>
        <v>Melting_Curves/meltCurve_O43390_HNRNPR.pdf</v>
      </c>
    </row>
    <row r="1511" spans="1:28" x14ac:dyDescent="0.25">
      <c r="A1511" t="s">
        <v>1515</v>
      </c>
      <c r="B1511">
        <v>0.99252571173614901</v>
      </c>
      <c r="C1511">
        <v>1.13963825808968</v>
      </c>
      <c r="D1511">
        <v>1.42598087004288</v>
      </c>
      <c r="E1511">
        <v>0.62124660566797296</v>
      </c>
      <c r="F1511">
        <v>0.31894686595517002</v>
      </c>
      <c r="G1511">
        <v>0.194272741812893</v>
      </c>
      <c r="H1511">
        <v>0.16366985309035501</v>
      </c>
      <c r="I1511">
        <v>0.20437906664929101</v>
      </c>
      <c r="J1511">
        <v>0.320277979492609</v>
      </c>
      <c r="K1511">
        <v>0.35334609430848202</v>
      </c>
      <c r="L1511">
        <v>10330.952151444</v>
      </c>
      <c r="M1511">
        <v>208.33029444141599</v>
      </c>
      <c r="N1511">
        <v>49.763772036407303</v>
      </c>
      <c r="O1511">
        <v>49.584724063943597</v>
      </c>
      <c r="P1511">
        <v>-0.77817202457476597</v>
      </c>
      <c r="Q1511">
        <v>0.25914864898803103</v>
      </c>
      <c r="R1511">
        <v>0.87380501646632902</v>
      </c>
      <c r="S1511" t="s">
        <v>8157</v>
      </c>
      <c r="T1511" t="s">
        <v>13290</v>
      </c>
      <c r="U1511" t="s">
        <v>13290</v>
      </c>
      <c r="V1511" t="s">
        <v>13290</v>
      </c>
      <c r="W1511" t="s">
        <v>14773</v>
      </c>
      <c r="X1511">
        <v>13</v>
      </c>
      <c r="Y1511" t="s">
        <v>21348</v>
      </c>
      <c r="Z1511" t="s">
        <v>27841</v>
      </c>
      <c r="AA1511">
        <v>0.49604954396054218</v>
      </c>
      <c r="AB1511" t="str">
        <f>HYPERLINK("Melting_Curves/meltCurve_O43395_PRPF3.pdf", "Melting_Curves/meltCurve_O43395_PRPF3.pdf")</f>
        <v>Melting_Curves/meltCurve_O43395_PRPF3.pdf</v>
      </c>
    </row>
    <row r="1512" spans="1:28" x14ac:dyDescent="0.25">
      <c r="A1512" t="s">
        <v>1516</v>
      </c>
      <c r="B1512">
        <v>0.99252571173614901</v>
      </c>
      <c r="C1512">
        <v>0.97607869482130105</v>
      </c>
      <c r="D1512">
        <v>0.93790087631325003</v>
      </c>
      <c r="E1512">
        <v>0.68038257389281398</v>
      </c>
      <c r="F1512">
        <v>0.20822129909827899</v>
      </c>
      <c r="G1512">
        <v>0.108674614586335</v>
      </c>
      <c r="H1512">
        <v>7.5907118854940406E-2</v>
      </c>
      <c r="I1512">
        <v>7.3621605472115395E-2</v>
      </c>
      <c r="J1512">
        <v>8.4618559496659501E-2</v>
      </c>
      <c r="K1512">
        <v>8.4141492484758093E-2</v>
      </c>
      <c r="L1512">
        <v>1676.2473117121399</v>
      </c>
      <c r="M1512">
        <v>33.213277079236001</v>
      </c>
      <c r="N1512">
        <v>50.730222655298299</v>
      </c>
      <c r="O1512">
        <v>50.287290606740498</v>
      </c>
      <c r="P1512">
        <v>-0.15214904592009301</v>
      </c>
      <c r="Q1512">
        <v>7.8545670231609702E-2</v>
      </c>
      <c r="R1512">
        <v>0.99893079058587197</v>
      </c>
      <c r="S1512" t="s">
        <v>8158</v>
      </c>
      <c r="T1512" t="s">
        <v>13290</v>
      </c>
      <c r="U1512" t="s">
        <v>13290</v>
      </c>
      <c r="V1512" t="s">
        <v>13290</v>
      </c>
      <c r="W1512" t="s">
        <v>14774</v>
      </c>
      <c r="X1512">
        <v>16</v>
      </c>
      <c r="Y1512" t="s">
        <v>21349</v>
      </c>
      <c r="Z1512" t="s">
        <v>27842</v>
      </c>
      <c r="AA1512">
        <v>0.40478660712379899</v>
      </c>
      <c r="AB1512" t="str">
        <f>HYPERLINK("Melting_Curves/meltCurve_O43396_TXNL1.pdf", "Melting_Curves/meltCurve_O43396_TXNL1.pdf")</f>
        <v>Melting_Curves/meltCurve_O43396_TXNL1.pdf</v>
      </c>
    </row>
    <row r="1513" spans="1:28" x14ac:dyDescent="0.25">
      <c r="A1513" t="s">
        <v>1517</v>
      </c>
      <c r="B1513">
        <v>0.99252571173614901</v>
      </c>
      <c r="C1513">
        <v>1.10842011112112</v>
      </c>
      <c r="D1513">
        <v>0.99235766122236702</v>
      </c>
      <c r="E1513">
        <v>1.0094780924448501</v>
      </c>
      <c r="F1513">
        <v>0.78019533800105001</v>
      </c>
      <c r="G1513">
        <v>0.594673085938899</v>
      </c>
      <c r="H1513">
        <v>0.57657871224919099</v>
      </c>
      <c r="I1513">
        <v>0.75649943241167406</v>
      </c>
      <c r="J1513">
        <v>1.1730365276317201</v>
      </c>
      <c r="K1513">
        <v>0.93709651215980205</v>
      </c>
      <c r="L1513">
        <v>6679.4401882602097</v>
      </c>
      <c r="M1513">
        <v>130.42807330355799</v>
      </c>
      <c r="O1513">
        <v>51.199645771454897</v>
      </c>
      <c r="P1513">
        <v>-0.125542209921083</v>
      </c>
      <c r="Q1513">
        <v>0.80287324620731604</v>
      </c>
      <c r="R1513">
        <v>0.30541672486240801</v>
      </c>
      <c r="S1513" t="s">
        <v>8159</v>
      </c>
      <c r="T1513" t="s">
        <v>13290</v>
      </c>
      <c r="U1513" t="s">
        <v>13290</v>
      </c>
      <c r="V1513" t="s">
        <v>13290</v>
      </c>
      <c r="W1513" t="s">
        <v>14775</v>
      </c>
      <c r="X1513">
        <v>17</v>
      </c>
      <c r="Y1513" t="s">
        <v>21350</v>
      </c>
      <c r="Z1513" t="s">
        <v>27843</v>
      </c>
      <c r="AA1513">
        <v>0.87660908412501792</v>
      </c>
      <c r="AB1513" t="str">
        <f>HYPERLINK("Melting_Curves/meltCurve_O43399_4_TPD52L2.pdf", "Melting_Curves/meltCurve_O43399_4_TPD52L2.pdf")</f>
        <v>Melting_Curves/meltCurve_O43399_4_TPD52L2.pdf</v>
      </c>
    </row>
    <row r="1514" spans="1:28" x14ac:dyDescent="0.25">
      <c r="A1514" t="s">
        <v>1518</v>
      </c>
      <c r="B1514">
        <v>0.99252571173614901</v>
      </c>
      <c r="C1514">
        <v>1.0970478197161799</v>
      </c>
      <c r="D1514">
        <v>0.98710030499093104</v>
      </c>
      <c r="E1514">
        <v>0.84044323577751401</v>
      </c>
      <c r="F1514">
        <v>0.79615064437109795</v>
      </c>
      <c r="G1514">
        <v>0.72136418263588697</v>
      </c>
      <c r="H1514">
        <v>0.7440396676762</v>
      </c>
      <c r="I1514">
        <v>1.0269214455472</v>
      </c>
      <c r="J1514">
        <v>1.46198819352877</v>
      </c>
      <c r="K1514">
        <v>1.5497660005789899</v>
      </c>
      <c r="L1514">
        <v>7591.4688447683502</v>
      </c>
      <c r="M1514">
        <v>115.67595816367</v>
      </c>
      <c r="O1514">
        <v>65.6074153763917</v>
      </c>
      <c r="P1514">
        <v>0.22039422100561101</v>
      </c>
      <c r="Q1514">
        <v>1.5</v>
      </c>
      <c r="R1514">
        <v>0.69602634632692995</v>
      </c>
      <c r="S1514" t="s">
        <v>8160</v>
      </c>
      <c r="T1514" t="s">
        <v>13290</v>
      </c>
      <c r="U1514" t="s">
        <v>13290</v>
      </c>
      <c r="V1514" t="s">
        <v>13290</v>
      </c>
      <c r="W1514" t="s">
        <v>14776</v>
      </c>
      <c r="X1514">
        <v>21</v>
      </c>
      <c r="Y1514" t="s">
        <v>21350</v>
      </c>
      <c r="Z1514" t="s">
        <v>27844</v>
      </c>
      <c r="AA1514">
        <v>1.07262170783806</v>
      </c>
      <c r="AB1514" t="str">
        <f>HYPERLINK("Melting_Curves/meltCurve_O43399_5_TPD52L2.pdf", "Melting_Curves/meltCurve_O43399_5_TPD52L2.pdf")</f>
        <v>Melting_Curves/meltCurve_O43399_5_TPD52L2.pdf</v>
      </c>
    </row>
    <row r="1515" spans="1:28" x14ac:dyDescent="0.25">
      <c r="A1515" t="s">
        <v>1519</v>
      </c>
      <c r="B1515">
        <v>0.99252571173614901</v>
      </c>
      <c r="C1515">
        <v>0.920852048672409</v>
      </c>
      <c r="D1515">
        <v>0.81828211355670799</v>
      </c>
      <c r="E1515">
        <v>0.79507228766970395</v>
      </c>
      <c r="F1515">
        <v>0.46912341051738998</v>
      </c>
      <c r="G1515">
        <v>0.185339495340689</v>
      </c>
      <c r="H1515">
        <v>0.12961005539671799</v>
      </c>
      <c r="I1515">
        <v>0.170947381286186</v>
      </c>
      <c r="J1515">
        <v>0.211542569613418</v>
      </c>
      <c r="K1515">
        <v>0.20083750411124299</v>
      </c>
      <c r="L1515">
        <v>1087.20009888459</v>
      </c>
      <c r="M1515">
        <v>21.1155220209322</v>
      </c>
      <c r="N1515">
        <v>52.414000117529802</v>
      </c>
      <c r="O1515">
        <v>51.0330684896958</v>
      </c>
      <c r="P1515">
        <v>-8.7341441358973898E-2</v>
      </c>
      <c r="Q1515">
        <v>0.15565723246438001</v>
      </c>
      <c r="R1515">
        <v>0.96833372498671999</v>
      </c>
      <c r="S1515" t="s">
        <v>8161</v>
      </c>
      <c r="T1515" t="s">
        <v>13290</v>
      </c>
      <c r="U1515" t="s">
        <v>13290</v>
      </c>
      <c r="V1515" t="s">
        <v>13290</v>
      </c>
      <c r="W1515" t="s">
        <v>14777</v>
      </c>
      <c r="X1515">
        <v>6</v>
      </c>
      <c r="Y1515" t="s">
        <v>21351</v>
      </c>
      <c r="Z1515" t="s">
        <v>27845</v>
      </c>
      <c r="AA1515">
        <v>0.48957670867914849</v>
      </c>
      <c r="AB1515" t="str">
        <f>HYPERLINK("Melting_Curves/meltCurve_O43402_EMC8.pdf", "Melting_Curves/meltCurve_O43402_EMC8.pdf")</f>
        <v>Melting_Curves/meltCurve_O43402_EMC8.pdf</v>
      </c>
    </row>
    <row r="1516" spans="1:28" x14ac:dyDescent="0.25">
      <c r="A1516" t="s">
        <v>1520</v>
      </c>
      <c r="B1516">
        <v>0.99252571173614901</v>
      </c>
      <c r="C1516">
        <v>1.2167026244708801</v>
      </c>
      <c r="D1516">
        <v>1.3477259447166401</v>
      </c>
      <c r="E1516">
        <v>0.71406444577260797</v>
      </c>
      <c r="F1516">
        <v>0.382097561537867</v>
      </c>
      <c r="G1516">
        <v>0.24843306286696701</v>
      </c>
      <c r="H1516">
        <v>0.19006543575323001</v>
      </c>
      <c r="I1516">
        <v>0.22504349262225201</v>
      </c>
      <c r="J1516">
        <v>0.302475100796681</v>
      </c>
      <c r="K1516">
        <v>6.3544585190943206E-2</v>
      </c>
      <c r="L1516">
        <v>1955.6287078978601</v>
      </c>
      <c r="M1516">
        <v>38.4678223754985</v>
      </c>
      <c r="N1516">
        <v>51.563800257544798</v>
      </c>
      <c r="O1516">
        <v>50.701248400405497</v>
      </c>
      <c r="P1516">
        <v>-0.15002814948573201</v>
      </c>
      <c r="Q1516">
        <v>0.20904344353945201</v>
      </c>
      <c r="R1516">
        <v>0.88925663957273104</v>
      </c>
      <c r="S1516" t="s">
        <v>8162</v>
      </c>
      <c r="T1516" t="s">
        <v>13290</v>
      </c>
      <c r="U1516" t="s">
        <v>13290</v>
      </c>
      <c r="V1516" t="s">
        <v>13290</v>
      </c>
      <c r="W1516" t="s">
        <v>14778</v>
      </c>
      <c r="X1516">
        <v>3</v>
      </c>
      <c r="Y1516" t="s">
        <v>21352</v>
      </c>
      <c r="Z1516" t="s">
        <v>27846</v>
      </c>
      <c r="AA1516">
        <v>0.49779780520500538</v>
      </c>
      <c r="AB1516" t="str">
        <f>HYPERLINK("Melting_Curves/meltCurve_O43422_PRKRIR.pdf", "Melting_Curves/meltCurve_O43422_PRKRIR.pdf")</f>
        <v>Melting_Curves/meltCurve_O43422_PRKRIR.pdf</v>
      </c>
    </row>
    <row r="1517" spans="1:28" x14ac:dyDescent="0.25">
      <c r="A1517" t="s">
        <v>1521</v>
      </c>
      <c r="B1517">
        <v>0.99252571173614901</v>
      </c>
      <c r="C1517">
        <v>1.1783903529558499</v>
      </c>
      <c r="D1517">
        <v>0.95753752231268596</v>
      </c>
      <c r="E1517">
        <v>1.49880803374865</v>
      </c>
      <c r="F1517">
        <v>0.95924775015233898</v>
      </c>
      <c r="G1517">
        <v>0.16991132697526701</v>
      </c>
      <c r="H1517">
        <v>0.155847548740461</v>
      </c>
      <c r="I1517">
        <v>0.21556074967150299</v>
      </c>
      <c r="J1517">
        <v>0.37671480594353401</v>
      </c>
      <c r="K1517">
        <v>0.231069278595078</v>
      </c>
      <c r="L1517">
        <v>13453.465611828</v>
      </c>
      <c r="M1517">
        <v>250</v>
      </c>
      <c r="N1517">
        <v>53.946706911225199</v>
      </c>
      <c r="O1517">
        <v>53.8104188185631</v>
      </c>
      <c r="P1517">
        <v>-0.89455203616828405</v>
      </c>
      <c r="Q1517">
        <v>0.22982048681617201</v>
      </c>
      <c r="R1517">
        <v>0.85855546946926098</v>
      </c>
      <c r="S1517" t="s">
        <v>8163</v>
      </c>
      <c r="T1517" t="s">
        <v>13290</v>
      </c>
      <c r="U1517" t="s">
        <v>13290</v>
      </c>
      <c r="V1517" t="s">
        <v>13290</v>
      </c>
      <c r="W1517" t="s">
        <v>14779</v>
      </c>
      <c r="X1517">
        <v>1</v>
      </c>
      <c r="Y1517" t="s">
        <v>21353</v>
      </c>
      <c r="Z1517" t="s">
        <v>27847</v>
      </c>
      <c r="AA1517">
        <v>0.58453168631660257</v>
      </c>
      <c r="AB1517" t="str">
        <f>HYPERLINK("Melting_Curves/meltCurve_O43427_2_FIBP.pdf", "Melting_Curves/meltCurve_O43427_2_FIBP.pdf")</f>
        <v>Melting_Curves/meltCurve_O43427_2_FIBP.pdf</v>
      </c>
    </row>
    <row r="1518" spans="1:28" x14ac:dyDescent="0.25">
      <c r="A1518" t="s">
        <v>1522</v>
      </c>
      <c r="B1518">
        <v>0.99252571173614901</v>
      </c>
      <c r="C1518">
        <v>0.878749162724759</v>
      </c>
      <c r="D1518">
        <v>0.283222251404252</v>
      </c>
      <c r="E1518">
        <v>0.175638991794143</v>
      </c>
      <c r="F1518">
        <v>0.123065259447802</v>
      </c>
      <c r="G1518">
        <v>7.5566586954046999E-2</v>
      </c>
      <c r="H1518">
        <v>6.2486592483504202E-2</v>
      </c>
      <c r="I1518">
        <v>6.7126923742261799E-2</v>
      </c>
      <c r="J1518">
        <v>7.6737450693659504E-2</v>
      </c>
      <c r="K1518">
        <v>8.3621067321392198E-2</v>
      </c>
      <c r="L1518">
        <v>1934.2703145262899</v>
      </c>
      <c r="M1518">
        <v>43.2951047552313</v>
      </c>
      <c r="N1518">
        <v>44.886641967945799</v>
      </c>
      <c r="O1518">
        <v>44.5814172207849</v>
      </c>
      <c r="P1518">
        <v>-0.22050755202592501</v>
      </c>
      <c r="Q1518">
        <v>9.17656541872552E-2</v>
      </c>
      <c r="R1518">
        <v>0.99256993504292301</v>
      </c>
      <c r="S1518" t="s">
        <v>8164</v>
      </c>
      <c r="T1518" t="s">
        <v>13290</v>
      </c>
      <c r="U1518" t="s">
        <v>13290</v>
      </c>
      <c r="V1518" t="s">
        <v>13290</v>
      </c>
      <c r="W1518" t="s">
        <v>13415</v>
      </c>
      <c r="X1518">
        <v>24</v>
      </c>
      <c r="Y1518" t="s">
        <v>20000</v>
      </c>
      <c r="Z1518" t="s">
        <v>27848</v>
      </c>
      <c r="AA1518">
        <v>0.2358854732564398</v>
      </c>
      <c r="AB1518" t="str">
        <f>HYPERLINK("Melting_Curves/meltCurve_O43432_EIF4G3.pdf", "Melting_Curves/meltCurve_O43432_EIF4G3.pdf")</f>
        <v>Melting_Curves/meltCurve_O43432_EIF4G3.pdf</v>
      </c>
    </row>
    <row r="1519" spans="1:28" x14ac:dyDescent="0.25">
      <c r="A1519" t="s">
        <v>1523</v>
      </c>
      <c r="B1519">
        <v>0.99252571173614901</v>
      </c>
      <c r="C1519">
        <v>0.84406167015048505</v>
      </c>
      <c r="D1519">
        <v>0.74470731137519397</v>
      </c>
      <c r="E1519">
        <v>0.55639410236614995</v>
      </c>
      <c r="F1519">
        <v>0.201575053623503</v>
      </c>
      <c r="G1519">
        <v>0.10527326103568101</v>
      </c>
      <c r="H1519">
        <v>9.5655932507902899E-2</v>
      </c>
      <c r="I1519">
        <v>0.124145575151239</v>
      </c>
      <c r="J1519">
        <v>0.15828564806054601</v>
      </c>
      <c r="K1519">
        <v>0.19444818486050999</v>
      </c>
      <c r="L1519">
        <v>881.50091047442004</v>
      </c>
      <c r="M1519">
        <v>18.1901447239375</v>
      </c>
      <c r="N1519">
        <v>49.171476801912902</v>
      </c>
      <c r="O1519">
        <v>47.886061439719903</v>
      </c>
      <c r="P1519">
        <v>-8.3986510882693002E-2</v>
      </c>
      <c r="Q1519">
        <v>0.11565460065550701</v>
      </c>
      <c r="R1519">
        <v>0.97091262802734801</v>
      </c>
      <c r="S1519" t="s">
        <v>8165</v>
      </c>
      <c r="T1519" t="s">
        <v>13290</v>
      </c>
      <c r="U1519" t="s">
        <v>13290</v>
      </c>
      <c r="V1519" t="s">
        <v>13290</v>
      </c>
      <c r="W1519" t="s">
        <v>14780</v>
      </c>
      <c r="X1519">
        <v>5</v>
      </c>
      <c r="Y1519" t="s">
        <v>21354</v>
      </c>
      <c r="Z1519" t="s">
        <v>27849</v>
      </c>
      <c r="AA1519">
        <v>0.38021621359000629</v>
      </c>
      <c r="AB1519" t="str">
        <f>HYPERLINK("Melting_Curves/meltCurve_O43439_2_CBFA2T2.pdf", "Melting_Curves/meltCurve_O43439_2_CBFA2T2.pdf")</f>
        <v>Melting_Curves/meltCurve_O43439_2_CBFA2T2.pdf</v>
      </c>
    </row>
    <row r="1520" spans="1:28" x14ac:dyDescent="0.25">
      <c r="A1520" t="s">
        <v>1524</v>
      </c>
      <c r="B1520">
        <v>0.99252571173614901</v>
      </c>
      <c r="C1520">
        <v>1.0078640180929801</v>
      </c>
      <c r="D1520">
        <v>0.98946144382448198</v>
      </c>
      <c r="E1520">
        <v>0.92572415548947995</v>
      </c>
      <c r="F1520">
        <v>1.42576544576885</v>
      </c>
      <c r="G1520">
        <v>0.75772984725060599</v>
      </c>
      <c r="H1520">
        <v>0.55215524118616499</v>
      </c>
      <c r="I1520">
        <v>0.46558972129984999</v>
      </c>
      <c r="J1520">
        <v>0.306319586075117</v>
      </c>
      <c r="K1520">
        <v>0.17414713252375599</v>
      </c>
      <c r="L1520">
        <v>1525.62090908558</v>
      </c>
      <c r="M1520">
        <v>25.158805015611598</v>
      </c>
      <c r="N1520">
        <v>62.024238479410101</v>
      </c>
      <c r="O1520">
        <v>60.260433819840998</v>
      </c>
      <c r="P1520">
        <v>-8.19501970650275E-2</v>
      </c>
      <c r="Q1520">
        <v>0.214861203420976</v>
      </c>
      <c r="R1520">
        <v>0.82142694366876901</v>
      </c>
      <c r="S1520" t="s">
        <v>8166</v>
      </c>
      <c r="T1520" t="s">
        <v>13290</v>
      </c>
      <c r="U1520" t="s">
        <v>13290</v>
      </c>
      <c r="V1520" t="s">
        <v>13290</v>
      </c>
      <c r="W1520" t="s">
        <v>14781</v>
      </c>
      <c r="X1520">
        <v>11</v>
      </c>
      <c r="Y1520" t="s">
        <v>21355</v>
      </c>
      <c r="Z1520" t="s">
        <v>27850</v>
      </c>
      <c r="AA1520">
        <v>0.7602975319657117</v>
      </c>
      <c r="AB1520" t="str">
        <f>HYPERLINK("Melting_Curves/meltCurve_O43464_3_HTRA2.pdf", "Melting_Curves/meltCurve_O43464_3_HTRA2.pdf")</f>
        <v>Melting_Curves/meltCurve_O43464_3_HTRA2.pdf</v>
      </c>
    </row>
    <row r="1521" spans="1:28" x14ac:dyDescent="0.25">
      <c r="A1521" t="s">
        <v>1525</v>
      </c>
      <c r="B1521">
        <v>0.99252571173614901</v>
      </c>
      <c r="C1521">
        <v>0.94199500141372905</v>
      </c>
      <c r="D1521">
        <v>0.79917669424098303</v>
      </c>
      <c r="E1521">
        <v>0.60558895412231095</v>
      </c>
      <c r="F1521">
        <v>0.36330310537639898</v>
      </c>
      <c r="G1521">
        <v>0.231671178408873</v>
      </c>
      <c r="H1521">
        <v>0.15125649170854</v>
      </c>
      <c r="I1521">
        <v>0.15430029298280001</v>
      </c>
      <c r="J1521">
        <v>0.23042679301892799</v>
      </c>
      <c r="K1521">
        <v>0.39602994794441398</v>
      </c>
      <c r="L1521">
        <v>973.40020343009201</v>
      </c>
      <c r="M1521">
        <v>19.859557488504802</v>
      </c>
      <c r="N1521">
        <v>50.507669584759903</v>
      </c>
      <c r="O1521">
        <v>48.525340748058298</v>
      </c>
      <c r="P1521">
        <v>-7.9597004507484498E-2</v>
      </c>
      <c r="Q1521">
        <v>0.222068823285439</v>
      </c>
      <c r="R1521">
        <v>0.95030227156321401</v>
      </c>
      <c r="S1521" t="s">
        <v>8167</v>
      </c>
      <c r="T1521" t="s">
        <v>13290</v>
      </c>
      <c r="U1521" t="s">
        <v>13290</v>
      </c>
      <c r="V1521" t="s">
        <v>13290</v>
      </c>
      <c r="W1521" t="s">
        <v>14782</v>
      </c>
      <c r="X1521">
        <v>4</v>
      </c>
      <c r="Y1521" t="s">
        <v>21356</v>
      </c>
      <c r="Z1521" t="s">
        <v>27851</v>
      </c>
      <c r="AA1521">
        <v>0.46686887931051868</v>
      </c>
      <c r="AB1521" t="str">
        <f>HYPERLINK("Melting_Curves/meltCurve_O43474_1_KLF4.pdf", "Melting_Curves/meltCurve_O43474_1_KLF4.pdf")</f>
        <v>Melting_Curves/meltCurve_O43474_1_KLF4.pdf</v>
      </c>
    </row>
    <row r="1522" spans="1:28" x14ac:dyDescent="0.25">
      <c r="A1522" t="s">
        <v>1526</v>
      </c>
      <c r="B1522">
        <v>0.99252571173614901</v>
      </c>
      <c r="C1522">
        <v>1.0697764145261199</v>
      </c>
      <c r="D1522">
        <v>1.09408144605679</v>
      </c>
      <c r="E1522">
        <v>1.08363262648612</v>
      </c>
      <c r="F1522">
        <v>0.44463711933432098</v>
      </c>
      <c r="G1522">
        <v>0.21400361386772501</v>
      </c>
      <c r="H1522">
        <v>0.119992825070575</v>
      </c>
      <c r="I1522">
        <v>0.147561004432614</v>
      </c>
      <c r="J1522">
        <v>0.16795650253334199</v>
      </c>
      <c r="K1522">
        <v>0.157502350869337</v>
      </c>
      <c r="L1522">
        <v>11262.3792370059</v>
      </c>
      <c r="M1522">
        <v>212.372204360045</v>
      </c>
      <c r="N1522">
        <v>53.128839480126103</v>
      </c>
      <c r="O1522">
        <v>53.026614807570702</v>
      </c>
      <c r="P1522">
        <v>-0.83964747170460996</v>
      </c>
      <c r="Q1522">
        <v>0.161403086674027</v>
      </c>
      <c r="R1522">
        <v>0.985969927785175</v>
      </c>
      <c r="S1522" t="s">
        <v>8168</v>
      </c>
      <c r="T1522" t="s">
        <v>13290</v>
      </c>
      <c r="U1522" t="s">
        <v>13290</v>
      </c>
      <c r="V1522" t="s">
        <v>13290</v>
      </c>
      <c r="W1522" t="s">
        <v>14783</v>
      </c>
      <c r="X1522">
        <v>1</v>
      </c>
      <c r="Y1522" t="s">
        <v>21357</v>
      </c>
      <c r="Z1522" t="s">
        <v>27852</v>
      </c>
      <c r="AA1522">
        <v>0.52577886070617508</v>
      </c>
      <c r="AB1522" t="str">
        <f>HYPERLINK("Melting_Curves/meltCurve_O43482_OIP5.pdf", "Melting_Curves/meltCurve_O43482_OIP5.pdf")</f>
        <v>Melting_Curves/meltCurve_O43482_OIP5.pdf</v>
      </c>
    </row>
    <row r="1523" spans="1:28" x14ac:dyDescent="0.25">
      <c r="A1523" t="s">
        <v>1527</v>
      </c>
      <c r="B1523">
        <v>0.99252571173614901</v>
      </c>
      <c r="C1523">
        <v>1.0622837500145299</v>
      </c>
      <c r="D1523">
        <v>1.0390783939773101</v>
      </c>
      <c r="E1523">
        <v>1.0671968460052199</v>
      </c>
      <c r="F1523">
        <v>0.533273011459516</v>
      </c>
      <c r="G1523">
        <v>0.16724386613679901</v>
      </c>
      <c r="H1523">
        <v>0.100240090501147</v>
      </c>
      <c r="I1523">
        <v>9.8941301177298394E-2</v>
      </c>
      <c r="J1523">
        <v>0.115102315089453</v>
      </c>
      <c r="K1523">
        <v>0.113488853949524</v>
      </c>
      <c r="L1523">
        <v>4535.02739707403</v>
      </c>
      <c r="M1523">
        <v>85.355817809674207</v>
      </c>
      <c r="N1523">
        <v>53.299175767782501</v>
      </c>
      <c r="O1523">
        <v>53.101704891027701</v>
      </c>
      <c r="P1523">
        <v>-0.35437496635742699</v>
      </c>
      <c r="Q1523">
        <v>0.118142616418402</v>
      </c>
      <c r="R1523">
        <v>0.99310413646337403</v>
      </c>
      <c r="S1523" t="s">
        <v>8169</v>
      </c>
      <c r="T1523" t="s">
        <v>13290</v>
      </c>
      <c r="U1523" t="s">
        <v>13290</v>
      </c>
      <c r="V1523" t="s">
        <v>13290</v>
      </c>
      <c r="W1523" t="s">
        <v>14784</v>
      </c>
      <c r="X1523">
        <v>16</v>
      </c>
      <c r="Y1523" t="s">
        <v>21358</v>
      </c>
      <c r="Z1523" t="s">
        <v>27853</v>
      </c>
      <c r="AA1523">
        <v>0.50483385002231551</v>
      </c>
      <c r="AB1523" t="str">
        <f>HYPERLINK("Melting_Curves/meltCurve_O43488_AKR7A2.pdf", "Melting_Curves/meltCurve_O43488_AKR7A2.pdf")</f>
        <v>Melting_Curves/meltCurve_O43488_AKR7A2.pdf</v>
      </c>
    </row>
    <row r="1524" spans="1:28" x14ac:dyDescent="0.25">
      <c r="A1524" t="s">
        <v>1528</v>
      </c>
      <c r="B1524">
        <v>0.99252571173614901</v>
      </c>
      <c r="C1524">
        <v>0.93664219047740205</v>
      </c>
      <c r="D1524">
        <v>0.89216159404121798</v>
      </c>
      <c r="E1524">
        <v>0.937160807168546</v>
      </c>
      <c r="F1524">
        <v>0.69073229996613195</v>
      </c>
      <c r="G1524">
        <v>0.59715629570750695</v>
      </c>
      <c r="H1524">
        <v>0.40685294522350901</v>
      </c>
      <c r="I1524">
        <v>0.31562133035344098</v>
      </c>
      <c r="J1524">
        <v>0.38598740614399102</v>
      </c>
      <c r="K1524">
        <v>0.29451748558110002</v>
      </c>
      <c r="L1524">
        <v>753.75283291548897</v>
      </c>
      <c r="M1524">
        <v>13.6593915191244</v>
      </c>
      <c r="N1524">
        <v>58.448306103131699</v>
      </c>
      <c r="O1524">
        <v>54.039591102446799</v>
      </c>
      <c r="P1524">
        <v>-4.6329616807978501E-2</v>
      </c>
      <c r="Q1524">
        <v>0.26694563009015998</v>
      </c>
      <c r="R1524">
        <v>0.97245154621602903</v>
      </c>
      <c r="S1524" t="s">
        <v>8170</v>
      </c>
      <c r="T1524" t="s">
        <v>13290</v>
      </c>
      <c r="U1524" t="s">
        <v>13290</v>
      </c>
      <c r="V1524" t="s">
        <v>13290</v>
      </c>
      <c r="W1524" t="s">
        <v>14785</v>
      </c>
      <c r="X1524">
        <v>22</v>
      </c>
      <c r="Y1524" t="s">
        <v>21359</v>
      </c>
      <c r="Z1524" t="s">
        <v>27854</v>
      </c>
      <c r="AA1524">
        <v>0.65316208397911801</v>
      </c>
      <c r="AB1524" t="str">
        <f>HYPERLINK("Melting_Curves/meltCurve_O43490_4_PROM1.pdf", "Melting_Curves/meltCurve_O43490_4_PROM1.pdf")</f>
        <v>Melting_Curves/meltCurve_O43490_4_PROM1.pdf</v>
      </c>
    </row>
    <row r="1525" spans="1:28" x14ac:dyDescent="0.25">
      <c r="A1525" t="s">
        <v>1529</v>
      </c>
      <c r="B1525">
        <v>0.99252571173614901</v>
      </c>
      <c r="C1525">
        <v>1.00335269557419</v>
      </c>
      <c r="D1525">
        <v>0.91739013744309295</v>
      </c>
      <c r="E1525">
        <v>1.0299011696717599</v>
      </c>
      <c r="F1525">
        <v>0.89494850561860795</v>
      </c>
      <c r="G1525">
        <v>0.782901531685397</v>
      </c>
      <c r="H1525">
        <v>0.89634974314303995</v>
      </c>
      <c r="I1525">
        <v>1.4615354580950799</v>
      </c>
      <c r="J1525">
        <v>2.8405994797219898</v>
      </c>
      <c r="K1525">
        <v>2.3520173564142399</v>
      </c>
      <c r="L1525">
        <v>15000</v>
      </c>
      <c r="M1525">
        <v>236.858540425744</v>
      </c>
      <c r="O1525">
        <v>63.3244371140702</v>
      </c>
      <c r="P1525">
        <v>0.46754973369907199</v>
      </c>
      <c r="Q1525">
        <v>1.5</v>
      </c>
      <c r="R1525">
        <v>0.42220714187931502</v>
      </c>
      <c r="S1525" t="s">
        <v>8171</v>
      </c>
      <c r="T1525" t="s">
        <v>13290</v>
      </c>
      <c r="U1525" t="s">
        <v>13290</v>
      </c>
      <c r="V1525" t="s">
        <v>13290</v>
      </c>
      <c r="W1525" t="s">
        <v>14786</v>
      </c>
      <c r="X1525">
        <v>14</v>
      </c>
      <c r="Y1525" t="s">
        <v>21360</v>
      </c>
      <c r="Z1525" t="s">
        <v>27855</v>
      </c>
      <c r="AA1525">
        <v>1.111122444447747</v>
      </c>
      <c r="AB1525" t="str">
        <f>HYPERLINK("Melting_Curves/meltCurve_O43493_4_TGOLN2.pdf", "Melting_Curves/meltCurve_O43493_4_TGOLN2.pdf")</f>
        <v>Melting_Curves/meltCurve_O43493_4_TGOLN2.pdf</v>
      </c>
    </row>
    <row r="1526" spans="1:28" x14ac:dyDescent="0.25">
      <c r="A1526" t="s">
        <v>1530</v>
      </c>
      <c r="B1526">
        <v>0.99252571173614901</v>
      </c>
      <c r="C1526">
        <v>1.0379908913648199</v>
      </c>
      <c r="D1526">
        <v>0.92395632456882004</v>
      </c>
      <c r="E1526">
        <v>0.83393679854052505</v>
      </c>
      <c r="F1526">
        <v>0.43231965302666597</v>
      </c>
      <c r="G1526">
        <v>0.12218632490322</v>
      </c>
      <c r="H1526">
        <v>4.1527512633606101E-2</v>
      </c>
      <c r="I1526">
        <v>5.0450606692476301E-2</v>
      </c>
      <c r="J1526">
        <v>4.8215500602472101E-2</v>
      </c>
      <c r="K1526">
        <v>4.24130603362615E-2</v>
      </c>
      <c r="L1526">
        <v>1432.7321687671999</v>
      </c>
      <c r="M1526">
        <v>27.335247427544701</v>
      </c>
      <c r="N1526">
        <v>52.5542461986037</v>
      </c>
      <c r="O1526">
        <v>52.135258791569001</v>
      </c>
      <c r="P1526">
        <v>-0.12644875748623399</v>
      </c>
      <c r="Q1526">
        <v>3.5329530949862298E-2</v>
      </c>
      <c r="R1526">
        <v>0.99684450777414602</v>
      </c>
      <c r="S1526" t="s">
        <v>8172</v>
      </c>
      <c r="T1526" t="s">
        <v>13290</v>
      </c>
      <c r="U1526" t="s">
        <v>13290</v>
      </c>
      <c r="V1526" t="s">
        <v>13290</v>
      </c>
      <c r="W1526" t="s">
        <v>14787</v>
      </c>
      <c r="X1526">
        <v>1</v>
      </c>
      <c r="Y1526" t="s">
        <v>21361</v>
      </c>
      <c r="Z1526" t="s">
        <v>27856</v>
      </c>
      <c r="AA1526">
        <v>0.44193290650474581</v>
      </c>
      <c r="AB1526" t="str">
        <f>HYPERLINK("Melting_Curves/meltCurve_O43502_RAD51C.pdf", "Melting_Curves/meltCurve_O43502_RAD51C.pdf")</f>
        <v>Melting_Curves/meltCurve_O43502_RAD51C.pdf</v>
      </c>
    </row>
    <row r="1527" spans="1:28" x14ac:dyDescent="0.25">
      <c r="A1527" t="s">
        <v>1531</v>
      </c>
      <c r="B1527">
        <v>0.99252571173614901</v>
      </c>
      <c r="C1527">
        <v>1.00598674125734</v>
      </c>
      <c r="D1527">
        <v>0.914017418100871</v>
      </c>
      <c r="E1527">
        <v>0.88213630136684695</v>
      </c>
      <c r="F1527">
        <v>0.74660651188840899</v>
      </c>
      <c r="G1527">
        <v>0.62695114931025098</v>
      </c>
      <c r="H1527">
        <v>0.574503865370532</v>
      </c>
      <c r="I1527">
        <v>0.81272801666703298</v>
      </c>
      <c r="J1527">
        <v>1.36988706472987</v>
      </c>
      <c r="K1527">
        <v>1.3914783442151</v>
      </c>
      <c r="L1527">
        <v>15000</v>
      </c>
      <c r="M1527">
        <v>226.298718089435</v>
      </c>
      <c r="O1527">
        <v>66.278885047531205</v>
      </c>
      <c r="P1527">
        <v>0.33494082016488003</v>
      </c>
      <c r="Q1527">
        <v>1.3923929740554299</v>
      </c>
      <c r="R1527">
        <v>0.35563752558132899</v>
      </c>
      <c r="S1527" t="s">
        <v>8173</v>
      </c>
      <c r="T1527" t="s">
        <v>13290</v>
      </c>
      <c r="U1527" t="s">
        <v>13290</v>
      </c>
      <c r="V1527" t="s">
        <v>13290</v>
      </c>
      <c r="W1527" t="s">
        <v>14788</v>
      </c>
      <c r="X1527">
        <v>5</v>
      </c>
      <c r="Y1527" t="s">
        <v>21362</v>
      </c>
      <c r="Z1527" t="s">
        <v>27857</v>
      </c>
      <c r="AA1527">
        <v>1.048547813420313</v>
      </c>
      <c r="AB1527" t="str">
        <f>HYPERLINK("Melting_Curves/meltCurve_O43504_LAMTOR5.pdf", "Melting_Curves/meltCurve_O43504_LAMTOR5.pdf")</f>
        <v>Melting_Curves/meltCurve_O43504_LAMTOR5.pdf</v>
      </c>
    </row>
    <row r="1528" spans="1:28" x14ac:dyDescent="0.25">
      <c r="A1528" t="s">
        <v>1532</v>
      </c>
      <c r="B1528">
        <v>0.99252571173614901</v>
      </c>
      <c r="C1528">
        <v>0.85137603667246398</v>
      </c>
      <c r="D1528">
        <v>0.81479363694794205</v>
      </c>
      <c r="E1528">
        <v>0.67103544579396701</v>
      </c>
      <c r="F1528">
        <v>0.457545435543325</v>
      </c>
      <c r="G1528">
        <v>0.219094257073392</v>
      </c>
      <c r="H1528">
        <v>0.135833454507816</v>
      </c>
      <c r="I1528">
        <v>0.15944753486392799</v>
      </c>
      <c r="J1528">
        <v>8.4513116113964004E-2</v>
      </c>
      <c r="K1528">
        <v>6.7534690120729393E-2</v>
      </c>
      <c r="L1528">
        <v>615.21043471471</v>
      </c>
      <c r="M1528">
        <v>11.899614116915901</v>
      </c>
      <c r="N1528">
        <v>51.920960906479102</v>
      </c>
      <c r="O1528">
        <v>50.304827123311298</v>
      </c>
      <c r="P1528">
        <v>-5.7691995378615399E-2</v>
      </c>
      <c r="Q1528">
        <v>2.4686714402711699E-2</v>
      </c>
      <c r="R1528">
        <v>0.98828261514212801</v>
      </c>
      <c r="S1528" t="s">
        <v>8174</v>
      </c>
      <c r="T1528" t="s">
        <v>13290</v>
      </c>
      <c r="U1528" t="s">
        <v>13290</v>
      </c>
      <c r="V1528" t="s">
        <v>13290</v>
      </c>
      <c r="W1528" t="s">
        <v>14789</v>
      </c>
      <c r="X1528">
        <v>4</v>
      </c>
      <c r="Y1528" t="s">
        <v>21363</v>
      </c>
      <c r="Z1528" t="s">
        <v>27858</v>
      </c>
      <c r="AA1528">
        <v>0.43584476749093298</v>
      </c>
      <c r="AB1528" t="str">
        <f>HYPERLINK("Melting_Curves/meltCurve_O43505_B3GNT1.pdf", "Melting_Curves/meltCurve_O43505_B3GNT1.pdf")</f>
        <v>Melting_Curves/meltCurve_O43505_B3GNT1.pdf</v>
      </c>
    </row>
    <row r="1529" spans="1:28" x14ac:dyDescent="0.25">
      <c r="A1529" t="s">
        <v>1533</v>
      </c>
      <c r="B1529">
        <v>0.99252571173614901</v>
      </c>
      <c r="C1529">
        <v>0.84009753334561099</v>
      </c>
      <c r="D1529">
        <v>0.97920689146016904</v>
      </c>
      <c r="E1529">
        <v>1.4870314820943999</v>
      </c>
      <c r="F1529">
        <v>1.0071497319618701</v>
      </c>
      <c r="G1529">
        <v>0.55203190696361704</v>
      </c>
      <c r="H1529">
        <v>0.40443708813548401</v>
      </c>
      <c r="I1529">
        <v>0.45623924646679798</v>
      </c>
      <c r="J1529">
        <v>0.82683488901791402</v>
      </c>
      <c r="K1529">
        <v>0.63777277627309603</v>
      </c>
      <c r="L1529">
        <v>13705.143656088099</v>
      </c>
      <c r="M1529">
        <v>250</v>
      </c>
      <c r="O1529">
        <v>54.817083862452101</v>
      </c>
      <c r="P1529">
        <v>-0.48405236523284301</v>
      </c>
      <c r="Q1529">
        <v>0.57545070894254902</v>
      </c>
      <c r="R1529">
        <v>0.60402945438551903</v>
      </c>
      <c r="S1529" t="s">
        <v>8175</v>
      </c>
      <c r="T1529" t="s">
        <v>13290</v>
      </c>
      <c r="U1529" t="s">
        <v>13290</v>
      </c>
      <c r="V1529" t="s">
        <v>13290</v>
      </c>
      <c r="W1529" t="s">
        <v>14790</v>
      </c>
      <c r="X1529">
        <v>2</v>
      </c>
      <c r="Y1529" t="s">
        <v>21364</v>
      </c>
      <c r="Z1529" t="s">
        <v>27859</v>
      </c>
      <c r="AA1529">
        <v>0.78522703617476231</v>
      </c>
      <c r="AB1529" t="str">
        <f>HYPERLINK("Melting_Curves/meltCurve_O43513_MED7.pdf", "Melting_Curves/meltCurve_O43513_MED7.pdf")</f>
        <v>Melting_Curves/meltCurve_O43513_MED7.pdf</v>
      </c>
    </row>
    <row r="1530" spans="1:28" x14ac:dyDescent="0.25">
      <c r="A1530" t="s">
        <v>1534</v>
      </c>
      <c r="B1530">
        <v>0.99252571173614901</v>
      </c>
      <c r="C1530">
        <v>0.91915048738421601</v>
      </c>
      <c r="D1530">
        <v>0.88707566116230796</v>
      </c>
      <c r="E1530">
        <v>0.87189935387298001</v>
      </c>
      <c r="F1530">
        <v>0.68679898415985996</v>
      </c>
      <c r="G1530">
        <v>0.41453921046502701</v>
      </c>
      <c r="H1530">
        <v>0.27705868747666101</v>
      </c>
      <c r="I1530">
        <v>0.153927592759109</v>
      </c>
      <c r="J1530">
        <v>0.18393512942825499</v>
      </c>
      <c r="K1530">
        <v>0.16033177883295999</v>
      </c>
      <c r="L1530">
        <v>836.03387935077501</v>
      </c>
      <c r="M1530">
        <v>15.264608836754199</v>
      </c>
      <c r="N1530">
        <v>55.685435459929302</v>
      </c>
      <c r="O1530">
        <v>53.8552568001504</v>
      </c>
      <c r="P1530">
        <v>-6.2998145154604807E-2</v>
      </c>
      <c r="Q1530">
        <v>0.111025693844755</v>
      </c>
      <c r="R1530">
        <v>0.98715764777434201</v>
      </c>
      <c r="S1530" t="s">
        <v>8176</v>
      </c>
      <c r="T1530" t="s">
        <v>13290</v>
      </c>
      <c r="U1530" t="s">
        <v>13290</v>
      </c>
      <c r="V1530" t="s">
        <v>13290</v>
      </c>
      <c r="W1530" t="s">
        <v>14791</v>
      </c>
      <c r="X1530">
        <v>17</v>
      </c>
      <c r="Y1530" t="s">
        <v>21365</v>
      </c>
      <c r="Z1530" t="s">
        <v>27860</v>
      </c>
      <c r="AA1530">
        <v>0.5657591335346922</v>
      </c>
      <c r="AB1530" t="str">
        <f>HYPERLINK("Melting_Curves/meltCurve_O43520_ATP8B1.pdf", "Melting_Curves/meltCurve_O43520_ATP8B1.pdf")</f>
        <v>Melting_Curves/meltCurve_O43520_ATP8B1.pdf</v>
      </c>
    </row>
    <row r="1531" spans="1:28" x14ac:dyDescent="0.25">
      <c r="A1531" t="s">
        <v>1535</v>
      </c>
      <c r="B1531">
        <v>0.99252571173614901</v>
      </c>
      <c r="C1531">
        <v>0.92015245546299596</v>
      </c>
      <c r="D1531">
        <v>0.75349238743627001</v>
      </c>
      <c r="E1531">
        <v>0.55488923992143402</v>
      </c>
      <c r="F1531">
        <v>0.37137134150427697</v>
      </c>
      <c r="G1531">
        <v>0.24530834590738501</v>
      </c>
      <c r="H1531">
        <v>0.20114588273926801</v>
      </c>
      <c r="I1531">
        <v>0.21006531182597299</v>
      </c>
      <c r="J1531">
        <v>0.32258026230709602</v>
      </c>
      <c r="K1531">
        <v>0.43674109265586603</v>
      </c>
      <c r="L1531">
        <v>950.16498839610495</v>
      </c>
      <c r="M1531">
        <v>19.8696492559916</v>
      </c>
      <c r="N1531">
        <v>49.870913232833303</v>
      </c>
      <c r="O1531">
        <v>47.343446042505903</v>
      </c>
      <c r="P1531">
        <v>-7.5635360023456194E-2</v>
      </c>
      <c r="Q1531">
        <v>0.27915804856064202</v>
      </c>
      <c r="R1531">
        <v>0.94130460528901705</v>
      </c>
      <c r="S1531" t="s">
        <v>8177</v>
      </c>
      <c r="T1531" t="s">
        <v>13290</v>
      </c>
      <c r="U1531" t="s">
        <v>13290</v>
      </c>
      <c r="V1531" t="s">
        <v>13290</v>
      </c>
      <c r="W1531" t="s">
        <v>14792</v>
      </c>
      <c r="X1531">
        <v>2</v>
      </c>
      <c r="Y1531" t="s">
        <v>21366</v>
      </c>
      <c r="Z1531" t="s">
        <v>27861</v>
      </c>
      <c r="AA1531">
        <v>0.47748515537084119</v>
      </c>
      <c r="AB1531" t="str">
        <f>HYPERLINK("Melting_Curves/meltCurve_O43524_FOXO3.pdf", "Melting_Curves/meltCurve_O43524_FOXO3.pdf")</f>
        <v>Melting_Curves/meltCurve_O43524_FOXO3.pdf</v>
      </c>
    </row>
    <row r="1532" spans="1:28" x14ac:dyDescent="0.25">
      <c r="A1532" t="s">
        <v>1536</v>
      </c>
      <c r="B1532">
        <v>0.99252571173614901</v>
      </c>
      <c r="C1532">
        <v>0.955467759161856</v>
      </c>
      <c r="D1532">
        <v>0.93593552333136998</v>
      </c>
      <c r="E1532">
        <v>0.75426489548032305</v>
      </c>
      <c r="F1532">
        <v>0.57099958672985296</v>
      </c>
      <c r="G1532">
        <v>0.25289650598803298</v>
      </c>
      <c r="H1532">
        <v>9.5998908918631401E-2</v>
      </c>
      <c r="I1532">
        <v>5.66840179897245E-2</v>
      </c>
      <c r="J1532">
        <v>4.76320528759583E-2</v>
      </c>
      <c r="K1532">
        <v>7.0605730845534495E-2</v>
      </c>
      <c r="L1532">
        <v>916.02887676958596</v>
      </c>
      <c r="M1532">
        <v>17.179854684757299</v>
      </c>
      <c r="N1532">
        <v>53.438059427486699</v>
      </c>
      <c r="O1532">
        <v>52.613230394869397</v>
      </c>
      <c r="P1532">
        <v>-8.0116716893185502E-2</v>
      </c>
      <c r="Q1532">
        <v>1.8629783602956099E-2</v>
      </c>
      <c r="R1532">
        <v>0.99506207219383602</v>
      </c>
      <c r="S1532" t="s">
        <v>8178</v>
      </c>
      <c r="T1532" t="s">
        <v>13290</v>
      </c>
      <c r="U1532" t="s">
        <v>13290</v>
      </c>
      <c r="V1532" t="s">
        <v>13290</v>
      </c>
      <c r="W1532" t="s">
        <v>14793</v>
      </c>
      <c r="X1532">
        <v>3</v>
      </c>
      <c r="Y1532" t="s">
        <v>21367</v>
      </c>
      <c r="Z1532" t="s">
        <v>27862</v>
      </c>
      <c r="AA1532">
        <v>0.4715090588238588</v>
      </c>
      <c r="AB1532" t="str">
        <f>HYPERLINK("Melting_Curves/meltCurve_O43542_XRCC3.pdf", "Melting_Curves/meltCurve_O43542_XRCC3.pdf")</f>
        <v>Melting_Curves/meltCurve_O43542_XRCC3.pdf</v>
      </c>
    </row>
    <row r="1533" spans="1:28" x14ac:dyDescent="0.25">
      <c r="A1533" t="s">
        <v>1537</v>
      </c>
      <c r="B1533">
        <v>0.99252571173614901</v>
      </c>
      <c r="C1533">
        <v>1.0736581579154001</v>
      </c>
      <c r="D1533">
        <v>0.98766553879275099</v>
      </c>
      <c r="E1533">
        <v>0.90035567754995005</v>
      </c>
      <c r="F1533">
        <v>0.65908589806520401</v>
      </c>
      <c r="G1533">
        <v>0.65591021796575699</v>
      </c>
      <c r="H1533">
        <v>0.63252026546166595</v>
      </c>
      <c r="I1533">
        <v>0.66299853185075697</v>
      </c>
      <c r="J1533">
        <v>1.09627735719049</v>
      </c>
      <c r="K1533">
        <v>0.83392260826315101</v>
      </c>
      <c r="L1533">
        <v>12418.1146291972</v>
      </c>
      <c r="M1533">
        <v>250</v>
      </c>
      <c r="O1533">
        <v>49.669279388434298</v>
      </c>
      <c r="P1533">
        <v>-0.30604201919836899</v>
      </c>
      <c r="Q1533">
        <v>0.75678581332721495</v>
      </c>
      <c r="R1533">
        <v>0.44746994619179797</v>
      </c>
      <c r="S1533" t="s">
        <v>8179</v>
      </c>
      <c r="T1533" t="s">
        <v>13290</v>
      </c>
      <c r="U1533" t="s">
        <v>13290</v>
      </c>
      <c r="V1533" t="s">
        <v>13290</v>
      </c>
      <c r="W1533" t="s">
        <v>14794</v>
      </c>
      <c r="X1533">
        <v>3</v>
      </c>
      <c r="Y1533" t="s">
        <v>21368</v>
      </c>
      <c r="Z1533" t="s">
        <v>27863</v>
      </c>
      <c r="AA1533">
        <v>0.8352229864188766</v>
      </c>
      <c r="AB1533" t="str">
        <f>HYPERLINK("Melting_Curves/meltCurve_O43567_RNF13.pdf", "Melting_Curves/meltCurve_O43567_RNF13.pdf")</f>
        <v>Melting_Curves/meltCurve_O43567_RNF13.pdf</v>
      </c>
    </row>
    <row r="1534" spans="1:28" x14ac:dyDescent="0.25">
      <c r="A1534" t="s">
        <v>1538</v>
      </c>
      <c r="B1534">
        <v>0.99252571173614901</v>
      </c>
      <c r="C1534">
        <v>1.0844929029800101</v>
      </c>
      <c r="D1534">
        <v>1.0083479816871299</v>
      </c>
      <c r="E1534">
        <v>1.03932685221564</v>
      </c>
      <c r="F1534">
        <v>0.83940850188752703</v>
      </c>
      <c r="G1534">
        <v>0.763635430009728</v>
      </c>
      <c r="H1534">
        <v>0.64040856405720004</v>
      </c>
      <c r="I1534">
        <v>0.57253655638011602</v>
      </c>
      <c r="J1534">
        <v>0.59858449956090498</v>
      </c>
      <c r="K1534">
        <v>0.46459647027580497</v>
      </c>
      <c r="L1534">
        <v>967.62743942343297</v>
      </c>
      <c r="M1534">
        <v>16.932372388154398</v>
      </c>
      <c r="O1534">
        <v>56.367364934270498</v>
      </c>
      <c r="P1534">
        <v>-3.7438904703550803E-2</v>
      </c>
      <c r="Q1534">
        <v>0.501499285864075</v>
      </c>
      <c r="R1534">
        <v>0.94947292582556397</v>
      </c>
      <c r="S1534" t="s">
        <v>8180</v>
      </c>
      <c r="T1534" t="s">
        <v>13290</v>
      </c>
      <c r="U1534" t="s">
        <v>13290</v>
      </c>
      <c r="V1534" t="s">
        <v>13290</v>
      </c>
      <c r="W1534" t="s">
        <v>14795</v>
      </c>
      <c r="X1534">
        <v>16</v>
      </c>
      <c r="Y1534" t="s">
        <v>21369</v>
      </c>
      <c r="Z1534" t="s">
        <v>27864</v>
      </c>
      <c r="AA1534">
        <v>0.79354469351399148</v>
      </c>
      <c r="AB1534" t="str">
        <f>HYPERLINK("Melting_Curves/meltCurve_O43583_DENR.pdf", "Melting_Curves/meltCurve_O43583_DENR.pdf")</f>
        <v>Melting_Curves/meltCurve_O43583_DENR.pdf</v>
      </c>
    </row>
    <row r="1535" spans="1:28" x14ac:dyDescent="0.25">
      <c r="A1535" t="s">
        <v>1539</v>
      </c>
      <c r="B1535">
        <v>0.99252571173614901</v>
      </c>
      <c r="C1535">
        <v>0.97040041637503405</v>
      </c>
      <c r="D1535">
        <v>0.69725497045930096</v>
      </c>
      <c r="E1535">
        <v>0.39675626094917699</v>
      </c>
      <c r="F1535">
        <v>0.175718605112094</v>
      </c>
      <c r="G1535">
        <v>0.111098903343592</v>
      </c>
      <c r="H1535">
        <v>7.5532049715629698E-2</v>
      </c>
      <c r="I1535">
        <v>7.3495764153199306E-2</v>
      </c>
      <c r="J1535">
        <v>6.94075509616318E-2</v>
      </c>
      <c r="K1535">
        <v>6.6156514308396294E-2</v>
      </c>
      <c r="L1535">
        <v>993.49113722554898</v>
      </c>
      <c r="M1535">
        <v>20.705097816059201</v>
      </c>
      <c r="N1535">
        <v>48.3259178059484</v>
      </c>
      <c r="O1535">
        <v>47.542072990609697</v>
      </c>
      <c r="P1535">
        <v>-0.10144050142795701</v>
      </c>
      <c r="Q1535">
        <v>6.8335065871999903E-2</v>
      </c>
      <c r="R1535">
        <v>0.997486887972731</v>
      </c>
      <c r="S1535" t="s">
        <v>8181</v>
      </c>
      <c r="T1535" t="s">
        <v>13290</v>
      </c>
      <c r="U1535" t="s">
        <v>13290</v>
      </c>
      <c r="V1535" t="s">
        <v>13290</v>
      </c>
      <c r="W1535" t="s">
        <v>14796</v>
      </c>
      <c r="X1535">
        <v>14</v>
      </c>
      <c r="Y1535" t="s">
        <v>21370</v>
      </c>
      <c r="Z1535" t="s">
        <v>27865</v>
      </c>
      <c r="AA1535">
        <v>0.3285535121103218</v>
      </c>
      <c r="AB1535" t="str">
        <f>HYPERLINK("Melting_Curves/meltCurve_O43592_XPOT.pdf", "Melting_Curves/meltCurve_O43592_XPOT.pdf")</f>
        <v>Melting_Curves/meltCurve_O43592_XPOT.pdf</v>
      </c>
    </row>
    <row r="1536" spans="1:28" x14ac:dyDescent="0.25">
      <c r="A1536" t="s">
        <v>1540</v>
      </c>
      <c r="B1536">
        <v>0.99252571173614901</v>
      </c>
      <c r="C1536">
        <v>0.94212080746203497</v>
      </c>
      <c r="D1536">
        <v>0.97387822291485704</v>
      </c>
      <c r="E1536">
        <v>1.0050922628347601</v>
      </c>
      <c r="F1536">
        <v>0.82898204111487195</v>
      </c>
      <c r="G1536">
        <v>0.678795954816243</v>
      </c>
      <c r="H1536">
        <v>0.56401349522702604</v>
      </c>
      <c r="I1536">
        <v>0.69687046875068404</v>
      </c>
      <c r="J1536">
        <v>1.1218912876896401</v>
      </c>
      <c r="K1536">
        <v>1.1624108614867299</v>
      </c>
      <c r="L1536">
        <v>8549.8170669945794</v>
      </c>
      <c r="M1536">
        <v>166.94812316886799</v>
      </c>
      <c r="O1536">
        <v>51.205069903909603</v>
      </c>
      <c r="P1536">
        <v>-0.12868876156248099</v>
      </c>
      <c r="Q1536">
        <v>0.84211821313832402</v>
      </c>
      <c r="R1536">
        <v>0.120892473384404</v>
      </c>
      <c r="S1536" t="s">
        <v>8182</v>
      </c>
      <c r="T1536" t="s">
        <v>13290</v>
      </c>
      <c r="U1536" t="s">
        <v>13290</v>
      </c>
      <c r="V1536" t="s">
        <v>13290</v>
      </c>
      <c r="W1536" t="s">
        <v>14797</v>
      </c>
      <c r="X1536">
        <v>2</v>
      </c>
      <c r="Y1536" t="s">
        <v>21371</v>
      </c>
      <c r="Z1536" t="s">
        <v>27866</v>
      </c>
      <c r="AA1536">
        <v>0.90115792795907113</v>
      </c>
      <c r="AB1536" t="str">
        <f>HYPERLINK("Melting_Curves/meltCurve_O43597_SPRY2.pdf", "Melting_Curves/meltCurve_O43597_SPRY2.pdf")</f>
        <v>Melting_Curves/meltCurve_O43597_SPRY2.pdf</v>
      </c>
    </row>
    <row r="1537" spans="1:28" x14ac:dyDescent="0.25">
      <c r="A1537" t="s">
        <v>1541</v>
      </c>
      <c r="B1537">
        <v>0.99252571173614901</v>
      </c>
      <c r="C1537">
        <v>1.05244417976516</v>
      </c>
      <c r="D1537">
        <v>0.93682920685644999</v>
      </c>
      <c r="E1537">
        <v>0.83203957902903902</v>
      </c>
      <c r="F1537">
        <v>0.75994635837597602</v>
      </c>
      <c r="G1537">
        <v>0.62446455965348702</v>
      </c>
      <c r="H1537">
        <v>0.57046897731504498</v>
      </c>
      <c r="I1537">
        <v>0.56034733811516702</v>
      </c>
      <c r="J1537">
        <v>0.202093182768499</v>
      </c>
      <c r="K1537">
        <v>0.18398498307953401</v>
      </c>
      <c r="L1537">
        <v>537.34163702475996</v>
      </c>
      <c r="M1537">
        <v>8.7914784037640299</v>
      </c>
      <c r="N1537">
        <v>61.120731568349697</v>
      </c>
      <c r="O1537">
        <v>58.205861410178798</v>
      </c>
      <c r="P1537">
        <v>-3.7790234656110297E-2</v>
      </c>
      <c r="Q1537">
        <v>0</v>
      </c>
      <c r="R1537">
        <v>0.93342666247219097</v>
      </c>
      <c r="S1537" t="s">
        <v>8183</v>
      </c>
      <c r="T1537" t="s">
        <v>13290</v>
      </c>
      <c r="U1537" t="s">
        <v>13290</v>
      </c>
      <c r="V1537" t="s">
        <v>13290</v>
      </c>
      <c r="W1537" t="s">
        <v>14798</v>
      </c>
      <c r="X1537">
        <v>13</v>
      </c>
      <c r="Y1537" t="s">
        <v>21372</v>
      </c>
      <c r="Z1537" t="s">
        <v>27867</v>
      </c>
      <c r="AA1537">
        <v>0.68338192694142663</v>
      </c>
      <c r="AB1537" t="str">
        <f>HYPERLINK("Melting_Curves/meltCurve_O43598_DNPH1.pdf", "Melting_Curves/meltCurve_O43598_DNPH1.pdf")</f>
        <v>Melting_Curves/meltCurve_O43598_DNPH1.pdf</v>
      </c>
    </row>
    <row r="1538" spans="1:28" x14ac:dyDescent="0.25">
      <c r="A1538" t="s">
        <v>1542</v>
      </c>
      <c r="B1538">
        <v>0.99252571173614901</v>
      </c>
      <c r="C1538">
        <v>1.0117805821827399</v>
      </c>
      <c r="D1538">
        <v>0.86595275335328703</v>
      </c>
      <c r="E1538">
        <v>0.65860693669098602</v>
      </c>
      <c r="F1538">
        <v>0.21807531069035399</v>
      </c>
      <c r="G1538">
        <v>0.106060513293758</v>
      </c>
      <c r="H1538">
        <v>7.2511661331989899E-2</v>
      </c>
      <c r="I1538">
        <v>7.7110404629928603E-2</v>
      </c>
      <c r="J1538">
        <v>9.1414832182518099E-2</v>
      </c>
      <c r="K1538">
        <v>8.9887877621932705E-2</v>
      </c>
      <c r="L1538">
        <v>1365.3525721773101</v>
      </c>
      <c r="M1538">
        <v>27.155112578114199</v>
      </c>
      <c r="N1538">
        <v>50.581456031546402</v>
      </c>
      <c r="O1538">
        <v>50.009467120184397</v>
      </c>
      <c r="P1538">
        <v>-0.12560168676188599</v>
      </c>
      <c r="Q1538">
        <v>7.4765491913149296E-2</v>
      </c>
      <c r="R1538">
        <v>0.99514947776493701</v>
      </c>
      <c r="S1538" t="s">
        <v>8184</v>
      </c>
      <c r="T1538" t="s">
        <v>13290</v>
      </c>
      <c r="U1538" t="s">
        <v>13290</v>
      </c>
      <c r="V1538" t="s">
        <v>13290</v>
      </c>
      <c r="W1538" t="s">
        <v>14799</v>
      </c>
      <c r="X1538">
        <v>31</v>
      </c>
      <c r="Y1538" t="s">
        <v>21373</v>
      </c>
      <c r="Z1538" t="s">
        <v>27868</v>
      </c>
      <c r="AA1538">
        <v>0.39883174339671063</v>
      </c>
      <c r="AB1538" t="str">
        <f>HYPERLINK("Melting_Curves/meltCurve_O43615_TIMM44.pdf", "Melting_Curves/meltCurve_O43615_TIMM44.pdf")</f>
        <v>Melting_Curves/meltCurve_O43615_TIMM44.pdf</v>
      </c>
    </row>
    <row r="1539" spans="1:28" x14ac:dyDescent="0.25">
      <c r="A1539" t="s">
        <v>1543</v>
      </c>
      <c r="B1539">
        <v>0.99252571173614901</v>
      </c>
      <c r="C1539">
        <v>1.0053502142265001</v>
      </c>
      <c r="D1539">
        <v>0.943900296495785</v>
      </c>
      <c r="E1539">
        <v>0.75993009868320105</v>
      </c>
      <c r="F1539">
        <v>0.69610193315409896</v>
      </c>
      <c r="G1539">
        <v>0.40739919814648601</v>
      </c>
      <c r="H1539">
        <v>0.274319209381512</v>
      </c>
      <c r="I1539">
        <v>0.26670655010488697</v>
      </c>
      <c r="J1539">
        <v>0.25517871467763997</v>
      </c>
      <c r="K1539">
        <v>0.21424255519947299</v>
      </c>
      <c r="L1539">
        <v>819.15577573969597</v>
      </c>
      <c r="M1539">
        <v>15.2744169601797</v>
      </c>
      <c r="N1539">
        <v>55.427214034833398</v>
      </c>
      <c r="O1539">
        <v>52.735257075677097</v>
      </c>
      <c r="P1539">
        <v>-5.8270406050559199E-2</v>
      </c>
      <c r="Q1539">
        <v>0.19535652521958499</v>
      </c>
      <c r="R1539">
        <v>0.98766761534231495</v>
      </c>
      <c r="S1539" t="s">
        <v>8185</v>
      </c>
      <c r="T1539" t="s">
        <v>13290</v>
      </c>
      <c r="U1539" t="s">
        <v>13290</v>
      </c>
      <c r="V1539" t="s">
        <v>13290</v>
      </c>
      <c r="W1539" t="s">
        <v>14800</v>
      </c>
      <c r="X1539">
        <v>7</v>
      </c>
      <c r="Y1539" t="s">
        <v>21374</v>
      </c>
      <c r="Z1539" t="s">
        <v>27869</v>
      </c>
      <c r="AA1539">
        <v>0.57734507988548878</v>
      </c>
      <c r="AB1539" t="str">
        <f>HYPERLINK("Melting_Curves/meltCurve_O43617_TRAPPC3.pdf", "Melting_Curves/meltCurve_O43617_TRAPPC3.pdf")</f>
        <v>Melting_Curves/meltCurve_O43617_TRAPPC3.pdf</v>
      </c>
    </row>
    <row r="1540" spans="1:28" x14ac:dyDescent="0.25">
      <c r="A1540" t="s">
        <v>1544</v>
      </c>
      <c r="B1540">
        <v>0.99252571173614901</v>
      </c>
      <c r="C1540">
        <v>1.1124244737300899</v>
      </c>
      <c r="D1540">
        <v>1.0083002825810701</v>
      </c>
      <c r="E1540">
        <v>0.97258752669891801</v>
      </c>
      <c r="F1540">
        <v>0.631628574815293</v>
      </c>
      <c r="G1540">
        <v>0.33885037391040201</v>
      </c>
      <c r="H1540">
        <v>0.13958442393085299</v>
      </c>
      <c r="I1540">
        <v>0.129406974276427</v>
      </c>
      <c r="J1540">
        <v>0.13980801691602099</v>
      </c>
      <c r="K1540">
        <v>0.13103351707972799</v>
      </c>
      <c r="L1540">
        <v>1521.47531577579</v>
      </c>
      <c r="M1540">
        <v>28.1411964134881</v>
      </c>
      <c r="N1540">
        <v>54.631452627693498</v>
      </c>
      <c r="O1540">
        <v>53.794962044729701</v>
      </c>
      <c r="P1540">
        <v>-0.114251802402869</v>
      </c>
      <c r="Q1540">
        <v>0.12638835861763001</v>
      </c>
      <c r="R1540">
        <v>0.98955729904712397</v>
      </c>
      <c r="S1540" t="s">
        <v>8186</v>
      </c>
      <c r="T1540" t="s">
        <v>13290</v>
      </c>
      <c r="U1540" t="s">
        <v>13290</v>
      </c>
      <c r="V1540" t="s">
        <v>13290</v>
      </c>
      <c r="W1540" t="s">
        <v>14801</v>
      </c>
      <c r="X1540">
        <v>12</v>
      </c>
      <c r="Y1540" t="s">
        <v>21375</v>
      </c>
      <c r="Z1540" t="s">
        <v>27870</v>
      </c>
      <c r="AA1540">
        <v>0.54247838790822323</v>
      </c>
      <c r="AB1540" t="str">
        <f>HYPERLINK("Melting_Curves/meltCurve_O43633_CHMP2A.pdf", "Melting_Curves/meltCurve_O43633_CHMP2A.pdf")</f>
        <v>Melting_Curves/meltCurve_O43633_CHMP2A.pdf</v>
      </c>
    </row>
    <row r="1541" spans="1:28" x14ac:dyDescent="0.25">
      <c r="A1541" t="s">
        <v>1545</v>
      </c>
      <c r="B1541">
        <v>0.99252571173614901</v>
      </c>
      <c r="C1541">
        <v>1.0174355488998199</v>
      </c>
      <c r="D1541">
        <v>0.72466593090984299</v>
      </c>
      <c r="E1541">
        <v>0.28298354000071002</v>
      </c>
      <c r="F1541">
        <v>0.171904187533539</v>
      </c>
      <c r="G1541">
        <v>9.1014317273235501E-2</v>
      </c>
      <c r="H1541">
        <v>7.4595563739027607E-2</v>
      </c>
      <c r="I1541">
        <v>9.4289057773414897E-2</v>
      </c>
      <c r="J1541">
        <v>0.119525570826301</v>
      </c>
      <c r="K1541">
        <v>0.11748608844743599</v>
      </c>
      <c r="L1541">
        <v>1456.0189850054401</v>
      </c>
      <c r="M1541">
        <v>30.757397932448999</v>
      </c>
      <c r="N1541">
        <v>47.704612398325303</v>
      </c>
      <c r="O1541">
        <v>47.140080022830801</v>
      </c>
      <c r="P1541">
        <v>-0.145982995572456</v>
      </c>
      <c r="Q1541">
        <v>0.10504696225900501</v>
      </c>
      <c r="R1541">
        <v>0.99528752927019803</v>
      </c>
      <c r="S1541" t="s">
        <v>8187</v>
      </c>
      <c r="T1541" t="s">
        <v>13290</v>
      </c>
      <c r="U1541" t="s">
        <v>13290</v>
      </c>
      <c r="V1541" t="s">
        <v>13290</v>
      </c>
      <c r="W1541" t="s">
        <v>14802</v>
      </c>
      <c r="X1541">
        <v>8</v>
      </c>
      <c r="Y1541" t="s">
        <v>21376</v>
      </c>
      <c r="Z1541" t="s">
        <v>27871</v>
      </c>
      <c r="AA1541">
        <v>0.32906702608630511</v>
      </c>
      <c r="AB1541" t="str">
        <f>HYPERLINK("Melting_Curves/meltCurve_O43639_NCK2.pdf", "Melting_Curves/meltCurve_O43639_NCK2.pdf")</f>
        <v>Melting_Curves/meltCurve_O43639_NCK2.pdf</v>
      </c>
    </row>
    <row r="1542" spans="1:28" x14ac:dyDescent="0.25">
      <c r="A1542" t="s">
        <v>1546</v>
      </c>
      <c r="B1542">
        <v>0.99252571173614901</v>
      </c>
      <c r="C1542">
        <v>1.0058725623083</v>
      </c>
      <c r="D1542">
        <v>0.95466132243880697</v>
      </c>
      <c r="E1542">
        <v>0.81294689670952303</v>
      </c>
      <c r="F1542">
        <v>0.70603227618517295</v>
      </c>
      <c r="G1542">
        <v>0.58509005844223705</v>
      </c>
      <c r="H1542">
        <v>0.60531360398997303</v>
      </c>
      <c r="I1542">
        <v>0.70767665914470301</v>
      </c>
      <c r="J1542">
        <v>1.1589064932851101</v>
      </c>
      <c r="K1542">
        <v>0.96038250344764498</v>
      </c>
      <c r="L1542">
        <v>2438.5225623148499</v>
      </c>
      <c r="M1542">
        <v>51.650954538447898</v>
      </c>
      <c r="O1542">
        <v>47.140942790451</v>
      </c>
      <c r="P1542">
        <v>-5.79655413369696E-2</v>
      </c>
      <c r="Q1542">
        <v>0.78838345768149998</v>
      </c>
      <c r="R1542">
        <v>0.23917144858658301</v>
      </c>
      <c r="S1542" t="s">
        <v>8188</v>
      </c>
      <c r="T1542" t="s">
        <v>13290</v>
      </c>
      <c r="U1542" t="s">
        <v>13290</v>
      </c>
      <c r="V1542" t="s">
        <v>13290</v>
      </c>
      <c r="W1542" t="s">
        <v>14803</v>
      </c>
      <c r="X1542">
        <v>4</v>
      </c>
      <c r="Y1542" t="s">
        <v>21377</v>
      </c>
      <c r="Z1542" t="s">
        <v>27872</v>
      </c>
      <c r="AA1542">
        <v>0.83966626045749471</v>
      </c>
      <c r="AB1542" t="str">
        <f>HYPERLINK("Melting_Curves/meltCurve_O43657_TSPAN6.pdf", "Melting_Curves/meltCurve_O43657_TSPAN6.pdf")</f>
        <v>Melting_Curves/meltCurve_O43657_TSPAN6.pdf</v>
      </c>
    </row>
    <row r="1543" spans="1:28" x14ac:dyDescent="0.25">
      <c r="A1543" t="s">
        <v>1547</v>
      </c>
      <c r="B1543">
        <v>0.99252571173614901</v>
      </c>
      <c r="C1543">
        <v>0.72202394940664105</v>
      </c>
      <c r="D1543">
        <v>0.31028013359269702</v>
      </c>
      <c r="E1543">
        <v>0.16319003219079201</v>
      </c>
      <c r="F1543">
        <v>0.121244822994606</v>
      </c>
      <c r="G1543">
        <v>6.5037293510258595E-2</v>
      </c>
      <c r="H1543">
        <v>4.6746867860990297E-2</v>
      </c>
      <c r="I1543">
        <v>5.3697297542563499E-2</v>
      </c>
      <c r="J1543">
        <v>7.2801035629912803E-2</v>
      </c>
      <c r="K1543">
        <v>7.4358327674428307E-2</v>
      </c>
      <c r="L1543">
        <v>1196.9303053290901</v>
      </c>
      <c r="M1543">
        <v>27.015873665453199</v>
      </c>
      <c r="N1543">
        <v>44.571160137880803</v>
      </c>
      <c r="O1543">
        <v>44.064098492101699</v>
      </c>
      <c r="P1543">
        <v>-0.14184858832753799</v>
      </c>
      <c r="Q1543">
        <v>7.4563822250814898E-2</v>
      </c>
      <c r="R1543">
        <v>0.99364803421002501</v>
      </c>
      <c r="S1543" t="s">
        <v>8189</v>
      </c>
      <c r="T1543" t="s">
        <v>13290</v>
      </c>
      <c r="U1543" t="s">
        <v>13290</v>
      </c>
      <c r="V1543" t="s">
        <v>13290</v>
      </c>
      <c r="W1543" t="s">
        <v>14804</v>
      </c>
      <c r="X1543">
        <v>5</v>
      </c>
      <c r="Y1543" t="s">
        <v>21378</v>
      </c>
      <c r="Z1543" t="s">
        <v>27873</v>
      </c>
      <c r="AA1543">
        <v>0.21568785493307191</v>
      </c>
      <c r="AB1543" t="str">
        <f>HYPERLINK("Melting_Curves/meltCurve_O43663_2_PRC1.pdf", "Melting_Curves/meltCurve_O43663_2_PRC1.pdf")</f>
        <v>Melting_Curves/meltCurve_O43663_2_PRC1.pdf</v>
      </c>
    </row>
    <row r="1544" spans="1:28" x14ac:dyDescent="0.25">
      <c r="A1544" t="s">
        <v>1548</v>
      </c>
      <c r="B1544">
        <v>0.99252571173614901</v>
      </c>
      <c r="C1544">
        <v>1.00466426401705</v>
      </c>
      <c r="D1544">
        <v>0.967106495411861</v>
      </c>
      <c r="E1544">
        <v>0.88008403246049405</v>
      </c>
      <c r="F1544">
        <v>0.76258783710476896</v>
      </c>
      <c r="G1544">
        <v>0.72631806713087599</v>
      </c>
      <c r="H1544">
        <v>1.2031999135044</v>
      </c>
      <c r="I1544">
        <v>1.24284688753949</v>
      </c>
      <c r="J1544">
        <v>2.0700289438672099</v>
      </c>
      <c r="K1544">
        <v>1.6852868674480099</v>
      </c>
      <c r="L1544">
        <v>3290.4790093423599</v>
      </c>
      <c r="M1544">
        <v>52.979293831431399</v>
      </c>
      <c r="O1544">
        <v>62.020479956136398</v>
      </c>
      <c r="P1544">
        <v>0.106777906422069</v>
      </c>
      <c r="Q1544">
        <v>1.5</v>
      </c>
      <c r="R1544">
        <v>0.658484061758699</v>
      </c>
      <c r="S1544" t="s">
        <v>8190</v>
      </c>
      <c r="T1544" t="s">
        <v>13290</v>
      </c>
      <c r="U1544" t="s">
        <v>13290</v>
      </c>
      <c r="V1544" t="s">
        <v>13290</v>
      </c>
      <c r="W1544" t="s">
        <v>14805</v>
      </c>
      <c r="X1544">
        <v>7</v>
      </c>
      <c r="Y1544" t="s">
        <v>21379</v>
      </c>
      <c r="Z1544" t="s">
        <v>27874</v>
      </c>
      <c r="AA1544">
        <v>1.130367121892625</v>
      </c>
      <c r="AB1544" t="str">
        <f>HYPERLINK("Melting_Curves/meltCurve_O43676_NDUFB3.pdf", "Melting_Curves/meltCurve_O43676_NDUFB3.pdf")</f>
        <v>Melting_Curves/meltCurve_O43676_NDUFB3.pdf</v>
      </c>
    </row>
    <row r="1545" spans="1:28" x14ac:dyDescent="0.25">
      <c r="A1545" t="s">
        <v>1549</v>
      </c>
      <c r="B1545">
        <v>0.99252571173614901</v>
      </c>
      <c r="C1545">
        <v>1.06696087727792</v>
      </c>
      <c r="D1545">
        <v>0.97448320806982602</v>
      </c>
      <c r="E1545">
        <v>0.96099635532111605</v>
      </c>
      <c r="F1545">
        <v>0.84056191407555703</v>
      </c>
      <c r="G1545">
        <v>0.76933585128619797</v>
      </c>
      <c r="H1545">
        <v>0.923743610409412</v>
      </c>
      <c r="I1545">
        <v>1.2120779778230599</v>
      </c>
      <c r="J1545">
        <v>1.49762473973724</v>
      </c>
      <c r="K1545">
        <v>1.3478616797276499</v>
      </c>
      <c r="L1545">
        <v>15000</v>
      </c>
      <c r="M1545">
        <v>234.38171675626501</v>
      </c>
      <c r="O1545">
        <v>63.993515711099903</v>
      </c>
      <c r="P1545">
        <v>0.38708527151732602</v>
      </c>
      <c r="Q1545">
        <v>1.4227453261730101</v>
      </c>
      <c r="R1545">
        <v>0.78238185280552197</v>
      </c>
      <c r="S1545" t="s">
        <v>8191</v>
      </c>
      <c r="T1545" t="s">
        <v>13290</v>
      </c>
      <c r="U1545" t="s">
        <v>13290</v>
      </c>
      <c r="V1545" t="s">
        <v>13290</v>
      </c>
      <c r="W1545" t="s">
        <v>14806</v>
      </c>
      <c r="X1545">
        <v>2</v>
      </c>
      <c r="Y1545" t="s">
        <v>21380</v>
      </c>
      <c r="Z1545" t="s">
        <v>27875</v>
      </c>
      <c r="AA1545">
        <v>1.084520888710174</v>
      </c>
      <c r="AB1545" t="str">
        <f>HYPERLINK("Melting_Curves/meltCurve_O43677_NDUFC1.pdf", "Melting_Curves/meltCurve_O43677_NDUFC1.pdf")</f>
        <v>Melting_Curves/meltCurve_O43677_NDUFC1.pdf</v>
      </c>
    </row>
    <row r="1546" spans="1:28" x14ac:dyDescent="0.25">
      <c r="A1546" t="s">
        <v>1550</v>
      </c>
      <c r="B1546">
        <v>0.99252571173614901</v>
      </c>
      <c r="C1546">
        <v>1.01243206488952</v>
      </c>
      <c r="D1546">
        <v>1.01204605530356</v>
      </c>
      <c r="E1546">
        <v>1.0687891419254001</v>
      </c>
      <c r="F1546">
        <v>0.70437814345175798</v>
      </c>
      <c r="G1546">
        <v>0.37632304707451902</v>
      </c>
      <c r="H1546">
        <v>0.302493512732803</v>
      </c>
      <c r="I1546">
        <v>0.283413786364897</v>
      </c>
      <c r="J1546">
        <v>0.41932298601861301</v>
      </c>
      <c r="K1546">
        <v>0.47325187109258998</v>
      </c>
      <c r="L1546">
        <v>13306.4006643545</v>
      </c>
      <c r="M1546">
        <v>250</v>
      </c>
      <c r="N1546">
        <v>53.515557303703602</v>
      </c>
      <c r="O1546">
        <v>53.222183618955903</v>
      </c>
      <c r="P1546">
        <v>-0.73869435508008596</v>
      </c>
      <c r="Q1546">
        <v>0.37096102139232201</v>
      </c>
      <c r="R1546">
        <v>0.96880885728770105</v>
      </c>
      <c r="S1546" t="s">
        <v>8192</v>
      </c>
      <c r="T1546" t="s">
        <v>13290</v>
      </c>
      <c r="U1546" t="s">
        <v>13290</v>
      </c>
      <c r="V1546" t="s">
        <v>13290</v>
      </c>
      <c r="W1546" t="s">
        <v>14807</v>
      </c>
      <c r="X1546">
        <v>6</v>
      </c>
      <c r="Y1546" t="s">
        <v>21381</v>
      </c>
      <c r="Z1546" t="s">
        <v>27876</v>
      </c>
      <c r="AA1546">
        <v>0.6483337662253571</v>
      </c>
      <c r="AB1546" t="str">
        <f>HYPERLINK("Melting_Curves/meltCurve_O43678_NDUFA2.pdf", "Melting_Curves/meltCurve_O43678_NDUFA2.pdf")</f>
        <v>Melting_Curves/meltCurve_O43678_NDUFA2.pdf</v>
      </c>
    </row>
    <row r="1547" spans="1:28" x14ac:dyDescent="0.25">
      <c r="A1547" t="s">
        <v>1551</v>
      </c>
      <c r="B1547">
        <v>0.99252571173614901</v>
      </c>
      <c r="C1547">
        <v>1.03453062879838</v>
      </c>
      <c r="D1547">
        <v>0.97485858340031595</v>
      </c>
      <c r="E1547">
        <v>0.83122933786345998</v>
      </c>
      <c r="F1547">
        <v>0.77215982113043902</v>
      </c>
      <c r="G1547">
        <v>0.59882449105108404</v>
      </c>
      <c r="H1547">
        <v>0.292684129459094</v>
      </c>
      <c r="I1547">
        <v>0.10267996712970601</v>
      </c>
      <c r="J1547">
        <v>8.16975077164665E-2</v>
      </c>
      <c r="K1547">
        <v>7.0738152960105896E-2</v>
      </c>
      <c r="L1547">
        <v>900.42215209493895</v>
      </c>
      <c r="M1547">
        <v>15.697723037064501</v>
      </c>
      <c r="N1547">
        <v>57.360048471980001</v>
      </c>
      <c r="O1547">
        <v>56.453378998099701</v>
      </c>
      <c r="P1547">
        <v>-6.9522189152888506E-2</v>
      </c>
      <c r="Q1547">
        <v>0</v>
      </c>
      <c r="R1547">
        <v>0.98798386658741899</v>
      </c>
      <c r="S1547" t="s">
        <v>8193</v>
      </c>
      <c r="T1547" t="s">
        <v>13290</v>
      </c>
      <c r="U1547" t="s">
        <v>13290</v>
      </c>
      <c r="V1547" t="s">
        <v>13290</v>
      </c>
      <c r="W1547" t="s">
        <v>14808</v>
      </c>
      <c r="X1547">
        <v>10</v>
      </c>
      <c r="Y1547" t="s">
        <v>21382</v>
      </c>
      <c r="Z1547" t="s">
        <v>27877</v>
      </c>
      <c r="AA1547">
        <v>0.59334505045971253</v>
      </c>
      <c r="AB1547" t="str">
        <f>HYPERLINK("Melting_Curves/meltCurve_O43681_ASNA1.pdf", "Melting_Curves/meltCurve_O43681_ASNA1.pdf")</f>
        <v>Melting_Curves/meltCurve_O43681_ASNA1.pdf</v>
      </c>
    </row>
    <row r="1548" spans="1:28" x14ac:dyDescent="0.25">
      <c r="A1548" t="s">
        <v>1552</v>
      </c>
      <c r="B1548">
        <v>0.99252571173614901</v>
      </c>
      <c r="C1548">
        <v>1.03356235199657</v>
      </c>
      <c r="D1548">
        <v>0.94723165994610103</v>
      </c>
      <c r="E1548">
        <v>0.86137061531274095</v>
      </c>
      <c r="F1548">
        <v>0.68818520417894102</v>
      </c>
      <c r="G1548">
        <v>0.48449652176375002</v>
      </c>
      <c r="H1548">
        <v>0.18190826338935101</v>
      </c>
      <c r="I1548">
        <v>8.4682910239276904E-2</v>
      </c>
      <c r="J1548">
        <v>9.3757072255892193E-2</v>
      </c>
      <c r="K1548">
        <v>8.9282394836848203E-2</v>
      </c>
      <c r="L1548">
        <v>924.86825657215604</v>
      </c>
      <c r="M1548">
        <v>16.609058059018601</v>
      </c>
      <c r="N1548">
        <v>55.863731354313799</v>
      </c>
      <c r="O1548">
        <v>54.896125558588601</v>
      </c>
      <c r="P1548">
        <v>-7.3681484723076507E-2</v>
      </c>
      <c r="Q1548">
        <v>2.5940156187071E-2</v>
      </c>
      <c r="R1548">
        <v>0.99335563286045003</v>
      </c>
      <c r="S1548" t="s">
        <v>8194</v>
      </c>
      <c r="T1548" t="s">
        <v>13290</v>
      </c>
      <c r="U1548" t="s">
        <v>13290</v>
      </c>
      <c r="V1548" t="s">
        <v>13290</v>
      </c>
      <c r="W1548" t="s">
        <v>14809</v>
      </c>
      <c r="X1548">
        <v>23</v>
      </c>
      <c r="Y1548" t="s">
        <v>21383</v>
      </c>
      <c r="Z1548" t="s">
        <v>27878</v>
      </c>
      <c r="AA1548">
        <v>0.55124320319099418</v>
      </c>
      <c r="AB1548" t="str">
        <f>HYPERLINK("Melting_Curves/meltCurve_O43684_BUB3.pdf", "Melting_Curves/meltCurve_O43684_BUB3.pdf")</f>
        <v>Melting_Curves/meltCurve_O43684_BUB3.pdf</v>
      </c>
    </row>
    <row r="1549" spans="1:28" x14ac:dyDescent="0.25">
      <c r="A1549" t="s">
        <v>1553</v>
      </c>
      <c r="B1549">
        <v>0.99252571173614901</v>
      </c>
      <c r="C1549">
        <v>0.93129765124928499</v>
      </c>
      <c r="D1549">
        <v>0.88007704491934402</v>
      </c>
      <c r="E1549">
        <v>0.88134072834239297</v>
      </c>
      <c r="F1549">
        <v>0.84548487144848194</v>
      </c>
      <c r="G1549">
        <v>0.48723539121960702</v>
      </c>
      <c r="H1549">
        <v>0.118970708063298</v>
      </c>
      <c r="I1549">
        <v>8.3384223602820301E-2</v>
      </c>
      <c r="J1549">
        <v>8.9672378522808696E-2</v>
      </c>
      <c r="K1549">
        <v>8.5079890719760298E-2</v>
      </c>
      <c r="L1549">
        <v>1529.4010509453501</v>
      </c>
      <c r="M1549">
        <v>27.210435089621999</v>
      </c>
      <c r="N1549">
        <v>56.471824653754901</v>
      </c>
      <c r="O1549">
        <v>55.905451866622599</v>
      </c>
      <c r="P1549">
        <v>-0.114378084231403</v>
      </c>
      <c r="Q1549">
        <v>6.0022480728196402E-2</v>
      </c>
      <c r="R1549">
        <v>0.97886846192903998</v>
      </c>
      <c r="S1549" t="s">
        <v>8195</v>
      </c>
      <c r="T1549" t="s">
        <v>13290</v>
      </c>
      <c r="U1549" t="s">
        <v>13290</v>
      </c>
      <c r="V1549" t="s">
        <v>13290</v>
      </c>
      <c r="W1549" t="s">
        <v>14810</v>
      </c>
      <c r="X1549">
        <v>75</v>
      </c>
      <c r="Y1549" t="s">
        <v>21384</v>
      </c>
      <c r="Z1549" t="s">
        <v>27879</v>
      </c>
      <c r="AA1549">
        <v>0.57526937512413245</v>
      </c>
      <c r="AB1549" t="str">
        <f>HYPERLINK("Melting_Curves/meltCurve_O43707_ACTN4.pdf", "Melting_Curves/meltCurve_O43707_ACTN4.pdf")</f>
        <v>Melting_Curves/meltCurve_O43707_ACTN4.pdf</v>
      </c>
    </row>
    <row r="1550" spans="1:28" x14ac:dyDescent="0.25">
      <c r="A1550" t="s">
        <v>1554</v>
      </c>
      <c r="B1550">
        <v>0.99252571173614901</v>
      </c>
      <c r="C1550">
        <v>1.01742522962403</v>
      </c>
      <c r="D1550">
        <v>0.96074258262410395</v>
      </c>
      <c r="E1550">
        <v>0.89694080595640002</v>
      </c>
      <c r="F1550">
        <v>0.598125444041118</v>
      </c>
      <c r="G1550">
        <v>0.319110071505256</v>
      </c>
      <c r="H1550">
        <v>0.125957299795144</v>
      </c>
      <c r="I1550">
        <v>0.110573734022212</v>
      </c>
      <c r="J1550">
        <v>0.13036275826676699</v>
      </c>
      <c r="K1550">
        <v>0.122761276710928</v>
      </c>
      <c r="L1550">
        <v>1278.97876921229</v>
      </c>
      <c r="M1550">
        <v>23.804695175807598</v>
      </c>
      <c r="N1550">
        <v>54.267425548099503</v>
      </c>
      <c r="O1550">
        <v>53.353138483516098</v>
      </c>
      <c r="P1550">
        <v>-9.9793145454971505E-2</v>
      </c>
      <c r="Q1550">
        <v>0.10535438842212901</v>
      </c>
      <c r="R1550">
        <v>0.99785416895523604</v>
      </c>
      <c r="S1550" t="s">
        <v>8196</v>
      </c>
      <c r="T1550" t="s">
        <v>13290</v>
      </c>
      <c r="U1550" t="s">
        <v>13290</v>
      </c>
      <c r="V1550" t="s">
        <v>13290</v>
      </c>
      <c r="W1550" t="s">
        <v>14811</v>
      </c>
      <c r="X1550">
        <v>6</v>
      </c>
      <c r="Y1550" t="s">
        <v>21385</v>
      </c>
      <c r="Z1550" t="s">
        <v>27880</v>
      </c>
      <c r="AA1550">
        <v>0.52378666236618132</v>
      </c>
      <c r="AB1550" t="str">
        <f>HYPERLINK("Melting_Curves/meltCurve_O43709_WBSCR22.pdf", "Melting_Curves/meltCurve_O43709_WBSCR22.pdf")</f>
        <v>Melting_Curves/meltCurve_O43709_WBSCR22.pdf</v>
      </c>
    </row>
    <row r="1551" spans="1:28" x14ac:dyDescent="0.25">
      <c r="A1551" t="s">
        <v>1555</v>
      </c>
      <c r="B1551">
        <v>0.99252571173614901</v>
      </c>
      <c r="C1551">
        <v>1.05415372337921</v>
      </c>
      <c r="D1551">
        <v>0.96542528030609898</v>
      </c>
      <c r="E1551">
        <v>0.87600150017953704</v>
      </c>
      <c r="F1551">
        <v>0.73491717750681496</v>
      </c>
      <c r="G1551">
        <v>0.67418293955864605</v>
      </c>
      <c r="H1551">
        <v>0.70273002012500996</v>
      </c>
      <c r="I1551">
        <v>0.92316933536062795</v>
      </c>
      <c r="J1551">
        <v>1.3444729752278499</v>
      </c>
      <c r="K1551">
        <v>1.41434177882683</v>
      </c>
      <c r="L1551">
        <v>15000</v>
      </c>
      <c r="M1551">
        <v>225.14077846020299</v>
      </c>
      <c r="O1551">
        <v>66.619723691245497</v>
      </c>
      <c r="P1551">
        <v>0.35010408111781099</v>
      </c>
      <c r="Q1551">
        <v>1.41438671852571</v>
      </c>
      <c r="R1551">
        <v>0.49119449254026398</v>
      </c>
      <c r="S1551" t="s">
        <v>8197</v>
      </c>
      <c r="T1551" t="s">
        <v>13290</v>
      </c>
      <c r="U1551" t="s">
        <v>13290</v>
      </c>
      <c r="V1551" t="s">
        <v>13290</v>
      </c>
      <c r="W1551" t="s">
        <v>14812</v>
      </c>
      <c r="X1551">
        <v>9</v>
      </c>
      <c r="Y1551" t="s">
        <v>21386</v>
      </c>
      <c r="Z1551" t="s">
        <v>27881</v>
      </c>
      <c r="AA1551">
        <v>1.0465591153721281</v>
      </c>
      <c r="AB1551" t="str">
        <f>HYPERLINK("Melting_Curves/meltCurve_O43715_TRIAP1.pdf", "Melting_Curves/meltCurve_O43715_TRIAP1.pdf")</f>
        <v>Melting_Curves/meltCurve_O43715_TRIAP1.pdf</v>
      </c>
    </row>
    <row r="1552" spans="1:28" x14ac:dyDescent="0.25">
      <c r="A1552" t="s">
        <v>1556</v>
      </c>
      <c r="B1552">
        <v>0.99252571173614901</v>
      </c>
      <c r="C1552">
        <v>0.94848399661349403</v>
      </c>
      <c r="D1552">
        <v>0.63707285172456096</v>
      </c>
      <c r="E1552">
        <v>0.38807817707411302</v>
      </c>
      <c r="F1552">
        <v>0.26797632754018502</v>
      </c>
      <c r="G1552">
        <v>0.16712560838065299</v>
      </c>
      <c r="H1552">
        <v>0.13310314617389399</v>
      </c>
      <c r="I1552">
        <v>0.13488141395162101</v>
      </c>
      <c r="J1552">
        <v>0.165062080260033</v>
      </c>
      <c r="K1552">
        <v>0.15902902817714301</v>
      </c>
      <c r="L1552">
        <v>949.85550987027204</v>
      </c>
      <c r="M1552">
        <v>20.144169675071499</v>
      </c>
      <c r="N1552">
        <v>48.001520088350397</v>
      </c>
      <c r="O1552">
        <v>46.695565781420001</v>
      </c>
      <c r="P1552">
        <v>-9.1694255316666903E-2</v>
      </c>
      <c r="Q1552">
        <v>0.149812628921593</v>
      </c>
      <c r="R1552">
        <v>0.99264146301519995</v>
      </c>
      <c r="S1552" t="s">
        <v>8198</v>
      </c>
      <c r="T1552" t="s">
        <v>13290</v>
      </c>
      <c r="U1552" t="s">
        <v>13290</v>
      </c>
      <c r="V1552" t="s">
        <v>13290</v>
      </c>
      <c r="W1552" t="s">
        <v>14813</v>
      </c>
      <c r="X1552">
        <v>16</v>
      </c>
      <c r="Y1552" t="s">
        <v>21387</v>
      </c>
      <c r="Z1552" t="s">
        <v>27882</v>
      </c>
      <c r="AA1552">
        <v>0.36470165270699961</v>
      </c>
      <c r="AB1552" t="str">
        <f>HYPERLINK("Melting_Curves/meltCurve_O43719_HTATSF1.pdf", "Melting_Curves/meltCurve_O43719_HTATSF1.pdf")</f>
        <v>Melting_Curves/meltCurve_O43719_HTATSF1.pdf</v>
      </c>
    </row>
    <row r="1553" spans="1:28" x14ac:dyDescent="0.25">
      <c r="A1553" t="s">
        <v>1557</v>
      </c>
      <c r="B1553">
        <v>0.99252571173614901</v>
      </c>
      <c r="C1553">
        <v>0.94452001064061997</v>
      </c>
      <c r="D1553">
        <v>0.88747080033315295</v>
      </c>
      <c r="E1553">
        <v>0.74885568713563799</v>
      </c>
      <c r="F1553">
        <v>0.50969488660858697</v>
      </c>
      <c r="G1553">
        <v>0.31754788639115</v>
      </c>
      <c r="H1553">
        <v>0.19463033584891001</v>
      </c>
      <c r="I1553">
        <v>0.231552489510089</v>
      </c>
      <c r="J1553">
        <v>0.33877523997099002</v>
      </c>
      <c r="K1553">
        <v>0.32567959978308197</v>
      </c>
      <c r="L1553">
        <v>1047.326641458</v>
      </c>
      <c r="M1553">
        <v>20.5502668195846</v>
      </c>
      <c r="N1553">
        <v>52.8760708263152</v>
      </c>
      <c r="O1553">
        <v>50.488915300567399</v>
      </c>
      <c r="P1553">
        <v>-7.5080652385662194E-2</v>
      </c>
      <c r="Q1553">
        <v>0.26217417861854198</v>
      </c>
      <c r="R1553">
        <v>0.97267188531313897</v>
      </c>
      <c r="S1553" t="s">
        <v>8199</v>
      </c>
      <c r="T1553" t="s">
        <v>13290</v>
      </c>
      <c r="U1553" t="s">
        <v>13290</v>
      </c>
      <c r="V1553" t="s">
        <v>13290</v>
      </c>
      <c r="W1553" t="s">
        <v>14814</v>
      </c>
      <c r="X1553">
        <v>6</v>
      </c>
      <c r="Y1553" t="s">
        <v>21388</v>
      </c>
      <c r="Z1553" t="s">
        <v>27883</v>
      </c>
      <c r="AA1553">
        <v>0.5415612537034632</v>
      </c>
      <c r="AB1553" t="str">
        <f>HYPERLINK("Melting_Curves/meltCurve_O43752_STX6.pdf", "Melting_Curves/meltCurve_O43752_STX6.pdf")</f>
        <v>Melting_Curves/meltCurve_O43752_STX6.pdf</v>
      </c>
    </row>
    <row r="1554" spans="1:28" x14ac:dyDescent="0.25">
      <c r="A1554" t="s">
        <v>1558</v>
      </c>
      <c r="B1554">
        <v>0.99252571173614901</v>
      </c>
      <c r="C1554">
        <v>0.99853939557284899</v>
      </c>
      <c r="D1554">
        <v>0.93040977114694301</v>
      </c>
      <c r="E1554">
        <v>0.79463190227913805</v>
      </c>
      <c r="F1554">
        <v>0.70278948652199202</v>
      </c>
      <c r="G1554">
        <v>0.51675486501926304</v>
      </c>
      <c r="H1554">
        <v>0.433846903224898</v>
      </c>
      <c r="I1554">
        <v>0.47636772625902701</v>
      </c>
      <c r="J1554">
        <v>0.71178533310473902</v>
      </c>
      <c r="K1554">
        <v>0.56020673572502999</v>
      </c>
      <c r="L1554">
        <v>1131.35551383506</v>
      </c>
      <c r="M1554">
        <v>22.489372434263899</v>
      </c>
      <c r="O1554">
        <v>49.913537372872902</v>
      </c>
      <c r="P1554">
        <v>-5.1917013778668503E-2</v>
      </c>
      <c r="Q1554">
        <v>0.53910518330308899</v>
      </c>
      <c r="R1554">
        <v>0.86733878547088905</v>
      </c>
      <c r="S1554" t="s">
        <v>8200</v>
      </c>
      <c r="T1554" t="s">
        <v>13290</v>
      </c>
      <c r="U1554" t="s">
        <v>13290</v>
      </c>
      <c r="V1554" t="s">
        <v>13290</v>
      </c>
      <c r="W1554" t="s">
        <v>14815</v>
      </c>
      <c r="X1554">
        <v>8</v>
      </c>
      <c r="Y1554" t="s">
        <v>21389</v>
      </c>
      <c r="Z1554" t="s">
        <v>27884</v>
      </c>
      <c r="AA1554">
        <v>0.70254015999630171</v>
      </c>
      <c r="AB1554" t="str">
        <f>HYPERLINK("Melting_Curves/meltCurve_O43760_SYNGR2.pdf", "Melting_Curves/meltCurve_O43760_SYNGR2.pdf")</f>
        <v>Melting_Curves/meltCurve_O43760_SYNGR2.pdf</v>
      </c>
    </row>
    <row r="1555" spans="1:28" x14ac:dyDescent="0.25">
      <c r="A1555" t="s">
        <v>1559</v>
      </c>
      <c r="B1555">
        <v>0.99252571173614901</v>
      </c>
      <c r="C1555">
        <v>1.07385434221363</v>
      </c>
      <c r="D1555">
        <v>0.58921658224037499</v>
      </c>
      <c r="E1555">
        <v>0.54801704713084498</v>
      </c>
      <c r="F1555">
        <v>0.16061087009585001</v>
      </c>
      <c r="G1555">
        <v>9.4483113964444698E-2</v>
      </c>
      <c r="H1555">
        <v>6.8987005919137603E-2</v>
      </c>
      <c r="I1555">
        <v>7.3373217735223706E-2</v>
      </c>
      <c r="J1555">
        <v>8.9956757232312307E-2</v>
      </c>
      <c r="K1555">
        <v>9.3447876685480893E-2</v>
      </c>
      <c r="L1555">
        <v>912.33303923518099</v>
      </c>
      <c r="M1555">
        <v>18.841819391037699</v>
      </c>
      <c r="N1555">
        <v>48.786598954831902</v>
      </c>
      <c r="O1555">
        <v>47.8851102662355</v>
      </c>
      <c r="P1555">
        <v>-9.1891065217713896E-2</v>
      </c>
      <c r="Q1555">
        <v>6.5900722624877506E-2</v>
      </c>
      <c r="R1555">
        <v>0.95343166277873004</v>
      </c>
      <c r="S1555" t="s">
        <v>8201</v>
      </c>
      <c r="T1555" t="s">
        <v>13290</v>
      </c>
      <c r="U1555" t="s">
        <v>13290</v>
      </c>
      <c r="V1555" t="s">
        <v>13290</v>
      </c>
      <c r="W1555" t="s">
        <v>14816</v>
      </c>
      <c r="X1555">
        <v>15</v>
      </c>
      <c r="Y1555" t="s">
        <v>21390</v>
      </c>
      <c r="Z1555" t="s">
        <v>27885</v>
      </c>
      <c r="AA1555">
        <v>0.34300371041753991</v>
      </c>
      <c r="AB1555" t="str">
        <f>HYPERLINK("Melting_Curves/meltCurve_O43765_SGTA.pdf", "Melting_Curves/meltCurve_O43765_SGTA.pdf")</f>
        <v>Melting_Curves/meltCurve_O43765_SGTA.pdf</v>
      </c>
    </row>
    <row r="1556" spans="1:28" x14ac:dyDescent="0.25">
      <c r="A1556" t="s">
        <v>1560</v>
      </c>
      <c r="B1556">
        <v>0.99252571173614901</v>
      </c>
      <c r="C1556">
        <v>1.0459659634910501</v>
      </c>
      <c r="D1556">
        <v>0.90804313771346201</v>
      </c>
      <c r="E1556">
        <v>0.76771815961090695</v>
      </c>
      <c r="F1556">
        <v>0.71312895695276701</v>
      </c>
      <c r="G1556">
        <v>0.57633716789450096</v>
      </c>
      <c r="H1556">
        <v>0.42870971325847901</v>
      </c>
      <c r="I1556">
        <v>0.28093878753919899</v>
      </c>
      <c r="J1556">
        <v>0.18183557021278099</v>
      </c>
      <c r="K1556">
        <v>0.14772637696579299</v>
      </c>
      <c r="L1556">
        <v>559.74570338105104</v>
      </c>
      <c r="M1556">
        <v>9.6484913828767898</v>
      </c>
      <c r="N1556">
        <v>58.013805490884899</v>
      </c>
      <c r="O1556">
        <v>55.686067146676301</v>
      </c>
      <c r="P1556">
        <v>-4.3340605706109099E-2</v>
      </c>
      <c r="Q1556">
        <v>0</v>
      </c>
      <c r="R1556">
        <v>0.98542777831377304</v>
      </c>
      <c r="S1556" t="s">
        <v>8202</v>
      </c>
      <c r="T1556" t="s">
        <v>13290</v>
      </c>
      <c r="U1556" t="s">
        <v>13290</v>
      </c>
      <c r="V1556" t="s">
        <v>13290</v>
      </c>
      <c r="W1556" t="s">
        <v>14817</v>
      </c>
      <c r="X1556">
        <v>6</v>
      </c>
      <c r="Y1556" t="s">
        <v>21391</v>
      </c>
      <c r="Z1556" t="s">
        <v>27886</v>
      </c>
      <c r="AA1556">
        <v>0.60948138728066747</v>
      </c>
      <c r="AB1556" t="str">
        <f>HYPERLINK("Melting_Curves/meltCurve_O43766_LIAS.pdf", "Melting_Curves/meltCurve_O43766_LIAS.pdf")</f>
        <v>Melting_Curves/meltCurve_O43766_LIAS.pdf</v>
      </c>
    </row>
    <row r="1557" spans="1:28" x14ac:dyDescent="0.25">
      <c r="A1557" t="s">
        <v>1561</v>
      </c>
      <c r="B1557">
        <v>0.99252571173614901</v>
      </c>
      <c r="C1557">
        <v>1.0671652824962601</v>
      </c>
      <c r="D1557">
        <v>0.94207394849282999</v>
      </c>
      <c r="E1557">
        <v>0.85037658344737799</v>
      </c>
      <c r="F1557">
        <v>0.73398289940821404</v>
      </c>
      <c r="G1557">
        <v>0.71585062469809901</v>
      </c>
      <c r="H1557">
        <v>0.75997834815984</v>
      </c>
      <c r="I1557">
        <v>1.01310472540069</v>
      </c>
      <c r="J1557">
        <v>1.45487853057174</v>
      </c>
      <c r="K1557">
        <v>1.56839629016274</v>
      </c>
      <c r="L1557">
        <v>8462.96492051309</v>
      </c>
      <c r="M1557">
        <v>128.457403540933</v>
      </c>
      <c r="O1557">
        <v>65.865524715041502</v>
      </c>
      <c r="P1557">
        <v>0.24378725949458099</v>
      </c>
      <c r="Q1557">
        <v>1.5</v>
      </c>
      <c r="R1557">
        <v>0.68235332275789795</v>
      </c>
      <c r="S1557" t="s">
        <v>8203</v>
      </c>
      <c r="T1557" t="s">
        <v>13290</v>
      </c>
      <c r="U1557" t="s">
        <v>13290</v>
      </c>
      <c r="V1557" t="s">
        <v>13290</v>
      </c>
      <c r="W1557" t="s">
        <v>14818</v>
      </c>
      <c r="X1557">
        <v>13</v>
      </c>
      <c r="Y1557" t="s">
        <v>21392</v>
      </c>
      <c r="Z1557" t="s">
        <v>27887</v>
      </c>
      <c r="AA1557">
        <v>1.068427886698579</v>
      </c>
      <c r="AB1557" t="str">
        <f>HYPERLINK("Melting_Curves/meltCurve_O43768_2_ENSA.pdf", "Melting_Curves/meltCurve_O43768_2_ENSA.pdf")</f>
        <v>Melting_Curves/meltCurve_O43768_2_ENSA.pdf</v>
      </c>
    </row>
    <row r="1558" spans="1:28" x14ac:dyDescent="0.25">
      <c r="A1558" t="s">
        <v>1562</v>
      </c>
      <c r="B1558">
        <v>0.99252571173614901</v>
      </c>
      <c r="C1558">
        <v>0.88738337283491997</v>
      </c>
      <c r="D1558">
        <v>0.81735286377548699</v>
      </c>
      <c r="E1558">
        <v>0.69733450366166905</v>
      </c>
      <c r="F1558">
        <v>0.66747111584557794</v>
      </c>
      <c r="G1558">
        <v>0.53322345165729801</v>
      </c>
      <c r="H1558">
        <v>0.48467697637005103</v>
      </c>
      <c r="I1558">
        <v>0.358961263444044</v>
      </c>
      <c r="J1558">
        <v>0.18606129292234799</v>
      </c>
      <c r="K1558">
        <v>0.13172948202697601</v>
      </c>
      <c r="L1558">
        <v>413.59364040019801</v>
      </c>
      <c r="M1558">
        <v>7.2249521974305697</v>
      </c>
      <c r="N1558">
        <v>57.2451704272912</v>
      </c>
      <c r="O1558">
        <v>53.347525765957798</v>
      </c>
      <c r="P1558">
        <v>-3.3913841262607498E-2</v>
      </c>
      <c r="Q1558">
        <v>0</v>
      </c>
      <c r="R1558">
        <v>0.96175414239490398</v>
      </c>
      <c r="S1558" t="s">
        <v>8204</v>
      </c>
      <c r="T1558" t="s">
        <v>13290</v>
      </c>
      <c r="U1558" t="s">
        <v>13290</v>
      </c>
      <c r="V1558" t="s">
        <v>13290</v>
      </c>
      <c r="W1558" t="s">
        <v>14819</v>
      </c>
      <c r="X1558">
        <v>8</v>
      </c>
      <c r="Y1558" t="s">
        <v>21393</v>
      </c>
      <c r="Z1558" t="s">
        <v>27888</v>
      </c>
      <c r="AA1558">
        <v>0.58187907777559489</v>
      </c>
      <c r="AB1558" t="str">
        <f>HYPERLINK("Melting_Curves/meltCurve_O43772_SLC25A20.pdf", "Melting_Curves/meltCurve_O43772_SLC25A20.pdf")</f>
        <v>Melting_Curves/meltCurve_O43772_SLC25A20.pdf</v>
      </c>
    </row>
    <row r="1559" spans="1:28" x14ac:dyDescent="0.25">
      <c r="A1559" t="s">
        <v>1563</v>
      </c>
      <c r="B1559">
        <v>0.99252571173614901</v>
      </c>
      <c r="C1559">
        <v>0.95755020404720803</v>
      </c>
      <c r="D1559">
        <v>1.0010437769761</v>
      </c>
      <c r="E1559">
        <v>0.91828570826914702</v>
      </c>
      <c r="F1559">
        <v>0.663219087348351</v>
      </c>
      <c r="G1559">
        <v>0.24625114757025199</v>
      </c>
      <c r="H1559">
        <v>8.1018275540806997E-2</v>
      </c>
      <c r="I1559">
        <v>7.8944933728011701E-2</v>
      </c>
      <c r="J1559">
        <v>8.3199284640302004E-2</v>
      </c>
      <c r="K1559">
        <v>7.7117460405318902E-2</v>
      </c>
      <c r="L1559">
        <v>1632.9425873918699</v>
      </c>
      <c r="M1559">
        <v>30.176669171628799</v>
      </c>
      <c r="N1559">
        <v>54.380571955923998</v>
      </c>
      <c r="O1559">
        <v>53.876784799720099</v>
      </c>
      <c r="P1559">
        <v>-0.130358160082652</v>
      </c>
      <c r="Q1559">
        <v>6.9051178724648804E-2</v>
      </c>
      <c r="R1559">
        <v>0.99806287279542705</v>
      </c>
      <c r="S1559" t="s">
        <v>8205</v>
      </c>
      <c r="T1559" t="s">
        <v>13290</v>
      </c>
      <c r="U1559" t="s">
        <v>13290</v>
      </c>
      <c r="V1559" t="s">
        <v>13290</v>
      </c>
      <c r="W1559" t="s">
        <v>14516</v>
      </c>
      <c r="X1559">
        <v>29</v>
      </c>
      <c r="Y1559" t="s">
        <v>21099</v>
      </c>
      <c r="Z1559" t="s">
        <v>27889</v>
      </c>
      <c r="AA1559">
        <v>0.51304694905116832</v>
      </c>
      <c r="AB1559" t="str">
        <f>HYPERLINK("Melting_Curves/meltCurve_O43776_NARS.pdf", "Melting_Curves/meltCurve_O43776_NARS.pdf")</f>
        <v>Melting_Curves/meltCurve_O43776_NARS.pdf</v>
      </c>
    </row>
    <row r="1560" spans="1:28" x14ac:dyDescent="0.25">
      <c r="A1560" t="s">
        <v>1564</v>
      </c>
      <c r="B1560">
        <v>0.99252571173614901</v>
      </c>
      <c r="C1560">
        <v>1.0877499005115601</v>
      </c>
      <c r="D1560">
        <v>1.0630067288101499</v>
      </c>
      <c r="E1560">
        <v>0.95064480277927399</v>
      </c>
      <c r="F1560">
        <v>0.44876369809774402</v>
      </c>
      <c r="G1560">
        <v>0.30892067524635197</v>
      </c>
      <c r="H1560">
        <v>0.23735355147958001</v>
      </c>
      <c r="I1560">
        <v>0.29869549612120999</v>
      </c>
      <c r="J1560">
        <v>0.34490158460994602</v>
      </c>
      <c r="K1560">
        <v>0.33385211707982798</v>
      </c>
      <c r="L1560">
        <v>2904.85757876253</v>
      </c>
      <c r="M1560">
        <v>55.943322655181397</v>
      </c>
      <c r="N1560">
        <v>52.8073691316078</v>
      </c>
      <c r="O1560">
        <v>51.858768767337999</v>
      </c>
      <c r="P1560">
        <v>-0.18779663161761101</v>
      </c>
      <c r="Q1560">
        <v>0.303659523467042</v>
      </c>
      <c r="R1560">
        <v>0.984215347419653</v>
      </c>
      <c r="S1560" t="s">
        <v>8206</v>
      </c>
      <c r="T1560" t="s">
        <v>13290</v>
      </c>
      <c r="U1560" t="s">
        <v>13290</v>
      </c>
      <c r="V1560" t="s">
        <v>13290</v>
      </c>
      <c r="W1560" t="s">
        <v>14820</v>
      </c>
      <c r="X1560">
        <v>4</v>
      </c>
      <c r="Y1560" t="s">
        <v>21394</v>
      </c>
      <c r="Z1560" t="s">
        <v>27890</v>
      </c>
      <c r="AA1560">
        <v>0.5817276687018974</v>
      </c>
      <c r="AB1560" t="str">
        <f>HYPERLINK("Melting_Curves/meltCurve_O43805_SSNA1.pdf", "Melting_Curves/meltCurve_O43805_SSNA1.pdf")</f>
        <v>Melting_Curves/meltCurve_O43805_SSNA1.pdf</v>
      </c>
    </row>
    <row r="1561" spans="1:28" x14ac:dyDescent="0.25">
      <c r="A1561" t="s">
        <v>1565</v>
      </c>
      <c r="B1561">
        <v>0.99252571173614901</v>
      </c>
      <c r="C1561">
        <v>0.96925788749856401</v>
      </c>
      <c r="D1561">
        <v>0.98186028464875497</v>
      </c>
      <c r="E1561">
        <v>0.91550028355101598</v>
      </c>
      <c r="F1561">
        <v>0.90675117811855299</v>
      </c>
      <c r="G1561">
        <v>0.46654885288818099</v>
      </c>
      <c r="H1561">
        <v>9.8366924252697593E-2</v>
      </c>
      <c r="I1561">
        <v>8.9823443997532906E-2</v>
      </c>
      <c r="J1561">
        <v>7.7140205187890901E-2</v>
      </c>
      <c r="K1561">
        <v>7.5674340562354295E-2</v>
      </c>
      <c r="L1561">
        <v>2129.5458925868002</v>
      </c>
      <c r="M1561">
        <v>37.821617869792703</v>
      </c>
      <c r="N1561">
        <v>56.530563668580001</v>
      </c>
      <c r="O1561">
        <v>56.148278978107903</v>
      </c>
      <c r="P1561">
        <v>-0.15660607139357599</v>
      </c>
      <c r="Q1561">
        <v>7.0041007207556905E-2</v>
      </c>
      <c r="R1561">
        <v>0.99503146133956699</v>
      </c>
      <c r="S1561" t="s">
        <v>8207</v>
      </c>
      <c r="T1561" t="s">
        <v>13290</v>
      </c>
      <c r="U1561" t="s">
        <v>13290</v>
      </c>
      <c r="V1561" t="s">
        <v>13290</v>
      </c>
      <c r="W1561" t="s">
        <v>14821</v>
      </c>
      <c r="X1561">
        <v>14</v>
      </c>
      <c r="Y1561" t="s">
        <v>21395</v>
      </c>
      <c r="Z1561" t="s">
        <v>27891</v>
      </c>
      <c r="AA1561">
        <v>0.57948042813934364</v>
      </c>
      <c r="AB1561" t="str">
        <f>HYPERLINK("Melting_Curves/meltCurve_O43809_NUDT21.pdf", "Melting_Curves/meltCurve_O43809_NUDT21.pdf")</f>
        <v>Melting_Curves/meltCurve_O43809_NUDT21.pdf</v>
      </c>
    </row>
    <row r="1562" spans="1:28" x14ac:dyDescent="0.25">
      <c r="A1562" t="s">
        <v>1566</v>
      </c>
      <c r="B1562">
        <v>0.99252571173614901</v>
      </c>
      <c r="C1562">
        <v>1.0393131477238</v>
      </c>
      <c r="D1562">
        <v>0.96815531345854799</v>
      </c>
      <c r="E1562">
        <v>0.89678516961522403</v>
      </c>
      <c r="F1562">
        <v>0.71598359966633296</v>
      </c>
      <c r="G1562">
        <v>0.611753047152374</v>
      </c>
      <c r="H1562">
        <v>0.49873249770356498</v>
      </c>
      <c r="I1562">
        <v>0.25295170992707</v>
      </c>
      <c r="J1562">
        <v>0.12279835689634699</v>
      </c>
      <c r="K1562">
        <v>0.123815046254551</v>
      </c>
      <c r="L1562">
        <v>701.05256469156598</v>
      </c>
      <c r="M1562">
        <v>11.923126269399299</v>
      </c>
      <c r="N1562">
        <v>58.797713712194998</v>
      </c>
      <c r="O1562">
        <v>57.2169134708599</v>
      </c>
      <c r="P1562">
        <v>-5.2109016726629202E-2</v>
      </c>
      <c r="Q1562">
        <v>0</v>
      </c>
      <c r="R1562">
        <v>0.98258852924679996</v>
      </c>
      <c r="S1562" t="s">
        <v>8208</v>
      </c>
      <c r="T1562" t="s">
        <v>13290</v>
      </c>
      <c r="U1562" t="s">
        <v>13290</v>
      </c>
      <c r="V1562" t="s">
        <v>13290</v>
      </c>
      <c r="W1562" t="s">
        <v>14822</v>
      </c>
      <c r="X1562">
        <v>17</v>
      </c>
      <c r="Y1562" t="s">
        <v>21396</v>
      </c>
      <c r="Z1562" t="s">
        <v>27892</v>
      </c>
      <c r="AA1562">
        <v>0.63542119601157099</v>
      </c>
      <c r="AB1562" t="str">
        <f>HYPERLINK("Melting_Curves/meltCurve_O43813_LANCL1.pdf", "Melting_Curves/meltCurve_O43813_LANCL1.pdf")</f>
        <v>Melting_Curves/meltCurve_O43813_LANCL1.pdf</v>
      </c>
    </row>
    <row r="1563" spans="1:28" x14ac:dyDescent="0.25">
      <c r="A1563" t="s">
        <v>1567</v>
      </c>
      <c r="B1563">
        <v>0.99252571173614901</v>
      </c>
      <c r="C1563">
        <v>0.900755532321035</v>
      </c>
      <c r="D1563">
        <v>1.05682788677752</v>
      </c>
      <c r="E1563">
        <v>0.95216039922469897</v>
      </c>
      <c r="F1563">
        <v>0.60781610952692</v>
      </c>
      <c r="G1563">
        <v>0.24273830196624099</v>
      </c>
      <c r="H1563">
        <v>0.10371532015115</v>
      </c>
      <c r="I1563">
        <v>9.4462622206908098E-2</v>
      </c>
      <c r="J1563">
        <v>0.109799933267439</v>
      </c>
      <c r="K1563">
        <v>0.103933650792686</v>
      </c>
      <c r="L1563">
        <v>1755.7853624309701</v>
      </c>
      <c r="M1563">
        <v>32.701742959416499</v>
      </c>
      <c r="N1563">
        <v>54.055813881149</v>
      </c>
      <c r="O1563">
        <v>53.491299145473398</v>
      </c>
      <c r="P1563">
        <v>-0.137698835715132</v>
      </c>
      <c r="Q1563">
        <v>9.9050422269693794E-2</v>
      </c>
      <c r="R1563">
        <v>0.99117729264699195</v>
      </c>
      <c r="S1563" t="s">
        <v>8209</v>
      </c>
      <c r="T1563" t="s">
        <v>13290</v>
      </c>
      <c r="U1563" t="s">
        <v>13290</v>
      </c>
      <c r="V1563" t="s">
        <v>13290</v>
      </c>
      <c r="W1563" t="s">
        <v>14823</v>
      </c>
      <c r="X1563">
        <v>16</v>
      </c>
      <c r="Y1563" t="s">
        <v>21397</v>
      </c>
      <c r="Z1563" t="s">
        <v>27893</v>
      </c>
      <c r="AA1563">
        <v>0.5151921158009426</v>
      </c>
      <c r="AB1563" t="str">
        <f>HYPERLINK("Melting_Curves/meltCurve_O43815_STRN.pdf", "Melting_Curves/meltCurve_O43815_STRN.pdf")</f>
        <v>Melting_Curves/meltCurve_O43815_STRN.pdf</v>
      </c>
    </row>
    <row r="1564" spans="1:28" x14ac:dyDescent="0.25">
      <c r="A1564" t="s">
        <v>1568</v>
      </c>
      <c r="B1564">
        <v>0.99252571173614901</v>
      </c>
      <c r="C1564">
        <v>1.0173242525020401</v>
      </c>
      <c r="D1564">
        <v>1.11713172728095</v>
      </c>
      <c r="E1564">
        <v>1.2682651037899799</v>
      </c>
      <c r="F1564">
        <v>1.4883595690789899</v>
      </c>
      <c r="G1564">
        <v>1.1634948473318101</v>
      </c>
      <c r="H1564">
        <v>0.87197431700810302</v>
      </c>
      <c r="I1564">
        <v>0.42262250344316399</v>
      </c>
      <c r="J1564">
        <v>0.33660430797886598</v>
      </c>
      <c r="K1564">
        <v>0.20897420347204401</v>
      </c>
      <c r="L1564">
        <v>3422.4736867112701</v>
      </c>
      <c r="M1564">
        <v>54.680771132508099</v>
      </c>
      <c r="N1564">
        <v>63.436717385725103</v>
      </c>
      <c r="O1564">
        <v>62.506553505887098</v>
      </c>
      <c r="P1564">
        <v>-0.16205853302440701</v>
      </c>
      <c r="Q1564">
        <v>0.25899284844925202</v>
      </c>
      <c r="R1564">
        <v>0.78176713118060404</v>
      </c>
      <c r="S1564" t="s">
        <v>8210</v>
      </c>
      <c r="T1564" t="s">
        <v>13290</v>
      </c>
      <c r="U1564" t="s">
        <v>13290</v>
      </c>
      <c r="V1564" t="s">
        <v>13290</v>
      </c>
      <c r="W1564" t="s">
        <v>14824</v>
      </c>
      <c r="X1564">
        <v>18</v>
      </c>
      <c r="Y1564" t="s">
        <v>21398</v>
      </c>
      <c r="Z1564" t="s">
        <v>27894</v>
      </c>
      <c r="AA1564">
        <v>0.81856924496437067</v>
      </c>
      <c r="AB1564" t="str">
        <f>HYPERLINK("Melting_Curves/meltCurve_O43818_RRP9.pdf", "Melting_Curves/meltCurve_O43818_RRP9.pdf")</f>
        <v>Melting_Curves/meltCurve_O43818_RRP9.pdf</v>
      </c>
    </row>
    <row r="1565" spans="1:28" x14ac:dyDescent="0.25">
      <c r="A1565" t="s">
        <v>1569</v>
      </c>
      <c r="B1565">
        <v>0.99252571173614901</v>
      </c>
      <c r="C1565">
        <v>1.002801938488</v>
      </c>
      <c r="D1565">
        <v>0.82434874657709301</v>
      </c>
      <c r="E1565">
        <v>0.636760032275138</v>
      </c>
      <c r="F1565">
        <v>0.20988837481202299</v>
      </c>
      <c r="G1565">
        <v>0.13268685663476601</v>
      </c>
      <c r="H1565">
        <v>0.108489586352495</v>
      </c>
      <c r="I1565">
        <v>0.123513693046125</v>
      </c>
      <c r="J1565">
        <v>0.124434298239623</v>
      </c>
      <c r="K1565">
        <v>0.111863420702515</v>
      </c>
      <c r="L1565">
        <v>1233.7842417736899</v>
      </c>
      <c r="M1565">
        <v>24.760760534121701</v>
      </c>
      <c r="N1565">
        <v>50.305703583335003</v>
      </c>
      <c r="O1565">
        <v>49.506607133146296</v>
      </c>
      <c r="P1565">
        <v>-0.11194490812989</v>
      </c>
      <c r="Q1565">
        <v>0.104723021117367</v>
      </c>
      <c r="R1565">
        <v>0.99079104837697296</v>
      </c>
      <c r="S1565" t="s">
        <v>8211</v>
      </c>
      <c r="T1565" t="s">
        <v>13290</v>
      </c>
      <c r="U1565" t="s">
        <v>13290</v>
      </c>
      <c r="V1565" t="s">
        <v>13290</v>
      </c>
      <c r="W1565" t="s">
        <v>14825</v>
      </c>
      <c r="X1565">
        <v>5</v>
      </c>
      <c r="Y1565" t="s">
        <v>21399</v>
      </c>
      <c r="Z1565" t="s">
        <v>27895</v>
      </c>
      <c r="AA1565">
        <v>0.40616649929075638</v>
      </c>
      <c r="AB1565" t="str">
        <f>HYPERLINK("Melting_Curves/meltCurve_O43819_SCO2.pdf", "Melting_Curves/meltCurve_O43819_SCO2.pdf")</f>
        <v>Melting_Curves/meltCurve_O43819_SCO2.pdf</v>
      </c>
    </row>
    <row r="1566" spans="1:28" x14ac:dyDescent="0.25">
      <c r="A1566" t="s">
        <v>1570</v>
      </c>
      <c r="B1566">
        <v>0.99252571173614901</v>
      </c>
      <c r="C1566">
        <v>1.05887781640986</v>
      </c>
      <c r="D1566">
        <v>0.93335676684700497</v>
      </c>
      <c r="E1566">
        <v>1.0465196413471001</v>
      </c>
      <c r="F1566">
        <v>1.0528913630472301</v>
      </c>
      <c r="G1566">
        <v>0.99300671344939895</v>
      </c>
      <c r="H1566">
        <v>1.5049520041053599</v>
      </c>
      <c r="I1566">
        <v>1.78399392812462</v>
      </c>
      <c r="J1566">
        <v>0.60508516364869203</v>
      </c>
      <c r="K1566">
        <v>2.6993417183014001</v>
      </c>
      <c r="L1566">
        <v>14695.6434098834</v>
      </c>
      <c r="M1566">
        <v>250</v>
      </c>
      <c r="O1566">
        <v>58.778808563477902</v>
      </c>
      <c r="P1566">
        <v>0.53165416246238495</v>
      </c>
      <c r="Q1566">
        <v>1.5</v>
      </c>
      <c r="R1566">
        <v>0.27393395216842098</v>
      </c>
      <c r="S1566" t="s">
        <v>8212</v>
      </c>
      <c r="T1566" t="s">
        <v>13290</v>
      </c>
      <c r="U1566" t="s">
        <v>13290</v>
      </c>
      <c r="V1566" t="s">
        <v>13290</v>
      </c>
      <c r="W1566" t="s">
        <v>14826</v>
      </c>
      <c r="X1566">
        <v>1</v>
      </c>
      <c r="Y1566" t="s">
        <v>21400</v>
      </c>
      <c r="Z1566" t="s">
        <v>27896</v>
      </c>
      <c r="AA1566">
        <v>1.1869055247568341</v>
      </c>
      <c r="AB1566" t="str">
        <f>HYPERLINK("Melting_Curves/meltCurve_O43820_4_HYAL3.pdf", "Melting_Curves/meltCurve_O43820_4_HYAL3.pdf")</f>
        <v>Melting_Curves/meltCurve_O43820_4_HYAL3.pdf</v>
      </c>
    </row>
    <row r="1567" spans="1:28" x14ac:dyDescent="0.25">
      <c r="A1567" t="s">
        <v>1571</v>
      </c>
      <c r="B1567">
        <v>0.99252571173614901</v>
      </c>
      <c r="C1567">
        <v>0.90430255337940602</v>
      </c>
      <c r="D1567">
        <v>0.93989483093609005</v>
      </c>
      <c r="E1567">
        <v>0.67947745137781201</v>
      </c>
      <c r="F1567">
        <v>0.33388304424888798</v>
      </c>
      <c r="G1567">
        <v>0.23724413582315801</v>
      </c>
      <c r="H1567">
        <v>0.198616136795432</v>
      </c>
      <c r="I1567">
        <v>0.24925105933870401</v>
      </c>
      <c r="J1567">
        <v>0.46025581419218797</v>
      </c>
      <c r="K1567">
        <v>0.69433499830583501</v>
      </c>
      <c r="L1567">
        <v>12399.485232380801</v>
      </c>
      <c r="M1567">
        <v>250</v>
      </c>
      <c r="N1567">
        <v>49.855056257762598</v>
      </c>
      <c r="O1567">
        <v>49.594767002760797</v>
      </c>
      <c r="P1567">
        <v>-0.803683338745385</v>
      </c>
      <c r="Q1567">
        <v>0.362264194042757</v>
      </c>
      <c r="R1567">
        <v>0.78407762236187495</v>
      </c>
      <c r="S1567" t="s">
        <v>8213</v>
      </c>
      <c r="T1567" t="s">
        <v>13290</v>
      </c>
      <c r="U1567" t="s">
        <v>13290</v>
      </c>
      <c r="V1567" t="s">
        <v>13290</v>
      </c>
      <c r="W1567" t="s">
        <v>14827</v>
      </c>
      <c r="X1567">
        <v>9</v>
      </c>
      <c r="Y1567" t="s">
        <v>21401</v>
      </c>
      <c r="Z1567" t="s">
        <v>27897</v>
      </c>
      <c r="AA1567">
        <v>0.5663513913463335</v>
      </c>
      <c r="AB1567" t="str">
        <f>HYPERLINK("Melting_Curves/meltCurve_O43823_AKAP8.pdf", "Melting_Curves/meltCurve_O43823_AKAP8.pdf")</f>
        <v>Melting_Curves/meltCurve_O43823_AKAP8.pdf</v>
      </c>
    </row>
    <row r="1568" spans="1:28" x14ac:dyDescent="0.25">
      <c r="A1568" t="s">
        <v>1572</v>
      </c>
      <c r="B1568">
        <v>0.99252571173614901</v>
      </c>
      <c r="C1568">
        <v>1.0736938271335399</v>
      </c>
      <c r="D1568">
        <v>0.88604852346277096</v>
      </c>
      <c r="E1568">
        <v>0.82035648640676795</v>
      </c>
      <c r="F1568">
        <v>0.21457503729191199</v>
      </c>
      <c r="G1568">
        <v>0.15364132590021201</v>
      </c>
      <c r="H1568">
        <v>0.102422874619536</v>
      </c>
      <c r="I1568">
        <v>0.13457115347017901</v>
      </c>
      <c r="J1568">
        <v>0.13635867529394199</v>
      </c>
      <c r="K1568">
        <v>0.126584277977351</v>
      </c>
      <c r="L1568">
        <v>2485.9934295685898</v>
      </c>
      <c r="M1568">
        <v>48.8263652612887</v>
      </c>
      <c r="N1568">
        <v>51.225643704339298</v>
      </c>
      <c r="O1568">
        <v>50.829791460603403</v>
      </c>
      <c r="P1568">
        <v>-0.209371461869197</v>
      </c>
      <c r="Q1568">
        <v>0.128151548117071</v>
      </c>
      <c r="R1568">
        <v>0.98808653700636695</v>
      </c>
      <c r="S1568" t="s">
        <v>8214</v>
      </c>
      <c r="T1568" t="s">
        <v>13290</v>
      </c>
      <c r="U1568" t="s">
        <v>13290</v>
      </c>
      <c r="V1568" t="s">
        <v>13290</v>
      </c>
      <c r="W1568" t="s">
        <v>14828</v>
      </c>
      <c r="X1568">
        <v>2</v>
      </c>
      <c r="Y1568" t="s">
        <v>21402</v>
      </c>
      <c r="Z1568" t="s">
        <v>27898</v>
      </c>
      <c r="AA1568">
        <v>0.44741233158490551</v>
      </c>
      <c r="AB1568" t="str">
        <f>HYPERLINK("Melting_Curves/meltCurve_O43824_GTPBP6.pdf", "Melting_Curves/meltCurve_O43824_GTPBP6.pdf")</f>
        <v>Melting_Curves/meltCurve_O43824_GTPBP6.pdf</v>
      </c>
    </row>
    <row r="1569" spans="1:28" x14ac:dyDescent="0.25">
      <c r="A1569" t="s">
        <v>1573</v>
      </c>
      <c r="B1569">
        <v>0.99252571173614901</v>
      </c>
      <c r="C1569">
        <v>0.98382078381397398</v>
      </c>
      <c r="D1569">
        <v>0.94379576605106097</v>
      </c>
      <c r="E1569">
        <v>1.00763235359446</v>
      </c>
      <c r="F1569">
        <v>0.66616207595858101</v>
      </c>
      <c r="G1569">
        <v>0.52428459982521203</v>
      </c>
      <c r="H1569">
        <v>0.59603846336015598</v>
      </c>
      <c r="I1569">
        <v>1.0288330565125601</v>
      </c>
      <c r="J1569">
        <v>1.66529592056523</v>
      </c>
      <c r="K1569">
        <v>1.7753376190244601</v>
      </c>
      <c r="L1569">
        <v>15000</v>
      </c>
      <c r="M1569">
        <v>231.61481492574899</v>
      </c>
      <c r="O1569">
        <v>64.757868318077996</v>
      </c>
      <c r="P1569">
        <v>0.447078519947331</v>
      </c>
      <c r="Q1569">
        <v>1.5</v>
      </c>
      <c r="R1569">
        <v>0.60687020288625604</v>
      </c>
      <c r="S1569" t="s">
        <v>8215</v>
      </c>
      <c r="T1569" t="s">
        <v>13290</v>
      </c>
      <c r="U1569" t="s">
        <v>13290</v>
      </c>
      <c r="V1569" t="s">
        <v>13290</v>
      </c>
      <c r="W1569" t="s">
        <v>14829</v>
      </c>
      <c r="X1569">
        <v>1</v>
      </c>
      <c r="Y1569" t="s">
        <v>21403</v>
      </c>
      <c r="Z1569" t="s">
        <v>27899</v>
      </c>
      <c r="AA1569">
        <v>1.087222178043604</v>
      </c>
      <c r="AB1569" t="str">
        <f>HYPERLINK("Melting_Curves/meltCurve_O43826_SLC37A4.pdf", "Melting_Curves/meltCurve_O43826_SLC37A4.pdf")</f>
        <v>Melting_Curves/meltCurve_O43826_SLC37A4.pdf</v>
      </c>
    </row>
    <row r="1570" spans="1:28" x14ac:dyDescent="0.25">
      <c r="A1570" t="s">
        <v>1574</v>
      </c>
      <c r="B1570">
        <v>0.99252571173614901</v>
      </c>
      <c r="C1570">
        <v>1.14909878456813</v>
      </c>
      <c r="D1570">
        <v>1.07277675454243</v>
      </c>
      <c r="E1570">
        <v>1.15129032847089</v>
      </c>
      <c r="F1570">
        <v>1.00301727859359</v>
      </c>
      <c r="G1570">
        <v>0.92445887584128805</v>
      </c>
      <c r="H1570">
        <v>0.82201298040177595</v>
      </c>
      <c r="I1570">
        <v>0.88377779294087</v>
      </c>
      <c r="J1570">
        <v>0.99712074156306896</v>
      </c>
      <c r="K1570">
        <v>0.79282064398557806</v>
      </c>
      <c r="L1570">
        <v>14177.1554548514</v>
      </c>
      <c r="M1570">
        <v>250</v>
      </c>
      <c r="O1570">
        <v>56.705006324180999</v>
      </c>
      <c r="P1570">
        <v>-0.13895046260159299</v>
      </c>
      <c r="Q1570">
        <v>0.87393304023726803</v>
      </c>
      <c r="R1570">
        <v>0.46351062214385103</v>
      </c>
      <c r="S1570" t="s">
        <v>8216</v>
      </c>
      <c r="T1570" t="s">
        <v>13290</v>
      </c>
      <c r="U1570" t="s">
        <v>13290</v>
      </c>
      <c r="V1570" t="s">
        <v>13290</v>
      </c>
      <c r="W1570" t="s">
        <v>14830</v>
      </c>
      <c r="X1570">
        <v>5</v>
      </c>
      <c r="Y1570" t="s">
        <v>21404</v>
      </c>
      <c r="Z1570" t="s">
        <v>27900</v>
      </c>
      <c r="AA1570">
        <v>0.94415909192088254</v>
      </c>
      <c r="AB1570" t="str">
        <f>HYPERLINK("Melting_Curves/meltCurve_O43829_ZBTB14.pdf", "Melting_Curves/meltCurve_O43829_ZBTB14.pdf")</f>
        <v>Melting_Curves/meltCurve_O43829_ZBTB14.pdf</v>
      </c>
    </row>
    <row r="1571" spans="1:28" x14ac:dyDescent="0.25">
      <c r="A1571" t="s">
        <v>1575</v>
      </c>
      <c r="B1571">
        <v>0.99252571173614901</v>
      </c>
      <c r="C1571">
        <v>0.88377006590254403</v>
      </c>
      <c r="D1571">
        <v>0.76684822701337596</v>
      </c>
      <c r="E1571">
        <v>0.61831326674165399</v>
      </c>
      <c r="F1571">
        <v>0.376460261504386</v>
      </c>
      <c r="G1571">
        <v>0.20742501378078901</v>
      </c>
      <c r="H1571">
        <v>9.5568457241581001E-2</v>
      </c>
      <c r="I1571">
        <v>7.3566587959612198E-2</v>
      </c>
      <c r="J1571">
        <v>8.5903087035268097E-2</v>
      </c>
      <c r="K1571">
        <v>8.2435508850926695E-2</v>
      </c>
      <c r="L1571">
        <v>655.20530171681798</v>
      </c>
      <c r="M1571">
        <v>12.9367278832861</v>
      </c>
      <c r="N1571">
        <v>50.883177968495602</v>
      </c>
      <c r="O1571">
        <v>49.482522863692999</v>
      </c>
      <c r="P1571">
        <v>-6.3466236187970995E-2</v>
      </c>
      <c r="Q1571">
        <v>2.9150442190041401E-2</v>
      </c>
      <c r="R1571">
        <v>0.99475889775041704</v>
      </c>
      <c r="S1571" t="s">
        <v>8217</v>
      </c>
      <c r="T1571" t="s">
        <v>13290</v>
      </c>
      <c r="U1571" t="s">
        <v>13290</v>
      </c>
      <c r="V1571" t="s">
        <v>13290</v>
      </c>
      <c r="W1571" t="s">
        <v>14831</v>
      </c>
      <c r="X1571">
        <v>18</v>
      </c>
      <c r="Y1571" t="s">
        <v>21405</v>
      </c>
      <c r="Z1571" t="s">
        <v>27901</v>
      </c>
      <c r="AA1571">
        <v>0.40256019678298871</v>
      </c>
      <c r="AB1571" t="str">
        <f>HYPERLINK("Melting_Curves/meltCurve_O43837_IDH3B.pdf", "Melting_Curves/meltCurve_O43837_IDH3B.pdf")</f>
        <v>Melting_Curves/meltCurve_O43837_IDH3B.pdf</v>
      </c>
    </row>
    <row r="1572" spans="1:28" x14ac:dyDescent="0.25">
      <c r="A1572" t="s">
        <v>1576</v>
      </c>
      <c r="B1572">
        <v>0.99252571173614901</v>
      </c>
      <c r="C1572">
        <v>1.04473985018254</v>
      </c>
      <c r="D1572">
        <v>0.91459167018179999</v>
      </c>
      <c r="E1572">
        <v>0.80712792690600199</v>
      </c>
      <c r="F1572">
        <v>0.69242937463433796</v>
      </c>
      <c r="G1572">
        <v>0.55162501026773902</v>
      </c>
      <c r="H1572">
        <v>0.52580636667090197</v>
      </c>
      <c r="I1572">
        <v>0.75021705907945901</v>
      </c>
      <c r="J1572">
        <v>1.1494453022436999</v>
      </c>
      <c r="K1572">
        <v>1.24163698703544</v>
      </c>
      <c r="L1572">
        <v>11506.1819498603</v>
      </c>
      <c r="M1572">
        <v>250</v>
      </c>
      <c r="O1572">
        <v>46.021782304388402</v>
      </c>
      <c r="P1572">
        <v>-0.24866174920328801</v>
      </c>
      <c r="Q1572">
        <v>0.81689828912002405</v>
      </c>
      <c r="R1572">
        <v>0.122117396004697</v>
      </c>
      <c r="S1572" t="s">
        <v>8218</v>
      </c>
      <c r="T1572" t="s">
        <v>13290</v>
      </c>
      <c r="U1572" t="s">
        <v>13290</v>
      </c>
      <c r="V1572" t="s">
        <v>13290</v>
      </c>
      <c r="W1572" t="s">
        <v>14832</v>
      </c>
      <c r="X1572">
        <v>18</v>
      </c>
      <c r="Y1572" t="s">
        <v>21406</v>
      </c>
      <c r="Z1572" t="s">
        <v>27902</v>
      </c>
      <c r="AA1572">
        <v>0.85368434432489915</v>
      </c>
      <c r="AB1572" t="str">
        <f>HYPERLINK("Melting_Curves/meltCurve_O43852_CALU.pdf", "Melting_Curves/meltCurve_O43852_CALU.pdf")</f>
        <v>Melting_Curves/meltCurve_O43852_CALU.pdf</v>
      </c>
    </row>
    <row r="1573" spans="1:28" x14ac:dyDescent="0.25">
      <c r="A1573" t="s">
        <v>1577</v>
      </c>
      <c r="B1573">
        <v>0.99252571173614901</v>
      </c>
      <c r="C1573">
        <v>0.91386953893655898</v>
      </c>
      <c r="D1573">
        <v>0.90387018521752005</v>
      </c>
      <c r="E1573">
        <v>0.88086880496454201</v>
      </c>
      <c r="F1573">
        <v>0.63608219163565405</v>
      </c>
      <c r="G1573">
        <v>0.42867070718637601</v>
      </c>
      <c r="H1573">
        <v>0.34116970981694</v>
      </c>
      <c r="I1573">
        <v>0.23838066064393901</v>
      </c>
      <c r="J1573">
        <v>0.104025678404445</v>
      </c>
      <c r="K1573">
        <v>0.10829197166577401</v>
      </c>
      <c r="L1573">
        <v>619.80614141837395</v>
      </c>
      <c r="M1573">
        <v>11.0167801173243</v>
      </c>
      <c r="N1573">
        <v>56.260193468954597</v>
      </c>
      <c r="O1573">
        <v>54.501826165248197</v>
      </c>
      <c r="P1573">
        <v>-5.0550950080115301E-2</v>
      </c>
      <c r="Q1573">
        <v>0</v>
      </c>
      <c r="R1573">
        <v>0.98760189138457899</v>
      </c>
      <c r="S1573" t="s">
        <v>8219</v>
      </c>
      <c r="T1573" t="s">
        <v>13290</v>
      </c>
      <c r="U1573" t="s">
        <v>13290</v>
      </c>
      <c r="V1573" t="s">
        <v>13290</v>
      </c>
      <c r="W1573" t="s">
        <v>14833</v>
      </c>
      <c r="X1573">
        <v>24</v>
      </c>
      <c r="Y1573" t="s">
        <v>21407</v>
      </c>
      <c r="Z1573" t="s">
        <v>27903</v>
      </c>
      <c r="AA1573">
        <v>0.56184068569619383</v>
      </c>
      <c r="AB1573" t="str">
        <f>HYPERLINK("Melting_Curves/meltCurve_O43865_AHCYL1.pdf", "Melting_Curves/meltCurve_O43865_AHCYL1.pdf")</f>
        <v>Melting_Curves/meltCurve_O43865_AHCYL1.pdf</v>
      </c>
    </row>
    <row r="1574" spans="1:28" x14ac:dyDescent="0.25">
      <c r="A1574" t="s">
        <v>1578</v>
      </c>
      <c r="B1574">
        <v>0.99252571173614901</v>
      </c>
      <c r="C1574">
        <v>0.76007840455921205</v>
      </c>
      <c r="D1574">
        <v>0.79452567808823704</v>
      </c>
      <c r="E1574">
        <v>0.78103763839639395</v>
      </c>
      <c r="F1574">
        <v>0.35596790756003399</v>
      </c>
      <c r="G1574">
        <v>0.198665561474724</v>
      </c>
      <c r="H1574">
        <v>0.13155014555813699</v>
      </c>
      <c r="I1574">
        <v>0.17646724525644</v>
      </c>
      <c r="J1574">
        <v>0.19483456421897999</v>
      </c>
      <c r="K1574">
        <v>0.15613127378053299</v>
      </c>
      <c r="L1574">
        <v>713.32713719256401</v>
      </c>
      <c r="M1574">
        <v>14.1050858729513</v>
      </c>
      <c r="N1574">
        <v>51.517142100337601</v>
      </c>
      <c r="O1574">
        <v>49.588354763425798</v>
      </c>
      <c r="P1574">
        <v>-6.30147443533845E-2</v>
      </c>
      <c r="Q1574">
        <v>0.113965756088448</v>
      </c>
      <c r="R1574">
        <v>0.92819523680625704</v>
      </c>
      <c r="S1574" t="s">
        <v>8220</v>
      </c>
      <c r="T1574" t="s">
        <v>13290</v>
      </c>
      <c r="U1574" t="s">
        <v>13290</v>
      </c>
      <c r="V1574" t="s">
        <v>13290</v>
      </c>
      <c r="W1574" t="s">
        <v>14834</v>
      </c>
      <c r="X1574">
        <v>2</v>
      </c>
      <c r="Y1574" t="s">
        <v>21408</v>
      </c>
      <c r="Z1574" t="s">
        <v>27904</v>
      </c>
      <c r="AA1574">
        <v>0.44921802681758549</v>
      </c>
      <c r="AB1574" t="str">
        <f>HYPERLINK("Melting_Curves/meltCurve_O43909_EXTL3.pdf", "Melting_Curves/meltCurve_O43909_EXTL3.pdf")</f>
        <v>Melting_Curves/meltCurve_O43909_EXTL3.pdf</v>
      </c>
    </row>
    <row r="1575" spans="1:28" x14ac:dyDescent="0.25">
      <c r="A1575" t="s">
        <v>1579</v>
      </c>
      <c r="B1575">
        <v>0.99252571173614901</v>
      </c>
      <c r="C1575">
        <v>0.92492636582950805</v>
      </c>
      <c r="D1575">
        <v>0.73633065882542303</v>
      </c>
      <c r="E1575">
        <v>0.287641447645889</v>
      </c>
      <c r="F1575">
        <v>0.122591226556256</v>
      </c>
      <c r="G1575">
        <v>5.8015064498506602E-2</v>
      </c>
      <c r="H1575">
        <v>4.00291473502562E-2</v>
      </c>
      <c r="I1575">
        <v>4.3201984351906503E-2</v>
      </c>
      <c r="J1575">
        <v>6.7656535467065806E-2</v>
      </c>
      <c r="K1575">
        <v>6.6011160721139203E-2</v>
      </c>
      <c r="L1575">
        <v>1229.4307404824101</v>
      </c>
      <c r="M1575">
        <v>25.838391404741898</v>
      </c>
      <c r="N1575">
        <v>47.786199287653801</v>
      </c>
      <c r="O1575">
        <v>47.299290167362599</v>
      </c>
      <c r="P1575">
        <v>-0.12941719427972201</v>
      </c>
      <c r="Q1575">
        <v>5.2376219914917199E-2</v>
      </c>
      <c r="R1575">
        <v>0.99876528439963497</v>
      </c>
      <c r="S1575" t="s">
        <v>8221</v>
      </c>
      <c r="T1575" t="s">
        <v>13290</v>
      </c>
      <c r="U1575" t="s">
        <v>13290</v>
      </c>
      <c r="V1575" t="s">
        <v>13290</v>
      </c>
      <c r="W1575" t="s">
        <v>14835</v>
      </c>
      <c r="X1575">
        <v>8</v>
      </c>
      <c r="Y1575" t="s">
        <v>21409</v>
      </c>
      <c r="Z1575" t="s">
        <v>27905</v>
      </c>
      <c r="AA1575">
        <v>0.29967663400258587</v>
      </c>
      <c r="AB1575" t="str">
        <f>HYPERLINK("Melting_Curves/meltCurve_O43913_ORC5.pdf", "Melting_Curves/meltCurve_O43913_ORC5.pdf")</f>
        <v>Melting_Curves/meltCurve_O43913_ORC5.pdf</v>
      </c>
    </row>
    <row r="1576" spans="1:28" x14ac:dyDescent="0.25">
      <c r="A1576" t="s">
        <v>1580</v>
      </c>
      <c r="B1576">
        <v>0.99252571173614901</v>
      </c>
      <c r="C1576">
        <v>0.99216849123484796</v>
      </c>
      <c r="D1576">
        <v>1.0356279592555699</v>
      </c>
      <c r="E1576">
        <v>0.77194257870560501</v>
      </c>
      <c r="F1576">
        <v>0.56910351644913804</v>
      </c>
      <c r="G1576">
        <v>0.46781559539504203</v>
      </c>
      <c r="H1576">
        <v>0.41796060848463801</v>
      </c>
      <c r="I1576">
        <v>0.36618102686302101</v>
      </c>
      <c r="J1576">
        <v>0.36569365584576502</v>
      </c>
      <c r="K1576">
        <v>0.41638529131081498</v>
      </c>
      <c r="L1576">
        <v>1247.9272630775299</v>
      </c>
      <c r="M1576">
        <v>24.401017691166899</v>
      </c>
      <c r="N1576">
        <v>54.5762359941425</v>
      </c>
      <c r="O1576">
        <v>50.802646846599202</v>
      </c>
      <c r="P1576">
        <v>-7.2972192244772693E-2</v>
      </c>
      <c r="Q1576">
        <v>0.39229983393381401</v>
      </c>
      <c r="R1576">
        <v>0.98621013577312799</v>
      </c>
      <c r="S1576" t="s">
        <v>8222</v>
      </c>
      <c r="T1576" t="s">
        <v>13290</v>
      </c>
      <c r="U1576" t="s">
        <v>13290</v>
      </c>
      <c r="V1576" t="s">
        <v>13290</v>
      </c>
      <c r="W1576" t="s">
        <v>14836</v>
      </c>
      <c r="X1576">
        <v>7</v>
      </c>
      <c r="Y1576" t="s">
        <v>21410</v>
      </c>
      <c r="Z1576" t="s">
        <v>27906</v>
      </c>
      <c r="AA1576">
        <v>0.62377410890276286</v>
      </c>
      <c r="AB1576" t="str">
        <f>HYPERLINK("Melting_Curves/meltCurve_O43920_NDUFS5.pdf", "Melting_Curves/meltCurve_O43920_NDUFS5.pdf")</f>
        <v>Melting_Curves/meltCurve_O43920_NDUFS5.pdf</v>
      </c>
    </row>
    <row r="1577" spans="1:28" x14ac:dyDescent="0.25">
      <c r="A1577" t="s">
        <v>1581</v>
      </c>
      <c r="B1577">
        <v>0.99252571173614901</v>
      </c>
      <c r="C1577">
        <v>1.02776005875027</v>
      </c>
      <c r="D1577">
        <v>0.91697066853644404</v>
      </c>
      <c r="E1577">
        <v>0.62890193056289201</v>
      </c>
      <c r="F1577">
        <v>0.51509570936933002</v>
      </c>
      <c r="G1577">
        <v>0.353047815364119</v>
      </c>
      <c r="H1577">
        <v>0.27152361312380002</v>
      </c>
      <c r="I1577">
        <v>0.25201868026496099</v>
      </c>
      <c r="J1577">
        <v>0.27534948364408002</v>
      </c>
      <c r="K1577">
        <v>0.236710137693943</v>
      </c>
      <c r="L1577">
        <v>890.32480206722198</v>
      </c>
      <c r="M1577">
        <v>17.585301640113499</v>
      </c>
      <c r="N1577">
        <v>52.6567943267614</v>
      </c>
      <c r="O1577">
        <v>49.987819632484403</v>
      </c>
      <c r="P1577">
        <v>-6.6317290760684502E-2</v>
      </c>
      <c r="Q1577">
        <v>0.24598906785649399</v>
      </c>
      <c r="R1577">
        <v>0.98851894942923302</v>
      </c>
      <c r="S1577" t="s">
        <v>8223</v>
      </c>
      <c r="T1577" t="s">
        <v>13290</v>
      </c>
      <c r="U1577" t="s">
        <v>13290</v>
      </c>
      <c r="V1577" t="s">
        <v>13290</v>
      </c>
      <c r="W1577" t="s">
        <v>14837</v>
      </c>
      <c r="X1577">
        <v>4</v>
      </c>
      <c r="Y1577" t="s">
        <v>21411</v>
      </c>
      <c r="Z1577" t="s">
        <v>27907</v>
      </c>
      <c r="AA1577">
        <v>0.52644921255994648</v>
      </c>
      <c r="AB1577" t="str">
        <f>HYPERLINK("Melting_Curves/meltCurve_O43924_PDE6D.pdf", "Melting_Curves/meltCurve_O43924_PDE6D.pdf")</f>
        <v>Melting_Curves/meltCurve_O43924_PDE6D.pdf</v>
      </c>
    </row>
    <row r="1578" spans="1:28" x14ac:dyDescent="0.25">
      <c r="A1578" t="s">
        <v>1582</v>
      </c>
      <c r="B1578">
        <v>0.99252571173614901</v>
      </c>
      <c r="C1578">
        <v>0.84258051395530098</v>
      </c>
      <c r="D1578">
        <v>0.91399804211910396</v>
      </c>
      <c r="E1578">
        <v>0.91341202469969096</v>
      </c>
      <c r="F1578">
        <v>0.51962493851514402</v>
      </c>
      <c r="G1578">
        <v>0.23026011390113801</v>
      </c>
      <c r="H1578">
        <v>0.14210186219881199</v>
      </c>
      <c r="I1578">
        <v>0.137000203042241</v>
      </c>
      <c r="J1578">
        <v>0.12504581506596499</v>
      </c>
      <c r="K1578">
        <v>0.103344113321303</v>
      </c>
      <c r="L1578">
        <v>1501.1280688918</v>
      </c>
      <c r="M1578">
        <v>28.359457921659999</v>
      </c>
      <c r="N1578">
        <v>53.4419007101354</v>
      </c>
      <c r="O1578">
        <v>52.671086911008601</v>
      </c>
      <c r="P1578">
        <v>-0.118657331830374</v>
      </c>
      <c r="Q1578">
        <v>0.118493768005845</v>
      </c>
      <c r="R1578">
        <v>0.97659885329059504</v>
      </c>
      <c r="S1578" t="s">
        <v>8224</v>
      </c>
      <c r="T1578" t="s">
        <v>13290</v>
      </c>
      <c r="U1578" t="s">
        <v>13290</v>
      </c>
      <c r="V1578" t="s">
        <v>13290</v>
      </c>
      <c r="W1578" t="s">
        <v>14838</v>
      </c>
      <c r="X1578">
        <v>7</v>
      </c>
      <c r="Y1578" t="s">
        <v>21412</v>
      </c>
      <c r="Z1578" t="s">
        <v>27908</v>
      </c>
      <c r="AA1578">
        <v>0.50486070392424831</v>
      </c>
      <c r="AB1578" t="str">
        <f>HYPERLINK("Melting_Curves/meltCurve_O43933_PEX1.pdf", "Melting_Curves/meltCurve_O43933_PEX1.pdf")</f>
        <v>Melting_Curves/meltCurve_O43933_PEX1.pdf</v>
      </c>
    </row>
    <row r="1579" spans="1:28" x14ac:dyDescent="0.25">
      <c r="A1579" t="s">
        <v>1583</v>
      </c>
      <c r="B1579">
        <v>0.99252571173614901</v>
      </c>
      <c r="C1579">
        <v>0.89547574708378197</v>
      </c>
      <c r="D1579">
        <v>1.2154802784043199</v>
      </c>
      <c r="E1579">
        <v>1.2215435046135501</v>
      </c>
      <c r="F1579">
        <v>0.78751541098719702</v>
      </c>
      <c r="G1579">
        <v>0.279848713459036</v>
      </c>
      <c r="H1579">
        <v>0.157210961912186</v>
      </c>
      <c r="I1579">
        <v>0.1571984503967</v>
      </c>
      <c r="J1579">
        <v>0.19068062462127999</v>
      </c>
      <c r="K1579">
        <v>0.202417693585796</v>
      </c>
      <c r="L1579">
        <v>2866.2151596523699</v>
      </c>
      <c r="M1579">
        <v>52.7121424859534</v>
      </c>
      <c r="N1579">
        <v>54.839883762526</v>
      </c>
      <c r="O1579">
        <v>54.296775515902603</v>
      </c>
      <c r="P1579">
        <v>-0.19896312871982</v>
      </c>
      <c r="Q1579">
        <v>0.18022326763736499</v>
      </c>
      <c r="R1579">
        <v>0.94013965102181996</v>
      </c>
      <c r="S1579" t="s">
        <v>8225</v>
      </c>
      <c r="T1579" t="s">
        <v>13290</v>
      </c>
      <c r="U1579" t="s">
        <v>13290</v>
      </c>
      <c r="V1579" t="s">
        <v>13290</v>
      </c>
      <c r="W1579" t="s">
        <v>14839</v>
      </c>
      <c r="X1579">
        <v>13</v>
      </c>
      <c r="Y1579" t="s">
        <v>21413</v>
      </c>
      <c r="Z1579" t="s">
        <v>27909</v>
      </c>
      <c r="AA1579">
        <v>0.57479674379504775</v>
      </c>
      <c r="AB1579" t="str">
        <f>HYPERLINK("Melting_Curves/meltCurve_O60216_RAD21.pdf", "Melting_Curves/meltCurve_O60216_RAD21.pdf")</f>
        <v>Melting_Curves/meltCurve_O60216_RAD21.pdf</v>
      </c>
    </row>
    <row r="1580" spans="1:28" x14ac:dyDescent="0.25">
      <c r="A1580" t="s">
        <v>1584</v>
      </c>
      <c r="B1580">
        <v>0.99252571173614901</v>
      </c>
      <c r="C1580">
        <v>1.16199867532467</v>
      </c>
      <c r="D1580">
        <v>1.0675099485967701</v>
      </c>
      <c r="E1580">
        <v>0.91422514019414103</v>
      </c>
      <c r="F1580">
        <v>0.63330492392392301</v>
      </c>
      <c r="G1580">
        <v>0.311525677379977</v>
      </c>
      <c r="H1580">
        <v>0.161045067449889</v>
      </c>
      <c r="I1580">
        <v>0.161488021067132</v>
      </c>
      <c r="J1580">
        <v>0.164099355455852</v>
      </c>
      <c r="K1580">
        <v>0.14928029631322301</v>
      </c>
      <c r="L1580">
        <v>1540.5961745642201</v>
      </c>
      <c r="M1580">
        <v>28.669946804508399</v>
      </c>
      <c r="N1580">
        <v>54.4163125882015</v>
      </c>
      <c r="O1580">
        <v>53.476182042311599</v>
      </c>
      <c r="P1580">
        <v>-0.113834912073592</v>
      </c>
      <c r="Q1580">
        <v>0.15069127944772301</v>
      </c>
      <c r="R1580">
        <v>0.97998579599161095</v>
      </c>
      <c r="S1580" t="s">
        <v>8226</v>
      </c>
      <c r="T1580" t="s">
        <v>13290</v>
      </c>
      <c r="U1580" t="s">
        <v>13290</v>
      </c>
      <c r="V1580" t="s">
        <v>13290</v>
      </c>
      <c r="W1580" t="s">
        <v>14840</v>
      </c>
      <c r="X1580">
        <v>2</v>
      </c>
      <c r="Y1580" t="s">
        <v>21414</v>
      </c>
      <c r="Z1580" t="s">
        <v>27910</v>
      </c>
      <c r="AA1580">
        <v>0.54561896076204952</v>
      </c>
      <c r="AB1580" t="str">
        <f>HYPERLINK("Melting_Curves/meltCurve_O60218_AKR1B10.pdf", "Melting_Curves/meltCurve_O60218_AKR1B10.pdf")</f>
        <v>Melting_Curves/meltCurve_O60218_AKR1B10.pdf</v>
      </c>
    </row>
    <row r="1581" spans="1:28" x14ac:dyDescent="0.25">
      <c r="A1581" t="s">
        <v>1585</v>
      </c>
      <c r="B1581">
        <v>0.99252571173614901</v>
      </c>
      <c r="C1581">
        <v>1.0074889351474901</v>
      </c>
      <c r="D1581">
        <v>1.0102199250523001</v>
      </c>
      <c r="E1581">
        <v>1.04658862354875</v>
      </c>
      <c r="F1581">
        <v>0.96515692134852704</v>
      </c>
      <c r="G1581">
        <v>0.76889924982524804</v>
      </c>
      <c r="H1581">
        <v>0.631183638029431</v>
      </c>
      <c r="I1581">
        <v>0.79584900289260996</v>
      </c>
      <c r="J1581">
        <v>1.26596658045331</v>
      </c>
      <c r="K1581">
        <v>1.2730492336964301</v>
      </c>
      <c r="L1581">
        <v>15000</v>
      </c>
      <c r="M1581">
        <v>226.677727823038</v>
      </c>
      <c r="O1581">
        <v>66.168089566507007</v>
      </c>
      <c r="P1581">
        <v>0.23567046691857499</v>
      </c>
      <c r="Q1581">
        <v>1.27517242103076</v>
      </c>
      <c r="R1581">
        <v>0.372429397308841</v>
      </c>
      <c r="S1581" t="s">
        <v>8227</v>
      </c>
      <c r="T1581" t="s">
        <v>13290</v>
      </c>
      <c r="U1581" t="s">
        <v>13290</v>
      </c>
      <c r="V1581" t="s">
        <v>13290</v>
      </c>
      <c r="W1581" t="s">
        <v>14841</v>
      </c>
      <c r="X1581">
        <v>8</v>
      </c>
      <c r="Y1581" t="s">
        <v>21415</v>
      </c>
      <c r="Z1581" t="s">
        <v>27911</v>
      </c>
      <c r="AA1581">
        <v>1.035061754368038</v>
      </c>
      <c r="AB1581" t="str">
        <f>HYPERLINK("Melting_Curves/meltCurve_O60220_TIMM8A.pdf", "Melting_Curves/meltCurve_O60220_TIMM8A.pdf")</f>
        <v>Melting_Curves/meltCurve_O60220_TIMM8A.pdf</v>
      </c>
    </row>
    <row r="1582" spans="1:28" x14ac:dyDescent="0.25">
      <c r="A1582" t="s">
        <v>1586</v>
      </c>
      <c r="B1582">
        <v>0.99252571173614901</v>
      </c>
      <c r="C1582">
        <v>0.98681792758582698</v>
      </c>
      <c r="D1582">
        <v>0.91425835987966597</v>
      </c>
      <c r="E1582">
        <v>0.74044060124762501</v>
      </c>
      <c r="F1582">
        <v>0.32676843460288901</v>
      </c>
      <c r="G1582">
        <v>0.15561141684111399</v>
      </c>
      <c r="H1582">
        <v>0.114505026731376</v>
      </c>
      <c r="I1582">
        <v>0.13541451819945</v>
      </c>
      <c r="J1582">
        <v>0.14623235109354801</v>
      </c>
      <c r="K1582">
        <v>0.14640273725740199</v>
      </c>
      <c r="L1582">
        <v>1450.4240228070701</v>
      </c>
      <c r="M1582">
        <v>28.4718928003436</v>
      </c>
      <c r="N1582">
        <v>51.4808508748606</v>
      </c>
      <c r="O1582">
        <v>50.692994996667103</v>
      </c>
      <c r="P1582">
        <v>-0.122329868560592</v>
      </c>
      <c r="Q1582">
        <v>0.128794490109094</v>
      </c>
      <c r="R1582">
        <v>0.99711547179383997</v>
      </c>
      <c r="S1582" t="s">
        <v>8228</v>
      </c>
      <c r="T1582" t="s">
        <v>13290</v>
      </c>
      <c r="U1582" t="s">
        <v>13290</v>
      </c>
      <c r="V1582" t="s">
        <v>13290</v>
      </c>
      <c r="W1582" t="s">
        <v>14842</v>
      </c>
      <c r="X1582">
        <v>35</v>
      </c>
      <c r="Y1582" t="s">
        <v>21416</v>
      </c>
      <c r="Z1582" t="s">
        <v>27912</v>
      </c>
      <c r="AA1582">
        <v>0.45263716510204383</v>
      </c>
      <c r="AB1582" t="str">
        <f>HYPERLINK("Melting_Curves/meltCurve_O60231_DHX16.pdf", "Melting_Curves/meltCurve_O60231_DHX16.pdf")</f>
        <v>Melting_Curves/meltCurve_O60231_DHX16.pdf</v>
      </c>
    </row>
    <row r="1583" spans="1:28" x14ac:dyDescent="0.25">
      <c r="A1583" t="s">
        <v>1587</v>
      </c>
      <c r="B1583">
        <v>0.99252571173614901</v>
      </c>
      <c r="C1583">
        <v>0.88826825423071298</v>
      </c>
      <c r="D1583">
        <v>0.94585405200671202</v>
      </c>
      <c r="E1583">
        <v>0.83519461694997998</v>
      </c>
      <c r="F1583">
        <v>0.82265187394282502</v>
      </c>
      <c r="G1583">
        <v>0.70702136034520202</v>
      </c>
      <c r="H1583">
        <v>0.57949888679985095</v>
      </c>
      <c r="I1583">
        <v>0.43935993899273901</v>
      </c>
      <c r="J1583">
        <v>0.30414962824515601</v>
      </c>
      <c r="K1583">
        <v>0.21912251250310399</v>
      </c>
      <c r="L1583">
        <v>546.32135227600304</v>
      </c>
      <c r="M1583">
        <v>8.8432363385780306</v>
      </c>
      <c r="N1583">
        <v>61.778433434294499</v>
      </c>
      <c r="O1583">
        <v>58.863960092327702</v>
      </c>
      <c r="P1583">
        <v>-3.7587089806436401E-2</v>
      </c>
      <c r="Q1583">
        <v>0</v>
      </c>
      <c r="R1583">
        <v>0.97365840875302201</v>
      </c>
      <c r="S1583" t="s">
        <v>8229</v>
      </c>
      <c r="T1583" t="s">
        <v>13290</v>
      </c>
      <c r="U1583" t="s">
        <v>13290</v>
      </c>
      <c r="V1583" t="s">
        <v>13290</v>
      </c>
      <c r="W1583" t="s">
        <v>14843</v>
      </c>
      <c r="X1583">
        <v>11</v>
      </c>
      <c r="Y1583" t="s">
        <v>21417</v>
      </c>
      <c r="Z1583" t="s">
        <v>27913</v>
      </c>
      <c r="AA1583">
        <v>0.69896507317273437</v>
      </c>
      <c r="AB1583" t="str">
        <f>HYPERLINK("Melting_Curves/meltCurve_O60256_PRPSAP2.pdf", "Melting_Curves/meltCurve_O60256_PRPSAP2.pdf")</f>
        <v>Melting_Curves/meltCurve_O60256_PRPSAP2.pdf</v>
      </c>
    </row>
    <row r="1584" spans="1:28" x14ac:dyDescent="0.25">
      <c r="A1584" t="s">
        <v>1588</v>
      </c>
      <c r="B1584">
        <v>0.99252571173614901</v>
      </c>
      <c r="C1584">
        <v>0.99551406757359695</v>
      </c>
      <c r="D1584">
        <v>0.69818672966505102</v>
      </c>
      <c r="E1584">
        <v>0.28979711479944198</v>
      </c>
      <c r="F1584">
        <v>0.17905147490283799</v>
      </c>
      <c r="G1584">
        <v>0.115893583764435</v>
      </c>
      <c r="H1584">
        <v>9.5298700652464693E-2</v>
      </c>
      <c r="I1584">
        <v>8.9915137752017593E-2</v>
      </c>
      <c r="J1584">
        <v>0.1119812690463</v>
      </c>
      <c r="K1584">
        <v>0.12268658133329401</v>
      </c>
      <c r="L1584">
        <v>1349.0358020333499</v>
      </c>
      <c r="M1584">
        <v>28.581696018539699</v>
      </c>
      <c r="N1584">
        <v>47.618833700709096</v>
      </c>
      <c r="O1584">
        <v>46.970026414458403</v>
      </c>
      <c r="P1584">
        <v>-0.13519568685338401</v>
      </c>
      <c r="Q1584">
        <v>0.111305647609945</v>
      </c>
      <c r="R1584">
        <v>0.99670863754036998</v>
      </c>
      <c r="S1584" t="s">
        <v>8230</v>
      </c>
      <c r="T1584" t="s">
        <v>13290</v>
      </c>
      <c r="U1584" t="s">
        <v>13290</v>
      </c>
      <c r="V1584" t="s">
        <v>13290</v>
      </c>
      <c r="W1584" t="s">
        <v>14844</v>
      </c>
      <c r="X1584">
        <v>22</v>
      </c>
      <c r="Y1584" t="s">
        <v>21418</v>
      </c>
      <c r="Z1584" t="s">
        <v>27914</v>
      </c>
      <c r="AA1584">
        <v>0.33048348207299622</v>
      </c>
      <c r="AB1584" t="str">
        <f>HYPERLINK("Melting_Curves/meltCurve_O60264_SMARCA5.pdf", "Melting_Curves/meltCurve_O60264_SMARCA5.pdf")</f>
        <v>Melting_Curves/meltCurve_O60264_SMARCA5.pdf</v>
      </c>
    </row>
    <row r="1585" spans="1:28" x14ac:dyDescent="0.25">
      <c r="A1585" t="s">
        <v>1589</v>
      </c>
      <c r="B1585">
        <v>0.99252571173614901</v>
      </c>
      <c r="C1585">
        <v>0.98767038619937597</v>
      </c>
      <c r="D1585">
        <v>0.925187362085239</v>
      </c>
      <c r="E1585">
        <v>0.49754071377745601</v>
      </c>
      <c r="F1585">
        <v>0.23505120328849599</v>
      </c>
      <c r="G1585">
        <v>0.153797343172249</v>
      </c>
      <c r="H1585">
        <v>0.12097792564003999</v>
      </c>
      <c r="I1585">
        <v>0.133965268868216</v>
      </c>
      <c r="J1585">
        <v>0.156306102749598</v>
      </c>
      <c r="K1585">
        <v>0.17017045894784499</v>
      </c>
      <c r="L1585">
        <v>1573.80719094351</v>
      </c>
      <c r="M1585">
        <v>32.041715525007596</v>
      </c>
      <c r="N1585">
        <v>49.6579889868338</v>
      </c>
      <c r="O1585">
        <v>48.927312547987697</v>
      </c>
      <c r="P1585">
        <v>-0.139616892363819</v>
      </c>
      <c r="Q1585">
        <v>0.14723104571791101</v>
      </c>
      <c r="R1585">
        <v>0.99821604970135802</v>
      </c>
      <c r="S1585" t="s">
        <v>8231</v>
      </c>
      <c r="T1585" t="s">
        <v>13290</v>
      </c>
      <c r="U1585" t="s">
        <v>13290</v>
      </c>
      <c r="V1585" t="s">
        <v>13290</v>
      </c>
      <c r="W1585" t="s">
        <v>14845</v>
      </c>
      <c r="X1585">
        <v>26</v>
      </c>
      <c r="Y1585" t="s">
        <v>21419</v>
      </c>
      <c r="Z1585" t="s">
        <v>27915</v>
      </c>
      <c r="AA1585">
        <v>0.41094792980845518</v>
      </c>
      <c r="AB1585" t="str">
        <f>HYPERLINK("Melting_Curves/meltCurve_O60271_4_SPAG9.pdf", "Melting_Curves/meltCurve_O60271_4_SPAG9.pdf")</f>
        <v>Melting_Curves/meltCurve_O60271_4_SPAG9.pdf</v>
      </c>
    </row>
    <row r="1586" spans="1:28" x14ac:dyDescent="0.25">
      <c r="A1586" t="s">
        <v>1590</v>
      </c>
      <c r="B1586">
        <v>0.99252571173614901</v>
      </c>
      <c r="C1586">
        <v>1.0606423458748999</v>
      </c>
      <c r="D1586">
        <v>0.82822417595995701</v>
      </c>
      <c r="E1586">
        <v>0.58634346614942701</v>
      </c>
      <c r="F1586">
        <v>0.175379406531008</v>
      </c>
      <c r="G1586">
        <v>0.138589681455178</v>
      </c>
      <c r="H1586">
        <v>0.12646215930066201</v>
      </c>
      <c r="I1586">
        <v>7.6382966975021796E-2</v>
      </c>
      <c r="J1586">
        <v>6.3342477909042794E-2</v>
      </c>
      <c r="K1586">
        <v>5.8225686755153799E-2</v>
      </c>
      <c r="L1586">
        <v>1233.84879629337</v>
      </c>
      <c r="M1586">
        <v>24.843668695403</v>
      </c>
      <c r="N1586">
        <v>49.996531166732503</v>
      </c>
      <c r="O1586">
        <v>49.346086437592803</v>
      </c>
      <c r="P1586">
        <v>-0.11629477181772301</v>
      </c>
      <c r="Q1586">
        <v>7.6044262869749898E-2</v>
      </c>
      <c r="R1586">
        <v>0.98914389283150095</v>
      </c>
      <c r="S1586" t="s">
        <v>8232</v>
      </c>
      <c r="T1586" t="s">
        <v>13290</v>
      </c>
      <c r="U1586" t="s">
        <v>13290</v>
      </c>
      <c r="V1586" t="s">
        <v>13290</v>
      </c>
      <c r="W1586" t="s">
        <v>14846</v>
      </c>
      <c r="X1586">
        <v>2</v>
      </c>
      <c r="Y1586" t="s">
        <v>21420</v>
      </c>
      <c r="Z1586" t="s">
        <v>27916</v>
      </c>
      <c r="AA1586">
        <v>0.38203355716530052</v>
      </c>
      <c r="AB1586" t="str">
        <f>HYPERLINK("Melting_Curves/meltCurve_O60292_SIPA1L3.pdf", "Melting_Curves/meltCurve_O60292_SIPA1L3.pdf")</f>
        <v>Melting_Curves/meltCurve_O60292_SIPA1L3.pdf</v>
      </c>
    </row>
    <row r="1587" spans="1:28" x14ac:dyDescent="0.25">
      <c r="A1587" t="s">
        <v>1591</v>
      </c>
      <c r="B1587">
        <v>0.99252571173614901</v>
      </c>
      <c r="C1587">
        <v>0.94370476509235202</v>
      </c>
      <c r="D1587">
        <v>0.74355174679085501</v>
      </c>
      <c r="E1587">
        <v>0.31774302251355702</v>
      </c>
      <c r="F1587">
        <v>0.19211294022598599</v>
      </c>
      <c r="G1587">
        <v>0.100904827295297</v>
      </c>
      <c r="H1587">
        <v>8.2385013981184196E-2</v>
      </c>
      <c r="I1587">
        <v>8.3171301210516704E-2</v>
      </c>
      <c r="J1587">
        <v>9.6599276456565894E-2</v>
      </c>
      <c r="K1587">
        <v>8.2539293746625803E-2</v>
      </c>
      <c r="L1587">
        <v>1176.09733613656</v>
      </c>
      <c r="M1587">
        <v>24.681355048235499</v>
      </c>
      <c r="N1587">
        <v>48.032524468580199</v>
      </c>
      <c r="O1587">
        <v>47.341746397692702</v>
      </c>
      <c r="P1587">
        <v>-0.11874305171081601</v>
      </c>
      <c r="Q1587">
        <v>8.8960466478816197E-2</v>
      </c>
      <c r="R1587">
        <v>0.99817316332831296</v>
      </c>
      <c r="S1587" t="s">
        <v>8233</v>
      </c>
      <c r="T1587" t="s">
        <v>13290</v>
      </c>
      <c r="U1587" t="s">
        <v>13290</v>
      </c>
      <c r="V1587" t="s">
        <v>13290</v>
      </c>
      <c r="W1587" t="s">
        <v>14847</v>
      </c>
      <c r="X1587">
        <v>6</v>
      </c>
      <c r="Y1587" t="s">
        <v>21421</v>
      </c>
      <c r="Z1587" t="s">
        <v>27917</v>
      </c>
      <c r="AA1587">
        <v>0.32960444534824718</v>
      </c>
      <c r="AB1587" t="str">
        <f>HYPERLINK("Melting_Curves/meltCurve_O60294_LCMT2.pdf", "Melting_Curves/meltCurve_O60294_LCMT2.pdf")</f>
        <v>Melting_Curves/meltCurve_O60294_LCMT2.pdf</v>
      </c>
    </row>
    <row r="1588" spans="1:28" x14ac:dyDescent="0.25">
      <c r="A1588" t="s">
        <v>1592</v>
      </c>
      <c r="B1588">
        <v>0.99252571173614901</v>
      </c>
      <c r="C1588">
        <v>0.77992787392538598</v>
      </c>
      <c r="D1588">
        <v>0.63070162740385805</v>
      </c>
      <c r="E1588">
        <v>0.52514965871274299</v>
      </c>
      <c r="F1588">
        <v>0.41532650322217601</v>
      </c>
      <c r="G1588">
        <v>0.26200230051551998</v>
      </c>
      <c r="H1588">
        <v>0.17654423737722599</v>
      </c>
      <c r="I1588">
        <v>9.8464107348155305E-2</v>
      </c>
      <c r="J1588">
        <v>0.103009854057883</v>
      </c>
      <c r="K1588">
        <v>9.2848308371169599E-2</v>
      </c>
      <c r="L1588">
        <v>445.85537440953402</v>
      </c>
      <c r="M1588">
        <v>8.9295020803663601</v>
      </c>
      <c r="N1588">
        <v>50.039933280977699</v>
      </c>
      <c r="O1588">
        <v>47.616931673984098</v>
      </c>
      <c r="P1588">
        <v>-4.6463788499568198E-2</v>
      </c>
      <c r="Q1588">
        <v>9.6607951801808405E-3</v>
      </c>
      <c r="R1588">
        <v>0.98310671395824301</v>
      </c>
      <c r="S1588" t="s">
        <v>8234</v>
      </c>
      <c r="T1588" t="s">
        <v>13290</v>
      </c>
      <c r="U1588" t="s">
        <v>13290</v>
      </c>
      <c r="V1588" t="s">
        <v>13290</v>
      </c>
      <c r="W1588" t="s">
        <v>14848</v>
      </c>
      <c r="X1588">
        <v>12</v>
      </c>
      <c r="Y1588" t="s">
        <v>21422</v>
      </c>
      <c r="Z1588" t="s">
        <v>27918</v>
      </c>
      <c r="AA1588">
        <v>0.38970114686042351</v>
      </c>
      <c r="AB1588" t="str">
        <f>HYPERLINK("Melting_Curves/meltCurve_O60306_AQR.pdf", "Melting_Curves/meltCurve_O60306_AQR.pdf")</f>
        <v>Melting_Curves/meltCurve_O60306_AQR.pdf</v>
      </c>
    </row>
    <row r="1589" spans="1:28" x14ac:dyDescent="0.25">
      <c r="A1589" t="s">
        <v>1593</v>
      </c>
      <c r="B1589">
        <v>0.99252571173614901</v>
      </c>
      <c r="C1589">
        <v>0.81457672826664995</v>
      </c>
      <c r="D1589">
        <v>0.889443490729112</v>
      </c>
      <c r="E1589">
        <v>0.74275466229898401</v>
      </c>
      <c r="F1589">
        <v>0.19351393062308</v>
      </c>
      <c r="G1589">
        <v>0.120485688468491</v>
      </c>
      <c r="H1589">
        <v>8.2217179555252706E-2</v>
      </c>
      <c r="I1589">
        <v>8.1961934174119094E-2</v>
      </c>
      <c r="J1589">
        <v>9.3479473505353697E-2</v>
      </c>
      <c r="K1589">
        <v>8.3185391523900101E-2</v>
      </c>
      <c r="L1589">
        <v>1872.12967048726</v>
      </c>
      <c r="M1589">
        <v>36.936764136806701</v>
      </c>
      <c r="N1589">
        <v>50.940984354036402</v>
      </c>
      <c r="O1589">
        <v>50.536845114548903</v>
      </c>
      <c r="P1589">
        <v>-0.16723066323676</v>
      </c>
      <c r="Q1589">
        <v>8.47832733180819E-2</v>
      </c>
      <c r="R1589">
        <v>0.96855634410714198</v>
      </c>
      <c r="S1589" t="s">
        <v>8235</v>
      </c>
      <c r="T1589" t="s">
        <v>13290</v>
      </c>
      <c r="U1589" t="s">
        <v>13290</v>
      </c>
      <c r="V1589" t="s">
        <v>13290</v>
      </c>
      <c r="W1589" t="s">
        <v>14849</v>
      </c>
      <c r="X1589">
        <v>43</v>
      </c>
      <c r="Y1589" t="s">
        <v>21423</v>
      </c>
      <c r="Z1589" t="s">
        <v>27919</v>
      </c>
      <c r="AA1589">
        <v>0.41450979597626392</v>
      </c>
      <c r="AB1589" t="str">
        <f>HYPERLINK("Melting_Curves/meltCurve_O60313_2_OPA1.pdf", "Melting_Curves/meltCurve_O60313_2_OPA1.pdf")</f>
        <v>Melting_Curves/meltCurve_O60313_2_OPA1.pdf</v>
      </c>
    </row>
    <row r="1590" spans="1:28" x14ac:dyDescent="0.25">
      <c r="A1590" t="s">
        <v>1594</v>
      </c>
      <c r="B1590">
        <v>0.99252571173614901</v>
      </c>
      <c r="C1590">
        <v>0.89594097084496604</v>
      </c>
      <c r="D1590">
        <v>0.78595534575971104</v>
      </c>
      <c r="E1590">
        <v>0.61580388686301302</v>
      </c>
      <c r="F1590">
        <v>0.203388390629308</v>
      </c>
      <c r="G1590">
        <v>0.12129497268146699</v>
      </c>
      <c r="H1590">
        <v>0.101910471140783</v>
      </c>
      <c r="I1590">
        <v>7.8917776433116593E-2</v>
      </c>
      <c r="J1590">
        <v>9.0493107545999901E-2</v>
      </c>
      <c r="K1590">
        <v>7.7131311210705503E-2</v>
      </c>
      <c r="L1590">
        <v>929.14923229678595</v>
      </c>
      <c r="M1590">
        <v>18.733983384561899</v>
      </c>
      <c r="N1590">
        <v>49.960856324660597</v>
      </c>
      <c r="O1590">
        <v>49.042231470468401</v>
      </c>
      <c r="P1590">
        <v>-8.9412996978588302E-2</v>
      </c>
      <c r="Q1590">
        <v>6.37702599025783E-2</v>
      </c>
      <c r="R1590">
        <v>0.98683088607371705</v>
      </c>
      <c r="S1590" t="s">
        <v>8236</v>
      </c>
      <c r="T1590" t="s">
        <v>13290</v>
      </c>
      <c r="U1590" t="s">
        <v>13290</v>
      </c>
      <c r="V1590" t="s">
        <v>13290</v>
      </c>
      <c r="W1590" t="s">
        <v>14850</v>
      </c>
      <c r="X1590">
        <v>28</v>
      </c>
      <c r="Y1590" t="s">
        <v>21424</v>
      </c>
      <c r="Z1590" t="s">
        <v>27920</v>
      </c>
      <c r="AA1590">
        <v>0.37812344800549968</v>
      </c>
      <c r="AB1590" t="str">
        <f>HYPERLINK("Melting_Curves/meltCurve_O60333_2_KIF1B.pdf", "Melting_Curves/meltCurve_O60333_2_KIF1B.pdf")</f>
        <v>Melting_Curves/meltCurve_O60333_2_KIF1B.pdf</v>
      </c>
    </row>
    <row r="1591" spans="1:28" x14ac:dyDescent="0.25">
      <c r="A1591" t="s">
        <v>1595</v>
      </c>
      <c r="B1591">
        <v>0.99252571173614901</v>
      </c>
      <c r="C1591">
        <v>0.81598788329029304</v>
      </c>
      <c r="D1591">
        <v>0.75603971389336699</v>
      </c>
      <c r="E1591">
        <v>0.49593006674594597</v>
      </c>
      <c r="F1591">
        <v>0.34314078545444998</v>
      </c>
      <c r="G1591">
        <v>0.16365083208402201</v>
      </c>
      <c r="H1591">
        <v>0.11208351792999099</v>
      </c>
      <c r="I1591">
        <v>0.117063149654134</v>
      </c>
      <c r="J1591">
        <v>0.124214586500397</v>
      </c>
      <c r="K1591">
        <v>0.116184757063217</v>
      </c>
      <c r="L1591">
        <v>663.99452293970296</v>
      </c>
      <c r="M1591">
        <v>13.573647604583</v>
      </c>
      <c r="N1591">
        <v>49.568310166599701</v>
      </c>
      <c r="O1591">
        <v>47.892803072859003</v>
      </c>
      <c r="P1591">
        <v>-6.5084349305653696E-2</v>
      </c>
      <c r="Q1591">
        <v>8.1571766996526102E-2</v>
      </c>
      <c r="R1591">
        <v>0.98994135274440698</v>
      </c>
      <c r="S1591" t="s">
        <v>8237</v>
      </c>
      <c r="T1591" t="s">
        <v>13290</v>
      </c>
      <c r="U1591" t="s">
        <v>13290</v>
      </c>
      <c r="V1591" t="s">
        <v>13290</v>
      </c>
      <c r="W1591" t="s">
        <v>14851</v>
      </c>
      <c r="X1591">
        <v>20</v>
      </c>
      <c r="Y1591" t="s">
        <v>21425</v>
      </c>
      <c r="Z1591" t="s">
        <v>27921</v>
      </c>
      <c r="AA1591">
        <v>0.38193658736233771</v>
      </c>
      <c r="AB1591" t="str">
        <f>HYPERLINK("Melting_Curves/meltCurve_O60341_KDM1A.pdf", "Melting_Curves/meltCurve_O60341_KDM1A.pdf")</f>
        <v>Melting_Curves/meltCurve_O60341_KDM1A.pdf</v>
      </c>
    </row>
    <row r="1592" spans="1:28" x14ac:dyDescent="0.25">
      <c r="A1592" t="s">
        <v>1596</v>
      </c>
      <c r="B1592">
        <v>0.99252571173614901</v>
      </c>
      <c r="C1592">
        <v>0.94511562236493396</v>
      </c>
      <c r="D1592">
        <v>0.93942120268016205</v>
      </c>
      <c r="E1592">
        <v>0.66286959592807604</v>
      </c>
      <c r="F1592">
        <v>0.191239631099938</v>
      </c>
      <c r="G1592">
        <v>0.10859911937948299</v>
      </c>
      <c r="H1592">
        <v>7.63799387972839E-2</v>
      </c>
      <c r="I1592">
        <v>7.8868840064668599E-2</v>
      </c>
      <c r="J1592">
        <v>9.1137086992339494E-2</v>
      </c>
      <c r="K1592">
        <v>8.5906214997733904E-2</v>
      </c>
      <c r="L1592">
        <v>1726.3401746178999</v>
      </c>
      <c r="M1592">
        <v>34.312435676553797</v>
      </c>
      <c r="N1592">
        <v>50.5766468737569</v>
      </c>
      <c r="O1592">
        <v>50.142402673354198</v>
      </c>
      <c r="P1592">
        <v>-0.15703609042001601</v>
      </c>
      <c r="Q1592">
        <v>8.2066117813032094E-2</v>
      </c>
      <c r="R1592">
        <v>0.99738793240826495</v>
      </c>
      <c r="S1592" t="s">
        <v>8238</v>
      </c>
      <c r="T1592" t="s">
        <v>13290</v>
      </c>
      <c r="U1592" t="s">
        <v>13290</v>
      </c>
      <c r="V1592" t="s">
        <v>13290</v>
      </c>
      <c r="W1592" t="s">
        <v>14852</v>
      </c>
      <c r="X1592">
        <v>21</v>
      </c>
      <c r="Y1592" t="s">
        <v>21426</v>
      </c>
      <c r="Z1592" t="s">
        <v>27922</v>
      </c>
      <c r="AA1592">
        <v>0.40195349253238882</v>
      </c>
      <c r="AB1592" t="str">
        <f>HYPERLINK("Melting_Curves/meltCurve_O60343_2_TBC1D4.pdf", "Melting_Curves/meltCurve_O60343_2_TBC1D4.pdf")</f>
        <v>Melting_Curves/meltCurve_O60343_2_TBC1D4.pdf</v>
      </c>
    </row>
    <row r="1593" spans="1:28" x14ac:dyDescent="0.25">
      <c r="A1593" t="s">
        <v>1597</v>
      </c>
      <c r="B1593">
        <v>0.99252571173614901</v>
      </c>
      <c r="C1593">
        <v>0.9107534786175</v>
      </c>
      <c r="D1593">
        <v>0.42441323692565702</v>
      </c>
      <c r="E1593">
        <v>0.21457810463749499</v>
      </c>
      <c r="F1593">
        <v>0.137329822371451</v>
      </c>
      <c r="G1593">
        <v>7.9910378554978206E-2</v>
      </c>
      <c r="H1593">
        <v>6.3720810736786995E-2</v>
      </c>
      <c r="I1593">
        <v>6.5482066113534396E-2</v>
      </c>
      <c r="J1593">
        <v>7.4136908999842197E-2</v>
      </c>
      <c r="K1593">
        <v>7.2917939043316699E-2</v>
      </c>
      <c r="L1593">
        <v>1377.2688189104499</v>
      </c>
      <c r="M1593">
        <v>30.2937162763134</v>
      </c>
      <c r="N1593">
        <v>45.750142698974997</v>
      </c>
      <c r="O1593">
        <v>45.267112412906002</v>
      </c>
      <c r="P1593">
        <v>-0.15286049735614299</v>
      </c>
      <c r="Q1593">
        <v>8.6343906601081599E-2</v>
      </c>
      <c r="R1593">
        <v>0.99162471325926604</v>
      </c>
      <c r="S1593" t="s">
        <v>8239</v>
      </c>
      <c r="T1593" t="s">
        <v>13290</v>
      </c>
      <c r="U1593" t="s">
        <v>13290</v>
      </c>
      <c r="V1593" t="s">
        <v>13290</v>
      </c>
      <c r="W1593" t="s">
        <v>14853</v>
      </c>
      <c r="X1593">
        <v>4</v>
      </c>
      <c r="Y1593" t="s">
        <v>21427</v>
      </c>
      <c r="Z1593" t="s">
        <v>27923</v>
      </c>
      <c r="AA1593">
        <v>0.25831447118545942</v>
      </c>
      <c r="AB1593" t="str">
        <f>HYPERLINK("Melting_Curves/meltCurve_O60344_4_ECE2.pdf", "Melting_Curves/meltCurve_O60344_4_ECE2.pdf")</f>
        <v>Melting_Curves/meltCurve_O60344_4_ECE2.pdf</v>
      </c>
    </row>
    <row r="1594" spans="1:28" x14ac:dyDescent="0.25">
      <c r="A1594" t="s">
        <v>1598</v>
      </c>
      <c r="B1594">
        <v>0.99252571173614901</v>
      </c>
      <c r="C1594">
        <v>0.82504582114342895</v>
      </c>
      <c r="D1594">
        <v>0.99603234115459005</v>
      </c>
      <c r="E1594">
        <v>0.77109895577023801</v>
      </c>
      <c r="F1594">
        <v>0.31242343523583699</v>
      </c>
      <c r="G1594">
        <v>0.194408232607444</v>
      </c>
      <c r="H1594">
        <v>0.16670428123200301</v>
      </c>
      <c r="I1594">
        <v>0.12513257769293401</v>
      </c>
      <c r="J1594">
        <v>0.20071654517284601</v>
      </c>
      <c r="K1594">
        <v>0.15749176385720101</v>
      </c>
      <c r="L1594">
        <v>1807.7252993432701</v>
      </c>
      <c r="M1594">
        <v>35.477922767971499</v>
      </c>
      <c r="N1594">
        <v>51.528186968961997</v>
      </c>
      <c r="O1594">
        <v>50.792457478661497</v>
      </c>
      <c r="P1594">
        <v>-0.14609219685079</v>
      </c>
      <c r="Q1594">
        <v>0.16338323289710799</v>
      </c>
      <c r="R1594">
        <v>0.97313905749343099</v>
      </c>
      <c r="S1594" t="s">
        <v>8240</v>
      </c>
      <c r="T1594" t="s">
        <v>13290</v>
      </c>
      <c r="U1594" t="s">
        <v>13290</v>
      </c>
      <c r="V1594" t="s">
        <v>13290</v>
      </c>
      <c r="W1594" t="s">
        <v>14854</v>
      </c>
      <c r="X1594">
        <v>2</v>
      </c>
      <c r="Y1594" t="s">
        <v>21428</v>
      </c>
      <c r="Z1594" t="s">
        <v>27924</v>
      </c>
      <c r="AA1594">
        <v>0.47259868965459589</v>
      </c>
      <c r="AB1594" t="str">
        <f>HYPERLINK("Melting_Curves/meltCurve_O60346_PHLPP1.pdf", "Melting_Curves/meltCurve_O60346_PHLPP1.pdf")</f>
        <v>Melting_Curves/meltCurve_O60346_PHLPP1.pdf</v>
      </c>
    </row>
    <row r="1595" spans="1:28" x14ac:dyDescent="0.25">
      <c r="A1595" t="s">
        <v>1599</v>
      </c>
      <c r="B1595">
        <v>0.99252571173614901</v>
      </c>
      <c r="C1595">
        <v>0.98177153572355302</v>
      </c>
      <c r="D1595">
        <v>0.96809929976093601</v>
      </c>
      <c r="E1595">
        <v>0.75498448227892001</v>
      </c>
      <c r="F1595">
        <v>0.46707833840195101</v>
      </c>
      <c r="G1595">
        <v>0.22288168282667201</v>
      </c>
      <c r="H1595">
        <v>0.17807263286052699</v>
      </c>
      <c r="I1595">
        <v>0.23500828901296</v>
      </c>
      <c r="J1595">
        <v>0.28977046270107698</v>
      </c>
      <c r="K1595">
        <v>0.32157427013291301</v>
      </c>
      <c r="L1595">
        <v>1459.0823536190801</v>
      </c>
      <c r="M1595">
        <v>28.580477452718</v>
      </c>
      <c r="N1595">
        <v>52.285561822730401</v>
      </c>
      <c r="O1595">
        <v>50.803740164448797</v>
      </c>
      <c r="P1595">
        <v>-0.106145644764275</v>
      </c>
      <c r="Q1595">
        <v>0.245281587483202</v>
      </c>
      <c r="R1595">
        <v>0.98175147009115604</v>
      </c>
      <c r="S1595" t="s">
        <v>8241</v>
      </c>
      <c r="T1595" t="s">
        <v>13290</v>
      </c>
      <c r="U1595" t="s">
        <v>13290</v>
      </c>
      <c r="V1595" t="s">
        <v>13290</v>
      </c>
      <c r="W1595" t="s">
        <v>14855</v>
      </c>
      <c r="X1595">
        <v>1</v>
      </c>
      <c r="Y1595" t="s">
        <v>21429</v>
      </c>
      <c r="Z1595" t="s">
        <v>27925</v>
      </c>
      <c r="AA1595">
        <v>0.5285450903526574</v>
      </c>
      <c r="AB1595" t="str">
        <f>HYPERLINK("Melting_Curves/meltCurve_O60347_TBC1D12.pdf", "Melting_Curves/meltCurve_O60347_TBC1D12.pdf")</f>
        <v>Melting_Curves/meltCurve_O60347_TBC1D12.pdf</v>
      </c>
    </row>
    <row r="1596" spans="1:28" x14ac:dyDescent="0.25">
      <c r="A1596" t="s">
        <v>1600</v>
      </c>
      <c r="B1596">
        <v>0.99252571173614901</v>
      </c>
      <c r="C1596">
        <v>0.99167358772165404</v>
      </c>
      <c r="D1596">
        <v>0.95135092306161995</v>
      </c>
      <c r="E1596">
        <v>1.1260286900708301</v>
      </c>
      <c r="F1596">
        <v>0.73281978167329498</v>
      </c>
      <c r="G1596">
        <v>0.57550806652180397</v>
      </c>
      <c r="H1596">
        <v>0.51408136233540003</v>
      </c>
      <c r="I1596">
        <v>0.55224799046199802</v>
      </c>
      <c r="J1596">
        <v>0.77030660496749803</v>
      </c>
      <c r="K1596">
        <v>0.616518570075269</v>
      </c>
      <c r="S1596" t="s">
        <v>8242</v>
      </c>
      <c r="T1596" t="s">
        <v>13290</v>
      </c>
      <c r="U1596" t="s">
        <v>13291</v>
      </c>
      <c r="V1596" t="s">
        <v>13290</v>
      </c>
      <c r="W1596" t="s">
        <v>14856</v>
      </c>
      <c r="X1596">
        <v>3</v>
      </c>
      <c r="Y1596" t="s">
        <v>21430</v>
      </c>
      <c r="Z1596" t="s">
        <v>27926</v>
      </c>
      <c r="AB1596" t="str">
        <f>HYPERLINK("Melting_Curves/meltCurve_O60353_2_FZD6.pdf", "Melting_Curves/meltCurve_O60353_2_FZD6.pdf")</f>
        <v>Melting_Curves/meltCurve_O60353_2_FZD6.pdf</v>
      </c>
    </row>
    <row r="1597" spans="1:28" x14ac:dyDescent="0.25">
      <c r="A1597" t="s">
        <v>1601</v>
      </c>
      <c r="B1597">
        <v>0.99252571173614901</v>
      </c>
      <c r="C1597">
        <v>0.93562587315486501</v>
      </c>
      <c r="D1597">
        <v>0.78701895370637298</v>
      </c>
      <c r="E1597">
        <v>0.44822007940906899</v>
      </c>
      <c r="F1597">
        <v>0.191212343734705</v>
      </c>
      <c r="G1597">
        <v>0.108531630179919</v>
      </c>
      <c r="H1597">
        <v>7.0634670864978794E-2</v>
      </c>
      <c r="I1597">
        <v>6.6839420876298294E-2</v>
      </c>
      <c r="J1597">
        <v>6.9889022110804305E-2</v>
      </c>
      <c r="K1597">
        <v>6.2645281844165901E-2</v>
      </c>
      <c r="L1597">
        <v>1010.2577299048399</v>
      </c>
      <c r="M1597">
        <v>20.743530195602801</v>
      </c>
      <c r="N1597">
        <v>49.0063488874085</v>
      </c>
      <c r="O1597">
        <v>48.256480938012501</v>
      </c>
      <c r="P1597">
        <v>-0.100979188910106</v>
      </c>
      <c r="Q1597">
        <v>6.03796034697415E-2</v>
      </c>
      <c r="R1597">
        <v>0.99979350408567602</v>
      </c>
      <c r="S1597" t="s">
        <v>8243</v>
      </c>
      <c r="T1597" t="s">
        <v>13290</v>
      </c>
      <c r="U1597" t="s">
        <v>13290</v>
      </c>
      <c r="V1597" t="s">
        <v>13290</v>
      </c>
      <c r="W1597" t="s">
        <v>14857</v>
      </c>
      <c r="X1597">
        <v>8</v>
      </c>
      <c r="Y1597" t="s">
        <v>21431</v>
      </c>
      <c r="Z1597" t="s">
        <v>27927</v>
      </c>
      <c r="AA1597">
        <v>0.34518777814392648</v>
      </c>
      <c r="AB1597" t="str">
        <f>HYPERLINK("Melting_Curves/meltCurve_O60427_FADS1.pdf", "Melting_Curves/meltCurve_O60427_FADS1.pdf")</f>
        <v>Melting_Curves/meltCurve_O60427_FADS1.pdf</v>
      </c>
    </row>
    <row r="1598" spans="1:28" x14ac:dyDescent="0.25">
      <c r="A1598" t="s">
        <v>1602</v>
      </c>
      <c r="B1598">
        <v>0.99252571173614901</v>
      </c>
      <c r="C1598">
        <v>0.970113037849892</v>
      </c>
      <c r="D1598">
        <v>0.95369835514617296</v>
      </c>
      <c r="E1598">
        <v>0.98556746987857602</v>
      </c>
      <c r="F1598">
        <v>0.686765718712948</v>
      </c>
      <c r="G1598">
        <v>0.427105470517264</v>
      </c>
      <c r="H1598">
        <v>0.30185644777501802</v>
      </c>
      <c r="I1598">
        <v>0.260857335149842</v>
      </c>
      <c r="J1598">
        <v>0.35162489637453997</v>
      </c>
      <c r="K1598">
        <v>0.28545853949227601</v>
      </c>
      <c r="L1598">
        <v>1696.2870922326999</v>
      </c>
      <c r="M1598">
        <v>31.568691709764401</v>
      </c>
      <c r="N1598">
        <v>55.316347352155702</v>
      </c>
      <c r="O1598">
        <v>53.518970277542898</v>
      </c>
      <c r="P1598">
        <v>-0.10360616016849999</v>
      </c>
      <c r="Q1598">
        <v>0.29742219782116602</v>
      </c>
      <c r="R1598">
        <v>0.99022830088541103</v>
      </c>
      <c r="S1598" t="s">
        <v>8244</v>
      </c>
      <c r="T1598" t="s">
        <v>13290</v>
      </c>
      <c r="U1598" t="s">
        <v>13290</v>
      </c>
      <c r="V1598" t="s">
        <v>13290</v>
      </c>
      <c r="W1598" t="s">
        <v>14858</v>
      </c>
      <c r="X1598">
        <v>9</v>
      </c>
      <c r="Y1598" t="s">
        <v>21432</v>
      </c>
      <c r="Z1598" t="s">
        <v>27928</v>
      </c>
      <c r="AA1598">
        <v>0.62320959549904675</v>
      </c>
      <c r="AB1598" t="str">
        <f>HYPERLINK("Melting_Curves/meltCurve_O60449_2_LY75.pdf", "Melting_Curves/meltCurve_O60449_2_LY75.pdf")</f>
        <v>Melting_Curves/meltCurve_O60449_2_LY75.pdf</v>
      </c>
    </row>
    <row r="1599" spans="1:28" x14ac:dyDescent="0.25">
      <c r="A1599" t="s">
        <v>1603</v>
      </c>
      <c r="B1599">
        <v>0.99252571173614901</v>
      </c>
      <c r="C1599">
        <v>0.903335017830598</v>
      </c>
      <c r="D1599">
        <v>0.828730383156837</v>
      </c>
      <c r="E1599">
        <v>0.75710317352137102</v>
      </c>
      <c r="F1599">
        <v>0.61044034612209996</v>
      </c>
      <c r="G1599">
        <v>0.32940694889302402</v>
      </c>
      <c r="H1599">
        <v>0.173994439528393</v>
      </c>
      <c r="I1599">
        <v>0.17823239199315999</v>
      </c>
      <c r="J1599">
        <v>0.246221781629266</v>
      </c>
      <c r="K1599">
        <v>0.211044930419093</v>
      </c>
      <c r="L1599">
        <v>717.13277794405099</v>
      </c>
      <c r="M1599">
        <v>13.6769519630943</v>
      </c>
      <c r="N1599">
        <v>53.795439162510903</v>
      </c>
      <c r="O1599">
        <v>51.350828710478503</v>
      </c>
      <c r="P1599">
        <v>-5.6851253424743897E-2</v>
      </c>
      <c r="Q1599">
        <v>0.14631966583251599</v>
      </c>
      <c r="R1599">
        <v>0.97036373526692199</v>
      </c>
      <c r="S1599" t="s">
        <v>8245</v>
      </c>
      <c r="T1599" t="s">
        <v>13290</v>
      </c>
      <c r="U1599" t="s">
        <v>13290</v>
      </c>
      <c r="V1599" t="s">
        <v>13290</v>
      </c>
      <c r="W1599" t="s">
        <v>14859</v>
      </c>
      <c r="X1599">
        <v>8</v>
      </c>
      <c r="Y1599" t="s">
        <v>21433</v>
      </c>
      <c r="Z1599" t="s">
        <v>27929</v>
      </c>
      <c r="AA1599">
        <v>0.52154988586524609</v>
      </c>
      <c r="AB1599" t="str">
        <f>HYPERLINK("Melting_Curves/meltCurve_O60476_MAN1A2.pdf", "Melting_Curves/meltCurve_O60476_MAN1A2.pdf")</f>
        <v>Melting_Curves/meltCurve_O60476_MAN1A2.pdf</v>
      </c>
    </row>
    <row r="1600" spans="1:28" x14ac:dyDescent="0.25">
      <c r="A1600" t="s">
        <v>1604</v>
      </c>
      <c r="B1600">
        <v>0.99252571173614901</v>
      </c>
      <c r="C1600">
        <v>0.90855076921278299</v>
      </c>
      <c r="D1600">
        <v>0.99857610022092702</v>
      </c>
      <c r="E1600">
        <v>1.00019276532999</v>
      </c>
      <c r="F1600">
        <v>0.62595690349317601</v>
      </c>
      <c r="G1600">
        <v>0.29831690285225199</v>
      </c>
      <c r="H1600">
        <v>0.26178309762255703</v>
      </c>
      <c r="I1600">
        <v>0.32274590007053899</v>
      </c>
      <c r="J1600">
        <v>0.238899104525301</v>
      </c>
      <c r="K1600">
        <v>0.18032747371267899</v>
      </c>
      <c r="L1600">
        <v>2614.7641952208901</v>
      </c>
      <c r="M1600">
        <v>49.129512535751203</v>
      </c>
      <c r="N1600">
        <v>53.9975512410128</v>
      </c>
      <c r="O1600">
        <v>53.133902475089798</v>
      </c>
      <c r="P1600">
        <v>-0.17264569096141699</v>
      </c>
      <c r="Q1600">
        <v>0.25313065788204703</v>
      </c>
      <c r="R1600">
        <v>0.983210455923621</v>
      </c>
      <c r="S1600" t="s">
        <v>8246</v>
      </c>
      <c r="T1600" t="s">
        <v>13290</v>
      </c>
      <c r="U1600" t="s">
        <v>13290</v>
      </c>
      <c r="V1600" t="s">
        <v>13290</v>
      </c>
      <c r="W1600" t="s">
        <v>14860</v>
      </c>
      <c r="X1600">
        <v>18</v>
      </c>
      <c r="Y1600" t="s">
        <v>21434</v>
      </c>
      <c r="Z1600" t="s">
        <v>27930</v>
      </c>
      <c r="AA1600">
        <v>0.58411351926006083</v>
      </c>
      <c r="AB1600" t="str">
        <f>HYPERLINK("Melting_Curves/meltCurve_O60486_PLXNC1.pdf", "Melting_Curves/meltCurve_O60486_PLXNC1.pdf")</f>
        <v>Melting_Curves/meltCurve_O60486_PLXNC1.pdf</v>
      </c>
    </row>
    <row r="1601" spans="1:28" x14ac:dyDescent="0.25">
      <c r="A1601" t="s">
        <v>1605</v>
      </c>
      <c r="B1601">
        <v>0.99252571173614901</v>
      </c>
      <c r="C1601">
        <v>1.01573292066653</v>
      </c>
      <c r="D1601">
        <v>0.92860061451015496</v>
      </c>
      <c r="E1601">
        <v>0.90205681274167004</v>
      </c>
      <c r="F1601">
        <v>0.69547397909056397</v>
      </c>
      <c r="G1601">
        <v>0.49160741754970599</v>
      </c>
      <c r="H1601">
        <v>0.37763782609260799</v>
      </c>
      <c r="I1601">
        <v>0.35960313753384598</v>
      </c>
      <c r="J1601">
        <v>0.43959422163574002</v>
      </c>
      <c r="K1601">
        <v>0.35931886792187501</v>
      </c>
      <c r="L1601">
        <v>1207.31398055672</v>
      </c>
      <c r="M1601">
        <v>22.693694860881902</v>
      </c>
      <c r="N1601">
        <v>56.583518797272397</v>
      </c>
      <c r="O1601">
        <v>52.792481184614402</v>
      </c>
      <c r="P1601">
        <v>-6.7569420029900296E-2</v>
      </c>
      <c r="Q1601">
        <v>0.37126379128810899</v>
      </c>
      <c r="R1601">
        <v>0.98728540466123005</v>
      </c>
      <c r="S1601" t="s">
        <v>8247</v>
      </c>
      <c r="T1601" t="s">
        <v>13290</v>
      </c>
      <c r="U1601" t="s">
        <v>13290</v>
      </c>
      <c r="V1601" t="s">
        <v>13290</v>
      </c>
      <c r="W1601" t="s">
        <v>14861</v>
      </c>
      <c r="X1601">
        <v>3</v>
      </c>
      <c r="Y1601" t="s">
        <v>21435</v>
      </c>
      <c r="Z1601" t="s">
        <v>27931</v>
      </c>
      <c r="AA1601">
        <v>0.65483933710669762</v>
      </c>
      <c r="AB1601" t="str">
        <f>HYPERLINK("Melting_Curves/meltCurve_O60487_MPZL2.pdf", "Melting_Curves/meltCurve_O60487_MPZL2.pdf")</f>
        <v>Melting_Curves/meltCurve_O60487_MPZL2.pdf</v>
      </c>
    </row>
    <row r="1602" spans="1:28" x14ac:dyDescent="0.25">
      <c r="A1602" t="s">
        <v>1606</v>
      </c>
      <c r="B1602">
        <v>0.99252571173614901</v>
      </c>
      <c r="C1602">
        <v>0.88686433121378505</v>
      </c>
      <c r="D1602">
        <v>0.75945592476887402</v>
      </c>
      <c r="E1602">
        <v>0.50769165536655703</v>
      </c>
      <c r="F1602">
        <v>0.139781704689456</v>
      </c>
      <c r="G1602">
        <v>7.9334493706568698E-2</v>
      </c>
      <c r="H1602">
        <v>5.6380642458144899E-2</v>
      </c>
      <c r="I1602">
        <v>5.4082712764714901E-2</v>
      </c>
      <c r="J1602">
        <v>6.6641137706961104E-2</v>
      </c>
      <c r="K1602">
        <v>6.4559165994244896E-2</v>
      </c>
      <c r="L1602">
        <v>949.53820214591804</v>
      </c>
      <c r="M1602">
        <v>19.461121300852799</v>
      </c>
      <c r="N1602">
        <v>49.008144258946999</v>
      </c>
      <c r="O1602">
        <v>48.2851322926807</v>
      </c>
      <c r="P1602">
        <v>-9.6612803901305902E-2</v>
      </c>
      <c r="Q1602">
        <v>4.1207902568799998E-2</v>
      </c>
      <c r="R1602">
        <v>0.99124621469240104</v>
      </c>
      <c r="S1602" t="s">
        <v>8248</v>
      </c>
      <c r="T1602" t="s">
        <v>13290</v>
      </c>
      <c r="U1602" t="s">
        <v>13290</v>
      </c>
      <c r="V1602" t="s">
        <v>13290</v>
      </c>
      <c r="W1602" t="s">
        <v>14862</v>
      </c>
      <c r="X1602">
        <v>26</v>
      </c>
      <c r="Y1602" t="s">
        <v>21436</v>
      </c>
      <c r="Z1602" t="s">
        <v>27932</v>
      </c>
      <c r="AA1602">
        <v>0.33641647469576852</v>
      </c>
      <c r="AB1602" t="str">
        <f>HYPERLINK("Melting_Curves/meltCurve_O60488_2_ACSL4.pdf", "Melting_Curves/meltCurve_O60488_2_ACSL4.pdf")</f>
        <v>Melting_Curves/meltCurve_O60488_2_ACSL4.pdf</v>
      </c>
    </row>
    <row r="1603" spans="1:28" x14ac:dyDescent="0.25">
      <c r="A1603" t="s">
        <v>1607</v>
      </c>
      <c r="B1603">
        <v>0.99252571173614901</v>
      </c>
      <c r="C1603">
        <v>1.04775156235471</v>
      </c>
      <c r="D1603">
        <v>0.71886005710399903</v>
      </c>
      <c r="E1603">
        <v>0.35708175335270798</v>
      </c>
      <c r="F1603">
        <v>0.20893973558385301</v>
      </c>
      <c r="G1603">
        <v>0.139632266955969</v>
      </c>
      <c r="H1603">
        <v>0.104513136722134</v>
      </c>
      <c r="I1603">
        <v>0.11086978595522801</v>
      </c>
      <c r="J1603">
        <v>0.13184248182319</v>
      </c>
      <c r="K1603">
        <v>0.14925866875513799</v>
      </c>
      <c r="L1603">
        <v>1286.38474313811</v>
      </c>
      <c r="M1603">
        <v>27.028417692732599</v>
      </c>
      <c r="N1603">
        <v>48.131519204624297</v>
      </c>
      <c r="O1603">
        <v>47.335543362525499</v>
      </c>
      <c r="P1603">
        <v>-0.124147485887923</v>
      </c>
      <c r="Q1603">
        <v>0.13031820251319001</v>
      </c>
      <c r="R1603">
        <v>0.99054162646377497</v>
      </c>
      <c r="S1603" t="s">
        <v>8249</v>
      </c>
      <c r="T1603" t="s">
        <v>13290</v>
      </c>
      <c r="U1603" t="s">
        <v>13290</v>
      </c>
      <c r="V1603" t="s">
        <v>13290</v>
      </c>
      <c r="W1603" t="s">
        <v>14863</v>
      </c>
      <c r="X1603">
        <v>13</v>
      </c>
      <c r="Y1603" t="s">
        <v>21437</v>
      </c>
      <c r="Z1603" t="s">
        <v>27933</v>
      </c>
      <c r="AA1603">
        <v>0.35697228252005542</v>
      </c>
      <c r="AB1603" t="str">
        <f>HYPERLINK("Melting_Curves/meltCurve_O60493_SNX3.pdf", "Melting_Curves/meltCurve_O60493_SNX3.pdf")</f>
        <v>Melting_Curves/meltCurve_O60493_SNX3.pdf</v>
      </c>
    </row>
    <row r="1604" spans="1:28" x14ac:dyDescent="0.25">
      <c r="A1604" t="s">
        <v>1608</v>
      </c>
      <c r="B1604">
        <v>0.99252571173614901</v>
      </c>
      <c r="C1604">
        <v>1.0079808164925601</v>
      </c>
      <c r="D1604">
        <v>0.90349862996260399</v>
      </c>
      <c r="E1604">
        <v>0.90549511968130802</v>
      </c>
      <c r="F1604">
        <v>0.38074087669776602</v>
      </c>
      <c r="G1604">
        <v>0.13895670885452699</v>
      </c>
      <c r="H1604">
        <v>9.4623398730772398E-2</v>
      </c>
      <c r="I1604">
        <v>0.10896906939883499</v>
      </c>
      <c r="J1604">
        <v>0.114890357444542</v>
      </c>
      <c r="K1604">
        <v>0.101417911745592</v>
      </c>
      <c r="L1604">
        <v>2069.9288876975202</v>
      </c>
      <c r="M1604">
        <v>39.701553583662097</v>
      </c>
      <c r="N1604">
        <v>52.445790317171699</v>
      </c>
      <c r="O1604">
        <v>52.005473920848502</v>
      </c>
      <c r="P1604">
        <v>-0.17097499683669201</v>
      </c>
      <c r="Q1604">
        <v>0.10415428657528999</v>
      </c>
      <c r="R1604">
        <v>0.99434852930072104</v>
      </c>
      <c r="S1604" t="s">
        <v>8250</v>
      </c>
      <c r="T1604" t="s">
        <v>13290</v>
      </c>
      <c r="U1604" t="s">
        <v>13290</v>
      </c>
      <c r="V1604" t="s">
        <v>13290</v>
      </c>
      <c r="W1604" t="s">
        <v>14864</v>
      </c>
      <c r="X1604">
        <v>13</v>
      </c>
      <c r="Y1604" t="s">
        <v>21438</v>
      </c>
      <c r="Z1604" t="s">
        <v>27934</v>
      </c>
      <c r="AA1604">
        <v>0.46986608737197061</v>
      </c>
      <c r="AB1604" t="str">
        <f>HYPERLINK("Melting_Curves/meltCurve_O60502_MGEA5.pdf", "Melting_Curves/meltCurve_O60502_MGEA5.pdf")</f>
        <v>Melting_Curves/meltCurve_O60502_MGEA5.pdf</v>
      </c>
    </row>
    <row r="1605" spans="1:28" x14ac:dyDescent="0.25">
      <c r="A1605" t="s">
        <v>1609</v>
      </c>
      <c r="B1605">
        <v>0.99252571173614901</v>
      </c>
      <c r="C1605">
        <v>0.92191845879465495</v>
      </c>
      <c r="D1605">
        <v>0.78522660683619605</v>
      </c>
      <c r="E1605">
        <v>0.52491182974058403</v>
      </c>
      <c r="F1605">
        <v>0.263906393740235</v>
      </c>
      <c r="G1605">
        <v>0.161024844319891</v>
      </c>
      <c r="H1605">
        <v>0.143483707217962</v>
      </c>
      <c r="I1605">
        <v>0.17248344001784899</v>
      </c>
      <c r="J1605">
        <v>0.185842784789266</v>
      </c>
      <c r="K1605">
        <v>0.180545251453435</v>
      </c>
      <c r="L1605">
        <v>987.31058241757</v>
      </c>
      <c r="M1605">
        <v>20.312735293514201</v>
      </c>
      <c r="N1605">
        <v>49.514710088395603</v>
      </c>
      <c r="O1605">
        <v>48.141769803906598</v>
      </c>
      <c r="P1605">
        <v>-8.9066543867578896E-2</v>
      </c>
      <c r="Q1605">
        <v>0.155664757764366</v>
      </c>
      <c r="R1605">
        <v>0.99480372954418095</v>
      </c>
      <c r="S1605" t="s">
        <v>8251</v>
      </c>
      <c r="T1605" t="s">
        <v>13290</v>
      </c>
      <c r="U1605" t="s">
        <v>13290</v>
      </c>
      <c r="V1605" t="s">
        <v>13290</v>
      </c>
      <c r="W1605" t="s">
        <v>14865</v>
      </c>
      <c r="X1605">
        <v>3</v>
      </c>
      <c r="Y1605" t="s">
        <v>21439</v>
      </c>
      <c r="Z1605" t="s">
        <v>27935</v>
      </c>
      <c r="AA1605">
        <v>0.40936606318410601</v>
      </c>
      <c r="AB1605" t="str">
        <f>HYPERLINK("Melting_Curves/meltCurve_O60504_2_SORBS3.pdf", "Melting_Curves/meltCurve_O60504_2_SORBS3.pdf")</f>
        <v>Melting_Curves/meltCurve_O60504_2_SORBS3.pdf</v>
      </c>
    </row>
    <row r="1606" spans="1:28" x14ac:dyDescent="0.25">
      <c r="A1606" t="s">
        <v>1610</v>
      </c>
      <c r="B1606">
        <v>0.99252571173614901</v>
      </c>
      <c r="C1606">
        <v>1.0827001563848</v>
      </c>
      <c r="D1606">
        <v>0.99654205639505999</v>
      </c>
      <c r="E1606">
        <v>0.87229442085786801</v>
      </c>
      <c r="F1606">
        <v>0.32183143953109999</v>
      </c>
      <c r="G1606">
        <v>0.17921417961497499</v>
      </c>
      <c r="H1606">
        <v>0.14065420951069499</v>
      </c>
      <c r="I1606">
        <v>0.13872446096334901</v>
      </c>
      <c r="J1606">
        <v>0.13718387076419</v>
      </c>
      <c r="K1606">
        <v>0.136240745522621</v>
      </c>
      <c r="L1606">
        <v>2217.2468840759698</v>
      </c>
      <c r="M1606">
        <v>42.978234463552297</v>
      </c>
      <c r="N1606">
        <v>51.994817361940697</v>
      </c>
      <c r="O1606">
        <v>51.478682172133098</v>
      </c>
      <c r="P1606">
        <v>-0.179040135618175</v>
      </c>
      <c r="Q1606">
        <v>0.142195107662069</v>
      </c>
      <c r="R1606">
        <v>0.99541639246384905</v>
      </c>
      <c r="S1606" t="s">
        <v>8252</v>
      </c>
      <c r="T1606" t="s">
        <v>13290</v>
      </c>
      <c r="U1606" t="s">
        <v>13290</v>
      </c>
      <c r="V1606" t="s">
        <v>13290</v>
      </c>
      <c r="W1606" t="s">
        <v>14866</v>
      </c>
      <c r="X1606">
        <v>25</v>
      </c>
      <c r="Y1606" t="s">
        <v>21440</v>
      </c>
      <c r="Z1606" t="s">
        <v>27936</v>
      </c>
      <c r="AA1606">
        <v>0.47624014419352823</v>
      </c>
      <c r="AB1606" t="str">
        <f>HYPERLINK("Melting_Curves/meltCurve_O60506_3_SYNCRIP.pdf", "Melting_Curves/meltCurve_O60506_3_SYNCRIP.pdf")</f>
        <v>Melting_Curves/meltCurve_O60506_3_SYNCRIP.pdf</v>
      </c>
    </row>
    <row r="1607" spans="1:28" x14ac:dyDescent="0.25">
      <c r="A1607" t="s">
        <v>1611</v>
      </c>
      <c r="B1607">
        <v>0.99252571173614901</v>
      </c>
      <c r="C1607">
        <v>0.78530528533214705</v>
      </c>
      <c r="D1607">
        <v>0.642740073234361</v>
      </c>
      <c r="E1607">
        <v>0.51164174225589198</v>
      </c>
      <c r="F1607">
        <v>0.35574179355899099</v>
      </c>
      <c r="G1607">
        <v>0.15416743404268601</v>
      </c>
      <c r="H1607">
        <v>7.3545030234351494E-2</v>
      </c>
      <c r="I1607">
        <v>9.4495235659052296E-2</v>
      </c>
      <c r="J1607">
        <v>6.7009540011720201E-2</v>
      </c>
      <c r="K1607">
        <v>4.5743676444518599E-2</v>
      </c>
      <c r="L1607">
        <v>527.562024757161</v>
      </c>
      <c r="M1607">
        <v>10.7156919395446</v>
      </c>
      <c r="N1607">
        <v>49.232661982212498</v>
      </c>
      <c r="O1607">
        <v>47.610982790586903</v>
      </c>
      <c r="P1607">
        <v>-5.62879085169017E-2</v>
      </c>
      <c r="Q1607">
        <v>0</v>
      </c>
      <c r="R1607">
        <v>0.985803767323578</v>
      </c>
      <c r="S1607" t="s">
        <v>8253</v>
      </c>
      <c r="T1607" t="s">
        <v>13290</v>
      </c>
      <c r="U1607" t="s">
        <v>13290</v>
      </c>
      <c r="V1607" t="s">
        <v>13290</v>
      </c>
      <c r="W1607" t="s">
        <v>14867</v>
      </c>
      <c r="X1607">
        <v>1</v>
      </c>
      <c r="Y1607" t="s">
        <v>21441</v>
      </c>
      <c r="Z1607" t="s">
        <v>27937</v>
      </c>
      <c r="AA1607">
        <v>0.35111779815721222</v>
      </c>
      <c r="AB1607" t="str">
        <f>HYPERLINK("Melting_Curves/meltCurve_O60507_TPST1.pdf", "Melting_Curves/meltCurve_O60507_TPST1.pdf")</f>
        <v>Melting_Curves/meltCurve_O60507_TPST1.pdf</v>
      </c>
    </row>
    <row r="1608" spans="1:28" x14ac:dyDescent="0.25">
      <c r="A1608" t="s">
        <v>1612</v>
      </c>
      <c r="B1608">
        <v>0.99252571173614901</v>
      </c>
      <c r="C1608">
        <v>1.0646901053275399</v>
      </c>
      <c r="D1608">
        <v>0.99381401308762596</v>
      </c>
      <c r="E1608">
        <v>1.0169509840563</v>
      </c>
      <c r="F1608">
        <v>0.53808089116517299</v>
      </c>
      <c r="G1608">
        <v>0.15375412443538999</v>
      </c>
      <c r="H1608">
        <v>0.105046642102159</v>
      </c>
      <c r="I1608">
        <v>0.11425028446351999</v>
      </c>
      <c r="J1608">
        <v>0.143234543960782</v>
      </c>
      <c r="K1608">
        <v>0.15408046274751</v>
      </c>
      <c r="L1608">
        <v>4129.7503840814898</v>
      </c>
      <c r="M1608">
        <v>77.7545744919085</v>
      </c>
      <c r="N1608">
        <v>53.324490886732796</v>
      </c>
      <c r="O1608">
        <v>53.077534032059503</v>
      </c>
      <c r="P1608">
        <v>-0.31756718395070399</v>
      </c>
      <c r="Q1608">
        <v>0.13287774218691201</v>
      </c>
      <c r="R1608">
        <v>0.99619426021569701</v>
      </c>
      <c r="S1608" t="s">
        <v>8254</v>
      </c>
      <c r="T1608" t="s">
        <v>13290</v>
      </c>
      <c r="U1608" t="s">
        <v>13290</v>
      </c>
      <c r="V1608" t="s">
        <v>13290</v>
      </c>
      <c r="W1608" t="s">
        <v>14868</v>
      </c>
      <c r="X1608">
        <v>9</v>
      </c>
      <c r="Y1608" t="s">
        <v>21442</v>
      </c>
      <c r="Z1608" t="s">
        <v>27938</v>
      </c>
      <c r="AA1608">
        <v>0.51272364737481446</v>
      </c>
      <c r="AB1608" t="str">
        <f>HYPERLINK("Melting_Curves/meltCurve_O60508_CDC40.pdf", "Melting_Curves/meltCurve_O60508_CDC40.pdf")</f>
        <v>Melting_Curves/meltCurve_O60508_CDC40.pdf</v>
      </c>
    </row>
    <row r="1609" spans="1:28" x14ac:dyDescent="0.25">
      <c r="A1609" t="s">
        <v>1613</v>
      </c>
      <c r="B1609">
        <v>0.99252571173614901</v>
      </c>
      <c r="C1609">
        <v>0.83273239690335699</v>
      </c>
      <c r="D1609">
        <v>0.53780877616085798</v>
      </c>
      <c r="E1609">
        <v>0.27129033551173398</v>
      </c>
      <c r="F1609">
        <v>0.118824995898835</v>
      </c>
      <c r="G1609">
        <v>7.4248042469724704E-2</v>
      </c>
      <c r="H1609">
        <v>5.93935655760294E-2</v>
      </c>
      <c r="I1609">
        <v>5.9817977699154097E-2</v>
      </c>
      <c r="J1609">
        <v>5.5376851439140097E-2</v>
      </c>
      <c r="K1609">
        <v>4.6868489561801098E-2</v>
      </c>
      <c r="L1609">
        <v>910.53924726312005</v>
      </c>
      <c r="M1609">
        <v>19.674975968828502</v>
      </c>
      <c r="N1609">
        <v>46.541244413583598</v>
      </c>
      <c r="O1609">
        <v>45.808929556701102</v>
      </c>
      <c r="P1609">
        <v>-0.10174598356475301</v>
      </c>
      <c r="Q1609">
        <v>5.2458945032997098E-2</v>
      </c>
      <c r="R1609">
        <v>0.99839157058109695</v>
      </c>
      <c r="S1609" t="s">
        <v>8255</v>
      </c>
      <c r="T1609" t="s">
        <v>13290</v>
      </c>
      <c r="U1609" t="s">
        <v>13290</v>
      </c>
      <c r="V1609" t="s">
        <v>13290</v>
      </c>
      <c r="W1609" t="s">
        <v>14869</v>
      </c>
      <c r="X1609">
        <v>9</v>
      </c>
      <c r="Y1609" t="s">
        <v>21443</v>
      </c>
      <c r="Z1609" t="s">
        <v>27939</v>
      </c>
      <c r="AA1609">
        <v>0.26570710107564532</v>
      </c>
      <c r="AB1609" t="str">
        <f>HYPERLINK("Melting_Curves/meltCurve_O60518_RANBP6.pdf", "Melting_Curves/meltCurve_O60518_RANBP6.pdf")</f>
        <v>Melting_Curves/meltCurve_O60518_RANBP6.pdf</v>
      </c>
    </row>
    <row r="1610" spans="1:28" x14ac:dyDescent="0.25">
      <c r="A1610" t="s">
        <v>1614</v>
      </c>
      <c r="B1610">
        <v>0.99252571173614901</v>
      </c>
      <c r="C1610">
        <v>0.98628574929800705</v>
      </c>
      <c r="D1610">
        <v>0.79851558412623203</v>
      </c>
      <c r="E1610">
        <v>0.56405875574139996</v>
      </c>
      <c r="F1610">
        <v>0.211708645048824</v>
      </c>
      <c r="G1610">
        <v>0.12817525021884099</v>
      </c>
      <c r="H1610">
        <v>0.10047680802499399</v>
      </c>
      <c r="I1610">
        <v>0.104282688087172</v>
      </c>
      <c r="J1610">
        <v>0.122650659175252</v>
      </c>
      <c r="K1610">
        <v>0.124631923652139</v>
      </c>
      <c r="L1610">
        <v>1095.5481830418901</v>
      </c>
      <c r="M1610">
        <v>22.237429853933701</v>
      </c>
      <c r="N1610">
        <v>49.769127378846299</v>
      </c>
      <c r="O1610">
        <v>48.872729777733802</v>
      </c>
      <c r="P1610">
        <v>-0.102302398443121</v>
      </c>
      <c r="Q1610">
        <v>0.10067105768395</v>
      </c>
      <c r="R1610">
        <v>0.99436662700910905</v>
      </c>
      <c r="S1610" t="s">
        <v>8256</v>
      </c>
      <c r="T1610" t="s">
        <v>13290</v>
      </c>
      <c r="U1610" t="s">
        <v>13290</v>
      </c>
      <c r="V1610" t="s">
        <v>13290</v>
      </c>
      <c r="W1610" t="s">
        <v>14870</v>
      </c>
      <c r="X1610">
        <v>12</v>
      </c>
      <c r="Y1610" t="s">
        <v>21444</v>
      </c>
      <c r="Z1610" t="s">
        <v>27940</v>
      </c>
      <c r="AA1610">
        <v>0.38858373128284962</v>
      </c>
      <c r="AB1610" t="str">
        <f>HYPERLINK("Melting_Curves/meltCurve_O60524_4_NEMF.pdf", "Melting_Curves/meltCurve_O60524_4_NEMF.pdf")</f>
        <v>Melting_Curves/meltCurve_O60524_4_NEMF.pdf</v>
      </c>
    </row>
    <row r="1611" spans="1:28" x14ac:dyDescent="0.25">
      <c r="A1611" t="s">
        <v>1615</v>
      </c>
      <c r="B1611">
        <v>0.99252571173614901</v>
      </c>
      <c r="C1611">
        <v>0.95567424153270197</v>
      </c>
      <c r="D1611">
        <v>1.08883199075905</v>
      </c>
      <c r="E1611">
        <v>1.09517474111183</v>
      </c>
      <c r="F1611">
        <v>1.1031489452184</v>
      </c>
      <c r="G1611">
        <v>0.899210788464197</v>
      </c>
      <c r="H1611">
        <v>0.71019661528023903</v>
      </c>
      <c r="I1611">
        <v>0.15428288580780899</v>
      </c>
      <c r="J1611">
        <v>0.14586679028039801</v>
      </c>
      <c r="K1611">
        <v>0.12386277327563</v>
      </c>
      <c r="L1611">
        <v>4787.1087961025296</v>
      </c>
      <c r="M1611">
        <v>78.053143793155598</v>
      </c>
      <c r="N1611">
        <v>61.569934269507598</v>
      </c>
      <c r="O1611">
        <v>61.291192329321603</v>
      </c>
      <c r="P1611">
        <v>-0.276832059965475</v>
      </c>
      <c r="Q1611">
        <v>0.13047137077638901</v>
      </c>
      <c r="R1611">
        <v>0.97500074891981503</v>
      </c>
      <c r="S1611" t="s">
        <v>8257</v>
      </c>
      <c r="T1611" t="s">
        <v>13290</v>
      </c>
      <c r="U1611" t="s">
        <v>13290</v>
      </c>
      <c r="V1611" t="s">
        <v>13290</v>
      </c>
      <c r="W1611" t="s">
        <v>14871</v>
      </c>
      <c r="X1611">
        <v>24</v>
      </c>
      <c r="Y1611" t="s">
        <v>21445</v>
      </c>
      <c r="Z1611" t="s">
        <v>27941</v>
      </c>
      <c r="AA1611">
        <v>0.74970707091780109</v>
      </c>
      <c r="AB1611" t="str">
        <f>HYPERLINK("Melting_Curves/meltCurve_O60547_GMDS.pdf", "Melting_Curves/meltCurve_O60547_GMDS.pdf")</f>
        <v>Melting_Curves/meltCurve_O60547_GMDS.pdf</v>
      </c>
    </row>
    <row r="1612" spans="1:28" x14ac:dyDescent="0.25">
      <c r="A1612" t="s">
        <v>1616</v>
      </c>
      <c r="B1612">
        <v>0.99252571173614901</v>
      </c>
      <c r="C1612">
        <v>1.1603402399882701</v>
      </c>
      <c r="D1612">
        <v>0.92962816039146801</v>
      </c>
      <c r="E1612">
        <v>0.86072355826229896</v>
      </c>
      <c r="F1612">
        <v>0.18016685496431101</v>
      </c>
      <c r="G1612">
        <v>8.4001651425669399E-2</v>
      </c>
      <c r="H1612">
        <v>6.8162551303433294E-2</v>
      </c>
      <c r="I1612">
        <v>8.5543488867958706E-2</v>
      </c>
      <c r="J1612">
        <v>9.8582362502350293E-2</v>
      </c>
      <c r="K1612">
        <v>0.111941578778756</v>
      </c>
      <c r="L1612">
        <v>2842.6509450881999</v>
      </c>
      <c r="M1612">
        <v>55.6157547359551</v>
      </c>
      <c r="N1612">
        <v>51.2926500023759</v>
      </c>
      <c r="O1612">
        <v>51.046383939831699</v>
      </c>
      <c r="P1612">
        <v>-0.248193484962661</v>
      </c>
      <c r="Q1612">
        <v>8.8792659798558105E-2</v>
      </c>
      <c r="R1612">
        <v>0.98353963825659696</v>
      </c>
      <c r="S1612" t="s">
        <v>8258</v>
      </c>
      <c r="T1612" t="s">
        <v>13290</v>
      </c>
      <c r="U1612" t="s">
        <v>13290</v>
      </c>
      <c r="V1612" t="s">
        <v>13290</v>
      </c>
      <c r="W1612" t="s">
        <v>14872</v>
      </c>
      <c r="X1612">
        <v>9</v>
      </c>
      <c r="Y1612" t="s">
        <v>21446</v>
      </c>
      <c r="Z1612" t="s">
        <v>27942</v>
      </c>
      <c r="AA1612">
        <v>0.42797261290327387</v>
      </c>
      <c r="AB1612" t="str">
        <f>HYPERLINK("Melting_Curves/meltCurve_O60551_NMT2.pdf", "Melting_Curves/meltCurve_O60551_NMT2.pdf")</f>
        <v>Melting_Curves/meltCurve_O60551_NMT2.pdf</v>
      </c>
    </row>
    <row r="1613" spans="1:28" x14ac:dyDescent="0.25">
      <c r="A1613" t="s">
        <v>1617</v>
      </c>
      <c r="B1613">
        <v>0.99252571173614901</v>
      </c>
      <c r="C1613">
        <v>1.0115424355528899</v>
      </c>
      <c r="D1613">
        <v>1.0677838641686599</v>
      </c>
      <c r="E1613">
        <v>1.0960593687861699</v>
      </c>
      <c r="F1613">
        <v>0.53343690110196196</v>
      </c>
      <c r="G1613">
        <v>0.24162751965290899</v>
      </c>
      <c r="H1613">
        <v>0.177605250957833</v>
      </c>
      <c r="I1613">
        <v>0.16047228026399801</v>
      </c>
      <c r="J1613">
        <v>0.20667543034805899</v>
      </c>
      <c r="K1613">
        <v>0.23402628573070899</v>
      </c>
      <c r="L1613">
        <v>10242.510643826001</v>
      </c>
      <c r="M1613">
        <v>192.87664357038301</v>
      </c>
      <c r="N1613">
        <v>53.2487558202589</v>
      </c>
      <c r="O1613">
        <v>53.098247354587599</v>
      </c>
      <c r="P1613">
        <v>-0.72278413479098003</v>
      </c>
      <c r="Q1613">
        <v>0.20408066591465501</v>
      </c>
      <c r="R1613">
        <v>0.98797295095802096</v>
      </c>
      <c r="S1613" t="s">
        <v>8259</v>
      </c>
      <c r="T1613" t="s">
        <v>13290</v>
      </c>
      <c r="U1613" t="s">
        <v>13290</v>
      </c>
      <c r="V1613" t="s">
        <v>13290</v>
      </c>
      <c r="W1613" t="s">
        <v>14873</v>
      </c>
      <c r="X1613">
        <v>12</v>
      </c>
      <c r="Y1613" t="s">
        <v>21447</v>
      </c>
      <c r="Z1613" t="s">
        <v>27943</v>
      </c>
      <c r="AA1613">
        <v>0.55186140734879685</v>
      </c>
      <c r="AB1613" t="str">
        <f>HYPERLINK("Melting_Curves/meltCurve_O60563_CCNT1.pdf", "Melting_Curves/meltCurve_O60563_CCNT1.pdf")</f>
        <v>Melting_Curves/meltCurve_O60563_CCNT1.pdf</v>
      </c>
    </row>
    <row r="1614" spans="1:28" x14ac:dyDescent="0.25">
      <c r="A1614" t="s">
        <v>1618</v>
      </c>
      <c r="B1614">
        <v>0.99252571173614901</v>
      </c>
      <c r="C1614">
        <v>0.98195108239556195</v>
      </c>
      <c r="D1614">
        <v>0.71282447844552399</v>
      </c>
      <c r="E1614">
        <v>0.31528941882379702</v>
      </c>
      <c r="F1614">
        <v>0.19997775136637899</v>
      </c>
      <c r="G1614">
        <v>0.109138788281017</v>
      </c>
      <c r="H1614">
        <v>8.3946354251194094E-2</v>
      </c>
      <c r="I1614">
        <v>0.103972587918223</v>
      </c>
      <c r="J1614">
        <v>0.12442600616874</v>
      </c>
      <c r="K1614">
        <v>0.143451571748171</v>
      </c>
      <c r="L1614">
        <v>1268.0203138130501</v>
      </c>
      <c r="M1614">
        <v>26.772707031742101</v>
      </c>
      <c r="N1614">
        <v>47.836846636125898</v>
      </c>
      <c r="O1614">
        <v>47.100531620603903</v>
      </c>
      <c r="P1614">
        <v>-0.125536574883228</v>
      </c>
      <c r="Q1614">
        <v>0.116595709665579</v>
      </c>
      <c r="R1614">
        <v>0.99575304449134405</v>
      </c>
      <c r="S1614" t="s">
        <v>8260</v>
      </c>
      <c r="T1614" t="s">
        <v>13290</v>
      </c>
      <c r="U1614" t="s">
        <v>13290</v>
      </c>
      <c r="V1614" t="s">
        <v>13290</v>
      </c>
      <c r="W1614" t="s">
        <v>14874</v>
      </c>
      <c r="X1614">
        <v>8</v>
      </c>
      <c r="Y1614" t="s">
        <v>21448</v>
      </c>
      <c r="Z1614" t="s">
        <v>27944</v>
      </c>
      <c r="AA1614">
        <v>0.34015634555465252</v>
      </c>
      <c r="AB1614" t="str">
        <f>HYPERLINK("Melting_Curves/meltCurve_O60566_3_BUB1B.pdf", "Melting_Curves/meltCurve_O60566_3_BUB1B.pdf")</f>
        <v>Melting_Curves/meltCurve_O60566_3_BUB1B.pdf</v>
      </c>
    </row>
    <row r="1615" spans="1:28" x14ac:dyDescent="0.25">
      <c r="A1615" t="s">
        <v>1619</v>
      </c>
      <c r="B1615">
        <v>0.99252571173614901</v>
      </c>
      <c r="C1615">
        <v>0.99183318194263803</v>
      </c>
      <c r="D1615">
        <v>1.1365584440906</v>
      </c>
      <c r="E1615">
        <v>1.2258791873663699</v>
      </c>
      <c r="F1615">
        <v>0.86287399610736304</v>
      </c>
      <c r="G1615">
        <v>0.33433618317616298</v>
      </c>
      <c r="H1615">
        <v>0.20566298793346999</v>
      </c>
      <c r="I1615">
        <v>0.21482943610653499</v>
      </c>
      <c r="J1615">
        <v>0.26334955439351598</v>
      </c>
      <c r="K1615">
        <v>0.201934960920332</v>
      </c>
      <c r="L1615">
        <v>2971.2513672977102</v>
      </c>
      <c r="M1615">
        <v>54.191102631353303</v>
      </c>
      <c r="N1615">
        <v>55.429990429783501</v>
      </c>
      <c r="O1615">
        <v>54.754604395271002</v>
      </c>
      <c r="P1615">
        <v>-0.192469203754634</v>
      </c>
      <c r="Q1615">
        <v>0.222117887985262</v>
      </c>
      <c r="R1615">
        <v>0.95618785245724502</v>
      </c>
      <c r="S1615" t="s">
        <v>8261</v>
      </c>
      <c r="T1615" t="s">
        <v>13290</v>
      </c>
      <c r="U1615" t="s">
        <v>13290</v>
      </c>
      <c r="V1615" t="s">
        <v>13290</v>
      </c>
      <c r="W1615" t="s">
        <v>14875</v>
      </c>
      <c r="X1615">
        <v>20</v>
      </c>
      <c r="Y1615" t="s">
        <v>21449</v>
      </c>
      <c r="Z1615" t="s">
        <v>27945</v>
      </c>
      <c r="AA1615">
        <v>0.60822844825879951</v>
      </c>
      <c r="AB1615" t="str">
        <f>HYPERLINK("Melting_Curves/meltCurve_O60568_PLOD3.pdf", "Melting_Curves/meltCurve_O60568_PLOD3.pdf")</f>
        <v>Melting_Curves/meltCurve_O60568_PLOD3.pdf</v>
      </c>
    </row>
    <row r="1616" spans="1:28" x14ac:dyDescent="0.25">
      <c r="A1616" t="s">
        <v>1620</v>
      </c>
      <c r="B1616">
        <v>0.99252571173614901</v>
      </c>
      <c r="C1616">
        <v>0.88866413642005304</v>
      </c>
      <c r="D1616">
        <v>0.686770893363568</v>
      </c>
      <c r="E1616">
        <v>0.37360746534871903</v>
      </c>
      <c r="F1616">
        <v>0.196827041396027</v>
      </c>
      <c r="G1616">
        <v>0.11636370921266501</v>
      </c>
      <c r="H1616">
        <v>8.5953119020342E-2</v>
      </c>
      <c r="I1616">
        <v>8.8375673689723905E-2</v>
      </c>
      <c r="J1616">
        <v>0.10784430169879</v>
      </c>
      <c r="K1616">
        <v>9.7954283827156804E-2</v>
      </c>
      <c r="L1616">
        <v>914.46538825440302</v>
      </c>
      <c r="M1616">
        <v>19.234705893667201</v>
      </c>
      <c r="N1616">
        <v>48.024751107396</v>
      </c>
      <c r="O1616">
        <v>47.037555544378598</v>
      </c>
      <c r="P1616">
        <v>-9.3255442684113704E-2</v>
      </c>
      <c r="Q1616">
        <v>8.7828134453037596E-2</v>
      </c>
      <c r="R1616">
        <v>0.99904563559819404</v>
      </c>
      <c r="S1616" t="s">
        <v>8262</v>
      </c>
      <c r="T1616" t="s">
        <v>13290</v>
      </c>
      <c r="U1616" t="s">
        <v>13290</v>
      </c>
      <c r="V1616" t="s">
        <v>13290</v>
      </c>
      <c r="W1616" t="s">
        <v>14876</v>
      </c>
      <c r="X1616">
        <v>8</v>
      </c>
      <c r="Y1616" t="s">
        <v>21450</v>
      </c>
      <c r="Z1616" t="s">
        <v>27946</v>
      </c>
      <c r="AA1616">
        <v>0.3314225147712605</v>
      </c>
      <c r="AB1616" t="str">
        <f>HYPERLINK("Melting_Curves/meltCurve_O60573_EIF4E2.pdf", "Melting_Curves/meltCurve_O60573_EIF4E2.pdf")</f>
        <v>Melting_Curves/meltCurve_O60573_EIF4E2.pdf</v>
      </c>
    </row>
    <row r="1617" spans="1:28" x14ac:dyDescent="0.25">
      <c r="A1617" t="s">
        <v>1621</v>
      </c>
      <c r="B1617">
        <v>0.99252571173614901</v>
      </c>
      <c r="C1617">
        <v>0.89864752726080299</v>
      </c>
      <c r="D1617">
        <v>1.01199642438993</v>
      </c>
      <c r="E1617">
        <v>0.86676385420532498</v>
      </c>
      <c r="F1617">
        <v>0.34522703009058597</v>
      </c>
      <c r="G1617">
        <v>0.19005420708745699</v>
      </c>
      <c r="H1617">
        <v>0.136342050632655</v>
      </c>
      <c r="I1617">
        <v>0.14757571573250899</v>
      </c>
      <c r="J1617">
        <v>0.21455727448033399</v>
      </c>
      <c r="K1617">
        <v>0.178767306691551</v>
      </c>
      <c r="L1617">
        <v>2190.46442839367</v>
      </c>
      <c r="M1617">
        <v>42.495979865857599</v>
      </c>
      <c r="N1617">
        <v>52.054213551306198</v>
      </c>
      <c r="O1617">
        <v>51.431458405740401</v>
      </c>
      <c r="P1617">
        <v>-0.17144958345553399</v>
      </c>
      <c r="Q1617">
        <v>0.17000253766363199</v>
      </c>
      <c r="R1617">
        <v>0.98941153690026495</v>
      </c>
      <c r="S1617" t="s">
        <v>8263</v>
      </c>
      <c r="T1617" t="s">
        <v>13290</v>
      </c>
      <c r="U1617" t="s">
        <v>13290</v>
      </c>
      <c r="V1617" t="s">
        <v>13290</v>
      </c>
      <c r="W1617" t="s">
        <v>14877</v>
      </c>
      <c r="X1617">
        <v>6</v>
      </c>
      <c r="Y1617" t="s">
        <v>21451</v>
      </c>
      <c r="Z1617" t="s">
        <v>27947</v>
      </c>
      <c r="AA1617">
        <v>0.49203652880838938</v>
      </c>
      <c r="AB1617" t="str">
        <f>HYPERLINK("Melting_Curves/meltCurve_O60613_SEP15.pdf", "Melting_Curves/meltCurve_O60613_SEP15.pdf")</f>
        <v>Melting_Curves/meltCurve_O60613_SEP15.pdf</v>
      </c>
    </row>
    <row r="1618" spans="1:28" x14ac:dyDescent="0.25">
      <c r="A1618" t="s">
        <v>1622</v>
      </c>
      <c r="B1618">
        <v>0.99252571173614901</v>
      </c>
      <c r="C1618">
        <v>0.86790106725985205</v>
      </c>
      <c r="D1618">
        <v>0.85784758237041103</v>
      </c>
      <c r="E1618">
        <v>0.32258220686029798</v>
      </c>
      <c r="F1618">
        <v>0.13252787250530701</v>
      </c>
      <c r="G1618">
        <v>7.7453510208849594E-2</v>
      </c>
      <c r="H1618">
        <v>5.8921380451380498E-2</v>
      </c>
      <c r="I1618">
        <v>7.1431757609542207E-2</v>
      </c>
      <c r="J1618">
        <v>8.9657353958349603E-2</v>
      </c>
      <c r="K1618">
        <v>7.3490232598065197E-2</v>
      </c>
      <c r="L1618">
        <v>1494.3403638812899</v>
      </c>
      <c r="M1618">
        <v>31.0369574342612</v>
      </c>
      <c r="N1618">
        <v>48.393579851990701</v>
      </c>
      <c r="O1618">
        <v>47.9485890068038</v>
      </c>
      <c r="P1618">
        <v>-0.14999554811107399</v>
      </c>
      <c r="Q1618">
        <v>7.3100945134251902E-2</v>
      </c>
      <c r="R1618">
        <v>0.98927214268160202</v>
      </c>
      <c r="S1618" t="s">
        <v>8264</v>
      </c>
      <c r="T1618" t="s">
        <v>13290</v>
      </c>
      <c r="U1618" t="s">
        <v>13290</v>
      </c>
      <c r="V1618" t="s">
        <v>13290</v>
      </c>
      <c r="W1618" t="s">
        <v>14878</v>
      </c>
      <c r="X1618">
        <v>6</v>
      </c>
      <c r="Y1618" t="s">
        <v>21452</v>
      </c>
      <c r="Z1618" t="s">
        <v>27948</v>
      </c>
      <c r="AA1618">
        <v>0.33002510475668417</v>
      </c>
      <c r="AB1618" t="str">
        <f>HYPERLINK("Melting_Curves/meltCurve_O60645_3_EXOC3.pdf", "Melting_Curves/meltCurve_O60645_3_EXOC3.pdf")</f>
        <v>Melting_Curves/meltCurve_O60645_3_EXOC3.pdf</v>
      </c>
    </row>
    <row r="1619" spans="1:28" x14ac:dyDescent="0.25">
      <c r="A1619" t="s">
        <v>1623</v>
      </c>
      <c r="B1619">
        <v>0.99252571173614901</v>
      </c>
      <c r="C1619">
        <v>1.02693385531612</v>
      </c>
      <c r="D1619">
        <v>1.0042471901057</v>
      </c>
      <c r="E1619">
        <v>0.92861068394474899</v>
      </c>
      <c r="F1619">
        <v>0.28416514133882398</v>
      </c>
      <c r="G1619">
        <v>8.7948398800452701E-2</v>
      </c>
      <c r="H1619">
        <v>5.4388850447507603E-2</v>
      </c>
      <c r="I1619">
        <v>5.5327072772031999E-2</v>
      </c>
      <c r="J1619">
        <v>6.0182042837458302E-2</v>
      </c>
      <c r="K1619">
        <v>6.4306045795669994E-2</v>
      </c>
      <c r="L1619">
        <v>2658.5989964548999</v>
      </c>
      <c r="M1619">
        <v>51.131560570579303</v>
      </c>
      <c r="N1619">
        <v>52.1292538415438</v>
      </c>
      <c r="O1619">
        <v>51.915917029568</v>
      </c>
      <c r="P1619">
        <v>-0.231060801055151</v>
      </c>
      <c r="Q1619">
        <v>6.1579695046914802E-2</v>
      </c>
      <c r="R1619">
        <v>0.99941739437817101</v>
      </c>
      <c r="S1619" t="s">
        <v>8265</v>
      </c>
      <c r="T1619" t="s">
        <v>13290</v>
      </c>
      <c r="U1619" t="s">
        <v>13290</v>
      </c>
      <c r="V1619" t="s">
        <v>13290</v>
      </c>
      <c r="W1619" t="s">
        <v>14879</v>
      </c>
      <c r="X1619">
        <v>13</v>
      </c>
      <c r="Y1619" t="s">
        <v>21453</v>
      </c>
      <c r="Z1619" t="s">
        <v>27949</v>
      </c>
      <c r="AA1619">
        <v>0.43885714423319089</v>
      </c>
      <c r="AB1619" t="str">
        <f>HYPERLINK("Melting_Curves/meltCurve_O60662_KLHL41.pdf", "Melting_Curves/meltCurve_O60662_KLHL41.pdf")</f>
        <v>Melting_Curves/meltCurve_O60662_KLHL41.pdf</v>
      </c>
    </row>
    <row r="1620" spans="1:28" x14ac:dyDescent="0.25">
      <c r="A1620" t="s">
        <v>1624</v>
      </c>
      <c r="B1620">
        <v>0.99252571173614901</v>
      </c>
      <c r="C1620">
        <v>1.1332843544582201</v>
      </c>
      <c r="D1620">
        <v>1.0131013648373099</v>
      </c>
      <c r="E1620">
        <v>1.0144970407278799</v>
      </c>
      <c r="F1620">
        <v>0.74156963274286503</v>
      </c>
      <c r="G1620">
        <v>0.58437987505855005</v>
      </c>
      <c r="H1620">
        <v>0.54401761081359001</v>
      </c>
      <c r="I1620">
        <v>0.70552689569192095</v>
      </c>
      <c r="J1620">
        <v>1.0427535141825499</v>
      </c>
      <c r="K1620">
        <v>1.0669049076699</v>
      </c>
      <c r="L1620">
        <v>6018.1514079176204</v>
      </c>
      <c r="M1620">
        <v>117.59254311239</v>
      </c>
      <c r="O1620">
        <v>51.163206452370702</v>
      </c>
      <c r="P1620">
        <v>-0.12606576113670501</v>
      </c>
      <c r="Q1620">
        <v>0.78060077524715898</v>
      </c>
      <c r="R1620">
        <v>0.36073237346378501</v>
      </c>
      <c r="S1620" t="s">
        <v>8266</v>
      </c>
      <c r="T1620" t="s">
        <v>13290</v>
      </c>
      <c r="U1620" t="s">
        <v>13290</v>
      </c>
      <c r="V1620" t="s">
        <v>13290</v>
      </c>
      <c r="W1620" t="s">
        <v>14880</v>
      </c>
      <c r="X1620">
        <v>23</v>
      </c>
      <c r="Y1620" t="s">
        <v>21454</v>
      </c>
      <c r="Z1620" t="s">
        <v>27950</v>
      </c>
      <c r="AA1620">
        <v>0.86243807662180549</v>
      </c>
      <c r="AB1620" t="str">
        <f>HYPERLINK("Melting_Curves/meltCurve_O60664_PLIN3.pdf", "Melting_Curves/meltCurve_O60664_PLIN3.pdf")</f>
        <v>Melting_Curves/meltCurve_O60664_PLIN3.pdf</v>
      </c>
    </row>
    <row r="1621" spans="1:28" x14ac:dyDescent="0.25">
      <c r="A1621" t="s">
        <v>1625</v>
      </c>
      <c r="B1621">
        <v>0.99252571173614901</v>
      </c>
      <c r="C1621">
        <v>1.0494219537537199</v>
      </c>
      <c r="D1621">
        <v>0.96094170720396699</v>
      </c>
      <c r="E1621">
        <v>0.88510869105857304</v>
      </c>
      <c r="F1621">
        <v>0.57105379582322602</v>
      </c>
      <c r="G1621">
        <v>0.394395641312204</v>
      </c>
      <c r="H1621">
        <v>0.21667209375903301</v>
      </c>
      <c r="I1621">
        <v>0.12436428581129599</v>
      </c>
      <c r="J1621">
        <v>0.13466672218359699</v>
      </c>
      <c r="K1621">
        <v>0.10230653429460899</v>
      </c>
      <c r="L1621">
        <v>983.58483501384899</v>
      </c>
      <c r="M1621">
        <v>18.182986524872199</v>
      </c>
      <c r="N1621">
        <v>54.740243740740603</v>
      </c>
      <c r="O1621">
        <v>53.452122268574698</v>
      </c>
      <c r="P1621">
        <v>-7.6828839316415501E-2</v>
      </c>
      <c r="Q1621">
        <v>9.6634429535169306E-2</v>
      </c>
      <c r="R1621">
        <v>0.994189475203615</v>
      </c>
      <c r="S1621" t="s">
        <v>8267</v>
      </c>
      <c r="T1621" t="s">
        <v>13290</v>
      </c>
      <c r="U1621" t="s">
        <v>13290</v>
      </c>
      <c r="V1621" t="s">
        <v>13290</v>
      </c>
      <c r="W1621" t="s">
        <v>14881</v>
      </c>
      <c r="X1621">
        <v>3</v>
      </c>
      <c r="Y1621" t="s">
        <v>21455</v>
      </c>
      <c r="Z1621" t="s">
        <v>27951</v>
      </c>
      <c r="AA1621">
        <v>0.53522779698213674</v>
      </c>
      <c r="AB1621" t="str">
        <f>HYPERLINK("Melting_Curves/meltCurve_O60671_RAD1.pdf", "Melting_Curves/meltCurve_O60671_RAD1.pdf")</f>
        <v>Melting_Curves/meltCurve_O60671_RAD1.pdf</v>
      </c>
    </row>
    <row r="1622" spans="1:28" x14ac:dyDescent="0.25">
      <c r="A1622" t="s">
        <v>1626</v>
      </c>
      <c r="B1622">
        <v>0.99252571173614901</v>
      </c>
      <c r="C1622">
        <v>0.84686386993638696</v>
      </c>
      <c r="D1622">
        <v>0.84442837398178705</v>
      </c>
      <c r="E1622">
        <v>0.74036557779356305</v>
      </c>
      <c r="F1622">
        <v>0.15791688927822001</v>
      </c>
      <c r="G1622">
        <v>9.5750531332964503E-2</v>
      </c>
      <c r="H1622">
        <v>6.2985388299264797E-2</v>
      </c>
      <c r="I1622">
        <v>5.8221136156281397E-2</v>
      </c>
      <c r="J1622">
        <v>5.9681869555755898E-2</v>
      </c>
      <c r="K1622">
        <v>6.3811902488339095E-2</v>
      </c>
      <c r="L1622">
        <v>1889.69820167172</v>
      </c>
      <c r="M1622">
        <v>37.308242578673202</v>
      </c>
      <c r="N1622">
        <v>50.8235918752803</v>
      </c>
      <c r="O1622">
        <v>50.506104917313898</v>
      </c>
      <c r="P1622">
        <v>-0.17368102765322899</v>
      </c>
      <c r="Q1622">
        <v>5.9518715579470798E-2</v>
      </c>
      <c r="R1622">
        <v>0.97005839663172599</v>
      </c>
      <c r="S1622" t="s">
        <v>8268</v>
      </c>
      <c r="T1622" t="s">
        <v>13290</v>
      </c>
      <c r="U1622" t="s">
        <v>13290</v>
      </c>
      <c r="V1622" t="s">
        <v>13290</v>
      </c>
      <c r="W1622" t="s">
        <v>14882</v>
      </c>
      <c r="X1622">
        <v>10</v>
      </c>
      <c r="Y1622" t="s">
        <v>21456</v>
      </c>
      <c r="Z1622" t="s">
        <v>27952</v>
      </c>
      <c r="AA1622">
        <v>0.39720908008807349</v>
      </c>
      <c r="AB1622" t="str">
        <f>HYPERLINK("Melting_Curves/meltCurve_O60678_PRMT3.pdf", "Melting_Curves/meltCurve_O60678_PRMT3.pdf")</f>
        <v>Melting_Curves/meltCurve_O60678_PRMT3.pdf</v>
      </c>
    </row>
    <row r="1623" spans="1:28" x14ac:dyDescent="0.25">
      <c r="A1623" t="s">
        <v>1627</v>
      </c>
      <c r="B1623">
        <v>0.99252571173614901</v>
      </c>
      <c r="C1623">
        <v>0.88142222329964404</v>
      </c>
      <c r="D1623">
        <v>1.06744070102052</v>
      </c>
      <c r="E1623">
        <v>0.88415086270507304</v>
      </c>
      <c r="F1623">
        <v>0.44698623090879802</v>
      </c>
      <c r="G1623">
        <v>0.17617209304543099</v>
      </c>
      <c r="H1623">
        <v>9.7383535280310601E-2</v>
      </c>
      <c r="I1623">
        <v>8.8743209061666106E-2</v>
      </c>
      <c r="J1623">
        <v>9.7158689508290499E-2</v>
      </c>
      <c r="K1623">
        <v>0.101158897197687</v>
      </c>
      <c r="L1623">
        <v>1760.92495590255</v>
      </c>
      <c r="M1623">
        <v>33.536153112733601</v>
      </c>
      <c r="N1623">
        <v>52.843130897966702</v>
      </c>
      <c r="O1623">
        <v>52.322607463395599</v>
      </c>
      <c r="P1623">
        <v>-0.14489911987068399</v>
      </c>
      <c r="Q1623">
        <v>9.57259865475176E-2</v>
      </c>
      <c r="R1623">
        <v>0.987578231079969</v>
      </c>
      <c r="S1623" t="s">
        <v>8269</v>
      </c>
      <c r="T1623" t="s">
        <v>13290</v>
      </c>
      <c r="U1623" t="s">
        <v>13290</v>
      </c>
      <c r="V1623" t="s">
        <v>13290</v>
      </c>
      <c r="W1623" t="s">
        <v>14883</v>
      </c>
      <c r="X1623">
        <v>23</v>
      </c>
      <c r="Y1623" t="s">
        <v>21457</v>
      </c>
      <c r="Z1623" t="s">
        <v>27953</v>
      </c>
      <c r="AA1623">
        <v>0.47742377001268788</v>
      </c>
      <c r="AB1623" t="str">
        <f>HYPERLINK("Melting_Curves/meltCurve_O60701_UGDH.pdf", "Melting_Curves/meltCurve_O60701_UGDH.pdf")</f>
        <v>Melting_Curves/meltCurve_O60701_UGDH.pdf</v>
      </c>
    </row>
    <row r="1624" spans="1:28" x14ac:dyDescent="0.25">
      <c r="A1624" t="s">
        <v>1628</v>
      </c>
      <c r="B1624">
        <v>0.99252571173614901</v>
      </c>
      <c r="C1624">
        <v>0.86054423949056003</v>
      </c>
      <c r="D1624">
        <v>0.80968739710106397</v>
      </c>
      <c r="E1624">
        <v>0.73813778026675902</v>
      </c>
      <c r="F1624">
        <v>0.33298254704059999</v>
      </c>
      <c r="G1624">
        <v>0.14049390272485199</v>
      </c>
      <c r="H1624">
        <v>8.8640893202924398E-2</v>
      </c>
      <c r="I1624">
        <v>9.7413473014040894E-2</v>
      </c>
      <c r="J1624">
        <v>9.4505143454277005E-2</v>
      </c>
      <c r="K1624">
        <v>8.9005002296932201E-2</v>
      </c>
      <c r="L1624">
        <v>896.30065725650798</v>
      </c>
      <c r="M1624">
        <v>17.598759744046699</v>
      </c>
      <c r="N1624">
        <v>51.296473596951799</v>
      </c>
      <c r="O1624">
        <v>50.285829283751802</v>
      </c>
      <c r="P1624">
        <v>-8.2326409074572796E-2</v>
      </c>
      <c r="Q1624">
        <v>5.9109226286702503E-2</v>
      </c>
      <c r="R1624">
        <v>0.97642573026193302</v>
      </c>
      <c r="S1624" t="s">
        <v>8270</v>
      </c>
      <c r="T1624" t="s">
        <v>13290</v>
      </c>
      <c r="U1624" t="s">
        <v>13290</v>
      </c>
      <c r="V1624" t="s">
        <v>13290</v>
      </c>
      <c r="W1624" t="s">
        <v>14884</v>
      </c>
      <c r="X1624">
        <v>4</v>
      </c>
      <c r="Y1624" t="s">
        <v>21458</v>
      </c>
      <c r="Z1624" t="s">
        <v>27954</v>
      </c>
      <c r="AA1624">
        <v>0.41842396846906288</v>
      </c>
      <c r="AB1624" t="str">
        <f>HYPERLINK("Melting_Curves/meltCurve_O60704_TPST2.pdf", "Melting_Curves/meltCurve_O60704_TPST2.pdf")</f>
        <v>Melting_Curves/meltCurve_O60704_TPST2.pdf</v>
      </c>
    </row>
    <row r="1625" spans="1:28" x14ac:dyDescent="0.25">
      <c r="A1625" t="s">
        <v>1629</v>
      </c>
      <c r="B1625">
        <v>0.99252571173614901</v>
      </c>
      <c r="C1625">
        <v>0.89588013238679398</v>
      </c>
      <c r="D1625">
        <v>0.54799785218570096</v>
      </c>
      <c r="E1625">
        <v>0.331442959563091</v>
      </c>
      <c r="F1625">
        <v>0.15417531195148701</v>
      </c>
      <c r="G1625">
        <v>9.9414969565572706E-2</v>
      </c>
      <c r="H1625">
        <v>8.2475048309920307E-2</v>
      </c>
      <c r="I1625">
        <v>9.9304867025613697E-2</v>
      </c>
      <c r="J1625">
        <v>0.12699714614726099</v>
      </c>
      <c r="K1625">
        <v>0.120402623289116</v>
      </c>
      <c r="L1625">
        <v>984.85828478235806</v>
      </c>
      <c r="M1625">
        <v>21.225150926298099</v>
      </c>
      <c r="N1625">
        <v>46.913255967334202</v>
      </c>
      <c r="O1625">
        <v>45.994542470024797</v>
      </c>
      <c r="P1625">
        <v>-0.10342812921334001</v>
      </c>
      <c r="Q1625">
        <v>0.10351507753468001</v>
      </c>
      <c r="R1625">
        <v>0.993009185270601</v>
      </c>
      <c r="S1625" t="s">
        <v>8271</v>
      </c>
      <c r="T1625" t="s">
        <v>13290</v>
      </c>
      <c r="U1625" t="s">
        <v>13290</v>
      </c>
      <c r="V1625" t="s">
        <v>13290</v>
      </c>
      <c r="W1625" t="s">
        <v>14885</v>
      </c>
      <c r="X1625">
        <v>37</v>
      </c>
      <c r="Y1625" t="s">
        <v>21459</v>
      </c>
      <c r="Z1625" t="s">
        <v>27955</v>
      </c>
      <c r="AA1625">
        <v>0.30658701784475523</v>
      </c>
      <c r="AB1625" t="str">
        <f>HYPERLINK("Melting_Curves/meltCurve_O60716_5_CTNND1.pdf", "Melting_Curves/meltCurve_O60716_5_CTNND1.pdf")</f>
        <v>Melting_Curves/meltCurve_O60716_5_CTNND1.pdf</v>
      </c>
    </row>
    <row r="1626" spans="1:28" x14ac:dyDescent="0.25">
      <c r="A1626" t="s">
        <v>1630</v>
      </c>
      <c r="B1626">
        <v>0.99252571173614901</v>
      </c>
      <c r="C1626">
        <v>0.86289729525287395</v>
      </c>
      <c r="D1626">
        <v>0.81934001455914196</v>
      </c>
      <c r="E1626">
        <v>0.51110807330121699</v>
      </c>
      <c r="F1626">
        <v>0.13569406551438301</v>
      </c>
      <c r="G1626">
        <v>5.0749080264571297E-2</v>
      </c>
      <c r="H1626">
        <v>3.0257112019981498E-2</v>
      </c>
      <c r="I1626">
        <v>2.6374438555172901E-2</v>
      </c>
      <c r="J1626">
        <v>1.53303784028259E-2</v>
      </c>
      <c r="K1626">
        <v>7.46418655327426E-3</v>
      </c>
      <c r="L1626">
        <v>1005.42302177507</v>
      </c>
      <c r="M1626">
        <v>20.400390308740999</v>
      </c>
      <c r="N1626">
        <v>49.295825428909602</v>
      </c>
      <c r="O1626">
        <v>48.818252681418301</v>
      </c>
      <c r="P1626">
        <v>-0.104229445594655</v>
      </c>
      <c r="Q1626">
        <v>2.3431814825316199E-3</v>
      </c>
      <c r="R1626">
        <v>0.99121986956453201</v>
      </c>
      <c r="S1626" t="s">
        <v>8272</v>
      </c>
      <c r="T1626" t="s">
        <v>13290</v>
      </c>
      <c r="U1626" t="s">
        <v>13290</v>
      </c>
      <c r="V1626" t="s">
        <v>13290</v>
      </c>
      <c r="W1626" t="s">
        <v>14886</v>
      </c>
      <c r="X1626">
        <v>2</v>
      </c>
      <c r="Y1626" t="s">
        <v>21460</v>
      </c>
      <c r="Z1626" t="s">
        <v>27956</v>
      </c>
      <c r="AA1626">
        <v>0.32449828726719587</v>
      </c>
      <c r="AB1626" t="str">
        <f>HYPERLINK("Melting_Curves/meltCurve_O60725_ICMT.pdf", "Melting_Curves/meltCurve_O60725_ICMT.pdf")</f>
        <v>Melting_Curves/meltCurve_O60725_ICMT.pdf</v>
      </c>
    </row>
    <row r="1627" spans="1:28" x14ac:dyDescent="0.25">
      <c r="A1627" t="s">
        <v>1631</v>
      </c>
      <c r="B1627">
        <v>0.99252571173614901</v>
      </c>
      <c r="C1627">
        <v>0.31735530998353501</v>
      </c>
      <c r="D1627">
        <v>0.13976766637077501</v>
      </c>
      <c r="E1627">
        <v>8.3918966073012594E-2</v>
      </c>
      <c r="F1627">
        <v>4.74953844344485E-2</v>
      </c>
      <c r="G1627">
        <v>3.1564503426512798E-2</v>
      </c>
      <c r="H1627">
        <v>2.14053384647305E-2</v>
      </c>
      <c r="I1627">
        <v>3.7517370885308099E-2</v>
      </c>
      <c r="J1627">
        <v>3.53458144352135E-2</v>
      </c>
      <c r="K1627">
        <v>3.0395751917479098E-2</v>
      </c>
      <c r="L1627">
        <v>2682.5026154032398</v>
      </c>
      <c r="M1627">
        <v>63.451578871762401</v>
      </c>
      <c r="N1627">
        <v>42.350127540082497</v>
      </c>
      <c r="O1627">
        <v>42.234440371316097</v>
      </c>
      <c r="P1627">
        <v>-0.35594292182003401</v>
      </c>
      <c r="Q1627">
        <v>5.2313883742801097E-2</v>
      </c>
      <c r="R1627">
        <v>0.98725252078132897</v>
      </c>
      <c r="S1627" t="s">
        <v>8273</v>
      </c>
      <c r="T1627" t="s">
        <v>13290</v>
      </c>
      <c r="U1627" t="s">
        <v>13290</v>
      </c>
      <c r="V1627" t="s">
        <v>13290</v>
      </c>
      <c r="W1627" t="s">
        <v>14887</v>
      </c>
      <c r="X1627">
        <v>1</v>
      </c>
      <c r="Y1627" t="s">
        <v>21461</v>
      </c>
      <c r="Z1627" t="s">
        <v>27957</v>
      </c>
      <c r="AA1627">
        <v>0.1258065032226009</v>
      </c>
      <c r="AB1627" t="str">
        <f>HYPERLINK("Melting_Curves/meltCurve_O60733_2_PLA2G6.pdf", "Melting_Curves/meltCurve_O60733_2_PLA2G6.pdf")</f>
        <v>Melting_Curves/meltCurve_O60733_2_PLA2G6.pdf</v>
      </c>
    </row>
    <row r="1628" spans="1:28" x14ac:dyDescent="0.25">
      <c r="A1628" t="s">
        <v>1632</v>
      </c>
      <c r="B1628">
        <v>0.99252571173614901</v>
      </c>
      <c r="C1628">
        <v>1.0061490408968501</v>
      </c>
      <c r="D1628">
        <v>0.82987710635388701</v>
      </c>
      <c r="E1628">
        <v>0.71035669193467599</v>
      </c>
      <c r="F1628">
        <v>0.53498046097957497</v>
      </c>
      <c r="G1628">
        <v>0.42782867271540498</v>
      </c>
      <c r="H1628">
        <v>0.30607825912897602</v>
      </c>
      <c r="I1628">
        <v>0.27275744990770501</v>
      </c>
      <c r="J1628">
        <v>0.29829107446072001</v>
      </c>
      <c r="K1628">
        <v>0.294841147356037</v>
      </c>
      <c r="L1628">
        <v>722.74056412386005</v>
      </c>
      <c r="M1628">
        <v>14.1479332618241</v>
      </c>
      <c r="N1628">
        <v>53.898562001535304</v>
      </c>
      <c r="O1628">
        <v>50.096426903141598</v>
      </c>
      <c r="P1628">
        <v>-5.2173924678236998E-2</v>
      </c>
      <c r="Q1628">
        <v>0.26112309516082299</v>
      </c>
      <c r="R1628">
        <v>0.99094478272819997</v>
      </c>
      <c r="S1628" t="s">
        <v>8274</v>
      </c>
      <c r="T1628" t="s">
        <v>13290</v>
      </c>
      <c r="U1628" t="s">
        <v>13290</v>
      </c>
      <c r="V1628" t="s">
        <v>13290</v>
      </c>
      <c r="W1628" t="s">
        <v>14888</v>
      </c>
      <c r="X1628">
        <v>12</v>
      </c>
      <c r="Y1628" t="s">
        <v>21462</v>
      </c>
      <c r="Z1628" t="s">
        <v>27958</v>
      </c>
      <c r="AA1628">
        <v>0.55283988232686998</v>
      </c>
      <c r="AB1628" t="str">
        <f>HYPERLINK("Melting_Curves/meltCurve_O60739_EIF1B.pdf", "Melting_Curves/meltCurve_O60739_EIF1B.pdf")</f>
        <v>Melting_Curves/meltCurve_O60739_EIF1B.pdf</v>
      </c>
    </row>
    <row r="1629" spans="1:28" x14ac:dyDescent="0.25">
      <c r="A1629" t="s">
        <v>1633</v>
      </c>
      <c r="B1629">
        <v>0.99252571173614901</v>
      </c>
      <c r="C1629">
        <v>1.0268912936829999</v>
      </c>
      <c r="D1629">
        <v>0.75915436755468402</v>
      </c>
      <c r="E1629">
        <v>0.57596455139557701</v>
      </c>
      <c r="F1629">
        <v>0.15987690149270301</v>
      </c>
      <c r="G1629">
        <v>8.5869135381742498E-2</v>
      </c>
      <c r="H1629">
        <v>5.9489063901752903E-2</v>
      </c>
      <c r="I1629">
        <v>6.1797594631784997E-2</v>
      </c>
      <c r="J1629">
        <v>7.5786012700853903E-2</v>
      </c>
      <c r="K1629">
        <v>7.3290070407447505E-2</v>
      </c>
      <c r="L1629">
        <v>1092.30170162064</v>
      </c>
      <c r="M1629">
        <v>22.120387171669801</v>
      </c>
      <c r="N1629">
        <v>49.630417696313899</v>
      </c>
      <c r="O1629">
        <v>48.981586335734903</v>
      </c>
      <c r="P1629">
        <v>-0.106939087126729</v>
      </c>
      <c r="Q1629">
        <v>5.2831356989239603E-2</v>
      </c>
      <c r="R1629">
        <v>0.98664075763026204</v>
      </c>
      <c r="S1629" t="s">
        <v>8275</v>
      </c>
      <c r="T1629" t="s">
        <v>13290</v>
      </c>
      <c r="U1629" t="s">
        <v>13290</v>
      </c>
      <c r="V1629" t="s">
        <v>13290</v>
      </c>
      <c r="W1629" t="s">
        <v>14889</v>
      </c>
      <c r="X1629">
        <v>21</v>
      </c>
      <c r="Y1629" t="s">
        <v>21463</v>
      </c>
      <c r="Z1629" t="s">
        <v>27959</v>
      </c>
      <c r="AA1629">
        <v>0.35977203864789897</v>
      </c>
      <c r="AB1629" t="str">
        <f>HYPERLINK("Melting_Curves/meltCurve_O60749_SNX2.pdf", "Melting_Curves/meltCurve_O60749_SNX2.pdf")</f>
        <v>Melting_Curves/meltCurve_O60749_SNX2.pdf</v>
      </c>
    </row>
    <row r="1630" spans="1:28" x14ac:dyDescent="0.25">
      <c r="A1630" t="s">
        <v>1634</v>
      </c>
      <c r="B1630">
        <v>0.99252571173614901</v>
      </c>
      <c r="C1630">
        <v>0.83905320194452704</v>
      </c>
      <c r="D1630">
        <v>0.91435267799522901</v>
      </c>
      <c r="E1630">
        <v>0.77793017192843705</v>
      </c>
      <c r="F1630">
        <v>0.15439068954874299</v>
      </c>
      <c r="G1630">
        <v>8.6258648549623798E-2</v>
      </c>
      <c r="H1630">
        <v>5.8688067871027899E-2</v>
      </c>
      <c r="I1630">
        <v>5.63877480899556E-2</v>
      </c>
      <c r="J1630">
        <v>5.71904190274602E-2</v>
      </c>
      <c r="K1630">
        <v>5.5856782830026E-2</v>
      </c>
      <c r="L1630">
        <v>2340.5044645632302</v>
      </c>
      <c r="M1630">
        <v>46.063318131942502</v>
      </c>
      <c r="N1630">
        <v>50.951139851077002</v>
      </c>
      <c r="O1630">
        <v>50.715094670404298</v>
      </c>
      <c r="P1630">
        <v>-0.21352210605542099</v>
      </c>
      <c r="Q1630">
        <v>5.96610228040617E-2</v>
      </c>
      <c r="R1630">
        <v>0.979377723307435</v>
      </c>
      <c r="S1630" t="s">
        <v>8276</v>
      </c>
      <c r="T1630" t="s">
        <v>13290</v>
      </c>
      <c r="U1630" t="s">
        <v>13290</v>
      </c>
      <c r="V1630" t="s">
        <v>13290</v>
      </c>
      <c r="W1630" t="s">
        <v>14890</v>
      </c>
      <c r="X1630">
        <v>34</v>
      </c>
      <c r="Y1630" t="s">
        <v>21464</v>
      </c>
      <c r="Z1630" t="s">
        <v>27960</v>
      </c>
      <c r="AA1630">
        <v>0.40100059927755027</v>
      </c>
      <c r="AB1630" t="str">
        <f>HYPERLINK("Melting_Curves/meltCurve_O60763_USO1.pdf", "Melting_Curves/meltCurve_O60763_USO1.pdf")</f>
        <v>Melting_Curves/meltCurve_O60763_USO1.pdf</v>
      </c>
    </row>
    <row r="1631" spans="1:28" x14ac:dyDescent="0.25">
      <c r="A1631" t="s">
        <v>1635</v>
      </c>
      <c r="B1631">
        <v>0.99252571173614901</v>
      </c>
      <c r="C1631">
        <v>1.0297147217073599</v>
      </c>
      <c r="D1631">
        <v>0.99399913267179296</v>
      </c>
      <c r="E1631">
        <v>0.91950768974818697</v>
      </c>
      <c r="F1631">
        <v>0.55162117715291903</v>
      </c>
      <c r="G1631">
        <v>0.19576816815099701</v>
      </c>
      <c r="H1631">
        <v>8.0943302889170995E-2</v>
      </c>
      <c r="I1631">
        <v>7.8212891840988896E-2</v>
      </c>
      <c r="J1631">
        <v>9.4639528959423305E-2</v>
      </c>
      <c r="K1631">
        <v>8.9107068640221596E-2</v>
      </c>
      <c r="L1631">
        <v>1709.2735329135101</v>
      </c>
      <c r="M1631">
        <v>32.0819318666017</v>
      </c>
      <c r="N1631">
        <v>53.573408123234401</v>
      </c>
      <c r="O1631">
        <v>53.072658743874797</v>
      </c>
      <c r="P1631">
        <v>-0.13888656597104801</v>
      </c>
      <c r="Q1631">
        <v>8.0972715700048506E-2</v>
      </c>
      <c r="R1631">
        <v>0.999106945652947</v>
      </c>
      <c r="S1631" t="s">
        <v>8277</v>
      </c>
      <c r="T1631" t="s">
        <v>13290</v>
      </c>
      <c r="U1631" t="s">
        <v>13290</v>
      </c>
      <c r="V1631" t="s">
        <v>13290</v>
      </c>
      <c r="W1631" t="s">
        <v>14891</v>
      </c>
      <c r="X1631">
        <v>16</v>
      </c>
      <c r="Y1631" t="s">
        <v>21465</v>
      </c>
      <c r="Z1631" t="s">
        <v>27961</v>
      </c>
      <c r="AA1631">
        <v>0.49299077306010369</v>
      </c>
      <c r="AB1631" t="str">
        <f>HYPERLINK("Melting_Curves/meltCurve_O60825_2_PFKFB2.pdf", "Melting_Curves/meltCurve_O60825_2_PFKFB2.pdf")</f>
        <v>Melting_Curves/meltCurve_O60825_2_PFKFB2.pdf</v>
      </c>
    </row>
    <row r="1632" spans="1:28" x14ac:dyDescent="0.25">
      <c r="A1632" t="s">
        <v>1636</v>
      </c>
      <c r="B1632">
        <v>0.99252571173614901</v>
      </c>
      <c r="C1632">
        <v>1.0790561061789099</v>
      </c>
      <c r="D1632">
        <v>1.02764389385794</v>
      </c>
      <c r="E1632">
        <v>1.0369403016001999</v>
      </c>
      <c r="F1632">
        <v>0.92033344447288901</v>
      </c>
      <c r="G1632">
        <v>0.79836056000259104</v>
      </c>
      <c r="H1632">
        <v>0.79866006070739703</v>
      </c>
      <c r="I1632">
        <v>1.0677986554238199</v>
      </c>
      <c r="J1632">
        <v>1.7094510050635601</v>
      </c>
      <c r="K1632">
        <v>1.9580280710242599</v>
      </c>
      <c r="L1632">
        <v>15000</v>
      </c>
      <c r="M1632">
        <v>232.526455985388</v>
      </c>
      <c r="O1632">
        <v>64.504000786374704</v>
      </c>
      <c r="P1632">
        <v>0.45060460490974502</v>
      </c>
      <c r="Q1632">
        <v>1.5</v>
      </c>
      <c r="R1632">
        <v>0.73686495436674304</v>
      </c>
      <c r="S1632" t="s">
        <v>8278</v>
      </c>
      <c r="T1632" t="s">
        <v>13290</v>
      </c>
      <c r="U1632" t="s">
        <v>13290</v>
      </c>
      <c r="V1632" t="s">
        <v>13290</v>
      </c>
      <c r="W1632" t="s">
        <v>14892</v>
      </c>
      <c r="X1632">
        <v>12</v>
      </c>
      <c r="Y1632" t="s">
        <v>21466</v>
      </c>
      <c r="Z1632" t="s">
        <v>27962</v>
      </c>
      <c r="AA1632">
        <v>1.091454754220772</v>
      </c>
      <c r="AB1632" t="str">
        <f>HYPERLINK("Melting_Curves/meltCurve_O60828_PQBP1.pdf", "Melting_Curves/meltCurve_O60828_PQBP1.pdf")</f>
        <v>Melting_Curves/meltCurve_O60828_PQBP1.pdf</v>
      </c>
    </row>
    <row r="1633" spans="1:28" x14ac:dyDescent="0.25">
      <c r="A1633" t="s">
        <v>1637</v>
      </c>
      <c r="B1633">
        <v>0.99252571173614901</v>
      </c>
      <c r="C1633">
        <v>1.0534790810099399</v>
      </c>
      <c r="D1633">
        <v>0.93304696643136897</v>
      </c>
      <c r="E1633">
        <v>0.93444351687526594</v>
      </c>
      <c r="F1633">
        <v>0.87567580332079198</v>
      </c>
      <c r="G1633">
        <v>0.90246807127454498</v>
      </c>
      <c r="H1633">
        <v>1.1504734094281199</v>
      </c>
      <c r="I1633">
        <v>1.8593201239028401</v>
      </c>
      <c r="J1633">
        <v>2.0617056598130001</v>
      </c>
      <c r="K1633">
        <v>1.16138826954658</v>
      </c>
      <c r="L1633">
        <v>15000</v>
      </c>
      <c r="M1633">
        <v>245.86789864555999</v>
      </c>
      <c r="O1633">
        <v>61.004325627983199</v>
      </c>
      <c r="P1633">
        <v>0.50379186230122897</v>
      </c>
      <c r="Q1633">
        <v>1.5</v>
      </c>
      <c r="R1633">
        <v>0.62296457915383696</v>
      </c>
      <c r="S1633" t="s">
        <v>8279</v>
      </c>
      <c r="T1633" t="s">
        <v>13290</v>
      </c>
      <c r="U1633" t="s">
        <v>13290</v>
      </c>
      <c r="V1633" t="s">
        <v>13290</v>
      </c>
      <c r="W1633" t="s">
        <v>14893</v>
      </c>
      <c r="X1633">
        <v>3</v>
      </c>
      <c r="Y1633" t="s">
        <v>21467</v>
      </c>
      <c r="Z1633" t="s">
        <v>27963</v>
      </c>
      <c r="AA1633">
        <v>1.149805132488404</v>
      </c>
      <c r="AB1633" t="str">
        <f>HYPERLINK("Melting_Curves/meltCurve_O60830_TIMM17B.pdf", "Melting_Curves/meltCurve_O60830_TIMM17B.pdf")</f>
        <v>Melting_Curves/meltCurve_O60830_TIMM17B.pdf</v>
      </c>
    </row>
    <row r="1634" spans="1:28" x14ac:dyDescent="0.25">
      <c r="A1634" t="s">
        <v>1638</v>
      </c>
      <c r="B1634">
        <v>0.99252571173614901</v>
      </c>
      <c r="C1634">
        <v>1.0808962811703999</v>
      </c>
      <c r="D1634">
        <v>0.99841756153662498</v>
      </c>
      <c r="E1634">
        <v>0.92945851483632003</v>
      </c>
      <c r="F1634">
        <v>0.76766352731892296</v>
      </c>
      <c r="G1634">
        <v>0.38801816065344302</v>
      </c>
      <c r="H1634">
        <v>0.24486631927688299</v>
      </c>
      <c r="I1634">
        <v>0.28582720456620803</v>
      </c>
      <c r="J1634">
        <v>0.40792675847110099</v>
      </c>
      <c r="K1634">
        <v>0.28912936184212901</v>
      </c>
      <c r="L1634">
        <v>2191.31350295533</v>
      </c>
      <c r="M1634">
        <v>40.562854048932103</v>
      </c>
      <c r="N1634">
        <v>55.307273389401303</v>
      </c>
      <c r="O1634">
        <v>53.891857249145701</v>
      </c>
      <c r="P1634">
        <v>-0.13075779784394001</v>
      </c>
      <c r="Q1634">
        <v>0.30510143801678502</v>
      </c>
      <c r="R1634">
        <v>0.97641086315665804</v>
      </c>
      <c r="S1634" t="s">
        <v>8280</v>
      </c>
      <c r="T1634" t="s">
        <v>13290</v>
      </c>
      <c r="U1634" t="s">
        <v>13290</v>
      </c>
      <c r="V1634" t="s">
        <v>13290</v>
      </c>
      <c r="W1634" t="s">
        <v>14894</v>
      </c>
      <c r="X1634">
        <v>3</v>
      </c>
      <c r="Y1634" t="s">
        <v>21468</v>
      </c>
      <c r="Z1634" t="s">
        <v>27964</v>
      </c>
      <c r="AA1634">
        <v>0.63243065415839839</v>
      </c>
      <c r="AB1634" t="str">
        <f>HYPERLINK("Melting_Curves/meltCurve_O60831_PRAF2.pdf", "Melting_Curves/meltCurve_O60831_PRAF2.pdf")</f>
        <v>Melting_Curves/meltCurve_O60831_PRAF2.pdf</v>
      </c>
    </row>
    <row r="1635" spans="1:28" x14ac:dyDescent="0.25">
      <c r="A1635" t="s">
        <v>1639</v>
      </c>
      <c r="B1635">
        <v>0.99252571173614901</v>
      </c>
      <c r="C1635">
        <v>0.96967754891311997</v>
      </c>
      <c r="D1635">
        <v>0.96836775296348099</v>
      </c>
      <c r="E1635">
        <v>0.93583670933106999</v>
      </c>
      <c r="F1635">
        <v>0.76731064671289295</v>
      </c>
      <c r="G1635">
        <v>0.631758235743065</v>
      </c>
      <c r="H1635">
        <v>0.701734456235102</v>
      </c>
      <c r="I1635">
        <v>0.708824456957034</v>
      </c>
      <c r="J1635">
        <v>0.59560971827281906</v>
      </c>
      <c r="K1635">
        <v>0.34796929325780801</v>
      </c>
      <c r="L1635">
        <v>375.35551568723702</v>
      </c>
      <c r="M1635">
        <v>5.49083028408511</v>
      </c>
      <c r="N1635">
        <v>68.3604506026373</v>
      </c>
      <c r="O1635">
        <v>60.893998537843302</v>
      </c>
      <c r="P1635">
        <v>-2.26424479006203E-2</v>
      </c>
      <c r="Q1635">
        <v>0</v>
      </c>
      <c r="R1635">
        <v>0.85668656668781995</v>
      </c>
      <c r="S1635" t="s">
        <v>8281</v>
      </c>
      <c r="T1635" t="s">
        <v>13290</v>
      </c>
      <c r="U1635" t="s">
        <v>13290</v>
      </c>
      <c r="V1635" t="s">
        <v>13290</v>
      </c>
      <c r="W1635" t="s">
        <v>14895</v>
      </c>
      <c r="X1635">
        <v>18</v>
      </c>
      <c r="Y1635" t="s">
        <v>21469</v>
      </c>
      <c r="Z1635" t="s">
        <v>27965</v>
      </c>
      <c r="AA1635">
        <v>0.76704504108981486</v>
      </c>
      <c r="AB1635" t="str">
        <f>HYPERLINK("Melting_Curves/meltCurve_O60832_DKC1.pdf", "Melting_Curves/meltCurve_O60832_DKC1.pdf")</f>
        <v>Melting_Curves/meltCurve_O60832_DKC1.pdf</v>
      </c>
    </row>
    <row r="1636" spans="1:28" x14ac:dyDescent="0.25">
      <c r="A1636" t="s">
        <v>1640</v>
      </c>
      <c r="B1636">
        <v>0.99252571173614901</v>
      </c>
      <c r="C1636">
        <v>1.0781171345393099</v>
      </c>
      <c r="D1636">
        <v>0.95370972500678697</v>
      </c>
      <c r="E1636">
        <v>0.86347209222499199</v>
      </c>
      <c r="F1636">
        <v>0.38625494622101297</v>
      </c>
      <c r="G1636">
        <v>0.15329949820296199</v>
      </c>
      <c r="H1636">
        <v>0.122766101131289</v>
      </c>
      <c r="I1636">
        <v>0.13608153331426501</v>
      </c>
      <c r="J1636">
        <v>0.17130939047555199</v>
      </c>
      <c r="K1636">
        <v>0.177735478336076</v>
      </c>
      <c r="L1636">
        <v>1949.35419286811</v>
      </c>
      <c r="M1636">
        <v>37.625450231876599</v>
      </c>
      <c r="N1636">
        <v>52.291415463705597</v>
      </c>
      <c r="O1636">
        <v>51.6637559782518</v>
      </c>
      <c r="P1636">
        <v>-0.155393072005615</v>
      </c>
      <c r="Q1636">
        <v>0.14651721508114601</v>
      </c>
      <c r="R1636">
        <v>0.99298145155455697</v>
      </c>
      <c r="S1636" t="s">
        <v>8282</v>
      </c>
      <c r="T1636" t="s">
        <v>13290</v>
      </c>
      <c r="U1636" t="s">
        <v>13290</v>
      </c>
      <c r="V1636" t="s">
        <v>13290</v>
      </c>
      <c r="W1636" t="s">
        <v>14896</v>
      </c>
      <c r="X1636">
        <v>50</v>
      </c>
      <c r="Y1636" t="s">
        <v>21470</v>
      </c>
      <c r="Z1636" t="s">
        <v>27966</v>
      </c>
      <c r="AA1636">
        <v>0.4859449714612275</v>
      </c>
      <c r="AB1636" t="str">
        <f>HYPERLINK("Melting_Curves/meltCurve_O60841_EIF5B.pdf", "Melting_Curves/meltCurve_O60841_EIF5B.pdf")</f>
        <v>Melting_Curves/meltCurve_O60841_EIF5B.pdf</v>
      </c>
    </row>
    <row r="1637" spans="1:28" x14ac:dyDescent="0.25">
      <c r="A1637" t="s">
        <v>1641</v>
      </c>
      <c r="B1637">
        <v>0.99252571173614901</v>
      </c>
      <c r="C1637">
        <v>1.1284966543097401</v>
      </c>
      <c r="D1637">
        <v>1.02077416218432</v>
      </c>
      <c r="E1637">
        <v>1.0422189682636001</v>
      </c>
      <c r="F1637">
        <v>0.838681665483204</v>
      </c>
      <c r="G1637">
        <v>0.74415023138269698</v>
      </c>
      <c r="H1637">
        <v>0.832007836137306</v>
      </c>
      <c r="I1637">
        <v>1.2244474388728801</v>
      </c>
      <c r="J1637">
        <v>1.8811719754390801</v>
      </c>
      <c r="K1637">
        <v>1.96655886576467</v>
      </c>
      <c r="L1637">
        <v>15000</v>
      </c>
      <c r="M1637">
        <v>234.17014677305701</v>
      </c>
      <c r="O1637">
        <v>64.051315514385806</v>
      </c>
      <c r="P1637">
        <v>0.456997146187192</v>
      </c>
      <c r="Q1637">
        <v>1.5</v>
      </c>
      <c r="R1637">
        <v>0.69051645837813502</v>
      </c>
      <c r="S1637" t="s">
        <v>8283</v>
      </c>
      <c r="T1637" t="s">
        <v>13290</v>
      </c>
      <c r="U1637" t="s">
        <v>13290</v>
      </c>
      <c r="V1637" t="s">
        <v>13290</v>
      </c>
      <c r="W1637" t="s">
        <v>14897</v>
      </c>
      <c r="X1637">
        <v>20</v>
      </c>
      <c r="Y1637" t="s">
        <v>21471</v>
      </c>
      <c r="Z1637" t="s">
        <v>27967</v>
      </c>
      <c r="AA1637">
        <v>1.0990028077723839</v>
      </c>
      <c r="AB1637" t="str">
        <f>HYPERLINK("Melting_Curves/meltCurve_O60869_EDF1.pdf", "Melting_Curves/meltCurve_O60869_EDF1.pdf")</f>
        <v>Melting_Curves/meltCurve_O60869_EDF1.pdf</v>
      </c>
    </row>
    <row r="1638" spans="1:28" x14ac:dyDescent="0.25">
      <c r="A1638" t="s">
        <v>1642</v>
      </c>
      <c r="B1638">
        <v>0.99252571173614901</v>
      </c>
      <c r="C1638">
        <v>1.05990395728414</v>
      </c>
      <c r="D1638">
        <v>0.77661076383705097</v>
      </c>
      <c r="E1638">
        <v>0.32161274655455202</v>
      </c>
      <c r="F1638">
        <v>0.19675086105751799</v>
      </c>
      <c r="G1638">
        <v>0.10962038033213101</v>
      </c>
      <c r="H1638">
        <v>9.0480193837532003E-2</v>
      </c>
      <c r="I1638">
        <v>9.0503619172142599E-2</v>
      </c>
      <c r="J1638">
        <v>0.10691755858157299</v>
      </c>
      <c r="K1638">
        <v>9.8674418520569004E-2</v>
      </c>
      <c r="L1638">
        <v>1461.48322148631</v>
      </c>
      <c r="M1638">
        <v>30.565084651540701</v>
      </c>
      <c r="N1638">
        <v>48.190933973362696</v>
      </c>
      <c r="O1638">
        <v>47.612169377114597</v>
      </c>
      <c r="P1638">
        <v>-0.143485232145035</v>
      </c>
      <c r="Q1638">
        <v>0.10596002903587801</v>
      </c>
      <c r="R1638">
        <v>0.99221582720757495</v>
      </c>
      <c r="S1638" t="s">
        <v>8284</v>
      </c>
      <c r="T1638" t="s">
        <v>13290</v>
      </c>
      <c r="U1638" t="s">
        <v>13290</v>
      </c>
      <c r="V1638" t="s">
        <v>13290</v>
      </c>
      <c r="W1638" t="s">
        <v>14898</v>
      </c>
      <c r="X1638">
        <v>13</v>
      </c>
      <c r="Y1638" t="s">
        <v>21472</v>
      </c>
      <c r="Z1638" t="s">
        <v>27968</v>
      </c>
      <c r="AA1638">
        <v>0.34403761339086653</v>
      </c>
      <c r="AB1638" t="str">
        <f>HYPERLINK("Melting_Curves/meltCurve_O60870_KIN.pdf", "Melting_Curves/meltCurve_O60870_KIN.pdf")</f>
        <v>Melting_Curves/meltCurve_O60870_KIN.pdf</v>
      </c>
    </row>
    <row r="1639" spans="1:28" x14ac:dyDescent="0.25">
      <c r="A1639" t="s">
        <v>1643</v>
      </c>
      <c r="B1639">
        <v>0.99252571173614901</v>
      </c>
      <c r="C1639">
        <v>0.89839494020987798</v>
      </c>
      <c r="D1639">
        <v>0.97872759260042297</v>
      </c>
      <c r="E1639">
        <v>0.86223053110093595</v>
      </c>
      <c r="F1639">
        <v>0.54517729804823301</v>
      </c>
      <c r="G1639">
        <v>0.23529874084493699</v>
      </c>
      <c r="H1639">
        <v>0.100968075984236</v>
      </c>
      <c r="I1639">
        <v>9.7476932904143998E-2</v>
      </c>
      <c r="J1639">
        <v>0.116879735968451</v>
      </c>
      <c r="K1639">
        <v>0.118528829349901</v>
      </c>
      <c r="L1639">
        <v>1361.3785010725301</v>
      </c>
      <c r="M1639">
        <v>25.653025574664799</v>
      </c>
      <c r="N1639">
        <v>53.516729106734502</v>
      </c>
      <c r="O1639">
        <v>52.749586873333698</v>
      </c>
      <c r="P1639">
        <v>-0.109836826357001</v>
      </c>
      <c r="Q1639">
        <v>9.6593608756067595E-2</v>
      </c>
      <c r="R1639">
        <v>0.99184726835602899</v>
      </c>
      <c r="S1639" t="s">
        <v>8285</v>
      </c>
      <c r="T1639" t="s">
        <v>13290</v>
      </c>
      <c r="U1639" t="s">
        <v>13290</v>
      </c>
      <c r="V1639" t="s">
        <v>13290</v>
      </c>
      <c r="W1639" t="s">
        <v>14899</v>
      </c>
      <c r="X1639">
        <v>17</v>
      </c>
      <c r="Y1639" t="s">
        <v>21473</v>
      </c>
      <c r="Z1639" t="s">
        <v>27969</v>
      </c>
      <c r="AA1639">
        <v>0.49807301815634641</v>
      </c>
      <c r="AB1639" t="str">
        <f>HYPERLINK("Melting_Curves/meltCurve_O60884_DNAJA2.pdf", "Melting_Curves/meltCurve_O60884_DNAJA2.pdf")</f>
        <v>Melting_Curves/meltCurve_O60884_DNAJA2.pdf</v>
      </c>
    </row>
    <row r="1640" spans="1:28" x14ac:dyDescent="0.25">
      <c r="A1640" t="s">
        <v>1644</v>
      </c>
      <c r="B1640">
        <v>0.99252571173614901</v>
      </c>
      <c r="C1640">
        <v>0.89155760983669496</v>
      </c>
      <c r="D1640">
        <v>0.48610046203826202</v>
      </c>
      <c r="E1640">
        <v>0.26824687800027702</v>
      </c>
      <c r="F1640">
        <v>0.13904761473670599</v>
      </c>
      <c r="G1640">
        <v>9.0545820855675793E-2</v>
      </c>
      <c r="H1640">
        <v>7.2430252488096203E-2</v>
      </c>
      <c r="I1640">
        <v>8.6308378761247501E-2</v>
      </c>
      <c r="J1640">
        <v>0.116648198453455</v>
      </c>
      <c r="K1640">
        <v>0.14946873963093299</v>
      </c>
      <c r="L1640">
        <v>1153.00460511344</v>
      </c>
      <c r="M1640">
        <v>25.1931662874632</v>
      </c>
      <c r="N1640">
        <v>46.2119257841495</v>
      </c>
      <c r="O1640">
        <v>45.481115302842703</v>
      </c>
      <c r="P1640">
        <v>-0.123556879819607</v>
      </c>
      <c r="Q1640">
        <v>0.107784643904838</v>
      </c>
      <c r="R1640">
        <v>0.99125809876045701</v>
      </c>
      <c r="S1640" t="s">
        <v>8286</v>
      </c>
      <c r="T1640" t="s">
        <v>13290</v>
      </c>
      <c r="U1640" t="s">
        <v>13290</v>
      </c>
      <c r="V1640" t="s">
        <v>13290</v>
      </c>
      <c r="W1640" t="s">
        <v>14900</v>
      </c>
      <c r="X1640">
        <v>17</v>
      </c>
      <c r="Y1640" t="s">
        <v>21474</v>
      </c>
      <c r="Z1640" t="s">
        <v>27970</v>
      </c>
      <c r="AA1640">
        <v>0.28748821262158342</v>
      </c>
      <c r="AB1640" t="str">
        <f>HYPERLINK("Melting_Curves/meltCurve_O60885_BRD4.pdf", "Melting_Curves/meltCurve_O60885_BRD4.pdf")</f>
        <v>Melting_Curves/meltCurve_O60885_BRD4.pdf</v>
      </c>
    </row>
    <row r="1641" spans="1:28" x14ac:dyDescent="0.25">
      <c r="A1641" t="s">
        <v>1645</v>
      </c>
      <c r="B1641">
        <v>0.99252571173614901</v>
      </c>
      <c r="C1641">
        <v>1.09706809992281</v>
      </c>
      <c r="D1641">
        <v>0.88305633754632196</v>
      </c>
      <c r="E1641">
        <v>0.77719656446157104</v>
      </c>
      <c r="F1641">
        <v>0.66395148582564201</v>
      </c>
      <c r="G1641">
        <v>0.55784432998072997</v>
      </c>
      <c r="H1641">
        <v>0.486116746574976</v>
      </c>
      <c r="I1641">
        <v>0.55642251822171795</v>
      </c>
      <c r="J1641">
        <v>0.67520947437363499</v>
      </c>
      <c r="K1641">
        <v>0.68571578265571598</v>
      </c>
      <c r="L1641">
        <v>1261.4452518216499</v>
      </c>
      <c r="M1641">
        <v>25.788346085563902</v>
      </c>
      <c r="O1641">
        <v>48.624005795178903</v>
      </c>
      <c r="P1641">
        <v>-5.3743704721005398E-2</v>
      </c>
      <c r="Q1641">
        <v>0.59466895733468605</v>
      </c>
      <c r="R1641">
        <v>0.87154419899938695</v>
      </c>
      <c r="S1641" t="s">
        <v>8287</v>
      </c>
      <c r="T1641" t="s">
        <v>13290</v>
      </c>
      <c r="U1641" t="s">
        <v>13290</v>
      </c>
      <c r="V1641" t="s">
        <v>13290</v>
      </c>
      <c r="W1641" t="s">
        <v>14901</v>
      </c>
      <c r="X1641">
        <v>7</v>
      </c>
      <c r="Y1641" t="s">
        <v>20177</v>
      </c>
      <c r="Z1641" t="s">
        <v>27971</v>
      </c>
      <c r="AA1641">
        <v>0.71849119067638156</v>
      </c>
      <c r="AB1641" t="str">
        <f>HYPERLINK("Melting_Curves/meltCurve_O60888_3_CUTA.pdf", "Melting_Curves/meltCurve_O60888_3_CUTA.pdf")</f>
        <v>Melting_Curves/meltCurve_O60888_3_CUTA.pdf</v>
      </c>
    </row>
    <row r="1642" spans="1:28" x14ac:dyDescent="0.25">
      <c r="A1642" t="s">
        <v>1646</v>
      </c>
      <c r="B1642">
        <v>0.99252571173614901</v>
      </c>
      <c r="C1642">
        <v>0.987446311345065</v>
      </c>
      <c r="D1642">
        <v>0.93411402853680203</v>
      </c>
      <c r="E1642">
        <v>0.97249981336028202</v>
      </c>
      <c r="F1642">
        <v>0.56490063490764597</v>
      </c>
      <c r="G1642">
        <v>0.39574512390071098</v>
      </c>
      <c r="H1642">
        <v>0.28032615735586802</v>
      </c>
      <c r="I1642">
        <v>0.25283047125088098</v>
      </c>
      <c r="J1642">
        <v>0.238656706599496</v>
      </c>
      <c r="K1642">
        <v>0.18381189377260401</v>
      </c>
      <c r="L1642">
        <v>1398.8131964259001</v>
      </c>
      <c r="M1642">
        <v>26.2838737795255</v>
      </c>
      <c r="N1642">
        <v>54.514717085143403</v>
      </c>
      <c r="O1642">
        <v>52.914244194035298</v>
      </c>
      <c r="P1642">
        <v>-9.5342997865700996E-2</v>
      </c>
      <c r="Q1642">
        <v>0.232236904601444</v>
      </c>
      <c r="R1642">
        <v>0.98610146386625797</v>
      </c>
      <c r="S1642" t="s">
        <v>8288</v>
      </c>
      <c r="T1642" t="s">
        <v>13290</v>
      </c>
      <c r="U1642" t="s">
        <v>13290</v>
      </c>
      <c r="V1642" t="s">
        <v>13290</v>
      </c>
      <c r="W1642" t="s">
        <v>14902</v>
      </c>
      <c r="X1642">
        <v>6</v>
      </c>
      <c r="Y1642" t="s">
        <v>21475</v>
      </c>
      <c r="Z1642" t="s">
        <v>27972</v>
      </c>
      <c r="AA1642">
        <v>0.57699320304837609</v>
      </c>
      <c r="AB1642" t="str">
        <f>HYPERLINK("Melting_Curves/meltCurve_O60906_SMPD2.pdf", "Melting_Curves/meltCurve_O60906_SMPD2.pdf")</f>
        <v>Melting_Curves/meltCurve_O60906_SMPD2.pdf</v>
      </c>
    </row>
    <row r="1643" spans="1:28" x14ac:dyDescent="0.25">
      <c r="A1643" t="s">
        <v>1647</v>
      </c>
      <c r="B1643">
        <v>0.99252571173614901</v>
      </c>
      <c r="C1643">
        <v>1.0674992181213401</v>
      </c>
      <c r="D1643">
        <v>1.0128362226752501</v>
      </c>
      <c r="E1643">
        <v>0.825579543384379</v>
      </c>
      <c r="F1643">
        <v>0.72543327173837702</v>
      </c>
      <c r="G1643">
        <v>0.45754761556346102</v>
      </c>
      <c r="H1643">
        <v>0.34993377644955798</v>
      </c>
      <c r="I1643">
        <v>0.45390946010636601</v>
      </c>
      <c r="J1643">
        <v>0.65886967484078596</v>
      </c>
      <c r="K1643">
        <v>0.80884670273352099</v>
      </c>
      <c r="L1643">
        <v>1589.7655048624899</v>
      </c>
      <c r="M1643">
        <v>31.1985915012799</v>
      </c>
      <c r="O1643">
        <v>50.748342753099102</v>
      </c>
      <c r="P1643">
        <v>-6.8731537791541994E-2</v>
      </c>
      <c r="Q1643">
        <v>0.55280134494032196</v>
      </c>
      <c r="R1643">
        <v>0.73185606665907599</v>
      </c>
      <c r="S1643" t="s">
        <v>8289</v>
      </c>
      <c r="T1643" t="s">
        <v>13290</v>
      </c>
      <c r="U1643" t="s">
        <v>13290</v>
      </c>
      <c r="V1643" t="s">
        <v>13290</v>
      </c>
      <c r="W1643" t="s">
        <v>14903</v>
      </c>
      <c r="X1643">
        <v>2</v>
      </c>
      <c r="Y1643" t="s">
        <v>21476</v>
      </c>
      <c r="Z1643" t="s">
        <v>27973</v>
      </c>
      <c r="AA1643">
        <v>0.71872049969815721</v>
      </c>
      <c r="AB1643" t="str">
        <f>HYPERLINK("Melting_Curves/meltCurve_O60911_CTSL2.pdf", "Melting_Curves/meltCurve_O60911_CTSL2.pdf")</f>
        <v>Melting_Curves/meltCurve_O60911_CTSL2.pdf</v>
      </c>
    </row>
    <row r="1644" spans="1:28" x14ac:dyDescent="0.25">
      <c r="A1644" t="s">
        <v>1648</v>
      </c>
      <c r="B1644">
        <v>0.99252571173614901</v>
      </c>
      <c r="C1644">
        <v>1.07277744490611</v>
      </c>
      <c r="D1644">
        <v>1.0738881305243699</v>
      </c>
      <c r="E1644">
        <v>1.23340347141607</v>
      </c>
      <c r="F1644">
        <v>0.92895313508079702</v>
      </c>
      <c r="G1644">
        <v>0.68281964321421496</v>
      </c>
      <c r="H1644">
        <v>0.40764390195447497</v>
      </c>
      <c r="I1644">
        <v>0.33087817200212699</v>
      </c>
      <c r="J1644">
        <v>0.42858471535220899</v>
      </c>
      <c r="K1644">
        <v>0.45781625067722997</v>
      </c>
      <c r="L1644">
        <v>2586.17866705815</v>
      </c>
      <c r="M1644">
        <v>45.717466941425499</v>
      </c>
      <c r="N1644">
        <v>58.641078040549701</v>
      </c>
      <c r="O1644">
        <v>56.460804825060301</v>
      </c>
      <c r="P1644">
        <v>-0.121333048095823</v>
      </c>
      <c r="Q1644">
        <v>0.40061830378729502</v>
      </c>
      <c r="R1644">
        <v>0.92438735697358798</v>
      </c>
      <c r="S1644" t="s">
        <v>8290</v>
      </c>
      <c r="T1644" t="s">
        <v>13290</v>
      </c>
      <c r="U1644" t="s">
        <v>13290</v>
      </c>
      <c r="V1644" t="s">
        <v>13290</v>
      </c>
      <c r="W1644" t="s">
        <v>14904</v>
      </c>
      <c r="X1644">
        <v>11</v>
      </c>
      <c r="Y1644" t="s">
        <v>21477</v>
      </c>
      <c r="Z1644" t="s">
        <v>27974</v>
      </c>
      <c r="AA1644">
        <v>0.73343597016212059</v>
      </c>
      <c r="AB1644" t="str">
        <f>HYPERLINK("Melting_Curves/meltCurve_O60925_PFDN1.pdf", "Melting_Curves/meltCurve_O60925_PFDN1.pdf")</f>
        <v>Melting_Curves/meltCurve_O60925_PFDN1.pdf</v>
      </c>
    </row>
    <row r="1645" spans="1:28" x14ac:dyDescent="0.25">
      <c r="A1645" t="s">
        <v>1649</v>
      </c>
      <c r="B1645">
        <v>0.99252571173614901</v>
      </c>
      <c r="C1645">
        <v>1.1269101773677701</v>
      </c>
      <c r="D1645">
        <v>0.97769241096288695</v>
      </c>
      <c r="E1645">
        <v>0.98933975923154505</v>
      </c>
      <c r="F1645">
        <v>0.76255962096387497</v>
      </c>
      <c r="G1645">
        <v>0.55834508691274998</v>
      </c>
      <c r="H1645">
        <v>0.57943755776220696</v>
      </c>
      <c r="I1645">
        <v>0.75607019796998098</v>
      </c>
      <c r="J1645">
        <v>0.99916049105548199</v>
      </c>
      <c r="K1645">
        <v>1.03996842698416</v>
      </c>
      <c r="L1645">
        <v>12547.061964181999</v>
      </c>
      <c r="M1645">
        <v>250</v>
      </c>
      <c r="O1645">
        <v>50.185036156084799</v>
      </c>
      <c r="P1645">
        <v>-0.270760230328697</v>
      </c>
      <c r="Q1645">
        <v>0.78259020913809896</v>
      </c>
      <c r="R1645">
        <v>0.37829270291828299</v>
      </c>
      <c r="S1645" t="s">
        <v>8291</v>
      </c>
      <c r="T1645" t="s">
        <v>13290</v>
      </c>
      <c r="U1645" t="s">
        <v>13290</v>
      </c>
      <c r="V1645" t="s">
        <v>13290</v>
      </c>
      <c r="W1645" t="s">
        <v>14905</v>
      </c>
      <c r="X1645">
        <v>7</v>
      </c>
      <c r="Y1645" t="s">
        <v>21478</v>
      </c>
      <c r="Z1645" t="s">
        <v>27975</v>
      </c>
      <c r="AA1645">
        <v>0.85644351969686661</v>
      </c>
      <c r="AB1645" t="str">
        <f>HYPERLINK("Melting_Curves/meltCurve_O60927_PPP1R11.pdf", "Melting_Curves/meltCurve_O60927_PPP1R11.pdf")</f>
        <v>Melting_Curves/meltCurve_O60927_PPP1R11.pdf</v>
      </c>
    </row>
    <row r="1646" spans="1:28" x14ac:dyDescent="0.25">
      <c r="A1646" t="s">
        <v>1650</v>
      </c>
      <c r="B1646">
        <v>0.99252571173614901</v>
      </c>
      <c r="C1646">
        <v>0.89201453060194202</v>
      </c>
      <c r="D1646">
        <v>0.900859368677418</v>
      </c>
      <c r="E1646">
        <v>0.42634279617355503</v>
      </c>
      <c r="F1646">
        <v>0.146555580863622</v>
      </c>
      <c r="G1646">
        <v>9.8371344952517203E-2</v>
      </c>
      <c r="H1646">
        <v>7.9190284410311604E-2</v>
      </c>
      <c r="I1646">
        <v>0.101326890841797</v>
      </c>
      <c r="J1646">
        <v>0.15943966177334101</v>
      </c>
      <c r="K1646">
        <v>0.15083351093644901</v>
      </c>
      <c r="L1646">
        <v>1645.81562344042</v>
      </c>
      <c r="M1646">
        <v>33.810738147254099</v>
      </c>
      <c r="N1646">
        <v>49.052650163099401</v>
      </c>
      <c r="O1646">
        <v>48.507987780988799</v>
      </c>
      <c r="P1646">
        <v>-0.154392892189747</v>
      </c>
      <c r="Q1646">
        <v>0.11397910988504199</v>
      </c>
      <c r="R1646">
        <v>0.98818172213876598</v>
      </c>
      <c r="S1646" t="s">
        <v>8292</v>
      </c>
      <c r="T1646" t="s">
        <v>13290</v>
      </c>
      <c r="U1646" t="s">
        <v>13290</v>
      </c>
      <c r="V1646" t="s">
        <v>13290</v>
      </c>
      <c r="W1646" t="s">
        <v>14906</v>
      </c>
      <c r="X1646">
        <v>16</v>
      </c>
      <c r="Y1646" t="s">
        <v>21479</v>
      </c>
      <c r="Z1646" t="s">
        <v>27976</v>
      </c>
      <c r="AA1646">
        <v>0.37445829117596752</v>
      </c>
      <c r="AB1646" t="str">
        <f>HYPERLINK("Melting_Curves/meltCurve_O60934_NBN.pdf", "Melting_Curves/meltCurve_O60934_NBN.pdf")</f>
        <v>Melting_Curves/meltCurve_O60934_NBN.pdf</v>
      </c>
    </row>
    <row r="1647" spans="1:28" x14ac:dyDescent="0.25">
      <c r="A1647" t="s">
        <v>1651</v>
      </c>
      <c r="B1647">
        <v>0.99252571173614901</v>
      </c>
      <c r="C1647">
        <v>0.98086573637764596</v>
      </c>
      <c r="D1647">
        <v>0.85340632589654897</v>
      </c>
      <c r="E1647">
        <v>0.39946663679028999</v>
      </c>
      <c r="F1647">
        <v>0.15433953875739201</v>
      </c>
      <c r="G1647">
        <v>8.0963903731930104E-2</v>
      </c>
      <c r="H1647">
        <v>6.5397056746440196E-2</v>
      </c>
      <c r="I1647">
        <v>6.76887383584929E-2</v>
      </c>
      <c r="J1647">
        <v>7.94995353059193E-2</v>
      </c>
      <c r="K1647">
        <v>7.31045920971055E-2</v>
      </c>
      <c r="L1647">
        <v>1404.8591902533601</v>
      </c>
      <c r="M1647">
        <v>28.900737185085202</v>
      </c>
      <c r="N1647">
        <v>48.870040024538298</v>
      </c>
      <c r="O1647">
        <v>48.378838033039798</v>
      </c>
      <c r="P1647">
        <v>-0.13869556685880599</v>
      </c>
      <c r="Q1647">
        <v>7.1320298637522497E-2</v>
      </c>
      <c r="R1647">
        <v>0.99972056014951605</v>
      </c>
      <c r="S1647" t="s">
        <v>8293</v>
      </c>
      <c r="T1647" t="s">
        <v>13290</v>
      </c>
      <c r="U1647" t="s">
        <v>13290</v>
      </c>
      <c r="V1647" t="s">
        <v>13290</v>
      </c>
      <c r="W1647" t="s">
        <v>14907</v>
      </c>
      <c r="X1647">
        <v>14</v>
      </c>
      <c r="Y1647" t="s">
        <v>21480</v>
      </c>
      <c r="Z1647" t="s">
        <v>27977</v>
      </c>
      <c r="AA1647">
        <v>0.34392292937412289</v>
      </c>
      <c r="AB1647" t="str">
        <f>HYPERLINK("Melting_Curves/meltCurve_O60942_RNGTT.pdf", "Melting_Curves/meltCurve_O60942_RNGTT.pdf")</f>
        <v>Melting_Curves/meltCurve_O60942_RNGTT.pdf</v>
      </c>
    </row>
    <row r="1648" spans="1:28" x14ac:dyDescent="0.25">
      <c r="A1648" t="s">
        <v>1652</v>
      </c>
      <c r="B1648">
        <v>0.99252571173614901</v>
      </c>
      <c r="C1648">
        <v>0.885897078136205</v>
      </c>
      <c r="D1648">
        <v>0.79573449466008295</v>
      </c>
      <c r="E1648">
        <v>0.71208419981797699</v>
      </c>
      <c r="F1648">
        <v>0.48627964546632801</v>
      </c>
      <c r="G1648">
        <v>0.197889873264495</v>
      </c>
      <c r="H1648">
        <v>0.106522892708631</v>
      </c>
      <c r="I1648">
        <v>8.8245740165686898E-2</v>
      </c>
      <c r="J1648">
        <v>0.10533811448830201</v>
      </c>
      <c r="K1648">
        <v>8.7327955572720301E-2</v>
      </c>
      <c r="L1648">
        <v>692.94716164367105</v>
      </c>
      <c r="M1648">
        <v>13.3566396011371</v>
      </c>
      <c r="N1648">
        <v>52.109665466167399</v>
      </c>
      <c r="O1648">
        <v>50.758794170690599</v>
      </c>
      <c r="P1648">
        <v>-6.3917412108301694E-2</v>
      </c>
      <c r="Q1648">
        <v>2.8541574260706502E-2</v>
      </c>
      <c r="R1648">
        <v>0.98398117012833397</v>
      </c>
      <c r="S1648" t="s">
        <v>8294</v>
      </c>
      <c r="T1648" t="s">
        <v>13290</v>
      </c>
      <c r="U1648" t="s">
        <v>13290</v>
      </c>
      <c r="V1648" t="s">
        <v>13290</v>
      </c>
      <c r="W1648" t="s">
        <v>14908</v>
      </c>
      <c r="X1648">
        <v>21</v>
      </c>
      <c r="Y1648" t="s">
        <v>21481</v>
      </c>
      <c r="Z1648" t="s">
        <v>27978</v>
      </c>
      <c r="AA1648">
        <v>0.43915249507120652</v>
      </c>
      <c r="AB1648" t="str">
        <f>HYPERLINK("Melting_Curves/meltCurve_O75027_ABCB7.pdf", "Melting_Curves/meltCurve_O75027_ABCB7.pdf")</f>
        <v>Melting_Curves/meltCurve_O75027_ABCB7.pdf</v>
      </c>
    </row>
    <row r="1649" spans="1:28" x14ac:dyDescent="0.25">
      <c r="A1649" t="s">
        <v>1653</v>
      </c>
      <c r="B1649">
        <v>0.99252571173614901</v>
      </c>
      <c r="C1649">
        <v>0.93158247136923999</v>
      </c>
      <c r="D1649">
        <v>0.666895106268663</v>
      </c>
      <c r="E1649">
        <v>0.543756902194097</v>
      </c>
      <c r="F1649">
        <v>0.23070638664900101</v>
      </c>
      <c r="G1649">
        <v>0.121227585515397</v>
      </c>
      <c r="H1649">
        <v>9.4755108173166805E-2</v>
      </c>
      <c r="I1649">
        <v>0.12981404121219001</v>
      </c>
      <c r="J1649">
        <v>0.15238814417598401</v>
      </c>
      <c r="K1649">
        <v>0.13091151934447201</v>
      </c>
      <c r="L1649">
        <v>830.25280476578905</v>
      </c>
      <c r="M1649">
        <v>17.165632585829599</v>
      </c>
      <c r="N1649">
        <v>49.041674663529001</v>
      </c>
      <c r="O1649">
        <v>47.725056355815099</v>
      </c>
      <c r="P1649">
        <v>-8.0469374023965604E-2</v>
      </c>
      <c r="Q1649">
        <v>0.10514773021731801</v>
      </c>
      <c r="R1649">
        <v>0.98243437458492899</v>
      </c>
      <c r="S1649" t="s">
        <v>8295</v>
      </c>
      <c r="T1649" t="s">
        <v>13290</v>
      </c>
      <c r="U1649" t="s">
        <v>13290</v>
      </c>
      <c r="V1649" t="s">
        <v>13290</v>
      </c>
      <c r="W1649" t="s">
        <v>14909</v>
      </c>
      <c r="X1649">
        <v>8</v>
      </c>
      <c r="Y1649" t="s">
        <v>21482</v>
      </c>
      <c r="Z1649" t="s">
        <v>27979</v>
      </c>
      <c r="AA1649">
        <v>0.37204300237393118</v>
      </c>
      <c r="AB1649" t="str">
        <f>HYPERLINK("Melting_Curves/meltCurve_O75044_SRGAP2.pdf", "Melting_Curves/meltCurve_O75044_SRGAP2.pdf")</f>
        <v>Melting_Curves/meltCurve_O75044_SRGAP2.pdf</v>
      </c>
    </row>
    <row r="1650" spans="1:28" x14ac:dyDescent="0.25">
      <c r="A1650" t="s">
        <v>1654</v>
      </c>
      <c r="B1650">
        <v>0.99252571173614901</v>
      </c>
      <c r="C1650">
        <v>1.13786621025826</v>
      </c>
      <c r="D1650">
        <v>1.0429357344980501</v>
      </c>
      <c r="E1650">
        <v>1.1206298061158499</v>
      </c>
      <c r="F1650">
        <v>0.51382021523403398</v>
      </c>
      <c r="G1650">
        <v>0.16165477197815101</v>
      </c>
      <c r="H1650">
        <v>7.7642806359055502E-2</v>
      </c>
      <c r="I1650">
        <v>0.110149166862999</v>
      </c>
      <c r="J1650">
        <v>0.103951618759288</v>
      </c>
      <c r="K1650">
        <v>0.122562619092593</v>
      </c>
      <c r="L1650">
        <v>8600.7389153453696</v>
      </c>
      <c r="M1650">
        <v>161.86651196499599</v>
      </c>
      <c r="N1650">
        <v>53.220852126150199</v>
      </c>
      <c r="O1650">
        <v>53.126654182739699</v>
      </c>
      <c r="P1650">
        <v>-0.67396383753989897</v>
      </c>
      <c r="Q1650">
        <v>0.11518589023292999</v>
      </c>
      <c r="R1650">
        <v>0.98094621993893005</v>
      </c>
      <c r="S1650" t="s">
        <v>8296</v>
      </c>
      <c r="T1650" t="s">
        <v>13290</v>
      </c>
      <c r="U1650" t="s">
        <v>13290</v>
      </c>
      <c r="V1650" t="s">
        <v>13290</v>
      </c>
      <c r="W1650" t="s">
        <v>14910</v>
      </c>
      <c r="X1650">
        <v>5</v>
      </c>
      <c r="Y1650" t="s">
        <v>21483</v>
      </c>
      <c r="Z1650" t="s">
        <v>27980</v>
      </c>
      <c r="AA1650">
        <v>0.50277692197812895</v>
      </c>
      <c r="AB1650" t="str">
        <f>HYPERLINK("Melting_Curves/meltCurve_O75051_PLXNA2.pdf", "Melting_Curves/meltCurve_O75051_PLXNA2.pdf")</f>
        <v>Melting_Curves/meltCurve_O75051_PLXNA2.pdf</v>
      </c>
    </row>
    <row r="1651" spans="1:28" x14ac:dyDescent="0.25">
      <c r="A1651" t="s">
        <v>1655</v>
      </c>
      <c r="B1651">
        <v>0.99252571173614901</v>
      </c>
      <c r="C1651">
        <v>0.92501023305338803</v>
      </c>
      <c r="D1651">
        <v>0.97960630379339797</v>
      </c>
      <c r="E1651">
        <v>1.03029535430414</v>
      </c>
      <c r="F1651">
        <v>0.65844850157740198</v>
      </c>
      <c r="G1651">
        <v>0.29600603847344897</v>
      </c>
      <c r="H1651">
        <v>0.207778479056902</v>
      </c>
      <c r="I1651">
        <v>0.22179461163592601</v>
      </c>
      <c r="J1651">
        <v>0.28670402449036603</v>
      </c>
      <c r="K1651">
        <v>0.21572177151483701</v>
      </c>
      <c r="L1651">
        <v>2741.6706012346399</v>
      </c>
      <c r="M1651">
        <v>51.2885555075258</v>
      </c>
      <c r="N1651">
        <v>54.135921758559</v>
      </c>
      <c r="O1651">
        <v>53.3747275839022</v>
      </c>
      <c r="P1651">
        <v>-0.183176165662636</v>
      </c>
      <c r="Q1651">
        <v>0.23749317423819799</v>
      </c>
      <c r="R1651">
        <v>0.98958970497409704</v>
      </c>
      <c r="S1651" t="s">
        <v>8297</v>
      </c>
      <c r="T1651" t="s">
        <v>13290</v>
      </c>
      <c r="U1651" t="s">
        <v>13290</v>
      </c>
      <c r="V1651" t="s">
        <v>13290</v>
      </c>
      <c r="W1651" t="s">
        <v>14911</v>
      </c>
      <c r="X1651">
        <v>17</v>
      </c>
      <c r="Y1651" t="s">
        <v>21484</v>
      </c>
      <c r="Z1651" t="s">
        <v>27981</v>
      </c>
      <c r="AA1651">
        <v>0.58120575183503875</v>
      </c>
      <c r="AB1651" t="str">
        <f>HYPERLINK("Melting_Curves/meltCurve_O75054_IGSF3.pdf", "Melting_Curves/meltCurve_O75054_IGSF3.pdf")</f>
        <v>Melting_Curves/meltCurve_O75054_IGSF3.pdf</v>
      </c>
    </row>
    <row r="1652" spans="1:28" x14ac:dyDescent="0.25">
      <c r="A1652" t="s">
        <v>1656</v>
      </c>
      <c r="B1652">
        <v>0.99252571173614901</v>
      </c>
      <c r="C1652">
        <v>0.90506381438527705</v>
      </c>
      <c r="D1652">
        <v>0.77043426219687905</v>
      </c>
      <c r="E1652">
        <v>0.54762629003561503</v>
      </c>
      <c r="F1652">
        <v>0.21162726719856301</v>
      </c>
      <c r="G1652">
        <v>0.13465432701972399</v>
      </c>
      <c r="H1652">
        <v>0.11051205169306</v>
      </c>
      <c r="I1652">
        <v>0.163156275295746</v>
      </c>
      <c r="J1652">
        <v>0.21880400692892499</v>
      </c>
      <c r="K1652">
        <v>0.20571280197334699</v>
      </c>
      <c r="L1652">
        <v>1029.96073023999</v>
      </c>
      <c r="M1652">
        <v>21.235331209594001</v>
      </c>
      <c r="N1652">
        <v>49.352095972042299</v>
      </c>
      <c r="O1652">
        <v>48.078245844126201</v>
      </c>
      <c r="P1652">
        <v>-9.3513297319726504E-2</v>
      </c>
      <c r="Q1652">
        <v>0.153139740060626</v>
      </c>
      <c r="R1652">
        <v>0.97858886210440998</v>
      </c>
      <c r="S1652" t="s">
        <v>8298</v>
      </c>
      <c r="T1652" t="s">
        <v>13290</v>
      </c>
      <c r="U1652" t="s">
        <v>13290</v>
      </c>
      <c r="V1652" t="s">
        <v>13290</v>
      </c>
      <c r="W1652" t="s">
        <v>14912</v>
      </c>
      <c r="X1652">
        <v>3</v>
      </c>
      <c r="Y1652" t="s">
        <v>21485</v>
      </c>
      <c r="Z1652" t="s">
        <v>27982</v>
      </c>
      <c r="AA1652">
        <v>0.40367795006316598</v>
      </c>
      <c r="AB1652" t="str">
        <f>HYPERLINK("Melting_Curves/meltCurve_O75063_FAM20B.pdf", "Melting_Curves/meltCurve_O75063_FAM20B.pdf")</f>
        <v>Melting_Curves/meltCurve_O75063_FAM20B.pdf</v>
      </c>
    </row>
    <row r="1653" spans="1:28" x14ac:dyDescent="0.25">
      <c r="A1653" t="s">
        <v>1657</v>
      </c>
      <c r="B1653">
        <v>0.99252571173614901</v>
      </c>
      <c r="C1653">
        <v>0.989362418024892</v>
      </c>
      <c r="D1653">
        <v>0.96176769108273197</v>
      </c>
      <c r="E1653">
        <v>0.85469392014030399</v>
      </c>
      <c r="F1653">
        <v>0.80311464205569205</v>
      </c>
      <c r="G1653">
        <v>0.47725556390700702</v>
      </c>
      <c r="H1653">
        <v>0.42512327759507801</v>
      </c>
      <c r="I1653">
        <v>0.391160939667203</v>
      </c>
      <c r="J1653">
        <v>0.57791074267263998</v>
      </c>
      <c r="K1653">
        <v>0.41339858658404199</v>
      </c>
      <c r="L1653">
        <v>1397.2152037471899</v>
      </c>
      <c r="M1653">
        <v>26.1836257281957</v>
      </c>
      <c r="N1653">
        <v>58.006321627576803</v>
      </c>
      <c r="O1653">
        <v>53.053829132999098</v>
      </c>
      <c r="P1653">
        <v>-6.9274127250163603E-2</v>
      </c>
      <c r="Q1653">
        <v>0.43854733914634297</v>
      </c>
      <c r="R1653">
        <v>0.93346642028035798</v>
      </c>
      <c r="S1653" t="s">
        <v>8299</v>
      </c>
      <c r="T1653" t="s">
        <v>13290</v>
      </c>
      <c r="U1653" t="s">
        <v>13290</v>
      </c>
      <c r="V1653" t="s">
        <v>13290</v>
      </c>
      <c r="W1653" t="s">
        <v>14913</v>
      </c>
      <c r="X1653">
        <v>2</v>
      </c>
      <c r="Y1653" t="s">
        <v>21486</v>
      </c>
      <c r="Z1653" t="s">
        <v>27983</v>
      </c>
      <c r="AA1653">
        <v>0.69337304043727721</v>
      </c>
      <c r="AB1653" t="str">
        <f>HYPERLINK("Melting_Curves/meltCurve_O75071_EFCAB14.pdf", "Melting_Curves/meltCurve_O75071_EFCAB14.pdf")</f>
        <v>Melting_Curves/meltCurve_O75071_EFCAB14.pdf</v>
      </c>
    </row>
    <row r="1654" spans="1:28" x14ac:dyDescent="0.25">
      <c r="A1654" t="s">
        <v>1658</v>
      </c>
      <c r="B1654">
        <v>0.99252571173614901</v>
      </c>
      <c r="C1654">
        <v>0.90530170931301701</v>
      </c>
      <c r="D1654">
        <v>0.86271772363237598</v>
      </c>
      <c r="E1654">
        <v>0.83908683873793999</v>
      </c>
      <c r="F1654">
        <v>0.41669000858876398</v>
      </c>
      <c r="G1654">
        <v>0.105022862344213</v>
      </c>
      <c r="H1654">
        <v>6.5179052591913103E-2</v>
      </c>
      <c r="I1654">
        <v>6.1855990140911497E-2</v>
      </c>
      <c r="J1654">
        <v>6.8550125781218593E-2</v>
      </c>
      <c r="K1654">
        <v>6.80427159621462E-2</v>
      </c>
      <c r="L1654">
        <v>1425.7159240528599</v>
      </c>
      <c r="M1654">
        <v>27.324280994881999</v>
      </c>
      <c r="N1654">
        <v>52.388894667635199</v>
      </c>
      <c r="O1654">
        <v>51.900549183385202</v>
      </c>
      <c r="P1654">
        <v>-0.124753115942436</v>
      </c>
      <c r="Q1654">
        <v>5.2169912690546397E-2</v>
      </c>
      <c r="R1654">
        <v>0.98418357227164099</v>
      </c>
      <c r="S1654" t="s">
        <v>8300</v>
      </c>
      <c r="T1654" t="s">
        <v>13290</v>
      </c>
      <c r="U1654" t="s">
        <v>13290</v>
      </c>
      <c r="V1654" t="s">
        <v>13290</v>
      </c>
      <c r="W1654" t="s">
        <v>14914</v>
      </c>
      <c r="X1654">
        <v>32</v>
      </c>
      <c r="Y1654" t="s">
        <v>21487</v>
      </c>
      <c r="Z1654" t="s">
        <v>27984</v>
      </c>
      <c r="AA1654">
        <v>0.44421105279277601</v>
      </c>
      <c r="AB1654" t="str">
        <f>HYPERLINK("Melting_Curves/meltCurve_O75083_WDR1.pdf", "Melting_Curves/meltCurve_O75083_WDR1.pdf")</f>
        <v>Melting_Curves/meltCurve_O75083_WDR1.pdf</v>
      </c>
    </row>
    <row r="1655" spans="1:28" x14ac:dyDescent="0.25">
      <c r="A1655" t="s">
        <v>1659</v>
      </c>
      <c r="B1655">
        <v>0.99252571173614901</v>
      </c>
      <c r="C1655">
        <v>0.93940226867961396</v>
      </c>
      <c r="D1655">
        <v>0.95998246710854196</v>
      </c>
      <c r="E1655">
        <v>0.88957554386763005</v>
      </c>
      <c r="F1655">
        <v>0.58253977051585903</v>
      </c>
      <c r="G1655">
        <v>0.39500283818211102</v>
      </c>
      <c r="H1655">
        <v>0.323920709829492</v>
      </c>
      <c r="I1655">
        <v>0.41640577115493699</v>
      </c>
      <c r="J1655">
        <v>0.64278746713465296</v>
      </c>
      <c r="K1655">
        <v>0.64947170610581495</v>
      </c>
      <c r="L1655">
        <v>2246.7226349335801</v>
      </c>
      <c r="M1655">
        <v>43.956420910593401</v>
      </c>
      <c r="N1655">
        <v>55.764471473892002</v>
      </c>
      <c r="O1655">
        <v>51.007051441216603</v>
      </c>
      <c r="P1655">
        <v>-0.110474408331022</v>
      </c>
      <c r="Q1655">
        <v>0.48722250809904999</v>
      </c>
      <c r="R1655">
        <v>0.831059934387954</v>
      </c>
      <c r="S1655" t="s">
        <v>8301</v>
      </c>
      <c r="T1655" t="s">
        <v>13290</v>
      </c>
      <c r="U1655" t="s">
        <v>13290</v>
      </c>
      <c r="V1655" t="s">
        <v>13290</v>
      </c>
      <c r="W1655" t="s">
        <v>14915</v>
      </c>
      <c r="X1655">
        <v>6</v>
      </c>
      <c r="Y1655" t="s">
        <v>21488</v>
      </c>
      <c r="Z1655" t="s">
        <v>27985</v>
      </c>
      <c r="AA1655">
        <v>0.67866199706489816</v>
      </c>
      <c r="AB1655" t="str">
        <f>HYPERLINK("Melting_Curves/meltCurve_O75095_MEGF6.pdf", "Melting_Curves/meltCurve_O75095_MEGF6.pdf")</f>
        <v>Melting_Curves/meltCurve_O75095_MEGF6.pdf</v>
      </c>
    </row>
    <row r="1656" spans="1:28" x14ac:dyDescent="0.25">
      <c r="A1656" t="s">
        <v>1660</v>
      </c>
      <c r="B1656">
        <v>0.99252571173614901</v>
      </c>
      <c r="C1656">
        <v>1.11407696914455</v>
      </c>
      <c r="D1656">
        <v>0.912111112587637</v>
      </c>
      <c r="E1656">
        <v>1.0385091752256801</v>
      </c>
      <c r="F1656">
        <v>0.74777169311880698</v>
      </c>
      <c r="G1656">
        <v>0.69683559334965395</v>
      </c>
      <c r="H1656">
        <v>0.65961036213679003</v>
      </c>
      <c r="I1656">
        <v>0.89591702933846995</v>
      </c>
      <c r="J1656">
        <v>1.5227111125672099</v>
      </c>
      <c r="K1656">
        <v>1.4833339646161801</v>
      </c>
      <c r="L1656">
        <v>15000</v>
      </c>
      <c r="M1656">
        <v>228.276001540067</v>
      </c>
      <c r="O1656">
        <v>65.704886341896497</v>
      </c>
      <c r="P1656">
        <v>0.43428277313985503</v>
      </c>
      <c r="Q1656">
        <v>1.5</v>
      </c>
      <c r="R1656">
        <v>0.622969470078378</v>
      </c>
      <c r="S1656" t="s">
        <v>8302</v>
      </c>
      <c r="T1656" t="s">
        <v>13290</v>
      </c>
      <c r="U1656" t="s">
        <v>13290</v>
      </c>
      <c r="V1656" t="s">
        <v>13290</v>
      </c>
      <c r="W1656" t="s">
        <v>14916</v>
      </c>
      <c r="X1656">
        <v>6</v>
      </c>
      <c r="Y1656" t="s">
        <v>21488</v>
      </c>
      <c r="Z1656" t="s">
        <v>27986</v>
      </c>
      <c r="AA1656">
        <v>1.0714320175849401</v>
      </c>
      <c r="AB1656" t="str">
        <f>HYPERLINK("Melting_Curves/meltCurve_O75095_2_MEGF6.pdf", "Melting_Curves/meltCurve_O75095_2_MEGF6.pdf")</f>
        <v>Melting_Curves/meltCurve_O75095_2_MEGF6.pdf</v>
      </c>
    </row>
    <row r="1657" spans="1:28" x14ac:dyDescent="0.25">
      <c r="A1657" t="s">
        <v>1661</v>
      </c>
      <c r="B1657">
        <v>0.99252571173614901</v>
      </c>
      <c r="C1657">
        <v>0.85197909572678199</v>
      </c>
      <c r="D1657">
        <v>0.84846916647037396</v>
      </c>
      <c r="E1657">
        <v>0.71959674835334497</v>
      </c>
      <c r="F1657">
        <v>0.52844197517774705</v>
      </c>
      <c r="G1657">
        <v>0.34018759417169597</v>
      </c>
      <c r="H1657">
        <v>0.26565815911797602</v>
      </c>
      <c r="I1657">
        <v>0.25774187288140199</v>
      </c>
      <c r="J1657">
        <v>0.34096969121962001</v>
      </c>
      <c r="K1657">
        <v>0.17732738379183699</v>
      </c>
      <c r="L1657">
        <v>623.58972299752395</v>
      </c>
      <c r="M1657">
        <v>12.159753165497101</v>
      </c>
      <c r="N1657">
        <v>53.480661695980899</v>
      </c>
      <c r="O1657">
        <v>49.9552191547238</v>
      </c>
      <c r="P1657">
        <v>-4.8898850816041901E-2</v>
      </c>
      <c r="Q1657">
        <v>0.196630575602079</v>
      </c>
      <c r="R1657">
        <v>0.96916193898242398</v>
      </c>
      <c r="S1657" t="s">
        <v>8303</v>
      </c>
      <c r="T1657" t="s">
        <v>13290</v>
      </c>
      <c r="U1657" t="s">
        <v>13290</v>
      </c>
      <c r="V1657" t="s">
        <v>13290</v>
      </c>
      <c r="W1657" t="s">
        <v>14917</v>
      </c>
      <c r="X1657">
        <v>5</v>
      </c>
      <c r="Y1657" t="s">
        <v>21489</v>
      </c>
      <c r="Z1657" t="s">
        <v>27987</v>
      </c>
      <c r="AA1657">
        <v>0.52405760869788787</v>
      </c>
      <c r="AB1657" t="str">
        <f>HYPERLINK("Melting_Curves/meltCurve_O75110_ATP9A.pdf", "Melting_Curves/meltCurve_O75110_ATP9A.pdf")</f>
        <v>Melting_Curves/meltCurve_O75110_ATP9A.pdf</v>
      </c>
    </row>
    <row r="1658" spans="1:28" x14ac:dyDescent="0.25">
      <c r="A1658" t="s">
        <v>1662</v>
      </c>
      <c r="B1658">
        <v>0.99252571173614901</v>
      </c>
      <c r="C1658">
        <v>1.0808161093394899</v>
      </c>
      <c r="D1658">
        <v>0.80128238931506801</v>
      </c>
      <c r="E1658">
        <v>0.33200860152774803</v>
      </c>
      <c r="F1658">
        <v>0.136871271000886</v>
      </c>
      <c r="G1658">
        <v>7.9241508732443303E-2</v>
      </c>
      <c r="H1658">
        <v>6.2934026997650799E-2</v>
      </c>
      <c r="I1658">
        <v>7.5552718823915704E-2</v>
      </c>
      <c r="J1658">
        <v>0.10239951621073699</v>
      </c>
      <c r="K1658">
        <v>8.8987201995435306E-2</v>
      </c>
      <c r="L1658">
        <v>1556.9809464124</v>
      </c>
      <c r="M1658">
        <v>32.410325664178401</v>
      </c>
      <c r="N1658">
        <v>48.312419238294801</v>
      </c>
      <c r="O1658">
        <v>47.857901077344501</v>
      </c>
      <c r="P1658">
        <v>-0.155151100862574</v>
      </c>
      <c r="Q1658">
        <v>8.3604803137783706E-2</v>
      </c>
      <c r="R1658">
        <v>0.99244566512702004</v>
      </c>
      <c r="S1658" t="s">
        <v>8304</v>
      </c>
      <c r="T1658" t="s">
        <v>13290</v>
      </c>
      <c r="U1658" t="s">
        <v>13290</v>
      </c>
      <c r="V1658" t="s">
        <v>13290</v>
      </c>
      <c r="W1658" t="s">
        <v>14918</v>
      </c>
      <c r="X1658">
        <v>15</v>
      </c>
      <c r="Y1658" t="s">
        <v>21490</v>
      </c>
      <c r="Z1658" t="s">
        <v>27988</v>
      </c>
      <c r="AA1658">
        <v>0.33388673543925201</v>
      </c>
      <c r="AB1658" t="str">
        <f>HYPERLINK("Melting_Curves/meltCurve_O75113_N4BP1.pdf", "Melting_Curves/meltCurve_O75113_N4BP1.pdf")</f>
        <v>Melting_Curves/meltCurve_O75113_N4BP1.pdf</v>
      </c>
    </row>
    <row r="1659" spans="1:28" x14ac:dyDescent="0.25">
      <c r="A1659" t="s">
        <v>1663</v>
      </c>
      <c r="B1659">
        <v>0.99252571173614901</v>
      </c>
      <c r="C1659">
        <v>0.89039054126831696</v>
      </c>
      <c r="D1659">
        <v>0.97611326856138403</v>
      </c>
      <c r="E1659">
        <v>0.44075659015563601</v>
      </c>
      <c r="F1659">
        <v>0.18350249229591301</v>
      </c>
      <c r="G1659">
        <v>0.10135719017573901</v>
      </c>
      <c r="H1659">
        <v>6.9462331360570298E-2</v>
      </c>
      <c r="I1659">
        <v>6.7265538286038401E-2</v>
      </c>
      <c r="J1659">
        <v>8.34533053573151E-2</v>
      </c>
      <c r="K1659">
        <v>9.27405650298989E-2</v>
      </c>
      <c r="L1659">
        <v>1834.6520252120999</v>
      </c>
      <c r="M1659">
        <v>37.358205663678199</v>
      </c>
      <c r="N1659">
        <v>49.366942470567302</v>
      </c>
      <c r="O1659">
        <v>48.969657784212899</v>
      </c>
      <c r="P1659">
        <v>-0.17385556766770299</v>
      </c>
      <c r="Q1659">
        <v>8.8433151977806199E-2</v>
      </c>
      <c r="R1659">
        <v>0.98875451458248198</v>
      </c>
      <c r="S1659" t="s">
        <v>8305</v>
      </c>
      <c r="T1659" t="s">
        <v>13290</v>
      </c>
      <c r="U1659" t="s">
        <v>13290</v>
      </c>
      <c r="V1659" t="s">
        <v>13290</v>
      </c>
      <c r="W1659" t="s">
        <v>14919</v>
      </c>
      <c r="X1659">
        <v>34</v>
      </c>
      <c r="Y1659" t="s">
        <v>21491</v>
      </c>
      <c r="Z1659" t="s">
        <v>27989</v>
      </c>
      <c r="AA1659">
        <v>0.36879498512727699</v>
      </c>
      <c r="AB1659" t="str">
        <f>HYPERLINK("Melting_Curves/meltCurve_O75116_ROCK2.pdf", "Melting_Curves/meltCurve_O75116_ROCK2.pdf")</f>
        <v>Melting_Curves/meltCurve_O75116_ROCK2.pdf</v>
      </c>
    </row>
    <row r="1660" spans="1:28" x14ac:dyDescent="0.25">
      <c r="A1660" t="s">
        <v>1664</v>
      </c>
      <c r="B1660">
        <v>0.99252571173614901</v>
      </c>
      <c r="C1660">
        <v>0.99245795214300303</v>
      </c>
      <c r="D1660">
        <v>0.77332860226973898</v>
      </c>
      <c r="E1660">
        <v>0.5431289787161</v>
      </c>
      <c r="F1660">
        <v>0.37662495112154099</v>
      </c>
      <c r="G1660">
        <v>0.28429582647528301</v>
      </c>
      <c r="H1660">
        <v>0.29115027759360901</v>
      </c>
      <c r="I1660">
        <v>0.40721477183780203</v>
      </c>
      <c r="J1660">
        <v>0.65397448531979496</v>
      </c>
      <c r="K1660">
        <v>0.76957141139136798</v>
      </c>
      <c r="L1660">
        <v>1774.2439617305799</v>
      </c>
      <c r="M1660">
        <v>38.206511866641499</v>
      </c>
      <c r="N1660">
        <v>50.024833116876302</v>
      </c>
      <c r="O1660">
        <v>46.311587956598999</v>
      </c>
      <c r="P1660">
        <v>-0.109787524918362</v>
      </c>
      <c r="Q1660">
        <v>0.46769053533329602</v>
      </c>
      <c r="R1660">
        <v>0.68686452526960395</v>
      </c>
      <c r="S1660" t="s">
        <v>8306</v>
      </c>
      <c r="T1660" t="s">
        <v>13290</v>
      </c>
      <c r="U1660" t="s">
        <v>13290</v>
      </c>
      <c r="V1660" t="s">
        <v>13290</v>
      </c>
      <c r="W1660" t="s">
        <v>14920</v>
      </c>
      <c r="X1660">
        <v>7</v>
      </c>
      <c r="Y1660" t="s">
        <v>21492</v>
      </c>
      <c r="Z1660" t="s">
        <v>27990</v>
      </c>
      <c r="AA1660">
        <v>0.58383632264564489</v>
      </c>
      <c r="AB1660" t="str">
        <f>HYPERLINK("Melting_Curves/meltCurve_O75128_3_COBL.pdf", "Melting_Curves/meltCurve_O75128_3_COBL.pdf")</f>
        <v>Melting_Curves/meltCurve_O75128_3_COBL.pdf</v>
      </c>
    </row>
    <row r="1661" spans="1:28" x14ac:dyDescent="0.25">
      <c r="A1661" t="s">
        <v>1665</v>
      </c>
      <c r="B1661">
        <v>0.99252571173614901</v>
      </c>
      <c r="C1661">
        <v>1.02226605242443</v>
      </c>
      <c r="D1661">
        <v>0.71042060821840902</v>
      </c>
      <c r="E1661">
        <v>0.67772893792050803</v>
      </c>
      <c r="F1661">
        <v>0.17788650728448399</v>
      </c>
      <c r="G1661">
        <v>9.6158108178121995E-2</v>
      </c>
      <c r="H1661">
        <v>7.0980449955111602E-2</v>
      </c>
      <c r="I1661">
        <v>7.2462658751368203E-2</v>
      </c>
      <c r="J1661">
        <v>7.7483868212280399E-2</v>
      </c>
      <c r="K1661">
        <v>6.4395719199155002E-2</v>
      </c>
      <c r="L1661">
        <v>999.18139442172901</v>
      </c>
      <c r="M1661">
        <v>20.0410683917402</v>
      </c>
      <c r="N1661">
        <v>50.110538409119599</v>
      </c>
      <c r="O1661">
        <v>49.3682730880357</v>
      </c>
      <c r="P1661">
        <v>-9.6591998625067704E-2</v>
      </c>
      <c r="Q1661">
        <v>4.8269421966840698E-2</v>
      </c>
      <c r="R1661">
        <v>0.96782319473020795</v>
      </c>
      <c r="S1661" t="s">
        <v>8307</v>
      </c>
      <c r="T1661" t="s">
        <v>13290</v>
      </c>
      <c r="U1661" t="s">
        <v>13290</v>
      </c>
      <c r="V1661" t="s">
        <v>13290</v>
      </c>
      <c r="W1661" t="s">
        <v>14921</v>
      </c>
      <c r="X1661">
        <v>33</v>
      </c>
      <c r="Y1661" t="s">
        <v>21493</v>
      </c>
      <c r="Z1661" t="s">
        <v>27991</v>
      </c>
      <c r="AA1661">
        <v>0.37417046404778298</v>
      </c>
      <c r="AB1661" t="str">
        <f>HYPERLINK("Melting_Curves/meltCurve_O75131_CPNE3.pdf", "Melting_Curves/meltCurve_O75131_CPNE3.pdf")</f>
        <v>Melting_Curves/meltCurve_O75131_CPNE3.pdf</v>
      </c>
    </row>
    <row r="1662" spans="1:28" x14ac:dyDescent="0.25">
      <c r="A1662" t="s">
        <v>1666</v>
      </c>
      <c r="B1662">
        <v>0.99252571173614901</v>
      </c>
      <c r="C1662">
        <v>0.98002104390669598</v>
      </c>
      <c r="D1662">
        <v>0.91963969626290698</v>
      </c>
      <c r="E1662">
        <v>0.52557139610087</v>
      </c>
      <c r="F1662">
        <v>0.14241493560924501</v>
      </c>
      <c r="G1662">
        <v>9.3499709412722107E-2</v>
      </c>
      <c r="H1662">
        <v>7.5785058928568599E-2</v>
      </c>
      <c r="I1662">
        <v>7.0955609038193798E-2</v>
      </c>
      <c r="J1662">
        <v>6.3671496412604403E-2</v>
      </c>
      <c r="K1662">
        <v>6.1867539040307798E-2</v>
      </c>
      <c r="L1662">
        <v>1603.4935756135901</v>
      </c>
      <c r="M1662">
        <v>32.3922111637604</v>
      </c>
      <c r="N1662">
        <v>49.725584050501702</v>
      </c>
      <c r="O1662">
        <v>49.3149055698401</v>
      </c>
      <c r="P1662">
        <v>-0.153104511398547</v>
      </c>
      <c r="Q1662">
        <v>6.7640031602132902E-2</v>
      </c>
      <c r="R1662">
        <v>0.99951863270111396</v>
      </c>
      <c r="S1662" t="s">
        <v>8308</v>
      </c>
      <c r="T1662" t="s">
        <v>13290</v>
      </c>
      <c r="U1662" t="s">
        <v>13290</v>
      </c>
      <c r="V1662" t="s">
        <v>13290</v>
      </c>
      <c r="W1662" t="s">
        <v>14922</v>
      </c>
      <c r="X1662">
        <v>28</v>
      </c>
      <c r="Y1662" t="s">
        <v>21494</v>
      </c>
      <c r="Z1662" t="s">
        <v>27992</v>
      </c>
      <c r="AA1662">
        <v>0.36785806763154461</v>
      </c>
      <c r="AB1662" t="str">
        <f>HYPERLINK("Melting_Curves/meltCurve_O75146_HIP1R.pdf", "Melting_Curves/meltCurve_O75146_HIP1R.pdf")</f>
        <v>Melting_Curves/meltCurve_O75146_HIP1R.pdf</v>
      </c>
    </row>
    <row r="1663" spans="1:28" x14ac:dyDescent="0.25">
      <c r="A1663" t="s">
        <v>1667</v>
      </c>
      <c r="B1663">
        <v>0.99252571173614901</v>
      </c>
      <c r="C1663">
        <v>0.80202494017859105</v>
      </c>
      <c r="D1663">
        <v>0.41292919407265599</v>
      </c>
      <c r="E1663">
        <v>0.23401392296408999</v>
      </c>
      <c r="F1663">
        <v>0.14219594820427001</v>
      </c>
      <c r="G1663">
        <v>8.5831376735888296E-2</v>
      </c>
      <c r="H1663">
        <v>7.1361735271059504E-2</v>
      </c>
      <c r="I1663">
        <v>8.3529526618107794E-2</v>
      </c>
      <c r="J1663">
        <v>8.5184064300208195E-2</v>
      </c>
      <c r="K1663">
        <v>8.1152947325379796E-2</v>
      </c>
      <c r="L1663">
        <v>1045.3725446294</v>
      </c>
      <c r="M1663">
        <v>23.152519832101301</v>
      </c>
      <c r="N1663">
        <v>45.535277818211199</v>
      </c>
      <c r="O1663">
        <v>44.818761449953399</v>
      </c>
      <c r="P1663">
        <v>-0.117702361660625</v>
      </c>
      <c r="Q1663">
        <v>8.8621196510739006E-2</v>
      </c>
      <c r="R1663">
        <v>0.99411006603858298</v>
      </c>
      <c r="S1663" t="s">
        <v>8309</v>
      </c>
      <c r="T1663" t="s">
        <v>13290</v>
      </c>
      <c r="U1663" t="s">
        <v>13290</v>
      </c>
      <c r="V1663" t="s">
        <v>13290</v>
      </c>
      <c r="W1663" t="s">
        <v>14923</v>
      </c>
      <c r="X1663">
        <v>22</v>
      </c>
      <c r="Y1663" t="s">
        <v>21495</v>
      </c>
      <c r="Z1663" t="s">
        <v>27993</v>
      </c>
      <c r="AA1663">
        <v>0.25586630785782349</v>
      </c>
      <c r="AB1663" t="str">
        <f>HYPERLINK("Melting_Curves/meltCurve_O75150_RNF40.pdf", "Melting_Curves/meltCurve_O75150_RNF40.pdf")</f>
        <v>Melting_Curves/meltCurve_O75150_RNF40.pdf</v>
      </c>
    </row>
    <row r="1664" spans="1:28" x14ac:dyDescent="0.25">
      <c r="A1664" t="s">
        <v>1668</v>
      </c>
      <c r="B1664">
        <v>0.99252571173614901</v>
      </c>
      <c r="C1664">
        <v>0.88308333319997401</v>
      </c>
      <c r="D1664">
        <v>0.48223510634822703</v>
      </c>
      <c r="E1664">
        <v>0.224185678128767</v>
      </c>
      <c r="F1664">
        <v>0.132150444337092</v>
      </c>
      <c r="G1664">
        <v>8.9194174296698001E-2</v>
      </c>
      <c r="H1664">
        <v>8.4635036167838407E-2</v>
      </c>
      <c r="I1664">
        <v>0.10629060711591699</v>
      </c>
      <c r="J1664">
        <v>0.15272079480457401</v>
      </c>
      <c r="K1664">
        <v>0.15884384923411499</v>
      </c>
      <c r="L1664">
        <v>1310.96472176359</v>
      </c>
      <c r="M1664">
        <v>28.790974962440401</v>
      </c>
      <c r="N1664">
        <v>45.975695045209399</v>
      </c>
      <c r="O1664">
        <v>45.315904075826197</v>
      </c>
      <c r="P1664">
        <v>-0.139640740975148</v>
      </c>
      <c r="Q1664">
        <v>0.12084983649633201</v>
      </c>
      <c r="R1664">
        <v>0.99389286903864604</v>
      </c>
      <c r="S1664" t="s">
        <v>8310</v>
      </c>
      <c r="T1664" t="s">
        <v>13290</v>
      </c>
      <c r="U1664" t="s">
        <v>13290</v>
      </c>
      <c r="V1664" t="s">
        <v>13290</v>
      </c>
      <c r="W1664" t="s">
        <v>14924</v>
      </c>
      <c r="X1664">
        <v>9</v>
      </c>
      <c r="Y1664" t="s">
        <v>21496</v>
      </c>
      <c r="Z1664" t="s">
        <v>27994</v>
      </c>
      <c r="AA1664">
        <v>0.28902559539865441</v>
      </c>
      <c r="AB1664" t="str">
        <f>HYPERLINK("Melting_Curves/meltCurve_O75152_ZC3H11A.pdf", "Melting_Curves/meltCurve_O75152_ZC3H11A.pdf")</f>
        <v>Melting_Curves/meltCurve_O75152_ZC3H11A.pdf</v>
      </c>
    </row>
    <row r="1665" spans="1:28" x14ac:dyDescent="0.25">
      <c r="A1665" t="s">
        <v>1669</v>
      </c>
      <c r="B1665">
        <v>0.99252571173614901</v>
      </c>
      <c r="C1665">
        <v>0.90387677060814398</v>
      </c>
      <c r="D1665">
        <v>1.0212889106959699</v>
      </c>
      <c r="E1665">
        <v>0.55335053876085205</v>
      </c>
      <c r="F1665">
        <v>0.21661222482588299</v>
      </c>
      <c r="G1665">
        <v>0.12882058877777799</v>
      </c>
      <c r="H1665">
        <v>9.5786237078006098E-2</v>
      </c>
      <c r="I1665">
        <v>0.10533499060453499</v>
      </c>
      <c r="J1665">
        <v>0.12671928846612701</v>
      </c>
      <c r="K1665">
        <v>0.129558157650533</v>
      </c>
      <c r="L1665">
        <v>1959.77820798478</v>
      </c>
      <c r="M1665">
        <v>39.465342205926298</v>
      </c>
      <c r="N1665">
        <v>50.010408127941602</v>
      </c>
      <c r="O1665">
        <v>49.531230248751697</v>
      </c>
      <c r="P1665">
        <v>-0.17502711894238099</v>
      </c>
      <c r="Q1665">
        <v>0.12132647837977301</v>
      </c>
      <c r="R1665">
        <v>0.989626972066323</v>
      </c>
      <c r="S1665" t="s">
        <v>8311</v>
      </c>
      <c r="T1665" t="s">
        <v>13290</v>
      </c>
      <c r="U1665" t="s">
        <v>13290</v>
      </c>
      <c r="V1665" t="s">
        <v>13290</v>
      </c>
      <c r="W1665" t="s">
        <v>14484</v>
      </c>
      <c r="X1665">
        <v>34</v>
      </c>
      <c r="Y1665" t="s">
        <v>21067</v>
      </c>
      <c r="Z1665" t="s">
        <v>27995</v>
      </c>
      <c r="AA1665">
        <v>0.40730772109445229</v>
      </c>
      <c r="AB1665" t="str">
        <f>HYPERLINK("Melting_Curves/meltCurve_O75153_CLUH.pdf", "Melting_Curves/meltCurve_O75153_CLUH.pdf")</f>
        <v>Melting_Curves/meltCurve_O75153_CLUH.pdf</v>
      </c>
    </row>
    <row r="1666" spans="1:28" x14ac:dyDescent="0.25">
      <c r="A1666" t="s">
        <v>1670</v>
      </c>
      <c r="B1666">
        <v>0.99252571173614901</v>
      </c>
      <c r="C1666">
        <v>1.16449120097021</v>
      </c>
      <c r="D1666">
        <v>0.95713361124206697</v>
      </c>
      <c r="E1666">
        <v>0.90881724558392596</v>
      </c>
      <c r="F1666">
        <v>0.39252181129382002</v>
      </c>
      <c r="G1666">
        <v>0.24059811986108601</v>
      </c>
      <c r="H1666">
        <v>0.216613603143615</v>
      </c>
      <c r="I1666">
        <v>0.337187092546608</v>
      </c>
      <c r="J1666">
        <v>0.59621013705178705</v>
      </c>
      <c r="K1666">
        <v>0.73096527474377204</v>
      </c>
      <c r="L1666">
        <v>12483.384216857299</v>
      </c>
      <c r="M1666">
        <v>250</v>
      </c>
      <c r="N1666">
        <v>50.299772538619401</v>
      </c>
      <c r="O1666">
        <v>49.930351507673699</v>
      </c>
      <c r="P1666">
        <v>-0.72724319002569904</v>
      </c>
      <c r="Q1666">
        <v>0.41901598756432101</v>
      </c>
      <c r="R1666">
        <v>0.77816563152525597</v>
      </c>
      <c r="S1666" t="s">
        <v>8312</v>
      </c>
      <c r="T1666" t="s">
        <v>13290</v>
      </c>
      <c r="U1666" t="s">
        <v>13290</v>
      </c>
      <c r="V1666" t="s">
        <v>13290</v>
      </c>
      <c r="W1666" t="s">
        <v>14925</v>
      </c>
      <c r="X1666">
        <v>9</v>
      </c>
      <c r="Y1666" t="s">
        <v>21497</v>
      </c>
      <c r="Z1666" t="s">
        <v>27996</v>
      </c>
      <c r="AA1666">
        <v>0.61144110425619924</v>
      </c>
      <c r="AB1666" t="str">
        <f>HYPERLINK("Melting_Curves/meltCurve_O75157_2_TSC22D2.pdf", "Melting_Curves/meltCurve_O75157_2_TSC22D2.pdf")</f>
        <v>Melting_Curves/meltCurve_O75157_2_TSC22D2.pdf</v>
      </c>
    </row>
    <row r="1667" spans="1:28" x14ac:dyDescent="0.25">
      <c r="A1667" t="s">
        <v>1671</v>
      </c>
      <c r="B1667">
        <v>0.99252571173614901</v>
      </c>
      <c r="C1667">
        <v>0.71801314636381797</v>
      </c>
      <c r="D1667">
        <v>0.682914944898946</v>
      </c>
      <c r="E1667">
        <v>0.56269139670788604</v>
      </c>
      <c r="F1667">
        <v>0.56583511700086198</v>
      </c>
      <c r="G1667">
        <v>0.28428268083949798</v>
      </c>
      <c r="H1667">
        <v>0.22368583452419899</v>
      </c>
      <c r="I1667">
        <v>0.20360042234980999</v>
      </c>
      <c r="J1667">
        <v>0.19922696853524</v>
      </c>
      <c r="K1667">
        <v>7.9534543462886104E-2</v>
      </c>
      <c r="L1667">
        <v>376.05896134960398</v>
      </c>
      <c r="M1667">
        <v>7.2838121944629401</v>
      </c>
      <c r="N1667">
        <v>51.629413027845303</v>
      </c>
      <c r="O1667">
        <v>48.164590306218699</v>
      </c>
      <c r="P1667">
        <v>-3.7867446708816997E-2</v>
      </c>
      <c r="Q1667">
        <v>0</v>
      </c>
      <c r="R1667">
        <v>0.94594775588357005</v>
      </c>
      <c r="S1667" t="s">
        <v>8313</v>
      </c>
      <c r="T1667" t="s">
        <v>13290</v>
      </c>
      <c r="U1667" t="s">
        <v>13290</v>
      </c>
      <c r="V1667" t="s">
        <v>13290</v>
      </c>
      <c r="W1667" t="s">
        <v>14926</v>
      </c>
      <c r="X1667">
        <v>1</v>
      </c>
      <c r="Y1667" t="s">
        <v>21498</v>
      </c>
      <c r="Z1667" t="s">
        <v>27997</v>
      </c>
      <c r="AA1667">
        <v>0.4413028213711257</v>
      </c>
      <c r="AB1667" t="str">
        <f>HYPERLINK("Melting_Curves/meltCurve_O75161_NPHP4.pdf", "Melting_Curves/meltCurve_O75161_NPHP4.pdf")</f>
        <v>Melting_Curves/meltCurve_O75161_NPHP4.pdf</v>
      </c>
    </row>
    <row r="1668" spans="1:28" x14ac:dyDescent="0.25">
      <c r="A1668" t="s">
        <v>1672</v>
      </c>
      <c r="B1668">
        <v>0.99252571173614901</v>
      </c>
      <c r="C1668">
        <v>0.89933452079183596</v>
      </c>
      <c r="D1668">
        <v>0.60368233791139503</v>
      </c>
      <c r="E1668">
        <v>0.38055094770015102</v>
      </c>
      <c r="F1668">
        <v>0.236184085235772</v>
      </c>
      <c r="G1668">
        <v>0.15534148198825401</v>
      </c>
      <c r="H1668">
        <v>0.121865789234051</v>
      </c>
      <c r="I1668">
        <v>0.145989550031938</v>
      </c>
      <c r="J1668">
        <v>0.16780343394133901</v>
      </c>
      <c r="K1668">
        <v>0.17873659979696699</v>
      </c>
      <c r="L1668">
        <v>926.13456816948406</v>
      </c>
      <c r="M1668">
        <v>19.827558834902302</v>
      </c>
      <c r="N1668">
        <v>47.571001036911902</v>
      </c>
      <c r="O1668">
        <v>46.242110500109703</v>
      </c>
      <c r="P1668">
        <v>-9.1027803809744998E-2</v>
      </c>
      <c r="Q1668">
        <v>0.15084332522109001</v>
      </c>
      <c r="R1668">
        <v>0.99370155156064199</v>
      </c>
      <c r="S1668" t="s">
        <v>8314</v>
      </c>
      <c r="T1668" t="s">
        <v>13290</v>
      </c>
      <c r="U1668" t="s">
        <v>13290</v>
      </c>
      <c r="V1668" t="s">
        <v>13290</v>
      </c>
      <c r="W1668" t="s">
        <v>14927</v>
      </c>
      <c r="X1668">
        <v>5</v>
      </c>
      <c r="Y1668" t="s">
        <v>21499</v>
      </c>
      <c r="Z1668" t="s">
        <v>27998</v>
      </c>
      <c r="AA1668">
        <v>0.35359317506471061</v>
      </c>
      <c r="AB1668" t="str">
        <f>HYPERLINK("Melting_Curves/meltCurve_O75164_KDM4A.pdf", "Melting_Curves/meltCurve_O75164_KDM4A.pdf")</f>
        <v>Melting_Curves/meltCurve_O75164_KDM4A.pdf</v>
      </c>
    </row>
    <row r="1669" spans="1:28" x14ac:dyDescent="0.25">
      <c r="A1669" t="s">
        <v>1673</v>
      </c>
      <c r="B1669">
        <v>0.99252571173614901</v>
      </c>
      <c r="C1669">
        <v>0.92710672644716996</v>
      </c>
      <c r="D1669">
        <v>1.05723374230643</v>
      </c>
      <c r="E1669">
        <v>0.76545883273014903</v>
      </c>
      <c r="F1669">
        <v>0.43839223479719702</v>
      </c>
      <c r="G1669">
        <v>0.23815548455025401</v>
      </c>
      <c r="H1669">
        <v>0.19874470302539199</v>
      </c>
      <c r="I1669">
        <v>0.184127164455609</v>
      </c>
      <c r="J1669">
        <v>0.21205885412931</v>
      </c>
      <c r="K1669">
        <v>0.165824297633029</v>
      </c>
      <c r="L1669">
        <v>1442.6326675609901</v>
      </c>
      <c r="M1669">
        <v>28.006839927637099</v>
      </c>
      <c r="N1669">
        <v>52.383941809110198</v>
      </c>
      <c r="O1669">
        <v>51.249545323970203</v>
      </c>
      <c r="P1669">
        <v>-0.11112239850963999</v>
      </c>
      <c r="Q1669">
        <v>0.186638171743711</v>
      </c>
      <c r="R1669">
        <v>0.98871269453502497</v>
      </c>
      <c r="S1669" t="s">
        <v>8315</v>
      </c>
      <c r="T1669" t="s">
        <v>13290</v>
      </c>
      <c r="U1669" t="s">
        <v>13290</v>
      </c>
      <c r="V1669" t="s">
        <v>13290</v>
      </c>
      <c r="W1669" t="s">
        <v>14928</v>
      </c>
      <c r="X1669">
        <v>7</v>
      </c>
      <c r="Y1669" t="s">
        <v>21500</v>
      </c>
      <c r="Z1669" t="s">
        <v>27999</v>
      </c>
      <c r="AA1669">
        <v>0.50460949097272478</v>
      </c>
      <c r="AB1669" t="str">
        <f>HYPERLINK("Melting_Curves/meltCurve_O75165_DNAJC13.pdf", "Melting_Curves/meltCurve_O75165_DNAJC13.pdf")</f>
        <v>Melting_Curves/meltCurve_O75165_DNAJC13.pdf</v>
      </c>
    </row>
    <row r="1670" spans="1:28" x14ac:dyDescent="0.25">
      <c r="A1670" t="s">
        <v>1674</v>
      </c>
      <c r="B1670">
        <v>0.99252571173614901</v>
      </c>
      <c r="C1670">
        <v>1.02049644293924</v>
      </c>
      <c r="D1670">
        <v>1.0192414114047299</v>
      </c>
      <c r="E1670">
        <v>0.99616463585191095</v>
      </c>
      <c r="F1670">
        <v>0.76942720432582401</v>
      </c>
      <c r="G1670">
        <v>0.27410858492735002</v>
      </c>
      <c r="H1670">
        <v>0.148834294452525</v>
      </c>
      <c r="I1670">
        <v>0.18234541622196199</v>
      </c>
      <c r="J1670">
        <v>0.23947666683176999</v>
      </c>
      <c r="K1670">
        <v>0.24826352058010501</v>
      </c>
      <c r="L1670">
        <v>2817.3107404665302</v>
      </c>
      <c r="M1670">
        <v>52.054609139395502</v>
      </c>
      <c r="N1670">
        <v>54.677597529815102</v>
      </c>
      <c r="O1670">
        <v>54.042516538630601</v>
      </c>
      <c r="P1670">
        <v>-0.19136063855985599</v>
      </c>
      <c r="Q1670">
        <v>0.20532662770794699</v>
      </c>
      <c r="R1670">
        <v>0.994447745143198</v>
      </c>
      <c r="S1670" t="s">
        <v>8316</v>
      </c>
      <c r="T1670" t="s">
        <v>13290</v>
      </c>
      <c r="U1670" t="s">
        <v>13290</v>
      </c>
      <c r="V1670" t="s">
        <v>13290</v>
      </c>
      <c r="W1670" t="s">
        <v>14929</v>
      </c>
      <c r="X1670">
        <v>7</v>
      </c>
      <c r="Y1670" t="s">
        <v>21501</v>
      </c>
      <c r="Z1670" t="s">
        <v>28000</v>
      </c>
      <c r="AA1670">
        <v>0.58116079996117531</v>
      </c>
      <c r="AB1670" t="str">
        <f>HYPERLINK("Melting_Curves/meltCurve_O75170_4_PPP6R2.pdf", "Melting_Curves/meltCurve_O75170_4_PPP6R2.pdf")</f>
        <v>Melting_Curves/meltCurve_O75170_4_PPP6R2.pdf</v>
      </c>
    </row>
    <row r="1671" spans="1:28" x14ac:dyDescent="0.25">
      <c r="A1671" t="s">
        <v>1675</v>
      </c>
      <c r="B1671">
        <v>0.99252571173614901</v>
      </c>
      <c r="C1671">
        <v>0.971670472813842</v>
      </c>
      <c r="D1671">
        <v>0.98299443478798498</v>
      </c>
      <c r="E1671">
        <v>0.72643473217238996</v>
      </c>
      <c r="F1671">
        <v>0.38500911549796002</v>
      </c>
      <c r="G1671">
        <v>0.20033469390636599</v>
      </c>
      <c r="H1671">
        <v>0.13187188708549999</v>
      </c>
      <c r="I1671">
        <v>0.15444554632499599</v>
      </c>
      <c r="J1671">
        <v>0.19876304993920901</v>
      </c>
      <c r="K1671">
        <v>0.21872305278659801</v>
      </c>
      <c r="L1671">
        <v>1442.8011405602399</v>
      </c>
      <c r="M1671">
        <v>28.307208899066399</v>
      </c>
      <c r="N1671">
        <v>51.741541145830197</v>
      </c>
      <c r="O1671">
        <v>50.717053040441101</v>
      </c>
      <c r="P1671">
        <v>-0.115497445982765</v>
      </c>
      <c r="Q1671">
        <v>0.17227560352917201</v>
      </c>
      <c r="R1671">
        <v>0.99420481931473004</v>
      </c>
      <c r="S1671" t="s">
        <v>8317</v>
      </c>
      <c r="T1671" t="s">
        <v>13290</v>
      </c>
      <c r="U1671" t="s">
        <v>13290</v>
      </c>
      <c r="V1671" t="s">
        <v>13290</v>
      </c>
      <c r="W1671" t="s">
        <v>14930</v>
      </c>
      <c r="X1671">
        <v>13</v>
      </c>
      <c r="Y1671" t="s">
        <v>21502</v>
      </c>
      <c r="Z1671" t="s">
        <v>28001</v>
      </c>
      <c r="AA1671">
        <v>0.4807723177344137</v>
      </c>
      <c r="AB1671" t="str">
        <f>HYPERLINK("Melting_Curves/meltCurve_O75175_CNOT3.pdf", "Melting_Curves/meltCurve_O75175_CNOT3.pdf")</f>
        <v>Melting_Curves/meltCurve_O75175_CNOT3.pdf</v>
      </c>
    </row>
    <row r="1672" spans="1:28" x14ac:dyDescent="0.25">
      <c r="A1672" t="s">
        <v>1676</v>
      </c>
      <c r="B1672">
        <v>0.99252571173614901</v>
      </c>
      <c r="C1672">
        <v>0.94946245585123901</v>
      </c>
      <c r="D1672">
        <v>0.83767901052504601</v>
      </c>
      <c r="E1672">
        <v>0.68743700047887901</v>
      </c>
      <c r="F1672">
        <v>0.48352695884929697</v>
      </c>
      <c r="G1672">
        <v>0.35060674802521502</v>
      </c>
      <c r="H1672">
        <v>0.247172957937143</v>
      </c>
      <c r="I1672">
        <v>0.24365028629982699</v>
      </c>
      <c r="J1672">
        <v>0.28185217709173199</v>
      </c>
      <c r="K1672">
        <v>0.30424163006050398</v>
      </c>
      <c r="L1672">
        <v>805.92315466808304</v>
      </c>
      <c r="M1672">
        <v>16.01653591094</v>
      </c>
      <c r="N1672">
        <v>52.591301032334002</v>
      </c>
      <c r="O1672">
        <v>49.553393168083097</v>
      </c>
      <c r="P1672">
        <v>-6.0625819206362903E-2</v>
      </c>
      <c r="Q1672">
        <v>0.24978025093037401</v>
      </c>
      <c r="R1672">
        <v>0.99161959795543198</v>
      </c>
      <c r="S1672" t="s">
        <v>8318</v>
      </c>
      <c r="T1672" t="s">
        <v>13290</v>
      </c>
      <c r="U1672" t="s">
        <v>13290</v>
      </c>
      <c r="V1672" t="s">
        <v>13290</v>
      </c>
      <c r="W1672" t="s">
        <v>14931</v>
      </c>
      <c r="X1672">
        <v>2</v>
      </c>
      <c r="Y1672" t="s">
        <v>21503</v>
      </c>
      <c r="Z1672" t="s">
        <v>28002</v>
      </c>
      <c r="AA1672">
        <v>0.52358806852392525</v>
      </c>
      <c r="AB1672" t="str">
        <f>HYPERLINK("Melting_Curves/meltCurve_O75177_2_SS18L1.pdf", "Melting_Curves/meltCurve_O75177_2_SS18L1.pdf")</f>
        <v>Melting_Curves/meltCurve_O75177_2_SS18L1.pdf</v>
      </c>
    </row>
    <row r="1673" spans="1:28" x14ac:dyDescent="0.25">
      <c r="A1673" t="s">
        <v>1677</v>
      </c>
      <c r="B1673">
        <v>0.99252571173614901</v>
      </c>
      <c r="C1673">
        <v>0.82925972032314199</v>
      </c>
      <c r="D1673">
        <v>0.57322140272661204</v>
      </c>
      <c r="E1673">
        <v>0.26644858715148501</v>
      </c>
      <c r="F1673">
        <v>0.15524863439775199</v>
      </c>
      <c r="G1673">
        <v>9.1669091350355503E-2</v>
      </c>
      <c r="H1673">
        <v>7.4354240423299606E-2</v>
      </c>
      <c r="I1673">
        <v>7.7542918700883007E-2</v>
      </c>
      <c r="J1673">
        <v>8.5675647056184301E-2</v>
      </c>
      <c r="K1673">
        <v>9.4307166986245305E-2</v>
      </c>
      <c r="L1673">
        <v>935.11405464480595</v>
      </c>
      <c r="M1673">
        <v>20.201901837569</v>
      </c>
      <c r="N1673">
        <v>46.690720162005903</v>
      </c>
      <c r="O1673">
        <v>45.842010658385497</v>
      </c>
      <c r="P1673">
        <v>-0.101374121496282</v>
      </c>
      <c r="Q1673">
        <v>7.9879021580441606E-2</v>
      </c>
      <c r="R1673">
        <v>0.99833995730590597</v>
      </c>
      <c r="S1673" t="s">
        <v>8319</v>
      </c>
      <c r="T1673" t="s">
        <v>13290</v>
      </c>
      <c r="U1673" t="s">
        <v>13290</v>
      </c>
      <c r="V1673" t="s">
        <v>13290</v>
      </c>
      <c r="W1673" t="s">
        <v>14932</v>
      </c>
      <c r="X1673">
        <v>22</v>
      </c>
      <c r="Y1673" t="s">
        <v>21504</v>
      </c>
      <c r="Z1673" t="s">
        <v>28003</v>
      </c>
      <c r="AA1673">
        <v>0.28639200067598852</v>
      </c>
      <c r="AB1673" t="str">
        <f>HYPERLINK("Melting_Curves/meltCurve_O75179_2_ANKRD17.pdf", "Melting_Curves/meltCurve_O75179_2_ANKRD17.pdf")</f>
        <v>Melting_Curves/meltCurve_O75179_2_ANKRD17.pdf</v>
      </c>
    </row>
    <row r="1674" spans="1:28" x14ac:dyDescent="0.25">
      <c r="A1674" t="s">
        <v>1678</v>
      </c>
      <c r="B1674">
        <v>0.99252571173614901</v>
      </c>
      <c r="C1674">
        <v>0.87397915878140298</v>
      </c>
      <c r="D1674">
        <v>0.77079207184479603</v>
      </c>
      <c r="E1674">
        <v>0.68346860113035901</v>
      </c>
      <c r="F1674">
        <v>0.35081697887677699</v>
      </c>
      <c r="G1674">
        <v>0.16730993609275999</v>
      </c>
      <c r="H1674">
        <v>0.101082242389716</v>
      </c>
      <c r="I1674">
        <v>8.9268335143298294E-2</v>
      </c>
      <c r="J1674">
        <v>7.3939527289107604E-2</v>
      </c>
      <c r="K1674">
        <v>6.4196218122303403E-2</v>
      </c>
      <c r="L1674">
        <v>704.58910872509296</v>
      </c>
      <c r="M1674">
        <v>13.860861031887699</v>
      </c>
      <c r="N1674">
        <v>51.0371814313323</v>
      </c>
      <c r="O1674">
        <v>49.809977320392903</v>
      </c>
      <c r="P1674">
        <v>-6.7701687194167304E-2</v>
      </c>
      <c r="Q1674">
        <v>2.6970897418946298E-2</v>
      </c>
      <c r="R1674">
        <v>0.98719309581428205</v>
      </c>
      <c r="S1674" t="s">
        <v>8320</v>
      </c>
      <c r="T1674" t="s">
        <v>13290</v>
      </c>
      <c r="U1674" t="s">
        <v>13290</v>
      </c>
      <c r="V1674" t="s">
        <v>13290</v>
      </c>
      <c r="W1674" t="s">
        <v>14933</v>
      </c>
      <c r="X1674">
        <v>2</v>
      </c>
      <c r="Y1674" t="s">
        <v>21505</v>
      </c>
      <c r="Z1674" t="s">
        <v>28004</v>
      </c>
      <c r="AA1674">
        <v>0.40405183993789318</v>
      </c>
      <c r="AB1674" t="str">
        <f>HYPERLINK("Melting_Curves/meltCurve_O75185_ATP2C2.pdf", "Melting_Curves/meltCurve_O75185_ATP2C2.pdf")</f>
        <v>Melting_Curves/meltCurve_O75185_ATP2C2.pdf</v>
      </c>
    </row>
    <row r="1675" spans="1:28" x14ac:dyDescent="0.25">
      <c r="A1675" t="s">
        <v>1679</v>
      </c>
      <c r="B1675">
        <v>0.99252571173614901</v>
      </c>
      <c r="C1675">
        <v>1.0348374763352199</v>
      </c>
      <c r="D1675">
        <v>0.78130658269004205</v>
      </c>
      <c r="E1675">
        <v>0.31737849043212402</v>
      </c>
      <c r="F1675">
        <v>0.20393123518011899</v>
      </c>
      <c r="G1675">
        <v>0.14630518695161801</v>
      </c>
      <c r="H1675">
        <v>0.117407123620797</v>
      </c>
      <c r="I1675">
        <v>0.116396129542413</v>
      </c>
      <c r="J1675">
        <v>9.0256937443815799E-2</v>
      </c>
      <c r="K1675">
        <v>6.9480081073578503E-2</v>
      </c>
      <c r="L1675">
        <v>1449.9281337750101</v>
      </c>
      <c r="M1675">
        <v>30.3528545275238</v>
      </c>
      <c r="N1675">
        <v>48.179285119648299</v>
      </c>
      <c r="O1675">
        <v>47.563165384938699</v>
      </c>
      <c r="P1675">
        <v>-0.141375110922454</v>
      </c>
      <c r="Q1675">
        <v>0.113861615112627</v>
      </c>
      <c r="R1675">
        <v>0.99267633035980296</v>
      </c>
      <c r="S1675" t="s">
        <v>8321</v>
      </c>
      <c r="T1675" t="s">
        <v>13290</v>
      </c>
      <c r="U1675" t="s">
        <v>13290</v>
      </c>
      <c r="V1675" t="s">
        <v>13290</v>
      </c>
      <c r="W1675" t="s">
        <v>14934</v>
      </c>
      <c r="X1675">
        <v>4</v>
      </c>
      <c r="Y1675" t="s">
        <v>21506</v>
      </c>
      <c r="Z1675" t="s">
        <v>28005</v>
      </c>
      <c r="AA1675">
        <v>0.34853910945661942</v>
      </c>
      <c r="AB1675" t="str">
        <f>HYPERLINK("Melting_Curves/meltCurve_O75191_XYLB.pdf", "Melting_Curves/meltCurve_O75191_XYLB.pdf")</f>
        <v>Melting_Curves/meltCurve_O75191_XYLB.pdf</v>
      </c>
    </row>
    <row r="1676" spans="1:28" x14ac:dyDescent="0.25">
      <c r="A1676" t="s">
        <v>1680</v>
      </c>
      <c r="B1676">
        <v>0.99252571173614901</v>
      </c>
      <c r="C1676">
        <v>1.0956355149766499</v>
      </c>
      <c r="D1676">
        <v>0.98484157442137099</v>
      </c>
      <c r="E1676">
        <v>1.3224744513925799</v>
      </c>
      <c r="F1676">
        <v>0.80414845362572196</v>
      </c>
      <c r="G1676">
        <v>0.63053247058652595</v>
      </c>
      <c r="H1676">
        <v>0.48815734280532502</v>
      </c>
      <c r="I1676">
        <v>0.419540578874253</v>
      </c>
      <c r="J1676">
        <v>0.39419826045602702</v>
      </c>
      <c r="K1676">
        <v>0.23755291751074101</v>
      </c>
      <c r="L1676">
        <v>1399.4568614289201</v>
      </c>
      <c r="M1676">
        <v>24.718395533380999</v>
      </c>
      <c r="N1676">
        <v>59.331338401105697</v>
      </c>
      <c r="O1676">
        <v>56.249358920211201</v>
      </c>
      <c r="P1676">
        <v>-7.26536298939192E-2</v>
      </c>
      <c r="Q1676">
        <v>0.33868484393093801</v>
      </c>
      <c r="R1676">
        <v>0.86760448223665398</v>
      </c>
      <c r="S1676" t="s">
        <v>8322</v>
      </c>
      <c r="T1676" t="s">
        <v>13290</v>
      </c>
      <c r="U1676" t="s">
        <v>13290</v>
      </c>
      <c r="V1676" t="s">
        <v>13290</v>
      </c>
      <c r="W1676" t="s">
        <v>14935</v>
      </c>
      <c r="X1676">
        <v>1</v>
      </c>
      <c r="Y1676" t="s">
        <v>21507</v>
      </c>
      <c r="Z1676" t="s">
        <v>28006</v>
      </c>
      <c r="AA1676">
        <v>0.71108456624784355</v>
      </c>
      <c r="AB1676" t="str">
        <f>HYPERLINK("Melting_Curves/meltCurve_O75204_TMEM127.pdf", "Melting_Curves/meltCurve_O75204_TMEM127.pdf")</f>
        <v>Melting_Curves/meltCurve_O75204_TMEM127.pdf</v>
      </c>
    </row>
    <row r="1677" spans="1:28" x14ac:dyDescent="0.25">
      <c r="A1677" t="s">
        <v>1681</v>
      </c>
      <c r="B1677">
        <v>0.99252571173614901</v>
      </c>
      <c r="C1677">
        <v>1.0794726913991699</v>
      </c>
      <c r="D1677">
        <v>0.95545259216779299</v>
      </c>
      <c r="E1677">
        <v>0.82524695220145905</v>
      </c>
      <c r="F1677">
        <v>0.55521728981431095</v>
      </c>
      <c r="G1677">
        <v>0.40221744825551797</v>
      </c>
      <c r="H1677">
        <v>0.29048924989033797</v>
      </c>
      <c r="I1677">
        <v>0.269326729262649</v>
      </c>
      <c r="J1677">
        <v>0.226649711970006</v>
      </c>
      <c r="K1677">
        <v>0.166907862710831</v>
      </c>
      <c r="L1677">
        <v>956.10814931275195</v>
      </c>
      <c r="M1677">
        <v>18.0576758152535</v>
      </c>
      <c r="N1677">
        <v>54.542215010376701</v>
      </c>
      <c r="O1677">
        <v>52.310935031705199</v>
      </c>
      <c r="P1677">
        <v>-6.8602644311550304E-2</v>
      </c>
      <c r="Q1677">
        <v>0.205103986701723</v>
      </c>
      <c r="R1677">
        <v>0.98847290115266095</v>
      </c>
      <c r="S1677" t="s">
        <v>8323</v>
      </c>
      <c r="T1677" t="s">
        <v>13290</v>
      </c>
      <c r="U1677" t="s">
        <v>13290</v>
      </c>
      <c r="V1677" t="s">
        <v>13290</v>
      </c>
      <c r="W1677" t="s">
        <v>14936</v>
      </c>
      <c r="X1677">
        <v>12</v>
      </c>
      <c r="Y1677" t="s">
        <v>21508</v>
      </c>
      <c r="Z1677" t="s">
        <v>28007</v>
      </c>
      <c r="AA1677">
        <v>0.56112855206582291</v>
      </c>
      <c r="AB1677" t="str">
        <f>HYPERLINK("Melting_Curves/meltCurve_O75208_COQ9.pdf", "Melting_Curves/meltCurve_O75208_COQ9.pdf")</f>
        <v>Melting_Curves/meltCurve_O75208_COQ9.pdf</v>
      </c>
    </row>
    <row r="1678" spans="1:28" x14ac:dyDescent="0.25">
      <c r="A1678" t="s">
        <v>1682</v>
      </c>
      <c r="B1678">
        <v>0.99252571173614901</v>
      </c>
      <c r="C1678">
        <v>0.97456675746072197</v>
      </c>
      <c r="D1678">
        <v>1.0684823845017899</v>
      </c>
      <c r="E1678">
        <v>0.820307706620097</v>
      </c>
      <c r="F1678">
        <v>0.711267959180098</v>
      </c>
      <c r="G1678">
        <v>0.313241819026219</v>
      </c>
      <c r="H1678">
        <v>0.115468807577657</v>
      </c>
      <c r="I1678">
        <v>0.111272045415025</v>
      </c>
      <c r="J1678">
        <v>0.13508606103472301</v>
      </c>
      <c r="K1678">
        <v>0.139762132832804</v>
      </c>
      <c r="L1678">
        <v>1354.6914869505799</v>
      </c>
      <c r="M1678">
        <v>24.974729205299599</v>
      </c>
      <c r="N1678">
        <v>54.760303690346198</v>
      </c>
      <c r="O1678">
        <v>53.898323308383098</v>
      </c>
      <c r="P1678">
        <v>-0.10365981167542999</v>
      </c>
      <c r="Q1678">
        <v>0.10517340512385399</v>
      </c>
      <c r="R1678">
        <v>0.98449355151792095</v>
      </c>
      <c r="S1678" t="s">
        <v>8324</v>
      </c>
      <c r="T1678" t="s">
        <v>13290</v>
      </c>
      <c r="U1678" t="s">
        <v>13290</v>
      </c>
      <c r="V1678" t="s">
        <v>13290</v>
      </c>
      <c r="W1678" t="s">
        <v>14937</v>
      </c>
      <c r="X1678">
        <v>22</v>
      </c>
      <c r="Y1678" t="s">
        <v>21509</v>
      </c>
      <c r="Z1678" t="s">
        <v>28008</v>
      </c>
      <c r="AA1678">
        <v>0.53829184255742157</v>
      </c>
      <c r="AB1678" t="str">
        <f>HYPERLINK("Melting_Curves/meltCurve_O75223_GGCT.pdf", "Melting_Curves/meltCurve_O75223_GGCT.pdf")</f>
        <v>Melting_Curves/meltCurve_O75223_GGCT.pdf</v>
      </c>
    </row>
    <row r="1679" spans="1:28" x14ac:dyDescent="0.25">
      <c r="A1679" t="s">
        <v>1683</v>
      </c>
      <c r="B1679">
        <v>0.99252571173614901</v>
      </c>
      <c r="C1679">
        <v>0.89007915165348594</v>
      </c>
      <c r="D1679">
        <v>0.95014098505565003</v>
      </c>
      <c r="E1679">
        <v>0.90760335744547005</v>
      </c>
      <c r="F1679">
        <v>0.72398493073941805</v>
      </c>
      <c r="G1679">
        <v>0.42247478454458298</v>
      </c>
      <c r="H1679">
        <v>0.21298089517222399</v>
      </c>
      <c r="I1679">
        <v>0.12079931251184101</v>
      </c>
      <c r="J1679">
        <v>9.7906750705844106E-2</v>
      </c>
      <c r="K1679">
        <v>9.2432884316460406E-2</v>
      </c>
      <c r="L1679">
        <v>1037.33356655906</v>
      </c>
      <c r="M1679">
        <v>18.7031595114289</v>
      </c>
      <c r="N1679">
        <v>55.856390567429898</v>
      </c>
      <c r="O1679">
        <v>54.840626200868201</v>
      </c>
      <c r="P1679">
        <v>-8.0003899638802001E-2</v>
      </c>
      <c r="Q1679">
        <v>6.1703324823001497E-2</v>
      </c>
      <c r="R1679">
        <v>0.99057252464909595</v>
      </c>
      <c r="S1679" t="s">
        <v>8325</v>
      </c>
      <c r="T1679" t="s">
        <v>13290</v>
      </c>
      <c r="U1679" t="s">
        <v>13290</v>
      </c>
      <c r="V1679" t="s">
        <v>13290</v>
      </c>
      <c r="W1679" t="s">
        <v>14938</v>
      </c>
      <c r="X1679">
        <v>21</v>
      </c>
      <c r="Y1679" t="s">
        <v>21510</v>
      </c>
      <c r="Z1679" t="s">
        <v>28009</v>
      </c>
      <c r="AA1679">
        <v>0.55886037681194622</v>
      </c>
      <c r="AB1679" t="str">
        <f>HYPERLINK("Melting_Curves/meltCurve_O75306_NDUFS2.pdf", "Melting_Curves/meltCurve_O75306_NDUFS2.pdf")</f>
        <v>Melting_Curves/meltCurve_O75306_NDUFS2.pdf</v>
      </c>
    </row>
    <row r="1680" spans="1:28" x14ac:dyDescent="0.25">
      <c r="A1680" t="s">
        <v>1684</v>
      </c>
      <c r="B1680">
        <v>0.99252571173614901</v>
      </c>
      <c r="C1680">
        <v>0.99608560447641603</v>
      </c>
      <c r="D1680">
        <v>0.93851825441929104</v>
      </c>
      <c r="E1680">
        <v>0.76902217878060397</v>
      </c>
      <c r="F1680">
        <v>0.452581450398722</v>
      </c>
      <c r="G1680">
        <v>0.18029802609988599</v>
      </c>
      <c r="H1680">
        <v>0.10066503139411501</v>
      </c>
      <c r="I1680">
        <v>9.0883665140252895E-2</v>
      </c>
      <c r="J1680">
        <v>0.10167852936130101</v>
      </c>
      <c r="K1680">
        <v>9.9088173973545898E-2</v>
      </c>
      <c r="L1680">
        <v>1182.9948255668701</v>
      </c>
      <c r="M1680">
        <v>22.723552242280501</v>
      </c>
      <c r="N1680">
        <v>52.475815541535702</v>
      </c>
      <c r="O1680">
        <v>51.662138360503803</v>
      </c>
      <c r="P1680">
        <v>-0.100910473869356</v>
      </c>
      <c r="Q1680">
        <v>8.2335644284653703E-2</v>
      </c>
      <c r="R1680">
        <v>0.99868636342263895</v>
      </c>
      <c r="S1680" t="s">
        <v>8326</v>
      </c>
      <c r="T1680" t="s">
        <v>13290</v>
      </c>
      <c r="U1680" t="s">
        <v>13290</v>
      </c>
      <c r="V1680" t="s">
        <v>13290</v>
      </c>
      <c r="W1680" t="s">
        <v>14939</v>
      </c>
      <c r="X1680">
        <v>18</v>
      </c>
      <c r="Y1680" t="s">
        <v>21511</v>
      </c>
      <c r="Z1680" t="s">
        <v>28010</v>
      </c>
      <c r="AA1680">
        <v>0.46129392398510682</v>
      </c>
      <c r="AB1680" t="str">
        <f>HYPERLINK("Melting_Curves/meltCurve_O75312_ZNF259.pdf", "Melting_Curves/meltCurve_O75312_ZNF259.pdf")</f>
        <v>Melting_Curves/meltCurve_O75312_ZNF259.pdf</v>
      </c>
    </row>
    <row r="1681" spans="1:28" x14ac:dyDescent="0.25">
      <c r="A1681" t="s">
        <v>1685</v>
      </c>
      <c r="B1681">
        <v>0.99252571173614901</v>
      </c>
      <c r="C1681">
        <v>0.91054565104514196</v>
      </c>
      <c r="D1681">
        <v>1.06130812655076</v>
      </c>
      <c r="E1681">
        <v>1.0365967671798799</v>
      </c>
      <c r="F1681">
        <v>1.00350384014866</v>
      </c>
      <c r="G1681">
        <v>0.70654866256083004</v>
      </c>
      <c r="H1681">
        <v>0.159444992215142</v>
      </c>
      <c r="I1681">
        <v>9.1241610835343004E-2</v>
      </c>
      <c r="J1681">
        <v>8.7237060203907701E-2</v>
      </c>
      <c r="K1681">
        <v>8.3240150598822907E-2</v>
      </c>
      <c r="L1681">
        <v>2825.3850053216402</v>
      </c>
      <c r="M1681">
        <v>48.979050223799803</v>
      </c>
      <c r="N1681">
        <v>57.908073783587497</v>
      </c>
      <c r="O1681">
        <v>57.589663453173898</v>
      </c>
      <c r="P1681">
        <v>-0.19438470569070801</v>
      </c>
      <c r="Q1681">
        <v>8.5769170326830194E-2</v>
      </c>
      <c r="R1681">
        <v>0.99251333319578094</v>
      </c>
      <c r="S1681" t="s">
        <v>8327</v>
      </c>
      <c r="T1681" t="s">
        <v>13290</v>
      </c>
      <c r="U1681" t="s">
        <v>13290</v>
      </c>
      <c r="V1681" t="s">
        <v>13290</v>
      </c>
      <c r="W1681" t="s">
        <v>14940</v>
      </c>
      <c r="X1681">
        <v>20</v>
      </c>
      <c r="Y1681" t="s">
        <v>21512</v>
      </c>
      <c r="Z1681" t="s">
        <v>28011</v>
      </c>
      <c r="AA1681">
        <v>0.62714075048599938</v>
      </c>
      <c r="AB1681" t="str">
        <f>HYPERLINK("Melting_Curves/meltCurve_O75323_GBAS.pdf", "Melting_Curves/meltCurve_O75323_GBAS.pdf")</f>
        <v>Melting_Curves/meltCurve_O75323_GBAS.pdf</v>
      </c>
    </row>
    <row r="1682" spans="1:28" x14ac:dyDescent="0.25">
      <c r="A1682" t="s">
        <v>1686</v>
      </c>
      <c r="B1682">
        <v>0.99252571173614901</v>
      </c>
      <c r="C1682">
        <v>0.88681784513294803</v>
      </c>
      <c r="D1682">
        <v>0.63564013860521995</v>
      </c>
      <c r="E1682">
        <v>0.37366682265588702</v>
      </c>
      <c r="F1682">
        <v>0.21795463757862299</v>
      </c>
      <c r="G1682">
        <v>0.138406668531774</v>
      </c>
      <c r="H1682">
        <v>0.107024569906789</v>
      </c>
      <c r="I1682">
        <v>0.105764766227103</v>
      </c>
      <c r="J1682">
        <v>0.16182323496640799</v>
      </c>
      <c r="K1682">
        <v>0.17073950282104</v>
      </c>
      <c r="L1682">
        <v>922.95358224559504</v>
      </c>
      <c r="M1682">
        <v>19.6563743240586</v>
      </c>
      <c r="N1682">
        <v>47.689898238289601</v>
      </c>
      <c r="O1682">
        <v>46.476536007395197</v>
      </c>
      <c r="P1682">
        <v>-9.1911047030359905E-2</v>
      </c>
      <c r="Q1682">
        <v>0.13075359326949801</v>
      </c>
      <c r="R1682">
        <v>0.99431768727918302</v>
      </c>
      <c r="S1682" t="s">
        <v>8328</v>
      </c>
      <c r="T1682" t="s">
        <v>13290</v>
      </c>
      <c r="U1682" t="s">
        <v>13290</v>
      </c>
      <c r="V1682" t="s">
        <v>13290</v>
      </c>
      <c r="W1682" t="s">
        <v>14941</v>
      </c>
      <c r="X1682">
        <v>7</v>
      </c>
      <c r="Y1682" t="s">
        <v>21513</v>
      </c>
      <c r="Z1682" t="s">
        <v>28012</v>
      </c>
      <c r="AA1682">
        <v>0.34550430001365218</v>
      </c>
      <c r="AB1682" t="str">
        <f>HYPERLINK("Melting_Curves/meltCurve_O75330_2_HMMR.pdf", "Melting_Curves/meltCurve_O75330_2_HMMR.pdf")</f>
        <v>Melting_Curves/meltCurve_O75330_2_HMMR.pdf</v>
      </c>
    </row>
    <row r="1683" spans="1:28" x14ac:dyDescent="0.25">
      <c r="A1683" t="s">
        <v>1687</v>
      </c>
      <c r="B1683">
        <v>0.99252571173614901</v>
      </c>
      <c r="C1683">
        <v>0.96592587582474898</v>
      </c>
      <c r="D1683">
        <v>0.88609095381894099</v>
      </c>
      <c r="E1683">
        <v>0.59238393362602704</v>
      </c>
      <c r="F1683">
        <v>0.273191132150645</v>
      </c>
      <c r="G1683">
        <v>0.135917393816048</v>
      </c>
      <c r="H1683">
        <v>9.5035719475232705E-2</v>
      </c>
      <c r="I1683">
        <v>9.9237389425654604E-2</v>
      </c>
      <c r="J1683">
        <v>0.107823456943775</v>
      </c>
      <c r="K1683">
        <v>9.3604432227913495E-2</v>
      </c>
      <c r="L1683">
        <v>1146.1173525746101</v>
      </c>
      <c r="M1683">
        <v>22.926211199309101</v>
      </c>
      <c r="N1683">
        <v>50.432776409623301</v>
      </c>
      <c r="O1683">
        <v>49.615864548503801</v>
      </c>
      <c r="P1683">
        <v>-0.105023820114043</v>
      </c>
      <c r="Q1683">
        <v>9.0865773417065906E-2</v>
      </c>
      <c r="R1683">
        <v>0.99949569665502902</v>
      </c>
      <c r="S1683" t="s">
        <v>8329</v>
      </c>
      <c r="T1683" t="s">
        <v>13290</v>
      </c>
      <c r="U1683" t="s">
        <v>13290</v>
      </c>
      <c r="V1683" t="s">
        <v>13290</v>
      </c>
      <c r="W1683" t="s">
        <v>14942</v>
      </c>
      <c r="X1683">
        <v>11</v>
      </c>
      <c r="Y1683" t="s">
        <v>21514</v>
      </c>
      <c r="Z1683" t="s">
        <v>28013</v>
      </c>
      <c r="AA1683">
        <v>0.4033196392022047</v>
      </c>
      <c r="AB1683" t="str">
        <f>HYPERLINK("Melting_Curves/meltCurve_O75340_PDCD6.pdf", "Melting_Curves/meltCurve_O75340_PDCD6.pdf")</f>
        <v>Melting_Curves/meltCurve_O75340_PDCD6.pdf</v>
      </c>
    </row>
    <row r="1684" spans="1:28" x14ac:dyDescent="0.25">
      <c r="A1684" t="s">
        <v>1688</v>
      </c>
      <c r="B1684">
        <v>0.99252571173614901</v>
      </c>
      <c r="C1684">
        <v>1.0919038990801899</v>
      </c>
      <c r="D1684">
        <v>1.0194251860274399</v>
      </c>
      <c r="E1684">
        <v>1.0233159762997699</v>
      </c>
      <c r="F1684">
        <v>0.83001705945960802</v>
      </c>
      <c r="G1684">
        <v>0.68740546848913697</v>
      </c>
      <c r="H1684">
        <v>0.63742154568708498</v>
      </c>
      <c r="I1684">
        <v>0.75952111206166895</v>
      </c>
      <c r="J1684">
        <v>1.08930566636504</v>
      </c>
      <c r="K1684">
        <v>1.1342299770908699</v>
      </c>
      <c r="L1684">
        <v>6441.4413206631398</v>
      </c>
      <c r="M1684">
        <v>125.507243715128</v>
      </c>
      <c r="O1684">
        <v>51.310236218413898</v>
      </c>
      <c r="P1684">
        <v>-8.79662724126625E-2</v>
      </c>
      <c r="Q1684">
        <v>0.85614949465165902</v>
      </c>
      <c r="R1684">
        <v>0.23436113918818</v>
      </c>
      <c r="S1684" t="s">
        <v>8330</v>
      </c>
      <c r="T1684" t="s">
        <v>13290</v>
      </c>
      <c r="U1684" t="s">
        <v>13290</v>
      </c>
      <c r="V1684" t="s">
        <v>13290</v>
      </c>
      <c r="W1684" t="s">
        <v>14943</v>
      </c>
      <c r="X1684">
        <v>22</v>
      </c>
      <c r="Y1684" t="s">
        <v>21515</v>
      </c>
      <c r="Z1684" t="s">
        <v>28014</v>
      </c>
      <c r="AA1684">
        <v>0.91049617618868184</v>
      </c>
      <c r="AB1684" t="str">
        <f>HYPERLINK("Melting_Curves/meltCurve_O75347_TBCA.pdf", "Melting_Curves/meltCurve_O75347_TBCA.pdf")</f>
        <v>Melting_Curves/meltCurve_O75347_TBCA.pdf</v>
      </c>
    </row>
    <row r="1685" spans="1:28" x14ac:dyDescent="0.25">
      <c r="A1685" t="s">
        <v>1689</v>
      </c>
      <c r="B1685">
        <v>0.99252571173614901</v>
      </c>
      <c r="C1685">
        <v>1.0349322122700799</v>
      </c>
      <c r="D1685">
        <v>0.984020833320147</v>
      </c>
      <c r="E1685">
        <v>0.993752833222043</v>
      </c>
      <c r="F1685">
        <v>0.81313642407958797</v>
      </c>
      <c r="G1685">
        <v>0.56852085999454305</v>
      </c>
      <c r="H1685">
        <v>0.45082612969407398</v>
      </c>
      <c r="I1685">
        <v>0.50279150489917601</v>
      </c>
      <c r="J1685">
        <v>0.72781582193768402</v>
      </c>
      <c r="K1685">
        <v>0.79610743371908599</v>
      </c>
      <c r="L1685">
        <v>13304.648016978999</v>
      </c>
      <c r="M1685">
        <v>250</v>
      </c>
      <c r="O1685">
        <v>53.215201500555402</v>
      </c>
      <c r="P1685">
        <v>-0.45897102404096501</v>
      </c>
      <c r="Q1685">
        <v>0.60921234219662601</v>
      </c>
      <c r="R1685">
        <v>0.79438092458648202</v>
      </c>
      <c r="S1685" t="s">
        <v>8331</v>
      </c>
      <c r="T1685" t="s">
        <v>13290</v>
      </c>
      <c r="U1685" t="s">
        <v>13290</v>
      </c>
      <c r="V1685" t="s">
        <v>13290</v>
      </c>
      <c r="W1685" t="s">
        <v>14944</v>
      </c>
      <c r="X1685">
        <v>7</v>
      </c>
      <c r="Y1685" t="s">
        <v>21516</v>
      </c>
      <c r="Z1685" t="s">
        <v>28015</v>
      </c>
      <c r="AA1685">
        <v>0.78143759536042223</v>
      </c>
      <c r="AB1685" t="str">
        <f>HYPERLINK("Melting_Curves/meltCurve_O75348_ATP6V1G1.pdf", "Melting_Curves/meltCurve_O75348_ATP6V1G1.pdf")</f>
        <v>Melting_Curves/meltCurve_O75348_ATP6V1G1.pdf</v>
      </c>
    </row>
    <row r="1686" spans="1:28" x14ac:dyDescent="0.25">
      <c r="A1686" t="s">
        <v>1690</v>
      </c>
      <c r="B1686">
        <v>0.99252571173614901</v>
      </c>
      <c r="C1686">
        <v>0.97248154882590798</v>
      </c>
      <c r="D1686">
        <v>0.882604229229348</v>
      </c>
      <c r="E1686">
        <v>0.78580995114494501</v>
      </c>
      <c r="F1686">
        <v>0.191645973514628</v>
      </c>
      <c r="G1686">
        <v>0.11439927207466501</v>
      </c>
      <c r="H1686">
        <v>6.7851863871567997E-2</v>
      </c>
      <c r="I1686">
        <v>7.8024979352120896E-2</v>
      </c>
      <c r="J1686">
        <v>7.9624463400031098E-2</v>
      </c>
      <c r="K1686">
        <v>7.6396810739048096E-2</v>
      </c>
      <c r="L1686">
        <v>2138.3956363585899</v>
      </c>
      <c r="M1686">
        <v>42.008329753996499</v>
      </c>
      <c r="N1686">
        <v>51.111571996569999</v>
      </c>
      <c r="O1686">
        <v>50.789153577510199</v>
      </c>
      <c r="P1686">
        <v>-0.19056862498989699</v>
      </c>
      <c r="Q1686">
        <v>7.8392347256151199E-2</v>
      </c>
      <c r="R1686">
        <v>0.99158395227904295</v>
      </c>
      <c r="S1686" t="s">
        <v>8332</v>
      </c>
      <c r="T1686" t="s">
        <v>13290</v>
      </c>
      <c r="U1686" t="s">
        <v>13290</v>
      </c>
      <c r="V1686" t="s">
        <v>13290</v>
      </c>
      <c r="W1686" t="s">
        <v>14945</v>
      </c>
      <c r="X1686">
        <v>19</v>
      </c>
      <c r="Y1686" t="s">
        <v>21517</v>
      </c>
      <c r="Z1686" t="s">
        <v>28016</v>
      </c>
      <c r="AA1686">
        <v>0.41630665099619357</v>
      </c>
      <c r="AB1686" t="str">
        <f>HYPERLINK("Melting_Curves/meltCurve_O75351_VPS4B.pdf", "Melting_Curves/meltCurve_O75351_VPS4B.pdf")</f>
        <v>Melting_Curves/meltCurve_O75351_VPS4B.pdf</v>
      </c>
    </row>
    <row r="1687" spans="1:28" x14ac:dyDescent="0.25">
      <c r="A1687" t="s">
        <v>1691</v>
      </c>
      <c r="B1687">
        <v>0.99252571173614901</v>
      </c>
      <c r="C1687">
        <v>0.99613011315793099</v>
      </c>
      <c r="D1687">
        <v>0.96529068357621395</v>
      </c>
      <c r="E1687">
        <v>0.96928757070712002</v>
      </c>
      <c r="F1687">
        <v>0.83379590677469295</v>
      </c>
      <c r="G1687">
        <v>0.77568121712788396</v>
      </c>
      <c r="H1687">
        <v>0.61749547440008001</v>
      </c>
      <c r="I1687">
        <v>0.65251028529157395</v>
      </c>
      <c r="J1687">
        <v>0.95367195720761</v>
      </c>
      <c r="K1687">
        <v>0.66583698510919298</v>
      </c>
      <c r="L1687">
        <v>1760.8974512295099</v>
      </c>
      <c r="M1687">
        <v>33.508139958127899</v>
      </c>
      <c r="O1687">
        <v>52.3652261852774</v>
      </c>
      <c r="P1687">
        <v>-4.3563493737386501E-2</v>
      </c>
      <c r="Q1687">
        <v>0.72768378665922895</v>
      </c>
      <c r="R1687">
        <v>0.64526978326756201</v>
      </c>
      <c r="S1687" t="s">
        <v>8333</v>
      </c>
      <c r="T1687" t="s">
        <v>13290</v>
      </c>
      <c r="U1687" t="s">
        <v>13290</v>
      </c>
      <c r="V1687" t="s">
        <v>13290</v>
      </c>
      <c r="W1687" t="s">
        <v>14946</v>
      </c>
      <c r="X1687">
        <v>8</v>
      </c>
      <c r="Y1687" t="s">
        <v>21518</v>
      </c>
      <c r="Z1687" t="s">
        <v>28017</v>
      </c>
      <c r="AA1687">
        <v>0.84302396590144779</v>
      </c>
      <c r="AB1687" t="str">
        <f>HYPERLINK("Melting_Curves/meltCurve_O75355_ENTPD3.pdf", "Melting_Curves/meltCurve_O75355_ENTPD3.pdf")</f>
        <v>Melting_Curves/meltCurve_O75355_ENTPD3.pdf</v>
      </c>
    </row>
    <row r="1688" spans="1:28" x14ac:dyDescent="0.25">
      <c r="A1688" t="s">
        <v>1692</v>
      </c>
      <c r="B1688">
        <v>0.99252571173614901</v>
      </c>
      <c r="C1688">
        <v>1.0202001873728599</v>
      </c>
      <c r="D1688">
        <v>0.94053146509148999</v>
      </c>
      <c r="E1688">
        <v>0.93605676006792204</v>
      </c>
      <c r="F1688">
        <v>0.59539623565629396</v>
      </c>
      <c r="G1688">
        <v>0.306536362658127</v>
      </c>
      <c r="H1688">
        <v>0.197687404747724</v>
      </c>
      <c r="I1688">
        <v>0.19353274793394201</v>
      </c>
      <c r="J1688">
        <v>0.24397509168689899</v>
      </c>
      <c r="K1688">
        <v>0.21534345318668999</v>
      </c>
      <c r="L1688">
        <v>1711.1238011243599</v>
      </c>
      <c r="M1688">
        <v>32.198399506958502</v>
      </c>
      <c r="N1688">
        <v>54.0567156759261</v>
      </c>
      <c r="O1688">
        <v>52.939401299856698</v>
      </c>
      <c r="P1688">
        <v>-0.120147218467051</v>
      </c>
      <c r="Q1688">
        <v>0.20983768093181901</v>
      </c>
      <c r="R1688">
        <v>0.99536282680594701</v>
      </c>
      <c r="S1688" t="s">
        <v>8334</v>
      </c>
      <c r="T1688" t="s">
        <v>13290</v>
      </c>
      <c r="U1688" t="s">
        <v>13290</v>
      </c>
      <c r="V1688" t="s">
        <v>13290</v>
      </c>
      <c r="W1688" t="s">
        <v>14947</v>
      </c>
      <c r="X1688">
        <v>4</v>
      </c>
      <c r="Y1688" t="s">
        <v>21519</v>
      </c>
      <c r="Z1688" t="s">
        <v>28018</v>
      </c>
      <c r="AA1688">
        <v>0.56047929174980338</v>
      </c>
      <c r="AB1688" t="str">
        <f>HYPERLINK("Melting_Curves/meltCurve_O75356_ENTPD5.pdf", "Melting_Curves/meltCurve_O75356_ENTPD5.pdf")</f>
        <v>Melting_Curves/meltCurve_O75356_ENTPD5.pdf</v>
      </c>
    </row>
    <row r="1689" spans="1:28" x14ac:dyDescent="0.25">
      <c r="A1689" t="s">
        <v>1693</v>
      </c>
      <c r="B1689">
        <v>0.99252571173614901</v>
      </c>
      <c r="C1689">
        <v>0.95395607444327601</v>
      </c>
      <c r="D1689">
        <v>0.88057846082205204</v>
      </c>
      <c r="E1689">
        <v>0.83593648886245397</v>
      </c>
      <c r="F1689">
        <v>0.77001483073354804</v>
      </c>
      <c r="G1689">
        <v>0.746033517944512</v>
      </c>
      <c r="H1689">
        <v>0.782408391812079</v>
      </c>
      <c r="I1689">
        <v>1.01111028456413</v>
      </c>
      <c r="J1689">
        <v>1.17252255018197</v>
      </c>
      <c r="K1689">
        <v>1.1382735771043999</v>
      </c>
      <c r="L1689">
        <v>15000</v>
      </c>
      <c r="M1689">
        <v>231.817205208459</v>
      </c>
      <c r="O1689">
        <v>64.701339589102503</v>
      </c>
      <c r="P1689">
        <v>0.13920693173680301</v>
      </c>
      <c r="Q1689">
        <v>1.1554133980672301</v>
      </c>
      <c r="R1689">
        <v>-1.42806857331361E-2</v>
      </c>
      <c r="S1689" t="s">
        <v>8335</v>
      </c>
      <c r="T1689" t="s">
        <v>13290</v>
      </c>
      <c r="U1689" t="s">
        <v>13290</v>
      </c>
      <c r="V1689" t="s">
        <v>13290</v>
      </c>
      <c r="W1689" t="s">
        <v>14948</v>
      </c>
      <c r="X1689">
        <v>4</v>
      </c>
      <c r="Y1689" t="s">
        <v>21520</v>
      </c>
      <c r="Z1689" t="s">
        <v>28019</v>
      </c>
      <c r="AA1689">
        <v>1.027403955303003</v>
      </c>
      <c r="AB1689" t="str">
        <f>HYPERLINK("Melting_Curves/meltCurve_O75362_ZNF217.pdf", "Melting_Curves/meltCurve_O75362_ZNF217.pdf")</f>
        <v>Melting_Curves/meltCurve_O75362_ZNF217.pdf</v>
      </c>
    </row>
    <row r="1690" spans="1:28" x14ac:dyDescent="0.25">
      <c r="A1690" t="s">
        <v>1694</v>
      </c>
      <c r="B1690">
        <v>0.99252571173614901</v>
      </c>
      <c r="C1690">
        <v>0.81687705974952496</v>
      </c>
      <c r="D1690">
        <v>0.92431773765876402</v>
      </c>
      <c r="E1690">
        <v>1.0404442902141899</v>
      </c>
      <c r="F1690">
        <v>0.98314071072033704</v>
      </c>
      <c r="G1690">
        <v>0.76299610978224797</v>
      </c>
      <c r="H1690">
        <v>0.76045864776324301</v>
      </c>
      <c r="I1690">
        <v>0.46759648183626701</v>
      </c>
      <c r="J1690">
        <v>0.400221245895378</v>
      </c>
      <c r="K1690">
        <v>0.31725035065079699</v>
      </c>
      <c r="L1690">
        <v>896.40538500609796</v>
      </c>
      <c r="M1690">
        <v>14.261302255140301</v>
      </c>
      <c r="N1690">
        <v>64.463798523967199</v>
      </c>
      <c r="O1690">
        <v>61.658645632456597</v>
      </c>
      <c r="P1690">
        <v>-4.9175064518571197E-2</v>
      </c>
      <c r="Q1690">
        <v>0.14967246022064701</v>
      </c>
      <c r="R1690">
        <v>0.90224248530764095</v>
      </c>
      <c r="S1690" t="s">
        <v>8336</v>
      </c>
      <c r="T1690" t="s">
        <v>13290</v>
      </c>
      <c r="U1690" t="s">
        <v>13290</v>
      </c>
      <c r="V1690" t="s">
        <v>13290</v>
      </c>
      <c r="W1690" t="s">
        <v>14949</v>
      </c>
      <c r="X1690">
        <v>3</v>
      </c>
      <c r="Y1690" t="s">
        <v>21521</v>
      </c>
      <c r="Z1690" t="s">
        <v>28020</v>
      </c>
      <c r="AA1690">
        <v>0.78886346120304907</v>
      </c>
      <c r="AB1690" t="str">
        <f>HYPERLINK("Melting_Curves/meltCurve_O75367_2_H2AFY.pdf", "Melting_Curves/meltCurve_O75367_2_H2AFY.pdf")</f>
        <v>Melting_Curves/meltCurve_O75367_2_H2AFY.pdf</v>
      </c>
    </row>
    <row r="1691" spans="1:28" x14ac:dyDescent="0.25">
      <c r="A1691" t="s">
        <v>1695</v>
      </c>
      <c r="B1691">
        <v>0.99252571173614901</v>
      </c>
      <c r="C1691">
        <v>1.06767790656275</v>
      </c>
      <c r="D1691">
        <v>0.94749816239545204</v>
      </c>
      <c r="E1691">
        <v>0.68956844356023095</v>
      </c>
      <c r="F1691">
        <v>0.48146327079946</v>
      </c>
      <c r="G1691">
        <v>0.32621239984471201</v>
      </c>
      <c r="H1691">
        <v>0.23804719700642901</v>
      </c>
      <c r="I1691">
        <v>0.30855956660491901</v>
      </c>
      <c r="J1691">
        <v>0.42050279551754399</v>
      </c>
      <c r="K1691">
        <v>0.45941252609905697</v>
      </c>
      <c r="L1691">
        <v>1472.4977790048699</v>
      </c>
      <c r="M1691">
        <v>29.5187741763026</v>
      </c>
      <c r="N1691">
        <v>52.032782315486699</v>
      </c>
      <c r="O1691">
        <v>49.656164360925203</v>
      </c>
      <c r="P1691">
        <v>-9.6261039708481502E-2</v>
      </c>
      <c r="Q1691">
        <v>0.352287186744006</v>
      </c>
      <c r="R1691">
        <v>0.95229258582654996</v>
      </c>
      <c r="S1691" t="s">
        <v>8337</v>
      </c>
      <c r="T1691" t="s">
        <v>13290</v>
      </c>
      <c r="U1691" t="s">
        <v>13290</v>
      </c>
      <c r="V1691" t="s">
        <v>13290</v>
      </c>
      <c r="W1691" t="s">
        <v>14950</v>
      </c>
      <c r="X1691">
        <v>10</v>
      </c>
      <c r="Y1691" t="s">
        <v>21522</v>
      </c>
      <c r="Z1691" t="s">
        <v>28021</v>
      </c>
      <c r="AA1691">
        <v>0.56980658352934266</v>
      </c>
      <c r="AB1691" t="str">
        <f>HYPERLINK("Melting_Curves/meltCurve_O75368_SH3BGRL.pdf", "Melting_Curves/meltCurve_O75368_SH3BGRL.pdf")</f>
        <v>Melting_Curves/meltCurve_O75368_SH3BGRL.pdf</v>
      </c>
    </row>
    <row r="1692" spans="1:28" x14ac:dyDescent="0.25">
      <c r="A1692" t="s">
        <v>1696</v>
      </c>
      <c r="B1692">
        <v>0.99252571173614901</v>
      </c>
      <c r="C1692">
        <v>0.90555454734998198</v>
      </c>
      <c r="D1692">
        <v>0.91197632340342205</v>
      </c>
      <c r="E1692">
        <v>0.85906086477368004</v>
      </c>
      <c r="F1692">
        <v>0.30425681104129698</v>
      </c>
      <c r="G1692">
        <v>0.12697006327952801</v>
      </c>
      <c r="H1692">
        <v>8.48447356200773E-2</v>
      </c>
      <c r="I1692">
        <v>8.3482540421874807E-2</v>
      </c>
      <c r="J1692">
        <v>8.9567804184536901E-2</v>
      </c>
      <c r="K1692">
        <v>8.7230066420981703E-2</v>
      </c>
      <c r="L1692">
        <v>1984.0042577163999</v>
      </c>
      <c r="M1692">
        <v>38.409649337811601</v>
      </c>
      <c r="N1692">
        <v>51.913032751449897</v>
      </c>
      <c r="O1692">
        <v>51.514355882503502</v>
      </c>
      <c r="P1692">
        <v>-0.170136420386516</v>
      </c>
      <c r="Q1692">
        <v>8.7265762227801899E-2</v>
      </c>
      <c r="R1692">
        <v>0.98974722929758696</v>
      </c>
      <c r="S1692" t="s">
        <v>8338</v>
      </c>
      <c r="T1692" t="s">
        <v>13290</v>
      </c>
      <c r="U1692" t="s">
        <v>13290</v>
      </c>
      <c r="V1692" t="s">
        <v>13290</v>
      </c>
      <c r="W1692" t="s">
        <v>14951</v>
      </c>
      <c r="X1692">
        <v>102</v>
      </c>
      <c r="Y1692" t="s">
        <v>21523</v>
      </c>
      <c r="Z1692" t="s">
        <v>28022</v>
      </c>
      <c r="AA1692">
        <v>0.44536133861730148</v>
      </c>
      <c r="AB1692" t="str">
        <f>HYPERLINK("Melting_Curves/meltCurve_O75369_2_FLNB.pdf", "Melting_Curves/meltCurve_O75369_2_FLNB.pdf")</f>
        <v>Melting_Curves/meltCurve_O75369_2_FLNB.pdf</v>
      </c>
    </row>
    <row r="1693" spans="1:28" x14ac:dyDescent="0.25">
      <c r="A1693" t="s">
        <v>1697</v>
      </c>
      <c r="B1693">
        <v>0.99252571173614901</v>
      </c>
      <c r="C1693">
        <v>0.71478288575357496</v>
      </c>
      <c r="D1693">
        <v>0.66187424788684901</v>
      </c>
      <c r="E1693">
        <v>0.53027686991415701</v>
      </c>
      <c r="F1693">
        <v>0.30997375920880699</v>
      </c>
      <c r="G1693">
        <v>0.18381297199841501</v>
      </c>
      <c r="H1693">
        <v>0.143787561669838</v>
      </c>
      <c r="I1693">
        <v>0.21107859094704001</v>
      </c>
      <c r="J1693">
        <v>0.41455297496556798</v>
      </c>
      <c r="K1693">
        <v>0.72928752291075705</v>
      </c>
      <c r="L1693">
        <v>810.94496832822597</v>
      </c>
      <c r="M1693">
        <v>17.9824260682466</v>
      </c>
      <c r="N1693">
        <v>48.069870348769498</v>
      </c>
      <c r="O1693">
        <v>44.549925537921098</v>
      </c>
      <c r="P1693">
        <v>-6.7049182121488096E-2</v>
      </c>
      <c r="Q1693">
        <v>0.33559840859857198</v>
      </c>
      <c r="R1693">
        <v>0.62502322863235604</v>
      </c>
      <c r="S1693" t="s">
        <v>8339</v>
      </c>
      <c r="T1693" t="s">
        <v>13290</v>
      </c>
      <c r="U1693" t="s">
        <v>13290</v>
      </c>
      <c r="V1693" t="s">
        <v>13290</v>
      </c>
      <c r="W1693" t="s">
        <v>14952</v>
      </c>
      <c r="X1693">
        <v>13</v>
      </c>
      <c r="Y1693" t="s">
        <v>21524</v>
      </c>
      <c r="Z1693" t="s">
        <v>28023</v>
      </c>
      <c r="AA1693">
        <v>0.46267791681034998</v>
      </c>
      <c r="AB1693" t="str">
        <f>HYPERLINK("Melting_Curves/meltCurve_O75376_NCOR1.pdf", "Melting_Curves/meltCurve_O75376_NCOR1.pdf")</f>
        <v>Melting_Curves/meltCurve_O75376_NCOR1.pdf</v>
      </c>
    </row>
    <row r="1694" spans="1:28" x14ac:dyDescent="0.25">
      <c r="A1694" t="s">
        <v>1698</v>
      </c>
      <c r="B1694">
        <v>0.99252571173614901</v>
      </c>
      <c r="C1694">
        <v>0.97341413717286696</v>
      </c>
      <c r="D1694">
        <v>0.93913452229548799</v>
      </c>
      <c r="E1694">
        <v>1.03129631687645</v>
      </c>
      <c r="F1694">
        <v>0.71178956809479299</v>
      </c>
      <c r="G1694">
        <v>0.50033091067657298</v>
      </c>
      <c r="H1694">
        <v>0.40881610542647301</v>
      </c>
      <c r="I1694">
        <v>0.56116606222146903</v>
      </c>
      <c r="J1694">
        <v>0.91652820279365899</v>
      </c>
      <c r="K1694">
        <v>0.74124250547998305</v>
      </c>
      <c r="L1694">
        <v>13235.7696997001</v>
      </c>
      <c r="M1694">
        <v>250</v>
      </c>
      <c r="O1694">
        <v>52.939665962876198</v>
      </c>
      <c r="P1694">
        <v>-0.44199261814631702</v>
      </c>
      <c r="Q1694">
        <v>0.62561675855203702</v>
      </c>
      <c r="R1694">
        <v>0.62951910712767301</v>
      </c>
      <c r="S1694" t="s">
        <v>8340</v>
      </c>
      <c r="T1694" t="s">
        <v>13290</v>
      </c>
      <c r="U1694" t="s">
        <v>13290</v>
      </c>
      <c r="V1694" t="s">
        <v>13290</v>
      </c>
      <c r="W1694" t="s">
        <v>14953</v>
      </c>
      <c r="X1694">
        <v>2</v>
      </c>
      <c r="Y1694" t="s">
        <v>21525</v>
      </c>
      <c r="Z1694" t="s">
        <v>28024</v>
      </c>
      <c r="AA1694">
        <v>0.78717393726814811</v>
      </c>
      <c r="AB1694" t="str">
        <f>HYPERLINK("Melting_Curves/meltCurve_O75379_2_VAMP4.pdf", "Melting_Curves/meltCurve_O75379_2_VAMP4.pdf")</f>
        <v>Melting_Curves/meltCurve_O75379_2_VAMP4.pdf</v>
      </c>
    </row>
    <row r="1695" spans="1:28" x14ac:dyDescent="0.25">
      <c r="A1695" t="s">
        <v>1699</v>
      </c>
      <c r="B1695">
        <v>0.99252571173614901</v>
      </c>
      <c r="C1695">
        <v>1.0846275050127401</v>
      </c>
      <c r="D1695">
        <v>1.0697115144254501</v>
      </c>
      <c r="E1695">
        <v>1.26084930527873</v>
      </c>
      <c r="F1695">
        <v>1.2687382199680399</v>
      </c>
      <c r="G1695">
        <v>1.0823375475832699</v>
      </c>
      <c r="H1695">
        <v>1.1622760380513699</v>
      </c>
      <c r="I1695">
        <v>1.41568743326422</v>
      </c>
      <c r="J1695">
        <v>2.1094513865407101</v>
      </c>
      <c r="K1695">
        <v>2.3926917872227298</v>
      </c>
      <c r="L1695">
        <v>4366.2294817024704</v>
      </c>
      <c r="M1695">
        <v>71.035843189370297</v>
      </c>
      <c r="O1695">
        <v>61.416505384338201</v>
      </c>
      <c r="P1695">
        <v>0.14457811891366801</v>
      </c>
      <c r="Q1695">
        <v>1.5</v>
      </c>
      <c r="R1695">
        <v>0.35178711283608</v>
      </c>
      <c r="S1695" t="s">
        <v>8341</v>
      </c>
      <c r="T1695" t="s">
        <v>13290</v>
      </c>
      <c r="U1695" t="s">
        <v>13290</v>
      </c>
      <c r="V1695" t="s">
        <v>13290</v>
      </c>
      <c r="W1695" t="s">
        <v>14954</v>
      </c>
      <c r="X1695">
        <v>9</v>
      </c>
      <c r="Y1695" t="s">
        <v>21526</v>
      </c>
      <c r="Z1695" t="s">
        <v>28025</v>
      </c>
      <c r="AA1695">
        <v>1.1415809537316219</v>
      </c>
      <c r="AB1695" t="str">
        <f>HYPERLINK("Melting_Curves/meltCurve_O75380_NDUFS6.pdf", "Melting_Curves/meltCurve_O75380_NDUFS6.pdf")</f>
        <v>Melting_Curves/meltCurve_O75380_NDUFS6.pdf</v>
      </c>
    </row>
    <row r="1696" spans="1:28" x14ac:dyDescent="0.25">
      <c r="A1696" t="s">
        <v>1700</v>
      </c>
      <c r="B1696">
        <v>0.99252571173614901</v>
      </c>
      <c r="C1696">
        <v>0.90410127696925402</v>
      </c>
      <c r="D1696">
        <v>0.80876301526518501</v>
      </c>
      <c r="E1696">
        <v>0.79934268347598603</v>
      </c>
      <c r="F1696">
        <v>0.52134517447477602</v>
      </c>
      <c r="G1696">
        <v>0.35320651587077001</v>
      </c>
      <c r="H1696">
        <v>0.3343014274808</v>
      </c>
      <c r="I1696">
        <v>0.42226712195396499</v>
      </c>
      <c r="J1696">
        <v>0.74765957009419104</v>
      </c>
      <c r="K1696">
        <v>0.62523894290425297</v>
      </c>
      <c r="L1696">
        <v>982.66466572190996</v>
      </c>
      <c r="M1696">
        <v>20.3814223684452</v>
      </c>
      <c r="N1696">
        <v>63.266616760458298</v>
      </c>
      <c r="O1696">
        <v>47.756798047479002</v>
      </c>
      <c r="P1696">
        <v>-5.3766448926055498E-2</v>
      </c>
      <c r="Q1696">
        <v>0.49608308028799902</v>
      </c>
      <c r="R1696">
        <v>0.67062453148361101</v>
      </c>
      <c r="S1696" t="s">
        <v>8342</v>
      </c>
      <c r="T1696" t="s">
        <v>13290</v>
      </c>
      <c r="U1696" t="s">
        <v>13290</v>
      </c>
      <c r="V1696" t="s">
        <v>13290</v>
      </c>
      <c r="W1696" t="s">
        <v>14955</v>
      </c>
      <c r="X1696">
        <v>7</v>
      </c>
      <c r="Y1696" t="s">
        <v>21527</v>
      </c>
      <c r="Z1696" t="s">
        <v>28026</v>
      </c>
      <c r="AA1696">
        <v>0.64090550590472517</v>
      </c>
      <c r="AB1696" t="str">
        <f>HYPERLINK("Melting_Curves/meltCurve_O75381_2_PEX14.pdf", "Melting_Curves/meltCurve_O75381_2_PEX14.pdf")</f>
        <v>Melting_Curves/meltCurve_O75381_2_PEX14.pdf</v>
      </c>
    </row>
    <row r="1697" spans="1:28" x14ac:dyDescent="0.25">
      <c r="A1697" t="s">
        <v>1701</v>
      </c>
      <c r="B1697">
        <v>0.99252571173614901</v>
      </c>
      <c r="C1697">
        <v>0.90830716390575195</v>
      </c>
      <c r="D1697">
        <v>0.77964098290554595</v>
      </c>
      <c r="E1697">
        <v>0.393701412962495</v>
      </c>
      <c r="F1697">
        <v>7.0528029328149805E-2</v>
      </c>
      <c r="G1697">
        <v>4.3030543518712598E-2</v>
      </c>
      <c r="H1697">
        <v>2.1501710518691101E-2</v>
      </c>
      <c r="I1697">
        <v>3.7123089070557003E-2</v>
      </c>
      <c r="J1697">
        <v>6.4131201391051995E-2</v>
      </c>
      <c r="K1697">
        <v>3.0221489211230999E-2</v>
      </c>
      <c r="L1697">
        <v>1177.5888766765199</v>
      </c>
      <c r="M1697">
        <v>24.372440526458799</v>
      </c>
      <c r="N1697">
        <v>48.424691905903202</v>
      </c>
      <c r="O1697">
        <v>47.994653409322702</v>
      </c>
      <c r="P1697">
        <v>-0.123588961102772</v>
      </c>
      <c r="Q1697">
        <v>2.65197705225034E-2</v>
      </c>
      <c r="R1697">
        <v>0.99501509213745698</v>
      </c>
      <c r="S1697" t="s">
        <v>8343</v>
      </c>
      <c r="T1697" t="s">
        <v>13290</v>
      </c>
      <c r="U1697" t="s">
        <v>13290</v>
      </c>
      <c r="V1697" t="s">
        <v>13290</v>
      </c>
      <c r="W1697" t="s">
        <v>14956</v>
      </c>
      <c r="X1697">
        <v>1</v>
      </c>
      <c r="Y1697" t="s">
        <v>21528</v>
      </c>
      <c r="Z1697" t="s">
        <v>28027</v>
      </c>
      <c r="AA1697">
        <v>0.30545709865300041</v>
      </c>
      <c r="AB1697" t="str">
        <f>HYPERLINK("Melting_Curves/meltCurve_O75382_2_TRIM3.pdf", "Melting_Curves/meltCurve_O75382_2_TRIM3.pdf")</f>
        <v>Melting_Curves/meltCurve_O75382_2_TRIM3.pdf</v>
      </c>
    </row>
    <row r="1698" spans="1:28" x14ac:dyDescent="0.25">
      <c r="A1698" t="s">
        <v>1702</v>
      </c>
      <c r="B1698">
        <v>0.99252571173614901</v>
      </c>
      <c r="C1698">
        <v>0.95299003943645899</v>
      </c>
      <c r="D1698">
        <v>0.83638076084825097</v>
      </c>
      <c r="E1698">
        <v>0.88018077258866001</v>
      </c>
      <c r="F1698">
        <v>0.68786683313699903</v>
      </c>
      <c r="G1698">
        <v>0.44154779103931602</v>
      </c>
      <c r="H1698">
        <v>0.33851433828549099</v>
      </c>
      <c r="I1698">
        <v>0.334513271623325</v>
      </c>
      <c r="J1698">
        <v>0.33932204748039502</v>
      </c>
      <c r="K1698">
        <v>0.20676227243234599</v>
      </c>
      <c r="L1698">
        <v>694.20631645511105</v>
      </c>
      <c r="M1698">
        <v>12.8107244655556</v>
      </c>
      <c r="N1698">
        <v>56.639469411614499</v>
      </c>
      <c r="O1698">
        <v>52.9199575978379</v>
      </c>
      <c r="P1698">
        <v>-4.7654763363859598E-2</v>
      </c>
      <c r="Q1698">
        <v>0.21271700622779099</v>
      </c>
      <c r="R1698">
        <v>0.96933366755241102</v>
      </c>
      <c r="S1698" t="s">
        <v>8344</v>
      </c>
      <c r="T1698" t="s">
        <v>13290</v>
      </c>
      <c r="U1698" t="s">
        <v>13290</v>
      </c>
      <c r="V1698" t="s">
        <v>13290</v>
      </c>
      <c r="W1698" t="s">
        <v>14957</v>
      </c>
      <c r="X1698">
        <v>2</v>
      </c>
      <c r="Y1698" t="s">
        <v>21529</v>
      </c>
      <c r="Z1698" t="s">
        <v>28028</v>
      </c>
      <c r="AA1698">
        <v>0.6040820504387725</v>
      </c>
      <c r="AB1698" t="str">
        <f>HYPERLINK("Melting_Curves/meltCurve_O75387_SLC43A1.pdf", "Melting_Curves/meltCurve_O75387_SLC43A1.pdf")</f>
        <v>Melting_Curves/meltCurve_O75387_SLC43A1.pdf</v>
      </c>
    </row>
    <row r="1699" spans="1:28" x14ac:dyDescent="0.25">
      <c r="A1699" t="s">
        <v>1703</v>
      </c>
      <c r="B1699">
        <v>0.99252571173614901</v>
      </c>
      <c r="C1699">
        <v>1.1249407043959501</v>
      </c>
      <c r="D1699">
        <v>0.99334351883546401</v>
      </c>
      <c r="E1699">
        <v>0.95596963216247599</v>
      </c>
      <c r="F1699">
        <v>0.67802321254329201</v>
      </c>
      <c r="G1699">
        <v>0.476346337284688</v>
      </c>
      <c r="H1699">
        <v>0.41351221974793101</v>
      </c>
      <c r="I1699">
        <v>0.52055624524150201</v>
      </c>
      <c r="J1699">
        <v>0.82466630724815804</v>
      </c>
      <c r="K1699">
        <v>0.91763763451438396</v>
      </c>
      <c r="L1699">
        <v>3143.3278828092102</v>
      </c>
      <c r="M1699">
        <v>61.272998552659097</v>
      </c>
      <c r="O1699">
        <v>51.2458245040958</v>
      </c>
      <c r="P1699">
        <v>-0.110015324552923</v>
      </c>
      <c r="Q1699">
        <v>0.63195383606960198</v>
      </c>
      <c r="R1699">
        <v>0.61191296207625001</v>
      </c>
      <c r="S1699" t="s">
        <v>8345</v>
      </c>
      <c r="T1699" t="s">
        <v>13290</v>
      </c>
      <c r="U1699" t="s">
        <v>13290</v>
      </c>
      <c r="V1699" t="s">
        <v>13290</v>
      </c>
      <c r="W1699" t="s">
        <v>14958</v>
      </c>
      <c r="X1699">
        <v>18</v>
      </c>
      <c r="Y1699" t="s">
        <v>21530</v>
      </c>
      <c r="Z1699" t="s">
        <v>28029</v>
      </c>
      <c r="AA1699">
        <v>0.77114271510727184</v>
      </c>
      <c r="AB1699" t="str">
        <f>HYPERLINK("Melting_Curves/meltCurve_O75391_SPAG7.pdf", "Melting_Curves/meltCurve_O75391_SPAG7.pdf")</f>
        <v>Melting_Curves/meltCurve_O75391_SPAG7.pdf</v>
      </c>
    </row>
    <row r="1700" spans="1:28" x14ac:dyDescent="0.25">
      <c r="A1700" t="s">
        <v>1704</v>
      </c>
      <c r="B1700">
        <v>0.99252571173614901</v>
      </c>
      <c r="C1700">
        <v>0.90926489979673597</v>
      </c>
      <c r="D1700">
        <v>0.83506561315011396</v>
      </c>
      <c r="E1700">
        <v>0.71225738674962502</v>
      </c>
      <c r="F1700">
        <v>0.40760389934949798</v>
      </c>
      <c r="G1700">
        <v>0.131516903191818</v>
      </c>
      <c r="H1700">
        <v>5.6549849257040097E-2</v>
      </c>
      <c r="I1700">
        <v>5.4936518624938202E-2</v>
      </c>
      <c r="J1700">
        <v>5.8826361654504403E-2</v>
      </c>
      <c r="K1700">
        <v>5.3275056157497898E-2</v>
      </c>
      <c r="L1700">
        <v>880.67785819327196</v>
      </c>
      <c r="M1700">
        <v>17.0850919974249</v>
      </c>
      <c r="N1700">
        <v>51.657764675717303</v>
      </c>
      <c r="O1700">
        <v>50.855929265545001</v>
      </c>
      <c r="P1700">
        <v>-8.2476365497665904E-2</v>
      </c>
      <c r="Q1700">
        <v>1.80543227376431E-2</v>
      </c>
      <c r="R1700">
        <v>0.99018606231232198</v>
      </c>
      <c r="S1700" t="s">
        <v>8346</v>
      </c>
      <c r="T1700" t="s">
        <v>13290</v>
      </c>
      <c r="U1700" t="s">
        <v>13290</v>
      </c>
      <c r="V1700" t="s">
        <v>13290</v>
      </c>
      <c r="W1700" t="s">
        <v>14959</v>
      </c>
      <c r="X1700">
        <v>12</v>
      </c>
      <c r="Y1700" t="s">
        <v>21531</v>
      </c>
      <c r="Z1700" t="s">
        <v>28030</v>
      </c>
      <c r="AA1700">
        <v>0.4139800688122347</v>
      </c>
      <c r="AB1700" t="str">
        <f>HYPERLINK("Melting_Curves/meltCurve_O75396_SEC22B.pdf", "Melting_Curves/meltCurve_O75396_SEC22B.pdf")</f>
        <v>Melting_Curves/meltCurve_O75396_SEC22B.pdf</v>
      </c>
    </row>
    <row r="1701" spans="1:28" x14ac:dyDescent="0.25">
      <c r="A1701" t="s">
        <v>1705</v>
      </c>
      <c r="B1701">
        <v>0.99252571173614901</v>
      </c>
      <c r="C1701">
        <v>0.94603140515545903</v>
      </c>
      <c r="D1701">
        <v>0.55572707401614696</v>
      </c>
      <c r="E1701">
        <v>0.31183726048531601</v>
      </c>
      <c r="F1701">
        <v>0.11722985103150101</v>
      </c>
      <c r="G1701">
        <v>6.00613997087295E-2</v>
      </c>
      <c r="H1701">
        <v>4.3122865877785903E-2</v>
      </c>
      <c r="I1701">
        <v>5.0199415871716599E-2</v>
      </c>
      <c r="J1701">
        <v>7.12379340741498E-2</v>
      </c>
      <c r="K1701">
        <v>7.9655072843882693E-2</v>
      </c>
      <c r="L1701">
        <v>1041.3851193376499</v>
      </c>
      <c r="M1701">
        <v>22.2768221115338</v>
      </c>
      <c r="N1701">
        <v>47.014514835704901</v>
      </c>
      <c r="O1701">
        <v>46.375665047880197</v>
      </c>
      <c r="P1701">
        <v>-0.11295483414374601</v>
      </c>
      <c r="Q1701">
        <v>5.9427193384410798E-2</v>
      </c>
      <c r="R1701">
        <v>0.99162871999058699</v>
      </c>
      <c r="S1701" t="s">
        <v>8347</v>
      </c>
      <c r="T1701" t="s">
        <v>13290</v>
      </c>
      <c r="U1701" t="s">
        <v>13290</v>
      </c>
      <c r="V1701" t="s">
        <v>13290</v>
      </c>
      <c r="W1701" t="s">
        <v>14960</v>
      </c>
      <c r="X1701">
        <v>25</v>
      </c>
      <c r="Y1701" t="s">
        <v>21532</v>
      </c>
      <c r="Z1701" t="s">
        <v>28031</v>
      </c>
      <c r="AA1701">
        <v>0.28191126244951131</v>
      </c>
      <c r="AB1701" t="str">
        <f>HYPERLINK("Melting_Curves/meltCurve_O75400_3_PRPF40A.pdf", "Melting_Curves/meltCurve_O75400_3_PRPF40A.pdf")</f>
        <v>Melting_Curves/meltCurve_O75400_3_PRPF40A.pdf</v>
      </c>
    </row>
    <row r="1702" spans="1:28" x14ac:dyDescent="0.25">
      <c r="A1702" t="s">
        <v>1706</v>
      </c>
      <c r="B1702">
        <v>0.99252571173614901</v>
      </c>
      <c r="C1702">
        <v>0.91940586382520895</v>
      </c>
      <c r="D1702">
        <v>0.50522745349952702</v>
      </c>
      <c r="E1702">
        <v>0.23025154521347799</v>
      </c>
      <c r="F1702">
        <v>0.109918336300814</v>
      </c>
      <c r="G1702">
        <v>5.2677015852975802E-2</v>
      </c>
      <c r="H1702">
        <v>3.6773197280219098E-2</v>
      </c>
      <c r="I1702">
        <v>3.3587883540781502E-2</v>
      </c>
      <c r="J1702">
        <v>3.08849610229644E-2</v>
      </c>
      <c r="K1702">
        <v>5.6504429519410003E-2</v>
      </c>
      <c r="L1702">
        <v>1128.2971027061701</v>
      </c>
      <c r="M1702">
        <v>24.422746428756</v>
      </c>
      <c r="N1702">
        <v>46.385987515436703</v>
      </c>
      <c r="O1702">
        <v>45.892222311601301</v>
      </c>
      <c r="P1702">
        <v>-0.126796814285871</v>
      </c>
      <c r="Q1702">
        <v>4.6970125458741498E-2</v>
      </c>
      <c r="R1702">
        <v>0.99477520685461696</v>
      </c>
      <c r="S1702" t="s">
        <v>8348</v>
      </c>
      <c r="T1702" t="s">
        <v>13290</v>
      </c>
      <c r="U1702" t="s">
        <v>13290</v>
      </c>
      <c r="V1702" t="s">
        <v>13290</v>
      </c>
      <c r="W1702" t="s">
        <v>14961</v>
      </c>
      <c r="X1702">
        <v>3</v>
      </c>
      <c r="Y1702" t="s">
        <v>21533</v>
      </c>
      <c r="Z1702" t="s">
        <v>28032</v>
      </c>
      <c r="AA1702">
        <v>0.2530859300664387</v>
      </c>
      <c r="AB1702" t="str">
        <f>HYPERLINK("Melting_Curves/meltCurve_O75419_2_CDC45.pdf", "Melting_Curves/meltCurve_O75419_2_CDC45.pdf")</f>
        <v>Melting_Curves/meltCurve_O75419_2_CDC45.pdf</v>
      </c>
    </row>
    <row r="1703" spans="1:28" x14ac:dyDescent="0.25">
      <c r="A1703" t="s">
        <v>1707</v>
      </c>
      <c r="B1703">
        <v>0.99252571173614901</v>
      </c>
      <c r="C1703">
        <v>0.78618661279658897</v>
      </c>
      <c r="D1703">
        <v>0.65433728886352005</v>
      </c>
      <c r="E1703">
        <v>0.37199672802769601</v>
      </c>
      <c r="F1703">
        <v>0.17834651204027599</v>
      </c>
      <c r="G1703">
        <v>0.119424407426397</v>
      </c>
      <c r="H1703">
        <v>8.6002009404249999E-2</v>
      </c>
      <c r="I1703">
        <v>0.11169388942227799</v>
      </c>
      <c r="J1703">
        <v>0.165382814660613</v>
      </c>
      <c r="K1703">
        <v>0.15247473894487101</v>
      </c>
      <c r="L1703">
        <v>823.22822440310097</v>
      </c>
      <c r="M1703">
        <v>17.595844783310302</v>
      </c>
      <c r="N1703">
        <v>47.4729032136309</v>
      </c>
      <c r="O1703">
        <v>46.193663021974501</v>
      </c>
      <c r="P1703">
        <v>-8.4522271743499494E-2</v>
      </c>
      <c r="Q1703">
        <v>0.112476633104082</v>
      </c>
      <c r="R1703">
        <v>0.98550820497657698</v>
      </c>
      <c r="S1703" t="s">
        <v>8349</v>
      </c>
      <c r="T1703" t="s">
        <v>13290</v>
      </c>
      <c r="U1703" t="s">
        <v>13290</v>
      </c>
      <c r="V1703" t="s">
        <v>13290</v>
      </c>
      <c r="W1703" t="s">
        <v>14962</v>
      </c>
      <c r="X1703">
        <v>5</v>
      </c>
      <c r="Y1703" t="s">
        <v>21534</v>
      </c>
      <c r="Z1703" t="s">
        <v>28033</v>
      </c>
      <c r="AA1703">
        <v>0.33061623238137322</v>
      </c>
      <c r="AB1703" t="str">
        <f>HYPERLINK("Melting_Curves/meltCurve_O75427_LRCH4.pdf", "Melting_Curves/meltCurve_O75427_LRCH4.pdf")</f>
        <v>Melting_Curves/meltCurve_O75427_LRCH4.pdf</v>
      </c>
    </row>
    <row r="1704" spans="1:28" x14ac:dyDescent="0.25">
      <c r="A1704" t="s">
        <v>1708</v>
      </c>
      <c r="B1704">
        <v>0.99252571173614901</v>
      </c>
      <c r="C1704">
        <v>0.95130540602894698</v>
      </c>
      <c r="D1704">
        <v>0.96595797030420805</v>
      </c>
      <c r="E1704">
        <v>0.84557191717119795</v>
      </c>
      <c r="F1704">
        <v>0.67261316113842895</v>
      </c>
      <c r="G1704">
        <v>0.33630252301198199</v>
      </c>
      <c r="H1704">
        <v>0.157860682347986</v>
      </c>
      <c r="I1704">
        <v>0.140250184366282</v>
      </c>
      <c r="J1704">
        <v>0.12773187505626499</v>
      </c>
      <c r="K1704">
        <v>0.101268981320079</v>
      </c>
      <c r="L1704">
        <v>1093.05793234412</v>
      </c>
      <c r="M1704">
        <v>20.155755758927299</v>
      </c>
      <c r="N1704">
        <v>54.782952468894798</v>
      </c>
      <c r="O1704">
        <v>53.705202393894098</v>
      </c>
      <c r="P1704">
        <v>-8.5200333333032896E-2</v>
      </c>
      <c r="Q1704">
        <v>9.1960254796532206E-2</v>
      </c>
      <c r="R1704">
        <v>0.99553526881461296</v>
      </c>
      <c r="S1704" t="s">
        <v>8350</v>
      </c>
      <c r="T1704" t="s">
        <v>13290</v>
      </c>
      <c r="U1704" t="s">
        <v>13290</v>
      </c>
      <c r="V1704" t="s">
        <v>13290</v>
      </c>
      <c r="W1704" t="s">
        <v>14963</v>
      </c>
      <c r="X1704">
        <v>13</v>
      </c>
      <c r="Y1704" t="s">
        <v>21535</v>
      </c>
      <c r="Z1704" t="s">
        <v>28034</v>
      </c>
      <c r="AA1704">
        <v>0.53483405532916184</v>
      </c>
      <c r="AB1704" t="str">
        <f>HYPERLINK("Melting_Curves/meltCurve_O75436_VPS26A.pdf", "Melting_Curves/meltCurve_O75436_VPS26A.pdf")</f>
        <v>Melting_Curves/meltCurve_O75436_VPS26A.pdf</v>
      </c>
    </row>
    <row r="1705" spans="1:28" x14ac:dyDescent="0.25">
      <c r="A1705" t="s">
        <v>1709</v>
      </c>
      <c r="B1705">
        <v>0.99252571173614901</v>
      </c>
      <c r="C1705">
        <v>0.97005859428326902</v>
      </c>
      <c r="D1705">
        <v>0.96714390075928403</v>
      </c>
      <c r="E1705">
        <v>0.95509887728607501</v>
      </c>
      <c r="F1705">
        <v>0.72930010633707798</v>
      </c>
      <c r="G1705">
        <v>0.56179949387656103</v>
      </c>
      <c r="H1705">
        <v>0.57762739790455497</v>
      </c>
      <c r="I1705">
        <v>1.00931704432295</v>
      </c>
      <c r="J1705">
        <v>1.55865538959634</v>
      </c>
      <c r="K1705">
        <v>1.3827687551882599</v>
      </c>
      <c r="L1705">
        <v>15000</v>
      </c>
      <c r="M1705">
        <v>230.731449702541</v>
      </c>
      <c r="O1705">
        <v>65.005759439851502</v>
      </c>
      <c r="P1705">
        <v>0.41778462171306102</v>
      </c>
      <c r="Q1705">
        <v>1.47082279566378</v>
      </c>
      <c r="R1705">
        <v>0.48391964259294401</v>
      </c>
      <c r="S1705" t="s">
        <v>8351</v>
      </c>
      <c r="T1705" t="s">
        <v>13290</v>
      </c>
      <c r="U1705" t="s">
        <v>13290</v>
      </c>
      <c r="V1705" t="s">
        <v>13290</v>
      </c>
      <c r="W1705" t="s">
        <v>14964</v>
      </c>
      <c r="X1705">
        <v>4</v>
      </c>
      <c r="Y1705" t="s">
        <v>21536</v>
      </c>
      <c r="Z1705" t="s">
        <v>28035</v>
      </c>
      <c r="AA1705">
        <v>1.078240361207446</v>
      </c>
      <c r="AB1705" t="str">
        <f>HYPERLINK("Melting_Curves/meltCurve_O75438_NDUFB1.pdf", "Melting_Curves/meltCurve_O75438_NDUFB1.pdf")</f>
        <v>Melting_Curves/meltCurve_O75438_NDUFB1.pdf</v>
      </c>
    </row>
    <row r="1706" spans="1:28" x14ac:dyDescent="0.25">
      <c r="A1706" t="s">
        <v>1710</v>
      </c>
      <c r="B1706">
        <v>0.99252571173614901</v>
      </c>
      <c r="C1706">
        <v>0.76044493558730197</v>
      </c>
      <c r="D1706">
        <v>0.96951171831559202</v>
      </c>
      <c r="E1706">
        <v>0.87463688989479405</v>
      </c>
      <c r="F1706">
        <v>0.25349387553719199</v>
      </c>
      <c r="G1706">
        <v>0.10216618327966299</v>
      </c>
      <c r="H1706">
        <v>6.0442994617528001E-2</v>
      </c>
      <c r="I1706">
        <v>5.7924530920639698E-2</v>
      </c>
      <c r="J1706">
        <v>6.7392156206598997E-2</v>
      </c>
      <c r="K1706">
        <v>7.5083602712498199E-2</v>
      </c>
      <c r="L1706">
        <v>2336.6203703548199</v>
      </c>
      <c r="M1706">
        <v>45.289888815216997</v>
      </c>
      <c r="N1706">
        <v>51.761868239528397</v>
      </c>
      <c r="O1706">
        <v>51.492254514459802</v>
      </c>
      <c r="P1706">
        <v>-0.204747499670421</v>
      </c>
      <c r="Q1706">
        <v>6.8852027811572306E-2</v>
      </c>
      <c r="R1706">
        <v>0.96292300841400202</v>
      </c>
      <c r="S1706" t="s">
        <v>8352</v>
      </c>
      <c r="T1706" t="s">
        <v>13290</v>
      </c>
      <c r="U1706" t="s">
        <v>13290</v>
      </c>
      <c r="V1706" t="s">
        <v>13290</v>
      </c>
      <c r="W1706" t="s">
        <v>14965</v>
      </c>
      <c r="X1706">
        <v>23</v>
      </c>
      <c r="Y1706" t="s">
        <v>21537</v>
      </c>
      <c r="Z1706" t="s">
        <v>28036</v>
      </c>
      <c r="AA1706">
        <v>0.43124987747655591</v>
      </c>
      <c r="AB1706" t="str">
        <f>HYPERLINK("Melting_Curves/meltCurve_O75439_PMPCB.pdf", "Melting_Curves/meltCurve_O75439_PMPCB.pdf")</f>
        <v>Melting_Curves/meltCurve_O75439_PMPCB.pdf</v>
      </c>
    </row>
    <row r="1707" spans="1:28" x14ac:dyDescent="0.25">
      <c r="A1707" t="s">
        <v>1711</v>
      </c>
      <c r="B1707">
        <v>0.99252571173614901</v>
      </c>
      <c r="C1707">
        <v>0.81026340029292798</v>
      </c>
      <c r="D1707">
        <v>0.67524146466898805</v>
      </c>
      <c r="E1707">
        <v>0.47009030172923599</v>
      </c>
      <c r="F1707">
        <v>0.29108306541719497</v>
      </c>
      <c r="G1707">
        <v>0.197166877179549</v>
      </c>
      <c r="H1707">
        <v>0.17425566617126301</v>
      </c>
      <c r="I1707">
        <v>0.21466841566155201</v>
      </c>
      <c r="J1707">
        <v>0.20147838647327401</v>
      </c>
      <c r="K1707">
        <v>0.19519681641335901</v>
      </c>
      <c r="L1707">
        <v>728.85781608942204</v>
      </c>
      <c r="M1707">
        <v>15.4471640381041</v>
      </c>
      <c r="N1707">
        <v>48.560276380553098</v>
      </c>
      <c r="O1707">
        <v>46.414386860872902</v>
      </c>
      <c r="P1707">
        <v>-6.8458720544995105E-2</v>
      </c>
      <c r="Q1707">
        <v>0.177277482550348</v>
      </c>
      <c r="R1707">
        <v>0.990552434903748</v>
      </c>
      <c r="S1707" t="s">
        <v>8353</v>
      </c>
      <c r="T1707" t="s">
        <v>13290</v>
      </c>
      <c r="U1707" t="s">
        <v>13290</v>
      </c>
      <c r="V1707" t="s">
        <v>13290</v>
      </c>
      <c r="W1707" t="s">
        <v>14966</v>
      </c>
      <c r="X1707">
        <v>2</v>
      </c>
      <c r="Y1707" t="s">
        <v>21538</v>
      </c>
      <c r="Z1707" t="s">
        <v>28037</v>
      </c>
      <c r="AA1707">
        <v>0.39509843846920423</v>
      </c>
      <c r="AB1707" t="str">
        <f>HYPERLINK("Melting_Curves/meltCurve_O75446_SAP30.pdf", "Melting_Curves/meltCurve_O75446_SAP30.pdf")</f>
        <v>Melting_Curves/meltCurve_O75446_SAP30.pdf</v>
      </c>
    </row>
    <row r="1708" spans="1:28" x14ac:dyDescent="0.25">
      <c r="A1708" t="s">
        <v>1712</v>
      </c>
      <c r="B1708">
        <v>0.99252571173614901</v>
      </c>
      <c r="C1708">
        <v>0.98048966586405495</v>
      </c>
      <c r="D1708">
        <v>0.94463355526340398</v>
      </c>
      <c r="E1708">
        <v>0.68505630055774802</v>
      </c>
      <c r="F1708">
        <v>0.30465361273980901</v>
      </c>
      <c r="G1708">
        <v>0.14677101412566401</v>
      </c>
      <c r="H1708">
        <v>0.105249057095014</v>
      </c>
      <c r="I1708">
        <v>0.13107714984556099</v>
      </c>
      <c r="J1708">
        <v>0.164661708572476</v>
      </c>
      <c r="K1708">
        <v>0.16272638948085399</v>
      </c>
      <c r="L1708">
        <v>1485.0497161942501</v>
      </c>
      <c r="M1708">
        <v>29.390292659822698</v>
      </c>
      <c r="N1708">
        <v>51.0775680512563</v>
      </c>
      <c r="O1708">
        <v>50.296386103050899</v>
      </c>
      <c r="P1708">
        <v>-0.126301960764303</v>
      </c>
      <c r="Q1708">
        <v>0.13543060467582799</v>
      </c>
      <c r="R1708">
        <v>0.99724079363872098</v>
      </c>
      <c r="S1708" t="s">
        <v>8354</v>
      </c>
      <c r="T1708" t="s">
        <v>13290</v>
      </c>
      <c r="U1708" t="s">
        <v>13290</v>
      </c>
      <c r="V1708" t="s">
        <v>13290</v>
      </c>
      <c r="W1708" t="s">
        <v>14967</v>
      </c>
      <c r="X1708">
        <v>12</v>
      </c>
      <c r="Y1708" t="s">
        <v>21539</v>
      </c>
      <c r="Z1708" t="s">
        <v>28038</v>
      </c>
      <c r="AA1708">
        <v>0.44447489211589392</v>
      </c>
      <c r="AB1708" t="str">
        <f>HYPERLINK("Melting_Curves/meltCurve_O75449_KATNA1.pdf", "Melting_Curves/meltCurve_O75449_KATNA1.pdf")</f>
        <v>Melting_Curves/meltCurve_O75449_KATNA1.pdf</v>
      </c>
    </row>
    <row r="1709" spans="1:28" x14ac:dyDescent="0.25">
      <c r="A1709" t="s">
        <v>1713</v>
      </c>
      <c r="B1709">
        <v>0.99252571173614901</v>
      </c>
      <c r="C1709">
        <v>1.0964067552747301</v>
      </c>
      <c r="D1709">
        <v>0.944347232039488</v>
      </c>
      <c r="E1709">
        <v>0.75340176394723501</v>
      </c>
      <c r="F1709">
        <v>0.412782736307855</v>
      </c>
      <c r="G1709">
        <v>0.30378493498807901</v>
      </c>
      <c r="H1709">
        <v>0.27913990041403602</v>
      </c>
      <c r="I1709">
        <v>0.367913566746704</v>
      </c>
      <c r="J1709">
        <v>0.56472144739477903</v>
      </c>
      <c r="K1709">
        <v>0.64190905120221198</v>
      </c>
      <c r="L1709">
        <v>12413.6968534753</v>
      </c>
      <c r="M1709">
        <v>250</v>
      </c>
      <c r="N1709">
        <v>50.043783684601102</v>
      </c>
      <c r="O1709">
        <v>49.651618914627299</v>
      </c>
      <c r="P1709">
        <v>-0.71954456071829198</v>
      </c>
      <c r="Q1709">
        <v>0.42837526774775397</v>
      </c>
      <c r="R1709">
        <v>0.85436192587937099</v>
      </c>
      <c r="S1709" t="s">
        <v>8355</v>
      </c>
      <c r="T1709" t="s">
        <v>13290</v>
      </c>
      <c r="U1709" t="s">
        <v>13290</v>
      </c>
      <c r="V1709" t="s">
        <v>13290</v>
      </c>
      <c r="W1709" t="s">
        <v>14968</v>
      </c>
      <c r="X1709">
        <v>28</v>
      </c>
      <c r="Y1709" t="s">
        <v>21540</v>
      </c>
      <c r="Z1709" t="s">
        <v>28039</v>
      </c>
      <c r="AA1709">
        <v>0.61238892340596296</v>
      </c>
      <c r="AB1709" t="str">
        <f>HYPERLINK("Melting_Curves/meltCurve_O75475_PSIP1.pdf", "Melting_Curves/meltCurve_O75475_PSIP1.pdf")</f>
        <v>Melting_Curves/meltCurve_O75475_PSIP1.pdf</v>
      </c>
    </row>
    <row r="1710" spans="1:28" x14ac:dyDescent="0.25">
      <c r="A1710" t="s">
        <v>1714</v>
      </c>
      <c r="B1710">
        <v>0.99252571173614901</v>
      </c>
      <c r="C1710">
        <v>1.1130165040757201</v>
      </c>
      <c r="D1710">
        <v>0.96389837548605395</v>
      </c>
      <c r="E1710">
        <v>0.85893949509703404</v>
      </c>
      <c r="F1710">
        <v>0.66144136736960601</v>
      </c>
      <c r="G1710">
        <v>0.46507739600972098</v>
      </c>
      <c r="H1710">
        <v>0.45348704202821599</v>
      </c>
      <c r="I1710">
        <v>0.56013332619823497</v>
      </c>
      <c r="J1710">
        <v>0.872355767922258</v>
      </c>
      <c r="K1710">
        <v>0.96426845927183902</v>
      </c>
      <c r="L1710">
        <v>3568.1879129121098</v>
      </c>
      <c r="M1710">
        <v>71.615047876951493</v>
      </c>
      <c r="O1710">
        <v>49.785746539989397</v>
      </c>
      <c r="P1710">
        <v>-0.12146463850953999</v>
      </c>
      <c r="Q1710">
        <v>0.66223822227120899</v>
      </c>
      <c r="R1710">
        <v>0.52073165135976995</v>
      </c>
      <c r="S1710" t="s">
        <v>8356</v>
      </c>
      <c r="T1710" t="s">
        <v>13290</v>
      </c>
      <c r="U1710" t="s">
        <v>13290</v>
      </c>
      <c r="V1710" t="s">
        <v>13290</v>
      </c>
      <c r="W1710" t="s">
        <v>14969</v>
      </c>
      <c r="X1710">
        <v>19</v>
      </c>
      <c r="Y1710" t="s">
        <v>21540</v>
      </c>
      <c r="Z1710" t="s">
        <v>28040</v>
      </c>
      <c r="AA1710">
        <v>0.77321100750381622</v>
      </c>
      <c r="AB1710" t="str">
        <f>HYPERLINK("Melting_Curves/meltCurve_O75475_3_PSIP1.pdf", "Melting_Curves/meltCurve_O75475_3_PSIP1.pdf")</f>
        <v>Melting_Curves/meltCurve_O75475_3_PSIP1.pdf</v>
      </c>
    </row>
    <row r="1711" spans="1:28" x14ac:dyDescent="0.25">
      <c r="A1711" t="s">
        <v>1715</v>
      </c>
      <c r="B1711">
        <v>0.99252571173614901</v>
      </c>
      <c r="C1711">
        <v>1.01732303138456</v>
      </c>
      <c r="D1711">
        <v>0.93215472544926803</v>
      </c>
      <c r="E1711">
        <v>0.66040184387951895</v>
      </c>
      <c r="F1711">
        <v>0.33518642778271501</v>
      </c>
      <c r="G1711">
        <v>0.167197859025524</v>
      </c>
      <c r="H1711">
        <v>0.141823560602897</v>
      </c>
      <c r="I1711">
        <v>0.17946791760375599</v>
      </c>
      <c r="J1711">
        <v>0.226431536517301</v>
      </c>
      <c r="K1711">
        <v>0.24749404775765499</v>
      </c>
      <c r="L1711">
        <v>1483.38668466428</v>
      </c>
      <c r="M1711">
        <v>29.5777149908373</v>
      </c>
      <c r="N1711">
        <v>50.974408267804598</v>
      </c>
      <c r="O1711">
        <v>49.924590484315701</v>
      </c>
      <c r="P1711">
        <v>-0.120014612491675</v>
      </c>
      <c r="Q1711">
        <v>0.18970889629644599</v>
      </c>
      <c r="R1711">
        <v>0.99110731950283104</v>
      </c>
      <c r="S1711" t="s">
        <v>8357</v>
      </c>
      <c r="T1711" t="s">
        <v>13290</v>
      </c>
      <c r="U1711" t="s">
        <v>13290</v>
      </c>
      <c r="V1711" t="s">
        <v>13290</v>
      </c>
      <c r="W1711" t="s">
        <v>14970</v>
      </c>
      <c r="X1711">
        <v>7</v>
      </c>
      <c r="Y1711" t="s">
        <v>21541</v>
      </c>
      <c r="Z1711" t="s">
        <v>28041</v>
      </c>
      <c r="AA1711">
        <v>0.46908622205823952</v>
      </c>
      <c r="AB1711" t="str">
        <f>HYPERLINK("Melting_Curves/meltCurve_O75477_ERLIN1.pdf", "Melting_Curves/meltCurve_O75477_ERLIN1.pdf")</f>
        <v>Melting_Curves/meltCurve_O75477_ERLIN1.pdf</v>
      </c>
    </row>
    <row r="1712" spans="1:28" x14ac:dyDescent="0.25">
      <c r="A1712" t="s">
        <v>1716</v>
      </c>
      <c r="B1712">
        <v>0.99252571173614901</v>
      </c>
      <c r="C1712">
        <v>0.99563984275416095</v>
      </c>
      <c r="D1712">
        <v>0.91754067190463096</v>
      </c>
      <c r="E1712">
        <v>0.93897025883671903</v>
      </c>
      <c r="F1712">
        <v>0.70194276266970801</v>
      </c>
      <c r="G1712">
        <v>0.47567398722842102</v>
      </c>
      <c r="H1712">
        <v>0.25081870735894801</v>
      </c>
      <c r="I1712">
        <v>0.23245776068993201</v>
      </c>
      <c r="J1712">
        <v>0.33116229476757197</v>
      </c>
      <c r="K1712">
        <v>0.26262031665475299</v>
      </c>
      <c r="L1712">
        <v>1301.51818738835</v>
      </c>
      <c r="M1712">
        <v>24.006164619799801</v>
      </c>
      <c r="N1712">
        <v>55.880835063128899</v>
      </c>
      <c r="O1712">
        <v>53.843985727437499</v>
      </c>
      <c r="P1712">
        <v>-8.2989607566339094E-2</v>
      </c>
      <c r="Q1712">
        <v>0.25545443548214303</v>
      </c>
      <c r="R1712">
        <v>0.98373104902667197</v>
      </c>
      <c r="S1712" t="s">
        <v>8358</v>
      </c>
      <c r="T1712" t="s">
        <v>13290</v>
      </c>
      <c r="U1712" t="s">
        <v>13290</v>
      </c>
      <c r="V1712" t="s">
        <v>13290</v>
      </c>
      <c r="W1712" t="s">
        <v>14971</v>
      </c>
      <c r="X1712">
        <v>3</v>
      </c>
      <c r="Y1712" t="s">
        <v>21542</v>
      </c>
      <c r="Z1712" t="s">
        <v>28042</v>
      </c>
      <c r="AA1712">
        <v>0.61568215132721937</v>
      </c>
      <c r="AB1712" t="str">
        <f>HYPERLINK("Melting_Curves/meltCurve_O75487_GPC4.pdf", "Melting_Curves/meltCurve_O75487_GPC4.pdf")</f>
        <v>Melting_Curves/meltCurve_O75487_GPC4.pdf</v>
      </c>
    </row>
    <row r="1713" spans="1:28" x14ac:dyDescent="0.25">
      <c r="A1713" t="s">
        <v>1717</v>
      </c>
      <c r="B1713">
        <v>0.99252571173614901</v>
      </c>
      <c r="C1713">
        <v>0.86526038475275902</v>
      </c>
      <c r="D1713">
        <v>0.91426257335205996</v>
      </c>
      <c r="E1713">
        <v>0.82860896712980803</v>
      </c>
      <c r="F1713">
        <v>0.686650583340076</v>
      </c>
      <c r="G1713">
        <v>0.39931093289210101</v>
      </c>
      <c r="H1713">
        <v>0.20719499200906599</v>
      </c>
      <c r="I1713">
        <v>0.109050950843328</v>
      </c>
      <c r="J1713">
        <v>0.104376950711357</v>
      </c>
      <c r="K1713">
        <v>8.8221841164469197E-2</v>
      </c>
      <c r="L1713">
        <v>765.92402776825304</v>
      </c>
      <c r="M1713">
        <v>13.8665233413205</v>
      </c>
      <c r="N1713">
        <v>55.333484764818103</v>
      </c>
      <c r="O1713">
        <v>54.124728759583803</v>
      </c>
      <c r="P1713">
        <v>-6.3280552474634599E-2</v>
      </c>
      <c r="Q1713">
        <v>1.21323818289173E-2</v>
      </c>
      <c r="R1713">
        <v>0.98436890424430601</v>
      </c>
      <c r="S1713" t="s">
        <v>8359</v>
      </c>
      <c r="T1713" t="s">
        <v>13290</v>
      </c>
      <c r="U1713" t="s">
        <v>13290</v>
      </c>
      <c r="V1713" t="s">
        <v>13290</v>
      </c>
      <c r="W1713" t="s">
        <v>14972</v>
      </c>
      <c r="X1713">
        <v>15</v>
      </c>
      <c r="Y1713" t="s">
        <v>21543</v>
      </c>
      <c r="Z1713" t="s">
        <v>28043</v>
      </c>
      <c r="AA1713">
        <v>0.53398950825271996</v>
      </c>
      <c r="AB1713" t="str">
        <f>HYPERLINK("Melting_Curves/meltCurve_O75489_NDUFS3.pdf", "Melting_Curves/meltCurve_O75489_NDUFS3.pdf")</f>
        <v>Melting_Curves/meltCurve_O75489_NDUFS3.pdf</v>
      </c>
    </row>
    <row r="1714" spans="1:28" x14ac:dyDescent="0.25">
      <c r="A1714" t="s">
        <v>1718</v>
      </c>
      <c r="B1714">
        <v>0.99252571173614901</v>
      </c>
      <c r="C1714">
        <v>1.02720131160782</v>
      </c>
      <c r="D1714">
        <v>0.93672237448189</v>
      </c>
      <c r="E1714">
        <v>0.67817974002537196</v>
      </c>
      <c r="F1714">
        <v>0.40705454715543199</v>
      </c>
      <c r="G1714">
        <v>0.16436292348749801</v>
      </c>
      <c r="H1714">
        <v>9.9694500176507897E-2</v>
      </c>
      <c r="I1714">
        <v>0.113687248156565</v>
      </c>
      <c r="J1714">
        <v>0.173546663226159</v>
      </c>
      <c r="K1714">
        <v>0.18365355407516401</v>
      </c>
      <c r="L1714">
        <v>1215.9109116550501</v>
      </c>
      <c r="M1714">
        <v>23.8737055591398</v>
      </c>
      <c r="N1714">
        <v>51.602255637118603</v>
      </c>
      <c r="O1714">
        <v>50.577632135871902</v>
      </c>
      <c r="P1714">
        <v>-0.10225528460703801</v>
      </c>
      <c r="Q1714">
        <v>0.133482013115196</v>
      </c>
      <c r="R1714">
        <v>0.99104860724768196</v>
      </c>
      <c r="S1714" t="s">
        <v>8360</v>
      </c>
      <c r="T1714" t="s">
        <v>13290</v>
      </c>
      <c r="U1714" t="s">
        <v>13290</v>
      </c>
      <c r="V1714" t="s">
        <v>13290</v>
      </c>
      <c r="W1714" t="s">
        <v>14973</v>
      </c>
      <c r="X1714">
        <v>11</v>
      </c>
      <c r="Y1714" t="s">
        <v>21544</v>
      </c>
      <c r="Z1714" t="s">
        <v>28044</v>
      </c>
      <c r="AA1714">
        <v>0.4577746184602694</v>
      </c>
      <c r="AB1714" t="str">
        <f>HYPERLINK("Melting_Curves/meltCurve_O75503_CLN5.pdf", "Melting_Curves/meltCurve_O75503_CLN5.pdf")</f>
        <v>Melting_Curves/meltCurve_O75503_CLN5.pdf</v>
      </c>
    </row>
    <row r="1715" spans="1:28" x14ac:dyDescent="0.25">
      <c r="A1715" t="s">
        <v>1719</v>
      </c>
      <c r="B1715">
        <v>0.99252571173614901</v>
      </c>
      <c r="C1715">
        <v>1.0222733049091699</v>
      </c>
      <c r="D1715">
        <v>0.84113362468365704</v>
      </c>
      <c r="E1715">
        <v>0.82093546822877494</v>
      </c>
      <c r="F1715">
        <v>0.87461661617011399</v>
      </c>
      <c r="G1715">
        <v>0.80937724799773103</v>
      </c>
      <c r="H1715">
        <v>0.68399353578278299</v>
      </c>
      <c r="I1715">
        <v>0.86787555070415701</v>
      </c>
      <c r="J1715">
        <v>1.2636765739751299</v>
      </c>
      <c r="K1715">
        <v>1.21836546241503</v>
      </c>
      <c r="L1715">
        <v>11071.784637720801</v>
      </c>
      <c r="M1715">
        <v>250</v>
      </c>
      <c r="O1715">
        <v>44.284311286423097</v>
      </c>
      <c r="P1715">
        <v>-0.10938177954695399</v>
      </c>
      <c r="Q1715">
        <v>0.92249766360326801</v>
      </c>
      <c r="R1715">
        <v>3.7107005389471301E-2</v>
      </c>
      <c r="S1715" t="s">
        <v>8361</v>
      </c>
      <c r="T1715" t="s">
        <v>13290</v>
      </c>
      <c r="U1715" t="s">
        <v>13290</v>
      </c>
      <c r="V1715" t="s">
        <v>13290</v>
      </c>
      <c r="W1715" t="s">
        <v>14974</v>
      </c>
      <c r="X1715">
        <v>5</v>
      </c>
      <c r="Y1715" t="s">
        <v>21545</v>
      </c>
      <c r="Z1715" t="s">
        <v>28045</v>
      </c>
      <c r="AA1715">
        <v>0.93357912914087382</v>
      </c>
      <c r="AB1715" t="str">
        <f>HYPERLINK("Melting_Curves/meltCurve_O75506_HSBP1.pdf", "Melting_Curves/meltCurve_O75506_HSBP1.pdf")</f>
        <v>Melting_Curves/meltCurve_O75506_HSBP1.pdf</v>
      </c>
    </row>
    <row r="1716" spans="1:28" x14ac:dyDescent="0.25">
      <c r="A1716" t="s">
        <v>1720</v>
      </c>
      <c r="B1716">
        <v>0.99252571173614901</v>
      </c>
      <c r="C1716">
        <v>0.90337787015444204</v>
      </c>
      <c r="D1716">
        <v>1.1357677887368101</v>
      </c>
      <c r="E1716">
        <v>1.1664041564238199</v>
      </c>
      <c r="F1716">
        <v>0.67795045260443099</v>
      </c>
      <c r="G1716">
        <v>0.52813063435442698</v>
      </c>
      <c r="H1716">
        <v>0.28087124945283298</v>
      </c>
      <c r="I1716">
        <v>0.105106419354979</v>
      </c>
      <c r="J1716">
        <v>0.10818532684523301</v>
      </c>
      <c r="K1716">
        <v>0.13923478450207699</v>
      </c>
      <c r="L1716">
        <v>1291.66625794885</v>
      </c>
      <c r="M1716">
        <v>23.013689403825399</v>
      </c>
      <c r="N1716">
        <v>56.712394617266597</v>
      </c>
      <c r="O1716">
        <v>55.7073678483669</v>
      </c>
      <c r="P1716">
        <v>-9.23455380744376E-2</v>
      </c>
      <c r="Q1716">
        <v>0.105883337049423</v>
      </c>
      <c r="R1716">
        <v>0.94307900859982496</v>
      </c>
      <c r="S1716" t="s">
        <v>8362</v>
      </c>
      <c r="T1716" t="s">
        <v>13290</v>
      </c>
      <c r="U1716" t="s">
        <v>13290</v>
      </c>
      <c r="V1716" t="s">
        <v>13290</v>
      </c>
      <c r="W1716" t="s">
        <v>14975</v>
      </c>
      <c r="X1716">
        <v>16</v>
      </c>
      <c r="Y1716" t="s">
        <v>21546</v>
      </c>
      <c r="Z1716" t="s">
        <v>28046</v>
      </c>
      <c r="AA1716">
        <v>0.59585373583403611</v>
      </c>
      <c r="AB1716" t="str">
        <f>HYPERLINK("Melting_Curves/meltCurve_O75521_2_ECI2.pdf", "Melting_Curves/meltCurve_O75521_2_ECI2.pdf")</f>
        <v>Melting_Curves/meltCurve_O75521_2_ECI2.pdf</v>
      </c>
    </row>
    <row r="1717" spans="1:28" x14ac:dyDescent="0.25">
      <c r="A1717" t="s">
        <v>1721</v>
      </c>
      <c r="B1717">
        <v>0.99252571173614901</v>
      </c>
      <c r="C1717">
        <v>1.0179873831196999</v>
      </c>
      <c r="D1717">
        <v>0.90844312094203195</v>
      </c>
      <c r="E1717">
        <v>0.90185573263008401</v>
      </c>
      <c r="F1717">
        <v>0.56013082480252296</v>
      </c>
      <c r="G1717">
        <v>0.31740848248628201</v>
      </c>
      <c r="H1717">
        <v>0.268367196323616</v>
      </c>
      <c r="I1717">
        <v>0.32357940959936998</v>
      </c>
      <c r="J1717">
        <v>0.47296987955910302</v>
      </c>
      <c r="K1717">
        <v>0.60479163363293997</v>
      </c>
      <c r="L1717">
        <v>2164.5878895574101</v>
      </c>
      <c r="M1717">
        <v>41.884707432232098</v>
      </c>
      <c r="N1717">
        <v>53.7183994386385</v>
      </c>
      <c r="O1717">
        <v>51.562283554399301</v>
      </c>
      <c r="P1717">
        <v>-0.122253728120997</v>
      </c>
      <c r="Q1717">
        <v>0.397997898522579</v>
      </c>
      <c r="R1717">
        <v>0.88715681838483296</v>
      </c>
      <c r="S1717" t="s">
        <v>8363</v>
      </c>
      <c r="T1717" t="s">
        <v>13290</v>
      </c>
      <c r="U1717" t="s">
        <v>13290</v>
      </c>
      <c r="V1717" t="s">
        <v>13290</v>
      </c>
      <c r="W1717" t="s">
        <v>14976</v>
      </c>
      <c r="X1717">
        <v>4</v>
      </c>
      <c r="Y1717" t="s">
        <v>21547</v>
      </c>
      <c r="Z1717" t="s">
        <v>28047</v>
      </c>
      <c r="AA1717">
        <v>0.63433035169097551</v>
      </c>
      <c r="AB1717" t="str">
        <f>HYPERLINK("Melting_Curves/meltCurve_O75528_TADA3.pdf", "Melting_Curves/meltCurve_O75528_TADA3.pdf")</f>
        <v>Melting_Curves/meltCurve_O75528_TADA3.pdf</v>
      </c>
    </row>
    <row r="1718" spans="1:28" x14ac:dyDescent="0.25">
      <c r="A1718" t="s">
        <v>1722</v>
      </c>
      <c r="B1718">
        <v>0.99252571173614901</v>
      </c>
      <c r="C1718">
        <v>1.0098982872826201</v>
      </c>
      <c r="D1718">
        <v>0.95785533223768904</v>
      </c>
      <c r="E1718">
        <v>0.72372025290461806</v>
      </c>
      <c r="F1718">
        <v>0.19294781759076399</v>
      </c>
      <c r="G1718">
        <v>9.5074855222318996E-2</v>
      </c>
      <c r="H1718">
        <v>8.4339450360665494E-2</v>
      </c>
      <c r="I1718">
        <v>9.12835621083328E-2</v>
      </c>
      <c r="J1718">
        <v>0.112935707286485</v>
      </c>
      <c r="K1718">
        <v>9.5390679288729394E-2</v>
      </c>
      <c r="L1718">
        <v>2097.2494495435499</v>
      </c>
      <c r="M1718">
        <v>41.478639077614503</v>
      </c>
      <c r="N1718">
        <v>50.815252169981299</v>
      </c>
      <c r="O1718">
        <v>50.4450607873613</v>
      </c>
      <c r="P1718">
        <v>-0.18638020065538399</v>
      </c>
      <c r="Q1718">
        <v>9.3321950573023504E-2</v>
      </c>
      <c r="R1718">
        <v>0.99908247415358598</v>
      </c>
      <c r="S1718" t="s">
        <v>8364</v>
      </c>
      <c r="T1718" t="s">
        <v>13290</v>
      </c>
      <c r="U1718" t="s">
        <v>13290</v>
      </c>
      <c r="V1718" t="s">
        <v>13290</v>
      </c>
      <c r="W1718" t="s">
        <v>14977</v>
      </c>
      <c r="X1718">
        <v>8</v>
      </c>
      <c r="Y1718" t="s">
        <v>21548</v>
      </c>
      <c r="Z1718" t="s">
        <v>28048</v>
      </c>
      <c r="AA1718">
        <v>0.41548339319347449</v>
      </c>
      <c r="AB1718" t="str">
        <f>HYPERLINK("Melting_Curves/meltCurve_O75530_3_EED.pdf", "Melting_Curves/meltCurve_O75530_3_EED.pdf")</f>
        <v>Melting_Curves/meltCurve_O75530_3_EED.pdf</v>
      </c>
    </row>
    <row r="1719" spans="1:28" x14ac:dyDescent="0.25">
      <c r="A1719" t="s">
        <v>1723</v>
      </c>
      <c r="B1719">
        <v>0.99252571173614901</v>
      </c>
      <c r="C1719">
        <v>1.47788609097246</v>
      </c>
      <c r="D1719">
        <v>4.9901534436778903</v>
      </c>
      <c r="E1719">
        <v>6.6349620073823798</v>
      </c>
      <c r="F1719">
        <v>2.11974168614918</v>
      </c>
      <c r="G1719">
        <v>1.3986992422272899</v>
      </c>
      <c r="H1719">
        <v>0.54467198206768697</v>
      </c>
      <c r="I1719">
        <v>0.65248375043022</v>
      </c>
      <c r="J1719">
        <v>0.98585182298960405</v>
      </c>
      <c r="K1719">
        <v>1.07996014110746</v>
      </c>
      <c r="L1719">
        <v>10593.160910581801</v>
      </c>
      <c r="M1719">
        <v>250</v>
      </c>
      <c r="O1719">
        <v>42.369935830306602</v>
      </c>
      <c r="P1719">
        <v>0.73755133659625804</v>
      </c>
      <c r="Q1719">
        <v>1.5</v>
      </c>
      <c r="R1719">
        <v>-8.4503911051030597E-2</v>
      </c>
      <c r="S1719" t="s">
        <v>8365</v>
      </c>
      <c r="T1719" t="s">
        <v>13290</v>
      </c>
      <c r="U1719" t="s">
        <v>13290</v>
      </c>
      <c r="V1719" t="s">
        <v>13290</v>
      </c>
      <c r="W1719" t="s">
        <v>14978</v>
      </c>
      <c r="X1719">
        <v>10</v>
      </c>
      <c r="Y1719" t="s">
        <v>21549</v>
      </c>
      <c r="Z1719" t="s">
        <v>28049</v>
      </c>
      <c r="AA1719">
        <v>1.4604187567226541</v>
      </c>
      <c r="AB1719" t="str">
        <f>HYPERLINK("Melting_Curves/meltCurve_O75531_BANF1.pdf", "Melting_Curves/meltCurve_O75531_BANF1.pdf")</f>
        <v>Melting_Curves/meltCurve_O75531_BANF1.pdf</v>
      </c>
    </row>
    <row r="1720" spans="1:28" x14ac:dyDescent="0.25">
      <c r="A1720" t="s">
        <v>1724</v>
      </c>
      <c r="B1720">
        <v>0.99252571173614901</v>
      </c>
      <c r="C1720">
        <v>0.83034561870843104</v>
      </c>
      <c r="D1720">
        <v>1.08515325388777</v>
      </c>
      <c r="E1720">
        <v>0.63368091571205298</v>
      </c>
      <c r="F1720">
        <v>0.28628667386625001</v>
      </c>
      <c r="G1720">
        <v>0.17824999660624499</v>
      </c>
      <c r="H1720">
        <v>0.159785607384512</v>
      </c>
      <c r="I1720">
        <v>0.199831795669903</v>
      </c>
      <c r="J1720">
        <v>0.27378901898880098</v>
      </c>
      <c r="K1720">
        <v>0.32594916079740999</v>
      </c>
      <c r="L1720">
        <v>3386.1317826158102</v>
      </c>
      <c r="M1720">
        <v>68.168584870006498</v>
      </c>
      <c r="N1720">
        <v>50.141693584240699</v>
      </c>
      <c r="O1720">
        <v>49.630210987020099</v>
      </c>
      <c r="P1720">
        <v>-0.26246556409119798</v>
      </c>
      <c r="Q1720">
        <v>0.23564685235973701</v>
      </c>
      <c r="R1720">
        <v>0.94912538180859496</v>
      </c>
      <c r="S1720" t="s">
        <v>8366</v>
      </c>
      <c r="T1720" t="s">
        <v>13290</v>
      </c>
      <c r="U1720" t="s">
        <v>13290</v>
      </c>
      <c r="V1720" t="s">
        <v>13290</v>
      </c>
      <c r="W1720" t="s">
        <v>14979</v>
      </c>
      <c r="X1720">
        <v>34</v>
      </c>
      <c r="Y1720" t="s">
        <v>21550</v>
      </c>
      <c r="Z1720" t="s">
        <v>28050</v>
      </c>
      <c r="AA1720">
        <v>0.482996089620711</v>
      </c>
      <c r="AB1720" t="str">
        <f>HYPERLINK("Melting_Curves/meltCurve_O75533_SF3B1.pdf", "Melting_Curves/meltCurve_O75533_SF3B1.pdf")</f>
        <v>Melting_Curves/meltCurve_O75533_SF3B1.pdf</v>
      </c>
    </row>
    <row r="1721" spans="1:28" x14ac:dyDescent="0.25">
      <c r="A1721" t="s">
        <v>1725</v>
      </c>
      <c r="B1721">
        <v>0.99252571173614901</v>
      </c>
      <c r="C1721">
        <v>0.92949221316768904</v>
      </c>
      <c r="D1721">
        <v>0.41051703884594298</v>
      </c>
      <c r="E1721">
        <v>0.178671864132073</v>
      </c>
      <c r="F1721">
        <v>0.104564015391377</v>
      </c>
      <c r="G1721">
        <v>6.6123146111004893E-2</v>
      </c>
      <c r="H1721">
        <v>5.4299703280879602E-2</v>
      </c>
      <c r="I1721">
        <v>5.1067871033861303E-2</v>
      </c>
      <c r="J1721">
        <v>5.2712384964883299E-2</v>
      </c>
      <c r="K1721">
        <v>5.10496733974799E-2</v>
      </c>
      <c r="L1721">
        <v>1594.0284310741499</v>
      </c>
      <c r="M1721">
        <v>35.079344007985704</v>
      </c>
      <c r="N1721">
        <v>45.636661639000501</v>
      </c>
      <c r="O1721">
        <v>45.293741788265898</v>
      </c>
      <c r="P1721">
        <v>-0.180081862945697</v>
      </c>
      <c r="Q1721">
        <v>6.9930903780524398E-2</v>
      </c>
      <c r="R1721">
        <v>0.99371726977795904</v>
      </c>
      <c r="S1721" t="s">
        <v>8367</v>
      </c>
      <c r="T1721" t="s">
        <v>13290</v>
      </c>
      <c r="U1721" t="s">
        <v>13290</v>
      </c>
      <c r="V1721" t="s">
        <v>13290</v>
      </c>
      <c r="W1721" t="s">
        <v>14980</v>
      </c>
      <c r="X1721">
        <v>34</v>
      </c>
      <c r="Y1721" t="s">
        <v>21551</v>
      </c>
      <c r="Z1721" t="s">
        <v>28051</v>
      </c>
      <c r="AA1721">
        <v>0.24266316361463031</v>
      </c>
      <c r="AB1721" t="str">
        <f>HYPERLINK("Melting_Curves/meltCurve_O75534_CSDE1.pdf", "Melting_Curves/meltCurve_O75534_CSDE1.pdf")</f>
        <v>Melting_Curves/meltCurve_O75534_CSDE1.pdf</v>
      </c>
    </row>
    <row r="1722" spans="1:28" x14ac:dyDescent="0.25">
      <c r="A1722" t="s">
        <v>1726</v>
      </c>
      <c r="B1722">
        <v>0.99252571173614901</v>
      </c>
      <c r="C1722">
        <v>1.07004666413376</v>
      </c>
      <c r="D1722">
        <v>1.0226185064768301</v>
      </c>
      <c r="E1722">
        <v>1.03072994586841</v>
      </c>
      <c r="F1722">
        <v>0.82593314715855004</v>
      </c>
      <c r="G1722">
        <v>0.72183318252571904</v>
      </c>
      <c r="H1722">
        <v>0.64620441726199895</v>
      </c>
      <c r="I1722">
        <v>0.81419162671340395</v>
      </c>
      <c r="J1722">
        <v>1.1008486692439301</v>
      </c>
      <c r="K1722">
        <v>1.1907802594801</v>
      </c>
      <c r="L1722">
        <v>15000</v>
      </c>
      <c r="M1722">
        <v>223.66093661172599</v>
      </c>
      <c r="O1722">
        <v>67.060434867857495</v>
      </c>
      <c r="P1722">
        <v>0.15909061374566799</v>
      </c>
      <c r="Q1722">
        <v>1.1908010695262199</v>
      </c>
      <c r="R1722">
        <v>4.3416976255083103E-2</v>
      </c>
      <c r="S1722" t="s">
        <v>8368</v>
      </c>
      <c r="T1722" t="s">
        <v>13290</v>
      </c>
      <c r="U1722" t="s">
        <v>13290</v>
      </c>
      <c r="V1722" t="s">
        <v>13290</v>
      </c>
      <c r="W1722" t="s">
        <v>14981</v>
      </c>
      <c r="X1722">
        <v>10</v>
      </c>
      <c r="Y1722" t="s">
        <v>21552</v>
      </c>
      <c r="Z1722" t="s">
        <v>28052</v>
      </c>
      <c r="AA1722">
        <v>1.018633724851117</v>
      </c>
      <c r="AB1722" t="str">
        <f>HYPERLINK("Melting_Curves/meltCurve_O75554_WBP4.pdf", "Melting_Curves/meltCurve_O75554_WBP4.pdf")</f>
        <v>Melting_Curves/meltCurve_O75554_WBP4.pdf</v>
      </c>
    </row>
    <row r="1723" spans="1:28" x14ac:dyDescent="0.25">
      <c r="A1723" t="s">
        <v>1727</v>
      </c>
      <c r="B1723">
        <v>0.99252571173614901</v>
      </c>
      <c r="C1723">
        <v>1.0090689919136799</v>
      </c>
      <c r="D1723">
        <v>0.72715434953928904</v>
      </c>
      <c r="E1723">
        <v>0.39240028576402303</v>
      </c>
      <c r="F1723">
        <v>0.16627707135917899</v>
      </c>
      <c r="G1723">
        <v>9.7448080952710903E-2</v>
      </c>
      <c r="H1723">
        <v>7.5627495693072602E-2</v>
      </c>
      <c r="I1723">
        <v>7.6500040760614701E-2</v>
      </c>
      <c r="J1723">
        <v>9.3788028103450494E-2</v>
      </c>
      <c r="K1723">
        <v>9.7209004236124899E-2</v>
      </c>
      <c r="L1723">
        <v>1144.3271682494101</v>
      </c>
      <c r="M1723">
        <v>23.8309374666084</v>
      </c>
      <c r="N1723">
        <v>48.387569938184001</v>
      </c>
      <c r="O1723">
        <v>47.684260273057099</v>
      </c>
      <c r="P1723">
        <v>-0.11456125530226199</v>
      </c>
      <c r="Q1723">
        <v>8.3094397356184804E-2</v>
      </c>
      <c r="R1723">
        <v>0.99587096488794702</v>
      </c>
      <c r="S1723" t="s">
        <v>8369</v>
      </c>
      <c r="T1723" t="s">
        <v>13290</v>
      </c>
      <c r="U1723" t="s">
        <v>13290</v>
      </c>
      <c r="V1723" t="s">
        <v>13290</v>
      </c>
      <c r="W1723" t="s">
        <v>14982</v>
      </c>
      <c r="X1723">
        <v>4</v>
      </c>
      <c r="Y1723" t="s">
        <v>21553</v>
      </c>
      <c r="Z1723" t="s">
        <v>28053</v>
      </c>
      <c r="AA1723">
        <v>0.3371416587342278</v>
      </c>
      <c r="AB1723" t="str">
        <f>HYPERLINK("Melting_Curves/meltCurve_O75570_MTRF1.pdf", "Melting_Curves/meltCurve_O75570_MTRF1.pdf")</f>
        <v>Melting_Curves/meltCurve_O75570_MTRF1.pdf</v>
      </c>
    </row>
    <row r="1724" spans="1:28" x14ac:dyDescent="0.25">
      <c r="A1724" t="s">
        <v>1728</v>
      </c>
      <c r="B1724">
        <v>0.99252571173614901</v>
      </c>
      <c r="C1724">
        <v>0.98997000324196405</v>
      </c>
      <c r="D1724">
        <v>0.84804143549191302</v>
      </c>
      <c r="E1724">
        <v>0.81916229756039005</v>
      </c>
      <c r="F1724">
        <v>1.1100196061297101</v>
      </c>
      <c r="G1724">
        <v>0.79706105294451401</v>
      </c>
      <c r="H1724">
        <v>0.51900484747937103</v>
      </c>
      <c r="I1724">
        <v>0.613574467240938</v>
      </c>
      <c r="J1724">
        <v>0.92915984279623798</v>
      </c>
      <c r="K1724">
        <v>1.0479232384358099</v>
      </c>
      <c r="L1724">
        <v>602.34937838586097</v>
      </c>
      <c r="M1724">
        <v>12.8400632233203</v>
      </c>
      <c r="O1724">
        <v>45.817546677836503</v>
      </c>
      <c r="P1724">
        <v>-1.33631131572977E-2</v>
      </c>
      <c r="Q1724">
        <v>0.80929959849418998</v>
      </c>
      <c r="R1724">
        <v>0.121645475971892</v>
      </c>
      <c r="S1724" t="s">
        <v>8370</v>
      </c>
      <c r="T1724" t="s">
        <v>13290</v>
      </c>
      <c r="U1724" t="s">
        <v>13290</v>
      </c>
      <c r="V1724" t="s">
        <v>13290</v>
      </c>
      <c r="W1724" t="s">
        <v>14983</v>
      </c>
      <c r="X1724">
        <v>2</v>
      </c>
      <c r="Y1724" t="s">
        <v>21554</v>
      </c>
      <c r="Z1724" t="s">
        <v>28054</v>
      </c>
      <c r="AA1724">
        <v>0.86033513962838748</v>
      </c>
      <c r="AB1724" t="str">
        <f>HYPERLINK("Melting_Curves/meltCurve_O75575_CRCP.pdf", "Melting_Curves/meltCurve_O75575_CRCP.pdf")</f>
        <v>Melting_Curves/meltCurve_O75575_CRCP.pdf</v>
      </c>
    </row>
    <row r="1725" spans="1:28" x14ac:dyDescent="0.25">
      <c r="A1725" t="s">
        <v>1729</v>
      </c>
      <c r="B1725">
        <v>0.99252571173614901</v>
      </c>
      <c r="C1725">
        <v>0.87849405056307195</v>
      </c>
      <c r="D1725">
        <v>0.71494134568485701</v>
      </c>
      <c r="E1725">
        <v>0.50628819432599104</v>
      </c>
      <c r="F1725">
        <v>0.35762450563146497</v>
      </c>
      <c r="G1725">
        <v>0.21372727850881301</v>
      </c>
      <c r="H1725">
        <v>0.151755002242981</v>
      </c>
      <c r="I1725">
        <v>0.15634962213109099</v>
      </c>
      <c r="J1725">
        <v>0.140217340300476</v>
      </c>
      <c r="K1725">
        <v>0.136088347422364</v>
      </c>
      <c r="L1725">
        <v>669.37238658653803</v>
      </c>
      <c r="M1725">
        <v>13.7266794184647</v>
      </c>
      <c r="N1725">
        <v>49.730516054306399</v>
      </c>
      <c r="O1725">
        <v>47.764306233290903</v>
      </c>
      <c r="P1725">
        <v>-6.3445867613942497E-2</v>
      </c>
      <c r="Q1725">
        <v>0.117043462102984</v>
      </c>
      <c r="R1725">
        <v>0.99706716106589799</v>
      </c>
      <c r="S1725" t="s">
        <v>8371</v>
      </c>
      <c r="T1725" t="s">
        <v>13290</v>
      </c>
      <c r="U1725" t="s">
        <v>13290</v>
      </c>
      <c r="V1725" t="s">
        <v>13290</v>
      </c>
      <c r="W1725" t="s">
        <v>14984</v>
      </c>
      <c r="X1725">
        <v>3</v>
      </c>
      <c r="Y1725" t="s">
        <v>21555</v>
      </c>
      <c r="Z1725" t="s">
        <v>28055</v>
      </c>
      <c r="AA1725">
        <v>0.40094858568938352</v>
      </c>
      <c r="AB1725" t="str">
        <f>HYPERLINK("Melting_Curves/meltCurve_O75600_GCAT.pdf", "Melting_Curves/meltCurve_O75600_GCAT.pdf")</f>
        <v>Melting_Curves/meltCurve_O75600_GCAT.pdf</v>
      </c>
    </row>
    <row r="1726" spans="1:28" x14ac:dyDescent="0.25">
      <c r="A1726" t="s">
        <v>1730</v>
      </c>
      <c r="B1726">
        <v>0.99252571173614901</v>
      </c>
      <c r="C1726">
        <v>1.0865410448022399</v>
      </c>
      <c r="D1726">
        <v>0.97821042726393903</v>
      </c>
      <c r="E1726">
        <v>0.93578650992608403</v>
      </c>
      <c r="F1726">
        <v>0.80034376776612803</v>
      </c>
      <c r="G1726">
        <v>0.59664485648580801</v>
      </c>
      <c r="H1726">
        <v>0.49404944204074802</v>
      </c>
      <c r="I1726">
        <v>0.573389788213303</v>
      </c>
      <c r="J1726">
        <v>0.54740572246113295</v>
      </c>
      <c r="K1726">
        <v>0.61075336170434102</v>
      </c>
      <c r="L1726">
        <v>1789.7050031501201</v>
      </c>
      <c r="M1726">
        <v>33.572253865209099</v>
      </c>
      <c r="O1726">
        <v>53.120975586066102</v>
      </c>
      <c r="P1726">
        <v>-7.0475528402744098E-2</v>
      </c>
      <c r="Q1726">
        <v>0.55395154571599303</v>
      </c>
      <c r="R1726">
        <v>0.96083339735946505</v>
      </c>
      <c r="S1726" t="s">
        <v>8372</v>
      </c>
      <c r="T1726" t="s">
        <v>13290</v>
      </c>
      <c r="U1726" t="s">
        <v>13290</v>
      </c>
      <c r="V1726" t="s">
        <v>13290</v>
      </c>
      <c r="W1726" t="s">
        <v>14985</v>
      </c>
      <c r="X1726">
        <v>4</v>
      </c>
      <c r="Y1726" t="s">
        <v>21556</v>
      </c>
      <c r="Z1726" t="s">
        <v>28056</v>
      </c>
      <c r="AA1726">
        <v>0.75416239633385118</v>
      </c>
      <c r="AB1726" t="str">
        <f>HYPERLINK("Melting_Curves/meltCurve_O75607_NPM3.pdf", "Melting_Curves/meltCurve_O75607_NPM3.pdf")</f>
        <v>Melting_Curves/meltCurve_O75607_NPM3.pdf</v>
      </c>
    </row>
    <row r="1727" spans="1:28" x14ac:dyDescent="0.25">
      <c r="A1727" t="s">
        <v>1731</v>
      </c>
      <c r="B1727">
        <v>0.99252571173614901</v>
      </c>
      <c r="C1727">
        <v>1.0920967793288801</v>
      </c>
      <c r="D1727">
        <v>1.00307719307659</v>
      </c>
      <c r="E1727">
        <v>0.84922985234673198</v>
      </c>
      <c r="F1727">
        <v>0.65428253812623205</v>
      </c>
      <c r="G1727">
        <v>0.28300933996378602</v>
      </c>
      <c r="H1727">
        <v>9.1328039413752907E-2</v>
      </c>
      <c r="I1727">
        <v>8.9437742589722605E-2</v>
      </c>
      <c r="J1727">
        <v>9.3950451453950506E-2</v>
      </c>
      <c r="K1727">
        <v>8.3245565443642006E-2</v>
      </c>
      <c r="L1727">
        <v>1304.18691020251</v>
      </c>
      <c r="M1727">
        <v>24.1286031083362</v>
      </c>
      <c r="N1727">
        <v>54.3778498166185</v>
      </c>
      <c r="O1727">
        <v>53.684318607402098</v>
      </c>
      <c r="P1727">
        <v>-0.104790401065816</v>
      </c>
      <c r="Q1727">
        <v>6.7411541271163194E-2</v>
      </c>
      <c r="R1727">
        <v>0.99125047677696099</v>
      </c>
      <c r="S1727" t="s">
        <v>8373</v>
      </c>
      <c r="T1727" t="s">
        <v>13290</v>
      </c>
      <c r="U1727" t="s">
        <v>13290</v>
      </c>
      <c r="V1727" t="s">
        <v>13290</v>
      </c>
      <c r="W1727" t="s">
        <v>14986</v>
      </c>
      <c r="X1727">
        <v>9</v>
      </c>
      <c r="Y1727" t="s">
        <v>21557</v>
      </c>
      <c r="Z1727" t="s">
        <v>28057</v>
      </c>
      <c r="AA1727">
        <v>0.51342162330809871</v>
      </c>
      <c r="AB1727" t="str">
        <f>HYPERLINK("Melting_Curves/meltCurve_O75608_2_LYPLA1.pdf", "Melting_Curves/meltCurve_O75608_2_LYPLA1.pdf")</f>
        <v>Melting_Curves/meltCurve_O75608_2_LYPLA1.pdf</v>
      </c>
    </row>
    <row r="1728" spans="1:28" x14ac:dyDescent="0.25">
      <c r="A1728" t="s">
        <v>1732</v>
      </c>
      <c r="B1728">
        <v>0.99252571173614901</v>
      </c>
      <c r="C1728">
        <v>0.91863964068756399</v>
      </c>
      <c r="D1728">
        <v>0.54803948101739997</v>
      </c>
      <c r="E1728">
        <v>0.26218550483762998</v>
      </c>
      <c r="F1728">
        <v>0.147555591462772</v>
      </c>
      <c r="G1728">
        <v>9.5587391905775407E-2</v>
      </c>
      <c r="H1728">
        <v>5.9742127543929498E-2</v>
      </c>
      <c r="I1728">
        <v>5.2313901573596097E-2</v>
      </c>
      <c r="J1728">
        <v>4.43029604124879E-2</v>
      </c>
      <c r="K1728">
        <v>4.4439011295749099E-2</v>
      </c>
      <c r="L1728">
        <v>1032.3919763776601</v>
      </c>
      <c r="M1728">
        <v>22.197102679659402</v>
      </c>
      <c r="N1728">
        <v>46.781065970728299</v>
      </c>
      <c r="O1728">
        <v>46.137669852472001</v>
      </c>
      <c r="P1728">
        <v>-0.113026215999804</v>
      </c>
      <c r="Q1728">
        <v>6.0300330167762498E-2</v>
      </c>
      <c r="R1728">
        <v>0.99503275395110002</v>
      </c>
      <c r="S1728" t="s">
        <v>8374</v>
      </c>
      <c r="T1728" t="s">
        <v>13290</v>
      </c>
      <c r="U1728" t="s">
        <v>13290</v>
      </c>
      <c r="V1728" t="s">
        <v>13290</v>
      </c>
      <c r="W1728" t="s">
        <v>14987</v>
      </c>
      <c r="X1728">
        <v>3</v>
      </c>
      <c r="Y1728" t="s">
        <v>21558</v>
      </c>
      <c r="Z1728" t="s">
        <v>28058</v>
      </c>
      <c r="AA1728">
        <v>0.27534197660784548</v>
      </c>
      <c r="AB1728" t="str">
        <f>HYPERLINK("Melting_Curves/meltCurve_O75616_ERAL1.pdf", "Melting_Curves/meltCurve_O75616_ERAL1.pdf")</f>
        <v>Melting_Curves/meltCurve_O75616_ERAL1.pdf</v>
      </c>
    </row>
    <row r="1729" spans="1:28" x14ac:dyDescent="0.25">
      <c r="A1729" t="s">
        <v>1733</v>
      </c>
      <c r="B1729">
        <v>0.99252571173614901</v>
      </c>
      <c r="C1729">
        <v>1.0917134444122301</v>
      </c>
      <c r="D1729">
        <v>0.95557218707755798</v>
      </c>
      <c r="E1729">
        <v>1.09920119605183</v>
      </c>
      <c r="F1729">
        <v>0.80348748675222004</v>
      </c>
      <c r="G1729">
        <v>0.65127591606283497</v>
      </c>
      <c r="H1729">
        <v>0.562749904271583</v>
      </c>
      <c r="I1729">
        <v>0.69039535278934905</v>
      </c>
      <c r="J1729">
        <v>0.94233124246879996</v>
      </c>
      <c r="K1729">
        <v>0.95507296817007603</v>
      </c>
      <c r="L1729">
        <v>13219.3124931116</v>
      </c>
      <c r="M1729">
        <v>250</v>
      </c>
      <c r="O1729">
        <v>52.873849986956699</v>
      </c>
      <c r="P1729">
        <v>-0.28326248900960999</v>
      </c>
      <c r="Q1729">
        <v>0.76036507292965405</v>
      </c>
      <c r="R1729">
        <v>0.53317820009322603</v>
      </c>
      <c r="S1729" t="s">
        <v>8375</v>
      </c>
      <c r="T1729" t="s">
        <v>13290</v>
      </c>
      <c r="U1729" t="s">
        <v>13290</v>
      </c>
      <c r="V1729" t="s">
        <v>13290</v>
      </c>
      <c r="W1729" t="s">
        <v>14988</v>
      </c>
      <c r="X1729">
        <v>3</v>
      </c>
      <c r="Y1729" t="s">
        <v>21559</v>
      </c>
      <c r="Z1729" t="s">
        <v>28059</v>
      </c>
      <c r="AA1729">
        <v>0.86324860601864895</v>
      </c>
      <c r="AB1729" t="str">
        <f>HYPERLINK("Melting_Curves/meltCurve_O75629_CREG1.pdf", "Melting_Curves/meltCurve_O75629_CREG1.pdf")</f>
        <v>Melting_Curves/meltCurve_O75629_CREG1.pdf</v>
      </c>
    </row>
    <row r="1730" spans="1:28" x14ac:dyDescent="0.25">
      <c r="A1730" t="s">
        <v>1734</v>
      </c>
      <c r="B1730">
        <v>0.99252571173614901</v>
      </c>
      <c r="C1730">
        <v>0.90387807207307302</v>
      </c>
      <c r="D1730">
        <v>1.2105101804728799</v>
      </c>
      <c r="E1730">
        <v>1.2433246538723099</v>
      </c>
      <c r="F1730">
        <v>1.0418561193440301</v>
      </c>
      <c r="G1730">
        <v>0.20329343689766899</v>
      </c>
      <c r="H1730">
        <v>0.13039929661236199</v>
      </c>
      <c r="I1730">
        <v>0.11715284148408101</v>
      </c>
      <c r="J1730">
        <v>0.12485908516735</v>
      </c>
      <c r="K1730">
        <v>0.119909495132764</v>
      </c>
      <c r="L1730">
        <v>14069.598956353</v>
      </c>
      <c r="M1730">
        <v>250</v>
      </c>
      <c r="N1730">
        <v>56.342079322878199</v>
      </c>
      <c r="O1730">
        <v>56.274794549146598</v>
      </c>
      <c r="P1730">
        <v>-0.97392612793293898</v>
      </c>
      <c r="Q1730">
        <v>0.123080119554714</v>
      </c>
      <c r="R1730">
        <v>0.950029438682364</v>
      </c>
      <c r="S1730" t="s">
        <v>8376</v>
      </c>
      <c r="T1730" t="s">
        <v>13290</v>
      </c>
      <c r="U1730" t="s">
        <v>13290</v>
      </c>
      <c r="V1730" t="s">
        <v>13290</v>
      </c>
      <c r="W1730" t="s">
        <v>14989</v>
      </c>
      <c r="X1730">
        <v>46</v>
      </c>
      <c r="Y1730" t="s">
        <v>21560</v>
      </c>
      <c r="Z1730" t="s">
        <v>28060</v>
      </c>
      <c r="AA1730">
        <v>0.59899502829080775</v>
      </c>
      <c r="AB1730" t="str">
        <f>HYPERLINK("Melting_Curves/meltCurve_O75643_SNRNP200.pdf", "Melting_Curves/meltCurve_O75643_SNRNP200.pdf")</f>
        <v>Melting_Curves/meltCurve_O75643_SNRNP200.pdf</v>
      </c>
    </row>
    <row r="1731" spans="1:28" x14ac:dyDescent="0.25">
      <c r="A1731" t="s">
        <v>1735</v>
      </c>
      <c r="B1731">
        <v>0.99252571173614901</v>
      </c>
      <c r="C1731">
        <v>1.01641566446299</v>
      </c>
      <c r="D1731">
        <v>0.90783320630036501</v>
      </c>
      <c r="E1731">
        <v>0.89546421633260198</v>
      </c>
      <c r="F1731">
        <v>0.35094100583948001</v>
      </c>
      <c r="G1731">
        <v>0.17865469949972401</v>
      </c>
      <c r="H1731">
        <v>0.117521497504436</v>
      </c>
      <c r="I1731">
        <v>0.113631335459504</v>
      </c>
      <c r="J1731">
        <v>0.12822375774334899</v>
      </c>
      <c r="K1731">
        <v>0.12975339957030699</v>
      </c>
      <c r="L1731">
        <v>2093.6154244131399</v>
      </c>
      <c r="M1731">
        <v>40.359455183492102</v>
      </c>
      <c r="N1731">
        <v>52.252210637818003</v>
      </c>
      <c r="O1731">
        <v>51.747357646065097</v>
      </c>
      <c r="P1731">
        <v>-0.17029869445718901</v>
      </c>
      <c r="Q1731">
        <v>0.126599729111986</v>
      </c>
      <c r="R1731">
        <v>0.99394449090915504</v>
      </c>
      <c r="S1731" t="s">
        <v>8377</v>
      </c>
      <c r="T1731" t="s">
        <v>13290</v>
      </c>
      <c r="U1731" t="s">
        <v>13290</v>
      </c>
      <c r="V1731" t="s">
        <v>13290</v>
      </c>
      <c r="W1731" t="s">
        <v>14990</v>
      </c>
      <c r="X1731">
        <v>4</v>
      </c>
      <c r="Y1731" t="s">
        <v>21561</v>
      </c>
      <c r="Z1731" t="s">
        <v>28061</v>
      </c>
      <c r="AA1731">
        <v>0.47537270925005343</v>
      </c>
      <c r="AB1731" t="str">
        <f>HYPERLINK("Melting_Curves/meltCurve_O75648_TRMU.pdf", "Melting_Curves/meltCurve_O75648_TRMU.pdf")</f>
        <v>Melting_Curves/meltCurve_O75648_TRMU.pdf</v>
      </c>
    </row>
    <row r="1732" spans="1:28" x14ac:dyDescent="0.25">
      <c r="A1732" t="s">
        <v>1736</v>
      </c>
      <c r="B1732">
        <v>0.99252571173614901</v>
      </c>
      <c r="C1732">
        <v>1.0159365952313499</v>
      </c>
      <c r="D1732">
        <v>0.44142620043752601</v>
      </c>
      <c r="E1732">
        <v>0.44313795344050499</v>
      </c>
      <c r="F1732">
        <v>0.14374740174664399</v>
      </c>
      <c r="G1732">
        <v>8.0317626159973704E-2</v>
      </c>
      <c r="H1732">
        <v>5.0760707408854903E-2</v>
      </c>
      <c r="I1732">
        <v>4.7388960528403801E-2</v>
      </c>
      <c r="J1732">
        <v>4.9763303332804501E-2</v>
      </c>
      <c r="K1732">
        <v>4.77619668356059E-2</v>
      </c>
      <c r="L1732">
        <v>851.00791114721699</v>
      </c>
      <c r="M1732">
        <v>18.066633827700699</v>
      </c>
      <c r="N1732">
        <v>47.361494732834402</v>
      </c>
      <c r="O1732">
        <v>46.538116750017998</v>
      </c>
      <c r="P1732">
        <v>-9.2514983545229301E-2</v>
      </c>
      <c r="Q1732">
        <v>4.68033406172529E-2</v>
      </c>
      <c r="R1732">
        <v>0.94514418703596903</v>
      </c>
      <c r="S1732" t="s">
        <v>8378</v>
      </c>
      <c r="T1732" t="s">
        <v>13290</v>
      </c>
      <c r="U1732" t="s">
        <v>13290</v>
      </c>
      <c r="V1732" t="s">
        <v>13290</v>
      </c>
      <c r="W1732" t="s">
        <v>14991</v>
      </c>
      <c r="X1732">
        <v>14</v>
      </c>
      <c r="Y1732" t="s">
        <v>21562</v>
      </c>
      <c r="Z1732" t="s">
        <v>28062</v>
      </c>
      <c r="AA1732">
        <v>0.28987431386851881</v>
      </c>
      <c r="AB1732" t="str">
        <f>HYPERLINK("Melting_Curves/meltCurve_O75663_TIPRL.pdf", "Melting_Curves/meltCurve_O75663_TIPRL.pdf")</f>
        <v>Melting_Curves/meltCurve_O75663_TIPRL.pdf</v>
      </c>
    </row>
    <row r="1733" spans="1:28" x14ac:dyDescent="0.25">
      <c r="A1733" t="s">
        <v>1737</v>
      </c>
      <c r="B1733">
        <v>0.99252571173614901</v>
      </c>
      <c r="C1733">
        <v>1.0480971495647</v>
      </c>
      <c r="D1733">
        <v>0.99513932879150802</v>
      </c>
      <c r="E1733">
        <v>1.1471091389946499</v>
      </c>
      <c r="F1733">
        <v>0.96475503216995495</v>
      </c>
      <c r="G1733">
        <v>0.73639713991295797</v>
      </c>
      <c r="H1733">
        <v>0.64572438710715596</v>
      </c>
      <c r="I1733">
        <v>0.71819240502406501</v>
      </c>
      <c r="J1733">
        <v>1.0837826808433899</v>
      </c>
      <c r="K1733">
        <v>1.05632086250813</v>
      </c>
      <c r="L1733">
        <v>13363.682057522699</v>
      </c>
      <c r="M1733">
        <v>250</v>
      </c>
      <c r="O1733">
        <v>53.451307578750203</v>
      </c>
      <c r="P1733">
        <v>-0.177634215591184</v>
      </c>
      <c r="Q1733">
        <v>0.84808350294773105</v>
      </c>
      <c r="R1733">
        <v>0.29066452615427102</v>
      </c>
      <c r="S1733" t="s">
        <v>8379</v>
      </c>
      <c r="T1733" t="s">
        <v>13290</v>
      </c>
      <c r="U1733" t="s">
        <v>13290</v>
      </c>
      <c r="V1733" t="s">
        <v>13290</v>
      </c>
      <c r="W1733" t="s">
        <v>14992</v>
      </c>
      <c r="X1733">
        <v>2</v>
      </c>
      <c r="Y1733" t="s">
        <v>21563</v>
      </c>
      <c r="Z1733" t="s">
        <v>28063</v>
      </c>
      <c r="AA1733">
        <v>0.91623092728783861</v>
      </c>
      <c r="AB1733" t="str">
        <f>HYPERLINK("Melting_Curves/meltCurve_O75683_SURF6.pdf", "Melting_Curves/meltCurve_O75683_SURF6.pdf")</f>
        <v>Melting_Curves/meltCurve_O75683_SURF6.pdf</v>
      </c>
    </row>
    <row r="1734" spans="1:28" x14ac:dyDescent="0.25">
      <c r="A1734" t="s">
        <v>1738</v>
      </c>
      <c r="B1734">
        <v>0.99252571173614901</v>
      </c>
      <c r="C1734">
        <v>1.03155227690113</v>
      </c>
      <c r="D1734">
        <v>0.95105131512095997</v>
      </c>
      <c r="E1734">
        <v>0.79503176910423301</v>
      </c>
      <c r="F1734">
        <v>0.21147278702805999</v>
      </c>
      <c r="G1734">
        <v>0.124066829662573</v>
      </c>
      <c r="H1734">
        <v>8.7360215522270399E-2</v>
      </c>
      <c r="I1734">
        <v>8.4552710506542395E-2</v>
      </c>
      <c r="J1734">
        <v>8.0419944559613696E-2</v>
      </c>
      <c r="K1734">
        <v>7.6875684985735396E-2</v>
      </c>
      <c r="L1734">
        <v>2180.0820379996399</v>
      </c>
      <c r="M1734">
        <v>42.7507243785642</v>
      </c>
      <c r="N1734">
        <v>51.223951853668702</v>
      </c>
      <c r="O1734">
        <v>50.883982582058401</v>
      </c>
      <c r="P1734">
        <v>-0.19178864685462299</v>
      </c>
      <c r="Q1734">
        <v>8.6896548068592303E-2</v>
      </c>
      <c r="R1734">
        <v>0.99788855925917497</v>
      </c>
      <c r="S1734" t="s">
        <v>8380</v>
      </c>
      <c r="T1734" t="s">
        <v>13290</v>
      </c>
      <c r="U1734" t="s">
        <v>13290</v>
      </c>
      <c r="V1734" t="s">
        <v>13290</v>
      </c>
      <c r="W1734" t="s">
        <v>14993</v>
      </c>
      <c r="X1734">
        <v>17</v>
      </c>
      <c r="Y1734" t="s">
        <v>21564</v>
      </c>
      <c r="Z1734" t="s">
        <v>28064</v>
      </c>
      <c r="AA1734">
        <v>0.42437021763538291</v>
      </c>
      <c r="AB1734" t="str">
        <f>HYPERLINK("Melting_Curves/meltCurve_O75688_PPM1B.pdf", "Melting_Curves/meltCurve_O75688_PPM1B.pdf")</f>
        <v>Melting_Curves/meltCurve_O75688_PPM1B.pdf</v>
      </c>
    </row>
    <row r="1735" spans="1:28" x14ac:dyDescent="0.25">
      <c r="A1735" t="s">
        <v>1739</v>
      </c>
      <c r="B1735">
        <v>0.99252571173614901</v>
      </c>
      <c r="C1735">
        <v>1.0443409371477801</v>
      </c>
      <c r="D1735">
        <v>0.97225761360038299</v>
      </c>
      <c r="E1735">
        <v>0.86874901644741098</v>
      </c>
      <c r="F1735">
        <v>0.29111016610217899</v>
      </c>
      <c r="G1735">
        <v>0.16507496730031701</v>
      </c>
      <c r="H1735">
        <v>0.13000114839078</v>
      </c>
      <c r="I1735">
        <v>0.13813383695784001</v>
      </c>
      <c r="J1735">
        <v>0.17658011109997299</v>
      </c>
      <c r="K1735">
        <v>0.14297806396429799</v>
      </c>
      <c r="L1735">
        <v>2400.20273778093</v>
      </c>
      <c r="M1735">
        <v>46.705164632692103</v>
      </c>
      <c r="N1735">
        <v>51.780296256254303</v>
      </c>
      <c r="O1735">
        <v>51.296572356301901</v>
      </c>
      <c r="P1735">
        <v>-0.19388791000830399</v>
      </c>
      <c r="Q1735">
        <v>0.148207763196472</v>
      </c>
      <c r="R1735">
        <v>0.99745120156608702</v>
      </c>
      <c r="S1735" t="s">
        <v>8381</v>
      </c>
      <c r="T1735" t="s">
        <v>13290</v>
      </c>
      <c r="U1735" t="s">
        <v>13290</v>
      </c>
      <c r="V1735" t="s">
        <v>13290</v>
      </c>
      <c r="W1735" t="s">
        <v>14994</v>
      </c>
      <c r="X1735">
        <v>16</v>
      </c>
      <c r="Y1735" t="s">
        <v>21564</v>
      </c>
      <c r="Z1735" t="s">
        <v>28065</v>
      </c>
      <c r="AA1735">
        <v>0.47383421184362962</v>
      </c>
      <c r="AB1735" t="str">
        <f>HYPERLINK("Melting_Curves/meltCurve_O75688_2_PPM1B.pdf", "Melting_Curves/meltCurve_O75688_2_PPM1B.pdf")</f>
        <v>Melting_Curves/meltCurve_O75688_2_PPM1B.pdf</v>
      </c>
    </row>
    <row r="1736" spans="1:28" x14ac:dyDescent="0.25">
      <c r="A1736" t="s">
        <v>1740</v>
      </c>
      <c r="B1736">
        <v>0.99252571173614901</v>
      </c>
      <c r="C1736">
        <v>0.89408222245298297</v>
      </c>
      <c r="D1736">
        <v>0.63040664022773596</v>
      </c>
      <c r="E1736">
        <v>0.194591693986812</v>
      </c>
      <c r="F1736">
        <v>0.127471665050333</v>
      </c>
      <c r="G1736">
        <v>6.9296137613322706E-2</v>
      </c>
      <c r="H1736">
        <v>5.1894063683571898E-2</v>
      </c>
      <c r="I1736">
        <v>5.7904670441701799E-2</v>
      </c>
      <c r="J1736">
        <v>7.2159603386921595E-2</v>
      </c>
      <c r="K1736">
        <v>7.1519414992961897E-2</v>
      </c>
      <c r="L1736">
        <v>1250.3038850426601</v>
      </c>
      <c r="M1736">
        <v>26.832112562402401</v>
      </c>
      <c r="N1736">
        <v>46.841370704061902</v>
      </c>
      <c r="O1736">
        <v>46.340759001563399</v>
      </c>
      <c r="P1736">
        <v>-0.13531210789319001</v>
      </c>
      <c r="Q1736">
        <v>6.5238716630578703E-2</v>
      </c>
      <c r="R1736">
        <v>0.99788301889145103</v>
      </c>
      <c r="S1736" t="s">
        <v>8382</v>
      </c>
      <c r="T1736" t="s">
        <v>13290</v>
      </c>
      <c r="U1736" t="s">
        <v>13290</v>
      </c>
      <c r="V1736" t="s">
        <v>13290</v>
      </c>
      <c r="W1736" t="s">
        <v>14995</v>
      </c>
      <c r="X1736">
        <v>18</v>
      </c>
      <c r="Y1736" t="s">
        <v>21565</v>
      </c>
      <c r="Z1736" t="s">
        <v>28066</v>
      </c>
      <c r="AA1736">
        <v>0.27799870713735397</v>
      </c>
      <c r="AB1736" t="str">
        <f>HYPERLINK("Melting_Curves/meltCurve_O75691_UTP20.pdf", "Melting_Curves/meltCurve_O75691_UTP20.pdf")</f>
        <v>Melting_Curves/meltCurve_O75691_UTP20.pdf</v>
      </c>
    </row>
    <row r="1737" spans="1:28" x14ac:dyDescent="0.25">
      <c r="A1737" t="s">
        <v>1741</v>
      </c>
      <c r="B1737">
        <v>0.99252571173614901</v>
      </c>
      <c r="C1737">
        <v>1.0312671785340199</v>
      </c>
      <c r="D1737">
        <v>1.0224365858473901</v>
      </c>
      <c r="E1737">
        <v>0.99578929572979902</v>
      </c>
      <c r="F1737">
        <v>0.21093216033257001</v>
      </c>
      <c r="G1737">
        <v>0.139204631132061</v>
      </c>
      <c r="H1737">
        <v>0.10773327113530801</v>
      </c>
      <c r="I1737">
        <v>0.124991983369065</v>
      </c>
      <c r="J1737">
        <v>0.17758515796199101</v>
      </c>
      <c r="K1737">
        <v>0.146599325296005</v>
      </c>
      <c r="L1737">
        <v>5655.4413405137402</v>
      </c>
      <c r="M1737">
        <v>108.70327270697</v>
      </c>
      <c r="N1737">
        <v>52.183050252388497</v>
      </c>
      <c r="O1737">
        <v>52.008811159933003</v>
      </c>
      <c r="P1737">
        <v>-0.44978581089207598</v>
      </c>
      <c r="Q1737">
        <v>0.13920441129265099</v>
      </c>
      <c r="R1737">
        <v>0.99760888104772305</v>
      </c>
      <c r="S1737" t="s">
        <v>8383</v>
      </c>
      <c r="T1737" t="s">
        <v>13290</v>
      </c>
      <c r="U1737" t="s">
        <v>13290</v>
      </c>
      <c r="V1737" t="s">
        <v>13290</v>
      </c>
      <c r="W1737" t="s">
        <v>14996</v>
      </c>
      <c r="X1737">
        <v>1</v>
      </c>
      <c r="Y1737" t="s">
        <v>21566</v>
      </c>
      <c r="Z1737" t="s">
        <v>28067</v>
      </c>
      <c r="AA1737">
        <v>0.48469662147073761</v>
      </c>
      <c r="AB1737" t="str">
        <f>HYPERLINK("Melting_Curves/meltCurve_O75695_RP2.pdf", "Melting_Curves/meltCurve_O75695_RP2.pdf")</f>
        <v>Melting_Curves/meltCurve_O75695_RP2.pdf</v>
      </c>
    </row>
    <row r="1738" spans="1:28" x14ac:dyDescent="0.25">
      <c r="A1738" t="s">
        <v>1742</v>
      </c>
      <c r="B1738">
        <v>0.99252571173614901</v>
      </c>
      <c r="C1738">
        <v>0.91631859307214703</v>
      </c>
      <c r="D1738">
        <v>0.91554546473934295</v>
      </c>
      <c r="E1738">
        <v>0.52502762808946901</v>
      </c>
      <c r="F1738">
        <v>0.237940256713462</v>
      </c>
      <c r="G1738">
        <v>0.13441349579846101</v>
      </c>
      <c r="H1738">
        <v>0.104129815242703</v>
      </c>
      <c r="I1738">
        <v>0.12676786749587199</v>
      </c>
      <c r="J1738">
        <v>0.16692026237903701</v>
      </c>
      <c r="K1738">
        <v>0.16785030557212599</v>
      </c>
      <c r="L1738">
        <v>1407.3105280452501</v>
      </c>
      <c r="M1738">
        <v>28.560107833853898</v>
      </c>
      <c r="N1738">
        <v>49.831229143687999</v>
      </c>
      <c r="O1738">
        <v>49.035697178878799</v>
      </c>
      <c r="P1738">
        <v>-0.12574735076694701</v>
      </c>
      <c r="Q1738">
        <v>0.13640920387786501</v>
      </c>
      <c r="R1738">
        <v>0.99267844369110103</v>
      </c>
      <c r="S1738" t="s">
        <v>8384</v>
      </c>
      <c r="T1738" t="s">
        <v>13290</v>
      </c>
      <c r="U1738" t="s">
        <v>13290</v>
      </c>
      <c r="V1738" t="s">
        <v>13290</v>
      </c>
      <c r="W1738" t="s">
        <v>14997</v>
      </c>
      <c r="X1738">
        <v>23</v>
      </c>
      <c r="Y1738" t="s">
        <v>21567</v>
      </c>
      <c r="Z1738" t="s">
        <v>28068</v>
      </c>
      <c r="AA1738">
        <v>0.40925333201566011</v>
      </c>
      <c r="AB1738" t="str">
        <f>HYPERLINK("Melting_Curves/meltCurve_O75717_WDHD1.pdf", "Melting_Curves/meltCurve_O75717_WDHD1.pdf")</f>
        <v>Melting_Curves/meltCurve_O75717_WDHD1.pdf</v>
      </c>
    </row>
    <row r="1739" spans="1:28" x14ac:dyDescent="0.25">
      <c r="A1739" t="s">
        <v>1743</v>
      </c>
      <c r="B1739">
        <v>0.99252571173614901</v>
      </c>
      <c r="C1739">
        <v>0.84895479865141699</v>
      </c>
      <c r="D1739">
        <v>0.85074162495676797</v>
      </c>
      <c r="E1739">
        <v>0.75970264666263199</v>
      </c>
      <c r="F1739">
        <v>0.76413096635032196</v>
      </c>
      <c r="G1739">
        <v>0.544460585101054</v>
      </c>
      <c r="H1739">
        <v>0.4853738121442</v>
      </c>
      <c r="I1739">
        <v>0.495439937621098</v>
      </c>
      <c r="J1739">
        <v>0.339839353710019</v>
      </c>
      <c r="K1739">
        <v>0.159098619422752</v>
      </c>
      <c r="L1739">
        <v>385.13209620568398</v>
      </c>
      <c r="M1739">
        <v>6.4443268993935803</v>
      </c>
      <c r="N1739">
        <v>59.762969384073401</v>
      </c>
      <c r="O1739">
        <v>54.787957257185703</v>
      </c>
      <c r="P1739">
        <v>-2.9479439378265901E-2</v>
      </c>
      <c r="Q1739">
        <v>0</v>
      </c>
      <c r="R1739">
        <v>0.933891575442932</v>
      </c>
      <c r="S1739" t="s">
        <v>8385</v>
      </c>
      <c r="T1739" t="s">
        <v>13290</v>
      </c>
      <c r="U1739" t="s">
        <v>13290</v>
      </c>
      <c r="V1739" t="s">
        <v>13290</v>
      </c>
      <c r="W1739" t="s">
        <v>14998</v>
      </c>
      <c r="X1739">
        <v>18</v>
      </c>
      <c r="Y1739" t="s">
        <v>21568</v>
      </c>
      <c r="Z1739" t="s">
        <v>28069</v>
      </c>
      <c r="AA1739">
        <v>0.63279966071506666</v>
      </c>
      <c r="AB1739" t="str">
        <f>HYPERLINK("Melting_Curves/meltCurve_O75746_SLC25A12.pdf", "Melting_Curves/meltCurve_O75746_SLC25A12.pdf")</f>
        <v>Melting_Curves/meltCurve_O75746_SLC25A12.pdf</v>
      </c>
    </row>
    <row r="1740" spans="1:28" x14ac:dyDescent="0.25">
      <c r="A1740" t="s">
        <v>1744</v>
      </c>
      <c r="B1740">
        <v>0.99252571173614901</v>
      </c>
      <c r="C1740">
        <v>0.95556071366261297</v>
      </c>
      <c r="D1740">
        <v>0.73142126212993497</v>
      </c>
      <c r="E1740">
        <v>0.416898178674733</v>
      </c>
      <c r="F1740">
        <v>0.32435569322222901</v>
      </c>
      <c r="G1740">
        <v>0.19973744148977701</v>
      </c>
      <c r="H1740">
        <v>0.108811234108522</v>
      </c>
      <c r="I1740">
        <v>8.9138745054745505E-2</v>
      </c>
      <c r="J1740">
        <v>9.3297565499337307E-2</v>
      </c>
      <c r="K1740">
        <v>0.109795495397016</v>
      </c>
      <c r="L1740">
        <v>802.98898883692198</v>
      </c>
      <c r="M1740">
        <v>16.542132770674002</v>
      </c>
      <c r="N1740">
        <v>49.1757343338843</v>
      </c>
      <c r="O1740">
        <v>47.8492934210079</v>
      </c>
      <c r="P1740">
        <v>-7.8137553192466E-2</v>
      </c>
      <c r="Q1740">
        <v>9.5988522384708605E-2</v>
      </c>
      <c r="R1740">
        <v>0.99104683241616898</v>
      </c>
      <c r="S1740" t="s">
        <v>8386</v>
      </c>
      <c r="T1740" t="s">
        <v>13290</v>
      </c>
      <c r="U1740" t="s">
        <v>13290</v>
      </c>
      <c r="V1740" t="s">
        <v>13290</v>
      </c>
      <c r="W1740" t="s">
        <v>14999</v>
      </c>
      <c r="X1740">
        <v>1</v>
      </c>
      <c r="Y1740" t="s">
        <v>21569</v>
      </c>
      <c r="Z1740" t="s">
        <v>28070</v>
      </c>
      <c r="AA1740">
        <v>0.37213787456386987</v>
      </c>
      <c r="AB1740" t="str">
        <f>HYPERLINK("Melting_Curves/meltCurve_O75791_GRAP2.pdf", "Melting_Curves/meltCurve_O75791_GRAP2.pdf")</f>
        <v>Melting_Curves/meltCurve_O75791_GRAP2.pdf</v>
      </c>
    </row>
    <row r="1741" spans="1:28" x14ac:dyDescent="0.25">
      <c r="A1741" t="s">
        <v>1745</v>
      </c>
      <c r="B1741">
        <v>0.99252571173614901</v>
      </c>
      <c r="C1741">
        <v>0.97816038761013102</v>
      </c>
      <c r="D1741">
        <v>0.75738480822411502</v>
      </c>
      <c r="E1741">
        <v>0.42492672563082601</v>
      </c>
      <c r="F1741">
        <v>0.166974228373064</v>
      </c>
      <c r="G1741">
        <v>7.4750082091110198E-2</v>
      </c>
      <c r="H1741">
        <v>5.0597872936567201E-2</v>
      </c>
      <c r="I1741">
        <v>5.1016752037420898E-2</v>
      </c>
      <c r="J1741">
        <v>4.8519894033487297E-2</v>
      </c>
      <c r="K1741">
        <v>4.45251575057155E-2</v>
      </c>
      <c r="L1741">
        <v>1050.7646891794</v>
      </c>
      <c r="M1741">
        <v>21.640757071815301</v>
      </c>
      <c r="N1741">
        <v>48.754246109141199</v>
      </c>
      <c r="O1741">
        <v>48.146005263396702</v>
      </c>
      <c r="P1741">
        <v>-0.10761503485673</v>
      </c>
      <c r="Q1741">
        <v>4.23423869679624E-2</v>
      </c>
      <c r="R1741">
        <v>0.99889789623750702</v>
      </c>
      <c r="S1741" t="s">
        <v>8387</v>
      </c>
      <c r="T1741" t="s">
        <v>13290</v>
      </c>
      <c r="U1741" t="s">
        <v>13290</v>
      </c>
      <c r="V1741" t="s">
        <v>13290</v>
      </c>
      <c r="W1741" t="s">
        <v>15000</v>
      </c>
      <c r="X1741">
        <v>13</v>
      </c>
      <c r="Y1741" t="s">
        <v>21570</v>
      </c>
      <c r="Z1741" t="s">
        <v>28071</v>
      </c>
      <c r="AA1741">
        <v>0.32687531184140461</v>
      </c>
      <c r="AB1741" t="str">
        <f>HYPERLINK("Melting_Curves/meltCurve_O75792_RNASEH2A.pdf", "Melting_Curves/meltCurve_O75792_RNASEH2A.pdf")</f>
        <v>Melting_Curves/meltCurve_O75792_RNASEH2A.pdf</v>
      </c>
    </row>
    <row r="1742" spans="1:28" x14ac:dyDescent="0.25">
      <c r="A1742" t="s">
        <v>1746</v>
      </c>
      <c r="B1742">
        <v>0.99252571173614901</v>
      </c>
      <c r="C1742">
        <v>1.0515337256669799</v>
      </c>
      <c r="D1742">
        <v>1.0248828513374799</v>
      </c>
      <c r="E1742">
        <v>0.80929406529363701</v>
      </c>
      <c r="F1742">
        <v>0.37853825350397002</v>
      </c>
      <c r="G1742">
        <v>0.192275050027927</v>
      </c>
      <c r="H1742">
        <v>0.15420648367498499</v>
      </c>
      <c r="I1742">
        <v>0.160575652668972</v>
      </c>
      <c r="J1742">
        <v>0.153988635574444</v>
      </c>
      <c r="K1742">
        <v>0.17343620786375999</v>
      </c>
      <c r="L1742">
        <v>1743.7207749418501</v>
      </c>
      <c r="M1742">
        <v>33.857178961142203</v>
      </c>
      <c r="N1742">
        <v>52.0929719009293</v>
      </c>
      <c r="O1742">
        <v>51.323578693644897</v>
      </c>
      <c r="P1742">
        <v>-0.138629727604619</v>
      </c>
      <c r="Q1742">
        <v>0.159416815288562</v>
      </c>
      <c r="R1742">
        <v>0.99675604956910102</v>
      </c>
      <c r="S1742" t="s">
        <v>8388</v>
      </c>
      <c r="T1742" t="s">
        <v>13290</v>
      </c>
      <c r="U1742" t="s">
        <v>13290</v>
      </c>
      <c r="V1742" t="s">
        <v>13290</v>
      </c>
      <c r="W1742" t="s">
        <v>15001</v>
      </c>
      <c r="X1742">
        <v>4</v>
      </c>
      <c r="Y1742" t="s">
        <v>21571</v>
      </c>
      <c r="Z1742" t="s">
        <v>28072</v>
      </c>
      <c r="AA1742">
        <v>0.48588648131217771</v>
      </c>
      <c r="AB1742" t="str">
        <f>HYPERLINK("Melting_Curves/meltCurve_O75794_CDC123.pdf", "Melting_Curves/meltCurve_O75794_CDC123.pdf")</f>
        <v>Melting_Curves/meltCurve_O75794_CDC123.pdf</v>
      </c>
    </row>
    <row r="1743" spans="1:28" x14ac:dyDescent="0.25">
      <c r="A1743" t="s">
        <v>1747</v>
      </c>
      <c r="B1743">
        <v>0.99252571173614901</v>
      </c>
      <c r="C1743">
        <v>0.99008025570201297</v>
      </c>
      <c r="D1743">
        <v>0.57704669959565402</v>
      </c>
      <c r="E1743">
        <v>0.17271492209617301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8.1358104072119006E-2</v>
      </c>
      <c r="L1743">
        <v>1494.66572810456</v>
      </c>
      <c r="M1743">
        <v>32.099323898766599</v>
      </c>
      <c r="N1743">
        <v>46.605910929494797</v>
      </c>
      <c r="O1743">
        <v>46.384171355910397</v>
      </c>
      <c r="P1743">
        <v>-0.17053455029478401</v>
      </c>
      <c r="Q1743">
        <v>1.43014335583558E-2</v>
      </c>
      <c r="R1743">
        <v>0.99287887667299002</v>
      </c>
      <c r="S1743" t="s">
        <v>8389</v>
      </c>
      <c r="T1743" t="s">
        <v>13290</v>
      </c>
      <c r="U1743" t="s">
        <v>13290</v>
      </c>
      <c r="V1743" t="s">
        <v>13290</v>
      </c>
      <c r="W1743" t="s">
        <v>15002</v>
      </c>
      <c r="X1743">
        <v>2</v>
      </c>
      <c r="Y1743" t="s">
        <v>21572</v>
      </c>
      <c r="Z1743" t="s">
        <v>28073</v>
      </c>
      <c r="AA1743">
        <v>0.2350868246935113</v>
      </c>
      <c r="AB1743" t="str">
        <f>HYPERLINK("Melting_Curves/meltCurve_O75808_SOLH.pdf", "Melting_Curves/meltCurve_O75808_SOLH.pdf")</f>
        <v>Melting_Curves/meltCurve_O75808_SOLH.pdf</v>
      </c>
    </row>
    <row r="1744" spans="1:28" x14ac:dyDescent="0.25">
      <c r="A1744" t="s">
        <v>1748</v>
      </c>
      <c r="B1744">
        <v>0.99252571173614901</v>
      </c>
      <c r="C1744">
        <v>0.98807898784675496</v>
      </c>
      <c r="D1744">
        <v>1.15451803616446</v>
      </c>
      <c r="E1744">
        <v>1.51678950773245</v>
      </c>
      <c r="F1744">
        <v>1.3654667692831599</v>
      </c>
      <c r="G1744">
        <v>1.2302389300415599</v>
      </c>
      <c r="H1744">
        <v>0.98871569051668395</v>
      </c>
      <c r="I1744">
        <v>0.84957094511678499</v>
      </c>
      <c r="J1744">
        <v>0.71860954123342402</v>
      </c>
      <c r="K1744">
        <v>0.642753977421196</v>
      </c>
      <c r="L1744">
        <v>2921.65027573917</v>
      </c>
      <c r="M1744">
        <v>45.189771794945997</v>
      </c>
      <c r="O1744">
        <v>64.526686484291503</v>
      </c>
      <c r="P1744">
        <v>-6.2470405978983401E-2</v>
      </c>
      <c r="Q1744">
        <v>0.64319333192192896</v>
      </c>
      <c r="R1744">
        <v>0.30345322092905003</v>
      </c>
      <c r="S1744" t="s">
        <v>8390</v>
      </c>
      <c r="T1744" t="s">
        <v>13290</v>
      </c>
      <c r="U1744" t="s">
        <v>13290</v>
      </c>
      <c r="V1744" t="s">
        <v>13290</v>
      </c>
      <c r="W1744" t="s">
        <v>15003</v>
      </c>
      <c r="X1744">
        <v>3</v>
      </c>
      <c r="Y1744" t="s">
        <v>21573</v>
      </c>
      <c r="Z1744" t="s">
        <v>28074</v>
      </c>
      <c r="AA1744">
        <v>0.93699672682060109</v>
      </c>
      <c r="AB1744" t="str">
        <f>HYPERLINK("Melting_Curves/meltCurve_O75818_2_RPP40.pdf", "Melting_Curves/meltCurve_O75818_2_RPP40.pdf")</f>
        <v>Melting_Curves/meltCurve_O75818_2_RPP40.pdf</v>
      </c>
    </row>
    <row r="1745" spans="1:28" x14ac:dyDescent="0.25">
      <c r="A1745" t="s">
        <v>1749</v>
      </c>
      <c r="B1745">
        <v>0.99252571173614901</v>
      </c>
      <c r="C1745">
        <v>0.97131275116726201</v>
      </c>
      <c r="D1745">
        <v>0.93680592894484604</v>
      </c>
      <c r="E1745">
        <v>0.70410160514771603</v>
      </c>
      <c r="F1745">
        <v>0.35720922680337702</v>
      </c>
      <c r="G1745">
        <v>0.22715157582531001</v>
      </c>
      <c r="H1745">
        <v>0.173467739841737</v>
      </c>
      <c r="I1745">
        <v>0.18988458962374999</v>
      </c>
      <c r="J1745">
        <v>0.25461513071962799</v>
      </c>
      <c r="K1745">
        <v>0.28122875578922102</v>
      </c>
      <c r="L1745">
        <v>1491.0963198252</v>
      </c>
      <c r="M1745">
        <v>29.6050505062539</v>
      </c>
      <c r="N1745">
        <v>51.370641695420098</v>
      </c>
      <c r="O1745">
        <v>50.1381632856869</v>
      </c>
      <c r="P1745">
        <v>-0.115184208396254</v>
      </c>
      <c r="Q1745">
        <v>0.21971641249889101</v>
      </c>
      <c r="R1745">
        <v>0.99098237540876499</v>
      </c>
      <c r="S1745" t="s">
        <v>8391</v>
      </c>
      <c r="T1745" t="s">
        <v>13290</v>
      </c>
      <c r="U1745" t="s">
        <v>13290</v>
      </c>
      <c r="V1745" t="s">
        <v>13290</v>
      </c>
      <c r="W1745" t="s">
        <v>15004</v>
      </c>
      <c r="X1745">
        <v>15</v>
      </c>
      <c r="Y1745" t="s">
        <v>21574</v>
      </c>
      <c r="Z1745" t="s">
        <v>28075</v>
      </c>
      <c r="AA1745">
        <v>0.49432426216384268</v>
      </c>
      <c r="AB1745" t="str">
        <f>HYPERLINK("Melting_Curves/meltCurve_O75821_EIF3G.pdf", "Melting_Curves/meltCurve_O75821_EIF3G.pdf")</f>
        <v>Melting_Curves/meltCurve_O75821_EIF3G.pdf</v>
      </c>
    </row>
    <row r="1746" spans="1:28" x14ac:dyDescent="0.25">
      <c r="A1746" t="s">
        <v>1750</v>
      </c>
      <c r="B1746">
        <v>0.99252571173614901</v>
      </c>
      <c r="C1746">
        <v>1.0335305172237901</v>
      </c>
      <c r="D1746">
        <v>0.73922097190087999</v>
      </c>
      <c r="E1746">
        <v>0.82730785230455295</v>
      </c>
      <c r="F1746">
        <v>0.39532060203779901</v>
      </c>
      <c r="G1746">
        <v>0.14375041336695299</v>
      </c>
      <c r="H1746">
        <v>8.8583102958494198E-2</v>
      </c>
      <c r="I1746">
        <v>8.9972253231220295E-2</v>
      </c>
      <c r="J1746">
        <v>0.114892107803388</v>
      </c>
      <c r="K1746">
        <v>0.12344087881652099</v>
      </c>
      <c r="L1746">
        <v>1124.5679692534</v>
      </c>
      <c r="M1746">
        <v>21.7709272861423</v>
      </c>
      <c r="N1746">
        <v>52.083169359776001</v>
      </c>
      <c r="O1746">
        <v>51.224680804710999</v>
      </c>
      <c r="P1746">
        <v>-9.7540782250286298E-2</v>
      </c>
      <c r="Q1746">
        <v>8.2008959496313802E-2</v>
      </c>
      <c r="R1746">
        <v>0.96053630792409195</v>
      </c>
      <c r="S1746" t="s">
        <v>8392</v>
      </c>
      <c r="T1746" t="s">
        <v>13290</v>
      </c>
      <c r="U1746" t="s">
        <v>13290</v>
      </c>
      <c r="V1746" t="s">
        <v>13290</v>
      </c>
      <c r="W1746" t="s">
        <v>15005</v>
      </c>
      <c r="X1746">
        <v>16</v>
      </c>
      <c r="Y1746" t="s">
        <v>21575</v>
      </c>
      <c r="Z1746" t="s">
        <v>28076</v>
      </c>
      <c r="AA1746">
        <v>0.44950993005247319</v>
      </c>
      <c r="AB1746" t="str">
        <f>HYPERLINK("Melting_Curves/meltCurve_O75822_EIF3J.pdf", "Melting_Curves/meltCurve_O75822_EIF3J.pdf")</f>
        <v>Melting_Curves/meltCurve_O75822_EIF3J.pdf</v>
      </c>
    </row>
    <row r="1747" spans="1:28" x14ac:dyDescent="0.25">
      <c r="A1747" t="s">
        <v>1751</v>
      </c>
      <c r="B1747">
        <v>0.99252571173614901</v>
      </c>
      <c r="C1747">
        <v>1.1000824358171</v>
      </c>
      <c r="D1747">
        <v>0.98102160938296201</v>
      </c>
      <c r="E1747">
        <v>0.76633374311102997</v>
      </c>
      <c r="F1747">
        <v>0.468794629279566</v>
      </c>
      <c r="G1747">
        <v>0.165494667455022</v>
      </c>
      <c r="H1747">
        <v>6.3570129286757399E-2</v>
      </c>
      <c r="I1747">
        <v>7.4862996581256294E-2</v>
      </c>
      <c r="J1747">
        <v>6.9160455742678095E-2</v>
      </c>
      <c r="K1747">
        <v>9.1340926553549404E-2</v>
      </c>
      <c r="L1747">
        <v>1261.6656124982401</v>
      </c>
      <c r="M1747">
        <v>24.122748638815501</v>
      </c>
      <c r="N1747">
        <v>52.5908888393637</v>
      </c>
      <c r="O1747">
        <v>51.946445654300298</v>
      </c>
      <c r="P1747">
        <v>-0.10888973721527</v>
      </c>
      <c r="Q1747">
        <v>6.2072526197048401E-2</v>
      </c>
      <c r="R1747">
        <v>0.99112504529196399</v>
      </c>
      <c r="S1747" t="s">
        <v>8393</v>
      </c>
      <c r="T1747" t="s">
        <v>13290</v>
      </c>
      <c r="U1747" t="s">
        <v>13290</v>
      </c>
      <c r="V1747" t="s">
        <v>13290</v>
      </c>
      <c r="W1747" t="s">
        <v>15006</v>
      </c>
      <c r="X1747">
        <v>5</v>
      </c>
      <c r="Y1747" t="s">
        <v>21576</v>
      </c>
      <c r="Z1747" t="s">
        <v>28077</v>
      </c>
      <c r="AA1747">
        <v>0.45587275383308351</v>
      </c>
      <c r="AB1747" t="str">
        <f>HYPERLINK("Melting_Curves/meltCurve_O75828_CBR3.pdf", "Melting_Curves/meltCurve_O75828_CBR3.pdf")</f>
        <v>Melting_Curves/meltCurve_O75828_CBR3.pdf</v>
      </c>
    </row>
    <row r="1748" spans="1:28" x14ac:dyDescent="0.25">
      <c r="A1748" t="s">
        <v>1752</v>
      </c>
      <c r="B1748">
        <v>0.99252571173614901</v>
      </c>
      <c r="C1748">
        <v>1.0415136282192601</v>
      </c>
      <c r="D1748">
        <v>1.09385977722316</v>
      </c>
      <c r="E1748">
        <v>0.65734719063163904</v>
      </c>
      <c r="F1748">
        <v>0.31654172188351898</v>
      </c>
      <c r="G1748">
        <v>0.166862684715368</v>
      </c>
      <c r="H1748">
        <v>0.13627784656820099</v>
      </c>
      <c r="I1748">
        <v>0.17838463519902301</v>
      </c>
      <c r="J1748">
        <v>0.21947279051791399</v>
      </c>
      <c r="K1748">
        <v>0.23938953751904701</v>
      </c>
      <c r="L1748">
        <v>2025.49329870376</v>
      </c>
      <c r="M1748">
        <v>40.391575431432202</v>
      </c>
      <c r="N1748">
        <v>50.7640691740569</v>
      </c>
      <c r="O1748">
        <v>50.023985938145799</v>
      </c>
      <c r="P1748">
        <v>-0.16267518263241401</v>
      </c>
      <c r="Q1748">
        <v>0.194124595281325</v>
      </c>
      <c r="R1748">
        <v>0.98208732929575804</v>
      </c>
      <c r="S1748" t="s">
        <v>8394</v>
      </c>
      <c r="T1748" t="s">
        <v>13290</v>
      </c>
      <c r="U1748" t="s">
        <v>13290</v>
      </c>
      <c r="V1748" t="s">
        <v>13290</v>
      </c>
      <c r="W1748" t="s">
        <v>15007</v>
      </c>
      <c r="X1748">
        <v>5</v>
      </c>
      <c r="Y1748" t="s">
        <v>21577</v>
      </c>
      <c r="Z1748" t="s">
        <v>28078</v>
      </c>
      <c r="AA1748">
        <v>0.46942298295491941</v>
      </c>
      <c r="AB1748" t="str">
        <f>HYPERLINK("Melting_Curves/meltCurve_O75832_PSMD10.pdf", "Melting_Curves/meltCurve_O75832_PSMD10.pdf")</f>
        <v>Melting_Curves/meltCurve_O75832_PSMD10.pdf</v>
      </c>
    </row>
    <row r="1749" spans="1:28" x14ac:dyDescent="0.25">
      <c r="A1749" t="s">
        <v>1753</v>
      </c>
      <c r="B1749">
        <v>0.99252571173614901</v>
      </c>
      <c r="C1749">
        <v>0.91819500064169202</v>
      </c>
      <c r="D1749">
        <v>0.86464639254850195</v>
      </c>
      <c r="E1749">
        <v>0.70665980442215204</v>
      </c>
      <c r="F1749">
        <v>0.48712184452672302</v>
      </c>
      <c r="G1749">
        <v>0.31244791572786301</v>
      </c>
      <c r="H1749">
        <v>0.19524080852478801</v>
      </c>
      <c r="I1749">
        <v>0.123658224197984</v>
      </c>
      <c r="J1749">
        <v>0.13168636410127699</v>
      </c>
      <c r="K1749">
        <v>0.122711283008147</v>
      </c>
      <c r="L1749">
        <v>687.21436098428205</v>
      </c>
      <c r="M1749">
        <v>13.148989649660299</v>
      </c>
      <c r="N1749">
        <v>52.907424084375599</v>
      </c>
      <c r="O1749">
        <v>51.099172632878201</v>
      </c>
      <c r="P1749">
        <v>-5.9585152707435099E-2</v>
      </c>
      <c r="Q1749">
        <v>7.3925036475377695E-2</v>
      </c>
      <c r="R1749">
        <v>0.99789575092838001</v>
      </c>
      <c r="S1749" t="s">
        <v>8395</v>
      </c>
      <c r="T1749" t="s">
        <v>13290</v>
      </c>
      <c r="U1749" t="s">
        <v>13290</v>
      </c>
      <c r="V1749" t="s">
        <v>13290</v>
      </c>
      <c r="W1749" t="s">
        <v>15008</v>
      </c>
      <c r="X1749">
        <v>8</v>
      </c>
      <c r="Y1749" t="s">
        <v>21578</v>
      </c>
      <c r="Z1749" t="s">
        <v>28079</v>
      </c>
      <c r="AA1749">
        <v>0.47722329034727939</v>
      </c>
      <c r="AB1749" t="str">
        <f>HYPERLINK("Melting_Curves/meltCurve_O75844_ZMPSTE24.pdf", "Melting_Curves/meltCurve_O75844_ZMPSTE24.pdf")</f>
        <v>Melting_Curves/meltCurve_O75844_ZMPSTE24.pdf</v>
      </c>
    </row>
    <row r="1750" spans="1:28" x14ac:dyDescent="0.25">
      <c r="A1750" t="s">
        <v>1754</v>
      </c>
      <c r="B1750">
        <v>0.99252571173614901</v>
      </c>
      <c r="C1750">
        <v>0.88131613819559096</v>
      </c>
      <c r="D1750">
        <v>0.81641412783286005</v>
      </c>
      <c r="E1750">
        <v>0.62132379379911795</v>
      </c>
      <c r="F1750">
        <v>0.46568679359077397</v>
      </c>
      <c r="G1750">
        <v>0.35093775553054402</v>
      </c>
      <c r="H1750">
        <v>0.31294763691153199</v>
      </c>
      <c r="I1750">
        <v>0.37224931801021999</v>
      </c>
      <c r="J1750">
        <v>0.52835557012432</v>
      </c>
      <c r="K1750">
        <v>0.40864590157144998</v>
      </c>
      <c r="L1750">
        <v>906.30011989848595</v>
      </c>
      <c r="M1750">
        <v>18.959626401899001</v>
      </c>
      <c r="N1750">
        <v>51.924406292060802</v>
      </c>
      <c r="O1750">
        <v>47.279322130786397</v>
      </c>
      <c r="P1750">
        <v>-6.1253576707101201E-2</v>
      </c>
      <c r="Q1750">
        <v>0.38903620795860799</v>
      </c>
      <c r="R1750">
        <v>0.93288565722939598</v>
      </c>
      <c r="S1750" t="s">
        <v>8396</v>
      </c>
      <c r="T1750" t="s">
        <v>13290</v>
      </c>
      <c r="U1750" t="s">
        <v>13290</v>
      </c>
      <c r="V1750" t="s">
        <v>13290</v>
      </c>
      <c r="W1750" t="s">
        <v>15009</v>
      </c>
      <c r="X1750">
        <v>4</v>
      </c>
      <c r="Y1750" t="s">
        <v>21579</v>
      </c>
      <c r="Z1750" t="s">
        <v>28080</v>
      </c>
      <c r="AA1750">
        <v>0.55769217921240655</v>
      </c>
      <c r="AB1750" t="str">
        <f>HYPERLINK("Melting_Curves/meltCurve_O75845_SC5D.pdf", "Melting_Curves/meltCurve_O75845_SC5D.pdf")</f>
        <v>Melting_Curves/meltCurve_O75845_SC5D.pdf</v>
      </c>
    </row>
    <row r="1751" spans="1:28" x14ac:dyDescent="0.25">
      <c r="A1751" t="s">
        <v>1755</v>
      </c>
      <c r="B1751">
        <v>0.99252571173614901</v>
      </c>
      <c r="C1751">
        <v>1.0195902595898101</v>
      </c>
      <c r="D1751">
        <v>1.02024644577443</v>
      </c>
      <c r="E1751">
        <v>0.94554458973986899</v>
      </c>
      <c r="F1751">
        <v>0.89185666282191201</v>
      </c>
      <c r="G1751">
        <v>0.74846450597295899</v>
      </c>
      <c r="H1751">
        <v>0.40088568195452601</v>
      </c>
      <c r="I1751">
        <v>9.3766302009129804E-2</v>
      </c>
      <c r="J1751">
        <v>9.2920253113346299E-2</v>
      </c>
      <c r="K1751">
        <v>8.1604084142245598E-2</v>
      </c>
      <c r="L1751">
        <v>1399.9332749431501</v>
      </c>
      <c r="M1751">
        <v>23.660831398615102</v>
      </c>
      <c r="N1751">
        <v>59.307375489333197</v>
      </c>
      <c r="O1751">
        <v>58.748912159803098</v>
      </c>
      <c r="P1751">
        <v>-9.7940346458846E-2</v>
      </c>
      <c r="Q1751">
        <v>2.7288047255839401E-2</v>
      </c>
      <c r="R1751">
        <v>0.99180694922507195</v>
      </c>
      <c r="S1751" t="s">
        <v>8397</v>
      </c>
      <c r="T1751" t="s">
        <v>13290</v>
      </c>
      <c r="U1751" t="s">
        <v>13290</v>
      </c>
      <c r="V1751" t="s">
        <v>13290</v>
      </c>
      <c r="W1751" t="s">
        <v>15010</v>
      </c>
      <c r="X1751">
        <v>37</v>
      </c>
      <c r="Y1751" t="s">
        <v>21580</v>
      </c>
      <c r="Z1751" t="s">
        <v>28081</v>
      </c>
      <c r="AA1751">
        <v>0.65708995009003857</v>
      </c>
      <c r="AB1751" t="str">
        <f>HYPERLINK("Melting_Curves/meltCurve_O75874_IDH1.pdf", "Melting_Curves/meltCurve_O75874_IDH1.pdf")</f>
        <v>Melting_Curves/meltCurve_O75874_IDH1.pdf</v>
      </c>
    </row>
    <row r="1752" spans="1:28" x14ac:dyDescent="0.25">
      <c r="A1752" t="s">
        <v>1756</v>
      </c>
      <c r="B1752">
        <v>0.99252571173614901</v>
      </c>
      <c r="C1752">
        <v>0.93796021469591795</v>
      </c>
      <c r="D1752">
        <v>1.0151994421516499</v>
      </c>
      <c r="E1752">
        <v>1.0483178828061801</v>
      </c>
      <c r="F1752">
        <v>0.759680455380911</v>
      </c>
      <c r="G1752">
        <v>0.55959076713756695</v>
      </c>
      <c r="H1752">
        <v>0.49211341970264999</v>
      </c>
      <c r="I1752">
        <v>0.544111581713693</v>
      </c>
      <c r="J1752">
        <v>0.67212642502257203</v>
      </c>
      <c r="K1752">
        <v>0.44097548510901202</v>
      </c>
      <c r="L1752">
        <v>7703.73058880588</v>
      </c>
      <c r="M1752">
        <v>144.90475840352099</v>
      </c>
      <c r="O1752">
        <v>53.153970553191101</v>
      </c>
      <c r="P1752">
        <v>-0.31229644829242797</v>
      </c>
      <c r="Q1752">
        <v>0.54177359798941604</v>
      </c>
      <c r="R1752">
        <v>0.92719719943252599</v>
      </c>
      <c r="S1752" t="s">
        <v>8398</v>
      </c>
      <c r="T1752" t="s">
        <v>13290</v>
      </c>
      <c r="U1752" t="s">
        <v>13290</v>
      </c>
      <c r="V1752" t="s">
        <v>13290</v>
      </c>
      <c r="W1752" t="s">
        <v>15011</v>
      </c>
      <c r="X1752">
        <v>16</v>
      </c>
      <c r="Y1752" t="s">
        <v>21581</v>
      </c>
      <c r="Z1752" t="s">
        <v>28082</v>
      </c>
      <c r="AA1752">
        <v>0.74297213441862886</v>
      </c>
      <c r="AB1752" t="str">
        <f>HYPERLINK("Melting_Curves/meltCurve_O75882_ATRN.pdf", "Melting_Curves/meltCurve_O75882_ATRN.pdf")</f>
        <v>Melting_Curves/meltCurve_O75882_ATRN.pdf</v>
      </c>
    </row>
    <row r="1753" spans="1:28" x14ac:dyDescent="0.25">
      <c r="A1753" t="s">
        <v>1757</v>
      </c>
      <c r="B1753">
        <v>0.99252571173614901</v>
      </c>
      <c r="C1753">
        <v>1.0505393816670101</v>
      </c>
      <c r="D1753">
        <v>0.94095907462939599</v>
      </c>
      <c r="E1753">
        <v>0.63665273277967205</v>
      </c>
      <c r="F1753">
        <v>0.26941291527294098</v>
      </c>
      <c r="G1753">
        <v>0.135969570247296</v>
      </c>
      <c r="H1753">
        <v>8.03499471422119E-2</v>
      </c>
      <c r="I1753">
        <v>6.9779659723324797E-2</v>
      </c>
      <c r="J1753">
        <v>6.4621944910178905E-2</v>
      </c>
      <c r="K1753">
        <v>5.92162815915903E-2</v>
      </c>
      <c r="L1753">
        <v>1311.81079639414</v>
      </c>
      <c r="M1753">
        <v>25.956530331070301</v>
      </c>
      <c r="N1753">
        <v>50.824685208802798</v>
      </c>
      <c r="O1753">
        <v>50.241645507679301</v>
      </c>
      <c r="P1753">
        <v>-0.12038584196185199</v>
      </c>
      <c r="Q1753">
        <v>6.7932027273269496E-2</v>
      </c>
      <c r="R1753">
        <v>0.99745362616403999</v>
      </c>
      <c r="S1753" t="s">
        <v>8399</v>
      </c>
      <c r="T1753" t="s">
        <v>13290</v>
      </c>
      <c r="U1753" t="s">
        <v>13290</v>
      </c>
      <c r="V1753" t="s">
        <v>13290</v>
      </c>
      <c r="W1753" t="s">
        <v>15012</v>
      </c>
      <c r="X1753">
        <v>6</v>
      </c>
      <c r="Y1753" t="s">
        <v>21582</v>
      </c>
      <c r="Z1753" t="s">
        <v>28083</v>
      </c>
      <c r="AA1753">
        <v>0.40313452491206719</v>
      </c>
      <c r="AB1753" t="str">
        <f>HYPERLINK("Melting_Curves/meltCurve_O75884_RBBP9.pdf", "Melting_Curves/meltCurve_O75884_RBBP9.pdf")</f>
        <v>Melting_Curves/meltCurve_O75884_RBBP9.pdf</v>
      </c>
    </row>
    <row r="1754" spans="1:28" x14ac:dyDescent="0.25">
      <c r="A1754" t="s">
        <v>1758</v>
      </c>
      <c r="B1754">
        <v>0.99252571173614901</v>
      </c>
      <c r="C1754">
        <v>1.0386185843658999</v>
      </c>
      <c r="D1754">
        <v>0.90011785403371303</v>
      </c>
      <c r="E1754">
        <v>0.46752995030821998</v>
      </c>
      <c r="F1754">
        <v>0.23058392472712899</v>
      </c>
      <c r="G1754">
        <v>0.152842056714074</v>
      </c>
      <c r="H1754">
        <v>0.11904514068625099</v>
      </c>
      <c r="I1754">
        <v>0.12808703648747399</v>
      </c>
      <c r="J1754">
        <v>0.16251221576875299</v>
      </c>
      <c r="K1754">
        <v>0.26908946338218498</v>
      </c>
      <c r="L1754">
        <v>1658.78362371713</v>
      </c>
      <c r="M1754">
        <v>34.005371496561999</v>
      </c>
      <c r="N1754">
        <v>49.372479684122602</v>
      </c>
      <c r="O1754">
        <v>48.612277724686997</v>
      </c>
      <c r="P1754">
        <v>-0.14558452630250299</v>
      </c>
      <c r="Q1754">
        <v>0.16752358601934</v>
      </c>
      <c r="R1754">
        <v>0.98675730344296597</v>
      </c>
      <c r="S1754" t="s">
        <v>8400</v>
      </c>
      <c r="T1754" t="s">
        <v>13290</v>
      </c>
      <c r="U1754" t="s">
        <v>13290</v>
      </c>
      <c r="V1754" t="s">
        <v>13290</v>
      </c>
      <c r="W1754" t="s">
        <v>15013</v>
      </c>
      <c r="X1754">
        <v>11</v>
      </c>
      <c r="Y1754" t="s">
        <v>21583</v>
      </c>
      <c r="Z1754" t="s">
        <v>28084</v>
      </c>
      <c r="AA1754">
        <v>0.41507298795982722</v>
      </c>
      <c r="AB1754" t="str">
        <f>HYPERLINK("Melting_Curves/meltCurve_O75886_STAM2.pdf", "Melting_Curves/meltCurve_O75886_STAM2.pdf")</f>
        <v>Melting_Curves/meltCurve_O75886_STAM2.pdf</v>
      </c>
    </row>
    <row r="1755" spans="1:28" x14ac:dyDescent="0.25">
      <c r="A1755" t="s">
        <v>1759</v>
      </c>
      <c r="B1755">
        <v>0.99252571173614901</v>
      </c>
      <c r="C1755">
        <v>0.88005892993995705</v>
      </c>
      <c r="D1755">
        <v>0.70179400703579098</v>
      </c>
      <c r="E1755">
        <v>0.50097991456122803</v>
      </c>
      <c r="F1755">
        <v>0.11162793334021701</v>
      </c>
      <c r="G1755">
        <v>5.3178545840893501E-2</v>
      </c>
      <c r="H1755">
        <v>3.3644950265146301E-2</v>
      </c>
      <c r="I1755">
        <v>4.8586684075445398E-2</v>
      </c>
      <c r="J1755">
        <v>5.6926773071416102E-2</v>
      </c>
      <c r="K1755">
        <v>6.03513811186948E-2</v>
      </c>
      <c r="L1755">
        <v>888.92535010637903</v>
      </c>
      <c r="M1755">
        <v>18.341781089955902</v>
      </c>
      <c r="N1755">
        <v>48.605583553061798</v>
      </c>
      <c r="O1755">
        <v>47.899434130342101</v>
      </c>
      <c r="P1755">
        <v>-9.3253378326727795E-2</v>
      </c>
      <c r="Q1755">
        <v>2.59224360869043E-2</v>
      </c>
      <c r="R1755">
        <v>0.98583102695930602</v>
      </c>
      <c r="S1755" t="s">
        <v>8401</v>
      </c>
      <c r="T1755" t="s">
        <v>13290</v>
      </c>
      <c r="U1755" t="s">
        <v>13290</v>
      </c>
      <c r="V1755" t="s">
        <v>13290</v>
      </c>
      <c r="W1755" t="s">
        <v>15014</v>
      </c>
      <c r="X1755">
        <v>3</v>
      </c>
      <c r="Y1755" t="s">
        <v>21584</v>
      </c>
      <c r="Z1755" t="s">
        <v>28085</v>
      </c>
      <c r="AA1755">
        <v>0.31717952399706451</v>
      </c>
      <c r="AB1755" t="str">
        <f>HYPERLINK("Melting_Curves/meltCurve_O75891_ALDH1L1.pdf", "Melting_Curves/meltCurve_O75891_ALDH1L1.pdf")</f>
        <v>Melting_Curves/meltCurve_O75891_ALDH1L1.pdf</v>
      </c>
    </row>
    <row r="1756" spans="1:28" x14ac:dyDescent="0.25">
      <c r="A1756" t="s">
        <v>1760</v>
      </c>
      <c r="B1756">
        <v>0.99252571173614901</v>
      </c>
      <c r="C1756">
        <v>0.98045940721554203</v>
      </c>
      <c r="D1756">
        <v>0.91974424334823301</v>
      </c>
      <c r="E1756">
        <v>0.61648681293068197</v>
      </c>
      <c r="F1756">
        <v>0.36633763352666798</v>
      </c>
      <c r="G1756">
        <v>0.18630605078725401</v>
      </c>
      <c r="H1756">
        <v>7.5711749771251197E-2</v>
      </c>
      <c r="I1756">
        <v>6.2949127052005199E-2</v>
      </c>
      <c r="J1756">
        <v>7.6831583688294403E-2</v>
      </c>
      <c r="K1756">
        <v>6.10023801828515E-2</v>
      </c>
      <c r="L1756">
        <v>960.666596308816</v>
      </c>
      <c r="M1756">
        <v>18.8460288734051</v>
      </c>
      <c r="N1756">
        <v>51.282352068670903</v>
      </c>
      <c r="O1756">
        <v>50.410952721661999</v>
      </c>
      <c r="P1756">
        <v>-8.8466597160375901E-2</v>
      </c>
      <c r="Q1756">
        <v>5.3487237431606799E-2</v>
      </c>
      <c r="R1756">
        <v>0.99794598647092103</v>
      </c>
      <c r="S1756" t="s">
        <v>8402</v>
      </c>
      <c r="T1756" t="s">
        <v>13290</v>
      </c>
      <c r="U1756" t="s">
        <v>13290</v>
      </c>
      <c r="V1756" t="s">
        <v>13290</v>
      </c>
      <c r="W1756" t="s">
        <v>15015</v>
      </c>
      <c r="X1756">
        <v>3</v>
      </c>
      <c r="Y1756" t="s">
        <v>21585</v>
      </c>
      <c r="Z1756" t="s">
        <v>28086</v>
      </c>
      <c r="AA1756">
        <v>0.41440909196486031</v>
      </c>
      <c r="AB1756" t="str">
        <f>HYPERLINK("Melting_Curves/meltCurve_O75896_TUSC2.pdf", "Melting_Curves/meltCurve_O75896_TUSC2.pdf")</f>
        <v>Melting_Curves/meltCurve_O75896_TUSC2.pdf</v>
      </c>
    </row>
    <row r="1757" spans="1:28" x14ac:dyDescent="0.25">
      <c r="A1757" t="s">
        <v>1761</v>
      </c>
      <c r="B1757">
        <v>0.99252571173614901</v>
      </c>
      <c r="C1757">
        <v>1.0163914751335701</v>
      </c>
      <c r="D1757">
        <v>0.945086332900963</v>
      </c>
      <c r="E1757">
        <v>0.80524609801866398</v>
      </c>
      <c r="F1757">
        <v>0.77670763326167902</v>
      </c>
      <c r="G1757">
        <v>0.61414000740349495</v>
      </c>
      <c r="H1757">
        <v>0.39143180203789701</v>
      </c>
      <c r="I1757">
        <v>0.39807566897242402</v>
      </c>
      <c r="J1757">
        <v>0.57590004074802303</v>
      </c>
      <c r="K1757">
        <v>0.43160755870480999</v>
      </c>
      <c r="L1757">
        <v>853.66511411473095</v>
      </c>
      <c r="M1757">
        <v>16.040329321947301</v>
      </c>
      <c r="N1757">
        <v>60.563986515479101</v>
      </c>
      <c r="O1757">
        <v>52.4133680862952</v>
      </c>
      <c r="P1757">
        <v>-4.3727267863335202E-2</v>
      </c>
      <c r="Q1757">
        <v>0.42851174722357099</v>
      </c>
      <c r="R1757">
        <v>0.92424031048652699</v>
      </c>
      <c r="S1757" t="s">
        <v>8403</v>
      </c>
      <c r="T1757" t="s">
        <v>13290</v>
      </c>
      <c r="U1757" t="s">
        <v>13290</v>
      </c>
      <c r="V1757" t="s">
        <v>13290</v>
      </c>
      <c r="W1757" t="s">
        <v>15016</v>
      </c>
      <c r="X1757">
        <v>10</v>
      </c>
      <c r="Y1757" t="s">
        <v>21586</v>
      </c>
      <c r="Z1757" t="s">
        <v>28087</v>
      </c>
      <c r="AA1757">
        <v>0.69143480453530715</v>
      </c>
      <c r="AB1757" t="str">
        <f>HYPERLINK("Melting_Curves/meltCurve_O75915_ARL6IP5.pdf", "Melting_Curves/meltCurve_O75915_ARL6IP5.pdf")</f>
        <v>Melting_Curves/meltCurve_O75915_ARL6IP5.pdf</v>
      </c>
    </row>
    <row r="1758" spans="1:28" x14ac:dyDescent="0.25">
      <c r="A1758" t="s">
        <v>1762</v>
      </c>
      <c r="B1758">
        <v>0.99252571173614901</v>
      </c>
      <c r="C1758">
        <v>0.85491323460763602</v>
      </c>
      <c r="D1758">
        <v>0.66292901946440097</v>
      </c>
      <c r="E1758">
        <v>0.444130739146258</v>
      </c>
      <c r="F1758">
        <v>0.42820641259619402</v>
      </c>
      <c r="G1758">
        <v>0.325151888983995</v>
      </c>
      <c r="H1758">
        <v>0.24124330152918699</v>
      </c>
      <c r="I1758">
        <v>0.232579770324263</v>
      </c>
      <c r="J1758">
        <v>0.347039051004711</v>
      </c>
      <c r="K1758">
        <v>0.31593143205820301</v>
      </c>
      <c r="L1758">
        <v>793.78646576718597</v>
      </c>
      <c r="M1758">
        <v>17.1060520282245</v>
      </c>
      <c r="N1758">
        <v>48.880088437587901</v>
      </c>
      <c r="O1758">
        <v>45.783581581719602</v>
      </c>
      <c r="P1758">
        <v>-6.6340969893679394E-2</v>
      </c>
      <c r="Q1758">
        <v>0.28980813342634798</v>
      </c>
      <c r="R1758">
        <v>0.97205546749053395</v>
      </c>
      <c r="S1758" t="s">
        <v>8404</v>
      </c>
      <c r="T1758" t="s">
        <v>13290</v>
      </c>
      <c r="U1758" t="s">
        <v>13290</v>
      </c>
      <c r="V1758" t="s">
        <v>13290</v>
      </c>
      <c r="W1758" t="s">
        <v>15017</v>
      </c>
      <c r="X1758">
        <v>3</v>
      </c>
      <c r="Y1758" t="s">
        <v>21587</v>
      </c>
      <c r="Z1758" t="s">
        <v>28088</v>
      </c>
      <c r="AA1758">
        <v>0.4565698121754232</v>
      </c>
      <c r="AB1758" t="str">
        <f>HYPERLINK("Melting_Curves/meltCurve_O75925_PIAS1.pdf", "Melting_Curves/meltCurve_O75925_PIAS1.pdf")</f>
        <v>Melting_Curves/meltCurve_O75925_PIAS1.pdf</v>
      </c>
    </row>
    <row r="1759" spans="1:28" x14ac:dyDescent="0.25">
      <c r="A1759" t="s">
        <v>1763</v>
      </c>
      <c r="B1759">
        <v>0.99252571173614901</v>
      </c>
      <c r="C1759">
        <v>0.88707466506562604</v>
      </c>
      <c r="D1759">
        <v>0.92922527684172596</v>
      </c>
      <c r="E1759">
        <v>0.67876396556436203</v>
      </c>
      <c r="F1759">
        <v>0.38604133979487298</v>
      </c>
      <c r="G1759">
        <v>0.209765127416395</v>
      </c>
      <c r="H1759">
        <v>0.12872320457806899</v>
      </c>
      <c r="I1759">
        <v>0.115141294022704</v>
      </c>
      <c r="J1759">
        <v>0.14488358957314301</v>
      </c>
      <c r="K1759">
        <v>0.17623407601303401</v>
      </c>
      <c r="L1759">
        <v>1051.1561707850699</v>
      </c>
      <c r="M1759">
        <v>20.669424862689201</v>
      </c>
      <c r="N1759">
        <v>51.598186083893701</v>
      </c>
      <c r="O1759">
        <v>50.386761963790001</v>
      </c>
      <c r="P1759">
        <v>-8.9362921250829896E-2</v>
      </c>
      <c r="Q1759">
        <v>0.12864932831418199</v>
      </c>
      <c r="R1759">
        <v>0.98928487558336298</v>
      </c>
      <c r="S1759" t="s">
        <v>8405</v>
      </c>
      <c r="T1759" t="s">
        <v>13290</v>
      </c>
      <c r="U1759" t="s">
        <v>13290</v>
      </c>
      <c r="V1759" t="s">
        <v>13290</v>
      </c>
      <c r="W1759" t="s">
        <v>15018</v>
      </c>
      <c r="X1759">
        <v>14</v>
      </c>
      <c r="Y1759" t="s">
        <v>21588</v>
      </c>
      <c r="Z1759" t="s">
        <v>28089</v>
      </c>
      <c r="AA1759">
        <v>0.45531996498862792</v>
      </c>
      <c r="AB1759" t="str">
        <f>HYPERLINK("Melting_Curves/meltCurve_O75934_BCAS2.pdf", "Melting_Curves/meltCurve_O75934_BCAS2.pdf")</f>
        <v>Melting_Curves/meltCurve_O75934_BCAS2.pdf</v>
      </c>
    </row>
    <row r="1760" spans="1:28" x14ac:dyDescent="0.25">
      <c r="A1760" t="s">
        <v>1764</v>
      </c>
      <c r="B1760">
        <v>0.99252571173614901</v>
      </c>
      <c r="C1760">
        <v>0.93439107630122697</v>
      </c>
      <c r="D1760">
        <v>0.96361802154256604</v>
      </c>
      <c r="E1760">
        <v>0.51631930578886298</v>
      </c>
      <c r="F1760">
        <v>0.22924785260151401</v>
      </c>
      <c r="G1760">
        <v>0.104649802682044</v>
      </c>
      <c r="H1760">
        <v>7.5175634814082098E-2</v>
      </c>
      <c r="I1760">
        <v>4.8595744354163903E-2</v>
      </c>
      <c r="J1760">
        <v>6.9094867075810099E-2</v>
      </c>
      <c r="K1760">
        <v>4.6728952719317297E-2</v>
      </c>
      <c r="L1760">
        <v>1350.6851332935</v>
      </c>
      <c r="M1760">
        <v>27.155061196164699</v>
      </c>
      <c r="N1760">
        <v>49.989048139126403</v>
      </c>
      <c r="O1760">
        <v>49.472323112907802</v>
      </c>
      <c r="P1760">
        <v>-0.128533856376286</v>
      </c>
      <c r="Q1760">
        <v>6.3333841287222303E-2</v>
      </c>
      <c r="R1760">
        <v>0.99433695822234802</v>
      </c>
      <c r="S1760" t="s">
        <v>8406</v>
      </c>
      <c r="T1760" t="s">
        <v>13290</v>
      </c>
      <c r="U1760" t="s">
        <v>13290</v>
      </c>
      <c r="V1760" t="s">
        <v>13290</v>
      </c>
      <c r="W1760" t="s">
        <v>15019</v>
      </c>
      <c r="X1760">
        <v>4</v>
      </c>
      <c r="Y1760" t="s">
        <v>21589</v>
      </c>
      <c r="Z1760" t="s">
        <v>28090</v>
      </c>
      <c r="AA1760">
        <v>0.37449156552724783</v>
      </c>
      <c r="AB1760" t="str">
        <f>HYPERLINK("Melting_Curves/meltCurve_O75935_DCTN3.pdf", "Melting_Curves/meltCurve_O75935_DCTN3.pdf")</f>
        <v>Melting_Curves/meltCurve_O75935_DCTN3.pdf</v>
      </c>
    </row>
    <row r="1761" spans="1:28" x14ac:dyDescent="0.25">
      <c r="A1761" t="s">
        <v>1765</v>
      </c>
      <c r="B1761">
        <v>0.99252571173614901</v>
      </c>
      <c r="C1761">
        <v>1.00084564139635</v>
      </c>
      <c r="D1761">
        <v>0.80949449716101596</v>
      </c>
      <c r="E1761">
        <v>0.75156995651523495</v>
      </c>
      <c r="F1761">
        <v>0.311077904699607</v>
      </c>
      <c r="G1761">
        <v>0.18394144346209401</v>
      </c>
      <c r="H1761">
        <v>0.153977386238314</v>
      </c>
      <c r="I1761">
        <v>0.20452991943349999</v>
      </c>
      <c r="J1761">
        <v>0.30972939597891003</v>
      </c>
      <c r="K1761">
        <v>0.38074029762482198</v>
      </c>
      <c r="L1761">
        <v>1622.9805119510099</v>
      </c>
      <c r="M1761">
        <v>32.316253596147298</v>
      </c>
      <c r="N1761">
        <v>51.256398419733998</v>
      </c>
      <c r="O1761">
        <v>50.0306712464321</v>
      </c>
      <c r="P1761">
        <v>-0.122795897648836</v>
      </c>
      <c r="Q1761">
        <v>0.23957392300109001</v>
      </c>
      <c r="R1761">
        <v>0.93569575381994796</v>
      </c>
      <c r="S1761" t="s">
        <v>8407</v>
      </c>
      <c r="T1761" t="s">
        <v>13290</v>
      </c>
      <c r="U1761" t="s">
        <v>13290</v>
      </c>
      <c r="V1761" t="s">
        <v>13290</v>
      </c>
      <c r="W1761" t="s">
        <v>15020</v>
      </c>
      <c r="X1761">
        <v>20</v>
      </c>
      <c r="Y1761" t="s">
        <v>21590</v>
      </c>
      <c r="Z1761" t="s">
        <v>28091</v>
      </c>
      <c r="AA1761">
        <v>0.50273342109561758</v>
      </c>
      <c r="AB1761" t="str">
        <f>HYPERLINK("Melting_Curves/meltCurve_O75937_DNAJC8.pdf", "Melting_Curves/meltCurve_O75937_DNAJC8.pdf")</f>
        <v>Melting_Curves/meltCurve_O75937_DNAJC8.pdf</v>
      </c>
    </row>
    <row r="1762" spans="1:28" x14ac:dyDescent="0.25">
      <c r="A1762" t="s">
        <v>1766</v>
      </c>
      <c r="B1762">
        <v>0.99252571173614901</v>
      </c>
      <c r="C1762">
        <v>1.0199479858507401</v>
      </c>
      <c r="D1762">
        <v>0.93047048690211798</v>
      </c>
      <c r="E1762">
        <v>1.0403861438794999</v>
      </c>
      <c r="F1762">
        <v>1.45587923464252</v>
      </c>
      <c r="G1762">
        <v>1.5538290655056599</v>
      </c>
      <c r="H1762">
        <v>1.66207357780797</v>
      </c>
      <c r="I1762">
        <v>2.1314606230146098</v>
      </c>
      <c r="J1762">
        <v>3.1281720534202799</v>
      </c>
      <c r="K1762">
        <v>3.60148732751541</v>
      </c>
      <c r="L1762">
        <v>3567.7405785146202</v>
      </c>
      <c r="M1762">
        <v>69.454162088502997</v>
      </c>
      <c r="O1762">
        <v>51.325737425058399</v>
      </c>
      <c r="P1762">
        <v>0.169150454631015</v>
      </c>
      <c r="Q1762">
        <v>1.5</v>
      </c>
      <c r="R1762">
        <v>4.9065221487937898E-2</v>
      </c>
      <c r="S1762" t="s">
        <v>8408</v>
      </c>
      <c r="T1762" t="s">
        <v>13290</v>
      </c>
      <c r="U1762" t="s">
        <v>13290</v>
      </c>
      <c r="V1762" t="s">
        <v>13290</v>
      </c>
      <c r="W1762" t="s">
        <v>15021</v>
      </c>
      <c r="X1762">
        <v>8</v>
      </c>
      <c r="Y1762" t="s">
        <v>21591</v>
      </c>
      <c r="Z1762" t="s">
        <v>28092</v>
      </c>
      <c r="AA1762">
        <v>1.3099431646817721</v>
      </c>
      <c r="AB1762" t="str">
        <f>HYPERLINK("Melting_Curves/meltCurve_O75940_SMNDC1.pdf", "Melting_Curves/meltCurve_O75940_SMNDC1.pdf")</f>
        <v>Melting_Curves/meltCurve_O75940_SMNDC1.pdf</v>
      </c>
    </row>
    <row r="1763" spans="1:28" x14ac:dyDescent="0.25">
      <c r="A1763" t="s">
        <v>1767</v>
      </c>
      <c r="B1763">
        <v>0.99252571173614901</v>
      </c>
      <c r="C1763">
        <v>1.00585114380767</v>
      </c>
      <c r="D1763">
        <v>1.02850933031936</v>
      </c>
      <c r="E1763">
        <v>1.09148206201537</v>
      </c>
      <c r="F1763">
        <v>1.0996897278762601</v>
      </c>
      <c r="G1763">
        <v>1.1582886767093501</v>
      </c>
      <c r="H1763">
        <v>1.16016887430253</v>
      </c>
      <c r="I1763">
        <v>0.65921974223579805</v>
      </c>
      <c r="J1763">
        <v>0.34799013117646499</v>
      </c>
      <c r="K1763">
        <v>0.19396049882586899</v>
      </c>
      <c r="L1763">
        <v>6097.7125739652001</v>
      </c>
      <c r="M1763">
        <v>95.085020842604905</v>
      </c>
      <c r="N1763">
        <v>64.638347831252403</v>
      </c>
      <c r="O1763">
        <v>64.100704126294403</v>
      </c>
      <c r="P1763">
        <v>-0.27307923263989697</v>
      </c>
      <c r="Q1763">
        <v>0.26362449739997901</v>
      </c>
      <c r="R1763">
        <v>0.92593211232171302</v>
      </c>
      <c r="S1763" t="s">
        <v>8409</v>
      </c>
      <c r="T1763" t="s">
        <v>13290</v>
      </c>
      <c r="U1763" t="s">
        <v>13290</v>
      </c>
      <c r="V1763" t="s">
        <v>13290</v>
      </c>
      <c r="W1763" t="s">
        <v>15022</v>
      </c>
      <c r="X1763">
        <v>1</v>
      </c>
      <c r="Y1763" t="s">
        <v>21592</v>
      </c>
      <c r="Z1763" t="s">
        <v>28093</v>
      </c>
      <c r="AA1763">
        <v>0.85645938706660918</v>
      </c>
      <c r="AB1763" t="str">
        <f>HYPERLINK("Melting_Curves/meltCurve_O75943_2_RAD17.pdf", "Melting_Curves/meltCurve_O75943_2_RAD17.pdf")</f>
        <v>Melting_Curves/meltCurve_O75943_2_RAD17.pdf</v>
      </c>
    </row>
    <row r="1764" spans="1:28" x14ac:dyDescent="0.25">
      <c r="A1764" t="s">
        <v>1768</v>
      </c>
      <c r="B1764">
        <v>0.99252571173614901</v>
      </c>
      <c r="C1764">
        <v>0.827657266012649</v>
      </c>
      <c r="D1764">
        <v>0.97727290542275802</v>
      </c>
      <c r="E1764">
        <v>0.97773992839822699</v>
      </c>
      <c r="F1764">
        <v>0.83363339331976505</v>
      </c>
      <c r="G1764">
        <v>0.61850335188947203</v>
      </c>
      <c r="H1764">
        <v>0.67693487196565505</v>
      </c>
      <c r="I1764">
        <v>0.59832817690726003</v>
      </c>
      <c r="J1764">
        <v>0.72763311763295901</v>
      </c>
      <c r="K1764">
        <v>0.86714997661353299</v>
      </c>
      <c r="L1764">
        <v>13289.248168824101</v>
      </c>
      <c r="M1764">
        <v>250</v>
      </c>
      <c r="O1764">
        <v>53.153589356291398</v>
      </c>
      <c r="P1764">
        <v>-0.355444120685456</v>
      </c>
      <c r="Q1764">
        <v>0.69770989783331505</v>
      </c>
      <c r="R1764">
        <v>0.61431667986981398</v>
      </c>
      <c r="S1764" t="s">
        <v>8410</v>
      </c>
      <c r="T1764" t="s">
        <v>13290</v>
      </c>
      <c r="U1764" t="s">
        <v>13290</v>
      </c>
      <c r="V1764" t="s">
        <v>13290</v>
      </c>
      <c r="W1764" t="s">
        <v>15023</v>
      </c>
      <c r="X1764">
        <v>16</v>
      </c>
      <c r="Y1764" t="s">
        <v>21593</v>
      </c>
      <c r="Z1764" t="s">
        <v>28094</v>
      </c>
      <c r="AA1764">
        <v>0.83031238705208854</v>
      </c>
      <c r="AB1764" t="str">
        <f>HYPERLINK("Melting_Curves/meltCurve_O75947_ATP5H.pdf", "Melting_Curves/meltCurve_O75947_ATP5H.pdf")</f>
        <v>Melting_Curves/meltCurve_O75947_ATP5H.pdf</v>
      </c>
    </row>
    <row r="1765" spans="1:28" x14ac:dyDescent="0.25">
      <c r="A1765" t="s">
        <v>1769</v>
      </c>
      <c r="B1765">
        <v>0.99252571173614901</v>
      </c>
      <c r="C1765">
        <v>0.99941900584168997</v>
      </c>
      <c r="D1765">
        <v>0.89251178097577</v>
      </c>
      <c r="E1765">
        <v>0.82259414838894196</v>
      </c>
      <c r="F1765">
        <v>0.53628994096107296</v>
      </c>
      <c r="G1765">
        <v>0.24502464130361501</v>
      </c>
      <c r="H1765">
        <v>0.149284098408662</v>
      </c>
      <c r="I1765">
        <v>0.13172060433744101</v>
      </c>
      <c r="J1765">
        <v>0.208763769268935</v>
      </c>
      <c r="K1765">
        <v>0.19221059140374999</v>
      </c>
      <c r="L1765">
        <v>1221.2254004302799</v>
      </c>
      <c r="M1765">
        <v>23.305353965803299</v>
      </c>
      <c r="N1765">
        <v>53.252117111070099</v>
      </c>
      <c r="O1765">
        <v>52.0198248915516</v>
      </c>
      <c r="P1765">
        <v>-9.45898588744674E-2</v>
      </c>
      <c r="Q1765">
        <v>0.15547981174089401</v>
      </c>
      <c r="R1765">
        <v>0.98882967266923405</v>
      </c>
      <c r="S1765" t="s">
        <v>8411</v>
      </c>
      <c r="T1765" t="s">
        <v>13290</v>
      </c>
      <c r="U1765" t="s">
        <v>13290</v>
      </c>
      <c r="V1765" t="s">
        <v>13290</v>
      </c>
      <c r="W1765" t="s">
        <v>15024</v>
      </c>
      <c r="X1765">
        <v>12</v>
      </c>
      <c r="Y1765" t="s">
        <v>21594</v>
      </c>
      <c r="Z1765" t="s">
        <v>28095</v>
      </c>
      <c r="AA1765">
        <v>0.51341325636914925</v>
      </c>
      <c r="AB1765" t="str">
        <f>HYPERLINK("Melting_Curves/meltCurve_O75955_FLOT1.pdf", "Melting_Curves/meltCurve_O75955_FLOT1.pdf")</f>
        <v>Melting_Curves/meltCurve_O75955_FLOT1.pdf</v>
      </c>
    </row>
    <row r="1766" spans="1:28" x14ac:dyDescent="0.25">
      <c r="A1766" t="s">
        <v>1770</v>
      </c>
      <c r="B1766">
        <v>0.99252571173614901</v>
      </c>
      <c r="C1766">
        <v>0.89277910017217998</v>
      </c>
      <c r="D1766">
        <v>0.82053582401918002</v>
      </c>
      <c r="E1766">
        <v>0.455324640277249</v>
      </c>
      <c r="F1766">
        <v>0.17780885034562499</v>
      </c>
      <c r="G1766">
        <v>8.3626114301319804E-2</v>
      </c>
      <c r="H1766">
        <v>5.8744918891344602E-2</v>
      </c>
      <c r="I1766">
        <v>5.6480586342281397E-2</v>
      </c>
      <c r="J1766">
        <v>6.8830481234376795E-2</v>
      </c>
      <c r="K1766">
        <v>8.7443640213490298E-2</v>
      </c>
      <c r="L1766">
        <v>1064.97755754433</v>
      </c>
      <c r="M1766">
        <v>21.824486284255801</v>
      </c>
      <c r="N1766">
        <v>49.072511507363103</v>
      </c>
      <c r="O1766">
        <v>48.393227663614397</v>
      </c>
      <c r="P1766">
        <v>-0.106255278059426</v>
      </c>
      <c r="Q1766">
        <v>5.7587624088598403E-2</v>
      </c>
      <c r="R1766">
        <v>0.99573222947667805</v>
      </c>
      <c r="S1766" t="s">
        <v>8412</v>
      </c>
      <c r="T1766" t="s">
        <v>13290</v>
      </c>
      <c r="U1766" t="s">
        <v>13290</v>
      </c>
      <c r="V1766" t="s">
        <v>13290</v>
      </c>
      <c r="W1766" t="s">
        <v>15025</v>
      </c>
      <c r="X1766">
        <v>19</v>
      </c>
      <c r="Y1766" t="s">
        <v>21595</v>
      </c>
      <c r="Z1766" t="s">
        <v>28096</v>
      </c>
      <c r="AA1766">
        <v>0.34499758673036118</v>
      </c>
      <c r="AB1766" t="str">
        <f>HYPERLINK("Melting_Curves/meltCurve_O75962_TRIO.pdf", "Melting_Curves/meltCurve_O75962_TRIO.pdf")</f>
        <v>Melting_Curves/meltCurve_O75962_TRIO.pdf</v>
      </c>
    </row>
    <row r="1767" spans="1:28" x14ac:dyDescent="0.25">
      <c r="A1767" t="s">
        <v>1771</v>
      </c>
      <c r="B1767">
        <v>0.99252571173614901</v>
      </c>
      <c r="C1767">
        <v>0.87149511369435795</v>
      </c>
      <c r="D1767">
        <v>0.94430259496821101</v>
      </c>
      <c r="E1767">
        <v>0.97073307496796002</v>
      </c>
      <c r="F1767">
        <v>0.78793026546188005</v>
      </c>
      <c r="G1767">
        <v>0.53991795426014699</v>
      </c>
      <c r="H1767">
        <v>0.60896345657843798</v>
      </c>
      <c r="I1767">
        <v>0.41114103798016999</v>
      </c>
      <c r="J1767">
        <v>0.23544590129162299</v>
      </c>
      <c r="K1767">
        <v>0.162852822756235</v>
      </c>
      <c r="L1767">
        <v>591.53353861488904</v>
      </c>
      <c r="M1767">
        <v>9.7702475923241998</v>
      </c>
      <c r="N1767">
        <v>60.544356768784802</v>
      </c>
      <c r="O1767">
        <v>58.171417445287801</v>
      </c>
      <c r="P1767">
        <v>-4.2011358613198303E-2</v>
      </c>
      <c r="Q1767">
        <v>0</v>
      </c>
      <c r="R1767">
        <v>0.93992444042607903</v>
      </c>
      <c r="S1767" t="s">
        <v>8413</v>
      </c>
      <c r="T1767" t="s">
        <v>13290</v>
      </c>
      <c r="U1767" t="s">
        <v>13290</v>
      </c>
      <c r="V1767" t="s">
        <v>13290</v>
      </c>
      <c r="W1767" t="s">
        <v>15026</v>
      </c>
      <c r="X1767">
        <v>6</v>
      </c>
      <c r="Y1767" t="s">
        <v>21596</v>
      </c>
      <c r="Z1767" t="s">
        <v>28097</v>
      </c>
      <c r="AA1767">
        <v>0.67536769801851759</v>
      </c>
      <c r="AB1767" t="str">
        <f>HYPERLINK("Melting_Curves/meltCurve_O75964_ATP5L.pdf", "Melting_Curves/meltCurve_O75964_ATP5L.pdf")</f>
        <v>Melting_Curves/meltCurve_O75964_ATP5L.pdf</v>
      </c>
    </row>
    <row r="1768" spans="1:28" x14ac:dyDescent="0.25">
      <c r="A1768" t="s">
        <v>1772</v>
      </c>
      <c r="B1768">
        <v>0.99252571173614901</v>
      </c>
      <c r="C1768">
        <v>0.856375297195624</v>
      </c>
      <c r="D1768">
        <v>0.83359615836826795</v>
      </c>
      <c r="E1768">
        <v>0.66311485504086598</v>
      </c>
      <c r="F1768">
        <v>0.27337488042837199</v>
      </c>
      <c r="G1768">
        <v>0.13146371795138401</v>
      </c>
      <c r="H1768">
        <v>9.2482711418089406E-2</v>
      </c>
      <c r="I1768">
        <v>9.5954416126536005E-2</v>
      </c>
      <c r="J1768">
        <v>0.116024783982623</v>
      </c>
      <c r="K1768">
        <v>9.3817663656649203E-2</v>
      </c>
      <c r="L1768">
        <v>949.93674990342402</v>
      </c>
      <c r="M1768">
        <v>18.924846282777501</v>
      </c>
      <c r="N1768">
        <v>50.632125794804303</v>
      </c>
      <c r="O1768">
        <v>49.644844801343098</v>
      </c>
      <c r="P1768">
        <v>-8.8125386263407393E-2</v>
      </c>
      <c r="Q1768">
        <v>7.5333594626041306E-2</v>
      </c>
      <c r="R1768">
        <v>0.982543885212526</v>
      </c>
      <c r="S1768" t="s">
        <v>8414</v>
      </c>
      <c r="T1768" t="s">
        <v>13290</v>
      </c>
      <c r="U1768" t="s">
        <v>13290</v>
      </c>
      <c r="V1768" t="s">
        <v>13290</v>
      </c>
      <c r="W1768" t="s">
        <v>15027</v>
      </c>
      <c r="X1768">
        <v>34</v>
      </c>
      <c r="Y1768" t="s">
        <v>21597</v>
      </c>
      <c r="Z1768" t="s">
        <v>28098</v>
      </c>
      <c r="AA1768">
        <v>0.40387781382352772</v>
      </c>
      <c r="AB1768" t="str">
        <f>HYPERLINK("Melting_Curves/meltCurve_O75976_CPD.pdf", "Melting_Curves/meltCurve_O75976_CPD.pdf")</f>
        <v>Melting_Curves/meltCurve_O75976_CPD.pdf</v>
      </c>
    </row>
    <row r="1769" spans="1:28" x14ac:dyDescent="0.25">
      <c r="A1769" t="s">
        <v>1773</v>
      </c>
      <c r="B1769">
        <v>0.99252571173614901</v>
      </c>
      <c r="C1769">
        <v>1.1218707698263499</v>
      </c>
      <c r="D1769">
        <v>0.81362848774363095</v>
      </c>
      <c r="E1769">
        <v>0.57957039343021799</v>
      </c>
      <c r="F1769">
        <v>0.21286627064397601</v>
      </c>
      <c r="G1769">
        <v>0.12623075181342</v>
      </c>
      <c r="H1769">
        <v>8.42109924511876E-2</v>
      </c>
      <c r="I1769">
        <v>8.0692276071551203E-2</v>
      </c>
      <c r="J1769">
        <v>8.3276350172668601E-2</v>
      </c>
      <c r="K1769">
        <v>7.4568030003640803E-2</v>
      </c>
      <c r="L1769">
        <v>1201.33913717161</v>
      </c>
      <c r="M1769">
        <v>24.1681317778859</v>
      </c>
      <c r="N1769">
        <v>50.048582905789999</v>
      </c>
      <c r="O1769">
        <v>49.371001961744199</v>
      </c>
      <c r="P1769">
        <v>-0.113091616288774</v>
      </c>
      <c r="Q1769">
        <v>7.5913607161622598E-2</v>
      </c>
      <c r="R1769">
        <v>0.98337751459684397</v>
      </c>
      <c r="S1769" t="s">
        <v>8415</v>
      </c>
      <c r="T1769" t="s">
        <v>13290</v>
      </c>
      <c r="U1769" t="s">
        <v>13290</v>
      </c>
      <c r="V1769" t="s">
        <v>13290</v>
      </c>
      <c r="W1769" t="s">
        <v>15028</v>
      </c>
      <c r="X1769">
        <v>17</v>
      </c>
      <c r="Y1769" t="s">
        <v>21598</v>
      </c>
      <c r="Z1769" t="s">
        <v>28099</v>
      </c>
      <c r="AA1769">
        <v>0.38375382833782479</v>
      </c>
      <c r="AB1769" t="str">
        <f>HYPERLINK("Melting_Curves/meltCurve_O76003_GLRX3.pdf", "Melting_Curves/meltCurve_O76003_GLRX3.pdf")</f>
        <v>Melting_Curves/meltCurve_O76003_GLRX3.pdf</v>
      </c>
    </row>
    <row r="1770" spans="1:28" x14ac:dyDescent="0.25">
      <c r="A1770" t="s">
        <v>1774</v>
      </c>
      <c r="B1770">
        <v>0.99252571173614901</v>
      </c>
      <c r="C1770">
        <v>0.93176358007569204</v>
      </c>
      <c r="D1770">
        <v>0.85810720219681302</v>
      </c>
      <c r="E1770">
        <v>0.67398471007971605</v>
      </c>
      <c r="F1770">
        <v>0.37404613194900699</v>
      </c>
      <c r="G1770">
        <v>0.18508954741631301</v>
      </c>
      <c r="H1770">
        <v>0.10910727882383101</v>
      </c>
      <c r="I1770">
        <v>0.13211117538793801</v>
      </c>
      <c r="J1770">
        <v>0.15328686258659099</v>
      </c>
      <c r="K1770">
        <v>0.13333642643638499</v>
      </c>
      <c r="L1770">
        <v>960.09585525235298</v>
      </c>
      <c r="M1770">
        <v>18.952986193663399</v>
      </c>
      <c r="N1770">
        <v>51.345786093321799</v>
      </c>
      <c r="O1770">
        <v>50.102874986881702</v>
      </c>
      <c r="P1770">
        <v>-8.3954260351437202E-2</v>
      </c>
      <c r="Q1770">
        <v>0.112291762049744</v>
      </c>
      <c r="R1770">
        <v>0.994269249837053</v>
      </c>
      <c r="S1770" t="s">
        <v>8416</v>
      </c>
      <c r="T1770" t="s">
        <v>13290</v>
      </c>
      <c r="U1770" t="s">
        <v>13290</v>
      </c>
      <c r="V1770" t="s">
        <v>13290</v>
      </c>
      <c r="W1770" t="s">
        <v>15029</v>
      </c>
      <c r="X1770">
        <v>4</v>
      </c>
      <c r="Y1770" t="s">
        <v>21599</v>
      </c>
      <c r="Z1770" t="s">
        <v>28100</v>
      </c>
      <c r="AA1770">
        <v>0.44127484678298989</v>
      </c>
      <c r="AB1770" t="str">
        <f>HYPERLINK("Melting_Curves/meltCurve_O76024_WFS1.pdf", "Melting_Curves/meltCurve_O76024_WFS1.pdf")</f>
        <v>Melting_Curves/meltCurve_O76024_WFS1.pdf</v>
      </c>
    </row>
    <row r="1771" spans="1:28" x14ac:dyDescent="0.25">
      <c r="A1771" t="s">
        <v>1775</v>
      </c>
      <c r="B1771">
        <v>0.99252571173614901</v>
      </c>
      <c r="C1771">
        <v>0.95585405667557499</v>
      </c>
      <c r="D1771">
        <v>0.89707779026957801</v>
      </c>
      <c r="E1771">
        <v>0.80991590895606802</v>
      </c>
      <c r="F1771">
        <v>0.575004339947774</v>
      </c>
      <c r="G1771">
        <v>0.28567496232054401</v>
      </c>
      <c r="H1771">
        <v>7.9583913717679297E-2</v>
      </c>
      <c r="I1771">
        <v>7.7611346886801297E-2</v>
      </c>
      <c r="J1771">
        <v>8.5447178848268301E-2</v>
      </c>
      <c r="K1771">
        <v>7.9336702171124901E-2</v>
      </c>
      <c r="L1771">
        <v>968.98125789453695</v>
      </c>
      <c r="M1771">
        <v>18.121058911746701</v>
      </c>
      <c r="N1771">
        <v>53.717339592138003</v>
      </c>
      <c r="O1771">
        <v>52.834212007211804</v>
      </c>
      <c r="P1771">
        <v>-8.2352402763157806E-2</v>
      </c>
      <c r="Q1771">
        <v>3.9611133353760798E-2</v>
      </c>
      <c r="R1771">
        <v>0.99328817598114205</v>
      </c>
      <c r="S1771" t="s">
        <v>8417</v>
      </c>
      <c r="T1771" t="s">
        <v>13290</v>
      </c>
      <c r="U1771" t="s">
        <v>13290</v>
      </c>
      <c r="V1771" t="s">
        <v>13290</v>
      </c>
      <c r="W1771" t="s">
        <v>15030</v>
      </c>
      <c r="X1771">
        <v>22</v>
      </c>
      <c r="Y1771" t="s">
        <v>21600</v>
      </c>
      <c r="Z1771" t="s">
        <v>28101</v>
      </c>
      <c r="AA1771">
        <v>0.48632102100172758</v>
      </c>
      <c r="AB1771" t="str">
        <f>HYPERLINK("Melting_Curves/meltCurve_O76031_CLPX.pdf", "Melting_Curves/meltCurve_O76031_CLPX.pdf")</f>
        <v>Melting_Curves/meltCurve_O76031_CLPX.pdf</v>
      </c>
    </row>
    <row r="1772" spans="1:28" x14ac:dyDescent="0.25">
      <c r="A1772" t="s">
        <v>1776</v>
      </c>
      <c r="B1772">
        <v>0.99252571173614901</v>
      </c>
      <c r="C1772">
        <v>1.064053732996</v>
      </c>
      <c r="D1772">
        <v>0.95609072592581201</v>
      </c>
      <c r="E1772">
        <v>0.80863399489670196</v>
      </c>
      <c r="F1772">
        <v>0.59041449916034305</v>
      </c>
      <c r="G1772">
        <v>0.48612473432375503</v>
      </c>
      <c r="H1772">
        <v>0.47476658297007701</v>
      </c>
      <c r="I1772">
        <v>0.53819150973848195</v>
      </c>
      <c r="J1772">
        <v>0.73852024875248501</v>
      </c>
      <c r="K1772">
        <v>0.868034848024683</v>
      </c>
      <c r="L1772">
        <v>12400.3253135462</v>
      </c>
      <c r="M1772">
        <v>250</v>
      </c>
      <c r="O1772">
        <v>49.5981271140028</v>
      </c>
      <c r="P1772">
        <v>-0.48387823293717003</v>
      </c>
      <c r="Q1772">
        <v>0.61600873488058505</v>
      </c>
      <c r="R1772">
        <v>0.70413177910871805</v>
      </c>
      <c r="S1772" t="s">
        <v>8418</v>
      </c>
      <c r="T1772" t="s">
        <v>13290</v>
      </c>
      <c r="U1772" t="s">
        <v>13290</v>
      </c>
      <c r="V1772" t="s">
        <v>13290</v>
      </c>
      <c r="W1772" t="s">
        <v>15031</v>
      </c>
      <c r="X1772">
        <v>24</v>
      </c>
      <c r="Y1772" t="s">
        <v>21601</v>
      </c>
      <c r="Z1772" t="s">
        <v>28102</v>
      </c>
      <c r="AA1772">
        <v>0.73893602164562255</v>
      </c>
      <c r="AB1772" t="str">
        <f>HYPERLINK("Melting_Curves/meltCurve_O76041_2_NEBL.pdf", "Melting_Curves/meltCurve_O76041_2_NEBL.pdf")</f>
        <v>Melting_Curves/meltCurve_O76041_2_NEBL.pdf</v>
      </c>
    </row>
    <row r="1773" spans="1:28" x14ac:dyDescent="0.25">
      <c r="A1773" t="s">
        <v>1777</v>
      </c>
      <c r="B1773">
        <v>0.99252571173614901</v>
      </c>
      <c r="C1773">
        <v>1.11816959102386</v>
      </c>
      <c r="D1773">
        <v>1.0056808576417899</v>
      </c>
      <c r="E1773">
        <v>0.74572090666646396</v>
      </c>
      <c r="F1773">
        <v>0.52250966316522995</v>
      </c>
      <c r="G1773">
        <v>0.264165309099825</v>
      </c>
      <c r="H1773">
        <v>0.16617943091464499</v>
      </c>
      <c r="I1773">
        <v>0.153673763566714</v>
      </c>
      <c r="J1773">
        <v>9.9521136161937696E-2</v>
      </c>
      <c r="K1773">
        <v>0.12599682462544701</v>
      </c>
      <c r="L1773">
        <v>1090.6300984954401</v>
      </c>
      <c r="M1773">
        <v>20.7721854332958</v>
      </c>
      <c r="N1773">
        <v>53.179054431248197</v>
      </c>
      <c r="O1773">
        <v>52.025006318667202</v>
      </c>
      <c r="P1773">
        <v>-8.8258111252445204E-2</v>
      </c>
      <c r="Q1773">
        <v>0.115836873057745</v>
      </c>
      <c r="R1773">
        <v>0.98499034306442301</v>
      </c>
      <c r="S1773" t="s">
        <v>8419</v>
      </c>
      <c r="T1773" t="s">
        <v>13290</v>
      </c>
      <c r="U1773" t="s">
        <v>13290</v>
      </c>
      <c r="V1773" t="s">
        <v>13290</v>
      </c>
      <c r="W1773" t="s">
        <v>15032</v>
      </c>
      <c r="X1773">
        <v>3</v>
      </c>
      <c r="Y1773" t="s">
        <v>21602</v>
      </c>
      <c r="Z1773" t="s">
        <v>28103</v>
      </c>
      <c r="AA1773">
        <v>0.49578123164873039</v>
      </c>
      <c r="AB1773" t="str">
        <f>HYPERLINK("Melting_Curves/meltCurve_O76054_4_SEC14L2.pdf", "Melting_Curves/meltCurve_O76054_4_SEC14L2.pdf")</f>
        <v>Melting_Curves/meltCurve_O76054_4_SEC14L2.pdf</v>
      </c>
    </row>
    <row r="1774" spans="1:28" x14ac:dyDescent="0.25">
      <c r="A1774" t="s">
        <v>1778</v>
      </c>
      <c r="B1774">
        <v>0.99252571173614901</v>
      </c>
      <c r="C1774">
        <v>1.05920909034472</v>
      </c>
      <c r="D1774">
        <v>1.0154332048825501</v>
      </c>
      <c r="E1774">
        <v>0.95789494846240997</v>
      </c>
      <c r="F1774">
        <v>0.73021603690399906</v>
      </c>
      <c r="G1774">
        <v>0.64979756521123699</v>
      </c>
      <c r="H1774">
        <v>0.62988142496455901</v>
      </c>
      <c r="I1774">
        <v>0.777107530586026</v>
      </c>
      <c r="J1774">
        <v>1.0925611324781299</v>
      </c>
      <c r="K1774">
        <v>0.96272159239020905</v>
      </c>
      <c r="L1774">
        <v>12463.294517177599</v>
      </c>
      <c r="M1774">
        <v>250</v>
      </c>
      <c r="O1774">
        <v>49.8499876845299</v>
      </c>
      <c r="P1774">
        <v>-0.241916375322451</v>
      </c>
      <c r="Q1774">
        <v>0.80704754650658705</v>
      </c>
      <c r="R1774">
        <v>0.35965307319169798</v>
      </c>
      <c r="S1774" t="s">
        <v>8420</v>
      </c>
      <c r="T1774" t="s">
        <v>13290</v>
      </c>
      <c r="U1774" t="s">
        <v>13290</v>
      </c>
      <c r="V1774" t="s">
        <v>13290</v>
      </c>
      <c r="W1774" t="s">
        <v>15033</v>
      </c>
      <c r="X1774">
        <v>5</v>
      </c>
      <c r="Y1774" t="s">
        <v>21603</v>
      </c>
      <c r="Z1774" t="s">
        <v>28104</v>
      </c>
      <c r="AA1774">
        <v>0.87043759098497153</v>
      </c>
      <c r="AB1774" t="str">
        <f>HYPERLINK("Melting_Curves/meltCurve_O76061_STC2.pdf", "Melting_Curves/meltCurve_O76061_STC2.pdf")</f>
        <v>Melting_Curves/meltCurve_O76061_STC2.pdf</v>
      </c>
    </row>
    <row r="1775" spans="1:28" x14ac:dyDescent="0.25">
      <c r="A1775" t="s">
        <v>1779</v>
      </c>
      <c r="B1775">
        <v>0.99252571173614901</v>
      </c>
      <c r="C1775">
        <v>1.0104168413332799</v>
      </c>
      <c r="D1775">
        <v>1.04389451900713</v>
      </c>
      <c r="E1775">
        <v>0.97395154715850196</v>
      </c>
      <c r="F1775">
        <v>0.78601877390333796</v>
      </c>
      <c r="G1775">
        <v>0.52980003115154595</v>
      </c>
      <c r="H1775">
        <v>0.27502276495163303</v>
      </c>
      <c r="I1775">
        <v>0.156448026333882</v>
      </c>
      <c r="J1775">
        <v>0.11499988478926</v>
      </c>
      <c r="K1775">
        <v>0.106534013258933</v>
      </c>
      <c r="L1775">
        <v>1161.57315124149</v>
      </c>
      <c r="M1775">
        <v>20.519290279559101</v>
      </c>
      <c r="N1775">
        <v>57.127674071627297</v>
      </c>
      <c r="O1775">
        <v>56.079399951207897</v>
      </c>
      <c r="P1775">
        <v>-8.3700359843552202E-2</v>
      </c>
      <c r="Q1775">
        <v>8.5011628169171793E-2</v>
      </c>
      <c r="R1775">
        <v>0.99730468362626401</v>
      </c>
      <c r="S1775" t="s">
        <v>8421</v>
      </c>
      <c r="T1775" t="s">
        <v>13290</v>
      </c>
      <c r="U1775" t="s">
        <v>13290</v>
      </c>
      <c r="V1775" t="s">
        <v>13290</v>
      </c>
      <c r="W1775" t="s">
        <v>15034</v>
      </c>
      <c r="X1775">
        <v>8</v>
      </c>
      <c r="Y1775" t="s">
        <v>21604</v>
      </c>
      <c r="Z1775" t="s">
        <v>28105</v>
      </c>
      <c r="AA1775">
        <v>0.60266048750278622</v>
      </c>
      <c r="AB1775" t="str">
        <f>HYPERLINK("Melting_Curves/meltCurve_O76071_CIAO1.pdf", "Melting_Curves/meltCurve_O76071_CIAO1.pdf")</f>
        <v>Melting_Curves/meltCurve_O76071_CIAO1.pdf</v>
      </c>
    </row>
    <row r="1776" spans="1:28" x14ac:dyDescent="0.25">
      <c r="A1776" t="s">
        <v>1780</v>
      </c>
      <c r="B1776">
        <v>0.99252571173614901</v>
      </c>
      <c r="C1776">
        <v>0.95833915247187795</v>
      </c>
      <c r="D1776">
        <v>0.93813781268553498</v>
      </c>
      <c r="E1776">
        <v>0.91602737174840199</v>
      </c>
      <c r="F1776">
        <v>0.72863693722911305</v>
      </c>
      <c r="G1776">
        <v>0.42786552097650399</v>
      </c>
      <c r="H1776">
        <v>0.18124390932377599</v>
      </c>
      <c r="I1776">
        <v>0.18017762463442699</v>
      </c>
      <c r="J1776">
        <v>0.202446672002734</v>
      </c>
      <c r="K1776">
        <v>0.182398343215249</v>
      </c>
      <c r="L1776">
        <v>1317.4163603662801</v>
      </c>
      <c r="M1776">
        <v>24.0759912457452</v>
      </c>
      <c r="N1776">
        <v>55.638960865402403</v>
      </c>
      <c r="O1776">
        <v>54.345754879850801</v>
      </c>
      <c r="P1776">
        <v>-9.2571500966583301E-2</v>
      </c>
      <c r="Q1776">
        <v>0.164181164985194</v>
      </c>
      <c r="R1776">
        <v>0.99250452932256905</v>
      </c>
      <c r="S1776" t="s">
        <v>8422</v>
      </c>
      <c r="T1776" t="s">
        <v>13290</v>
      </c>
      <c r="U1776" t="s">
        <v>13290</v>
      </c>
      <c r="V1776" t="s">
        <v>13290</v>
      </c>
      <c r="W1776" t="s">
        <v>15035</v>
      </c>
      <c r="X1776">
        <v>11</v>
      </c>
      <c r="Y1776" t="s">
        <v>21605</v>
      </c>
      <c r="Z1776" t="s">
        <v>28106</v>
      </c>
      <c r="AA1776">
        <v>0.5825314425450544</v>
      </c>
      <c r="AB1776" t="str">
        <f>HYPERLINK("Melting_Curves/meltCurve_O76074_2_PDE5A.pdf", "Melting_Curves/meltCurve_O76074_2_PDE5A.pdf")</f>
        <v>Melting_Curves/meltCurve_O76074_2_PDE5A.pdf</v>
      </c>
    </row>
    <row r="1777" spans="1:28" x14ac:dyDescent="0.25">
      <c r="A1777" t="s">
        <v>1781</v>
      </c>
      <c r="B1777">
        <v>0.99252571173614901</v>
      </c>
      <c r="C1777">
        <v>1.04550878948967</v>
      </c>
      <c r="D1777">
        <v>0.92226008307185503</v>
      </c>
      <c r="E1777">
        <v>0.87971514615202195</v>
      </c>
      <c r="F1777">
        <v>0.46813062754891699</v>
      </c>
      <c r="G1777">
        <v>0.17567551930629999</v>
      </c>
      <c r="H1777">
        <v>0.12121323495609</v>
      </c>
      <c r="I1777">
        <v>0.119639143245881</v>
      </c>
      <c r="J1777">
        <v>0.15981674091075401</v>
      </c>
      <c r="K1777">
        <v>0.14515449504570699</v>
      </c>
      <c r="L1777">
        <v>1706.63448297676</v>
      </c>
      <c r="M1777">
        <v>32.5783522683451</v>
      </c>
      <c r="N1777">
        <v>52.875408725819902</v>
      </c>
      <c r="O1777">
        <v>52.189345546025201</v>
      </c>
      <c r="P1777">
        <v>-0.13572984482375999</v>
      </c>
      <c r="Q1777">
        <v>0.13026693297476299</v>
      </c>
      <c r="R1777">
        <v>0.99409042628081601</v>
      </c>
      <c r="S1777" t="s">
        <v>8423</v>
      </c>
      <c r="T1777" t="s">
        <v>13290</v>
      </c>
      <c r="U1777" t="s">
        <v>13290</v>
      </c>
      <c r="V1777" t="s">
        <v>13290</v>
      </c>
      <c r="W1777" t="s">
        <v>14024</v>
      </c>
      <c r="X1777">
        <v>5</v>
      </c>
      <c r="Y1777" t="s">
        <v>21606</v>
      </c>
      <c r="Z1777" t="s">
        <v>28107</v>
      </c>
      <c r="AA1777">
        <v>0.49408408192922992</v>
      </c>
      <c r="AB1777" t="str">
        <f>HYPERLINK("Melting_Curves/meltCurve_O76075_DFFB.pdf", "Melting_Curves/meltCurve_O76075_DFFB.pdf")</f>
        <v>Melting_Curves/meltCurve_O76075_DFFB.pdf</v>
      </c>
    </row>
    <row r="1778" spans="1:28" x14ac:dyDescent="0.25">
      <c r="A1778" t="s">
        <v>1782</v>
      </c>
      <c r="B1778">
        <v>0.99252571173614901</v>
      </c>
      <c r="C1778">
        <v>1.1436749344853401</v>
      </c>
      <c r="D1778">
        <v>0.97630110346446697</v>
      </c>
      <c r="E1778">
        <v>1.05787319212942</v>
      </c>
      <c r="F1778">
        <v>0.82352125596509296</v>
      </c>
      <c r="G1778">
        <v>0.79896355937957098</v>
      </c>
      <c r="H1778">
        <v>0.89978163812136602</v>
      </c>
      <c r="I1778">
        <v>1.1870305555252501</v>
      </c>
      <c r="J1778">
        <v>1.5555255643452599</v>
      </c>
      <c r="K1778">
        <v>1.5811708777889899</v>
      </c>
      <c r="L1778">
        <v>15000</v>
      </c>
      <c r="M1778">
        <v>233.860224094214</v>
      </c>
      <c r="O1778">
        <v>64.136188593517602</v>
      </c>
      <c r="P1778">
        <v>0.45578836929497002</v>
      </c>
      <c r="Q1778">
        <v>1.5</v>
      </c>
      <c r="R1778">
        <v>0.83063887050722696</v>
      </c>
      <c r="S1778" t="s">
        <v>8424</v>
      </c>
      <c r="T1778" t="s">
        <v>13290</v>
      </c>
      <c r="U1778" t="s">
        <v>13290</v>
      </c>
      <c r="V1778" t="s">
        <v>13290</v>
      </c>
      <c r="W1778" t="s">
        <v>15036</v>
      </c>
      <c r="X1778">
        <v>8</v>
      </c>
      <c r="Y1778" t="s">
        <v>21607</v>
      </c>
      <c r="Z1778" t="s">
        <v>28108</v>
      </c>
      <c r="AA1778">
        <v>1.097587718720632</v>
      </c>
      <c r="AB1778" t="str">
        <f>HYPERLINK("Melting_Curves/meltCurve_O76080_ZFAND5.pdf", "Melting_Curves/meltCurve_O76080_ZFAND5.pdf")</f>
        <v>Melting_Curves/meltCurve_O76080_ZFAND5.pdf</v>
      </c>
    </row>
    <row r="1779" spans="1:28" x14ac:dyDescent="0.25">
      <c r="A1779" t="s">
        <v>1783</v>
      </c>
      <c r="B1779">
        <v>0.99252571173614901</v>
      </c>
      <c r="C1779">
        <v>0.82447976685494895</v>
      </c>
      <c r="D1779">
        <v>1.0605199015970601</v>
      </c>
      <c r="E1779">
        <v>0.34204672170170197</v>
      </c>
      <c r="F1779">
        <v>0.16231688510724501</v>
      </c>
      <c r="G1779">
        <v>9.1855942221846898E-2</v>
      </c>
      <c r="H1779">
        <v>6.0962147948376497E-2</v>
      </c>
      <c r="I1779">
        <v>6.3845744189737805E-2</v>
      </c>
      <c r="J1779">
        <v>7.9942189968456701E-2</v>
      </c>
      <c r="K1779">
        <v>7.3615311487103402E-2</v>
      </c>
      <c r="L1779">
        <v>8683.4494673757999</v>
      </c>
      <c r="M1779">
        <v>176.024130358055</v>
      </c>
      <c r="N1779">
        <v>49.385847946254202</v>
      </c>
      <c r="O1779">
        <v>49.324650450418801</v>
      </c>
      <c r="P1779">
        <v>-0.81298591403824305</v>
      </c>
      <c r="Q1779">
        <v>8.8755712393097E-2</v>
      </c>
      <c r="R1779">
        <v>0.97318532116137302</v>
      </c>
      <c r="S1779" t="s">
        <v>8425</v>
      </c>
      <c r="T1779" t="s">
        <v>13290</v>
      </c>
      <c r="U1779" t="s">
        <v>13290</v>
      </c>
      <c r="V1779" t="s">
        <v>13290</v>
      </c>
      <c r="W1779" t="s">
        <v>15037</v>
      </c>
      <c r="X1779">
        <v>11</v>
      </c>
      <c r="Y1779" t="s">
        <v>21608</v>
      </c>
      <c r="Z1779" t="s">
        <v>28109</v>
      </c>
      <c r="AA1779">
        <v>0.37234276444136177</v>
      </c>
      <c r="AB1779" t="str">
        <f>HYPERLINK("Melting_Curves/meltCurve_O76094_SRP72.pdf", "Melting_Curves/meltCurve_O76094_SRP72.pdf")</f>
        <v>Melting_Curves/meltCurve_O76094_SRP72.pdf</v>
      </c>
    </row>
    <row r="1780" spans="1:28" x14ac:dyDescent="0.25">
      <c r="A1780" t="s">
        <v>1784</v>
      </c>
      <c r="B1780">
        <v>0.99252571173614901</v>
      </c>
      <c r="C1780">
        <v>0.88817244540071005</v>
      </c>
      <c r="D1780">
        <v>0.85092860052098795</v>
      </c>
      <c r="E1780">
        <v>0.94897283342163996</v>
      </c>
      <c r="F1780">
        <v>0.64861831135979198</v>
      </c>
      <c r="G1780">
        <v>0.56188666148492294</v>
      </c>
      <c r="H1780">
        <v>0.540239032796062</v>
      </c>
      <c r="I1780">
        <v>0.71482876299631104</v>
      </c>
      <c r="J1780">
        <v>0.96867827393296302</v>
      </c>
      <c r="K1780">
        <v>0.72631824230776099</v>
      </c>
      <c r="L1780">
        <v>792.14934994494797</v>
      </c>
      <c r="M1780">
        <v>16.8730450547774</v>
      </c>
      <c r="O1780">
        <v>46.303079093257701</v>
      </c>
      <c r="P1780">
        <v>-2.7163214581925998E-2</v>
      </c>
      <c r="Q1780">
        <v>0.70185352047951599</v>
      </c>
      <c r="R1780">
        <v>0.36751345184858197</v>
      </c>
      <c r="S1780" t="s">
        <v>8426</v>
      </c>
      <c r="T1780" t="s">
        <v>13290</v>
      </c>
      <c r="U1780" t="s">
        <v>13290</v>
      </c>
      <c r="V1780" t="s">
        <v>13290</v>
      </c>
      <c r="W1780" t="s">
        <v>15038</v>
      </c>
      <c r="X1780">
        <v>2</v>
      </c>
      <c r="Y1780" t="s">
        <v>21609</v>
      </c>
      <c r="Z1780" t="s">
        <v>28110</v>
      </c>
      <c r="AA1780">
        <v>0.77724378075760758</v>
      </c>
      <c r="AB1780" t="str">
        <f>HYPERLINK("Melting_Curves/meltCurve_O76095_2_JTB.pdf", "Melting_Curves/meltCurve_O76095_2_JTB.pdf")</f>
        <v>Melting_Curves/meltCurve_O76095_2_JTB.pdf</v>
      </c>
    </row>
    <row r="1781" spans="1:28" x14ac:dyDescent="0.25">
      <c r="A1781" t="s">
        <v>1785</v>
      </c>
      <c r="B1781">
        <v>0.99252571173614901</v>
      </c>
      <c r="C1781">
        <v>1.04895863036699</v>
      </c>
      <c r="D1781">
        <v>0.91720947716725598</v>
      </c>
      <c r="E1781">
        <v>0.71100854708638295</v>
      </c>
      <c r="F1781">
        <v>0.283936205114872</v>
      </c>
      <c r="G1781">
        <v>0.11556780658183501</v>
      </c>
      <c r="H1781">
        <v>9.5803812175022096E-2</v>
      </c>
      <c r="I1781">
        <v>0.108323450825038</v>
      </c>
      <c r="J1781">
        <v>0.13314408581551501</v>
      </c>
      <c r="K1781">
        <v>0.132970640213212</v>
      </c>
      <c r="L1781">
        <v>1548.94239927729</v>
      </c>
      <c r="M1781">
        <v>30.548880277812099</v>
      </c>
      <c r="N1781">
        <v>51.119976380516398</v>
      </c>
      <c r="O1781">
        <v>50.487975019929003</v>
      </c>
      <c r="P1781">
        <v>-0.13461355122600299</v>
      </c>
      <c r="Q1781">
        <v>0.110105340806681</v>
      </c>
      <c r="R1781">
        <v>0.99533051505181303</v>
      </c>
      <c r="S1781" t="s">
        <v>8427</v>
      </c>
      <c r="T1781" t="s">
        <v>13290</v>
      </c>
      <c r="U1781" t="s">
        <v>13290</v>
      </c>
      <c r="V1781" t="s">
        <v>13290</v>
      </c>
      <c r="W1781" t="s">
        <v>15039</v>
      </c>
      <c r="X1781">
        <v>8</v>
      </c>
      <c r="Y1781" t="s">
        <v>21610</v>
      </c>
      <c r="Z1781" t="s">
        <v>28111</v>
      </c>
      <c r="AA1781">
        <v>0.432980712117842</v>
      </c>
      <c r="AB1781" t="str">
        <f>HYPERLINK("Melting_Curves/meltCurve_O77932_DOM3Z.pdf", "Melting_Curves/meltCurve_O77932_DOM3Z.pdf")</f>
        <v>Melting_Curves/meltCurve_O77932_DOM3Z.pdf</v>
      </c>
    </row>
    <row r="1782" spans="1:28" x14ac:dyDescent="0.25">
      <c r="A1782" t="s">
        <v>1786</v>
      </c>
      <c r="B1782">
        <v>0.99252571173614901</v>
      </c>
      <c r="C1782">
        <v>1.08028174897125</v>
      </c>
      <c r="D1782">
        <v>1.0500299802681301</v>
      </c>
      <c r="E1782">
        <v>0.93581739858722601</v>
      </c>
      <c r="F1782">
        <v>0.77268497089961097</v>
      </c>
      <c r="G1782">
        <v>0.55742438961160201</v>
      </c>
      <c r="H1782">
        <v>0.24297172528695499</v>
      </c>
      <c r="I1782">
        <v>0.10752348659512199</v>
      </c>
      <c r="J1782">
        <v>0.111051945456621</v>
      </c>
      <c r="K1782">
        <v>0.114145606437952</v>
      </c>
      <c r="L1782">
        <v>1164.57641030839</v>
      </c>
      <c r="M1782">
        <v>20.565179068304701</v>
      </c>
      <c r="N1782">
        <v>57.040700201636596</v>
      </c>
      <c r="O1782">
        <v>56.101261330905203</v>
      </c>
      <c r="P1782">
        <v>-8.5318592403533705E-2</v>
      </c>
      <c r="Q1782">
        <v>6.9039741157588097E-2</v>
      </c>
      <c r="R1782">
        <v>0.99030235310419801</v>
      </c>
      <c r="S1782" t="s">
        <v>8428</v>
      </c>
      <c r="T1782" t="s">
        <v>13290</v>
      </c>
      <c r="U1782" t="s">
        <v>13290</v>
      </c>
      <c r="V1782" t="s">
        <v>13290</v>
      </c>
      <c r="W1782" t="s">
        <v>15040</v>
      </c>
      <c r="X1782">
        <v>17</v>
      </c>
      <c r="Y1782" t="s">
        <v>21611</v>
      </c>
      <c r="Z1782" t="s">
        <v>28112</v>
      </c>
      <c r="AA1782">
        <v>0.59629301549537528</v>
      </c>
      <c r="AB1782" t="str">
        <f>HYPERLINK("Melting_Curves/meltCurve_O94760_DDAH1.pdf", "Melting_Curves/meltCurve_O94760_DDAH1.pdf")</f>
        <v>Melting_Curves/meltCurve_O94760_DDAH1.pdf</v>
      </c>
    </row>
    <row r="1783" spans="1:28" x14ac:dyDescent="0.25">
      <c r="A1783" t="s">
        <v>1787</v>
      </c>
      <c r="B1783">
        <v>0.99252571173614901</v>
      </c>
      <c r="C1783">
        <v>1.0197511142012901</v>
      </c>
      <c r="D1783">
        <v>1.0352355752640601</v>
      </c>
      <c r="E1783">
        <v>1.0146771620497099</v>
      </c>
      <c r="F1783">
        <v>0.84196174864669204</v>
      </c>
      <c r="G1783">
        <v>0.54619589832071402</v>
      </c>
      <c r="H1783">
        <v>0.35135530490806399</v>
      </c>
      <c r="I1783">
        <v>0.47891501491955002</v>
      </c>
      <c r="J1783">
        <v>0.64548936762732001</v>
      </c>
      <c r="K1783">
        <v>0.86536516614266201</v>
      </c>
      <c r="L1783">
        <v>13327.3977266281</v>
      </c>
      <c r="M1783">
        <v>250</v>
      </c>
      <c r="O1783">
        <v>53.306179448682798</v>
      </c>
      <c r="P1783">
        <v>-0.49541144798389403</v>
      </c>
      <c r="Q1783">
        <v>0.57746413575966404</v>
      </c>
      <c r="R1783">
        <v>0.73976247172935405</v>
      </c>
      <c r="S1783" t="s">
        <v>8429</v>
      </c>
      <c r="T1783" t="s">
        <v>13290</v>
      </c>
      <c r="U1783" t="s">
        <v>13290</v>
      </c>
      <c r="V1783" t="s">
        <v>13290</v>
      </c>
      <c r="W1783" t="s">
        <v>15041</v>
      </c>
      <c r="X1783">
        <v>2</v>
      </c>
      <c r="Y1783" t="s">
        <v>21612</v>
      </c>
      <c r="Z1783" t="s">
        <v>28113</v>
      </c>
      <c r="AA1783">
        <v>0.76496298370539739</v>
      </c>
      <c r="AB1783" t="str">
        <f>HYPERLINK("Melting_Curves/meltCurve_O94763_URI1.pdf", "Melting_Curves/meltCurve_O94763_URI1.pdf")</f>
        <v>Melting_Curves/meltCurve_O94763_URI1.pdf</v>
      </c>
    </row>
    <row r="1784" spans="1:28" x14ac:dyDescent="0.25">
      <c r="A1784" t="s">
        <v>1788</v>
      </c>
      <c r="B1784">
        <v>0.99252571173614901</v>
      </c>
      <c r="C1784">
        <v>0.86900856068843801</v>
      </c>
      <c r="D1784">
        <v>0.79017575158200504</v>
      </c>
      <c r="E1784">
        <v>0.74116388948224299</v>
      </c>
      <c r="F1784">
        <v>0.200180454761854</v>
      </c>
      <c r="G1784">
        <v>9.6340555264561006E-2</v>
      </c>
      <c r="H1784">
        <v>6.9101845873991902E-2</v>
      </c>
      <c r="I1784">
        <v>8.7718810012047593E-2</v>
      </c>
      <c r="J1784">
        <v>8.1917335446901093E-2</v>
      </c>
      <c r="K1784">
        <v>6.9278205118411401E-2</v>
      </c>
      <c r="L1784">
        <v>1195.60259957418</v>
      </c>
      <c r="M1784">
        <v>23.674012305012401</v>
      </c>
      <c r="N1784">
        <v>50.765502726793201</v>
      </c>
      <c r="O1784">
        <v>50.1465359513641</v>
      </c>
      <c r="P1784">
        <v>-0.111220467519313</v>
      </c>
      <c r="Q1784">
        <v>5.7662390163469301E-2</v>
      </c>
      <c r="R1784">
        <v>0.96434043663082503</v>
      </c>
      <c r="S1784" t="s">
        <v>8430</v>
      </c>
      <c r="T1784" t="s">
        <v>13290</v>
      </c>
      <c r="U1784" t="s">
        <v>13290</v>
      </c>
      <c r="V1784" t="s">
        <v>13290</v>
      </c>
      <c r="W1784" t="s">
        <v>15042</v>
      </c>
      <c r="X1784">
        <v>9</v>
      </c>
      <c r="Y1784" t="s">
        <v>21613</v>
      </c>
      <c r="Z1784" t="s">
        <v>28114</v>
      </c>
      <c r="AA1784">
        <v>0.39699971583919269</v>
      </c>
      <c r="AB1784" t="str">
        <f>HYPERLINK("Melting_Curves/meltCurve_O94766_B3GAT3.pdf", "Melting_Curves/meltCurve_O94766_B3GAT3.pdf")</f>
        <v>Melting_Curves/meltCurve_O94766_B3GAT3.pdf</v>
      </c>
    </row>
    <row r="1785" spans="1:28" x14ac:dyDescent="0.25">
      <c r="A1785" t="s">
        <v>1789</v>
      </c>
      <c r="B1785">
        <v>0.99252571173614901</v>
      </c>
      <c r="C1785">
        <v>0.800242367605694</v>
      </c>
      <c r="D1785">
        <v>0.89367415370576597</v>
      </c>
      <c r="E1785">
        <v>0.51211325394237595</v>
      </c>
      <c r="F1785">
        <v>0.26326427538157199</v>
      </c>
      <c r="G1785">
        <v>0.11687028407226201</v>
      </c>
      <c r="H1785">
        <v>8.3842480665062599E-2</v>
      </c>
      <c r="I1785">
        <v>8.8966504346140396E-2</v>
      </c>
      <c r="J1785">
        <v>9.1557913093243196E-2</v>
      </c>
      <c r="K1785">
        <v>8.7231008018037903E-2</v>
      </c>
      <c r="L1785">
        <v>938.14445320398795</v>
      </c>
      <c r="M1785">
        <v>18.975034490085001</v>
      </c>
      <c r="N1785">
        <v>49.8389622695843</v>
      </c>
      <c r="O1785">
        <v>48.901687160115998</v>
      </c>
      <c r="P1785">
        <v>-9.0190195881441407E-2</v>
      </c>
      <c r="Q1785">
        <v>7.0299352192758902E-2</v>
      </c>
      <c r="R1785">
        <v>0.97628395792480904</v>
      </c>
      <c r="S1785" t="s">
        <v>8431</v>
      </c>
      <c r="T1785" t="s">
        <v>13290</v>
      </c>
      <c r="U1785" t="s">
        <v>13290</v>
      </c>
      <c r="V1785" t="s">
        <v>13290</v>
      </c>
      <c r="W1785" t="s">
        <v>15043</v>
      </c>
      <c r="X1785">
        <v>14</v>
      </c>
      <c r="Y1785" t="s">
        <v>21614</v>
      </c>
      <c r="Z1785" t="s">
        <v>28115</v>
      </c>
      <c r="AA1785">
        <v>0.37728411278648633</v>
      </c>
      <c r="AB1785" t="str">
        <f>HYPERLINK("Melting_Curves/meltCurve_O94776_MTA2.pdf", "Melting_Curves/meltCurve_O94776_MTA2.pdf")</f>
        <v>Melting_Curves/meltCurve_O94776_MTA2.pdf</v>
      </c>
    </row>
    <row r="1786" spans="1:28" x14ac:dyDescent="0.25">
      <c r="A1786" t="s">
        <v>1790</v>
      </c>
      <c r="B1786">
        <v>0.99252571173614901</v>
      </c>
      <c r="C1786">
        <v>0.94824768388772396</v>
      </c>
      <c r="D1786">
        <v>0.83053407444952199</v>
      </c>
      <c r="E1786">
        <v>0.449878648364258</v>
      </c>
      <c r="F1786">
        <v>0.37672742938758402</v>
      </c>
      <c r="G1786">
        <v>0.222102659135922</v>
      </c>
      <c r="H1786">
        <v>0.154298019235944</v>
      </c>
      <c r="I1786">
        <v>0.126346650777486</v>
      </c>
      <c r="J1786">
        <v>0.134052910685968</v>
      </c>
      <c r="K1786">
        <v>0.141105122476675</v>
      </c>
      <c r="L1786">
        <v>853.41406117661495</v>
      </c>
      <c r="M1786">
        <v>17.391417747205502</v>
      </c>
      <c r="N1786">
        <v>49.9611378145514</v>
      </c>
      <c r="O1786">
        <v>48.4359942588774</v>
      </c>
      <c r="P1786">
        <v>-7.7810425259807803E-2</v>
      </c>
      <c r="Q1786">
        <v>0.13322499849584099</v>
      </c>
      <c r="R1786">
        <v>0.98887935409756</v>
      </c>
      <c r="S1786" t="s">
        <v>8432</v>
      </c>
      <c r="T1786" t="s">
        <v>13290</v>
      </c>
      <c r="U1786" t="s">
        <v>13290</v>
      </c>
      <c r="V1786" t="s">
        <v>13290</v>
      </c>
      <c r="W1786" t="s">
        <v>15044</v>
      </c>
      <c r="X1786">
        <v>2</v>
      </c>
      <c r="Y1786" t="s">
        <v>21615</v>
      </c>
      <c r="Z1786" t="s">
        <v>28116</v>
      </c>
      <c r="AA1786">
        <v>0.41135799581328669</v>
      </c>
      <c r="AB1786" t="str">
        <f>HYPERLINK("Melting_Curves/meltCurve_O94782_USP1.pdf", "Melting_Curves/meltCurve_O94782_USP1.pdf")</f>
        <v>Melting_Curves/meltCurve_O94782_USP1.pdf</v>
      </c>
    </row>
    <row r="1787" spans="1:28" x14ac:dyDescent="0.25">
      <c r="A1787" t="s">
        <v>1791</v>
      </c>
      <c r="B1787">
        <v>0.99252571173614901</v>
      </c>
      <c r="C1787">
        <v>1.0212612663314899</v>
      </c>
      <c r="D1787">
        <v>0.60333857234539601</v>
      </c>
      <c r="E1787">
        <v>0.27967278740720802</v>
      </c>
      <c r="F1787">
        <v>0.20005075624107499</v>
      </c>
      <c r="G1787">
        <v>0.12676121217002101</v>
      </c>
      <c r="H1787">
        <v>0.118344781452563</v>
      </c>
      <c r="I1787">
        <v>0.128198180192999</v>
      </c>
      <c r="J1787">
        <v>0.18190683270959901</v>
      </c>
      <c r="K1787">
        <v>0.19859815227869501</v>
      </c>
      <c r="L1787">
        <v>1609.59463694888</v>
      </c>
      <c r="M1787">
        <v>34.7374074165038</v>
      </c>
      <c r="N1787">
        <v>46.863110548186398</v>
      </c>
      <c r="O1787">
        <v>46.183285837747697</v>
      </c>
      <c r="P1787">
        <v>-0.157635855159237</v>
      </c>
      <c r="Q1787">
        <v>0.161696952730185</v>
      </c>
      <c r="R1787">
        <v>0.98738896126386599</v>
      </c>
      <c r="S1787" t="s">
        <v>8433</v>
      </c>
      <c r="T1787" t="s">
        <v>13290</v>
      </c>
      <c r="U1787" t="s">
        <v>13290</v>
      </c>
      <c r="V1787" t="s">
        <v>13290</v>
      </c>
      <c r="W1787" t="s">
        <v>15045</v>
      </c>
      <c r="X1787">
        <v>9</v>
      </c>
      <c r="Y1787" t="s">
        <v>21616</v>
      </c>
      <c r="Z1787" t="s">
        <v>28117</v>
      </c>
      <c r="AA1787">
        <v>0.34242687677138428</v>
      </c>
      <c r="AB1787" t="str">
        <f>HYPERLINK("Melting_Curves/meltCurve_O94804_STK10.pdf", "Melting_Curves/meltCurve_O94804_STK10.pdf")</f>
        <v>Melting_Curves/meltCurve_O94804_STK10.pdf</v>
      </c>
    </row>
    <row r="1788" spans="1:28" x14ac:dyDescent="0.25">
      <c r="A1788" t="s">
        <v>1792</v>
      </c>
      <c r="B1788">
        <v>0.99252571173614901</v>
      </c>
      <c r="C1788">
        <v>0.91366957109331004</v>
      </c>
      <c r="D1788">
        <v>0.76540136482378796</v>
      </c>
      <c r="E1788">
        <v>0.46770466922207099</v>
      </c>
      <c r="F1788">
        <v>0.39360097253871401</v>
      </c>
      <c r="G1788">
        <v>0.23261325432947899</v>
      </c>
      <c r="H1788">
        <v>0.177244290208697</v>
      </c>
      <c r="I1788">
        <v>0.19594981650651999</v>
      </c>
      <c r="J1788">
        <v>0.26191809567864399</v>
      </c>
      <c r="K1788">
        <v>0.25165383923796703</v>
      </c>
      <c r="L1788">
        <v>872.20007059246598</v>
      </c>
      <c r="M1788">
        <v>18.165217019426802</v>
      </c>
      <c r="N1788">
        <v>49.563431578560198</v>
      </c>
      <c r="O1788">
        <v>47.444313895652598</v>
      </c>
      <c r="P1788">
        <v>-7.4994640289913997E-2</v>
      </c>
      <c r="Q1788">
        <v>0.21654699165052699</v>
      </c>
      <c r="R1788">
        <v>0.98544857174993405</v>
      </c>
      <c r="S1788" t="s">
        <v>8434</v>
      </c>
      <c r="T1788" t="s">
        <v>13290</v>
      </c>
      <c r="U1788" t="s">
        <v>13290</v>
      </c>
      <c r="V1788" t="s">
        <v>13290</v>
      </c>
      <c r="W1788" t="s">
        <v>15046</v>
      </c>
      <c r="X1788">
        <v>2</v>
      </c>
      <c r="Y1788" t="s">
        <v>21617</v>
      </c>
      <c r="Z1788" t="s">
        <v>28118</v>
      </c>
      <c r="AA1788">
        <v>0.43948700421951781</v>
      </c>
      <c r="AB1788" t="str">
        <f>HYPERLINK("Melting_Curves/meltCurve_O94822_LTN1.pdf", "Melting_Curves/meltCurve_O94822_LTN1.pdf")</f>
        <v>Melting_Curves/meltCurve_O94822_LTN1.pdf</v>
      </c>
    </row>
    <row r="1789" spans="1:28" x14ac:dyDescent="0.25">
      <c r="A1789" t="s">
        <v>1793</v>
      </c>
      <c r="B1789">
        <v>0.99252571173614901</v>
      </c>
      <c r="C1789">
        <v>0.86295928239083897</v>
      </c>
      <c r="D1789">
        <v>0.81602910231051995</v>
      </c>
      <c r="E1789">
        <v>0.64809750240060204</v>
      </c>
      <c r="F1789">
        <v>0.14146315017334499</v>
      </c>
      <c r="G1789">
        <v>9.1317663030802701E-2</v>
      </c>
      <c r="H1789">
        <v>5.5863948581325797E-2</v>
      </c>
      <c r="I1789">
        <v>5.72875796199738E-2</v>
      </c>
      <c r="J1789">
        <v>7.6559132953391298E-2</v>
      </c>
      <c r="K1789">
        <v>8.22435782655494E-2</v>
      </c>
      <c r="L1789">
        <v>1163.67807656533</v>
      </c>
      <c r="M1789">
        <v>23.341398003990498</v>
      </c>
      <c r="N1789">
        <v>50.082917525822097</v>
      </c>
      <c r="O1789">
        <v>49.493077595735997</v>
      </c>
      <c r="P1789">
        <v>-0.111955761390599</v>
      </c>
      <c r="Q1789">
        <v>5.0453232009780899E-2</v>
      </c>
      <c r="R1789">
        <v>0.97428459898035402</v>
      </c>
      <c r="S1789" t="s">
        <v>8435</v>
      </c>
      <c r="T1789" t="s">
        <v>13290</v>
      </c>
      <c r="U1789" t="s">
        <v>13290</v>
      </c>
      <c r="V1789" t="s">
        <v>13290</v>
      </c>
      <c r="W1789" t="s">
        <v>15047</v>
      </c>
      <c r="X1789">
        <v>29</v>
      </c>
      <c r="Y1789" t="s">
        <v>21618</v>
      </c>
      <c r="Z1789" t="s">
        <v>28119</v>
      </c>
      <c r="AA1789">
        <v>0.37209951177693978</v>
      </c>
      <c r="AB1789" t="str">
        <f>HYPERLINK("Melting_Curves/meltCurve_O94826_TOMM70A.pdf", "Melting_Curves/meltCurve_O94826_TOMM70A.pdf")</f>
        <v>Melting_Curves/meltCurve_O94826_TOMM70A.pdf</v>
      </c>
    </row>
    <row r="1790" spans="1:28" x14ac:dyDescent="0.25">
      <c r="A1790" t="s">
        <v>1794</v>
      </c>
      <c r="B1790">
        <v>0.99252571173614901</v>
      </c>
      <c r="C1790">
        <v>1.10134880092042</v>
      </c>
      <c r="D1790">
        <v>0.97672521362204601</v>
      </c>
      <c r="E1790">
        <v>0.72144235950625102</v>
      </c>
      <c r="F1790">
        <v>0.46403560698379998</v>
      </c>
      <c r="G1790">
        <v>0.153974793243872</v>
      </c>
      <c r="H1790">
        <v>5.5124725210792702E-2</v>
      </c>
      <c r="I1790">
        <v>5.4569589665384902E-2</v>
      </c>
      <c r="J1790">
        <v>3.7474020142403502E-2</v>
      </c>
      <c r="K1790">
        <v>4.5998577822959498E-2</v>
      </c>
      <c r="L1790">
        <v>1136.2733732675999</v>
      </c>
      <c r="M1790">
        <v>21.7414219973992</v>
      </c>
      <c r="N1790">
        <v>52.4096214645255</v>
      </c>
      <c r="O1790">
        <v>51.826942599655098</v>
      </c>
      <c r="P1790">
        <v>-0.101784436847875</v>
      </c>
      <c r="Q1790">
        <v>2.9492595310442501E-2</v>
      </c>
      <c r="R1790">
        <v>0.99019710617518397</v>
      </c>
      <c r="S1790" t="s">
        <v>8436</v>
      </c>
      <c r="T1790" t="s">
        <v>13290</v>
      </c>
      <c r="U1790" t="s">
        <v>13290</v>
      </c>
      <c r="V1790" t="s">
        <v>13290</v>
      </c>
      <c r="W1790" t="s">
        <v>15048</v>
      </c>
      <c r="X1790">
        <v>1</v>
      </c>
      <c r="Y1790" t="s">
        <v>21619</v>
      </c>
      <c r="Z1790" t="s">
        <v>28120</v>
      </c>
      <c r="AA1790">
        <v>0.43774637488915841</v>
      </c>
      <c r="AB1790" t="str">
        <f>HYPERLINK("Melting_Curves/meltCurve_O94827_5_PLEKHG5.pdf", "Melting_Curves/meltCurve_O94827_5_PLEKHG5.pdf")</f>
        <v>Melting_Curves/meltCurve_O94827_5_PLEKHG5.pdf</v>
      </c>
    </row>
    <row r="1791" spans="1:28" x14ac:dyDescent="0.25">
      <c r="A1791" t="s">
        <v>1795</v>
      </c>
      <c r="B1791">
        <v>0.99252571173614901</v>
      </c>
      <c r="C1791">
        <v>0.98809349866724006</v>
      </c>
      <c r="D1791">
        <v>0.72199359622502002</v>
      </c>
      <c r="E1791">
        <v>0.44527951129764398</v>
      </c>
      <c r="F1791">
        <v>0.32528451365227101</v>
      </c>
      <c r="G1791">
        <v>0.20580733621538899</v>
      </c>
      <c r="H1791">
        <v>0.19299781091078899</v>
      </c>
      <c r="I1791">
        <v>0.24502964097205801</v>
      </c>
      <c r="J1791">
        <v>0.30415181816169601</v>
      </c>
      <c r="K1791">
        <v>0.30608468365618002</v>
      </c>
      <c r="L1791">
        <v>1184.8727882507301</v>
      </c>
      <c r="M1791">
        <v>25.0742244911341</v>
      </c>
      <c r="N1791">
        <v>48.634286990481399</v>
      </c>
      <c r="O1791">
        <v>46.957134294749203</v>
      </c>
      <c r="P1791">
        <v>-9.9522049522312805E-2</v>
      </c>
      <c r="Q1791">
        <v>0.25450027762616201</v>
      </c>
      <c r="R1791">
        <v>0.98122650006274903</v>
      </c>
      <c r="S1791" t="s">
        <v>8437</v>
      </c>
      <c r="T1791" t="s">
        <v>13290</v>
      </c>
      <c r="U1791" t="s">
        <v>13290</v>
      </c>
      <c r="V1791" t="s">
        <v>13290</v>
      </c>
      <c r="W1791" t="s">
        <v>15049</v>
      </c>
      <c r="X1791">
        <v>3</v>
      </c>
      <c r="Y1791" t="s">
        <v>21620</v>
      </c>
      <c r="Z1791" t="s">
        <v>28121</v>
      </c>
      <c r="AA1791">
        <v>0.44136211649873969</v>
      </c>
      <c r="AB1791" t="str">
        <f>HYPERLINK("Melting_Curves/meltCurve_O94829_IPO13.pdf", "Melting_Curves/meltCurve_O94829_IPO13.pdf")</f>
        <v>Melting_Curves/meltCurve_O94829_IPO13.pdf</v>
      </c>
    </row>
    <row r="1792" spans="1:28" x14ac:dyDescent="0.25">
      <c r="A1792" t="s">
        <v>1796</v>
      </c>
      <c r="B1792">
        <v>0.99252571173614901</v>
      </c>
      <c r="C1792">
        <v>1.0476782977632</v>
      </c>
      <c r="D1792">
        <v>0.93955649653779005</v>
      </c>
      <c r="E1792">
        <v>0.90134200360009797</v>
      </c>
      <c r="F1792">
        <v>0.72466007854912495</v>
      </c>
      <c r="G1792">
        <v>0.49246535392519403</v>
      </c>
      <c r="H1792">
        <v>0.23675651868762401</v>
      </c>
      <c r="I1792">
        <v>0.200608463565005</v>
      </c>
      <c r="J1792">
        <v>0.206797322053629</v>
      </c>
      <c r="K1792">
        <v>0.21575540931349699</v>
      </c>
      <c r="L1792">
        <v>1108.29985462067</v>
      </c>
      <c r="M1792">
        <v>20.149043111190799</v>
      </c>
      <c r="N1792">
        <v>56.210193297281101</v>
      </c>
      <c r="O1792">
        <v>54.471876184548996</v>
      </c>
      <c r="P1792">
        <v>-7.62577806468481E-2</v>
      </c>
      <c r="Q1792">
        <v>0.175390487843927</v>
      </c>
      <c r="R1792">
        <v>0.99220302995312004</v>
      </c>
      <c r="S1792" t="s">
        <v>8438</v>
      </c>
      <c r="T1792" t="s">
        <v>13290</v>
      </c>
      <c r="U1792" t="s">
        <v>13290</v>
      </c>
      <c r="V1792" t="s">
        <v>13290</v>
      </c>
      <c r="W1792" t="s">
        <v>15050</v>
      </c>
      <c r="X1792">
        <v>11</v>
      </c>
      <c r="Y1792" t="s">
        <v>21621</v>
      </c>
      <c r="Z1792" t="s">
        <v>28122</v>
      </c>
      <c r="AA1792">
        <v>0.59869127806035982</v>
      </c>
      <c r="AB1792" t="str">
        <f>HYPERLINK("Melting_Curves/meltCurve_O94830_DDHD2.pdf", "Melting_Curves/meltCurve_O94830_DDHD2.pdf")</f>
        <v>Melting_Curves/meltCurve_O94830_DDHD2.pdf</v>
      </c>
    </row>
    <row r="1793" spans="1:28" x14ac:dyDescent="0.25">
      <c r="A1793" t="s">
        <v>1797</v>
      </c>
      <c r="B1793">
        <v>0.99252571173614901</v>
      </c>
      <c r="C1793">
        <v>0.971446314873464</v>
      </c>
      <c r="D1793">
        <v>0.72731713715034296</v>
      </c>
      <c r="E1793">
        <v>0.60351182742032805</v>
      </c>
      <c r="F1793">
        <v>0.25775941106753703</v>
      </c>
      <c r="G1793">
        <v>0.14569164480371399</v>
      </c>
      <c r="H1793">
        <v>9.8527815260528104E-2</v>
      </c>
      <c r="I1793">
        <v>0.107060271425549</v>
      </c>
      <c r="J1793">
        <v>0.14404347737766701</v>
      </c>
      <c r="K1793">
        <v>0.146259715189588</v>
      </c>
      <c r="L1793">
        <v>894.29431659597606</v>
      </c>
      <c r="M1793">
        <v>18.156875900784101</v>
      </c>
      <c r="N1793">
        <v>49.896545057607298</v>
      </c>
      <c r="O1793">
        <v>48.6679574456154</v>
      </c>
      <c r="P1793">
        <v>-8.35468967507801E-2</v>
      </c>
      <c r="Q1793">
        <v>0.10428140337983199</v>
      </c>
      <c r="R1793">
        <v>0.98425924009485499</v>
      </c>
      <c r="S1793" t="s">
        <v>8439</v>
      </c>
      <c r="T1793" t="s">
        <v>13290</v>
      </c>
      <c r="U1793" t="s">
        <v>13290</v>
      </c>
      <c r="V1793" t="s">
        <v>13290</v>
      </c>
      <c r="W1793" t="s">
        <v>15051</v>
      </c>
      <c r="X1793">
        <v>6</v>
      </c>
      <c r="Y1793" t="s">
        <v>21622</v>
      </c>
      <c r="Z1793" t="s">
        <v>28123</v>
      </c>
      <c r="AA1793">
        <v>0.39575584135320191</v>
      </c>
      <c r="AB1793" t="str">
        <f>HYPERLINK("Melting_Curves/meltCurve_O94832_MYO1D.pdf", "Melting_Curves/meltCurve_O94832_MYO1D.pdf")</f>
        <v>Melting_Curves/meltCurve_O94832_MYO1D.pdf</v>
      </c>
    </row>
    <row r="1794" spans="1:28" x14ac:dyDescent="0.25">
      <c r="A1794" t="s">
        <v>1798</v>
      </c>
      <c r="B1794">
        <v>0.99252571173614901</v>
      </c>
      <c r="C1794">
        <v>0.90388181980526505</v>
      </c>
      <c r="D1794">
        <v>0.74478022266441302</v>
      </c>
      <c r="E1794">
        <v>0.425572869602523</v>
      </c>
      <c r="F1794">
        <v>0.14382059465029601</v>
      </c>
      <c r="G1794">
        <v>0.11487064879705</v>
      </c>
      <c r="H1794">
        <v>0.10578861923326301</v>
      </c>
      <c r="I1794">
        <v>0.13843305389076199</v>
      </c>
      <c r="J1794">
        <v>0.212501727092542</v>
      </c>
      <c r="K1794">
        <v>0.15238471241433699</v>
      </c>
      <c r="L1794">
        <v>1128.3031864155</v>
      </c>
      <c r="M1794">
        <v>23.640114136554502</v>
      </c>
      <c r="N1794">
        <v>48.363283304619998</v>
      </c>
      <c r="O1794">
        <v>47.390723088200801</v>
      </c>
      <c r="P1794">
        <v>-0.10807272830792899</v>
      </c>
      <c r="Q1794">
        <v>0.133411948288509</v>
      </c>
      <c r="R1794">
        <v>0.98598581608807101</v>
      </c>
      <c r="S1794" t="s">
        <v>8440</v>
      </c>
      <c r="T1794" t="s">
        <v>13290</v>
      </c>
      <c r="U1794" t="s">
        <v>13290</v>
      </c>
      <c r="V1794" t="s">
        <v>13290</v>
      </c>
      <c r="W1794" t="s">
        <v>15052</v>
      </c>
      <c r="X1794">
        <v>3</v>
      </c>
      <c r="Y1794" t="s">
        <v>21623</v>
      </c>
      <c r="Z1794" t="s">
        <v>28124</v>
      </c>
      <c r="AA1794">
        <v>0.36530136696915311</v>
      </c>
      <c r="AB1794" t="str">
        <f>HYPERLINK("Melting_Curves/meltCurve_O94851_6_MICAL2.pdf", "Melting_Curves/meltCurve_O94851_6_MICAL2.pdf")</f>
        <v>Melting_Curves/meltCurve_O94851_6_MICAL2.pdf</v>
      </c>
    </row>
    <row r="1795" spans="1:28" x14ac:dyDescent="0.25">
      <c r="A1795" t="s">
        <v>1799</v>
      </c>
      <c r="B1795">
        <v>0.99252571173614901</v>
      </c>
      <c r="C1795">
        <v>0.95660868791123799</v>
      </c>
      <c r="D1795">
        <v>0.97608640057942997</v>
      </c>
      <c r="E1795">
        <v>0.81898092174000803</v>
      </c>
      <c r="F1795">
        <v>0.281308101517456</v>
      </c>
      <c r="G1795">
        <v>0.16614188518050499</v>
      </c>
      <c r="H1795">
        <v>0.12673943884580999</v>
      </c>
      <c r="I1795">
        <v>0.110629464354012</v>
      </c>
      <c r="J1795">
        <v>0.123482840665996</v>
      </c>
      <c r="K1795">
        <v>0.117046893190574</v>
      </c>
      <c r="L1795">
        <v>2032.78418084691</v>
      </c>
      <c r="M1795">
        <v>39.671533244674997</v>
      </c>
      <c r="N1795">
        <v>51.610183159456497</v>
      </c>
      <c r="O1795">
        <v>51.110691457308597</v>
      </c>
      <c r="P1795">
        <v>-0.17003981050994499</v>
      </c>
      <c r="Q1795">
        <v>0.123720916566775</v>
      </c>
      <c r="R1795">
        <v>0.997988798100368</v>
      </c>
      <c r="S1795" t="s">
        <v>8441</v>
      </c>
      <c r="T1795" t="s">
        <v>13290</v>
      </c>
      <c r="U1795" t="s">
        <v>13290</v>
      </c>
      <c r="V1795" t="s">
        <v>13290</v>
      </c>
      <c r="W1795" t="s">
        <v>15053</v>
      </c>
      <c r="X1795">
        <v>15</v>
      </c>
      <c r="Y1795" t="s">
        <v>21624</v>
      </c>
      <c r="Z1795" t="s">
        <v>28125</v>
      </c>
      <c r="AA1795">
        <v>0.45519953976249961</v>
      </c>
      <c r="AB1795" t="str">
        <f>HYPERLINK("Melting_Curves/meltCurve_O94855_SEC24D.pdf", "Melting_Curves/meltCurve_O94855_SEC24D.pdf")</f>
        <v>Melting_Curves/meltCurve_O94855_SEC24D.pdf</v>
      </c>
    </row>
    <row r="1796" spans="1:28" x14ac:dyDescent="0.25">
      <c r="A1796" t="s">
        <v>1800</v>
      </c>
      <c r="B1796">
        <v>0.99252571173614901</v>
      </c>
      <c r="C1796">
        <v>0.97055467819854602</v>
      </c>
      <c r="D1796">
        <v>0.68719895192323399</v>
      </c>
      <c r="E1796">
        <v>0.431119759096383</v>
      </c>
      <c r="F1796">
        <v>0.31373913427681399</v>
      </c>
      <c r="G1796">
        <v>0.21333618522457501</v>
      </c>
      <c r="H1796">
        <v>0.16535332334377001</v>
      </c>
      <c r="I1796">
        <v>0.16003742706919899</v>
      </c>
      <c r="J1796">
        <v>0.15039991317489501</v>
      </c>
      <c r="K1796">
        <v>0.11944801974001799</v>
      </c>
      <c r="L1796">
        <v>856.41918097845098</v>
      </c>
      <c r="M1796">
        <v>17.870791779775299</v>
      </c>
      <c r="N1796">
        <v>48.884715158938903</v>
      </c>
      <c r="O1796">
        <v>47.334856203692397</v>
      </c>
      <c r="P1796">
        <v>-8.0398312239453706E-2</v>
      </c>
      <c r="Q1796">
        <v>0.148230414362131</v>
      </c>
      <c r="R1796">
        <v>0.99119204223999802</v>
      </c>
      <c r="S1796" t="s">
        <v>8442</v>
      </c>
      <c r="T1796" t="s">
        <v>13290</v>
      </c>
      <c r="U1796" t="s">
        <v>13290</v>
      </c>
      <c r="V1796" t="s">
        <v>13290</v>
      </c>
      <c r="W1796" t="s">
        <v>15054</v>
      </c>
      <c r="X1796">
        <v>3</v>
      </c>
      <c r="Y1796" t="s">
        <v>21625</v>
      </c>
      <c r="Z1796" t="s">
        <v>28126</v>
      </c>
      <c r="AA1796">
        <v>0.38855728427931951</v>
      </c>
      <c r="AB1796" t="str">
        <f>HYPERLINK("Melting_Curves/meltCurve_O94864_2_SUPT7L.pdf", "Melting_Curves/meltCurve_O94864_2_SUPT7L.pdf")</f>
        <v>Melting_Curves/meltCurve_O94864_2_SUPT7L.pdf</v>
      </c>
    </row>
    <row r="1797" spans="1:28" x14ac:dyDescent="0.25">
      <c r="A1797" t="s">
        <v>1801</v>
      </c>
      <c r="B1797">
        <v>0.99252571173614901</v>
      </c>
      <c r="C1797">
        <v>0.83320149527791298</v>
      </c>
      <c r="D1797">
        <v>0.49270512968637198</v>
      </c>
      <c r="E1797">
        <v>0.26373107008061902</v>
      </c>
      <c r="F1797">
        <v>0.10592322571333999</v>
      </c>
      <c r="G1797">
        <v>6.4432831710582894E-2</v>
      </c>
      <c r="H1797">
        <v>5.0674313960297597E-2</v>
      </c>
      <c r="I1797">
        <v>5.07049419562981E-2</v>
      </c>
      <c r="J1797">
        <v>7.4389670300529107E-2</v>
      </c>
      <c r="K1797">
        <v>5.2536223753426703E-2</v>
      </c>
      <c r="L1797">
        <v>946.53658896387503</v>
      </c>
      <c r="M1797">
        <v>20.591160946910001</v>
      </c>
      <c r="N1797">
        <v>46.232317912827</v>
      </c>
      <c r="O1797">
        <v>45.541133581061203</v>
      </c>
      <c r="P1797">
        <v>-0.106764769517447</v>
      </c>
      <c r="Q1797">
        <v>5.5507816048915803E-2</v>
      </c>
      <c r="R1797">
        <v>0.99625407186688597</v>
      </c>
      <c r="S1797" t="s">
        <v>8443</v>
      </c>
      <c r="T1797" t="s">
        <v>13290</v>
      </c>
      <c r="U1797" t="s">
        <v>13290</v>
      </c>
      <c r="V1797" t="s">
        <v>13290</v>
      </c>
      <c r="W1797" t="s">
        <v>15055</v>
      </c>
      <c r="X1797">
        <v>27</v>
      </c>
      <c r="Y1797" t="s">
        <v>21626</v>
      </c>
      <c r="Z1797" t="s">
        <v>28127</v>
      </c>
      <c r="AA1797">
        <v>0.25708900925532469</v>
      </c>
      <c r="AB1797" t="str">
        <f>HYPERLINK("Melting_Curves/meltCurve_O94874_UFL1.pdf", "Melting_Curves/meltCurve_O94874_UFL1.pdf")</f>
        <v>Melting_Curves/meltCurve_O94874_UFL1.pdf</v>
      </c>
    </row>
    <row r="1798" spans="1:28" x14ac:dyDescent="0.25">
      <c r="A1798" t="s">
        <v>1802</v>
      </c>
      <c r="B1798">
        <v>0.99252571173614901</v>
      </c>
      <c r="C1798">
        <v>1.02187221696847</v>
      </c>
      <c r="D1798">
        <v>0.83430853492777501</v>
      </c>
      <c r="E1798">
        <v>0.722828044574088</v>
      </c>
      <c r="F1798">
        <v>0.51122265198226602</v>
      </c>
      <c r="G1798">
        <v>0.296380521958655</v>
      </c>
      <c r="H1798">
        <v>0.29340370104019098</v>
      </c>
      <c r="I1798">
        <v>0.32777347382690603</v>
      </c>
      <c r="J1798">
        <v>0.44016116949627399</v>
      </c>
      <c r="K1798">
        <v>0.452275898912882</v>
      </c>
      <c r="L1798">
        <v>1106.4689400176601</v>
      </c>
      <c r="M1798">
        <v>22.2770543053818</v>
      </c>
      <c r="N1798">
        <v>52.672015198902102</v>
      </c>
      <c r="O1798">
        <v>49.273506893619299</v>
      </c>
      <c r="P1798">
        <v>-7.2381669871364504E-2</v>
      </c>
      <c r="Q1798">
        <v>0.35962396213245501</v>
      </c>
      <c r="R1798">
        <v>0.94233539686665502</v>
      </c>
      <c r="S1798" t="s">
        <v>8444</v>
      </c>
      <c r="T1798" t="s">
        <v>13290</v>
      </c>
      <c r="U1798" t="s">
        <v>13290</v>
      </c>
      <c r="V1798" t="s">
        <v>13290</v>
      </c>
      <c r="W1798" t="s">
        <v>15056</v>
      </c>
      <c r="X1798">
        <v>12</v>
      </c>
      <c r="Y1798" t="s">
        <v>21627</v>
      </c>
      <c r="Z1798" t="s">
        <v>28128</v>
      </c>
      <c r="AA1798">
        <v>0.57320800678924566</v>
      </c>
      <c r="AB1798" t="str">
        <f>HYPERLINK("Melting_Curves/meltCurve_O94875_12_SORBS2.pdf", "Melting_Curves/meltCurve_O94875_12_SORBS2.pdf")</f>
        <v>Melting_Curves/meltCurve_O94875_12_SORBS2.pdf</v>
      </c>
    </row>
    <row r="1799" spans="1:28" x14ac:dyDescent="0.25">
      <c r="A1799" t="s">
        <v>1803</v>
      </c>
      <c r="B1799">
        <v>0.99252571173614901</v>
      </c>
      <c r="C1799">
        <v>0.90199491056650205</v>
      </c>
      <c r="D1799">
        <v>0.92202467405210597</v>
      </c>
      <c r="E1799">
        <v>0.91839772794269303</v>
      </c>
      <c r="F1799">
        <v>0.53227377030311096</v>
      </c>
      <c r="G1799">
        <v>0.38276334866601502</v>
      </c>
      <c r="H1799">
        <v>0.30554230017138301</v>
      </c>
      <c r="I1799">
        <v>0.34179920675569803</v>
      </c>
      <c r="J1799">
        <v>0.44904786944139802</v>
      </c>
      <c r="K1799">
        <v>0.39211488432367603</v>
      </c>
      <c r="L1799">
        <v>2130.9801040402699</v>
      </c>
      <c r="M1799">
        <v>41.125377043115698</v>
      </c>
      <c r="N1799">
        <v>53.579604987914202</v>
      </c>
      <c r="O1799">
        <v>51.694603283927698</v>
      </c>
      <c r="P1799">
        <v>-0.12514187956907999</v>
      </c>
      <c r="Q1799">
        <v>0.37078775626640997</v>
      </c>
      <c r="R1799">
        <v>0.96232839630965605</v>
      </c>
      <c r="S1799" t="s">
        <v>8445</v>
      </c>
      <c r="T1799" t="s">
        <v>13290</v>
      </c>
      <c r="U1799" t="s">
        <v>13290</v>
      </c>
      <c r="V1799" t="s">
        <v>13290</v>
      </c>
      <c r="W1799" t="s">
        <v>15057</v>
      </c>
      <c r="X1799">
        <v>2</v>
      </c>
      <c r="Y1799" t="s">
        <v>21628</v>
      </c>
      <c r="Z1799" t="s">
        <v>28129</v>
      </c>
      <c r="AA1799">
        <v>0.62075803442141575</v>
      </c>
      <c r="AB1799" t="str">
        <f>HYPERLINK("Melting_Curves/meltCurve_O94876_TMCC1.pdf", "Melting_Curves/meltCurve_O94876_TMCC1.pdf")</f>
        <v>Melting_Curves/meltCurve_O94876_TMCC1.pdf</v>
      </c>
    </row>
    <row r="1800" spans="1:28" x14ac:dyDescent="0.25">
      <c r="A1800" t="s">
        <v>1804</v>
      </c>
      <c r="B1800">
        <v>0.99252571173614901</v>
      </c>
      <c r="C1800">
        <v>0.99223221339411005</v>
      </c>
      <c r="D1800">
        <v>0.83087056031217399</v>
      </c>
      <c r="E1800">
        <v>0.69740077374185205</v>
      </c>
      <c r="F1800">
        <v>0.516609787803611</v>
      </c>
      <c r="G1800">
        <v>0.279440758498333</v>
      </c>
      <c r="H1800">
        <v>0.25650566231195598</v>
      </c>
      <c r="I1800">
        <v>0.26040341247322302</v>
      </c>
      <c r="J1800">
        <v>0.44585754345749901</v>
      </c>
      <c r="K1800">
        <v>0.46099507292990499</v>
      </c>
      <c r="L1800">
        <v>1041.20441282808</v>
      </c>
      <c r="M1800">
        <v>21.011608920614499</v>
      </c>
      <c r="N1800">
        <v>52.375316099510798</v>
      </c>
      <c r="O1800">
        <v>49.111444840907097</v>
      </c>
      <c r="P1800">
        <v>-7.0723583086835906E-2</v>
      </c>
      <c r="Q1800">
        <v>0.338794936660757</v>
      </c>
      <c r="R1800">
        <v>0.92056966020741904</v>
      </c>
      <c r="S1800" t="s">
        <v>8446</v>
      </c>
      <c r="T1800" t="s">
        <v>13290</v>
      </c>
      <c r="U1800" t="s">
        <v>13290</v>
      </c>
      <c r="V1800" t="s">
        <v>13290</v>
      </c>
      <c r="W1800" t="s">
        <v>15058</v>
      </c>
      <c r="X1800">
        <v>4</v>
      </c>
      <c r="Y1800" t="s">
        <v>21629</v>
      </c>
      <c r="Z1800" t="s">
        <v>28130</v>
      </c>
      <c r="AA1800">
        <v>0.55772109822456317</v>
      </c>
      <c r="AB1800" t="str">
        <f>HYPERLINK("Melting_Curves/meltCurve_O94880_PHF14.pdf", "Melting_Curves/meltCurve_O94880_PHF14.pdf")</f>
        <v>Melting_Curves/meltCurve_O94880_PHF14.pdf</v>
      </c>
    </row>
    <row r="1801" spans="1:28" x14ac:dyDescent="0.25">
      <c r="A1801" t="s">
        <v>1805</v>
      </c>
      <c r="B1801">
        <v>0.99252571173614901</v>
      </c>
      <c r="C1801">
        <v>0.88258831719593001</v>
      </c>
      <c r="D1801">
        <v>0.78924759433972902</v>
      </c>
      <c r="E1801">
        <v>0.72866429757338202</v>
      </c>
      <c r="F1801">
        <v>0.57456032577798699</v>
      </c>
      <c r="G1801">
        <v>0.44357380693395398</v>
      </c>
      <c r="H1801">
        <v>0.44231852778666098</v>
      </c>
      <c r="I1801">
        <v>0.422874837343506</v>
      </c>
      <c r="J1801">
        <v>0.513836455651422</v>
      </c>
      <c r="K1801">
        <v>0.60196709249009495</v>
      </c>
      <c r="L1801">
        <v>727.04688876347598</v>
      </c>
      <c r="M1801">
        <v>15.248609832589199</v>
      </c>
      <c r="N1801">
        <v>59.859176023977199</v>
      </c>
      <c r="O1801">
        <v>46.882096798418203</v>
      </c>
      <c r="P1801">
        <v>-4.2487529855171298E-2</v>
      </c>
      <c r="Q1801">
        <v>0.47753511314080099</v>
      </c>
      <c r="R1801">
        <v>0.90365421576870497</v>
      </c>
      <c r="S1801" t="s">
        <v>8447</v>
      </c>
      <c r="T1801" t="s">
        <v>13290</v>
      </c>
      <c r="U1801" t="s">
        <v>13290</v>
      </c>
      <c r="V1801" t="s">
        <v>13290</v>
      </c>
      <c r="W1801" t="s">
        <v>15059</v>
      </c>
      <c r="X1801">
        <v>4</v>
      </c>
      <c r="Y1801" t="s">
        <v>21629</v>
      </c>
      <c r="Z1801" t="s">
        <v>28131</v>
      </c>
      <c r="AA1801">
        <v>0.62449231276171091</v>
      </c>
      <c r="AB1801" t="str">
        <f>HYPERLINK("Melting_Curves/meltCurve_O94880_2_PHF14.pdf", "Melting_Curves/meltCurve_O94880_2_PHF14.pdf")</f>
        <v>Melting_Curves/meltCurve_O94880_2_PHF14.pdf</v>
      </c>
    </row>
    <row r="1802" spans="1:28" x14ac:dyDescent="0.25">
      <c r="A1802" t="s">
        <v>1806</v>
      </c>
      <c r="B1802">
        <v>0.99252571173614901</v>
      </c>
      <c r="C1802">
        <v>0.89364596192604795</v>
      </c>
      <c r="D1802">
        <v>0.84010958546685499</v>
      </c>
      <c r="E1802">
        <v>0.67296095072721696</v>
      </c>
      <c r="F1802">
        <v>0.61353197324255804</v>
      </c>
      <c r="G1802">
        <v>0.315314123035076</v>
      </c>
      <c r="H1802">
        <v>0.23613324140822001</v>
      </c>
      <c r="I1802">
        <v>0.204453025848681</v>
      </c>
      <c r="J1802">
        <v>0.24934368120594699</v>
      </c>
      <c r="K1802">
        <v>0.17987758022209299</v>
      </c>
      <c r="L1802">
        <v>602.47794570230701</v>
      </c>
      <c r="M1802">
        <v>11.5533378538117</v>
      </c>
      <c r="N1802">
        <v>53.598439662712401</v>
      </c>
      <c r="O1802">
        <v>50.658630129198301</v>
      </c>
      <c r="P1802">
        <v>-4.9373158620413297E-2</v>
      </c>
      <c r="Q1802">
        <v>0.13428360609721801</v>
      </c>
      <c r="R1802">
        <v>0.97796617407989594</v>
      </c>
      <c r="S1802" t="s">
        <v>8448</v>
      </c>
      <c r="T1802" t="s">
        <v>13290</v>
      </c>
      <c r="U1802" t="s">
        <v>13290</v>
      </c>
      <c r="V1802" t="s">
        <v>13290</v>
      </c>
      <c r="W1802" t="s">
        <v>15060</v>
      </c>
      <c r="X1802">
        <v>1</v>
      </c>
      <c r="Y1802" t="s">
        <v>21630</v>
      </c>
      <c r="Z1802" t="s">
        <v>28132</v>
      </c>
      <c r="AA1802">
        <v>0.51231968828669516</v>
      </c>
      <c r="AB1802" t="str">
        <f>HYPERLINK("Melting_Curves/meltCurve_O94886_TMEM63A.pdf", "Melting_Curves/meltCurve_O94886_TMEM63A.pdf")</f>
        <v>Melting_Curves/meltCurve_O94886_TMEM63A.pdf</v>
      </c>
    </row>
    <row r="1803" spans="1:28" x14ac:dyDescent="0.25">
      <c r="A1803" t="s">
        <v>1807</v>
      </c>
      <c r="B1803">
        <v>0.99252571173614901</v>
      </c>
      <c r="C1803">
        <v>1.0715295585273401</v>
      </c>
      <c r="D1803">
        <v>0.91139098007337405</v>
      </c>
      <c r="E1803">
        <v>0.66115642410144804</v>
      </c>
      <c r="F1803">
        <v>0.32149395209141102</v>
      </c>
      <c r="G1803">
        <v>0.140350092258267</v>
      </c>
      <c r="H1803">
        <v>8.9742178399396799E-2</v>
      </c>
      <c r="I1803">
        <v>7.6109692660464898E-2</v>
      </c>
      <c r="J1803">
        <v>9.3101752061085202E-2</v>
      </c>
      <c r="K1803">
        <v>9.9317616948564405E-2</v>
      </c>
      <c r="L1803">
        <v>1225.58043607695</v>
      </c>
      <c r="M1803">
        <v>24.151305218733398</v>
      </c>
      <c r="N1803">
        <v>51.129915291984403</v>
      </c>
      <c r="O1803">
        <v>50.401854803560703</v>
      </c>
      <c r="P1803">
        <v>-0.109859821100036</v>
      </c>
      <c r="Q1803">
        <v>8.2939274663692206E-2</v>
      </c>
      <c r="R1803">
        <v>0.99493241333646898</v>
      </c>
      <c r="S1803" t="s">
        <v>8449</v>
      </c>
      <c r="T1803" t="s">
        <v>13290</v>
      </c>
      <c r="U1803" t="s">
        <v>13290</v>
      </c>
      <c r="V1803" t="s">
        <v>13290</v>
      </c>
      <c r="W1803" t="s">
        <v>15061</v>
      </c>
      <c r="X1803">
        <v>16</v>
      </c>
      <c r="Y1803" t="s">
        <v>21631</v>
      </c>
      <c r="Z1803" t="s">
        <v>28133</v>
      </c>
      <c r="AA1803">
        <v>0.42027282078765882</v>
      </c>
      <c r="AB1803" t="str">
        <f>HYPERLINK("Melting_Curves/meltCurve_O94888_UBXN7.pdf", "Melting_Curves/meltCurve_O94888_UBXN7.pdf")</f>
        <v>Melting_Curves/meltCurve_O94888_UBXN7.pdf</v>
      </c>
    </row>
    <row r="1804" spans="1:28" x14ac:dyDescent="0.25">
      <c r="A1804" t="s">
        <v>1808</v>
      </c>
      <c r="B1804">
        <v>0.99252571173614901</v>
      </c>
      <c r="C1804">
        <v>1.09156083595586</v>
      </c>
      <c r="D1804">
        <v>0.80955737066898503</v>
      </c>
      <c r="E1804">
        <v>0.44470277649775403</v>
      </c>
      <c r="F1804">
        <v>0.21348116220150801</v>
      </c>
      <c r="G1804">
        <v>0.121339616941956</v>
      </c>
      <c r="H1804">
        <v>9.0905680934266903E-2</v>
      </c>
      <c r="I1804">
        <v>0.107690696294337</v>
      </c>
      <c r="J1804">
        <v>0.11996996104714699</v>
      </c>
      <c r="K1804">
        <v>0.12598197608702499</v>
      </c>
      <c r="L1804">
        <v>1309.22966812559</v>
      </c>
      <c r="M1804">
        <v>26.9183554699895</v>
      </c>
      <c r="N1804">
        <v>49.099241065918697</v>
      </c>
      <c r="O1804">
        <v>48.371036654356097</v>
      </c>
      <c r="P1804">
        <v>-0.12355530057613801</v>
      </c>
      <c r="Q1804">
        <v>0.11191675290311601</v>
      </c>
      <c r="R1804">
        <v>0.98899814508948003</v>
      </c>
      <c r="S1804" t="s">
        <v>8450</v>
      </c>
      <c r="T1804" t="s">
        <v>13290</v>
      </c>
      <c r="U1804" t="s">
        <v>13290</v>
      </c>
      <c r="V1804" t="s">
        <v>13290</v>
      </c>
      <c r="W1804" t="s">
        <v>15062</v>
      </c>
      <c r="X1804">
        <v>12</v>
      </c>
      <c r="Y1804" t="s">
        <v>21632</v>
      </c>
      <c r="Z1804" t="s">
        <v>28134</v>
      </c>
      <c r="AA1804">
        <v>0.3743333559724541</v>
      </c>
      <c r="AB1804" t="str">
        <f>HYPERLINK("Melting_Curves/meltCurve_O94903_PROSC.pdf", "Melting_Curves/meltCurve_O94903_PROSC.pdf")</f>
        <v>Melting_Curves/meltCurve_O94903_PROSC.pdf</v>
      </c>
    </row>
    <row r="1805" spans="1:28" x14ac:dyDescent="0.25">
      <c r="A1805" t="s">
        <v>1809</v>
      </c>
      <c r="B1805">
        <v>0.99252571173614901</v>
      </c>
      <c r="C1805">
        <v>0.70259196591029105</v>
      </c>
      <c r="D1805">
        <v>0.64229637178452903</v>
      </c>
      <c r="E1805">
        <v>0.44887867253118202</v>
      </c>
      <c r="F1805">
        <v>0.59962668578510403</v>
      </c>
      <c r="G1805">
        <v>0.48144379633553402</v>
      </c>
      <c r="H1805">
        <v>0.44771020707288101</v>
      </c>
      <c r="I1805">
        <v>0.55322134469657602</v>
      </c>
      <c r="J1805">
        <v>0.80362047178221796</v>
      </c>
      <c r="K1805">
        <v>1.0704171683104999</v>
      </c>
      <c r="L1805">
        <v>3083.76848195814</v>
      </c>
      <c r="M1805">
        <v>73.300430177370501</v>
      </c>
      <c r="O1805">
        <v>42.038987246657697</v>
      </c>
      <c r="P1805">
        <v>-0.160940389715413</v>
      </c>
      <c r="Q1805">
        <v>0.63079239346191895</v>
      </c>
      <c r="R1805">
        <v>0.26849657842742602</v>
      </c>
      <c r="S1805" t="s">
        <v>8451</v>
      </c>
      <c r="T1805" t="s">
        <v>13290</v>
      </c>
      <c r="U1805" t="s">
        <v>13290</v>
      </c>
      <c r="V1805" t="s">
        <v>13290</v>
      </c>
      <c r="W1805" t="s">
        <v>15063</v>
      </c>
      <c r="X1805">
        <v>2</v>
      </c>
      <c r="Y1805" t="s">
        <v>21633</v>
      </c>
      <c r="Z1805" t="s">
        <v>28135</v>
      </c>
      <c r="AA1805">
        <v>0.65672738824151977</v>
      </c>
      <c r="AB1805" t="str">
        <f>HYPERLINK("Melting_Curves/meltCurve_O94906_2_PRPF6.pdf", "Melting_Curves/meltCurve_O94906_2_PRPF6.pdf")</f>
        <v>Melting_Curves/meltCurve_O94906_2_PRPF6.pdf</v>
      </c>
    </row>
    <row r="1806" spans="1:28" x14ac:dyDescent="0.25">
      <c r="A1806" t="s">
        <v>1810</v>
      </c>
      <c r="B1806">
        <v>0.99252571173614901</v>
      </c>
      <c r="C1806">
        <v>1.1396884088042301</v>
      </c>
      <c r="D1806">
        <v>1.0347469068474999</v>
      </c>
      <c r="E1806">
        <v>1.1871810458868</v>
      </c>
      <c r="F1806">
        <v>0.78545631425471496</v>
      </c>
      <c r="G1806">
        <v>0.56870605955671305</v>
      </c>
      <c r="H1806">
        <v>0.58250110922100695</v>
      </c>
      <c r="I1806">
        <v>0.87360938175330005</v>
      </c>
      <c r="J1806">
        <v>1.22476330424875</v>
      </c>
      <c r="K1806">
        <v>1.1477243618568</v>
      </c>
      <c r="L1806">
        <v>3540.4778314267801</v>
      </c>
      <c r="M1806">
        <v>53.279267637171998</v>
      </c>
      <c r="O1806">
        <v>66.357898812089005</v>
      </c>
      <c r="P1806">
        <v>4.0837123502374402E-2</v>
      </c>
      <c r="Q1806">
        <v>1.20344605449846</v>
      </c>
      <c r="R1806">
        <v>6.0277090841018198E-2</v>
      </c>
      <c r="S1806" t="s">
        <v>8452</v>
      </c>
      <c r="T1806" t="s">
        <v>13290</v>
      </c>
      <c r="U1806" t="s">
        <v>13290</v>
      </c>
      <c r="V1806" t="s">
        <v>13290</v>
      </c>
      <c r="W1806" t="s">
        <v>15064</v>
      </c>
      <c r="X1806">
        <v>1</v>
      </c>
      <c r="Y1806" t="s">
        <v>21634</v>
      </c>
      <c r="Z1806" t="s">
        <v>28136</v>
      </c>
      <c r="AA1806">
        <v>1.024176618422717</v>
      </c>
      <c r="AB1806" t="str">
        <f>HYPERLINK("Melting_Curves/meltCurve_O94907_DKK1.pdf", "Melting_Curves/meltCurve_O94907_DKK1.pdf")</f>
        <v>Melting_Curves/meltCurve_O94907_DKK1.pdf</v>
      </c>
    </row>
    <row r="1807" spans="1:28" x14ac:dyDescent="0.25">
      <c r="A1807" t="s">
        <v>1811</v>
      </c>
      <c r="B1807">
        <v>0.99252571173614901</v>
      </c>
      <c r="C1807">
        <v>0.814545954677238</v>
      </c>
      <c r="D1807">
        <v>0.47780032047875698</v>
      </c>
      <c r="E1807">
        <v>0.34163729080338501</v>
      </c>
      <c r="F1807">
        <v>0.25624017476562599</v>
      </c>
      <c r="G1807">
        <v>0.17147004819733999</v>
      </c>
      <c r="H1807">
        <v>0.13692441304597999</v>
      </c>
      <c r="I1807">
        <v>0.116023952200384</v>
      </c>
      <c r="J1807">
        <v>0.12014943832907</v>
      </c>
      <c r="K1807">
        <v>0.119730289555707</v>
      </c>
      <c r="L1807">
        <v>798.89421436136399</v>
      </c>
      <c r="M1807">
        <v>17.460988462285702</v>
      </c>
      <c r="N1807">
        <v>46.573898023293403</v>
      </c>
      <c r="O1807">
        <v>45.165630983666503</v>
      </c>
      <c r="P1807">
        <v>-8.3854157980797595E-2</v>
      </c>
      <c r="Q1807">
        <v>0.13243965080714901</v>
      </c>
      <c r="R1807">
        <v>0.98486487838793602</v>
      </c>
      <c r="S1807" t="s">
        <v>8453</v>
      </c>
      <c r="T1807" t="s">
        <v>13290</v>
      </c>
      <c r="U1807" t="s">
        <v>13290</v>
      </c>
      <c r="V1807" t="s">
        <v>13290</v>
      </c>
      <c r="W1807" t="s">
        <v>15065</v>
      </c>
      <c r="X1807">
        <v>13</v>
      </c>
      <c r="Y1807" t="s">
        <v>21635</v>
      </c>
      <c r="Z1807" t="s">
        <v>28137</v>
      </c>
      <c r="AA1807">
        <v>0.31741244011345898</v>
      </c>
      <c r="AB1807" t="str">
        <f>HYPERLINK("Melting_Curves/meltCurve_O94913_PCF11.pdf", "Melting_Curves/meltCurve_O94913_PCF11.pdf")</f>
        <v>Melting_Curves/meltCurve_O94913_PCF11.pdf</v>
      </c>
    </row>
    <row r="1808" spans="1:28" x14ac:dyDescent="0.25">
      <c r="A1808" t="s">
        <v>1812</v>
      </c>
      <c r="B1808">
        <v>0.99252571173614901</v>
      </c>
      <c r="C1808">
        <v>0.82875261900339203</v>
      </c>
      <c r="D1808">
        <v>0.57253004372819805</v>
      </c>
      <c r="E1808">
        <v>0.32711225420557299</v>
      </c>
      <c r="F1808">
        <v>0.17033749088463601</v>
      </c>
      <c r="G1808">
        <v>0.11950316622301201</v>
      </c>
      <c r="H1808">
        <v>0.11242347953055</v>
      </c>
      <c r="I1808">
        <v>0.138310171967375</v>
      </c>
      <c r="J1808">
        <v>0.17035676255395901</v>
      </c>
      <c r="K1808">
        <v>0.213374734623206</v>
      </c>
      <c r="L1808">
        <v>967.18229998111804</v>
      </c>
      <c r="M1808">
        <v>21.020221697809198</v>
      </c>
      <c r="N1808">
        <v>46.779131456157003</v>
      </c>
      <c r="O1808">
        <v>45.601629004625401</v>
      </c>
      <c r="P1808">
        <v>-9.84405366858431E-2</v>
      </c>
      <c r="Q1808">
        <v>0.14578845362807399</v>
      </c>
      <c r="R1808">
        <v>0.98841681856373498</v>
      </c>
      <c r="S1808" t="s">
        <v>8454</v>
      </c>
      <c r="T1808" t="s">
        <v>13290</v>
      </c>
      <c r="U1808" t="s">
        <v>13290</v>
      </c>
      <c r="V1808" t="s">
        <v>13290</v>
      </c>
      <c r="W1808" t="s">
        <v>15066</v>
      </c>
      <c r="X1808">
        <v>3</v>
      </c>
      <c r="Y1808" t="s">
        <v>21636</v>
      </c>
      <c r="Z1808" t="s">
        <v>28138</v>
      </c>
      <c r="AA1808">
        <v>0.32874178250475888</v>
      </c>
      <c r="AB1808" t="str">
        <f>HYPERLINK("Melting_Curves/meltCurve_O94916_2_NFAT5.pdf", "Melting_Curves/meltCurve_O94916_2_NFAT5.pdf")</f>
        <v>Melting_Curves/meltCurve_O94916_2_NFAT5.pdf</v>
      </c>
    </row>
    <row r="1809" spans="1:28" x14ac:dyDescent="0.25">
      <c r="A1809" t="s">
        <v>1813</v>
      </c>
      <c r="B1809">
        <v>0.99252571173614901</v>
      </c>
      <c r="C1809">
        <v>0.93389751042025004</v>
      </c>
      <c r="D1809">
        <v>0.88298490460313805</v>
      </c>
      <c r="E1809">
        <v>0.71220377391243195</v>
      </c>
      <c r="F1809">
        <v>0.58099683762950804</v>
      </c>
      <c r="G1809">
        <v>0.37668095062865198</v>
      </c>
      <c r="H1809">
        <v>0.197834110603618</v>
      </c>
      <c r="I1809">
        <v>0.14091501550611599</v>
      </c>
      <c r="J1809">
        <v>0.12761060126475701</v>
      </c>
      <c r="K1809">
        <v>0.138999962685601</v>
      </c>
      <c r="L1809">
        <v>647.44653517116296</v>
      </c>
      <c r="M1809">
        <v>12.1026555767191</v>
      </c>
      <c r="N1809">
        <v>53.993259434691403</v>
      </c>
      <c r="O1809">
        <v>52.098523029394499</v>
      </c>
      <c r="P1809">
        <v>-5.5027356569851499E-2</v>
      </c>
      <c r="Q1809">
        <v>5.2711870499438603E-2</v>
      </c>
      <c r="R1809">
        <v>0.994944650256253</v>
      </c>
      <c r="S1809" t="s">
        <v>8455</v>
      </c>
      <c r="T1809" t="s">
        <v>13290</v>
      </c>
      <c r="U1809" t="s">
        <v>13290</v>
      </c>
      <c r="V1809" t="s">
        <v>13290</v>
      </c>
      <c r="W1809" t="s">
        <v>15067</v>
      </c>
      <c r="X1809">
        <v>1</v>
      </c>
      <c r="Y1809" t="s">
        <v>21637</v>
      </c>
      <c r="Z1809" t="s">
        <v>28139</v>
      </c>
      <c r="AA1809">
        <v>0.50454204683402604</v>
      </c>
      <c r="AB1809" t="str">
        <f>HYPERLINK("Melting_Curves/meltCurve_O94919_ENDOD1.pdf", "Melting_Curves/meltCurve_O94919_ENDOD1.pdf")</f>
        <v>Melting_Curves/meltCurve_O94919_ENDOD1.pdf</v>
      </c>
    </row>
    <row r="1810" spans="1:28" x14ac:dyDescent="0.25">
      <c r="A1810" t="s">
        <v>1814</v>
      </c>
      <c r="B1810">
        <v>0.99252571173614901</v>
      </c>
      <c r="C1810">
        <v>0.90357382940863995</v>
      </c>
      <c r="D1810">
        <v>0.88874488711329502</v>
      </c>
      <c r="E1810">
        <v>0.56989433516918797</v>
      </c>
      <c r="F1810">
        <v>0.15621396377095401</v>
      </c>
      <c r="G1810">
        <v>9.4520426351381401E-2</v>
      </c>
      <c r="H1810">
        <v>6.2004097767544897E-2</v>
      </c>
      <c r="I1810">
        <v>5.9238520242329298E-2</v>
      </c>
      <c r="J1810">
        <v>6.21266420016705E-2</v>
      </c>
      <c r="K1810">
        <v>6.5137838027348599E-2</v>
      </c>
      <c r="L1810">
        <v>1339.7441452604801</v>
      </c>
      <c r="M1810">
        <v>26.9507458674763</v>
      </c>
      <c r="N1810">
        <v>49.930586474615502</v>
      </c>
      <c r="O1810">
        <v>49.4395482165571</v>
      </c>
      <c r="P1810">
        <v>-0.12866117122194901</v>
      </c>
      <c r="Q1810">
        <v>5.5923900545773203E-2</v>
      </c>
      <c r="R1810">
        <v>0.993540241651377</v>
      </c>
      <c r="S1810" t="s">
        <v>8456</v>
      </c>
      <c r="T1810" t="s">
        <v>13290</v>
      </c>
      <c r="U1810" t="s">
        <v>13290</v>
      </c>
      <c r="V1810" t="s">
        <v>13290</v>
      </c>
      <c r="W1810" t="s">
        <v>15068</v>
      </c>
      <c r="X1810">
        <v>26</v>
      </c>
      <c r="Y1810" t="s">
        <v>21638</v>
      </c>
      <c r="Z1810" t="s">
        <v>28140</v>
      </c>
      <c r="AA1810">
        <v>0.3687415312758871</v>
      </c>
      <c r="AB1810" t="str">
        <f>HYPERLINK("Melting_Curves/meltCurve_O94925_GLS.pdf", "Melting_Curves/meltCurve_O94925_GLS.pdf")</f>
        <v>Melting_Curves/meltCurve_O94925_GLS.pdf</v>
      </c>
    </row>
    <row r="1811" spans="1:28" x14ac:dyDescent="0.25">
      <c r="A1811" t="s">
        <v>1815</v>
      </c>
      <c r="B1811">
        <v>0.99252571173614901</v>
      </c>
      <c r="C1811">
        <v>0.96706964102728499</v>
      </c>
      <c r="D1811">
        <v>0.91898656277466095</v>
      </c>
      <c r="E1811">
        <v>0.56964023771147998</v>
      </c>
      <c r="F1811">
        <v>0.25964142013083502</v>
      </c>
      <c r="G1811">
        <v>0.171080445034028</v>
      </c>
      <c r="H1811">
        <v>0.12564430643791899</v>
      </c>
      <c r="I1811">
        <v>0.13969533033767101</v>
      </c>
      <c r="J1811">
        <v>0.12745658919300401</v>
      </c>
      <c r="K1811">
        <v>0.1081530142056</v>
      </c>
      <c r="L1811">
        <v>1295.9498445326501</v>
      </c>
      <c r="M1811">
        <v>26.067833590764501</v>
      </c>
      <c r="N1811">
        <v>50.270174533232897</v>
      </c>
      <c r="O1811">
        <v>49.424696768053302</v>
      </c>
      <c r="P1811">
        <v>-0.11535273697027799</v>
      </c>
      <c r="Q1811">
        <v>0.12517291125382199</v>
      </c>
      <c r="R1811">
        <v>0.99901273451744799</v>
      </c>
      <c r="S1811" t="s">
        <v>8457</v>
      </c>
      <c r="T1811" t="s">
        <v>13290</v>
      </c>
      <c r="U1811" t="s">
        <v>13290</v>
      </c>
      <c r="V1811" t="s">
        <v>13290</v>
      </c>
      <c r="W1811" t="s">
        <v>15069</v>
      </c>
      <c r="X1811">
        <v>26</v>
      </c>
      <c r="Y1811" t="s">
        <v>21638</v>
      </c>
      <c r="Z1811" t="s">
        <v>28141</v>
      </c>
      <c r="AA1811">
        <v>0.41562075437601581</v>
      </c>
      <c r="AB1811" t="str">
        <f>HYPERLINK("Melting_Curves/meltCurve_O94925_3_GLS.pdf", "Melting_Curves/meltCurve_O94925_3_GLS.pdf")</f>
        <v>Melting_Curves/meltCurve_O94925_3_GLS.pdf</v>
      </c>
    </row>
    <row r="1812" spans="1:28" x14ac:dyDescent="0.25">
      <c r="A1812" t="s">
        <v>1816</v>
      </c>
      <c r="B1812">
        <v>0.99252571173614901</v>
      </c>
      <c r="C1812">
        <v>0.96785893422325597</v>
      </c>
      <c r="D1812">
        <v>0.90815128735294703</v>
      </c>
      <c r="E1812">
        <v>0.70402867152366899</v>
      </c>
      <c r="F1812">
        <v>0.18349779030272401</v>
      </c>
      <c r="G1812">
        <v>9.8133873253594905E-2</v>
      </c>
      <c r="H1812">
        <v>7.1545714242570099E-2</v>
      </c>
      <c r="I1812">
        <v>7.7593577331881505E-2</v>
      </c>
      <c r="J1812">
        <v>9.5380745455897406E-2</v>
      </c>
      <c r="K1812">
        <v>9.9126371832714E-2</v>
      </c>
      <c r="L1812">
        <v>1876.2332743956099</v>
      </c>
      <c r="M1812">
        <v>37.169738998033303</v>
      </c>
      <c r="N1812">
        <v>50.724066553625498</v>
      </c>
      <c r="O1812">
        <v>50.332008271757203</v>
      </c>
      <c r="P1812">
        <v>-0.169361058277334</v>
      </c>
      <c r="Q1812">
        <v>8.2667021343974106E-2</v>
      </c>
      <c r="R1812">
        <v>0.99558126743388398</v>
      </c>
      <c r="S1812" t="s">
        <v>8458</v>
      </c>
      <c r="T1812" t="s">
        <v>13290</v>
      </c>
      <c r="U1812" t="s">
        <v>13290</v>
      </c>
      <c r="V1812" t="s">
        <v>13290</v>
      </c>
      <c r="W1812" t="s">
        <v>15070</v>
      </c>
      <c r="X1812">
        <v>21</v>
      </c>
      <c r="Y1812" t="s">
        <v>21639</v>
      </c>
      <c r="Z1812" t="s">
        <v>28142</v>
      </c>
      <c r="AA1812">
        <v>0.4067554944084843</v>
      </c>
      <c r="AB1812" t="str">
        <f>HYPERLINK("Melting_Curves/meltCurve_O94966_7_USP19.pdf", "Melting_Curves/meltCurve_O94966_7_USP19.pdf")</f>
        <v>Melting_Curves/meltCurve_O94966_7_USP19.pdf</v>
      </c>
    </row>
    <row r="1813" spans="1:28" x14ac:dyDescent="0.25">
      <c r="A1813" t="s">
        <v>1817</v>
      </c>
      <c r="B1813">
        <v>0.99252571173614901</v>
      </c>
      <c r="C1813">
        <v>1.0200838421443901</v>
      </c>
      <c r="D1813">
        <v>1.02083999332376</v>
      </c>
      <c r="E1813">
        <v>0.92533819682510099</v>
      </c>
      <c r="F1813">
        <v>0.48742870943571298</v>
      </c>
      <c r="G1813">
        <v>0.22108516634816699</v>
      </c>
      <c r="H1813">
        <v>0.22130634314572001</v>
      </c>
      <c r="I1813">
        <v>0.222003097451339</v>
      </c>
      <c r="J1813">
        <v>0.23969730944761899</v>
      </c>
      <c r="K1813">
        <v>0.189135356258751</v>
      </c>
      <c r="L1813">
        <v>2236.0146646661701</v>
      </c>
      <c r="M1813">
        <v>42.687936996889803</v>
      </c>
      <c r="N1813">
        <v>53.072332211951903</v>
      </c>
      <c r="O1813">
        <v>52.265920615100598</v>
      </c>
      <c r="P1813">
        <v>-0.16061556810755301</v>
      </c>
      <c r="Q1813">
        <v>0.21338835306776799</v>
      </c>
      <c r="R1813">
        <v>0.99785124205655396</v>
      </c>
      <c r="S1813" t="s">
        <v>8459</v>
      </c>
      <c r="T1813" t="s">
        <v>13290</v>
      </c>
      <c r="U1813" t="s">
        <v>13290</v>
      </c>
      <c r="V1813" t="s">
        <v>13290</v>
      </c>
      <c r="W1813" t="s">
        <v>15071</v>
      </c>
      <c r="X1813">
        <v>24</v>
      </c>
      <c r="Y1813" t="s">
        <v>21640</v>
      </c>
      <c r="Z1813" t="s">
        <v>28143</v>
      </c>
      <c r="AA1813">
        <v>0.54050678144305309</v>
      </c>
      <c r="AB1813" t="str">
        <f>HYPERLINK("Melting_Curves/meltCurve_O94973_AP2A2.pdf", "Melting_Curves/meltCurve_O94973_AP2A2.pdf")</f>
        <v>Melting_Curves/meltCurve_O94973_AP2A2.pdf</v>
      </c>
    </row>
    <row r="1814" spans="1:28" x14ac:dyDescent="0.25">
      <c r="A1814" t="s">
        <v>1818</v>
      </c>
      <c r="B1814">
        <v>0.99252571173614901</v>
      </c>
      <c r="C1814">
        <v>0.91148190011160601</v>
      </c>
      <c r="D1814">
        <v>1.0252461160433399</v>
      </c>
      <c r="E1814">
        <v>0.93414560091500598</v>
      </c>
      <c r="F1814">
        <v>0.46276766274278203</v>
      </c>
      <c r="G1814">
        <v>0.157708271946641</v>
      </c>
      <c r="H1814">
        <v>9.9077374820909905E-2</v>
      </c>
      <c r="I1814">
        <v>0.100356060216219</v>
      </c>
      <c r="J1814">
        <v>0.111751275091463</v>
      </c>
      <c r="K1814">
        <v>0.10076353255461599</v>
      </c>
      <c r="L1814">
        <v>2120.7014169567501</v>
      </c>
      <c r="M1814">
        <v>40.253802196995203</v>
      </c>
      <c r="N1814">
        <v>52.988255259066698</v>
      </c>
      <c r="O1814">
        <v>52.553736429752803</v>
      </c>
      <c r="P1814">
        <v>-0.17168867746159799</v>
      </c>
      <c r="Q1814">
        <v>0.103402616598139</v>
      </c>
      <c r="R1814">
        <v>0.99452800055843205</v>
      </c>
      <c r="S1814" t="s">
        <v>8460</v>
      </c>
      <c r="T1814" t="s">
        <v>13290</v>
      </c>
      <c r="U1814" t="s">
        <v>13290</v>
      </c>
      <c r="V1814" t="s">
        <v>13290</v>
      </c>
      <c r="W1814" t="s">
        <v>15072</v>
      </c>
      <c r="X1814">
        <v>23</v>
      </c>
      <c r="Y1814" t="s">
        <v>21640</v>
      </c>
      <c r="Z1814" t="s">
        <v>28144</v>
      </c>
      <c r="AA1814">
        <v>0.48568293517171068</v>
      </c>
      <c r="AB1814" t="str">
        <f>HYPERLINK("Melting_Curves/meltCurve_O94973_2_AP2A2.pdf", "Melting_Curves/meltCurve_O94973_2_AP2A2.pdf")</f>
        <v>Melting_Curves/meltCurve_O94973_2_AP2A2.pdf</v>
      </c>
    </row>
    <row r="1815" spans="1:28" x14ac:dyDescent="0.25">
      <c r="A1815" t="s">
        <v>1819</v>
      </c>
      <c r="B1815">
        <v>0.99252571173614901</v>
      </c>
      <c r="C1815">
        <v>1.0260199840355899</v>
      </c>
      <c r="D1815">
        <v>1.0102862750880199</v>
      </c>
      <c r="E1815">
        <v>1.0298988585392399</v>
      </c>
      <c r="F1815">
        <v>0.85549377350678002</v>
      </c>
      <c r="G1815">
        <v>0.75601698500207104</v>
      </c>
      <c r="H1815">
        <v>0.75169635909791099</v>
      </c>
      <c r="I1815">
        <v>1.0883822280923099</v>
      </c>
      <c r="J1815">
        <v>1.63175573585347</v>
      </c>
      <c r="K1815">
        <v>1.8256394943763701</v>
      </c>
      <c r="L1815">
        <v>15000</v>
      </c>
      <c r="M1815">
        <v>232.837701063471</v>
      </c>
      <c r="O1815">
        <v>64.417804033080898</v>
      </c>
      <c r="P1815">
        <v>0.45181162448461798</v>
      </c>
      <c r="Q1815">
        <v>1.5</v>
      </c>
      <c r="R1815">
        <v>0.76534928427466598</v>
      </c>
      <c r="S1815" t="s">
        <v>8461</v>
      </c>
      <c r="T1815" t="s">
        <v>13290</v>
      </c>
      <c r="U1815" t="s">
        <v>13290</v>
      </c>
      <c r="V1815" t="s">
        <v>13290</v>
      </c>
      <c r="W1815" t="s">
        <v>15073</v>
      </c>
      <c r="X1815">
        <v>20</v>
      </c>
      <c r="Y1815" t="s">
        <v>21641</v>
      </c>
      <c r="Z1815" t="s">
        <v>28145</v>
      </c>
      <c r="AA1815">
        <v>1.0928922150427589</v>
      </c>
      <c r="AB1815" t="str">
        <f>HYPERLINK("Melting_Curves/meltCurve_O94992_HEXIM1.pdf", "Melting_Curves/meltCurve_O94992_HEXIM1.pdf")</f>
        <v>Melting_Curves/meltCurve_O94992_HEXIM1.pdf</v>
      </c>
    </row>
    <row r="1816" spans="1:28" x14ac:dyDescent="0.25">
      <c r="A1816" t="s">
        <v>1820</v>
      </c>
      <c r="B1816">
        <v>0.99252571173614901</v>
      </c>
      <c r="C1816">
        <v>0.96961186521254705</v>
      </c>
      <c r="D1816">
        <v>0.954583236604021</v>
      </c>
      <c r="E1816">
        <v>1.2041454117439401</v>
      </c>
      <c r="F1816">
        <v>1.20430630354817</v>
      </c>
      <c r="G1816">
        <v>0.86491144378333995</v>
      </c>
      <c r="H1816">
        <v>0.67168081522423595</v>
      </c>
      <c r="I1816">
        <v>0.51855819561541106</v>
      </c>
      <c r="J1816">
        <v>0.280037947029602</v>
      </c>
      <c r="K1816">
        <v>0.116758094756967</v>
      </c>
      <c r="L1816">
        <v>1289.2230535362601</v>
      </c>
      <c r="M1816">
        <v>20.232723016847501</v>
      </c>
      <c r="N1816">
        <v>63.719701679504098</v>
      </c>
      <c r="O1816">
        <v>63.107016980747701</v>
      </c>
      <c r="P1816">
        <v>-8.0154904483299802E-2</v>
      </c>
      <c r="Q1816">
        <v>0</v>
      </c>
      <c r="R1816">
        <v>0.91678615969103505</v>
      </c>
      <c r="S1816" t="s">
        <v>8462</v>
      </c>
      <c r="T1816" t="s">
        <v>13290</v>
      </c>
      <c r="U1816" t="s">
        <v>13290</v>
      </c>
      <c r="V1816" t="s">
        <v>13290</v>
      </c>
      <c r="W1816" t="s">
        <v>15074</v>
      </c>
      <c r="X1816">
        <v>1</v>
      </c>
      <c r="Y1816" t="s">
        <v>21642</v>
      </c>
      <c r="Z1816" t="s">
        <v>28146</v>
      </c>
      <c r="AA1816">
        <v>0.78662172036861122</v>
      </c>
      <c r="AB1816" t="str">
        <f>HYPERLINK("Melting_Curves/meltCurve_O95059_RPP14.pdf", "Melting_Curves/meltCurve_O95059_RPP14.pdf")</f>
        <v>Melting_Curves/meltCurve_O95059_RPP14.pdf</v>
      </c>
    </row>
    <row r="1817" spans="1:28" x14ac:dyDescent="0.25">
      <c r="A1817" t="s">
        <v>1821</v>
      </c>
      <c r="B1817">
        <v>0.99252571173614901</v>
      </c>
      <c r="C1817">
        <v>0.978635381563975</v>
      </c>
      <c r="D1817">
        <v>0.79924404217327505</v>
      </c>
      <c r="E1817">
        <v>0.72196131943495701</v>
      </c>
      <c r="F1817">
        <v>0.53395648326158296</v>
      </c>
      <c r="G1817">
        <v>0.34129951806779002</v>
      </c>
      <c r="H1817">
        <v>0.19410715063108999</v>
      </c>
      <c r="I1817">
        <v>0.192867874493834</v>
      </c>
      <c r="J1817">
        <v>0.23353633154450201</v>
      </c>
      <c r="K1817">
        <v>0.23467610867657901</v>
      </c>
      <c r="L1817">
        <v>724.22665846495102</v>
      </c>
      <c r="M1817">
        <v>14.058627299729499</v>
      </c>
      <c r="N1817">
        <v>53.119461383359997</v>
      </c>
      <c r="O1817">
        <v>50.506032359290003</v>
      </c>
      <c r="P1817">
        <v>-5.7556195570063501E-2</v>
      </c>
      <c r="Q1817">
        <v>0.17301835835929599</v>
      </c>
      <c r="R1817">
        <v>0.98355239789976001</v>
      </c>
      <c r="S1817" t="s">
        <v>8463</v>
      </c>
      <c r="T1817" t="s">
        <v>13290</v>
      </c>
      <c r="U1817" t="s">
        <v>13290</v>
      </c>
      <c r="V1817" t="s">
        <v>13290</v>
      </c>
      <c r="W1817" t="s">
        <v>15075</v>
      </c>
      <c r="X1817">
        <v>4</v>
      </c>
      <c r="Y1817" t="s">
        <v>21643</v>
      </c>
      <c r="Z1817" t="s">
        <v>28147</v>
      </c>
      <c r="AA1817">
        <v>0.51122527906699766</v>
      </c>
      <c r="AB1817" t="str">
        <f>HYPERLINK("Melting_Curves/meltCurve_O95067_CCNB2.pdf", "Melting_Curves/meltCurve_O95067_CCNB2.pdf")</f>
        <v>Melting_Curves/meltCurve_O95067_CCNB2.pdf</v>
      </c>
    </row>
    <row r="1818" spans="1:28" x14ac:dyDescent="0.25">
      <c r="A1818" t="s">
        <v>1822</v>
      </c>
      <c r="B1818">
        <v>0.99252571173614901</v>
      </c>
      <c r="C1818">
        <v>0.969026394924553</v>
      </c>
      <c r="D1818">
        <v>0.46796815650391199</v>
      </c>
      <c r="E1818">
        <v>0.29809094485997001</v>
      </c>
      <c r="F1818">
        <v>0.16353880658228101</v>
      </c>
      <c r="G1818">
        <v>9.7470790444725106E-2</v>
      </c>
      <c r="H1818">
        <v>7.5503009082144898E-2</v>
      </c>
      <c r="I1818">
        <v>9.37759321237078E-2</v>
      </c>
      <c r="J1818">
        <v>0.13165882675403501</v>
      </c>
      <c r="K1818">
        <v>0.163899215860521</v>
      </c>
      <c r="L1818">
        <v>1373.5573016472899</v>
      </c>
      <c r="M1818">
        <v>30.017058621732701</v>
      </c>
      <c r="N1818">
        <v>46.215073600699498</v>
      </c>
      <c r="O1818">
        <v>45.557572240485499</v>
      </c>
      <c r="P1818">
        <v>-0.14361507457226899</v>
      </c>
      <c r="Q1818">
        <v>0.12813423976709301</v>
      </c>
      <c r="R1818">
        <v>0.97832070439935503</v>
      </c>
      <c r="S1818" t="s">
        <v>8464</v>
      </c>
      <c r="T1818" t="s">
        <v>13290</v>
      </c>
      <c r="U1818" t="s">
        <v>13290</v>
      </c>
      <c r="V1818" t="s">
        <v>13290</v>
      </c>
      <c r="W1818" t="s">
        <v>15076</v>
      </c>
      <c r="X1818">
        <v>4</v>
      </c>
      <c r="Y1818" t="s">
        <v>21644</v>
      </c>
      <c r="Z1818" t="s">
        <v>28148</v>
      </c>
      <c r="AA1818">
        <v>0.30086165095842621</v>
      </c>
      <c r="AB1818" t="str">
        <f>HYPERLINK("Melting_Curves/meltCurve_O95081_AGFG2.pdf", "Melting_Curves/meltCurve_O95081_AGFG2.pdf")</f>
        <v>Melting_Curves/meltCurve_O95081_AGFG2.pdf</v>
      </c>
    </row>
    <row r="1819" spans="1:28" x14ac:dyDescent="0.25">
      <c r="A1819" t="s">
        <v>1823</v>
      </c>
      <c r="B1819">
        <v>0.99252571173614901</v>
      </c>
      <c r="C1819">
        <v>1.0009223076685501</v>
      </c>
      <c r="D1819">
        <v>0.70554499483589395</v>
      </c>
      <c r="E1819">
        <v>0.35345693807328998</v>
      </c>
      <c r="F1819">
        <v>0.196600694144384</v>
      </c>
      <c r="G1819">
        <v>0.123333985589457</v>
      </c>
      <c r="H1819">
        <v>0.103054435121</v>
      </c>
      <c r="I1819">
        <v>0.106088575534658</v>
      </c>
      <c r="J1819">
        <v>0.115185747783773</v>
      </c>
      <c r="K1819">
        <v>0.11836447566755</v>
      </c>
      <c r="L1819">
        <v>1180.9071293710599</v>
      </c>
      <c r="M1819">
        <v>24.830026750157199</v>
      </c>
      <c r="N1819">
        <v>48.056578831849301</v>
      </c>
      <c r="O1819">
        <v>47.2543680261996</v>
      </c>
      <c r="P1819">
        <v>-0.116492380191527</v>
      </c>
      <c r="Q1819">
        <v>0.113219121399683</v>
      </c>
      <c r="R1819">
        <v>0.99608681719648096</v>
      </c>
      <c r="S1819" t="s">
        <v>8465</v>
      </c>
      <c r="T1819" t="s">
        <v>13290</v>
      </c>
      <c r="U1819" t="s">
        <v>13290</v>
      </c>
      <c r="V1819" t="s">
        <v>13290</v>
      </c>
      <c r="W1819" t="s">
        <v>15077</v>
      </c>
      <c r="X1819">
        <v>6</v>
      </c>
      <c r="Y1819" t="s">
        <v>21645</v>
      </c>
      <c r="Z1819" t="s">
        <v>28149</v>
      </c>
      <c r="AA1819">
        <v>0.34465008055859608</v>
      </c>
      <c r="AB1819" t="str">
        <f>HYPERLINK("Melting_Curves/meltCurve_O95104_3_SCAF4.pdf", "Melting_Curves/meltCurve_O95104_3_SCAF4.pdf")</f>
        <v>Melting_Curves/meltCurve_O95104_3_SCAF4.pdf</v>
      </c>
    </row>
    <row r="1820" spans="1:28" x14ac:dyDescent="0.25">
      <c r="A1820" t="s">
        <v>1824</v>
      </c>
      <c r="B1820">
        <v>0.99252571173614901</v>
      </c>
      <c r="C1820">
        <v>0.99626694796270199</v>
      </c>
      <c r="D1820">
        <v>0.91828414486751597</v>
      </c>
      <c r="E1820">
        <v>0.81372805082488797</v>
      </c>
      <c r="F1820">
        <v>0.68430282911448803</v>
      </c>
      <c r="G1820">
        <v>0.49654039272224898</v>
      </c>
      <c r="H1820">
        <v>0.49121813831046302</v>
      </c>
      <c r="I1820">
        <v>0.63883045385895099</v>
      </c>
      <c r="J1820">
        <v>1.0239740075738699</v>
      </c>
      <c r="K1820">
        <v>0.90708532631182803</v>
      </c>
      <c r="L1820">
        <v>1570.9940398885999</v>
      </c>
      <c r="M1820">
        <v>32.7984582377671</v>
      </c>
      <c r="O1820">
        <v>47.721403705884903</v>
      </c>
      <c r="P1820">
        <v>-5.0034891710756202E-2</v>
      </c>
      <c r="Q1820">
        <v>0.708800419426313</v>
      </c>
      <c r="R1820">
        <v>0.36602029637516698</v>
      </c>
      <c r="S1820" t="s">
        <v>8466</v>
      </c>
      <c r="T1820" t="s">
        <v>13290</v>
      </c>
      <c r="U1820" t="s">
        <v>13290</v>
      </c>
      <c r="V1820" t="s">
        <v>13290</v>
      </c>
      <c r="W1820" t="s">
        <v>15078</v>
      </c>
      <c r="X1820">
        <v>7</v>
      </c>
      <c r="Y1820" t="s">
        <v>21646</v>
      </c>
      <c r="Z1820" t="s">
        <v>28150</v>
      </c>
      <c r="AA1820">
        <v>0.78692167786438283</v>
      </c>
      <c r="AB1820" t="str">
        <f>HYPERLINK("Melting_Curves/meltCurve_O95139_NDUFB6.pdf", "Melting_Curves/meltCurve_O95139_NDUFB6.pdf")</f>
        <v>Melting_Curves/meltCurve_O95139_NDUFB6.pdf</v>
      </c>
    </row>
    <row r="1821" spans="1:28" x14ac:dyDescent="0.25">
      <c r="A1821" t="s">
        <v>1825</v>
      </c>
      <c r="B1821">
        <v>0.99252571173614901</v>
      </c>
      <c r="C1821">
        <v>0.86502547516944805</v>
      </c>
      <c r="D1821">
        <v>0.78509691107723301</v>
      </c>
      <c r="E1821">
        <v>0.56402730577343496</v>
      </c>
      <c r="F1821">
        <v>0.21206754920049201</v>
      </c>
      <c r="G1821">
        <v>0.102092007127516</v>
      </c>
      <c r="H1821">
        <v>7.3032514435844603E-2</v>
      </c>
      <c r="I1821">
        <v>7.7213084662028697E-2</v>
      </c>
      <c r="J1821">
        <v>9.2008046155628798E-2</v>
      </c>
      <c r="K1821">
        <v>9.5266704298691801E-2</v>
      </c>
      <c r="L1821">
        <v>891.93108960836503</v>
      </c>
      <c r="M1821">
        <v>18.112294396411201</v>
      </c>
      <c r="N1821">
        <v>49.5990098789635</v>
      </c>
      <c r="O1821">
        <v>48.655994026403199</v>
      </c>
      <c r="P1821">
        <v>-8.74171516964075E-2</v>
      </c>
      <c r="Q1821">
        <v>6.0712361538735798E-2</v>
      </c>
      <c r="R1821">
        <v>0.98836329823510305</v>
      </c>
      <c r="S1821" t="s">
        <v>8467</v>
      </c>
      <c r="T1821" t="s">
        <v>13290</v>
      </c>
      <c r="U1821" t="s">
        <v>13290</v>
      </c>
      <c r="V1821" t="s">
        <v>13290</v>
      </c>
      <c r="W1821" t="s">
        <v>15079</v>
      </c>
      <c r="X1821">
        <v>17</v>
      </c>
      <c r="Y1821" t="s">
        <v>21647</v>
      </c>
      <c r="Z1821" t="s">
        <v>28151</v>
      </c>
      <c r="AA1821">
        <v>0.36615496677010773</v>
      </c>
      <c r="AB1821" t="str">
        <f>HYPERLINK("Melting_Curves/meltCurve_O95140_MFN2.pdf", "Melting_Curves/meltCurve_O95140_MFN2.pdf")</f>
        <v>Melting_Curves/meltCurve_O95140_MFN2.pdf</v>
      </c>
    </row>
    <row r="1822" spans="1:28" x14ac:dyDescent="0.25">
      <c r="A1822" t="s">
        <v>1826</v>
      </c>
      <c r="B1822">
        <v>0.99252571173614901</v>
      </c>
      <c r="C1822">
        <v>0.99035109462392301</v>
      </c>
      <c r="D1822">
        <v>0.92336556482715904</v>
      </c>
      <c r="E1822">
        <v>0.63202365798207605</v>
      </c>
      <c r="F1822">
        <v>0.198551199499619</v>
      </c>
      <c r="G1822">
        <v>0.115007530002651</v>
      </c>
      <c r="H1822">
        <v>7.8635812233881996E-2</v>
      </c>
      <c r="I1822">
        <v>8.0433150286050401E-2</v>
      </c>
      <c r="J1822">
        <v>0.10800338131906601</v>
      </c>
      <c r="K1822">
        <v>0.108917765058006</v>
      </c>
      <c r="L1822">
        <v>1609.4215044472901</v>
      </c>
      <c r="M1822">
        <v>32.121394824408</v>
      </c>
      <c r="N1822">
        <v>50.421800694047299</v>
      </c>
      <c r="O1822">
        <v>49.911342074792799</v>
      </c>
      <c r="P1822">
        <v>-0.146162561091882</v>
      </c>
      <c r="Q1822">
        <v>9.1554469871877903E-2</v>
      </c>
      <c r="R1822">
        <v>0.99855648010395304</v>
      </c>
      <c r="S1822" t="s">
        <v>8468</v>
      </c>
      <c r="T1822" t="s">
        <v>13290</v>
      </c>
      <c r="U1822" t="s">
        <v>13290</v>
      </c>
      <c r="V1822" t="s">
        <v>13290</v>
      </c>
      <c r="W1822" t="s">
        <v>15080</v>
      </c>
      <c r="X1822">
        <v>24</v>
      </c>
      <c r="Y1822" t="s">
        <v>21648</v>
      </c>
      <c r="Z1822" t="s">
        <v>28152</v>
      </c>
      <c r="AA1822">
        <v>0.40243162063484261</v>
      </c>
      <c r="AB1822" t="str">
        <f>HYPERLINK("Melting_Curves/meltCurve_O95155_2_UBE4B.pdf", "Melting_Curves/meltCurve_O95155_2_UBE4B.pdf")</f>
        <v>Melting_Curves/meltCurve_O95155_2_UBE4B.pdf</v>
      </c>
    </row>
    <row r="1823" spans="1:28" x14ac:dyDescent="0.25">
      <c r="A1823" t="s">
        <v>1827</v>
      </c>
      <c r="B1823">
        <v>0.99252571173614901</v>
      </c>
      <c r="C1823">
        <v>0.91957964623053501</v>
      </c>
      <c r="D1823">
        <v>0.83141031870117199</v>
      </c>
      <c r="E1823">
        <v>0.73768654532315903</v>
      </c>
      <c r="F1823">
        <v>0.23701685981703999</v>
      </c>
      <c r="G1823">
        <v>8.8106799494336793E-2</v>
      </c>
      <c r="H1823">
        <v>4.9169792969827299E-2</v>
      </c>
      <c r="I1823">
        <v>5.5704418926475097E-2</v>
      </c>
      <c r="J1823">
        <v>6.6757909967278595E-2</v>
      </c>
      <c r="K1823">
        <v>7.1141550514308705E-2</v>
      </c>
      <c r="L1823">
        <v>1335.0582730400999</v>
      </c>
      <c r="M1823">
        <v>26.2677704119154</v>
      </c>
      <c r="N1823">
        <v>51.023813353340302</v>
      </c>
      <c r="O1823">
        <v>50.533132144014097</v>
      </c>
      <c r="P1823">
        <v>-0.12363184690418801</v>
      </c>
      <c r="Q1823">
        <v>4.8653869988664902E-2</v>
      </c>
      <c r="R1823">
        <v>0.98372043260800501</v>
      </c>
      <c r="S1823" t="s">
        <v>8469</v>
      </c>
      <c r="T1823" t="s">
        <v>13290</v>
      </c>
      <c r="U1823" t="s">
        <v>13290</v>
      </c>
      <c r="V1823" t="s">
        <v>13290</v>
      </c>
      <c r="W1823" t="s">
        <v>15081</v>
      </c>
      <c r="X1823">
        <v>7</v>
      </c>
      <c r="Y1823" t="s">
        <v>21649</v>
      </c>
      <c r="Z1823" t="s">
        <v>28153</v>
      </c>
      <c r="AA1823">
        <v>0.39970717018407143</v>
      </c>
      <c r="AB1823" t="str">
        <f>HYPERLINK("Melting_Curves/meltCurve_O95159_ZFPL1.pdf", "Melting_Curves/meltCurve_O95159_ZFPL1.pdf")</f>
        <v>Melting_Curves/meltCurve_O95159_ZFPL1.pdf</v>
      </c>
    </row>
    <row r="1824" spans="1:28" x14ac:dyDescent="0.25">
      <c r="A1824" t="s">
        <v>1828</v>
      </c>
      <c r="B1824">
        <v>0.99252571173614901</v>
      </c>
      <c r="C1824">
        <v>0.78401851402075795</v>
      </c>
      <c r="D1824">
        <v>0.86315380643355299</v>
      </c>
      <c r="E1824">
        <v>0.66166013902688003</v>
      </c>
      <c r="F1824">
        <v>0.59897360791309795</v>
      </c>
      <c r="G1824">
        <v>0.25661517814149898</v>
      </c>
      <c r="H1824">
        <v>0.107480000936096</v>
      </c>
      <c r="I1824">
        <v>9.7411683644706801E-2</v>
      </c>
      <c r="J1824">
        <v>0.116463163815395</v>
      </c>
      <c r="K1824">
        <v>0.10505470201294601</v>
      </c>
      <c r="L1824">
        <v>585.76491147841602</v>
      </c>
      <c r="M1824">
        <v>11.097551615115099</v>
      </c>
      <c r="N1824">
        <v>52.7832531360799</v>
      </c>
      <c r="O1824">
        <v>51.156272610113298</v>
      </c>
      <c r="P1824">
        <v>-5.4251267530480603E-2</v>
      </c>
      <c r="Q1824">
        <v>0</v>
      </c>
      <c r="R1824">
        <v>0.95676358186943899</v>
      </c>
      <c r="S1824" t="s">
        <v>8470</v>
      </c>
      <c r="T1824" t="s">
        <v>13290</v>
      </c>
      <c r="U1824" t="s">
        <v>13290</v>
      </c>
      <c r="V1824" t="s">
        <v>13290</v>
      </c>
      <c r="W1824" t="s">
        <v>15082</v>
      </c>
      <c r="X1824">
        <v>13</v>
      </c>
      <c r="Y1824" t="s">
        <v>21650</v>
      </c>
      <c r="Z1824" t="s">
        <v>28154</v>
      </c>
      <c r="AA1824">
        <v>0.45767736165784773</v>
      </c>
      <c r="AB1824" t="str">
        <f>HYPERLINK("Melting_Curves/meltCurve_O95163_IKBKAP.pdf", "Melting_Curves/meltCurve_O95163_IKBKAP.pdf")</f>
        <v>Melting_Curves/meltCurve_O95163_IKBKAP.pdf</v>
      </c>
    </row>
    <row r="1825" spans="1:28" x14ac:dyDescent="0.25">
      <c r="A1825" t="s">
        <v>1829</v>
      </c>
      <c r="B1825">
        <v>0.99252571173614901</v>
      </c>
      <c r="C1825">
        <v>0.95424713928552196</v>
      </c>
      <c r="D1825">
        <v>0.95934169805801806</v>
      </c>
      <c r="E1825">
        <v>0.91847201248505195</v>
      </c>
      <c r="F1825">
        <v>0.75530528693730503</v>
      </c>
      <c r="G1825">
        <v>0.85708928985050203</v>
      </c>
      <c r="H1825">
        <v>1.1943141596423299</v>
      </c>
      <c r="I1825">
        <v>1.6706376348699801</v>
      </c>
      <c r="J1825">
        <v>2.3104645028271702</v>
      </c>
      <c r="K1825">
        <v>1.68592261423203</v>
      </c>
      <c r="L1825">
        <v>15000</v>
      </c>
      <c r="M1825">
        <v>246.25748632466801</v>
      </c>
      <c r="O1825">
        <v>60.907836520120298</v>
      </c>
      <c r="P1825">
        <v>0.50538957902503001</v>
      </c>
      <c r="Q1825">
        <v>1.5</v>
      </c>
      <c r="R1825">
        <v>0.63746906595392105</v>
      </c>
      <c r="S1825" t="s">
        <v>8471</v>
      </c>
      <c r="T1825" t="s">
        <v>13290</v>
      </c>
      <c r="U1825" t="s">
        <v>13290</v>
      </c>
      <c r="V1825" t="s">
        <v>13290</v>
      </c>
      <c r="W1825" t="s">
        <v>15083</v>
      </c>
      <c r="X1825">
        <v>2</v>
      </c>
      <c r="Y1825" t="s">
        <v>21651</v>
      </c>
      <c r="Z1825" t="s">
        <v>28155</v>
      </c>
      <c r="AA1825">
        <v>1.1514140166094109</v>
      </c>
      <c r="AB1825" t="str">
        <f>HYPERLINK("Melting_Curves/meltCurve_O95167_NDUFA3.pdf", "Melting_Curves/meltCurve_O95167_NDUFA3.pdf")</f>
        <v>Melting_Curves/meltCurve_O95167_NDUFA3.pdf</v>
      </c>
    </row>
    <row r="1826" spans="1:28" x14ac:dyDescent="0.25">
      <c r="A1826" t="s">
        <v>1830</v>
      </c>
      <c r="B1826">
        <v>0.99252571173614901</v>
      </c>
      <c r="C1826">
        <v>0.96110253073533103</v>
      </c>
      <c r="D1826">
        <v>1.0429372704061299</v>
      </c>
      <c r="E1826">
        <v>0.94851711116805404</v>
      </c>
      <c r="F1826">
        <v>0.61308125425835602</v>
      </c>
      <c r="G1826">
        <v>0.34531189102433002</v>
      </c>
      <c r="H1826">
        <v>0.148141016318209</v>
      </c>
      <c r="I1826">
        <v>0.143757193618616</v>
      </c>
      <c r="J1826">
        <v>0.121521319244147</v>
      </c>
      <c r="K1826">
        <v>0.10517829813680001</v>
      </c>
      <c r="L1826">
        <v>1375.62484121493</v>
      </c>
      <c r="M1826">
        <v>25.451963614451198</v>
      </c>
      <c r="N1826">
        <v>54.6065639241572</v>
      </c>
      <c r="O1826">
        <v>53.717550171958699</v>
      </c>
      <c r="P1826">
        <v>-0.10487609819622</v>
      </c>
      <c r="Q1826">
        <v>0.11462760255516399</v>
      </c>
      <c r="R1826">
        <v>0.99485384288804302</v>
      </c>
      <c r="S1826" t="s">
        <v>8472</v>
      </c>
      <c r="T1826" t="s">
        <v>13290</v>
      </c>
      <c r="U1826" t="s">
        <v>13290</v>
      </c>
      <c r="V1826" t="s">
        <v>13290</v>
      </c>
      <c r="W1826" t="s">
        <v>15084</v>
      </c>
      <c r="X1826">
        <v>4</v>
      </c>
      <c r="Y1826" t="s">
        <v>21652</v>
      </c>
      <c r="Z1826" t="s">
        <v>28156</v>
      </c>
      <c r="AA1826">
        <v>0.53714508508297165</v>
      </c>
      <c r="AB1826" t="str">
        <f>HYPERLINK("Melting_Curves/meltCurve_O95168_NDUFB4.pdf", "Melting_Curves/meltCurve_O95168_NDUFB4.pdf")</f>
        <v>Melting_Curves/meltCurve_O95168_NDUFB4.pdf</v>
      </c>
    </row>
    <row r="1827" spans="1:28" x14ac:dyDescent="0.25">
      <c r="A1827" t="s">
        <v>1831</v>
      </c>
      <c r="B1827">
        <v>0.99252571173614901</v>
      </c>
      <c r="C1827">
        <v>1.04857402354511</v>
      </c>
      <c r="D1827">
        <v>0.928741270602506</v>
      </c>
      <c r="E1827">
        <v>0.80781054531249996</v>
      </c>
      <c r="F1827">
        <v>0.44964712968678999</v>
      </c>
      <c r="G1827">
        <v>0.25692247714417099</v>
      </c>
      <c r="H1827">
        <v>0.200109318089636</v>
      </c>
      <c r="I1827">
        <v>0.21217461542595301</v>
      </c>
      <c r="J1827">
        <v>0.27634076150722597</v>
      </c>
      <c r="K1827">
        <v>0.25797052742049198</v>
      </c>
      <c r="L1827">
        <v>1501.0570781338999</v>
      </c>
      <c r="M1827">
        <v>29.197935920248199</v>
      </c>
      <c r="N1827">
        <v>52.524115424011903</v>
      </c>
      <c r="O1827">
        <v>51.170354765140999</v>
      </c>
      <c r="P1827">
        <v>-0.109714365152174</v>
      </c>
      <c r="Q1827">
        <v>0.23089327053497499</v>
      </c>
      <c r="R1827">
        <v>0.99123922878112503</v>
      </c>
      <c r="S1827" t="s">
        <v>8473</v>
      </c>
      <c r="T1827" t="s">
        <v>13290</v>
      </c>
      <c r="U1827" t="s">
        <v>13290</v>
      </c>
      <c r="V1827" t="s">
        <v>13290</v>
      </c>
      <c r="W1827" t="s">
        <v>15085</v>
      </c>
      <c r="X1827">
        <v>4</v>
      </c>
      <c r="Y1827" t="s">
        <v>21653</v>
      </c>
      <c r="Z1827" t="s">
        <v>28157</v>
      </c>
      <c r="AA1827">
        <v>0.52854069292767236</v>
      </c>
      <c r="AB1827" t="str">
        <f>HYPERLINK("Melting_Curves/meltCurve_O95171_3_SCEL.pdf", "Melting_Curves/meltCurve_O95171_3_SCEL.pdf")</f>
        <v>Melting_Curves/meltCurve_O95171_3_SCEL.pdf</v>
      </c>
    </row>
    <row r="1828" spans="1:28" x14ac:dyDescent="0.25">
      <c r="A1828" t="s">
        <v>1832</v>
      </c>
      <c r="B1828">
        <v>0.99252571173614901</v>
      </c>
      <c r="C1828">
        <v>0.995556636826751</v>
      </c>
      <c r="D1828">
        <v>1.1451981337556301</v>
      </c>
      <c r="E1828">
        <v>1.2421981294470099</v>
      </c>
      <c r="F1828">
        <v>1.10241559439918</v>
      </c>
      <c r="G1828">
        <v>0.78952335905836801</v>
      </c>
      <c r="H1828">
        <v>0.73878866573047497</v>
      </c>
      <c r="I1828">
        <v>0.78484972517072904</v>
      </c>
      <c r="J1828">
        <v>1.2310596834930001</v>
      </c>
      <c r="K1828">
        <v>1.6789994434383799</v>
      </c>
      <c r="L1828">
        <v>15000</v>
      </c>
      <c r="M1828">
        <v>223.395653323902</v>
      </c>
      <c r="O1828">
        <v>67.140061154075696</v>
      </c>
      <c r="P1828">
        <v>0.41591348180952697</v>
      </c>
      <c r="Q1828">
        <v>1.5</v>
      </c>
      <c r="R1828">
        <v>0.60639377879774603</v>
      </c>
      <c r="S1828" t="s">
        <v>8474</v>
      </c>
      <c r="T1828" t="s">
        <v>13290</v>
      </c>
      <c r="U1828" t="s">
        <v>13290</v>
      </c>
      <c r="V1828" t="s">
        <v>13290</v>
      </c>
      <c r="W1828" t="s">
        <v>15086</v>
      </c>
      <c r="X1828">
        <v>5</v>
      </c>
      <c r="Y1828" t="s">
        <v>21654</v>
      </c>
      <c r="Z1828" t="s">
        <v>28158</v>
      </c>
      <c r="AA1828">
        <v>1.047502772660134</v>
      </c>
      <c r="AB1828" t="str">
        <f>HYPERLINK("Melting_Curves/meltCurve_O95182_NDUFA7.pdf", "Melting_Curves/meltCurve_O95182_NDUFA7.pdf")</f>
        <v>Melting_Curves/meltCurve_O95182_NDUFA7.pdf</v>
      </c>
    </row>
    <row r="1829" spans="1:28" x14ac:dyDescent="0.25">
      <c r="A1829" t="s">
        <v>1833</v>
      </c>
      <c r="B1829">
        <v>0.99252571173614901</v>
      </c>
      <c r="C1829">
        <v>0.96255358955274495</v>
      </c>
      <c r="D1829">
        <v>0.90587767872121805</v>
      </c>
      <c r="E1829">
        <v>0.932857341114947</v>
      </c>
      <c r="F1829">
        <v>0.77088501671762999</v>
      </c>
      <c r="G1829">
        <v>0.67669909067925305</v>
      </c>
      <c r="H1829">
        <v>0.498861174900458</v>
      </c>
      <c r="I1829">
        <v>0.61046732227477796</v>
      </c>
      <c r="J1829">
        <v>0.80491452588596102</v>
      </c>
      <c r="K1829">
        <v>0.63570214237205103</v>
      </c>
      <c r="L1829">
        <v>1423.1858711623399</v>
      </c>
      <c r="M1829">
        <v>27.425533098656199</v>
      </c>
      <c r="O1829">
        <v>51.619189082508299</v>
      </c>
      <c r="P1829">
        <v>-4.7951491182928997E-2</v>
      </c>
      <c r="Q1829">
        <v>0.63899421940818502</v>
      </c>
      <c r="R1829">
        <v>0.77347103743260504</v>
      </c>
      <c r="S1829" t="s">
        <v>8475</v>
      </c>
      <c r="T1829" t="s">
        <v>13290</v>
      </c>
      <c r="U1829" t="s">
        <v>13290</v>
      </c>
      <c r="V1829" t="s">
        <v>13290</v>
      </c>
      <c r="W1829" t="s">
        <v>15087</v>
      </c>
      <c r="X1829">
        <v>2</v>
      </c>
      <c r="Y1829" t="s">
        <v>21655</v>
      </c>
      <c r="Z1829" t="s">
        <v>28159</v>
      </c>
      <c r="AA1829">
        <v>0.7848547681698691</v>
      </c>
      <c r="AB1829" t="str">
        <f>HYPERLINK("Melting_Curves/meltCurve_O95196_3_CSPG5.pdf", "Melting_Curves/meltCurve_O95196_3_CSPG5.pdf")</f>
        <v>Melting_Curves/meltCurve_O95196_3_CSPG5.pdf</v>
      </c>
    </row>
    <row r="1830" spans="1:28" x14ac:dyDescent="0.25">
      <c r="A1830" t="s">
        <v>1834</v>
      </c>
      <c r="B1830">
        <v>0.99252571173614901</v>
      </c>
      <c r="C1830">
        <v>1.0451564990503499</v>
      </c>
      <c r="D1830">
        <v>0.96110796430824896</v>
      </c>
      <c r="E1830">
        <v>0.89187075802411997</v>
      </c>
      <c r="F1830">
        <v>0.72598872893699495</v>
      </c>
      <c r="G1830">
        <v>0.60414502346922905</v>
      </c>
      <c r="H1830">
        <v>0.47116608255506098</v>
      </c>
      <c r="I1830">
        <v>0.52735760044987101</v>
      </c>
      <c r="J1830">
        <v>0.81769763602344303</v>
      </c>
      <c r="K1830">
        <v>0.73079116543757106</v>
      </c>
      <c r="L1830">
        <v>1717.41465527843</v>
      </c>
      <c r="M1830">
        <v>33.682277545437401</v>
      </c>
      <c r="O1830">
        <v>50.809948049078798</v>
      </c>
      <c r="P1830">
        <v>-6.1147575376509403E-2</v>
      </c>
      <c r="Q1830">
        <v>0.63103536442361696</v>
      </c>
      <c r="R1830">
        <v>0.75768890572255698</v>
      </c>
      <c r="S1830" t="s">
        <v>8476</v>
      </c>
      <c r="T1830" t="s">
        <v>13290</v>
      </c>
      <c r="U1830" t="s">
        <v>13290</v>
      </c>
      <c r="V1830" t="s">
        <v>13290</v>
      </c>
      <c r="W1830" t="s">
        <v>15088</v>
      </c>
      <c r="X1830">
        <v>19</v>
      </c>
      <c r="Y1830" t="s">
        <v>21656</v>
      </c>
      <c r="Z1830" t="s">
        <v>28160</v>
      </c>
      <c r="AA1830">
        <v>0.76802134967524582</v>
      </c>
      <c r="AB1830" t="str">
        <f>HYPERLINK("Melting_Curves/meltCurve_O95197_2_RTN3.pdf", "Melting_Curves/meltCurve_O95197_2_RTN3.pdf")</f>
        <v>Melting_Curves/meltCurve_O95197_2_RTN3.pdf</v>
      </c>
    </row>
    <row r="1831" spans="1:28" x14ac:dyDescent="0.25">
      <c r="A1831" t="s">
        <v>1835</v>
      </c>
      <c r="B1831">
        <v>0.99252571173614901</v>
      </c>
      <c r="C1831">
        <v>1.01326582899226</v>
      </c>
      <c r="D1831">
        <v>0.65401861999505495</v>
      </c>
      <c r="E1831">
        <v>0.796269856097791</v>
      </c>
      <c r="F1831">
        <v>0.36773794059647502</v>
      </c>
      <c r="G1831">
        <v>0.136052001386333</v>
      </c>
      <c r="H1831">
        <v>5.7893898399537499E-2</v>
      </c>
      <c r="I1831">
        <v>5.2268743344244799E-2</v>
      </c>
      <c r="J1831">
        <v>6.12314332743654E-2</v>
      </c>
      <c r="K1831">
        <v>5.8685627646161399E-2</v>
      </c>
      <c r="L1831">
        <v>787.90350003733204</v>
      </c>
      <c r="M1831">
        <v>15.3202326717887</v>
      </c>
      <c r="N1831">
        <v>51.479474651658002</v>
      </c>
      <c r="O1831">
        <v>50.576589688513103</v>
      </c>
      <c r="P1831">
        <v>-7.5169824132460206E-2</v>
      </c>
      <c r="Q1831">
        <v>7.4616004893813702E-3</v>
      </c>
      <c r="R1831">
        <v>0.94803597774069504</v>
      </c>
      <c r="S1831" t="s">
        <v>8477</v>
      </c>
      <c r="T1831" t="s">
        <v>13290</v>
      </c>
      <c r="U1831" t="s">
        <v>13290</v>
      </c>
      <c r="V1831" t="s">
        <v>13290</v>
      </c>
      <c r="W1831" t="s">
        <v>15089</v>
      </c>
      <c r="X1831">
        <v>27</v>
      </c>
      <c r="Y1831" t="s">
        <v>21657</v>
      </c>
      <c r="Z1831" t="s">
        <v>28161</v>
      </c>
      <c r="AA1831">
        <v>0.40744695435842548</v>
      </c>
      <c r="AB1831" t="str">
        <f>HYPERLINK("Melting_Curves/meltCurve_O95202_LETM1.pdf", "Melting_Curves/meltCurve_O95202_LETM1.pdf")</f>
        <v>Melting_Curves/meltCurve_O95202_LETM1.pdf</v>
      </c>
    </row>
    <row r="1832" spans="1:28" x14ac:dyDescent="0.25">
      <c r="A1832" t="s">
        <v>1836</v>
      </c>
      <c r="B1832">
        <v>0.99252571173614901</v>
      </c>
      <c r="C1832">
        <v>1.04444050613213</v>
      </c>
      <c r="D1832">
        <v>0.81313162022589702</v>
      </c>
      <c r="E1832">
        <v>0.68549980222488904</v>
      </c>
      <c r="F1832">
        <v>0.30923361302689401</v>
      </c>
      <c r="G1832">
        <v>0.15907690901717</v>
      </c>
      <c r="H1832">
        <v>0.134059440632675</v>
      </c>
      <c r="I1832">
        <v>0.10671445460307</v>
      </c>
      <c r="J1832">
        <v>8.48169559508897E-2</v>
      </c>
      <c r="K1832">
        <v>6.1948925787735899E-2</v>
      </c>
      <c r="L1832">
        <v>1004.12746725969</v>
      </c>
      <c r="M1832">
        <v>19.819287760578099</v>
      </c>
      <c r="N1832">
        <v>51.095872720233302</v>
      </c>
      <c r="O1832">
        <v>50.1568207389506</v>
      </c>
      <c r="P1832">
        <v>-9.1173896645005595E-2</v>
      </c>
      <c r="Q1832">
        <v>7.7093272064507001E-2</v>
      </c>
      <c r="R1832">
        <v>0.98924884784084599</v>
      </c>
      <c r="S1832" t="s">
        <v>8478</v>
      </c>
      <c r="T1832" t="s">
        <v>13290</v>
      </c>
      <c r="U1832" t="s">
        <v>13290</v>
      </c>
      <c r="V1832" t="s">
        <v>13290</v>
      </c>
      <c r="W1832" t="s">
        <v>15090</v>
      </c>
      <c r="X1832">
        <v>8</v>
      </c>
      <c r="Y1832" t="s">
        <v>21658</v>
      </c>
      <c r="Z1832" t="s">
        <v>28162</v>
      </c>
      <c r="AA1832">
        <v>0.41820518109559951</v>
      </c>
      <c r="AB1832" t="str">
        <f>HYPERLINK("Melting_Curves/meltCurve_O95205_MBLL.pdf", "Melting_Curves/meltCurve_O95205_MBLL.pdf")</f>
        <v>Melting_Curves/meltCurve_O95205_MBLL.pdf</v>
      </c>
    </row>
    <row r="1833" spans="1:28" x14ac:dyDescent="0.25">
      <c r="A1833" t="s">
        <v>1837</v>
      </c>
      <c r="B1833">
        <v>0.99252571173614901</v>
      </c>
      <c r="C1833">
        <v>1.0721800384234701</v>
      </c>
      <c r="D1833">
        <v>0.98824566687691495</v>
      </c>
      <c r="E1833">
        <v>0.93592810684452099</v>
      </c>
      <c r="F1833">
        <v>0.89382253519655597</v>
      </c>
      <c r="G1833">
        <v>0.77942957822324299</v>
      </c>
      <c r="H1833">
        <v>0.808168750960361</v>
      </c>
      <c r="I1833">
        <v>1.1074389586515401</v>
      </c>
      <c r="J1833">
        <v>1.2973537092088601</v>
      </c>
      <c r="K1833">
        <v>1.38963517597425</v>
      </c>
      <c r="L1833">
        <v>3941.38584439237</v>
      </c>
      <c r="M1833">
        <v>60.247443182085199</v>
      </c>
      <c r="O1833">
        <v>65.348007906487098</v>
      </c>
      <c r="P1833">
        <v>8.8841619016613499E-2</v>
      </c>
      <c r="Q1833">
        <v>1.3854517410710401</v>
      </c>
      <c r="R1833">
        <v>0.68951877032856901</v>
      </c>
      <c r="S1833" t="s">
        <v>8479</v>
      </c>
      <c r="T1833" t="s">
        <v>13290</v>
      </c>
      <c r="U1833" t="s">
        <v>13290</v>
      </c>
      <c r="V1833" t="s">
        <v>13290</v>
      </c>
      <c r="W1833" t="s">
        <v>15091</v>
      </c>
      <c r="X1833">
        <v>14</v>
      </c>
      <c r="Y1833" t="s">
        <v>21659</v>
      </c>
      <c r="Z1833" t="s">
        <v>28163</v>
      </c>
      <c r="AA1833">
        <v>1.058399950192416</v>
      </c>
      <c r="AB1833" t="str">
        <f>HYPERLINK("Melting_Curves/meltCurve_O95218_2_ZRANB2.pdf", "Melting_Curves/meltCurve_O95218_2_ZRANB2.pdf")</f>
        <v>Melting_Curves/meltCurve_O95218_2_ZRANB2.pdf</v>
      </c>
    </row>
    <row r="1834" spans="1:28" x14ac:dyDescent="0.25">
      <c r="A1834" t="s">
        <v>1838</v>
      </c>
      <c r="B1834">
        <v>0.99252571173614901</v>
      </c>
      <c r="C1834">
        <v>1.01465539672924</v>
      </c>
      <c r="D1834">
        <v>0.86349877459543201</v>
      </c>
      <c r="E1834">
        <v>0.61201020330026101</v>
      </c>
      <c r="F1834">
        <v>0.23170978722302299</v>
      </c>
      <c r="G1834">
        <v>0.110949389341268</v>
      </c>
      <c r="H1834">
        <v>8.97459684532943E-2</v>
      </c>
      <c r="I1834">
        <v>8.4532136596466398E-2</v>
      </c>
      <c r="J1834">
        <v>0.13404352269856401</v>
      </c>
      <c r="K1834">
        <v>0.11542474458108901</v>
      </c>
      <c r="L1834">
        <v>1298.8156819180199</v>
      </c>
      <c r="M1834">
        <v>26.025940373478299</v>
      </c>
      <c r="N1834">
        <v>50.318731136594302</v>
      </c>
      <c r="O1834">
        <v>49.612822291095704</v>
      </c>
      <c r="P1834">
        <v>-0.118505404830407</v>
      </c>
      <c r="Q1834">
        <v>9.6390747657433301E-2</v>
      </c>
      <c r="R1834">
        <v>0.99541132459834203</v>
      </c>
      <c r="S1834" t="s">
        <v>8480</v>
      </c>
      <c r="T1834" t="s">
        <v>13290</v>
      </c>
      <c r="U1834" t="s">
        <v>13290</v>
      </c>
      <c r="V1834" t="s">
        <v>13290</v>
      </c>
      <c r="W1834" t="s">
        <v>15092</v>
      </c>
      <c r="X1834">
        <v>10</v>
      </c>
      <c r="Y1834" t="s">
        <v>21660</v>
      </c>
      <c r="Z1834" t="s">
        <v>28164</v>
      </c>
      <c r="AA1834">
        <v>0.40216182659978872</v>
      </c>
      <c r="AB1834" t="str">
        <f>HYPERLINK("Melting_Curves/meltCurve_O95219_SNX4.pdf", "Melting_Curves/meltCurve_O95219_SNX4.pdf")</f>
        <v>Melting_Curves/meltCurve_O95219_SNX4.pdf</v>
      </c>
    </row>
    <row r="1835" spans="1:28" x14ac:dyDescent="0.25">
      <c r="A1835" t="s">
        <v>1839</v>
      </c>
      <c r="B1835">
        <v>0.99252571173614901</v>
      </c>
      <c r="C1835">
        <v>0.89547087090858901</v>
      </c>
      <c r="D1835">
        <v>0.75292903484306495</v>
      </c>
      <c r="E1835">
        <v>0.51560168594848099</v>
      </c>
      <c r="F1835">
        <v>0.32262989455513602</v>
      </c>
      <c r="G1835">
        <v>0.246535138006204</v>
      </c>
      <c r="H1835">
        <v>0.214536273960346</v>
      </c>
      <c r="I1835">
        <v>0.25155030415441898</v>
      </c>
      <c r="J1835">
        <v>0.351115886574206</v>
      </c>
      <c r="K1835">
        <v>0.37374042744831498</v>
      </c>
      <c r="L1835">
        <v>1004.04631146055</v>
      </c>
      <c r="M1835">
        <v>21.187835112654799</v>
      </c>
      <c r="N1835">
        <v>49.313173197191901</v>
      </c>
      <c r="O1835">
        <v>46.971794743897902</v>
      </c>
      <c r="P1835">
        <v>-8.10412949212517E-2</v>
      </c>
      <c r="Q1835">
        <v>0.28136940409119598</v>
      </c>
      <c r="R1835">
        <v>0.96556480509978904</v>
      </c>
      <c r="S1835" t="s">
        <v>8481</v>
      </c>
      <c r="T1835" t="s">
        <v>13290</v>
      </c>
      <c r="U1835" t="s">
        <v>13290</v>
      </c>
      <c r="V1835" t="s">
        <v>13290</v>
      </c>
      <c r="W1835" t="s">
        <v>15093</v>
      </c>
      <c r="X1835">
        <v>3</v>
      </c>
      <c r="Y1835" t="s">
        <v>21661</v>
      </c>
      <c r="Z1835" t="s">
        <v>28165</v>
      </c>
      <c r="AA1835">
        <v>0.46749007293097472</v>
      </c>
      <c r="AB1835" t="str">
        <f>HYPERLINK("Melting_Curves/meltCurve_O95229_ZWINT.pdf", "Melting_Curves/meltCurve_O95229_ZWINT.pdf")</f>
        <v>Melting_Curves/meltCurve_O95229_ZWINT.pdf</v>
      </c>
    </row>
    <row r="1836" spans="1:28" x14ac:dyDescent="0.25">
      <c r="A1836" t="s">
        <v>1840</v>
      </c>
      <c r="B1836">
        <v>0.99252571173614901</v>
      </c>
      <c r="C1836">
        <v>1.1171805270489901</v>
      </c>
      <c r="D1836">
        <v>1.0617739873085701</v>
      </c>
      <c r="E1836">
        <v>1.21108240439107</v>
      </c>
      <c r="F1836">
        <v>0.78990410157681101</v>
      </c>
      <c r="G1836">
        <v>0.26996978389538301</v>
      </c>
      <c r="H1836">
        <v>8.1987132066636298E-2</v>
      </c>
      <c r="I1836">
        <v>6.2937932810469402E-2</v>
      </c>
      <c r="J1836">
        <v>8.4368765634829201E-2</v>
      </c>
      <c r="K1836">
        <v>8.9791865813871094E-2</v>
      </c>
      <c r="L1836">
        <v>2402.8323783083501</v>
      </c>
      <c r="M1836">
        <v>43.761503336892503</v>
      </c>
      <c r="N1836">
        <v>55.122965817125397</v>
      </c>
      <c r="O1836">
        <v>54.793160656048798</v>
      </c>
      <c r="P1836">
        <v>-0.18396812816784</v>
      </c>
      <c r="Q1836">
        <v>7.8625782237909198E-2</v>
      </c>
      <c r="R1836">
        <v>0.96974128839526197</v>
      </c>
      <c r="S1836" t="s">
        <v>8482</v>
      </c>
      <c r="T1836" t="s">
        <v>13290</v>
      </c>
      <c r="U1836" t="s">
        <v>13290</v>
      </c>
      <c r="V1836" t="s">
        <v>13290</v>
      </c>
      <c r="W1836" t="s">
        <v>15094</v>
      </c>
      <c r="X1836">
        <v>1</v>
      </c>
      <c r="Y1836" t="s">
        <v>21662</v>
      </c>
      <c r="Z1836" t="s">
        <v>28166</v>
      </c>
      <c r="AA1836">
        <v>0.53938320382801708</v>
      </c>
      <c r="AB1836" t="str">
        <f>HYPERLINK("Melting_Curves/meltCurve_O95231_VENTX.pdf", "Melting_Curves/meltCurve_O95231_VENTX.pdf")</f>
        <v>Melting_Curves/meltCurve_O95231_VENTX.pdf</v>
      </c>
    </row>
    <row r="1837" spans="1:28" x14ac:dyDescent="0.25">
      <c r="A1837" t="s">
        <v>1841</v>
      </c>
      <c r="B1837">
        <v>0.99252571173614901</v>
      </c>
      <c r="C1837">
        <v>0.93209050864555099</v>
      </c>
      <c r="D1837">
        <v>0.64927180273806395</v>
      </c>
      <c r="E1837">
        <v>0.77623793324916701</v>
      </c>
      <c r="F1837">
        <v>0.40722658870318401</v>
      </c>
      <c r="G1837">
        <v>0.16620087477088899</v>
      </c>
      <c r="H1837">
        <v>0.101624432655519</v>
      </c>
      <c r="I1837">
        <v>9.9987768269880206E-2</v>
      </c>
      <c r="J1837">
        <v>0.11601472405178399</v>
      </c>
      <c r="K1837">
        <v>0.103697149472918</v>
      </c>
      <c r="L1837">
        <v>660.53630553911603</v>
      </c>
      <c r="M1837">
        <v>12.920287385704601</v>
      </c>
      <c r="N1837">
        <v>51.442764679948802</v>
      </c>
      <c r="O1837">
        <v>49.945712592464901</v>
      </c>
      <c r="P1837">
        <v>-6.2194715376268903E-2</v>
      </c>
      <c r="Q1837">
        <v>3.8473889243557803E-2</v>
      </c>
      <c r="R1837">
        <v>0.94652472281709898</v>
      </c>
      <c r="S1837" t="s">
        <v>8483</v>
      </c>
      <c r="T1837" t="s">
        <v>13290</v>
      </c>
      <c r="U1837" t="s">
        <v>13290</v>
      </c>
      <c r="V1837" t="s">
        <v>13290</v>
      </c>
      <c r="W1837" t="s">
        <v>15095</v>
      </c>
      <c r="X1837">
        <v>19</v>
      </c>
      <c r="Y1837" t="s">
        <v>21663</v>
      </c>
      <c r="Z1837" t="s">
        <v>28167</v>
      </c>
      <c r="AA1837">
        <v>0.42296217950731108</v>
      </c>
      <c r="AB1837" t="str">
        <f>HYPERLINK("Melting_Curves/meltCurve_O95232_LUC7L3.pdf", "Melting_Curves/meltCurve_O95232_LUC7L3.pdf")</f>
        <v>Melting_Curves/meltCurve_O95232_LUC7L3.pdf</v>
      </c>
    </row>
    <row r="1838" spans="1:28" x14ac:dyDescent="0.25">
      <c r="A1838" t="s">
        <v>1842</v>
      </c>
      <c r="B1838">
        <v>0.99252571173614901</v>
      </c>
      <c r="C1838">
        <v>0.86205466370055805</v>
      </c>
      <c r="D1838">
        <v>0.40775259584660001</v>
      </c>
      <c r="E1838">
        <v>5.3779850603831399E-2</v>
      </c>
      <c r="F1838">
        <v>4.7088218666392102E-2</v>
      </c>
      <c r="G1838">
        <v>0</v>
      </c>
      <c r="H1838">
        <v>2.6396501633729998E-2</v>
      </c>
      <c r="I1838">
        <v>4.5347810791906598E-2</v>
      </c>
      <c r="J1838">
        <v>4.9223793962892802E-2</v>
      </c>
      <c r="K1838">
        <v>6.3942636428055297E-2</v>
      </c>
      <c r="L1838">
        <v>1538.9383607059001</v>
      </c>
      <c r="M1838">
        <v>33.967039936604998</v>
      </c>
      <c r="N1838">
        <v>45.400533802181798</v>
      </c>
      <c r="O1838">
        <v>45.150643690890803</v>
      </c>
      <c r="P1838">
        <v>-0.18170902294973101</v>
      </c>
      <c r="Q1838">
        <v>3.3857982281662903E-2</v>
      </c>
      <c r="R1838">
        <v>0.99704227950344404</v>
      </c>
      <c r="S1838" t="s">
        <v>8484</v>
      </c>
      <c r="T1838" t="s">
        <v>13290</v>
      </c>
      <c r="U1838" t="s">
        <v>13290</v>
      </c>
      <c r="V1838" t="s">
        <v>13290</v>
      </c>
      <c r="W1838" t="s">
        <v>15096</v>
      </c>
      <c r="X1838">
        <v>1</v>
      </c>
      <c r="Y1838" t="s">
        <v>21664</v>
      </c>
      <c r="Z1838" t="s">
        <v>28168</v>
      </c>
      <c r="AA1838">
        <v>0.20932331133619669</v>
      </c>
      <c r="AB1838" t="str">
        <f>HYPERLINK("Melting_Curves/meltCurve_O95235_KIF20A.pdf", "Melting_Curves/meltCurve_O95235_KIF20A.pdf")</f>
        <v>Melting_Curves/meltCurve_O95235_KIF20A.pdf</v>
      </c>
    </row>
    <row r="1839" spans="1:28" x14ac:dyDescent="0.25">
      <c r="A1839" t="s">
        <v>1843</v>
      </c>
      <c r="B1839">
        <v>0.99252571173614901</v>
      </c>
      <c r="C1839">
        <v>0.90100926764320599</v>
      </c>
      <c r="D1839">
        <v>0.37909043495245398</v>
      </c>
      <c r="E1839">
        <v>0.21585144366447001</v>
      </c>
      <c r="F1839">
        <v>0.13447230212788799</v>
      </c>
      <c r="G1839">
        <v>8.5761213436200107E-2</v>
      </c>
      <c r="H1839">
        <v>6.9172460721956902E-2</v>
      </c>
      <c r="I1839">
        <v>7.9545805971901903E-2</v>
      </c>
      <c r="J1839">
        <v>9.7023453014850006E-2</v>
      </c>
      <c r="K1839">
        <v>9.8946077969857396E-2</v>
      </c>
      <c r="L1839">
        <v>1585.22868765864</v>
      </c>
      <c r="M1839">
        <v>35.130769817135601</v>
      </c>
      <c r="N1839">
        <v>45.422189151262302</v>
      </c>
      <c r="O1839">
        <v>44.978200527078002</v>
      </c>
      <c r="P1839">
        <v>-0.17513650035782299</v>
      </c>
      <c r="Q1839">
        <v>0.10308875735015301</v>
      </c>
      <c r="R1839">
        <v>0.99086603383035199</v>
      </c>
      <c r="S1839" t="s">
        <v>8485</v>
      </c>
      <c r="T1839" t="s">
        <v>13290</v>
      </c>
      <c r="U1839" t="s">
        <v>13290</v>
      </c>
      <c r="V1839" t="s">
        <v>13290</v>
      </c>
      <c r="W1839" t="s">
        <v>15097</v>
      </c>
      <c r="X1839">
        <v>18</v>
      </c>
      <c r="Y1839" t="s">
        <v>21665</v>
      </c>
      <c r="Z1839" t="s">
        <v>28169</v>
      </c>
      <c r="AA1839">
        <v>0.26022560039756593</v>
      </c>
      <c r="AB1839" t="str">
        <f>HYPERLINK("Melting_Curves/meltCurve_O95239_KIF4A.pdf", "Melting_Curves/meltCurve_O95239_KIF4A.pdf")</f>
        <v>Melting_Curves/meltCurve_O95239_KIF4A.pdf</v>
      </c>
    </row>
    <row r="1840" spans="1:28" x14ac:dyDescent="0.25">
      <c r="A1840" t="s">
        <v>1844</v>
      </c>
      <c r="B1840">
        <v>0.99252571173614901</v>
      </c>
      <c r="C1840">
        <v>1.07833199924557</v>
      </c>
      <c r="D1840">
        <v>0.66062781396871395</v>
      </c>
      <c r="E1840">
        <v>0.49092876453155798</v>
      </c>
      <c r="F1840">
        <v>0.17914921136204301</v>
      </c>
      <c r="G1840">
        <v>0.116254908449016</v>
      </c>
      <c r="H1840">
        <v>0.15108846925257299</v>
      </c>
      <c r="I1840">
        <v>0.30438182616750697</v>
      </c>
      <c r="J1840">
        <v>0.41676309217845298</v>
      </c>
      <c r="K1840">
        <v>0.45951436745311902</v>
      </c>
      <c r="L1840">
        <v>1457.4122009544101</v>
      </c>
      <c r="M1840">
        <v>31.172413695123499</v>
      </c>
      <c r="N1840">
        <v>48.022098767023202</v>
      </c>
      <c r="O1840">
        <v>46.562122285827797</v>
      </c>
      <c r="P1840">
        <v>-0.120409597020168</v>
      </c>
      <c r="Q1840">
        <v>0.28058250150436498</v>
      </c>
      <c r="R1840">
        <v>0.86223286108238895</v>
      </c>
      <c r="S1840" t="s">
        <v>8486</v>
      </c>
      <c r="T1840" t="s">
        <v>13290</v>
      </c>
      <c r="U1840" t="s">
        <v>13290</v>
      </c>
      <c r="V1840" t="s">
        <v>13290</v>
      </c>
      <c r="W1840" t="s">
        <v>15098</v>
      </c>
      <c r="X1840">
        <v>1</v>
      </c>
      <c r="Y1840" t="s">
        <v>21666</v>
      </c>
      <c r="Z1840" t="s">
        <v>28170</v>
      </c>
      <c r="AA1840">
        <v>0.44650771589241639</v>
      </c>
      <c r="AB1840" t="str">
        <f>HYPERLINK("Melting_Curves/meltCurve_O95251_2_KAT7.pdf", "Melting_Curves/meltCurve_O95251_2_KAT7.pdf")</f>
        <v>Melting_Curves/meltCurve_O95251_2_KAT7.pdf</v>
      </c>
    </row>
    <row r="1841" spans="1:28" x14ac:dyDescent="0.25">
      <c r="A1841" t="s">
        <v>1845</v>
      </c>
      <c r="B1841">
        <v>0.99252571173614901</v>
      </c>
      <c r="C1841">
        <v>1.0118563845475801</v>
      </c>
      <c r="D1841">
        <v>0.86592854224262905</v>
      </c>
      <c r="E1841">
        <v>0.90221334935286901</v>
      </c>
      <c r="F1841">
        <v>0.81701657640106295</v>
      </c>
      <c r="G1841">
        <v>0.64257011728797797</v>
      </c>
      <c r="H1841">
        <v>0.54084566553117697</v>
      </c>
      <c r="I1841">
        <v>0.76350507364682096</v>
      </c>
      <c r="J1841">
        <v>1.1509973234972599</v>
      </c>
      <c r="K1841">
        <v>0.86460975940482998</v>
      </c>
      <c r="L1841">
        <v>1144.6921810363101</v>
      </c>
      <c r="M1841">
        <v>24.690507679794401</v>
      </c>
      <c r="O1841">
        <v>46.060715748754397</v>
      </c>
      <c r="P1841">
        <v>-2.6559444430846301E-2</v>
      </c>
      <c r="Q1841">
        <v>0.80181375762042995</v>
      </c>
      <c r="R1841">
        <v>0.20063138585823001</v>
      </c>
      <c r="S1841" t="s">
        <v>8487</v>
      </c>
      <c r="T1841" t="s">
        <v>13290</v>
      </c>
      <c r="U1841" t="s">
        <v>13290</v>
      </c>
      <c r="V1841" t="s">
        <v>13290</v>
      </c>
      <c r="W1841" t="s">
        <v>15099</v>
      </c>
      <c r="X1841">
        <v>2</v>
      </c>
      <c r="Y1841" t="s">
        <v>21667</v>
      </c>
      <c r="Z1841" t="s">
        <v>28171</v>
      </c>
      <c r="AA1841">
        <v>0.84569335007055335</v>
      </c>
      <c r="AB1841" t="str">
        <f>HYPERLINK("Melting_Curves/meltCurve_O95274_LYPD3.pdf", "Melting_Curves/meltCurve_O95274_LYPD3.pdf")</f>
        <v>Melting_Curves/meltCurve_O95274_LYPD3.pdf</v>
      </c>
    </row>
    <row r="1842" spans="1:28" x14ac:dyDescent="0.25">
      <c r="A1842" t="s">
        <v>1846</v>
      </c>
      <c r="B1842">
        <v>0.99252571173614901</v>
      </c>
      <c r="C1842">
        <v>0.90412499536517599</v>
      </c>
      <c r="D1842">
        <v>0.82730527001894405</v>
      </c>
      <c r="E1842">
        <v>0.784892285638363</v>
      </c>
      <c r="F1842">
        <v>0.410386430483694</v>
      </c>
      <c r="G1842">
        <v>0.197195577241215</v>
      </c>
      <c r="H1842">
        <v>9.8594871628755798E-2</v>
      </c>
      <c r="I1842">
        <v>9.4651988143406696E-2</v>
      </c>
      <c r="J1842">
        <v>0.11770052142814499</v>
      </c>
      <c r="K1842">
        <v>0.13302422906175099</v>
      </c>
      <c r="L1842">
        <v>976.70820368805505</v>
      </c>
      <c r="M1842">
        <v>18.917412236386401</v>
      </c>
      <c r="N1842">
        <v>52.145112289326903</v>
      </c>
      <c r="O1842">
        <v>51.063556576544499</v>
      </c>
      <c r="P1842">
        <v>-8.4728786883024196E-2</v>
      </c>
      <c r="Q1842">
        <v>8.5207274515277598E-2</v>
      </c>
      <c r="R1842">
        <v>0.98129084889421803</v>
      </c>
      <c r="S1842" t="s">
        <v>8488</v>
      </c>
      <c r="T1842" t="s">
        <v>13290</v>
      </c>
      <c r="U1842" t="s">
        <v>13290</v>
      </c>
      <c r="V1842" t="s">
        <v>13290</v>
      </c>
      <c r="W1842" t="s">
        <v>15100</v>
      </c>
      <c r="X1842">
        <v>14</v>
      </c>
      <c r="Y1842" t="s">
        <v>21668</v>
      </c>
      <c r="Z1842" t="s">
        <v>28172</v>
      </c>
      <c r="AA1842">
        <v>0.45385958882718203</v>
      </c>
      <c r="AB1842" t="str">
        <f>HYPERLINK("Melting_Curves/meltCurve_O95292_VAPB.pdf", "Melting_Curves/meltCurve_O95292_VAPB.pdf")</f>
        <v>Melting_Curves/meltCurve_O95292_VAPB.pdf</v>
      </c>
    </row>
    <row r="1843" spans="1:28" x14ac:dyDescent="0.25">
      <c r="A1843" t="s">
        <v>1847</v>
      </c>
      <c r="B1843">
        <v>0.99252571173614901</v>
      </c>
      <c r="C1843">
        <v>1.0343960354288899</v>
      </c>
      <c r="D1843">
        <v>0.95804548326281003</v>
      </c>
      <c r="E1843">
        <v>0.917863283794905</v>
      </c>
      <c r="F1843">
        <v>0.76841009460502996</v>
      </c>
      <c r="G1843">
        <v>0.54415471667194604</v>
      </c>
      <c r="H1843">
        <v>0.30093835558874599</v>
      </c>
      <c r="I1843">
        <v>0.27254664539571799</v>
      </c>
      <c r="J1843">
        <v>0.28556180715635698</v>
      </c>
      <c r="K1843">
        <v>0.28472035520041</v>
      </c>
      <c r="L1843">
        <v>1186.38607079034</v>
      </c>
      <c r="M1843">
        <v>21.506109287453601</v>
      </c>
      <c r="N1843">
        <v>57.048078167512799</v>
      </c>
      <c r="O1843">
        <v>54.694748797627099</v>
      </c>
      <c r="P1843">
        <v>-7.3319952961602194E-2</v>
      </c>
      <c r="Q1843">
        <v>0.25414341607702001</v>
      </c>
      <c r="R1843">
        <v>0.99336482214039301</v>
      </c>
      <c r="S1843" t="s">
        <v>8489</v>
      </c>
      <c r="T1843" t="s">
        <v>13290</v>
      </c>
      <c r="U1843" t="s">
        <v>13290</v>
      </c>
      <c r="V1843" t="s">
        <v>13290</v>
      </c>
      <c r="W1843" t="s">
        <v>15101</v>
      </c>
      <c r="X1843">
        <v>7</v>
      </c>
      <c r="Y1843" t="s">
        <v>21669</v>
      </c>
      <c r="Z1843" t="s">
        <v>28173</v>
      </c>
      <c r="AA1843">
        <v>0.64002635487164272</v>
      </c>
      <c r="AB1843" t="str">
        <f>HYPERLINK("Melting_Curves/meltCurve_O95295_SNAPIN.pdf", "Melting_Curves/meltCurve_O95295_SNAPIN.pdf")</f>
        <v>Melting_Curves/meltCurve_O95295_SNAPIN.pdf</v>
      </c>
    </row>
    <row r="1844" spans="1:28" x14ac:dyDescent="0.25">
      <c r="A1844" t="s">
        <v>1848</v>
      </c>
      <c r="B1844">
        <v>0.99252571173614901</v>
      </c>
      <c r="C1844">
        <v>0.93664447827174602</v>
      </c>
      <c r="D1844">
        <v>0.88839600819548403</v>
      </c>
      <c r="E1844">
        <v>0.81134007720580004</v>
      </c>
      <c r="F1844">
        <v>0.63730471268067701</v>
      </c>
      <c r="G1844">
        <v>0.54721536092398004</v>
      </c>
      <c r="H1844">
        <v>0.422720699003169</v>
      </c>
      <c r="I1844">
        <v>0.42899657282591103</v>
      </c>
      <c r="J1844">
        <v>0.56796828067993899</v>
      </c>
      <c r="K1844">
        <v>0.456519341911308</v>
      </c>
      <c r="L1844">
        <v>803.45552060386501</v>
      </c>
      <c r="M1844">
        <v>15.810418703186899</v>
      </c>
      <c r="N1844">
        <v>59.898002674236103</v>
      </c>
      <c r="O1844">
        <v>50.025958496329402</v>
      </c>
      <c r="P1844">
        <v>-4.3104821159325901E-2</v>
      </c>
      <c r="Q1844">
        <v>0.45449065997369098</v>
      </c>
      <c r="R1844">
        <v>0.95335213245519401</v>
      </c>
      <c r="S1844" t="s">
        <v>8490</v>
      </c>
      <c r="T1844" t="s">
        <v>13290</v>
      </c>
      <c r="U1844" t="s">
        <v>13290</v>
      </c>
      <c r="V1844" t="s">
        <v>13290</v>
      </c>
      <c r="W1844" t="s">
        <v>15102</v>
      </c>
      <c r="X1844">
        <v>5</v>
      </c>
      <c r="Y1844" t="s">
        <v>21670</v>
      </c>
      <c r="Z1844" t="s">
        <v>28174</v>
      </c>
      <c r="AA1844">
        <v>0.66279562335523368</v>
      </c>
      <c r="AB1844" t="str">
        <f>HYPERLINK("Melting_Curves/meltCurve_O95297_2_MPZL1.pdf", "Melting_Curves/meltCurve_O95297_2_MPZL1.pdf")</f>
        <v>Melting_Curves/meltCurve_O95297_2_MPZL1.pdf</v>
      </c>
    </row>
    <row r="1845" spans="1:28" x14ac:dyDescent="0.25">
      <c r="A1845" t="s">
        <v>1849</v>
      </c>
      <c r="B1845">
        <v>0.99252571173614901</v>
      </c>
      <c r="C1845">
        <v>1.01781865378728</v>
      </c>
      <c r="D1845">
        <v>0.942649584463501</v>
      </c>
      <c r="E1845">
        <v>0.89264678809404696</v>
      </c>
      <c r="F1845">
        <v>0.68574899873008699</v>
      </c>
      <c r="G1845">
        <v>0.62099594749060805</v>
      </c>
      <c r="H1845">
        <v>0.67071080002055306</v>
      </c>
      <c r="I1845">
        <v>0.60608513857132995</v>
      </c>
      <c r="J1845">
        <v>0.54705422235010404</v>
      </c>
      <c r="K1845">
        <v>0.41731923777156599</v>
      </c>
      <c r="L1845">
        <v>592.86496216247997</v>
      </c>
      <c r="M1845">
        <v>10.9592045855096</v>
      </c>
      <c r="O1845">
        <v>52.389780777711103</v>
      </c>
      <c r="P1845">
        <v>-2.7879947596504102E-2</v>
      </c>
      <c r="Q1845">
        <v>0.46706912952032897</v>
      </c>
      <c r="R1845">
        <v>0.92407935865383195</v>
      </c>
      <c r="S1845" t="s">
        <v>8491</v>
      </c>
      <c r="T1845" t="s">
        <v>13290</v>
      </c>
      <c r="U1845" t="s">
        <v>13290</v>
      </c>
      <c r="V1845" t="s">
        <v>13290</v>
      </c>
      <c r="W1845" t="s">
        <v>15103</v>
      </c>
      <c r="X1845">
        <v>6</v>
      </c>
      <c r="Y1845" t="s">
        <v>21671</v>
      </c>
      <c r="Z1845" t="s">
        <v>28175</v>
      </c>
      <c r="AA1845">
        <v>0.73237997613909189</v>
      </c>
      <c r="AB1845" t="str">
        <f>HYPERLINK("Melting_Curves/meltCurve_O95298_2_NDUFC2.pdf", "Melting_Curves/meltCurve_O95298_2_NDUFC2.pdf")</f>
        <v>Melting_Curves/meltCurve_O95298_2_NDUFC2.pdf</v>
      </c>
    </row>
    <row r="1846" spans="1:28" x14ac:dyDescent="0.25">
      <c r="A1846" t="s">
        <v>1850</v>
      </c>
      <c r="B1846">
        <v>0.99252571173614901</v>
      </c>
      <c r="C1846">
        <v>1.0186652723170599</v>
      </c>
      <c r="D1846">
        <v>0.91677272967144097</v>
      </c>
      <c r="E1846">
        <v>0.50693044632198803</v>
      </c>
      <c r="F1846">
        <v>0.230824070671204</v>
      </c>
      <c r="G1846">
        <v>0.12240327654014201</v>
      </c>
      <c r="H1846">
        <v>9.3627890043924106E-2</v>
      </c>
      <c r="I1846">
        <v>0.101130309784009</v>
      </c>
      <c r="J1846">
        <v>0.14994776587484199</v>
      </c>
      <c r="K1846">
        <v>0.108393793466887</v>
      </c>
      <c r="L1846">
        <v>1464.8144690028701</v>
      </c>
      <c r="M1846">
        <v>29.6989713003486</v>
      </c>
      <c r="N1846">
        <v>49.756140284927397</v>
      </c>
      <c r="O1846">
        <v>49.100062302871201</v>
      </c>
      <c r="P1846">
        <v>-0.13395924474047799</v>
      </c>
      <c r="Q1846">
        <v>0.114129244881173</v>
      </c>
      <c r="R1846">
        <v>0.99727113915418697</v>
      </c>
      <c r="S1846" t="s">
        <v>8492</v>
      </c>
      <c r="T1846" t="s">
        <v>13290</v>
      </c>
      <c r="U1846" t="s">
        <v>13290</v>
      </c>
      <c r="V1846" t="s">
        <v>13290</v>
      </c>
      <c r="W1846" t="s">
        <v>15104</v>
      </c>
      <c r="X1846">
        <v>23</v>
      </c>
      <c r="Y1846" t="s">
        <v>21672</v>
      </c>
      <c r="Z1846" t="s">
        <v>28176</v>
      </c>
      <c r="AA1846">
        <v>0.39493444430619029</v>
      </c>
      <c r="AB1846" t="str">
        <f>HYPERLINK("Melting_Curves/meltCurve_O95302_FKBP9.pdf", "Melting_Curves/meltCurve_O95302_FKBP9.pdf")</f>
        <v>Melting_Curves/meltCurve_O95302_FKBP9.pdf</v>
      </c>
    </row>
    <row r="1847" spans="1:28" x14ac:dyDescent="0.25">
      <c r="A1847" t="s">
        <v>1851</v>
      </c>
      <c r="B1847">
        <v>0.99252571173614901</v>
      </c>
      <c r="C1847">
        <v>1.0931236342422801</v>
      </c>
      <c r="D1847">
        <v>1.00309261077672</v>
      </c>
      <c r="E1847">
        <v>0.89029007169218699</v>
      </c>
      <c r="F1847">
        <v>0.81525037763054697</v>
      </c>
      <c r="G1847">
        <v>0.67945878530446902</v>
      </c>
      <c r="H1847">
        <v>0.532584297603373</v>
      </c>
      <c r="I1847">
        <v>0.33386931643245998</v>
      </c>
      <c r="J1847">
        <v>0.143068979458436</v>
      </c>
      <c r="K1847">
        <v>0.110701088908348</v>
      </c>
      <c r="L1847">
        <v>794.71890643997403</v>
      </c>
      <c r="M1847">
        <v>13.204735507201001</v>
      </c>
      <c r="N1847">
        <v>60.184386697001003</v>
      </c>
      <c r="O1847">
        <v>58.854305083424201</v>
      </c>
      <c r="P1847">
        <v>-5.6100108219322702E-2</v>
      </c>
      <c r="Q1847">
        <v>0</v>
      </c>
      <c r="R1847">
        <v>0.98035189479476603</v>
      </c>
      <c r="S1847" t="s">
        <v>8493</v>
      </c>
      <c r="T1847" t="s">
        <v>13290</v>
      </c>
      <c r="U1847" t="s">
        <v>13290</v>
      </c>
      <c r="V1847" t="s">
        <v>13290</v>
      </c>
      <c r="W1847" t="s">
        <v>15105</v>
      </c>
      <c r="X1847">
        <v>14</v>
      </c>
      <c r="Y1847" t="s">
        <v>21673</v>
      </c>
      <c r="Z1847" t="s">
        <v>28177</v>
      </c>
      <c r="AA1847">
        <v>0.6765847841092093</v>
      </c>
      <c r="AB1847" t="str">
        <f>HYPERLINK("Melting_Curves/meltCurve_O95336_PGLS.pdf", "Melting_Curves/meltCurve_O95336_PGLS.pdf")</f>
        <v>Melting_Curves/meltCurve_O95336_PGLS.pdf</v>
      </c>
    </row>
    <row r="1848" spans="1:28" x14ac:dyDescent="0.25">
      <c r="A1848" t="s">
        <v>1852</v>
      </c>
      <c r="B1848">
        <v>0.99252571173614901</v>
      </c>
      <c r="C1848">
        <v>0.87534990351130004</v>
      </c>
      <c r="D1848">
        <v>0.92262414322375197</v>
      </c>
      <c r="E1848">
        <v>0.669074863083298</v>
      </c>
      <c r="F1848">
        <v>0.16336116802063999</v>
      </c>
      <c r="G1848">
        <v>0.10756334799641</v>
      </c>
      <c r="H1848">
        <v>7.9047869340410498E-2</v>
      </c>
      <c r="I1848">
        <v>0.12827224970589901</v>
      </c>
      <c r="J1848">
        <v>9.8559091982211897E-2</v>
      </c>
      <c r="K1848">
        <v>8.8028187349554907E-2</v>
      </c>
      <c r="L1848">
        <v>1959.27190043216</v>
      </c>
      <c r="M1848">
        <v>39.021585281178403</v>
      </c>
      <c r="N1848">
        <v>50.482256858178303</v>
      </c>
      <c r="O1848">
        <v>50.078628099917097</v>
      </c>
      <c r="P1848">
        <v>-0.17631442259288099</v>
      </c>
      <c r="Q1848">
        <v>9.4904624101222093E-2</v>
      </c>
      <c r="R1848">
        <v>0.98581275666315005</v>
      </c>
      <c r="S1848" t="s">
        <v>8494</v>
      </c>
      <c r="T1848" t="s">
        <v>13290</v>
      </c>
      <c r="U1848" t="s">
        <v>13290</v>
      </c>
      <c r="V1848" t="s">
        <v>13290</v>
      </c>
      <c r="W1848" t="s">
        <v>15106</v>
      </c>
      <c r="X1848">
        <v>34</v>
      </c>
      <c r="Y1848" t="s">
        <v>21674</v>
      </c>
      <c r="Z1848" t="s">
        <v>28178</v>
      </c>
      <c r="AA1848">
        <v>0.40624030817888879</v>
      </c>
      <c r="AB1848" t="str">
        <f>HYPERLINK("Melting_Curves/meltCurve_O95347_SMC2.pdf", "Melting_Curves/meltCurve_O95347_SMC2.pdf")</f>
        <v>Melting_Curves/meltCurve_O95347_SMC2.pdf</v>
      </c>
    </row>
    <row r="1849" spans="1:28" x14ac:dyDescent="0.25">
      <c r="A1849" t="s">
        <v>1853</v>
      </c>
      <c r="B1849">
        <v>0.99252571173614901</v>
      </c>
      <c r="C1849">
        <v>0.92816850775688098</v>
      </c>
      <c r="D1849">
        <v>0.89139323948895199</v>
      </c>
      <c r="E1849">
        <v>0.69487575855824701</v>
      </c>
      <c r="F1849">
        <v>0.21357634873237599</v>
      </c>
      <c r="G1849">
        <v>0.13129671852074101</v>
      </c>
      <c r="H1849">
        <v>9.5193167382032706E-2</v>
      </c>
      <c r="I1849">
        <v>0.10371889127772201</v>
      </c>
      <c r="J1849">
        <v>0.12995315876421201</v>
      </c>
      <c r="K1849">
        <v>9.6490888261298299E-2</v>
      </c>
      <c r="L1849">
        <v>1594.10755582654</v>
      </c>
      <c r="M1849">
        <v>31.626307109673998</v>
      </c>
      <c r="N1849">
        <v>50.769238496712902</v>
      </c>
      <c r="O1849">
        <v>50.204248058226298</v>
      </c>
      <c r="P1849">
        <v>-0.141482700281746</v>
      </c>
      <c r="Q1849">
        <v>0.101634733763734</v>
      </c>
      <c r="R1849">
        <v>0.99135680505302504</v>
      </c>
      <c r="S1849" t="s">
        <v>8495</v>
      </c>
      <c r="T1849" t="s">
        <v>13290</v>
      </c>
      <c r="U1849" t="s">
        <v>13290</v>
      </c>
      <c r="V1849" t="s">
        <v>13290</v>
      </c>
      <c r="W1849" t="s">
        <v>15107</v>
      </c>
      <c r="X1849">
        <v>13</v>
      </c>
      <c r="Y1849" t="s">
        <v>21675</v>
      </c>
      <c r="Z1849" t="s">
        <v>28179</v>
      </c>
      <c r="AA1849">
        <v>0.4182307773343904</v>
      </c>
      <c r="AB1849" t="str">
        <f>HYPERLINK("Melting_Curves/meltCurve_O95352_ATG7.pdf", "Melting_Curves/meltCurve_O95352_ATG7.pdf")</f>
        <v>Melting_Curves/meltCurve_O95352_ATG7.pdf</v>
      </c>
    </row>
    <row r="1850" spans="1:28" x14ac:dyDescent="0.25">
      <c r="A1850" t="s">
        <v>1854</v>
      </c>
      <c r="B1850">
        <v>0.99252571173614901</v>
      </c>
      <c r="C1850">
        <v>0.89942274045769</v>
      </c>
      <c r="D1850">
        <v>0.64175803374408602</v>
      </c>
      <c r="E1850">
        <v>0.32229519010666402</v>
      </c>
      <c r="F1850">
        <v>9.4837875588184906E-2</v>
      </c>
      <c r="G1850">
        <v>5.2946055279293802E-2</v>
      </c>
      <c r="H1850">
        <v>3.9176262281059998E-2</v>
      </c>
      <c r="I1850">
        <v>5.1344386722599902E-2</v>
      </c>
      <c r="J1850">
        <v>5.24714134760376E-2</v>
      </c>
      <c r="K1850">
        <v>4.7909470316716003E-2</v>
      </c>
      <c r="L1850">
        <v>1002.67296994993</v>
      </c>
      <c r="M1850">
        <v>21.219521186188999</v>
      </c>
      <c r="N1850">
        <v>47.432685951412999</v>
      </c>
      <c r="O1850">
        <v>46.838724186491703</v>
      </c>
      <c r="P1850">
        <v>-0.108873042786388</v>
      </c>
      <c r="Q1850">
        <v>3.8744929356203398E-2</v>
      </c>
      <c r="R1850">
        <v>0.99835025795585497</v>
      </c>
      <c r="S1850" t="s">
        <v>8496</v>
      </c>
      <c r="T1850" t="s">
        <v>13290</v>
      </c>
      <c r="U1850" t="s">
        <v>13290</v>
      </c>
      <c r="V1850" t="s">
        <v>13290</v>
      </c>
      <c r="W1850" t="s">
        <v>15108</v>
      </c>
      <c r="X1850">
        <v>5</v>
      </c>
      <c r="Y1850" t="s">
        <v>21676</v>
      </c>
      <c r="Z1850" t="s">
        <v>28180</v>
      </c>
      <c r="AA1850">
        <v>0.28336845514601161</v>
      </c>
      <c r="AB1850" t="str">
        <f>HYPERLINK("Melting_Curves/meltCurve_O95363_FARS2.pdf", "Melting_Curves/meltCurve_O95363_FARS2.pdf")</f>
        <v>Melting_Curves/meltCurve_O95363_FARS2.pdf</v>
      </c>
    </row>
    <row r="1851" spans="1:28" x14ac:dyDescent="0.25">
      <c r="A1851" t="s">
        <v>1855</v>
      </c>
      <c r="B1851">
        <v>0.99252571173614901</v>
      </c>
      <c r="C1851">
        <v>0.97435753753499099</v>
      </c>
      <c r="D1851">
        <v>0.92339612307735797</v>
      </c>
      <c r="E1851">
        <v>0.830086162021624</v>
      </c>
      <c r="F1851">
        <v>0.61058025245818104</v>
      </c>
      <c r="G1851">
        <v>0.43634172747657102</v>
      </c>
      <c r="H1851">
        <v>0.313746006874844</v>
      </c>
      <c r="I1851">
        <v>0.271365429735556</v>
      </c>
      <c r="J1851">
        <v>0.208569267042155</v>
      </c>
      <c r="K1851">
        <v>0.189523768722245</v>
      </c>
      <c r="L1851">
        <v>753.02484032800805</v>
      </c>
      <c r="M1851">
        <v>13.9604099289374</v>
      </c>
      <c r="N1851">
        <v>55.549274971816303</v>
      </c>
      <c r="O1851">
        <v>52.869408802392101</v>
      </c>
      <c r="P1851">
        <v>-5.5041546590376599E-2</v>
      </c>
      <c r="Q1851">
        <v>0.16632139693961701</v>
      </c>
      <c r="R1851">
        <v>0.99866625738717396</v>
      </c>
      <c r="S1851" t="s">
        <v>8497</v>
      </c>
      <c r="T1851" t="s">
        <v>13290</v>
      </c>
      <c r="U1851" t="s">
        <v>13290</v>
      </c>
      <c r="V1851" t="s">
        <v>13290</v>
      </c>
      <c r="W1851" t="s">
        <v>15109</v>
      </c>
      <c r="X1851">
        <v>5</v>
      </c>
      <c r="Y1851" t="s">
        <v>21677</v>
      </c>
      <c r="Z1851" t="s">
        <v>28181</v>
      </c>
      <c r="AA1851">
        <v>0.57240815893075947</v>
      </c>
      <c r="AB1851" t="str">
        <f>HYPERLINK("Melting_Curves/meltCurve_O95365_ZBTB7A.pdf", "Melting_Curves/meltCurve_O95365_ZBTB7A.pdf")</f>
        <v>Melting_Curves/meltCurve_O95365_ZBTB7A.pdf</v>
      </c>
    </row>
    <row r="1852" spans="1:28" x14ac:dyDescent="0.25">
      <c r="A1852" t="s">
        <v>1856</v>
      </c>
      <c r="B1852">
        <v>0.99252571173614901</v>
      </c>
      <c r="C1852">
        <v>1.0963441110332599</v>
      </c>
      <c r="D1852">
        <v>1.0070340400321001</v>
      </c>
      <c r="E1852">
        <v>0.94526921332004099</v>
      </c>
      <c r="F1852">
        <v>0.57766701969838197</v>
      </c>
      <c r="G1852">
        <v>0.23902323535771</v>
      </c>
      <c r="H1852">
        <v>0.11988679749987501</v>
      </c>
      <c r="I1852">
        <v>0.11157325123400801</v>
      </c>
      <c r="J1852">
        <v>0.115037589359193</v>
      </c>
      <c r="K1852">
        <v>0.109062718728175</v>
      </c>
      <c r="L1852">
        <v>1728.8032017359501</v>
      </c>
      <c r="M1852">
        <v>32.3512555537663</v>
      </c>
      <c r="N1852">
        <v>53.853738648812303</v>
      </c>
      <c r="O1852">
        <v>53.235591877210403</v>
      </c>
      <c r="P1852">
        <v>-0.13515638644532099</v>
      </c>
      <c r="Q1852">
        <v>0.110378484986163</v>
      </c>
      <c r="R1852">
        <v>0.99411972995952302</v>
      </c>
      <c r="S1852" t="s">
        <v>8498</v>
      </c>
      <c r="T1852" t="s">
        <v>13290</v>
      </c>
      <c r="U1852" t="s">
        <v>13290</v>
      </c>
      <c r="V1852" t="s">
        <v>13290</v>
      </c>
      <c r="W1852" t="s">
        <v>15110</v>
      </c>
      <c r="X1852">
        <v>13</v>
      </c>
      <c r="Y1852" t="s">
        <v>21678</v>
      </c>
      <c r="Z1852" t="s">
        <v>28182</v>
      </c>
      <c r="AA1852">
        <v>0.51389103184051255</v>
      </c>
      <c r="AB1852" t="str">
        <f>HYPERLINK("Melting_Curves/meltCurve_O95372_LYPLA2.pdf", "Melting_Curves/meltCurve_O95372_LYPLA2.pdf")</f>
        <v>Melting_Curves/meltCurve_O95372_LYPLA2.pdf</v>
      </c>
    </row>
    <row r="1853" spans="1:28" x14ac:dyDescent="0.25">
      <c r="A1853" t="s">
        <v>1857</v>
      </c>
      <c r="B1853">
        <v>0.99252571173614901</v>
      </c>
      <c r="C1853">
        <v>0.88723029672260501</v>
      </c>
      <c r="D1853">
        <v>0.76690512167092995</v>
      </c>
      <c r="E1853">
        <v>0.46393998189465702</v>
      </c>
      <c r="F1853">
        <v>0.20104138968396101</v>
      </c>
      <c r="G1853">
        <v>0.109449771120112</v>
      </c>
      <c r="H1853">
        <v>7.3280858425115794E-2</v>
      </c>
      <c r="I1853">
        <v>7.8030757423234995E-2</v>
      </c>
      <c r="J1853">
        <v>0.101121352290351</v>
      </c>
      <c r="K1853">
        <v>9.4940931246830895E-2</v>
      </c>
      <c r="L1853">
        <v>925.05369983115804</v>
      </c>
      <c r="M1853">
        <v>19.060375318731399</v>
      </c>
      <c r="N1853">
        <v>48.9366596821299</v>
      </c>
      <c r="O1853">
        <v>48.008060540769897</v>
      </c>
      <c r="P1853">
        <v>-9.2036555443298002E-2</v>
      </c>
      <c r="Q1853">
        <v>7.2773209835657604E-2</v>
      </c>
      <c r="R1853">
        <v>0.99648531687932795</v>
      </c>
      <c r="S1853" t="s">
        <v>8499</v>
      </c>
      <c r="T1853" t="s">
        <v>13290</v>
      </c>
      <c r="U1853" t="s">
        <v>13290</v>
      </c>
      <c r="V1853" t="s">
        <v>13290</v>
      </c>
      <c r="W1853" t="s">
        <v>15111</v>
      </c>
      <c r="X1853">
        <v>28</v>
      </c>
      <c r="Y1853" t="s">
        <v>21679</v>
      </c>
      <c r="Z1853" t="s">
        <v>28183</v>
      </c>
      <c r="AA1853">
        <v>0.35092519313815951</v>
      </c>
      <c r="AB1853" t="str">
        <f>HYPERLINK("Melting_Curves/meltCurve_O95373_IPO7.pdf", "Melting_Curves/meltCurve_O95373_IPO7.pdf")</f>
        <v>Melting_Curves/meltCurve_O95373_IPO7.pdf</v>
      </c>
    </row>
    <row r="1854" spans="1:28" x14ac:dyDescent="0.25">
      <c r="A1854" t="s">
        <v>1858</v>
      </c>
      <c r="B1854">
        <v>0.99252571173614901</v>
      </c>
      <c r="C1854">
        <v>1.09987712964424</v>
      </c>
      <c r="D1854">
        <v>0.97741469516824597</v>
      </c>
      <c r="E1854">
        <v>0.953227326416904</v>
      </c>
      <c r="F1854">
        <v>0.43629289542449701</v>
      </c>
      <c r="G1854">
        <v>0.17235063659401001</v>
      </c>
      <c r="H1854">
        <v>0.117892325300004</v>
      </c>
      <c r="I1854">
        <v>0.138206725023305</v>
      </c>
      <c r="J1854">
        <v>0.162834762717284</v>
      </c>
      <c r="K1854">
        <v>0.144032164347868</v>
      </c>
      <c r="L1854">
        <v>2515.0387593636501</v>
      </c>
      <c r="M1854">
        <v>47.9187955662481</v>
      </c>
      <c r="N1854">
        <v>52.854566255408898</v>
      </c>
      <c r="O1854">
        <v>52.394268465893099</v>
      </c>
      <c r="P1854">
        <v>-0.19612980080357301</v>
      </c>
      <c r="Q1854">
        <v>0.142209902152821</v>
      </c>
      <c r="R1854">
        <v>0.99296904472284597</v>
      </c>
      <c r="S1854" t="s">
        <v>8500</v>
      </c>
      <c r="T1854" t="s">
        <v>13290</v>
      </c>
      <c r="U1854" t="s">
        <v>13290</v>
      </c>
      <c r="V1854" t="s">
        <v>13290</v>
      </c>
      <c r="W1854" t="s">
        <v>15112</v>
      </c>
      <c r="X1854">
        <v>13</v>
      </c>
      <c r="Y1854" t="s">
        <v>21680</v>
      </c>
      <c r="Z1854" t="s">
        <v>28184</v>
      </c>
      <c r="AA1854">
        <v>0.50136883399765675</v>
      </c>
      <c r="AB1854" t="str">
        <f>HYPERLINK("Melting_Curves/meltCurve_O95376_ARIH2.pdf", "Melting_Curves/meltCurve_O95376_ARIH2.pdf")</f>
        <v>Melting_Curves/meltCurve_O95376_ARIH2.pdf</v>
      </c>
    </row>
    <row r="1855" spans="1:28" x14ac:dyDescent="0.25">
      <c r="A1855" t="s">
        <v>1859</v>
      </c>
      <c r="B1855">
        <v>0.99252571173614901</v>
      </c>
      <c r="C1855">
        <v>0.82190564184108506</v>
      </c>
      <c r="D1855">
        <v>0.51140177143613796</v>
      </c>
      <c r="E1855">
        <v>0.49227583730646801</v>
      </c>
      <c r="F1855">
        <v>0.40494017482991501</v>
      </c>
      <c r="G1855">
        <v>0.23596217199361399</v>
      </c>
      <c r="H1855">
        <v>0.20378791254733999</v>
      </c>
      <c r="I1855">
        <v>0.23811398967709099</v>
      </c>
      <c r="J1855">
        <v>0.281446047020319</v>
      </c>
      <c r="K1855">
        <v>0.31342960333113701</v>
      </c>
      <c r="L1855">
        <v>732.03775730941197</v>
      </c>
      <c r="M1855">
        <v>16.0400926256576</v>
      </c>
      <c r="N1855">
        <v>47.832501802577902</v>
      </c>
      <c r="O1855">
        <v>44.946301692169499</v>
      </c>
      <c r="P1855">
        <v>-6.5985155033760304E-2</v>
      </c>
      <c r="Q1855">
        <v>0.26046322144008299</v>
      </c>
      <c r="R1855">
        <v>0.94409634706361101</v>
      </c>
      <c r="S1855" t="s">
        <v>8501</v>
      </c>
      <c r="T1855" t="s">
        <v>13290</v>
      </c>
      <c r="U1855" t="s">
        <v>13290</v>
      </c>
      <c r="V1855" t="s">
        <v>13290</v>
      </c>
      <c r="W1855" t="s">
        <v>15113</v>
      </c>
      <c r="X1855">
        <v>5</v>
      </c>
      <c r="Y1855" t="s">
        <v>21681</v>
      </c>
      <c r="Z1855" t="s">
        <v>28185</v>
      </c>
      <c r="AA1855">
        <v>0.41875900840141128</v>
      </c>
      <c r="AB1855" t="str">
        <f>HYPERLINK("Melting_Curves/meltCurve_O95391_SLU7.pdf", "Melting_Curves/meltCurve_O95391_SLU7.pdf")</f>
        <v>Melting_Curves/meltCurve_O95391_SLU7.pdf</v>
      </c>
    </row>
    <row r="1856" spans="1:28" x14ac:dyDescent="0.25">
      <c r="A1856" t="s">
        <v>1860</v>
      </c>
      <c r="B1856">
        <v>0.99252571173614901</v>
      </c>
      <c r="C1856">
        <v>1.0867885522271199</v>
      </c>
      <c r="D1856">
        <v>0.75913498376670996</v>
      </c>
      <c r="E1856">
        <v>0.55097453967493204</v>
      </c>
      <c r="F1856">
        <v>0.15291962453428201</v>
      </c>
      <c r="G1856">
        <v>9.2036010113474398E-2</v>
      </c>
      <c r="H1856">
        <v>6.8830531535900796E-2</v>
      </c>
      <c r="I1856">
        <v>7.6160847741479396E-2</v>
      </c>
      <c r="J1856">
        <v>9.32092775892185E-2</v>
      </c>
      <c r="K1856">
        <v>0.101350178380704</v>
      </c>
      <c r="L1856">
        <v>1182.9347139635599</v>
      </c>
      <c r="M1856">
        <v>24.061142770085901</v>
      </c>
      <c r="N1856">
        <v>49.4873547184675</v>
      </c>
      <c r="O1856">
        <v>48.8278988847824</v>
      </c>
      <c r="P1856">
        <v>-0.114226513986893</v>
      </c>
      <c r="Q1856">
        <v>7.2803698234852499E-2</v>
      </c>
      <c r="R1856">
        <v>0.98079729350793199</v>
      </c>
      <c r="S1856" t="s">
        <v>8502</v>
      </c>
      <c r="T1856" t="s">
        <v>13290</v>
      </c>
      <c r="U1856" t="s">
        <v>13290</v>
      </c>
      <c r="V1856" t="s">
        <v>13290</v>
      </c>
      <c r="W1856" t="s">
        <v>15114</v>
      </c>
      <c r="X1856">
        <v>23</v>
      </c>
      <c r="Y1856" t="s">
        <v>21682</v>
      </c>
      <c r="Z1856" t="s">
        <v>28186</v>
      </c>
      <c r="AA1856">
        <v>0.36491919799798123</v>
      </c>
      <c r="AB1856" t="str">
        <f>HYPERLINK("Melting_Curves/meltCurve_O95394_PGM3.pdf", "Melting_Curves/meltCurve_O95394_PGM3.pdf")</f>
        <v>Melting_Curves/meltCurve_O95394_PGM3.pdf</v>
      </c>
    </row>
    <row r="1857" spans="1:28" x14ac:dyDescent="0.25">
      <c r="A1857" t="s">
        <v>1861</v>
      </c>
      <c r="B1857">
        <v>0.99252571173614901</v>
      </c>
      <c r="C1857">
        <v>0.96727839590228204</v>
      </c>
      <c r="D1857">
        <v>0.74711012197332705</v>
      </c>
      <c r="E1857">
        <v>0.41280272110522498</v>
      </c>
      <c r="F1857">
        <v>0.27376404472806298</v>
      </c>
      <c r="G1857">
        <v>0.12087100884018601</v>
      </c>
      <c r="H1857">
        <v>8.3696381627946001E-2</v>
      </c>
      <c r="I1857">
        <v>0.100924693978742</v>
      </c>
      <c r="J1857">
        <v>0.106579029271471</v>
      </c>
      <c r="K1857">
        <v>9.3888207774596596E-2</v>
      </c>
      <c r="L1857">
        <v>951.672637088687</v>
      </c>
      <c r="M1857">
        <v>19.678366743320399</v>
      </c>
      <c r="N1857">
        <v>48.867836195471703</v>
      </c>
      <c r="O1857">
        <v>47.870244572141999</v>
      </c>
      <c r="P1857">
        <v>-9.3292260685405498E-2</v>
      </c>
      <c r="Q1857">
        <v>9.2248171709995594E-2</v>
      </c>
      <c r="R1857">
        <v>0.99545202473841099</v>
      </c>
      <c r="S1857" t="s">
        <v>8503</v>
      </c>
      <c r="T1857" t="s">
        <v>13290</v>
      </c>
      <c r="U1857" t="s">
        <v>13290</v>
      </c>
      <c r="V1857" t="s">
        <v>13290</v>
      </c>
      <c r="W1857" t="s">
        <v>15115</v>
      </c>
      <c r="X1857">
        <v>9</v>
      </c>
      <c r="Y1857" t="s">
        <v>21683</v>
      </c>
      <c r="Z1857" t="s">
        <v>28187</v>
      </c>
      <c r="AA1857">
        <v>0.3585065940371186</v>
      </c>
      <c r="AB1857" t="str">
        <f>HYPERLINK("Melting_Curves/meltCurve_O95396_MOCS3.pdf", "Melting_Curves/meltCurve_O95396_MOCS3.pdf")</f>
        <v>Melting_Curves/meltCurve_O95396_MOCS3.pdf</v>
      </c>
    </row>
    <row r="1858" spans="1:28" x14ac:dyDescent="0.25">
      <c r="A1858" t="s">
        <v>1862</v>
      </c>
      <c r="B1858">
        <v>0.99252571173614901</v>
      </c>
      <c r="C1858">
        <v>0.49078923187048401</v>
      </c>
      <c r="D1858">
        <v>0.34218081148657098</v>
      </c>
      <c r="E1858">
        <v>0.25779137183186401</v>
      </c>
      <c r="F1858">
        <v>0.34010242398564</v>
      </c>
      <c r="G1858">
        <v>0.27729071504680902</v>
      </c>
      <c r="H1858">
        <v>0.27995507304423201</v>
      </c>
      <c r="I1858">
        <v>0.35077733691079999</v>
      </c>
      <c r="J1858">
        <v>0.51320013009860899</v>
      </c>
      <c r="K1858">
        <v>0.64395230857875796</v>
      </c>
      <c r="L1858">
        <v>3746.20673380367</v>
      </c>
      <c r="M1858">
        <v>88.813706031990606</v>
      </c>
      <c r="N1858">
        <v>42.851832953446099</v>
      </c>
      <c r="O1858">
        <v>42.159128202543201</v>
      </c>
      <c r="P1858">
        <v>-0.328826306195242</v>
      </c>
      <c r="Q1858">
        <v>0.37563556193495501</v>
      </c>
      <c r="R1858">
        <v>0.72867184724550105</v>
      </c>
      <c r="S1858" t="s">
        <v>8504</v>
      </c>
      <c r="T1858" t="s">
        <v>13290</v>
      </c>
      <c r="U1858" t="s">
        <v>13290</v>
      </c>
      <c r="V1858" t="s">
        <v>13290</v>
      </c>
      <c r="W1858" t="s">
        <v>15116</v>
      </c>
      <c r="X1858">
        <v>5</v>
      </c>
      <c r="Y1858" t="s">
        <v>21684</v>
      </c>
      <c r="Z1858" t="s">
        <v>28188</v>
      </c>
      <c r="AA1858">
        <v>0.42145173929019297</v>
      </c>
      <c r="AB1858" t="str">
        <f>HYPERLINK("Melting_Curves/meltCurve_O95400_CD2BP2.pdf", "Melting_Curves/meltCurve_O95400_CD2BP2.pdf")</f>
        <v>Melting_Curves/meltCurve_O95400_CD2BP2.pdf</v>
      </c>
    </row>
    <row r="1859" spans="1:28" x14ac:dyDescent="0.25">
      <c r="A1859" t="s">
        <v>1863</v>
      </c>
      <c r="B1859">
        <v>0.99252571173614901</v>
      </c>
      <c r="C1859">
        <v>0.99450206094847104</v>
      </c>
      <c r="D1859">
        <v>0.93103773201624296</v>
      </c>
      <c r="E1859">
        <v>0.80723405309398</v>
      </c>
      <c r="F1859">
        <v>0.89693509466972399</v>
      </c>
      <c r="G1859">
        <v>0.51143216317825302</v>
      </c>
      <c r="H1859">
        <v>0.45665281246393602</v>
      </c>
      <c r="I1859">
        <v>0.46815663848587802</v>
      </c>
      <c r="J1859">
        <v>0.68547816069844003</v>
      </c>
      <c r="K1859">
        <v>0.88400239273136605</v>
      </c>
      <c r="L1859">
        <v>1123.2809795666001</v>
      </c>
      <c r="M1859">
        <v>21.946999032573501</v>
      </c>
      <c r="O1859">
        <v>50.762277427931501</v>
      </c>
      <c r="P1859">
        <v>-4.1962435791301898E-2</v>
      </c>
      <c r="Q1859">
        <v>0.611780874636498</v>
      </c>
      <c r="R1859">
        <v>0.56622823514751597</v>
      </c>
      <c r="S1859" t="s">
        <v>8505</v>
      </c>
      <c r="T1859" t="s">
        <v>13290</v>
      </c>
      <c r="U1859" t="s">
        <v>13290</v>
      </c>
      <c r="V1859" t="s">
        <v>13290</v>
      </c>
      <c r="W1859" t="s">
        <v>15117</v>
      </c>
      <c r="X1859">
        <v>4</v>
      </c>
      <c r="Y1859" t="s">
        <v>21685</v>
      </c>
      <c r="Z1859" t="s">
        <v>28189</v>
      </c>
      <c r="AA1859">
        <v>0.76099881797741087</v>
      </c>
      <c r="AB1859" t="str">
        <f>HYPERLINK("Melting_Curves/meltCurve_O95402_MED26.pdf", "Melting_Curves/meltCurve_O95402_MED26.pdf")</f>
        <v>Melting_Curves/meltCurve_O95402_MED26.pdf</v>
      </c>
    </row>
    <row r="1860" spans="1:28" x14ac:dyDescent="0.25">
      <c r="A1860" t="s">
        <v>1864</v>
      </c>
      <c r="B1860">
        <v>0.99252571173614901</v>
      </c>
      <c r="C1860">
        <v>0.95624966714079496</v>
      </c>
      <c r="D1860">
        <v>0.80778758927392802</v>
      </c>
      <c r="E1860">
        <v>0.60851950784499897</v>
      </c>
      <c r="F1860">
        <v>0.30291275472303197</v>
      </c>
      <c r="G1860">
        <v>0.177510101133696</v>
      </c>
      <c r="H1860">
        <v>0.16349022631673599</v>
      </c>
      <c r="I1860">
        <v>0.22498497362781</v>
      </c>
      <c r="J1860">
        <v>0.31232665937024201</v>
      </c>
      <c r="K1860">
        <v>0.341257172170642</v>
      </c>
      <c r="L1860">
        <v>1159.55163944026</v>
      </c>
      <c r="M1860">
        <v>23.7508111427146</v>
      </c>
      <c r="N1860">
        <v>50.180622183146802</v>
      </c>
      <c r="O1860">
        <v>48.479424319052796</v>
      </c>
      <c r="P1860">
        <v>-9.3427185807197694E-2</v>
      </c>
      <c r="Q1860">
        <v>0.23721008378601</v>
      </c>
      <c r="R1860">
        <v>0.96062413518238099</v>
      </c>
      <c r="S1860" t="s">
        <v>8506</v>
      </c>
      <c r="T1860" t="s">
        <v>13290</v>
      </c>
      <c r="U1860" t="s">
        <v>13290</v>
      </c>
      <c r="V1860" t="s">
        <v>13290</v>
      </c>
      <c r="W1860" t="s">
        <v>15118</v>
      </c>
      <c r="X1860">
        <v>4</v>
      </c>
      <c r="Y1860" t="s">
        <v>21686</v>
      </c>
      <c r="Z1860" t="s">
        <v>28190</v>
      </c>
      <c r="AA1860">
        <v>0.46901854631251649</v>
      </c>
      <c r="AB1860" t="str">
        <f>HYPERLINK("Melting_Curves/meltCurve_O95405_3_ZFYVE9.pdf", "Melting_Curves/meltCurve_O95405_3_ZFYVE9.pdf")</f>
        <v>Melting_Curves/meltCurve_O95405_3_ZFYVE9.pdf</v>
      </c>
    </row>
    <row r="1861" spans="1:28" x14ac:dyDescent="0.25">
      <c r="A1861" t="s">
        <v>1865</v>
      </c>
      <c r="B1861">
        <v>0.99252571173614901</v>
      </c>
      <c r="C1861">
        <v>0.92499014304298899</v>
      </c>
      <c r="D1861">
        <v>0.82849268153785705</v>
      </c>
      <c r="E1861">
        <v>0.61463577185628204</v>
      </c>
      <c r="F1861">
        <v>0.30299588422116303</v>
      </c>
      <c r="G1861">
        <v>0.19321423679018501</v>
      </c>
      <c r="H1861">
        <v>0.135536069447276</v>
      </c>
      <c r="I1861">
        <v>0.146330381387864</v>
      </c>
      <c r="J1861">
        <v>0.17667490408373801</v>
      </c>
      <c r="K1861">
        <v>0.16164191496996599</v>
      </c>
      <c r="L1861">
        <v>966.37466233616101</v>
      </c>
      <c r="M1861">
        <v>19.460985144610301</v>
      </c>
      <c r="N1861">
        <v>50.5111642667569</v>
      </c>
      <c r="O1861">
        <v>49.141606800401</v>
      </c>
      <c r="P1861">
        <v>-8.5126548581757097E-2</v>
      </c>
      <c r="Q1861">
        <v>0.140207027319452</v>
      </c>
      <c r="R1861">
        <v>0.99450180746546202</v>
      </c>
      <c r="S1861" t="s">
        <v>8507</v>
      </c>
      <c r="T1861" t="s">
        <v>13290</v>
      </c>
      <c r="U1861" t="s">
        <v>13290</v>
      </c>
      <c r="V1861" t="s">
        <v>13290</v>
      </c>
      <c r="W1861" t="s">
        <v>15119</v>
      </c>
      <c r="X1861">
        <v>3</v>
      </c>
      <c r="Y1861" t="s">
        <v>21687</v>
      </c>
      <c r="Z1861" t="s">
        <v>28191</v>
      </c>
      <c r="AA1861">
        <v>0.42962696291518548</v>
      </c>
      <c r="AB1861" t="str">
        <f>HYPERLINK("Melting_Curves/meltCurve_O95409_ZIC2.pdf", "Melting_Curves/meltCurve_O95409_ZIC2.pdf")</f>
        <v>Melting_Curves/meltCurve_O95409_ZIC2.pdf</v>
      </c>
    </row>
    <row r="1862" spans="1:28" x14ac:dyDescent="0.25">
      <c r="A1862" t="s">
        <v>1866</v>
      </c>
      <c r="B1862">
        <v>0.99252571173614901</v>
      </c>
      <c r="C1862">
        <v>0.98399420645293101</v>
      </c>
      <c r="D1862">
        <v>0.95104138413530004</v>
      </c>
      <c r="E1862">
        <v>0.67710953568395904</v>
      </c>
      <c r="F1862">
        <v>0.42635035613087902</v>
      </c>
      <c r="G1862">
        <v>0.288592048114518</v>
      </c>
      <c r="H1862">
        <v>0.29164953364959201</v>
      </c>
      <c r="I1862">
        <v>0.37619719530801299</v>
      </c>
      <c r="J1862">
        <v>0.68376162118640504</v>
      </c>
      <c r="K1862">
        <v>0.81388050304787096</v>
      </c>
      <c r="L1862">
        <v>2833.5573235965699</v>
      </c>
      <c r="M1862">
        <v>57.674341535315897</v>
      </c>
      <c r="N1862">
        <v>52.020040589307399</v>
      </c>
      <c r="O1862">
        <v>49.071331802598202</v>
      </c>
      <c r="P1862">
        <v>-0.15288019193211799</v>
      </c>
      <c r="Q1862">
        <v>0.47969716098191201</v>
      </c>
      <c r="R1862">
        <v>0.67030073674865398</v>
      </c>
      <c r="S1862" t="s">
        <v>8508</v>
      </c>
      <c r="T1862" t="s">
        <v>13290</v>
      </c>
      <c r="U1862" t="s">
        <v>13290</v>
      </c>
      <c r="V1862" t="s">
        <v>13290</v>
      </c>
      <c r="W1862" t="s">
        <v>15120</v>
      </c>
      <c r="X1862">
        <v>11</v>
      </c>
      <c r="Y1862" t="s">
        <v>21688</v>
      </c>
      <c r="Z1862" t="s">
        <v>28192</v>
      </c>
      <c r="AA1862">
        <v>0.63889404649762271</v>
      </c>
      <c r="AB1862" t="str">
        <f>HYPERLINK("Melting_Curves/meltCurve_O95425_2_SVIL.pdf", "Melting_Curves/meltCurve_O95425_2_SVIL.pdf")</f>
        <v>Melting_Curves/meltCurve_O95425_2_SVIL.pdf</v>
      </c>
    </row>
    <row r="1863" spans="1:28" x14ac:dyDescent="0.25">
      <c r="A1863" t="s">
        <v>1867</v>
      </c>
      <c r="B1863">
        <v>0.99252571173614901</v>
      </c>
      <c r="C1863">
        <v>0.95436944606820595</v>
      </c>
      <c r="D1863">
        <v>0.83327838624463701</v>
      </c>
      <c r="E1863">
        <v>0.59002034806786097</v>
      </c>
      <c r="F1863">
        <v>0.343745394542255</v>
      </c>
      <c r="G1863">
        <v>0.19642276522180299</v>
      </c>
      <c r="H1863">
        <v>0.102010380897956</v>
      </c>
      <c r="I1863">
        <v>0.13395503650898899</v>
      </c>
      <c r="J1863">
        <v>0.18764810175018601</v>
      </c>
      <c r="K1863">
        <v>0.220795611127726</v>
      </c>
      <c r="L1863">
        <v>984.11701844586298</v>
      </c>
      <c r="M1863">
        <v>19.838309327499999</v>
      </c>
      <c r="N1863">
        <v>50.5265857894289</v>
      </c>
      <c r="O1863">
        <v>49.111077316534903</v>
      </c>
      <c r="P1863">
        <v>-8.5685965121919005E-2</v>
      </c>
      <c r="Q1863">
        <v>0.151542700063138</v>
      </c>
      <c r="R1863">
        <v>0.98901892220037002</v>
      </c>
      <c r="S1863" t="s">
        <v>8509</v>
      </c>
      <c r="T1863" t="s">
        <v>13290</v>
      </c>
      <c r="U1863" t="s">
        <v>13290</v>
      </c>
      <c r="V1863" t="s">
        <v>13290</v>
      </c>
      <c r="W1863" t="s">
        <v>15121</v>
      </c>
      <c r="X1863">
        <v>8</v>
      </c>
      <c r="Y1863" t="s">
        <v>21689</v>
      </c>
      <c r="Z1863" t="s">
        <v>28193</v>
      </c>
      <c r="AA1863">
        <v>0.43526891433861858</v>
      </c>
      <c r="AB1863" t="str">
        <f>HYPERLINK("Melting_Curves/meltCurve_O95429_2_BAG4.pdf", "Melting_Curves/meltCurve_O95429_2_BAG4.pdf")</f>
        <v>Melting_Curves/meltCurve_O95429_2_BAG4.pdf</v>
      </c>
    </row>
    <row r="1864" spans="1:28" x14ac:dyDescent="0.25">
      <c r="A1864" t="s">
        <v>1868</v>
      </c>
      <c r="B1864">
        <v>0.99252571173614901</v>
      </c>
      <c r="C1864">
        <v>1.31606004582647</v>
      </c>
      <c r="D1864">
        <v>0.53342953223725798</v>
      </c>
      <c r="E1864">
        <v>0.65998291292427502</v>
      </c>
      <c r="F1864">
        <v>0.16476488407675199</v>
      </c>
      <c r="G1864">
        <v>8.7387327703877596E-2</v>
      </c>
      <c r="H1864">
        <v>5.2476234795956402E-2</v>
      </c>
      <c r="I1864">
        <v>5.0505110268901601E-2</v>
      </c>
      <c r="J1864">
        <v>5.4783911600373401E-2</v>
      </c>
      <c r="K1864">
        <v>4.9221855748259803E-2</v>
      </c>
      <c r="L1864">
        <v>969.57570599420899</v>
      </c>
      <c r="M1864">
        <v>19.598986441377399</v>
      </c>
      <c r="N1864">
        <v>49.651211341181799</v>
      </c>
      <c r="O1864">
        <v>48.96430448548</v>
      </c>
      <c r="P1864">
        <v>-9.6630181265091805E-2</v>
      </c>
      <c r="Q1864">
        <v>3.4386048705239598E-2</v>
      </c>
      <c r="R1864">
        <v>0.87330876883165498</v>
      </c>
      <c r="S1864" t="s">
        <v>8510</v>
      </c>
      <c r="T1864" t="s">
        <v>13290</v>
      </c>
      <c r="U1864" t="s">
        <v>13290</v>
      </c>
      <c r="V1864" t="s">
        <v>13290</v>
      </c>
      <c r="W1864" t="s">
        <v>15122</v>
      </c>
      <c r="X1864">
        <v>26</v>
      </c>
      <c r="Y1864" t="s">
        <v>21690</v>
      </c>
      <c r="Z1864" t="s">
        <v>28194</v>
      </c>
      <c r="AA1864">
        <v>0.35325271333916453</v>
      </c>
      <c r="AB1864" t="str">
        <f>HYPERLINK("Melting_Curves/meltCurve_O95433_AHSA1.pdf", "Melting_Curves/meltCurve_O95433_AHSA1.pdf")</f>
        <v>Melting_Curves/meltCurve_O95433_AHSA1.pdf</v>
      </c>
    </row>
    <row r="1865" spans="1:28" x14ac:dyDescent="0.25">
      <c r="A1865" t="s">
        <v>1869</v>
      </c>
      <c r="B1865">
        <v>0.99252571173614901</v>
      </c>
      <c r="C1865">
        <v>1.0478630986412001</v>
      </c>
      <c r="D1865">
        <v>1.0160578091629899</v>
      </c>
      <c r="E1865">
        <v>0.75932040640853804</v>
      </c>
      <c r="F1865">
        <v>0.261339099358328</v>
      </c>
      <c r="G1865">
        <v>0.15887575587431299</v>
      </c>
      <c r="H1865">
        <v>0.124316209352391</v>
      </c>
      <c r="I1865">
        <v>0.161552162063099</v>
      </c>
      <c r="J1865">
        <v>0.125721873953024</v>
      </c>
      <c r="K1865">
        <v>0.12813925147524799</v>
      </c>
      <c r="L1865">
        <v>2042.9326664483101</v>
      </c>
      <c r="M1865">
        <v>40.212173218770701</v>
      </c>
      <c r="N1865">
        <v>51.212685694983698</v>
      </c>
      <c r="O1865">
        <v>50.678691817169799</v>
      </c>
      <c r="P1865">
        <v>-0.171132799771744</v>
      </c>
      <c r="Q1865">
        <v>0.13729938224111299</v>
      </c>
      <c r="R1865">
        <v>0.99725022221904203</v>
      </c>
      <c r="S1865" t="s">
        <v>8511</v>
      </c>
      <c r="T1865" t="s">
        <v>13290</v>
      </c>
      <c r="U1865" t="s">
        <v>13290</v>
      </c>
      <c r="V1865" t="s">
        <v>13290</v>
      </c>
      <c r="W1865" t="s">
        <v>15123</v>
      </c>
      <c r="X1865">
        <v>11</v>
      </c>
      <c r="Y1865" t="s">
        <v>21691</v>
      </c>
      <c r="Z1865" t="s">
        <v>28195</v>
      </c>
      <c r="AA1865">
        <v>0.45097938315819819</v>
      </c>
      <c r="AB1865" t="str">
        <f>HYPERLINK("Melting_Curves/meltCurve_O95453_2_PARN.pdf", "Melting_Curves/meltCurve_O95453_2_PARN.pdf")</f>
        <v>Melting_Curves/meltCurve_O95453_2_PARN.pdf</v>
      </c>
    </row>
    <row r="1866" spans="1:28" x14ac:dyDescent="0.25">
      <c r="A1866" t="s">
        <v>1870</v>
      </c>
      <c r="B1866">
        <v>0.99252571173614901</v>
      </c>
      <c r="C1866">
        <v>1.1007431766306801</v>
      </c>
      <c r="D1866">
        <v>0.97945554926242695</v>
      </c>
      <c r="E1866">
        <v>0.97739526552413403</v>
      </c>
      <c r="F1866">
        <v>0.721101478072112</v>
      </c>
      <c r="G1866">
        <v>0.48793093675688198</v>
      </c>
      <c r="H1866">
        <v>0.211495473930529</v>
      </c>
      <c r="I1866">
        <v>0.197742548233523</v>
      </c>
      <c r="J1866">
        <v>0.20621375821347099</v>
      </c>
      <c r="K1866">
        <v>0.15699647567970901</v>
      </c>
      <c r="L1866">
        <v>1290.2722382489601</v>
      </c>
      <c r="M1866">
        <v>23.365631067043399</v>
      </c>
      <c r="N1866">
        <v>56.171711030861402</v>
      </c>
      <c r="O1866">
        <v>54.821225802542799</v>
      </c>
      <c r="P1866">
        <v>-8.9152495195334899E-2</v>
      </c>
      <c r="Q1866">
        <v>0.16332432282069601</v>
      </c>
      <c r="R1866">
        <v>0.98778866600762205</v>
      </c>
      <c r="S1866" t="s">
        <v>8512</v>
      </c>
      <c r="T1866" t="s">
        <v>13290</v>
      </c>
      <c r="U1866" t="s">
        <v>13290</v>
      </c>
      <c r="V1866" t="s">
        <v>13290</v>
      </c>
      <c r="W1866" t="s">
        <v>15124</v>
      </c>
      <c r="X1866">
        <v>1</v>
      </c>
      <c r="Y1866" t="s">
        <v>21692</v>
      </c>
      <c r="Z1866" t="s">
        <v>28196</v>
      </c>
      <c r="AA1866">
        <v>0.59649849344942918</v>
      </c>
      <c r="AB1866" t="str">
        <f>HYPERLINK("Melting_Curves/meltCurve_O95455_TGDS.pdf", "Melting_Curves/meltCurve_O95455_TGDS.pdf")</f>
        <v>Melting_Curves/meltCurve_O95455_TGDS.pdf</v>
      </c>
    </row>
    <row r="1867" spans="1:28" x14ac:dyDescent="0.25">
      <c r="A1867" t="s">
        <v>1871</v>
      </c>
      <c r="B1867">
        <v>0.99252571173614901</v>
      </c>
      <c r="C1867">
        <v>1.03065229673313</v>
      </c>
      <c r="D1867">
        <v>1.0933995675758199</v>
      </c>
      <c r="E1867">
        <v>1.1733385976397099</v>
      </c>
      <c r="F1867">
        <v>1.1849134415538001</v>
      </c>
      <c r="G1867">
        <v>0.66686358364502596</v>
      </c>
      <c r="H1867">
        <v>0.258716103063862</v>
      </c>
      <c r="I1867">
        <v>0.167294107037541</v>
      </c>
      <c r="J1867">
        <v>0.15971028873027701</v>
      </c>
      <c r="K1867">
        <v>0.151903126434454</v>
      </c>
      <c r="L1867">
        <v>6207.7941035297999</v>
      </c>
      <c r="M1867">
        <v>108.917867467864</v>
      </c>
      <c r="N1867">
        <v>57.236510932961103</v>
      </c>
      <c r="O1867">
        <v>56.975972654248203</v>
      </c>
      <c r="P1867">
        <v>-0.38992136158985202</v>
      </c>
      <c r="Q1867">
        <v>0.18411364429060301</v>
      </c>
      <c r="R1867">
        <v>0.95666788791010304</v>
      </c>
      <c r="S1867" t="s">
        <v>8513</v>
      </c>
      <c r="T1867" t="s">
        <v>13290</v>
      </c>
      <c r="U1867" t="s">
        <v>13290</v>
      </c>
      <c r="V1867" t="s">
        <v>13290</v>
      </c>
      <c r="W1867" t="s">
        <v>15125</v>
      </c>
      <c r="X1867">
        <v>10</v>
      </c>
      <c r="Y1867" t="s">
        <v>21693</v>
      </c>
      <c r="Z1867" t="s">
        <v>28197</v>
      </c>
      <c r="AA1867">
        <v>0.64674868217091297</v>
      </c>
      <c r="AB1867" t="str">
        <f>HYPERLINK("Melting_Curves/meltCurve_O95456_2_PSMG1.pdf", "Melting_Curves/meltCurve_O95456_2_PSMG1.pdf")</f>
        <v>Melting_Curves/meltCurve_O95456_2_PSMG1.pdf</v>
      </c>
    </row>
    <row r="1868" spans="1:28" x14ac:dyDescent="0.25">
      <c r="A1868" t="s">
        <v>1872</v>
      </c>
      <c r="B1868">
        <v>0.99252571173614901</v>
      </c>
      <c r="C1868">
        <v>0.63284572692168195</v>
      </c>
      <c r="D1868">
        <v>0.99274223743434098</v>
      </c>
      <c r="E1868">
        <v>0.92169754062427001</v>
      </c>
      <c r="F1868">
        <v>0.43473821411064301</v>
      </c>
      <c r="G1868">
        <v>0.142700718676668</v>
      </c>
      <c r="H1868">
        <v>7.1545696146729607E-2</v>
      </c>
      <c r="I1868">
        <v>6.4912285492897903E-2</v>
      </c>
      <c r="J1868">
        <v>7.6183883435567701E-2</v>
      </c>
      <c r="K1868">
        <v>7.30197726340263E-2</v>
      </c>
      <c r="L1868">
        <v>1949.1417910851001</v>
      </c>
      <c r="M1868">
        <v>37.052030515608699</v>
      </c>
      <c r="N1868">
        <v>52.827287552521298</v>
      </c>
      <c r="O1868">
        <v>52.452998958044397</v>
      </c>
      <c r="P1868">
        <v>-0.16387809434999201</v>
      </c>
      <c r="Q1868">
        <v>7.2021345743307402E-2</v>
      </c>
      <c r="R1868">
        <v>0.910579978875527</v>
      </c>
      <c r="S1868" t="s">
        <v>8514</v>
      </c>
      <c r="T1868" t="s">
        <v>13290</v>
      </c>
      <c r="U1868" t="s">
        <v>13290</v>
      </c>
      <c r="V1868" t="s">
        <v>13290</v>
      </c>
      <c r="W1868" t="s">
        <v>15126</v>
      </c>
      <c r="X1868">
        <v>35</v>
      </c>
      <c r="Y1868" t="s">
        <v>21694</v>
      </c>
      <c r="Z1868" t="s">
        <v>28198</v>
      </c>
      <c r="AA1868">
        <v>0.46587490913184748</v>
      </c>
      <c r="AB1868" t="str">
        <f>HYPERLINK("Melting_Curves/meltCurve_O95470_SGPL1.pdf", "Melting_Curves/meltCurve_O95470_SGPL1.pdf")</f>
        <v>Melting_Curves/meltCurve_O95470_SGPL1.pdf</v>
      </c>
    </row>
    <row r="1869" spans="1:28" x14ac:dyDescent="0.25">
      <c r="A1869" t="s">
        <v>1873</v>
      </c>
      <c r="B1869">
        <v>0.99252571173614901</v>
      </c>
      <c r="C1869">
        <v>0.89911368831015603</v>
      </c>
      <c r="D1869">
        <v>0.78696919463488801</v>
      </c>
      <c r="E1869">
        <v>1.2538551164210701</v>
      </c>
      <c r="F1869">
        <v>0.69052573527552896</v>
      </c>
      <c r="G1869">
        <v>0.76044172808626198</v>
      </c>
      <c r="H1869">
        <v>0.72273687502220396</v>
      </c>
      <c r="I1869">
        <v>1.2192878150251101</v>
      </c>
      <c r="J1869">
        <v>1.99503983922554</v>
      </c>
      <c r="K1869">
        <v>1.41565692048694</v>
      </c>
      <c r="L1869">
        <v>15000</v>
      </c>
      <c r="M1869">
        <v>234.128438245485</v>
      </c>
      <c r="O1869">
        <v>64.062724196158797</v>
      </c>
      <c r="P1869">
        <v>0.45683437914986202</v>
      </c>
      <c r="Q1869">
        <v>1.5</v>
      </c>
      <c r="R1869">
        <v>0.60030449132021002</v>
      </c>
      <c r="S1869" t="s">
        <v>8515</v>
      </c>
      <c r="T1869" t="s">
        <v>13290</v>
      </c>
      <c r="U1869" t="s">
        <v>13290</v>
      </c>
      <c r="V1869" t="s">
        <v>13290</v>
      </c>
      <c r="W1869" t="s">
        <v>15127</v>
      </c>
      <c r="X1869">
        <v>2</v>
      </c>
      <c r="Y1869" t="s">
        <v>21695</v>
      </c>
      <c r="Z1869" t="s">
        <v>28199</v>
      </c>
      <c r="AA1869">
        <v>1.0988125872474921</v>
      </c>
      <c r="AB1869" t="str">
        <f>HYPERLINK("Melting_Curves/meltCurve_O95471_CLDN7.pdf", "Melting_Curves/meltCurve_O95471_CLDN7.pdf")</f>
        <v>Melting_Curves/meltCurve_O95471_CLDN7.pdf</v>
      </c>
    </row>
    <row r="1870" spans="1:28" x14ac:dyDescent="0.25">
      <c r="A1870" t="s">
        <v>1874</v>
      </c>
      <c r="B1870">
        <v>0.99252571173614901</v>
      </c>
      <c r="C1870">
        <v>0.85022071560013901</v>
      </c>
      <c r="D1870">
        <v>0.89552414831558602</v>
      </c>
      <c r="E1870">
        <v>0.40229043461596198</v>
      </c>
      <c r="F1870">
        <v>0.19071510040141301</v>
      </c>
      <c r="G1870">
        <v>0.114288461154267</v>
      </c>
      <c r="H1870">
        <v>8.9058197130607406E-2</v>
      </c>
      <c r="I1870">
        <v>7.9743027071831493E-2</v>
      </c>
      <c r="J1870">
        <v>6.7155059846139203E-2</v>
      </c>
      <c r="K1870">
        <v>7.1352111322201595E-2</v>
      </c>
      <c r="L1870">
        <v>1258.0301840075799</v>
      </c>
      <c r="M1870">
        <v>25.8304393834104</v>
      </c>
      <c r="N1870">
        <v>49.029647742852603</v>
      </c>
      <c r="O1870">
        <v>48.414323363951297</v>
      </c>
      <c r="P1870">
        <v>-0.122851971002924</v>
      </c>
      <c r="Q1870">
        <v>7.8959210857431697E-2</v>
      </c>
      <c r="R1870">
        <v>0.98463918287588803</v>
      </c>
      <c r="S1870" t="s">
        <v>8516</v>
      </c>
      <c r="T1870" t="s">
        <v>13290</v>
      </c>
      <c r="U1870" t="s">
        <v>13290</v>
      </c>
      <c r="V1870" t="s">
        <v>13290</v>
      </c>
      <c r="W1870" t="s">
        <v>15128</v>
      </c>
      <c r="X1870">
        <v>9</v>
      </c>
      <c r="Y1870" t="s">
        <v>21696</v>
      </c>
      <c r="Z1870" t="s">
        <v>28200</v>
      </c>
      <c r="AA1870">
        <v>0.35377923838190978</v>
      </c>
      <c r="AB1870" t="str">
        <f>HYPERLINK("Melting_Curves/meltCurve_O95486_SEC24A.pdf", "Melting_Curves/meltCurve_O95486_SEC24A.pdf")</f>
        <v>Melting_Curves/meltCurve_O95486_SEC24A.pdf</v>
      </c>
    </row>
    <row r="1871" spans="1:28" x14ac:dyDescent="0.25">
      <c r="A1871" t="s">
        <v>1875</v>
      </c>
      <c r="B1871">
        <v>0.99252571173614901</v>
      </c>
      <c r="C1871">
        <v>0.85458859626308803</v>
      </c>
      <c r="D1871">
        <v>0.73898076600450202</v>
      </c>
      <c r="E1871">
        <v>0.28551588547290302</v>
      </c>
      <c r="F1871">
        <v>0.21404642969013299</v>
      </c>
      <c r="G1871">
        <v>0.131698767019508</v>
      </c>
      <c r="H1871">
        <v>9.9288147068230498E-2</v>
      </c>
      <c r="I1871">
        <v>0.102665318649774</v>
      </c>
      <c r="J1871">
        <v>9.7630504684575195E-2</v>
      </c>
      <c r="K1871">
        <v>9.1798787026997702E-2</v>
      </c>
      <c r="L1871">
        <v>1029.1758714064499</v>
      </c>
      <c r="M1871">
        <v>21.757412054550301</v>
      </c>
      <c r="N1871">
        <v>47.790280275021502</v>
      </c>
      <c r="O1871">
        <v>46.908155867874399</v>
      </c>
      <c r="P1871">
        <v>-0.104410417786476</v>
      </c>
      <c r="Q1871">
        <v>9.9601386455238E-2</v>
      </c>
      <c r="R1871">
        <v>0.99008124270665998</v>
      </c>
      <c r="S1871" t="s">
        <v>8517</v>
      </c>
      <c r="T1871" t="s">
        <v>13290</v>
      </c>
      <c r="U1871" t="s">
        <v>13290</v>
      </c>
      <c r="V1871" t="s">
        <v>13290</v>
      </c>
      <c r="W1871" t="s">
        <v>15129</v>
      </c>
      <c r="X1871">
        <v>9</v>
      </c>
      <c r="Y1871" t="s">
        <v>21697</v>
      </c>
      <c r="Z1871" t="s">
        <v>28201</v>
      </c>
      <c r="AA1871">
        <v>0.32960866796012078</v>
      </c>
      <c r="AB1871" t="str">
        <f>HYPERLINK("Melting_Curves/meltCurve_O95487_2_SEC24B.pdf", "Melting_Curves/meltCurve_O95487_2_SEC24B.pdf")</f>
        <v>Melting_Curves/meltCurve_O95487_2_SEC24B.pdf</v>
      </c>
    </row>
    <row r="1872" spans="1:28" x14ac:dyDescent="0.25">
      <c r="A1872" t="s">
        <v>1876</v>
      </c>
      <c r="B1872">
        <v>0.99252571173614901</v>
      </c>
      <c r="C1872">
        <v>0.99819033806737301</v>
      </c>
      <c r="D1872">
        <v>1.0426971282153901</v>
      </c>
      <c r="E1872">
        <v>1.0882895780220101</v>
      </c>
      <c r="F1872">
        <v>0.97744809508128105</v>
      </c>
      <c r="G1872">
        <v>0.76724755091186103</v>
      </c>
      <c r="H1872">
        <v>0.892532025284411</v>
      </c>
      <c r="I1872">
        <v>1.1337291716660201</v>
      </c>
      <c r="J1872">
        <v>1.5061692755271201</v>
      </c>
      <c r="K1872">
        <v>0.76934233666624297</v>
      </c>
      <c r="L1872">
        <v>15000</v>
      </c>
      <c r="M1872">
        <v>237.734974324603</v>
      </c>
      <c r="O1872">
        <v>63.091005252904303</v>
      </c>
      <c r="P1872">
        <v>0.12995146469664501</v>
      </c>
      <c r="Q1872">
        <v>1.13794804154476</v>
      </c>
      <c r="R1872">
        <v>0.13238753761264599</v>
      </c>
      <c r="S1872" t="s">
        <v>8518</v>
      </c>
      <c r="T1872" t="s">
        <v>13290</v>
      </c>
      <c r="U1872" t="s">
        <v>13290</v>
      </c>
      <c r="V1872" t="s">
        <v>13290</v>
      </c>
      <c r="W1872" t="s">
        <v>15130</v>
      </c>
      <c r="X1872">
        <v>12</v>
      </c>
      <c r="Y1872" t="s">
        <v>21698</v>
      </c>
      <c r="Z1872" t="s">
        <v>28202</v>
      </c>
      <c r="AA1872">
        <v>1.0317319861708021</v>
      </c>
      <c r="AB1872" t="str">
        <f>HYPERLINK("Melting_Curves/meltCurve_O95544_NADK.pdf", "Melting_Curves/meltCurve_O95544_NADK.pdf")</f>
        <v>Melting_Curves/meltCurve_O95544_NADK.pdf</v>
      </c>
    </row>
    <row r="1873" spans="1:28" x14ac:dyDescent="0.25">
      <c r="A1873" t="s">
        <v>1877</v>
      </c>
      <c r="B1873">
        <v>0.99252571173614901</v>
      </c>
      <c r="C1873">
        <v>0.97641994754765005</v>
      </c>
      <c r="D1873">
        <v>0.69358021972542006</v>
      </c>
      <c r="E1873">
        <v>0.42886375202193799</v>
      </c>
      <c r="F1873">
        <v>0.17110271002466501</v>
      </c>
      <c r="G1873">
        <v>8.4337403033672903E-2</v>
      </c>
      <c r="H1873">
        <v>6.3143252324560098E-2</v>
      </c>
      <c r="I1873">
        <v>5.2549775940771697E-2</v>
      </c>
      <c r="J1873">
        <v>5.7123244851456201E-2</v>
      </c>
      <c r="K1873">
        <v>4.3564066653862199E-2</v>
      </c>
      <c r="L1873">
        <v>949.95320309561498</v>
      </c>
      <c r="M1873">
        <v>19.673199830149699</v>
      </c>
      <c r="N1873">
        <v>48.520614538191502</v>
      </c>
      <c r="O1873">
        <v>47.796057373296698</v>
      </c>
      <c r="P1873">
        <v>-9.8249043156230106E-2</v>
      </c>
      <c r="Q1873">
        <v>4.5248717399412601E-2</v>
      </c>
      <c r="R1873">
        <v>0.99586551808080404</v>
      </c>
      <c r="S1873" t="s">
        <v>8519</v>
      </c>
      <c r="T1873" t="s">
        <v>13290</v>
      </c>
      <c r="U1873" t="s">
        <v>13290</v>
      </c>
      <c r="V1873" t="s">
        <v>13290</v>
      </c>
      <c r="W1873" t="s">
        <v>15131</v>
      </c>
      <c r="X1873">
        <v>7</v>
      </c>
      <c r="Y1873" t="s">
        <v>21699</v>
      </c>
      <c r="Z1873" t="s">
        <v>28203</v>
      </c>
      <c r="AA1873">
        <v>0.32294166418499709</v>
      </c>
      <c r="AB1873" t="str">
        <f>HYPERLINK("Melting_Curves/meltCurve_O95551_TDP2.pdf", "Melting_Curves/meltCurve_O95551_TDP2.pdf")</f>
        <v>Melting_Curves/meltCurve_O95551_TDP2.pdf</v>
      </c>
    </row>
    <row r="1874" spans="1:28" x14ac:dyDescent="0.25">
      <c r="A1874" t="s">
        <v>1878</v>
      </c>
      <c r="B1874">
        <v>0.99252571173614901</v>
      </c>
      <c r="C1874">
        <v>1.0895702979667901</v>
      </c>
      <c r="D1874">
        <v>1.03037563772611</v>
      </c>
      <c r="E1874">
        <v>0.99795737327862299</v>
      </c>
      <c r="F1874">
        <v>0.81379647822712797</v>
      </c>
      <c r="G1874">
        <v>0.64693018324805596</v>
      </c>
      <c r="H1874">
        <v>0.48492073818682901</v>
      </c>
      <c r="I1874">
        <v>0.24370384443568999</v>
      </c>
      <c r="J1874">
        <v>0.13034147178713701</v>
      </c>
      <c r="K1874">
        <v>0.113373951869776</v>
      </c>
      <c r="L1874">
        <v>884.14553887553302</v>
      </c>
      <c r="M1874">
        <v>14.841673925662899</v>
      </c>
      <c r="N1874">
        <v>59.571821013167003</v>
      </c>
      <c r="O1874">
        <v>58.521682212650703</v>
      </c>
      <c r="P1874">
        <v>-6.34091268108775E-2</v>
      </c>
      <c r="Q1874">
        <v>0</v>
      </c>
      <c r="R1874">
        <v>0.98523009534962402</v>
      </c>
      <c r="S1874" t="s">
        <v>8520</v>
      </c>
      <c r="T1874" t="s">
        <v>13290</v>
      </c>
      <c r="U1874" t="s">
        <v>13290</v>
      </c>
      <c r="V1874" t="s">
        <v>13290</v>
      </c>
      <c r="W1874" t="s">
        <v>15132</v>
      </c>
      <c r="X1874">
        <v>17</v>
      </c>
      <c r="Y1874" t="s">
        <v>21700</v>
      </c>
      <c r="Z1874" t="s">
        <v>28204</v>
      </c>
      <c r="AA1874">
        <v>0.66079849762572296</v>
      </c>
      <c r="AB1874" t="str">
        <f>HYPERLINK("Melting_Curves/meltCurve_O95571_ETHE1.pdf", "Melting_Curves/meltCurve_O95571_ETHE1.pdf")</f>
        <v>Melting_Curves/meltCurve_O95571_ETHE1.pdf</v>
      </c>
    </row>
    <row r="1875" spans="1:28" x14ac:dyDescent="0.25">
      <c r="A1875" t="s">
        <v>1879</v>
      </c>
      <c r="B1875">
        <v>0.99252571173614901</v>
      </c>
      <c r="C1875">
        <v>0.90969977159448601</v>
      </c>
      <c r="D1875">
        <v>0.85718911307041501</v>
      </c>
      <c r="E1875">
        <v>0.80566107670169795</v>
      </c>
      <c r="F1875">
        <v>0.16533573247938099</v>
      </c>
      <c r="G1875">
        <v>0.104147193124857</v>
      </c>
      <c r="H1875">
        <v>5.8662900765380201E-2</v>
      </c>
      <c r="I1875">
        <v>6.5641905282965707E-2</v>
      </c>
      <c r="J1875">
        <v>8.2705391890398605E-2</v>
      </c>
      <c r="K1875">
        <v>7.8724602967297705E-2</v>
      </c>
      <c r="L1875">
        <v>2438.3210600024399</v>
      </c>
      <c r="M1875">
        <v>47.906756802821597</v>
      </c>
      <c r="N1875">
        <v>51.069635260062803</v>
      </c>
      <c r="O1875">
        <v>50.808776188918102</v>
      </c>
      <c r="P1875">
        <v>-0.21811936817883501</v>
      </c>
      <c r="Q1875">
        <v>7.4671910919541604E-2</v>
      </c>
      <c r="R1875">
        <v>0.981853838854718</v>
      </c>
      <c r="S1875" t="s">
        <v>8521</v>
      </c>
      <c r="T1875" t="s">
        <v>13290</v>
      </c>
      <c r="U1875" t="s">
        <v>13290</v>
      </c>
      <c r="V1875" t="s">
        <v>13290</v>
      </c>
      <c r="W1875" t="s">
        <v>15133</v>
      </c>
      <c r="X1875">
        <v>29</v>
      </c>
      <c r="Y1875" t="s">
        <v>21701</v>
      </c>
      <c r="Z1875" t="s">
        <v>28205</v>
      </c>
      <c r="AA1875">
        <v>0.4130529178475133</v>
      </c>
      <c r="AB1875" t="str">
        <f>HYPERLINK("Melting_Curves/meltCurve_O95573_ACSL3.pdf", "Melting_Curves/meltCurve_O95573_ACSL3.pdf")</f>
        <v>Melting_Curves/meltCurve_O95573_ACSL3.pdf</v>
      </c>
    </row>
    <row r="1876" spans="1:28" x14ac:dyDescent="0.25">
      <c r="A1876" t="s">
        <v>1880</v>
      </c>
      <c r="B1876">
        <v>0.99252571173614901</v>
      </c>
      <c r="C1876">
        <v>1.0155614557058901</v>
      </c>
      <c r="D1876">
        <v>1.1260488666308099</v>
      </c>
      <c r="E1876">
        <v>2.4256141604441002</v>
      </c>
      <c r="F1876">
        <v>1.3756964546175301</v>
      </c>
      <c r="G1876">
        <v>1.3980157296533799</v>
      </c>
      <c r="H1876">
        <v>1.49264475041554</v>
      </c>
      <c r="I1876">
        <v>0.414991245884965</v>
      </c>
      <c r="J1876">
        <v>0.30834741895939199</v>
      </c>
      <c r="K1876">
        <v>0.32311714694771199</v>
      </c>
      <c r="L1876">
        <v>15000</v>
      </c>
      <c r="M1876">
        <v>236.14730140003201</v>
      </c>
      <c r="N1876">
        <v>63.789264027795902</v>
      </c>
      <c r="O1876">
        <v>63.515129568114297</v>
      </c>
      <c r="P1876">
        <v>-0.63605748795518102</v>
      </c>
      <c r="Q1876">
        <v>0.31569376565301299</v>
      </c>
      <c r="R1876">
        <v>0.31699825418069599</v>
      </c>
      <c r="S1876" t="s">
        <v>8522</v>
      </c>
      <c r="T1876" t="s">
        <v>13290</v>
      </c>
      <c r="U1876" t="s">
        <v>13290</v>
      </c>
      <c r="V1876" t="s">
        <v>13290</v>
      </c>
      <c r="W1876" t="s">
        <v>15134</v>
      </c>
      <c r="X1876">
        <v>4</v>
      </c>
      <c r="Y1876" t="s">
        <v>21702</v>
      </c>
      <c r="Z1876" t="s">
        <v>28206</v>
      </c>
      <c r="AA1876">
        <v>0.85226795414091705</v>
      </c>
      <c r="AB1876" t="str">
        <f>HYPERLINK("Melting_Curves/meltCurve_O95602_POLR1A.pdf", "Melting_Curves/meltCurve_O95602_POLR1A.pdf")</f>
        <v>Melting_Curves/meltCurve_O95602_POLR1A.pdf</v>
      </c>
    </row>
    <row r="1877" spans="1:28" x14ac:dyDescent="0.25">
      <c r="A1877" t="s">
        <v>1881</v>
      </c>
      <c r="B1877">
        <v>0.99252571173614901</v>
      </c>
      <c r="C1877">
        <v>1.05027103486769</v>
      </c>
      <c r="D1877">
        <v>1.1130006085467601</v>
      </c>
      <c r="E1877">
        <v>1.5137528276093699</v>
      </c>
      <c r="F1877">
        <v>0.69937267269301395</v>
      </c>
      <c r="G1877">
        <v>0.28160238026169099</v>
      </c>
      <c r="H1877">
        <v>0.17180231732385301</v>
      </c>
      <c r="I1877">
        <v>0.14594337934245999</v>
      </c>
      <c r="J1877">
        <v>0.17190771974979699</v>
      </c>
      <c r="K1877">
        <v>0.15299216825317399</v>
      </c>
      <c r="L1877">
        <v>4229.9217321618398</v>
      </c>
      <c r="M1877">
        <v>78.923500007746796</v>
      </c>
      <c r="N1877">
        <v>53.905036783253898</v>
      </c>
      <c r="O1877">
        <v>53.560836059261</v>
      </c>
      <c r="P1877">
        <v>-0.30121558975494001</v>
      </c>
      <c r="Q1877">
        <v>0.18232945172136</v>
      </c>
      <c r="R1877">
        <v>0.87498821857495601</v>
      </c>
      <c r="S1877" t="s">
        <v>8523</v>
      </c>
      <c r="T1877" t="s">
        <v>13290</v>
      </c>
      <c r="U1877" t="s">
        <v>13290</v>
      </c>
      <c r="V1877" t="s">
        <v>13290</v>
      </c>
      <c r="W1877" t="s">
        <v>15135</v>
      </c>
      <c r="X1877">
        <v>3</v>
      </c>
      <c r="Y1877" t="s">
        <v>21703</v>
      </c>
      <c r="Z1877" t="s">
        <v>28207</v>
      </c>
      <c r="AA1877">
        <v>0.5536495156191148</v>
      </c>
      <c r="AB1877" t="str">
        <f>HYPERLINK("Melting_Curves/meltCurve_O95619_YEATS4.pdf", "Melting_Curves/meltCurve_O95619_YEATS4.pdf")</f>
        <v>Melting_Curves/meltCurve_O95619_YEATS4.pdf</v>
      </c>
    </row>
    <row r="1878" spans="1:28" x14ac:dyDescent="0.25">
      <c r="A1878" t="s">
        <v>1882</v>
      </c>
      <c r="B1878">
        <v>0.99252571173614901</v>
      </c>
      <c r="C1878">
        <v>1.0313018961974101</v>
      </c>
      <c r="D1878">
        <v>0.93480568386760399</v>
      </c>
      <c r="E1878">
        <v>0.72427114343605203</v>
      </c>
      <c r="F1878">
        <v>0.59530733601764296</v>
      </c>
      <c r="G1878">
        <v>0.50749930570578095</v>
      </c>
      <c r="H1878">
        <v>0.29457535595269402</v>
      </c>
      <c r="I1878">
        <v>0.126184383199413</v>
      </c>
      <c r="J1878">
        <v>7.3816312212645993E-2</v>
      </c>
      <c r="K1878">
        <v>6.6119158329724301E-2</v>
      </c>
      <c r="L1878">
        <v>649.50555192537695</v>
      </c>
      <c r="M1878">
        <v>11.722519113856499</v>
      </c>
      <c r="N1878">
        <v>55.4066532631632</v>
      </c>
      <c r="O1878">
        <v>53.8679676835755</v>
      </c>
      <c r="P1878">
        <v>-5.4418296247285197E-2</v>
      </c>
      <c r="Q1878">
        <v>0</v>
      </c>
      <c r="R1878">
        <v>0.98357780622584701</v>
      </c>
      <c r="S1878" t="s">
        <v>8524</v>
      </c>
      <c r="T1878" t="s">
        <v>13290</v>
      </c>
      <c r="U1878" t="s">
        <v>13290</v>
      </c>
      <c r="V1878" t="s">
        <v>13290</v>
      </c>
      <c r="W1878" t="s">
        <v>15136</v>
      </c>
      <c r="X1878">
        <v>2</v>
      </c>
      <c r="Y1878" t="s">
        <v>21704</v>
      </c>
      <c r="Z1878" t="s">
        <v>28208</v>
      </c>
      <c r="AA1878">
        <v>0.53610415176603365</v>
      </c>
      <c r="AB1878" t="str">
        <f>HYPERLINK("Melting_Curves/meltCurve_O95620_DUS4L.pdf", "Melting_Curves/meltCurve_O95620_DUS4L.pdf")</f>
        <v>Melting_Curves/meltCurve_O95620_DUS4L.pdf</v>
      </c>
    </row>
    <row r="1879" spans="1:28" x14ac:dyDescent="0.25">
      <c r="A1879" t="s">
        <v>1883</v>
      </c>
      <c r="B1879">
        <v>0.99252571173614901</v>
      </c>
      <c r="C1879">
        <v>0.95832972123930105</v>
      </c>
      <c r="D1879">
        <v>1.0318619258836299</v>
      </c>
      <c r="E1879">
        <v>1.1075287534409399</v>
      </c>
      <c r="F1879">
        <v>1.14371898957933</v>
      </c>
      <c r="G1879">
        <v>0.88323334653068797</v>
      </c>
      <c r="H1879">
        <v>0.36114121463087601</v>
      </c>
      <c r="I1879">
        <v>0.24441748465480101</v>
      </c>
      <c r="J1879">
        <v>0.29375518471602002</v>
      </c>
      <c r="K1879">
        <v>0.32179746527294201</v>
      </c>
      <c r="L1879">
        <v>3501.2170780976498</v>
      </c>
      <c r="M1879">
        <v>59.931485239051597</v>
      </c>
      <c r="N1879">
        <v>59.270427780182096</v>
      </c>
      <c r="O1879">
        <v>58.355391150435999</v>
      </c>
      <c r="P1879">
        <v>-0.18272401702313201</v>
      </c>
      <c r="Q1879">
        <v>0.28832554520528297</v>
      </c>
      <c r="R1879">
        <v>0.96933011599835694</v>
      </c>
      <c r="S1879" t="s">
        <v>8525</v>
      </c>
      <c r="T1879" t="s">
        <v>13290</v>
      </c>
      <c r="U1879" t="s">
        <v>13290</v>
      </c>
      <c r="V1879" t="s">
        <v>13290</v>
      </c>
      <c r="W1879" t="s">
        <v>15137</v>
      </c>
      <c r="X1879">
        <v>1</v>
      </c>
      <c r="Y1879" t="s">
        <v>21705</v>
      </c>
      <c r="Z1879" t="s">
        <v>28209</v>
      </c>
      <c r="AA1879">
        <v>0.72657405892728899</v>
      </c>
      <c r="AB1879" t="str">
        <f>HYPERLINK("Melting_Curves/meltCurve_O95622_ADCY5.pdf", "Melting_Curves/meltCurve_O95622_ADCY5.pdf")</f>
        <v>Melting_Curves/meltCurve_O95622_ADCY5.pdf</v>
      </c>
    </row>
    <row r="1880" spans="1:28" x14ac:dyDescent="0.25">
      <c r="A1880" t="s">
        <v>1884</v>
      </c>
      <c r="B1880">
        <v>0.99252571173614901</v>
      </c>
      <c r="C1880">
        <v>0.96069292484018698</v>
      </c>
      <c r="D1880">
        <v>0.92918556286603204</v>
      </c>
      <c r="E1880">
        <v>0.84760643255710599</v>
      </c>
      <c r="F1880">
        <v>0.53261443322681801</v>
      </c>
      <c r="G1880">
        <v>0.238268926266965</v>
      </c>
      <c r="H1880">
        <v>0.13040294136979499</v>
      </c>
      <c r="I1880">
        <v>7.8066367698443703E-2</v>
      </c>
      <c r="J1880">
        <v>8.7534936939868593E-2</v>
      </c>
      <c r="K1880">
        <v>9.0783418675491695E-2</v>
      </c>
      <c r="L1880">
        <v>1166.96632166017</v>
      </c>
      <c r="M1880">
        <v>21.984670660163999</v>
      </c>
      <c r="N1880">
        <v>53.465183939068403</v>
      </c>
      <c r="O1880">
        <v>52.647579241915601</v>
      </c>
      <c r="P1880">
        <v>-9.6768476557635902E-2</v>
      </c>
      <c r="Q1880">
        <v>7.3079257527788002E-2</v>
      </c>
      <c r="R1880">
        <v>0.99752478755296303</v>
      </c>
      <c r="S1880" t="s">
        <v>8526</v>
      </c>
      <c r="T1880" t="s">
        <v>13290</v>
      </c>
      <c r="U1880" t="s">
        <v>13290</v>
      </c>
      <c r="V1880" t="s">
        <v>13290</v>
      </c>
      <c r="W1880" t="s">
        <v>15138</v>
      </c>
      <c r="X1880">
        <v>2</v>
      </c>
      <c r="Y1880" t="s">
        <v>21706</v>
      </c>
      <c r="Z1880" t="s">
        <v>28210</v>
      </c>
      <c r="AA1880">
        <v>0.48804855521974649</v>
      </c>
      <c r="AB1880" t="str">
        <f>HYPERLINK("Melting_Curves/meltCurve_O95628_5_CNOT4.pdf", "Melting_Curves/meltCurve_O95628_5_CNOT4.pdf")</f>
        <v>Melting_Curves/meltCurve_O95628_5_CNOT4.pdf</v>
      </c>
    </row>
    <row r="1881" spans="1:28" x14ac:dyDescent="0.25">
      <c r="A1881" t="s">
        <v>1885</v>
      </c>
      <c r="B1881">
        <v>0.99252571173614901</v>
      </c>
      <c r="C1881">
        <v>0.999597871077476</v>
      </c>
      <c r="D1881">
        <v>0.42205488786853701</v>
      </c>
      <c r="E1881">
        <v>0.24705174678069</v>
      </c>
      <c r="F1881">
        <v>0.13837894906831499</v>
      </c>
      <c r="G1881">
        <v>8.7730934996382695E-2</v>
      </c>
      <c r="H1881">
        <v>6.7929934414030099E-2</v>
      </c>
      <c r="I1881">
        <v>6.7831184747169898E-2</v>
      </c>
      <c r="J1881">
        <v>7.8859581070090501E-2</v>
      </c>
      <c r="K1881">
        <v>7.0570763957938695E-2</v>
      </c>
      <c r="L1881">
        <v>2068.5781043174602</v>
      </c>
      <c r="M1881">
        <v>45.447279752160902</v>
      </c>
      <c r="N1881">
        <v>45.748343085098</v>
      </c>
      <c r="O1881">
        <v>45.428130688884899</v>
      </c>
      <c r="P1881">
        <v>-0.22433010186122801</v>
      </c>
      <c r="Q1881">
        <v>0.103058802623747</v>
      </c>
      <c r="R1881">
        <v>0.98096209317447802</v>
      </c>
      <c r="S1881" t="s">
        <v>8527</v>
      </c>
      <c r="T1881" t="s">
        <v>13290</v>
      </c>
      <c r="U1881" t="s">
        <v>13290</v>
      </c>
      <c r="V1881" t="s">
        <v>13290</v>
      </c>
      <c r="W1881" t="s">
        <v>15139</v>
      </c>
      <c r="X1881">
        <v>15</v>
      </c>
      <c r="Y1881" t="s">
        <v>21707</v>
      </c>
      <c r="Z1881" t="s">
        <v>28211</v>
      </c>
      <c r="AA1881">
        <v>0.27020071020153741</v>
      </c>
      <c r="AB1881" t="str">
        <f>HYPERLINK("Melting_Curves/meltCurve_O95630_STAMBP.pdf", "Melting_Curves/meltCurve_O95630_STAMBP.pdf")</f>
        <v>Melting_Curves/meltCurve_O95630_STAMBP.pdf</v>
      </c>
    </row>
    <row r="1882" spans="1:28" x14ac:dyDescent="0.25">
      <c r="A1882" t="s">
        <v>1886</v>
      </c>
      <c r="B1882">
        <v>0.99252571173614901</v>
      </c>
      <c r="C1882">
        <v>0.83357174512283205</v>
      </c>
      <c r="D1882">
        <v>0.97280857034844004</v>
      </c>
      <c r="E1882">
        <v>1.17637610270963</v>
      </c>
      <c r="F1882">
        <v>1.13198079245928</v>
      </c>
      <c r="G1882">
        <v>0.84348562196861498</v>
      </c>
      <c r="H1882">
        <v>0.90519965012345904</v>
      </c>
      <c r="I1882">
        <v>0.80953912226136804</v>
      </c>
      <c r="J1882">
        <v>1.14237581850764</v>
      </c>
      <c r="K1882">
        <v>2.2024488401314599</v>
      </c>
      <c r="L1882">
        <v>15000</v>
      </c>
      <c r="M1882">
        <v>222.633837958041</v>
      </c>
      <c r="O1882">
        <v>67.369766381350402</v>
      </c>
      <c r="P1882">
        <v>0.413081880802805</v>
      </c>
      <c r="Q1882">
        <v>1.5</v>
      </c>
      <c r="R1882">
        <v>0.57614697168496598</v>
      </c>
      <c r="S1882" t="s">
        <v>8528</v>
      </c>
      <c r="T1882" t="s">
        <v>13290</v>
      </c>
      <c r="U1882" t="s">
        <v>13290</v>
      </c>
      <c r="V1882" t="s">
        <v>13290</v>
      </c>
      <c r="W1882" t="s">
        <v>15140</v>
      </c>
      <c r="X1882">
        <v>3</v>
      </c>
      <c r="Y1882" t="s">
        <v>21708</v>
      </c>
      <c r="Z1882" t="s">
        <v>28212</v>
      </c>
      <c r="AA1882">
        <v>1.0436733670442211</v>
      </c>
      <c r="AB1882" t="str">
        <f>HYPERLINK("Melting_Curves/meltCurve_O95670_ATP6V1G2.pdf", "Melting_Curves/meltCurve_O95670_ATP6V1G2.pdf")</f>
        <v>Melting_Curves/meltCurve_O95670_ATP6V1G2.pdf</v>
      </c>
    </row>
    <row r="1883" spans="1:28" x14ac:dyDescent="0.25">
      <c r="A1883" t="s">
        <v>1887</v>
      </c>
      <c r="B1883">
        <v>0.99252571173614901</v>
      </c>
      <c r="C1883">
        <v>0.95124110695304698</v>
      </c>
      <c r="D1883">
        <v>0.81851854909266997</v>
      </c>
      <c r="E1883">
        <v>0.494089169654438</v>
      </c>
      <c r="F1883">
        <v>0.188223951709827</v>
      </c>
      <c r="G1883">
        <v>0.111600565926018</v>
      </c>
      <c r="H1883">
        <v>7.5531181038251405E-2</v>
      </c>
      <c r="I1883">
        <v>7.9122236525041995E-2</v>
      </c>
      <c r="J1883">
        <v>8.8119356659487905E-2</v>
      </c>
      <c r="K1883">
        <v>9.2051059266959903E-2</v>
      </c>
      <c r="L1883">
        <v>1112.0470122289701</v>
      </c>
      <c r="M1883">
        <v>22.695404568332201</v>
      </c>
      <c r="N1883">
        <v>49.357725938428402</v>
      </c>
      <c r="O1883">
        <v>48.623114465736798</v>
      </c>
      <c r="P1883">
        <v>-0.107815359419455</v>
      </c>
      <c r="Q1883">
        <v>7.6074614901042004E-2</v>
      </c>
      <c r="R1883">
        <v>0.99888478263508695</v>
      </c>
      <c r="S1883" t="s">
        <v>8529</v>
      </c>
      <c r="T1883" t="s">
        <v>13290</v>
      </c>
      <c r="U1883" t="s">
        <v>13290</v>
      </c>
      <c r="V1883" t="s">
        <v>13290</v>
      </c>
      <c r="W1883" t="s">
        <v>15141</v>
      </c>
      <c r="X1883">
        <v>14</v>
      </c>
      <c r="Y1883" t="s">
        <v>21709</v>
      </c>
      <c r="Z1883" t="s">
        <v>28213</v>
      </c>
      <c r="AA1883">
        <v>0.36320605434259362</v>
      </c>
      <c r="AB1883" t="str">
        <f>HYPERLINK("Melting_Curves/meltCurve_O95671_2_ASMTL.pdf", "Melting_Curves/meltCurve_O95671_2_ASMTL.pdf")</f>
        <v>Melting_Curves/meltCurve_O95671_2_ASMTL.pdf</v>
      </c>
    </row>
    <row r="1884" spans="1:28" x14ac:dyDescent="0.25">
      <c r="A1884" t="s">
        <v>1888</v>
      </c>
      <c r="B1884">
        <v>0.99252571173614901</v>
      </c>
      <c r="C1884">
        <v>0.89448077914899204</v>
      </c>
      <c r="D1884">
        <v>0.81726988339278805</v>
      </c>
      <c r="E1884">
        <v>0.67592869122928401</v>
      </c>
      <c r="F1884">
        <v>0.64311099586784204</v>
      </c>
      <c r="G1884">
        <v>0.33802452812529199</v>
      </c>
      <c r="H1884">
        <v>0.30746432310342697</v>
      </c>
      <c r="I1884">
        <v>0.342834429899597</v>
      </c>
      <c r="J1884">
        <v>0.438639315885819</v>
      </c>
      <c r="K1884">
        <v>0.33124680054383898</v>
      </c>
      <c r="L1884">
        <v>649.89182082649802</v>
      </c>
      <c r="M1884">
        <v>12.990734830071601</v>
      </c>
      <c r="N1884">
        <v>54.232468962546903</v>
      </c>
      <c r="O1884">
        <v>48.886374237597202</v>
      </c>
      <c r="P1884">
        <v>-4.53556625686313E-2</v>
      </c>
      <c r="Q1884">
        <v>0.31739622343246998</v>
      </c>
      <c r="R1884">
        <v>0.93669749453038198</v>
      </c>
      <c r="S1884" t="s">
        <v>8530</v>
      </c>
      <c r="T1884" t="s">
        <v>13290</v>
      </c>
      <c r="U1884" t="s">
        <v>13290</v>
      </c>
      <c r="V1884" t="s">
        <v>13290</v>
      </c>
      <c r="W1884" t="s">
        <v>15142</v>
      </c>
      <c r="X1884">
        <v>2</v>
      </c>
      <c r="Y1884" t="s">
        <v>21710</v>
      </c>
      <c r="Z1884" t="s">
        <v>28214</v>
      </c>
      <c r="AA1884">
        <v>0.56633468407248211</v>
      </c>
      <c r="AB1884" t="str">
        <f>HYPERLINK("Melting_Curves/meltCurve_O95674_CDS2.pdf", "Melting_Curves/meltCurve_O95674_CDS2.pdf")</f>
        <v>Melting_Curves/meltCurve_O95674_CDS2.pdf</v>
      </c>
    </row>
    <row r="1885" spans="1:28" x14ac:dyDescent="0.25">
      <c r="A1885" t="s">
        <v>1889</v>
      </c>
      <c r="B1885">
        <v>0.99252571173614901</v>
      </c>
      <c r="C1885">
        <v>1.0050152955392899</v>
      </c>
      <c r="D1885">
        <v>0.78609779495994603</v>
      </c>
      <c r="E1885">
        <v>0.48207240970080201</v>
      </c>
      <c r="F1885">
        <v>0.25688033350816097</v>
      </c>
      <c r="G1885">
        <v>0.18882795537182601</v>
      </c>
      <c r="H1885">
        <v>0.190886816009641</v>
      </c>
      <c r="I1885">
        <v>0.18747316489822399</v>
      </c>
      <c r="J1885">
        <v>0.22965884395705299</v>
      </c>
      <c r="K1885">
        <v>0.21436945134435001</v>
      </c>
      <c r="L1885">
        <v>1210.20888226745</v>
      </c>
      <c r="M1885">
        <v>25.114505599672601</v>
      </c>
      <c r="N1885">
        <v>49.172296804945297</v>
      </c>
      <c r="O1885">
        <v>47.885241568134298</v>
      </c>
      <c r="P1885">
        <v>-0.105208657054494</v>
      </c>
      <c r="Q1885">
        <v>0.19761504042716699</v>
      </c>
      <c r="R1885">
        <v>0.99522772748767696</v>
      </c>
      <c r="S1885" t="s">
        <v>8531</v>
      </c>
      <c r="T1885" t="s">
        <v>13290</v>
      </c>
      <c r="U1885" t="s">
        <v>13290</v>
      </c>
      <c r="V1885" t="s">
        <v>13290</v>
      </c>
      <c r="W1885" t="s">
        <v>15143</v>
      </c>
      <c r="X1885">
        <v>6</v>
      </c>
      <c r="Y1885" t="s">
        <v>21711</v>
      </c>
      <c r="Z1885" t="s">
        <v>28215</v>
      </c>
      <c r="AA1885">
        <v>0.42362543666985608</v>
      </c>
      <c r="AB1885" t="str">
        <f>HYPERLINK("Melting_Curves/meltCurve_O95684_FGFR1OP.pdf", "Melting_Curves/meltCurve_O95684_FGFR1OP.pdf")</f>
        <v>Melting_Curves/meltCurve_O95684_FGFR1OP.pdf</v>
      </c>
    </row>
    <row r="1886" spans="1:28" x14ac:dyDescent="0.25">
      <c r="A1886" t="s">
        <v>1890</v>
      </c>
      <c r="B1886">
        <v>0.99252571173614901</v>
      </c>
      <c r="C1886">
        <v>0.97600808443769005</v>
      </c>
      <c r="D1886">
        <v>0.80013696633251097</v>
      </c>
      <c r="E1886">
        <v>0.55025408838883405</v>
      </c>
      <c r="F1886">
        <v>0.33239521905764502</v>
      </c>
      <c r="G1886">
        <v>0.22309068447763</v>
      </c>
      <c r="H1886">
        <v>0.15273482786620099</v>
      </c>
      <c r="I1886">
        <v>0.16003540176925701</v>
      </c>
      <c r="J1886">
        <v>0.207115004876712</v>
      </c>
      <c r="K1886">
        <v>0.226227208449649</v>
      </c>
      <c r="L1886">
        <v>971.65638025262501</v>
      </c>
      <c r="M1886">
        <v>19.833618171838399</v>
      </c>
      <c r="N1886">
        <v>50.118976747228899</v>
      </c>
      <c r="O1886">
        <v>48.500499746515999</v>
      </c>
      <c r="P1886">
        <v>-8.3823853987403593E-2</v>
      </c>
      <c r="Q1886">
        <v>0.18010686034524301</v>
      </c>
      <c r="R1886">
        <v>0.99379096666419398</v>
      </c>
      <c r="S1886" t="s">
        <v>8532</v>
      </c>
      <c r="T1886" t="s">
        <v>13290</v>
      </c>
      <c r="U1886" t="s">
        <v>13290</v>
      </c>
      <c r="V1886" t="s">
        <v>13290</v>
      </c>
      <c r="W1886" t="s">
        <v>15144</v>
      </c>
      <c r="X1886">
        <v>1</v>
      </c>
      <c r="Y1886" t="s">
        <v>21712</v>
      </c>
      <c r="Z1886" t="s">
        <v>28216</v>
      </c>
      <c r="AA1886">
        <v>0.4374942906490894</v>
      </c>
      <c r="AB1886" t="str">
        <f>HYPERLINK("Melting_Curves/meltCurve_O95685_PPP1R3D.pdf", "Melting_Curves/meltCurve_O95685_PPP1R3D.pdf")</f>
        <v>Melting_Curves/meltCurve_O95685_PPP1R3D.pdf</v>
      </c>
    </row>
    <row r="1887" spans="1:28" x14ac:dyDescent="0.25">
      <c r="A1887" t="s">
        <v>1891</v>
      </c>
      <c r="B1887">
        <v>0.99252571173614901</v>
      </c>
      <c r="C1887">
        <v>0.93711802697246105</v>
      </c>
      <c r="D1887">
        <v>0.85992866310721805</v>
      </c>
      <c r="E1887">
        <v>0.75608370315358198</v>
      </c>
      <c r="F1887">
        <v>0.85761900535735103</v>
      </c>
      <c r="G1887">
        <v>0.711322001917435</v>
      </c>
      <c r="H1887">
        <v>0.55956431007340202</v>
      </c>
      <c r="I1887">
        <v>0.41592068418948702</v>
      </c>
      <c r="J1887">
        <v>0.22188987222450299</v>
      </c>
      <c r="K1887">
        <v>0.24136746290998401</v>
      </c>
      <c r="L1887">
        <v>524.22751186127698</v>
      </c>
      <c r="M1887">
        <v>8.5816846121738095</v>
      </c>
      <c r="N1887">
        <v>61.086780389978301</v>
      </c>
      <c r="O1887">
        <v>58.041049809698599</v>
      </c>
      <c r="P1887">
        <v>-3.6995987303539202E-2</v>
      </c>
      <c r="Q1887">
        <v>0</v>
      </c>
      <c r="R1887">
        <v>0.93826136465279397</v>
      </c>
      <c r="S1887" t="s">
        <v>8533</v>
      </c>
      <c r="T1887" t="s">
        <v>13290</v>
      </c>
      <c r="U1887" t="s">
        <v>13290</v>
      </c>
      <c r="V1887" t="s">
        <v>13290</v>
      </c>
      <c r="W1887" t="s">
        <v>15145</v>
      </c>
      <c r="X1887">
        <v>5</v>
      </c>
      <c r="Y1887" t="s">
        <v>21713</v>
      </c>
      <c r="Z1887" t="s">
        <v>28217</v>
      </c>
      <c r="AA1887">
        <v>0.68106344263802565</v>
      </c>
      <c r="AB1887" t="str">
        <f>HYPERLINK("Melting_Curves/meltCurve_O95716_RAB3D.pdf", "Melting_Curves/meltCurve_O95716_RAB3D.pdf")</f>
        <v>Melting_Curves/meltCurve_O95716_RAB3D.pdf</v>
      </c>
    </row>
    <row r="1888" spans="1:28" x14ac:dyDescent="0.25">
      <c r="A1888" t="s">
        <v>1892</v>
      </c>
      <c r="B1888">
        <v>0.99252571173614901</v>
      </c>
      <c r="C1888">
        <v>1.0364850182368499</v>
      </c>
      <c r="D1888">
        <v>0.88919515433033103</v>
      </c>
      <c r="E1888">
        <v>0.77103367146314095</v>
      </c>
      <c r="F1888">
        <v>0.58809045360858803</v>
      </c>
      <c r="G1888">
        <v>0.44568877768097098</v>
      </c>
      <c r="H1888">
        <v>0.44244048818651299</v>
      </c>
      <c r="I1888">
        <v>0.64235610835698298</v>
      </c>
      <c r="J1888">
        <v>1.0967256496710001</v>
      </c>
      <c r="K1888">
        <v>1.1938653981323799</v>
      </c>
      <c r="L1888">
        <v>2762.5088846406702</v>
      </c>
      <c r="M1888">
        <v>59.702089122089298</v>
      </c>
      <c r="O1888">
        <v>46.219732105155799</v>
      </c>
      <c r="P1888">
        <v>-8.4234359418239702E-2</v>
      </c>
      <c r="Q1888">
        <v>0.73915232305451894</v>
      </c>
      <c r="R1888">
        <v>0.185590587215266</v>
      </c>
      <c r="S1888" t="s">
        <v>8534</v>
      </c>
      <c r="T1888" t="s">
        <v>13290</v>
      </c>
      <c r="U1888" t="s">
        <v>13290</v>
      </c>
      <c r="V1888" t="s">
        <v>13290</v>
      </c>
      <c r="W1888" t="s">
        <v>15146</v>
      </c>
      <c r="X1888">
        <v>13</v>
      </c>
      <c r="Y1888" t="s">
        <v>21714</v>
      </c>
      <c r="Z1888" t="s">
        <v>28218</v>
      </c>
      <c r="AA1888">
        <v>0.79405628418645191</v>
      </c>
      <c r="AB1888" t="str">
        <f>HYPERLINK("Melting_Curves/meltCurve_O95721_SNAP29.pdf", "Melting_Curves/meltCurve_O95721_SNAP29.pdf")</f>
        <v>Melting_Curves/meltCurve_O95721_SNAP29.pdf</v>
      </c>
    </row>
    <row r="1889" spans="1:28" x14ac:dyDescent="0.25">
      <c r="A1889" t="s">
        <v>1893</v>
      </c>
      <c r="B1889">
        <v>0.99252571173614901</v>
      </c>
      <c r="C1889">
        <v>1.0315224427121299</v>
      </c>
      <c r="D1889">
        <v>0.73767594192961194</v>
      </c>
      <c r="E1889">
        <v>0.290616086560753</v>
      </c>
      <c r="F1889">
        <v>0.15169833469162999</v>
      </c>
      <c r="G1889">
        <v>8.4188486114372296E-2</v>
      </c>
      <c r="H1889">
        <v>4.8823412729661099E-2</v>
      </c>
      <c r="I1889">
        <v>4.2901538350784002E-2</v>
      </c>
      <c r="J1889">
        <v>5.31946034671823E-2</v>
      </c>
      <c r="K1889">
        <v>5.1934599560040901E-2</v>
      </c>
      <c r="L1889">
        <v>1347.27702554661</v>
      </c>
      <c r="M1889">
        <v>28.243277285819701</v>
      </c>
      <c r="N1889">
        <v>47.920315208174699</v>
      </c>
      <c r="O1889">
        <v>47.4653532177798</v>
      </c>
      <c r="P1889">
        <v>-0.13980041566746701</v>
      </c>
      <c r="Q1889">
        <v>6.0219476469578502E-2</v>
      </c>
      <c r="R1889">
        <v>0.99470996265657396</v>
      </c>
      <c r="S1889" t="s">
        <v>8535</v>
      </c>
      <c r="T1889" t="s">
        <v>13290</v>
      </c>
      <c r="U1889" t="s">
        <v>13290</v>
      </c>
      <c r="V1889" t="s">
        <v>13290</v>
      </c>
      <c r="W1889" t="s">
        <v>15147</v>
      </c>
      <c r="X1889">
        <v>19</v>
      </c>
      <c r="Y1889" t="s">
        <v>21715</v>
      </c>
      <c r="Z1889" t="s">
        <v>28219</v>
      </c>
      <c r="AA1889">
        <v>0.30792137482078052</v>
      </c>
      <c r="AB1889" t="str">
        <f>HYPERLINK("Melting_Curves/meltCurve_O95747_OXSR1.pdf", "Melting_Curves/meltCurve_O95747_OXSR1.pdf")</f>
        <v>Melting_Curves/meltCurve_O95747_OXSR1.pdf</v>
      </c>
    </row>
    <row r="1890" spans="1:28" x14ac:dyDescent="0.25">
      <c r="A1890" t="s">
        <v>1894</v>
      </c>
      <c r="B1890">
        <v>0.99252571173614901</v>
      </c>
      <c r="C1890">
        <v>0.94441329704823995</v>
      </c>
      <c r="D1890">
        <v>1.06584608589619</v>
      </c>
      <c r="E1890">
        <v>1.04070310038535</v>
      </c>
      <c r="F1890">
        <v>1.0579252996674799</v>
      </c>
      <c r="G1890">
        <v>0.88244225228538298</v>
      </c>
      <c r="H1890">
        <v>0.71648783849182796</v>
      </c>
      <c r="I1890">
        <v>0.23221377402674201</v>
      </c>
      <c r="J1890">
        <v>0.17088166233847399</v>
      </c>
      <c r="K1890">
        <v>0.13898528462509699</v>
      </c>
      <c r="L1890">
        <v>2976.0323225225402</v>
      </c>
      <c r="M1890">
        <v>48.331020889352502</v>
      </c>
      <c r="N1890">
        <v>61.988408344349899</v>
      </c>
      <c r="O1890">
        <v>61.4708850787922</v>
      </c>
      <c r="P1890">
        <v>-0.16953799288572599</v>
      </c>
      <c r="Q1890">
        <v>0.13747815525312301</v>
      </c>
      <c r="R1890">
        <v>0.982110668886083</v>
      </c>
      <c r="S1890" t="s">
        <v>8536</v>
      </c>
      <c r="T1890" t="s">
        <v>13290</v>
      </c>
      <c r="U1890" t="s">
        <v>13290</v>
      </c>
      <c r="V1890" t="s">
        <v>13290</v>
      </c>
      <c r="W1890" t="s">
        <v>15148</v>
      </c>
      <c r="X1890">
        <v>9</v>
      </c>
      <c r="Y1890" t="s">
        <v>21716</v>
      </c>
      <c r="Z1890" t="s">
        <v>28220</v>
      </c>
      <c r="AA1890">
        <v>0.7601650693897104</v>
      </c>
      <c r="AB1890" t="str">
        <f>HYPERLINK("Melting_Curves/meltCurve_O95749_GGPS1.pdf", "Melting_Curves/meltCurve_O95749_GGPS1.pdf")</f>
        <v>Melting_Curves/meltCurve_O95749_GGPS1.pdf</v>
      </c>
    </row>
    <row r="1891" spans="1:28" x14ac:dyDescent="0.25">
      <c r="A1891" t="s">
        <v>1895</v>
      </c>
      <c r="B1891">
        <v>0.99252571173614901</v>
      </c>
      <c r="C1891">
        <v>1.0823637141784701</v>
      </c>
      <c r="D1891">
        <v>0.95107979835908296</v>
      </c>
      <c r="E1891">
        <v>0.83355083559693199</v>
      </c>
      <c r="F1891">
        <v>0.39040198715348901</v>
      </c>
      <c r="G1891">
        <v>0.16095499410707501</v>
      </c>
      <c r="H1891">
        <v>0.108892746869406</v>
      </c>
      <c r="I1891">
        <v>0.10348935972448101</v>
      </c>
      <c r="J1891">
        <v>0.10983976888111199</v>
      </c>
      <c r="K1891">
        <v>8.5359792103278403E-2</v>
      </c>
      <c r="L1891">
        <v>1586.43672242248</v>
      </c>
      <c r="M1891">
        <v>30.542941587030601</v>
      </c>
      <c r="N1891">
        <v>52.315973673670797</v>
      </c>
      <c r="O1891">
        <v>51.720057720339902</v>
      </c>
      <c r="P1891">
        <v>-0.133129853517434</v>
      </c>
      <c r="Q1891">
        <v>9.8260881511237394E-2</v>
      </c>
      <c r="R1891">
        <v>0.99490590482937202</v>
      </c>
      <c r="S1891" t="s">
        <v>8537</v>
      </c>
      <c r="T1891" t="s">
        <v>13290</v>
      </c>
      <c r="U1891" t="s">
        <v>13290</v>
      </c>
      <c r="V1891" t="s">
        <v>13290</v>
      </c>
      <c r="W1891" t="s">
        <v>15149</v>
      </c>
      <c r="X1891">
        <v>3</v>
      </c>
      <c r="Y1891" t="s">
        <v>21717</v>
      </c>
      <c r="Z1891" t="s">
        <v>28221</v>
      </c>
      <c r="AA1891">
        <v>0.46274361553247478</v>
      </c>
      <c r="AB1891" t="str">
        <f>HYPERLINK("Melting_Curves/meltCurve_O95750_FGF19.pdf", "Melting_Curves/meltCurve_O95750_FGF19.pdf")</f>
        <v>Melting_Curves/meltCurve_O95750_FGF19.pdf</v>
      </c>
    </row>
    <row r="1892" spans="1:28" x14ac:dyDescent="0.25">
      <c r="A1892" t="s">
        <v>1896</v>
      </c>
      <c r="B1892">
        <v>0.99252571173614901</v>
      </c>
      <c r="C1892">
        <v>0.73376836868425099</v>
      </c>
      <c r="D1892">
        <v>0.27416643605678398</v>
      </c>
      <c r="E1892">
        <v>0.15139126807154099</v>
      </c>
      <c r="F1892">
        <v>7.69412310809066E-2</v>
      </c>
      <c r="G1892">
        <v>5.1202007162016297E-2</v>
      </c>
      <c r="H1892">
        <v>4.42240171746624E-2</v>
      </c>
      <c r="I1892">
        <v>5.3087305887594499E-2</v>
      </c>
      <c r="J1892">
        <v>8.9365071475246499E-2</v>
      </c>
      <c r="K1892">
        <v>9.8009248716179206E-2</v>
      </c>
      <c r="L1892">
        <v>1369.2144813222701</v>
      </c>
      <c r="M1892">
        <v>30.991312500597299</v>
      </c>
      <c r="N1892">
        <v>44.410420850758101</v>
      </c>
      <c r="O1892">
        <v>43.997860010595303</v>
      </c>
      <c r="P1892">
        <v>-0.16304799222029201</v>
      </c>
      <c r="Q1892">
        <v>7.40990178397362E-2</v>
      </c>
      <c r="R1892">
        <v>0.99417176808179997</v>
      </c>
      <c r="S1892" t="s">
        <v>8538</v>
      </c>
      <c r="T1892" t="s">
        <v>13290</v>
      </c>
      <c r="U1892" t="s">
        <v>13290</v>
      </c>
      <c r="V1892" t="s">
        <v>13290</v>
      </c>
      <c r="W1892" t="s">
        <v>15150</v>
      </c>
      <c r="X1892">
        <v>7</v>
      </c>
      <c r="Y1892" t="s">
        <v>21718</v>
      </c>
      <c r="Z1892" t="s">
        <v>28222</v>
      </c>
      <c r="AA1892">
        <v>0.20917634559636181</v>
      </c>
      <c r="AB1892" t="str">
        <f>HYPERLINK("Melting_Curves/meltCurve_O95758_1_PTBP3.pdf", "Melting_Curves/meltCurve_O95758_1_PTBP3.pdf")</f>
        <v>Melting_Curves/meltCurve_O95758_1_PTBP3.pdf</v>
      </c>
    </row>
    <row r="1893" spans="1:28" x14ac:dyDescent="0.25">
      <c r="A1893" t="s">
        <v>1897</v>
      </c>
      <c r="B1893">
        <v>0.99252571173614901</v>
      </c>
      <c r="C1893">
        <v>1.02011308301784</v>
      </c>
      <c r="D1893">
        <v>1.06901319801582</v>
      </c>
      <c r="E1893">
        <v>1.0506146993775101</v>
      </c>
      <c r="F1893">
        <v>0.97748239659622105</v>
      </c>
      <c r="G1893">
        <v>0.81643649323249301</v>
      </c>
      <c r="H1893">
        <v>0.79338377808941696</v>
      </c>
      <c r="I1893">
        <v>1.13108087590971</v>
      </c>
      <c r="J1893">
        <v>1.6361438498769101</v>
      </c>
      <c r="K1893">
        <v>1.6406922923632301</v>
      </c>
      <c r="L1893">
        <v>15000</v>
      </c>
      <c r="M1893">
        <v>233.34062587892299</v>
      </c>
      <c r="O1893">
        <v>64.278977613732707</v>
      </c>
      <c r="P1893">
        <v>0.45376539651742398</v>
      </c>
      <c r="Q1893">
        <v>1.5</v>
      </c>
      <c r="R1893">
        <v>0.84426531022703</v>
      </c>
      <c r="S1893" t="s">
        <v>8539</v>
      </c>
      <c r="T1893" t="s">
        <v>13290</v>
      </c>
      <c r="U1893" t="s">
        <v>13290</v>
      </c>
      <c r="V1893" t="s">
        <v>13290</v>
      </c>
      <c r="W1893" t="s">
        <v>15151</v>
      </c>
      <c r="X1893">
        <v>7</v>
      </c>
      <c r="Y1893" t="s">
        <v>21719</v>
      </c>
      <c r="Z1893" t="s">
        <v>28223</v>
      </c>
      <c r="AA1893">
        <v>1.095206827728654</v>
      </c>
      <c r="AB1893" t="str">
        <f>HYPERLINK("Melting_Curves/meltCurve_O95777_NAA38.pdf", "Melting_Curves/meltCurve_O95777_NAA38.pdf")</f>
        <v>Melting_Curves/meltCurve_O95777_NAA38.pdf</v>
      </c>
    </row>
    <row r="1894" spans="1:28" x14ac:dyDescent="0.25">
      <c r="A1894" t="s">
        <v>1898</v>
      </c>
      <c r="B1894">
        <v>0.99252571173614901</v>
      </c>
      <c r="C1894">
        <v>0.91266392190094103</v>
      </c>
      <c r="D1894">
        <v>0.98518174138183001</v>
      </c>
      <c r="E1894">
        <v>0.85838054994832702</v>
      </c>
      <c r="F1894">
        <v>0.58501716161183803</v>
      </c>
      <c r="G1894">
        <v>0.27384266560239801</v>
      </c>
      <c r="H1894">
        <v>0.14576913268689801</v>
      </c>
      <c r="I1894">
        <v>0.10887728647110501</v>
      </c>
      <c r="J1894">
        <v>0.117226746325123</v>
      </c>
      <c r="K1894">
        <v>0.106826721846267</v>
      </c>
      <c r="L1894">
        <v>1220.1787043033</v>
      </c>
      <c r="M1894">
        <v>22.832758034086499</v>
      </c>
      <c r="N1894">
        <v>53.952065213576397</v>
      </c>
      <c r="O1894">
        <v>53.034974717689202</v>
      </c>
      <c r="P1894">
        <v>-9.7144404276751195E-2</v>
      </c>
      <c r="Q1894">
        <v>9.7445577584049606E-2</v>
      </c>
      <c r="R1894">
        <v>0.99449559444425695</v>
      </c>
      <c r="S1894" t="s">
        <v>8540</v>
      </c>
      <c r="T1894" t="s">
        <v>13290</v>
      </c>
      <c r="U1894" t="s">
        <v>13290</v>
      </c>
      <c r="V1894" t="s">
        <v>13290</v>
      </c>
      <c r="W1894" t="s">
        <v>15152</v>
      </c>
      <c r="X1894">
        <v>21</v>
      </c>
      <c r="Y1894" t="s">
        <v>21720</v>
      </c>
      <c r="Z1894" t="s">
        <v>28224</v>
      </c>
      <c r="AA1894">
        <v>0.51161454953245988</v>
      </c>
      <c r="AB1894" t="str">
        <f>HYPERLINK("Melting_Curves/meltCurve_O95782_2_AP2A1.pdf", "Melting_Curves/meltCurve_O95782_2_AP2A1.pdf")</f>
        <v>Melting_Curves/meltCurve_O95782_2_AP2A1.pdf</v>
      </c>
    </row>
    <row r="1895" spans="1:28" x14ac:dyDescent="0.25">
      <c r="A1895" t="s">
        <v>1899</v>
      </c>
      <c r="B1895">
        <v>0.99252571173614901</v>
      </c>
      <c r="C1895">
        <v>1.0154099818936799</v>
      </c>
      <c r="D1895">
        <v>0.88183757376389904</v>
      </c>
      <c r="E1895">
        <v>0.39416250052554203</v>
      </c>
      <c r="F1895">
        <v>0.136769269082607</v>
      </c>
      <c r="G1895">
        <v>8.3631434042970604E-2</v>
      </c>
      <c r="H1895">
        <v>7.1711059715292805E-2</v>
      </c>
      <c r="I1895">
        <v>8.7555456896693404E-2</v>
      </c>
      <c r="J1895">
        <v>0.113581992029453</v>
      </c>
      <c r="K1895">
        <v>0.104936239757009</v>
      </c>
      <c r="L1895">
        <v>1682.51095182842</v>
      </c>
      <c r="M1895">
        <v>34.623125576007098</v>
      </c>
      <c r="N1895">
        <v>48.879985276403303</v>
      </c>
      <c r="O1895">
        <v>48.4337380380017</v>
      </c>
      <c r="P1895">
        <v>-0.16238076452647099</v>
      </c>
      <c r="Q1895">
        <v>9.1395676796367398E-2</v>
      </c>
      <c r="R1895">
        <v>0.99868021949644703</v>
      </c>
      <c r="S1895" t="s">
        <v>8541</v>
      </c>
      <c r="T1895" t="s">
        <v>13290</v>
      </c>
      <c r="U1895" t="s">
        <v>13290</v>
      </c>
      <c r="V1895" t="s">
        <v>13290</v>
      </c>
      <c r="W1895" t="s">
        <v>15153</v>
      </c>
      <c r="X1895">
        <v>10</v>
      </c>
      <c r="Y1895" t="s">
        <v>21721</v>
      </c>
      <c r="Z1895" t="s">
        <v>28225</v>
      </c>
      <c r="AA1895">
        <v>0.35581167628968641</v>
      </c>
      <c r="AB1895" t="str">
        <f>HYPERLINK("Melting_Curves/meltCurve_O95801_TTC4.pdf", "Melting_Curves/meltCurve_O95801_TTC4.pdf")</f>
        <v>Melting_Curves/meltCurve_O95801_TTC4.pdf</v>
      </c>
    </row>
    <row r="1896" spans="1:28" x14ac:dyDescent="0.25">
      <c r="A1896" t="s">
        <v>1900</v>
      </c>
      <c r="B1896">
        <v>0.99252571173614901</v>
      </c>
      <c r="C1896">
        <v>1.05768876143823</v>
      </c>
      <c r="D1896">
        <v>0.93286805292010599</v>
      </c>
      <c r="E1896">
        <v>0.85272197869715205</v>
      </c>
      <c r="F1896">
        <v>0.37066523491692499</v>
      </c>
      <c r="G1896">
        <v>0.23124914538957</v>
      </c>
      <c r="H1896">
        <v>0.17605226277866401</v>
      </c>
      <c r="I1896">
        <v>0.23672526567539101</v>
      </c>
      <c r="J1896">
        <v>0.40808207011964398</v>
      </c>
      <c r="K1896">
        <v>0.50628881130868697</v>
      </c>
      <c r="L1896">
        <v>2741.9405516088</v>
      </c>
      <c r="M1896">
        <v>53.991915102453802</v>
      </c>
      <c r="N1896">
        <v>51.721468745968401</v>
      </c>
      <c r="O1896">
        <v>50.714757399826603</v>
      </c>
      <c r="P1896">
        <v>-0.18310758854631801</v>
      </c>
      <c r="Q1896">
        <v>0.31202656916614002</v>
      </c>
      <c r="R1896">
        <v>0.920610153121459</v>
      </c>
      <c r="S1896" t="s">
        <v>8542</v>
      </c>
      <c r="T1896" t="s">
        <v>13290</v>
      </c>
      <c r="U1896" t="s">
        <v>13290</v>
      </c>
      <c r="V1896" t="s">
        <v>13290</v>
      </c>
      <c r="W1896" t="s">
        <v>15154</v>
      </c>
      <c r="X1896">
        <v>8</v>
      </c>
      <c r="Y1896" t="s">
        <v>21722</v>
      </c>
      <c r="Z1896" t="s">
        <v>28226</v>
      </c>
      <c r="AA1896">
        <v>0.56065712059381367</v>
      </c>
      <c r="AB1896" t="str">
        <f>HYPERLINK("Melting_Curves/meltCurve_O95810_SDPR.pdf", "Melting_Curves/meltCurve_O95810_SDPR.pdf")</f>
        <v>Melting_Curves/meltCurve_O95810_SDPR.pdf</v>
      </c>
    </row>
    <row r="1897" spans="1:28" x14ac:dyDescent="0.25">
      <c r="A1897" t="s">
        <v>1901</v>
      </c>
      <c r="B1897">
        <v>0.99252571173614901</v>
      </c>
      <c r="C1897">
        <v>1.06064084635792</v>
      </c>
      <c r="D1897">
        <v>0.92248147718913898</v>
      </c>
      <c r="E1897">
        <v>0.90300638837152203</v>
      </c>
      <c r="F1897">
        <v>0.74096221456050204</v>
      </c>
      <c r="G1897">
        <v>0.33380635599129699</v>
      </c>
      <c r="H1897">
        <v>0.26656706535971297</v>
      </c>
      <c r="I1897">
        <v>0.303987318227391</v>
      </c>
      <c r="J1897">
        <v>0.342845850289132</v>
      </c>
      <c r="K1897">
        <v>0.363798090340823</v>
      </c>
      <c r="L1897">
        <v>2582.0461475389998</v>
      </c>
      <c r="M1897">
        <v>48.1188969023098</v>
      </c>
      <c r="N1897">
        <v>54.784385040574499</v>
      </c>
      <c r="O1897">
        <v>53.567278773805299</v>
      </c>
      <c r="P1897">
        <v>-0.154099538920315</v>
      </c>
      <c r="Q1897">
        <v>0.31380931140844398</v>
      </c>
      <c r="R1897">
        <v>0.97577417950785605</v>
      </c>
      <c r="S1897" t="s">
        <v>8543</v>
      </c>
      <c r="T1897" t="s">
        <v>13290</v>
      </c>
      <c r="U1897" t="s">
        <v>13290</v>
      </c>
      <c r="V1897" t="s">
        <v>13290</v>
      </c>
      <c r="W1897" t="s">
        <v>15155</v>
      </c>
      <c r="X1897">
        <v>10</v>
      </c>
      <c r="Y1897" t="s">
        <v>21723</v>
      </c>
      <c r="Z1897" t="s">
        <v>28227</v>
      </c>
      <c r="AA1897">
        <v>0.62800204958753658</v>
      </c>
      <c r="AB1897" t="str">
        <f>HYPERLINK("Melting_Curves/meltCurve_O95816_BAG2.pdf", "Melting_Curves/meltCurve_O95816_BAG2.pdf")</f>
        <v>Melting_Curves/meltCurve_O95816_BAG2.pdf</v>
      </c>
    </row>
    <row r="1898" spans="1:28" x14ac:dyDescent="0.25">
      <c r="A1898" t="s">
        <v>1902</v>
      </c>
      <c r="B1898">
        <v>0.99252571173614901</v>
      </c>
      <c r="C1898">
        <v>1.02836291700791</v>
      </c>
      <c r="D1898">
        <v>0.89975563936370295</v>
      </c>
      <c r="E1898">
        <v>0.851955483869129</v>
      </c>
      <c r="F1898">
        <v>0.72703286235093201</v>
      </c>
      <c r="G1898">
        <v>0.55829153455153402</v>
      </c>
      <c r="H1898">
        <v>0.43379755899995398</v>
      </c>
      <c r="I1898">
        <v>0.68629408441603401</v>
      </c>
      <c r="J1898">
        <v>1.1460875079819199</v>
      </c>
      <c r="K1898">
        <v>1.37239698351369</v>
      </c>
      <c r="L1898">
        <v>15000</v>
      </c>
      <c r="M1898">
        <v>223.10880373239499</v>
      </c>
      <c r="O1898">
        <v>67.226392037425001</v>
      </c>
      <c r="P1898">
        <v>0.30902257021713597</v>
      </c>
      <c r="Q1898">
        <v>1.3724544261143901</v>
      </c>
      <c r="R1898">
        <v>-1.3903539288911301E-2</v>
      </c>
      <c r="S1898" t="s">
        <v>8544</v>
      </c>
      <c r="T1898" t="s">
        <v>13290</v>
      </c>
      <c r="U1898" t="s">
        <v>13290</v>
      </c>
      <c r="V1898" t="s">
        <v>13290</v>
      </c>
      <c r="W1898" t="s">
        <v>15156</v>
      </c>
      <c r="X1898">
        <v>15</v>
      </c>
      <c r="Y1898" t="s">
        <v>21724</v>
      </c>
      <c r="Z1898" t="s">
        <v>28228</v>
      </c>
      <c r="AA1898">
        <v>1.0343133931339921</v>
      </c>
      <c r="AB1898" t="str">
        <f>HYPERLINK("Melting_Curves/meltCurve_O95817_BAG3.pdf", "Melting_Curves/meltCurve_O95817_BAG3.pdf")</f>
        <v>Melting_Curves/meltCurve_O95817_BAG3.pdf</v>
      </c>
    </row>
    <row r="1899" spans="1:28" x14ac:dyDescent="0.25">
      <c r="A1899" t="s">
        <v>1903</v>
      </c>
      <c r="B1899">
        <v>0.99252571173614901</v>
      </c>
      <c r="C1899">
        <v>0.92584278773163098</v>
      </c>
      <c r="D1899">
        <v>0.95229344722354203</v>
      </c>
      <c r="E1899">
        <v>0.95572404232432995</v>
      </c>
      <c r="F1899">
        <v>0.49489462479114099</v>
      </c>
      <c r="G1899">
        <v>0.19142870905231099</v>
      </c>
      <c r="H1899">
        <v>0.105290027227068</v>
      </c>
      <c r="I1899">
        <v>9.7033889198109902E-2</v>
      </c>
      <c r="J1899">
        <v>9.3225285472842395E-2</v>
      </c>
      <c r="K1899">
        <v>9.0735512899527596E-2</v>
      </c>
      <c r="L1899">
        <v>1941.6339831205401</v>
      </c>
      <c r="M1899">
        <v>36.677384617201497</v>
      </c>
      <c r="N1899">
        <v>53.2560917733989</v>
      </c>
      <c r="O1899">
        <v>52.781547636865703</v>
      </c>
      <c r="P1899">
        <v>-0.15664333393733901</v>
      </c>
      <c r="Q1899">
        <v>9.8315961909647101E-2</v>
      </c>
      <c r="R1899">
        <v>0.99428434266976995</v>
      </c>
      <c r="S1899" t="s">
        <v>8545</v>
      </c>
      <c r="T1899" t="s">
        <v>13290</v>
      </c>
      <c r="U1899" t="s">
        <v>13290</v>
      </c>
      <c r="V1899" t="s">
        <v>13290</v>
      </c>
      <c r="W1899" t="s">
        <v>15157</v>
      </c>
      <c r="X1899">
        <v>6</v>
      </c>
      <c r="Y1899" t="s">
        <v>21725</v>
      </c>
      <c r="Z1899" t="s">
        <v>28229</v>
      </c>
      <c r="AA1899">
        <v>0.49110919589321089</v>
      </c>
      <c r="AB1899" t="str">
        <f>HYPERLINK("Melting_Curves/meltCurve_O95822_MLYCD.pdf", "Melting_Curves/meltCurve_O95822_MLYCD.pdf")</f>
        <v>Melting_Curves/meltCurve_O95822_MLYCD.pdf</v>
      </c>
    </row>
    <row r="1900" spans="1:28" x14ac:dyDescent="0.25">
      <c r="A1900" t="s">
        <v>1904</v>
      </c>
      <c r="B1900">
        <v>0.99252571173614901</v>
      </c>
      <c r="C1900">
        <v>1.0562393897695801</v>
      </c>
      <c r="D1900">
        <v>1.09911533137634</v>
      </c>
      <c r="E1900">
        <v>1.2212090269979501</v>
      </c>
      <c r="F1900">
        <v>1.23996558802116</v>
      </c>
      <c r="G1900">
        <v>0.98247890667367799</v>
      </c>
      <c r="H1900">
        <v>0.38432944563840699</v>
      </c>
      <c r="I1900">
        <v>0.144060091289581</v>
      </c>
      <c r="J1900">
        <v>0.13878041089215501</v>
      </c>
      <c r="K1900">
        <v>0.13899158127821801</v>
      </c>
      <c r="L1900">
        <v>4370.3173739255699</v>
      </c>
      <c r="M1900">
        <v>72.795862598432706</v>
      </c>
      <c r="N1900">
        <v>60.301454581259698</v>
      </c>
      <c r="O1900">
        <v>59.989981983099</v>
      </c>
      <c r="P1900">
        <v>-0.261679390423389</v>
      </c>
      <c r="Q1900">
        <v>0.137415830105765</v>
      </c>
      <c r="R1900">
        <v>0.94128596135759601</v>
      </c>
      <c r="S1900" t="s">
        <v>8546</v>
      </c>
      <c r="T1900" t="s">
        <v>13290</v>
      </c>
      <c r="U1900" t="s">
        <v>13290</v>
      </c>
      <c r="V1900" t="s">
        <v>13290</v>
      </c>
      <c r="W1900" t="s">
        <v>15158</v>
      </c>
      <c r="X1900">
        <v>9</v>
      </c>
      <c r="Y1900" t="s">
        <v>21726</v>
      </c>
      <c r="Z1900" t="s">
        <v>28230</v>
      </c>
      <c r="AA1900">
        <v>0.71455871246001357</v>
      </c>
      <c r="AB1900" t="str">
        <f>HYPERLINK("Melting_Curves/meltCurve_O95825_CRYZL1.pdf", "Melting_Curves/meltCurve_O95825_CRYZL1.pdf")</f>
        <v>Melting_Curves/meltCurve_O95825_CRYZL1.pdf</v>
      </c>
    </row>
    <row r="1901" spans="1:28" x14ac:dyDescent="0.25">
      <c r="A1901" t="s">
        <v>1905</v>
      </c>
      <c r="B1901">
        <v>0.99252571173614901</v>
      </c>
      <c r="C1901">
        <v>0.91236551833489499</v>
      </c>
      <c r="D1901">
        <v>1.06531990014364</v>
      </c>
      <c r="E1901">
        <v>1.08898811031368</v>
      </c>
      <c r="F1901">
        <v>1.2391934433982299</v>
      </c>
      <c r="G1901">
        <v>0.80714405855472904</v>
      </c>
      <c r="H1901">
        <v>0.65530974905708705</v>
      </c>
      <c r="I1901">
        <v>0.15614692934576499</v>
      </c>
      <c r="J1901">
        <v>0.13043571400495599</v>
      </c>
      <c r="K1901">
        <v>0.118572176178596</v>
      </c>
      <c r="L1901">
        <v>2396.96027391492</v>
      </c>
      <c r="M1901">
        <v>39.184687690927099</v>
      </c>
      <c r="N1901">
        <v>61.472427573649199</v>
      </c>
      <c r="O1901">
        <v>61.012171802858198</v>
      </c>
      <c r="P1901">
        <v>-0.14651989905625501</v>
      </c>
      <c r="Q1901">
        <v>8.7451996822894895E-2</v>
      </c>
      <c r="R1901">
        <v>0.93447583380736698</v>
      </c>
      <c r="S1901" t="s">
        <v>8547</v>
      </c>
      <c r="T1901" t="s">
        <v>13290</v>
      </c>
      <c r="U1901" t="s">
        <v>13290</v>
      </c>
      <c r="V1901" t="s">
        <v>13290</v>
      </c>
      <c r="W1901" t="s">
        <v>15159</v>
      </c>
      <c r="X1901">
        <v>34</v>
      </c>
      <c r="Y1901" t="s">
        <v>21727</v>
      </c>
      <c r="Z1901" t="s">
        <v>28231</v>
      </c>
      <c r="AA1901">
        <v>0.73498499401714412</v>
      </c>
      <c r="AB1901" t="str">
        <f>HYPERLINK("Melting_Curves/meltCurve_O95831_3_AIFM1.pdf", "Melting_Curves/meltCurve_O95831_3_AIFM1.pdf")</f>
        <v>Melting_Curves/meltCurve_O95831_3_AIFM1.pdf</v>
      </c>
    </row>
    <row r="1902" spans="1:28" x14ac:dyDescent="0.25">
      <c r="A1902" t="s">
        <v>1906</v>
      </c>
      <c r="B1902">
        <v>0.99252571173614901</v>
      </c>
      <c r="C1902">
        <v>1.0696115354467199</v>
      </c>
      <c r="D1902">
        <v>1.0205645465751201</v>
      </c>
      <c r="E1902">
        <v>0.96296275279002297</v>
      </c>
      <c r="F1902">
        <v>0.46524793108488099</v>
      </c>
      <c r="G1902">
        <v>0.16513767639273699</v>
      </c>
      <c r="H1902">
        <v>0.12007912081604</v>
      </c>
      <c r="I1902">
        <v>0.11810020351123</v>
      </c>
      <c r="J1902">
        <v>0.137547712668463</v>
      </c>
      <c r="K1902">
        <v>0.15220948701833101</v>
      </c>
      <c r="L1902">
        <v>2579.05998484051</v>
      </c>
      <c r="M1902">
        <v>48.949258182983598</v>
      </c>
      <c r="N1902">
        <v>53.024283182169803</v>
      </c>
      <c r="O1902">
        <v>52.600723211404897</v>
      </c>
      <c r="P1902">
        <v>-0.20163693045887501</v>
      </c>
      <c r="Q1902">
        <v>0.133287089114839</v>
      </c>
      <c r="R1902">
        <v>0.99633888876346699</v>
      </c>
      <c r="S1902" t="s">
        <v>8548</v>
      </c>
      <c r="T1902" t="s">
        <v>13290</v>
      </c>
      <c r="U1902" t="s">
        <v>13290</v>
      </c>
      <c r="V1902" t="s">
        <v>13290</v>
      </c>
      <c r="W1902" t="s">
        <v>15160</v>
      </c>
      <c r="X1902">
        <v>20</v>
      </c>
      <c r="Y1902" t="s">
        <v>21728</v>
      </c>
      <c r="Z1902" t="s">
        <v>28232</v>
      </c>
      <c r="AA1902">
        <v>0.50196348153836923</v>
      </c>
      <c r="AB1902" t="str">
        <f>HYPERLINK("Melting_Curves/meltCurve_O95834_2_EML2.pdf", "Melting_Curves/meltCurve_O95834_2_EML2.pdf")</f>
        <v>Melting_Curves/meltCurve_O95834_2_EML2.pdf</v>
      </c>
    </row>
    <row r="1903" spans="1:28" x14ac:dyDescent="0.25">
      <c r="A1903" t="s">
        <v>1907</v>
      </c>
      <c r="B1903">
        <v>0.99252571173614901</v>
      </c>
      <c r="C1903">
        <v>0.72397541908449503</v>
      </c>
      <c r="D1903">
        <v>0.57954156158364301</v>
      </c>
      <c r="E1903">
        <v>0.70724323605478501</v>
      </c>
      <c r="F1903">
        <v>0.41708823649068699</v>
      </c>
      <c r="G1903">
        <v>0.32545999992603097</v>
      </c>
      <c r="H1903">
        <v>0.222712882596344</v>
      </c>
      <c r="I1903">
        <v>0.17830255622107399</v>
      </c>
      <c r="J1903">
        <v>0.226264393217399</v>
      </c>
      <c r="K1903">
        <v>0.24207891902491399</v>
      </c>
      <c r="L1903">
        <v>418.09476970153702</v>
      </c>
      <c r="M1903">
        <v>8.4977095595621392</v>
      </c>
      <c r="N1903">
        <v>50.930542427917601</v>
      </c>
      <c r="O1903">
        <v>46.7030600272426</v>
      </c>
      <c r="P1903">
        <v>-3.9822332116554601E-2</v>
      </c>
      <c r="Q1903">
        <v>0.12534135515300701</v>
      </c>
      <c r="R1903">
        <v>0.90889684753515398</v>
      </c>
      <c r="S1903" t="s">
        <v>8549</v>
      </c>
      <c r="T1903" t="s">
        <v>13290</v>
      </c>
      <c r="U1903" t="s">
        <v>13290</v>
      </c>
      <c r="V1903" t="s">
        <v>13290</v>
      </c>
      <c r="W1903" t="s">
        <v>15161</v>
      </c>
      <c r="X1903">
        <v>2</v>
      </c>
      <c r="Y1903" t="s">
        <v>21729</v>
      </c>
      <c r="Z1903" t="s">
        <v>28233</v>
      </c>
      <c r="AA1903">
        <v>0.44615342784922007</v>
      </c>
      <c r="AB1903" t="str">
        <f>HYPERLINK("Melting_Curves/meltCurve_O95835_LATS1.pdf", "Melting_Curves/meltCurve_O95835_LATS1.pdf")</f>
        <v>Melting_Curves/meltCurve_O95835_LATS1.pdf</v>
      </c>
    </row>
    <row r="1904" spans="1:28" x14ac:dyDescent="0.25">
      <c r="A1904" t="s">
        <v>1908</v>
      </c>
      <c r="B1904">
        <v>0.99252571173614901</v>
      </c>
      <c r="C1904">
        <v>1.0776987540457901</v>
      </c>
      <c r="D1904">
        <v>1.00923631068914</v>
      </c>
      <c r="E1904">
        <v>0.91685665259334803</v>
      </c>
      <c r="F1904">
        <v>0.76640568369629203</v>
      </c>
      <c r="G1904">
        <v>0.69566015742536902</v>
      </c>
      <c r="H1904">
        <v>0.48777529810656101</v>
      </c>
      <c r="I1904">
        <v>0.128971091657125</v>
      </c>
      <c r="J1904">
        <v>0.14710750524427099</v>
      </c>
      <c r="K1904">
        <v>0.15539010671842399</v>
      </c>
      <c r="L1904">
        <v>858.97526883848798</v>
      </c>
      <c r="M1904">
        <v>14.5208680521046</v>
      </c>
      <c r="N1904">
        <v>59.203314432171702</v>
      </c>
      <c r="O1904">
        <v>58.0665955542229</v>
      </c>
      <c r="P1904">
        <v>-6.2153573308470197E-2</v>
      </c>
      <c r="Q1904">
        <v>5.9458198749285599E-3</v>
      </c>
      <c r="R1904">
        <v>0.96903414811067901</v>
      </c>
      <c r="S1904" t="s">
        <v>8550</v>
      </c>
      <c r="T1904" t="s">
        <v>13290</v>
      </c>
      <c r="U1904" t="s">
        <v>13290</v>
      </c>
      <c r="V1904" t="s">
        <v>13290</v>
      </c>
      <c r="W1904" t="s">
        <v>15162</v>
      </c>
      <c r="X1904">
        <v>6</v>
      </c>
      <c r="Y1904" t="s">
        <v>21730</v>
      </c>
      <c r="Z1904" t="s">
        <v>28234</v>
      </c>
      <c r="AA1904">
        <v>0.65032097673708866</v>
      </c>
      <c r="AB1904" t="str">
        <f>HYPERLINK("Melting_Curves/meltCurve_O95848_NUDT14.pdf", "Melting_Curves/meltCurve_O95848_NUDT14.pdf")</f>
        <v>Melting_Curves/meltCurve_O95848_NUDT14.pdf</v>
      </c>
    </row>
    <row r="1905" spans="1:28" x14ac:dyDescent="0.25">
      <c r="A1905" t="s">
        <v>1909</v>
      </c>
      <c r="B1905">
        <v>0.99252571173614901</v>
      </c>
      <c r="C1905">
        <v>0.98408178702243199</v>
      </c>
      <c r="D1905">
        <v>0.89588597714519502</v>
      </c>
      <c r="E1905">
        <v>0.87291702342436095</v>
      </c>
      <c r="F1905">
        <v>0.75593490115695205</v>
      </c>
      <c r="G1905">
        <v>0.649399898249576</v>
      </c>
      <c r="H1905">
        <v>0.55030392589558297</v>
      </c>
      <c r="I1905">
        <v>0.61730968032611</v>
      </c>
      <c r="J1905">
        <v>0.77077295681465996</v>
      </c>
      <c r="K1905">
        <v>0.39458758007982497</v>
      </c>
      <c r="L1905">
        <v>625.66571919656201</v>
      </c>
      <c r="M1905">
        <v>11.9246408895121</v>
      </c>
      <c r="O1905">
        <v>51.058061682612099</v>
      </c>
      <c r="P1905">
        <v>-2.7016459307241399E-2</v>
      </c>
      <c r="Q1905">
        <v>0.53740603269151599</v>
      </c>
      <c r="R1905">
        <v>0.78181003703733298</v>
      </c>
      <c r="S1905" t="s">
        <v>8551</v>
      </c>
      <c r="T1905" t="s">
        <v>13290</v>
      </c>
      <c r="U1905" t="s">
        <v>13290</v>
      </c>
      <c r="V1905" t="s">
        <v>13290</v>
      </c>
      <c r="W1905" t="s">
        <v>15163</v>
      </c>
      <c r="X1905">
        <v>3</v>
      </c>
      <c r="Y1905" t="s">
        <v>21731</v>
      </c>
      <c r="Z1905" t="s">
        <v>28235</v>
      </c>
      <c r="AA1905">
        <v>0.7434740982343917</v>
      </c>
      <c r="AB1905" t="str">
        <f>HYPERLINK("Melting_Curves/meltCurve_O95857_TSPAN13.pdf", "Melting_Curves/meltCurve_O95857_TSPAN13.pdf")</f>
        <v>Melting_Curves/meltCurve_O95857_TSPAN13.pdf</v>
      </c>
    </row>
    <row r="1906" spans="1:28" x14ac:dyDescent="0.25">
      <c r="A1906" t="s">
        <v>1910</v>
      </c>
      <c r="B1906">
        <v>0.99252571173614901</v>
      </c>
      <c r="C1906">
        <v>1.10994871066344</v>
      </c>
      <c r="D1906">
        <v>1.0276360830120099</v>
      </c>
      <c r="E1906">
        <v>0.94692197620114305</v>
      </c>
      <c r="F1906">
        <v>0.81822446521652104</v>
      </c>
      <c r="G1906">
        <v>0.75997268224085401</v>
      </c>
      <c r="H1906">
        <v>0.72250660492562802</v>
      </c>
      <c r="I1906">
        <v>0.52191160143861604</v>
      </c>
      <c r="J1906">
        <v>0.12686886381720899</v>
      </c>
      <c r="K1906">
        <v>0.135761027612843</v>
      </c>
      <c r="L1906">
        <v>988.20712310594797</v>
      </c>
      <c r="M1906">
        <v>15.7544410813175</v>
      </c>
      <c r="N1906">
        <v>62.725622571669703</v>
      </c>
      <c r="O1906">
        <v>61.741082695750798</v>
      </c>
      <c r="P1906">
        <v>-6.3797691236414905E-2</v>
      </c>
      <c r="Q1906">
        <v>0</v>
      </c>
      <c r="R1906">
        <v>0.93191312283216299</v>
      </c>
      <c r="S1906" t="s">
        <v>8552</v>
      </c>
      <c r="T1906" t="s">
        <v>13290</v>
      </c>
      <c r="U1906" t="s">
        <v>13290</v>
      </c>
      <c r="V1906" t="s">
        <v>13290</v>
      </c>
      <c r="W1906" t="s">
        <v>15164</v>
      </c>
      <c r="X1906">
        <v>21</v>
      </c>
      <c r="Y1906" t="s">
        <v>21732</v>
      </c>
      <c r="Z1906" t="s">
        <v>28236</v>
      </c>
      <c r="AA1906">
        <v>0.751914352512699</v>
      </c>
      <c r="AB1906" t="str">
        <f>HYPERLINK("Melting_Curves/meltCurve_O95861_BPNT1.pdf", "Melting_Curves/meltCurve_O95861_BPNT1.pdf")</f>
        <v>Melting_Curves/meltCurve_O95861_BPNT1.pdf</v>
      </c>
    </row>
    <row r="1907" spans="1:28" x14ac:dyDescent="0.25">
      <c r="A1907" t="s">
        <v>1911</v>
      </c>
      <c r="B1907">
        <v>0.99252571173614901</v>
      </c>
      <c r="C1907">
        <v>1.1090391012774401</v>
      </c>
      <c r="D1907">
        <v>1.01924997248131</v>
      </c>
      <c r="E1907">
        <v>0.92658156371005396</v>
      </c>
      <c r="F1907">
        <v>0.81211042717598603</v>
      </c>
      <c r="G1907">
        <v>0.50370803044411805</v>
      </c>
      <c r="H1907">
        <v>0.116304548578129</v>
      </c>
      <c r="I1907">
        <v>7.3870924210113403E-2</v>
      </c>
      <c r="J1907">
        <v>8.1234648077605304E-2</v>
      </c>
      <c r="K1907">
        <v>7.9829453758470295E-2</v>
      </c>
      <c r="L1907">
        <v>1494.9767369799899</v>
      </c>
      <c r="M1907">
        <v>26.573891704788199</v>
      </c>
      <c r="N1907">
        <v>56.487429516692401</v>
      </c>
      <c r="O1907">
        <v>55.941655814353503</v>
      </c>
      <c r="P1907">
        <v>-0.11266691687368301</v>
      </c>
      <c r="Q1907">
        <v>5.12931217867875E-2</v>
      </c>
      <c r="R1907">
        <v>0.98884239681214903</v>
      </c>
      <c r="S1907" t="s">
        <v>8553</v>
      </c>
      <c r="T1907" t="s">
        <v>13290</v>
      </c>
      <c r="U1907" t="s">
        <v>13290</v>
      </c>
      <c r="V1907" t="s">
        <v>13290</v>
      </c>
      <c r="W1907" t="s">
        <v>15165</v>
      </c>
      <c r="X1907">
        <v>15</v>
      </c>
      <c r="Y1907" t="s">
        <v>21733</v>
      </c>
      <c r="Z1907" t="s">
        <v>28237</v>
      </c>
      <c r="AA1907">
        <v>0.57324488491045</v>
      </c>
      <c r="AB1907" t="str">
        <f>HYPERLINK("Melting_Curves/meltCurve_O95865_DDAH2.pdf", "Melting_Curves/meltCurve_O95865_DDAH2.pdf")</f>
        <v>Melting_Curves/meltCurve_O95865_DDAH2.pdf</v>
      </c>
    </row>
    <row r="1908" spans="1:28" x14ac:dyDescent="0.25">
      <c r="A1908" t="s">
        <v>1912</v>
      </c>
      <c r="B1908">
        <v>0.99252571173614901</v>
      </c>
      <c r="C1908">
        <v>0.98925807238281904</v>
      </c>
      <c r="D1908">
        <v>0.94483892895703903</v>
      </c>
      <c r="E1908">
        <v>1.0041016786338699</v>
      </c>
      <c r="F1908">
        <v>0.721269976086229</v>
      </c>
      <c r="G1908">
        <v>0.51258178405310195</v>
      </c>
      <c r="H1908">
        <v>0.52448730522064102</v>
      </c>
      <c r="I1908">
        <v>0.71070955341417097</v>
      </c>
      <c r="J1908">
        <v>1.17238992593155</v>
      </c>
      <c r="K1908">
        <v>0.93640516155016396</v>
      </c>
      <c r="L1908">
        <v>12777.1980586306</v>
      </c>
      <c r="M1908">
        <v>250</v>
      </c>
      <c r="O1908">
        <v>51.105521918216297</v>
      </c>
      <c r="P1908">
        <v>-0.28987505703310501</v>
      </c>
      <c r="Q1908">
        <v>0.76297254441143003</v>
      </c>
      <c r="R1908">
        <v>0.26078862061142499</v>
      </c>
      <c r="S1908" t="s">
        <v>8554</v>
      </c>
      <c r="T1908" t="s">
        <v>13290</v>
      </c>
      <c r="U1908" t="s">
        <v>13290</v>
      </c>
      <c r="V1908" t="s">
        <v>13290</v>
      </c>
      <c r="W1908" t="s">
        <v>15166</v>
      </c>
      <c r="X1908">
        <v>3</v>
      </c>
      <c r="Y1908" t="s">
        <v>21734</v>
      </c>
      <c r="Z1908" t="s">
        <v>28238</v>
      </c>
      <c r="AA1908">
        <v>0.85076342988807452</v>
      </c>
      <c r="AB1908" t="str">
        <f>HYPERLINK("Melting_Curves/meltCurve_O95873_C6orf47.pdf", "Melting_Curves/meltCurve_O95873_C6orf47.pdf")</f>
        <v>Melting_Curves/meltCurve_O95873_C6orf47.pdf</v>
      </c>
    </row>
    <row r="1909" spans="1:28" x14ac:dyDescent="0.25">
      <c r="A1909" t="s">
        <v>1913</v>
      </c>
      <c r="B1909">
        <v>0.99252571173614901</v>
      </c>
      <c r="C1909">
        <v>1.0670803737039301</v>
      </c>
      <c r="D1909">
        <v>0.94154966458523304</v>
      </c>
      <c r="E1909">
        <v>0.63206888652494098</v>
      </c>
      <c r="F1909">
        <v>0.357031638419465</v>
      </c>
      <c r="G1909">
        <v>0.24109366057090201</v>
      </c>
      <c r="H1909">
        <v>0.192246054430248</v>
      </c>
      <c r="I1909">
        <v>0.222533787116033</v>
      </c>
      <c r="J1909">
        <v>0.30381290328823801</v>
      </c>
      <c r="K1909">
        <v>0.307127129700695</v>
      </c>
      <c r="L1909">
        <v>1579.1878454688399</v>
      </c>
      <c r="M1909">
        <v>31.7754353995396</v>
      </c>
      <c r="N1909">
        <v>50.828837845473302</v>
      </c>
      <c r="O1909">
        <v>49.502788912216403</v>
      </c>
      <c r="P1909">
        <v>-0.119815401714174</v>
      </c>
      <c r="Q1909">
        <v>0.25336466859851298</v>
      </c>
      <c r="R1909">
        <v>0.98475734124537095</v>
      </c>
      <c r="S1909" t="s">
        <v>8555</v>
      </c>
      <c r="T1909" t="s">
        <v>13290</v>
      </c>
      <c r="U1909" t="s">
        <v>13290</v>
      </c>
      <c r="V1909" t="s">
        <v>13290</v>
      </c>
      <c r="W1909" t="s">
        <v>15167</v>
      </c>
      <c r="X1909">
        <v>10</v>
      </c>
      <c r="Y1909" t="s">
        <v>21735</v>
      </c>
      <c r="Z1909" t="s">
        <v>28239</v>
      </c>
      <c r="AA1909">
        <v>0.49882609030694269</v>
      </c>
      <c r="AB1909" t="str">
        <f>HYPERLINK("Melting_Curves/meltCurve_O95881_TXNDC12.pdf", "Melting_Curves/meltCurve_O95881_TXNDC12.pdf")</f>
        <v>Melting_Curves/meltCurve_O95881_TXNDC12.pdf</v>
      </c>
    </row>
    <row r="1910" spans="1:28" x14ac:dyDescent="0.25">
      <c r="A1910" t="s">
        <v>1914</v>
      </c>
      <c r="B1910">
        <v>0.99252571173614901</v>
      </c>
      <c r="C1910">
        <v>0.957503246527866</v>
      </c>
      <c r="D1910">
        <v>0.75079154523653702</v>
      </c>
      <c r="E1910">
        <v>0.49281928855775797</v>
      </c>
      <c r="F1910">
        <v>0.25492638235248999</v>
      </c>
      <c r="G1910">
        <v>0.14675957101151099</v>
      </c>
      <c r="H1910">
        <v>0.116302642488679</v>
      </c>
      <c r="I1910">
        <v>0.12664115924618</v>
      </c>
      <c r="J1910">
        <v>0.14396794931958001</v>
      </c>
      <c r="K1910">
        <v>0.173163538848918</v>
      </c>
      <c r="L1910">
        <v>970.841768692203</v>
      </c>
      <c r="M1910">
        <v>20.0257575292325</v>
      </c>
      <c r="N1910">
        <v>49.215476245161803</v>
      </c>
      <c r="O1910">
        <v>48.003987194982898</v>
      </c>
      <c r="P1910">
        <v>-9.0802721955115601E-2</v>
      </c>
      <c r="Q1910">
        <v>0.12937090357793399</v>
      </c>
      <c r="R1910">
        <v>0.99545796961632504</v>
      </c>
      <c r="S1910" t="s">
        <v>8556</v>
      </c>
      <c r="T1910" t="s">
        <v>13290</v>
      </c>
      <c r="U1910" t="s">
        <v>13290</v>
      </c>
      <c r="V1910" t="s">
        <v>13290</v>
      </c>
      <c r="W1910" t="s">
        <v>15168</v>
      </c>
      <c r="X1910">
        <v>2</v>
      </c>
      <c r="Y1910" t="s">
        <v>21736</v>
      </c>
      <c r="Z1910" t="s">
        <v>28240</v>
      </c>
      <c r="AA1910">
        <v>0.38769596269452128</v>
      </c>
      <c r="AB1910" t="str">
        <f>HYPERLINK("Melting_Curves/meltCurve_O95905_ECD.pdf", "Melting_Curves/meltCurve_O95905_ECD.pdf")</f>
        <v>Melting_Curves/meltCurve_O95905_ECD.pdf</v>
      </c>
    </row>
    <row r="1911" spans="1:28" x14ac:dyDescent="0.25">
      <c r="A1911" t="s">
        <v>1915</v>
      </c>
      <c r="B1911">
        <v>0.99252571173614901</v>
      </c>
      <c r="C1911">
        <v>0.91448450637298195</v>
      </c>
      <c r="D1911">
        <v>0.95814318801726595</v>
      </c>
      <c r="E1911">
        <v>1.0361797093648899</v>
      </c>
      <c r="F1911">
        <v>1.0037077771307199</v>
      </c>
      <c r="G1911">
        <v>1.0347155009428799</v>
      </c>
      <c r="H1911">
        <v>1.03315734575121</v>
      </c>
      <c r="I1911">
        <v>1.3051848126646299</v>
      </c>
      <c r="J1911">
        <v>1.9913282647462001</v>
      </c>
      <c r="K1911">
        <v>2.3183270096241002</v>
      </c>
      <c r="L1911">
        <v>15000</v>
      </c>
      <c r="M1911">
        <v>234.824094240703</v>
      </c>
      <c r="O1911">
        <v>63.872968778552398</v>
      </c>
      <c r="P1911">
        <v>0.45955295949379898</v>
      </c>
      <c r="Q1911">
        <v>1.5</v>
      </c>
      <c r="R1911">
        <v>0.57170367992100202</v>
      </c>
      <c r="S1911" t="s">
        <v>8557</v>
      </c>
      <c r="T1911" t="s">
        <v>13290</v>
      </c>
      <c r="U1911" t="s">
        <v>13290</v>
      </c>
      <c r="V1911" t="s">
        <v>13290</v>
      </c>
      <c r="W1911" t="s">
        <v>15169</v>
      </c>
      <c r="X1911">
        <v>11</v>
      </c>
      <c r="Y1911" t="s">
        <v>21737</v>
      </c>
      <c r="Z1911" t="s">
        <v>28241</v>
      </c>
      <c r="AA1911">
        <v>1.1019764359326281</v>
      </c>
      <c r="AB1911" t="str">
        <f>HYPERLINK("Melting_Curves/meltCurve_O95926_SYF2.pdf", "Melting_Curves/meltCurve_O95926_SYF2.pdf")</f>
        <v>Melting_Curves/meltCurve_O95926_SYF2.pdf</v>
      </c>
    </row>
    <row r="1912" spans="1:28" x14ac:dyDescent="0.25">
      <c r="A1912" t="s">
        <v>1916</v>
      </c>
      <c r="B1912">
        <v>0.99252571173614901</v>
      </c>
      <c r="C1912">
        <v>0.87210576303664999</v>
      </c>
      <c r="D1912">
        <v>0.89839780184830997</v>
      </c>
      <c r="E1912">
        <v>0.56887116351252898</v>
      </c>
      <c r="F1912">
        <v>0.397141121194309</v>
      </c>
      <c r="G1912">
        <v>0.26734425270745898</v>
      </c>
      <c r="H1912">
        <v>0.22209691886084901</v>
      </c>
      <c r="I1912">
        <v>0.22156999508716699</v>
      </c>
      <c r="J1912">
        <v>0.28664471803209302</v>
      </c>
      <c r="K1912">
        <v>0.33512079615693502</v>
      </c>
      <c r="L1912">
        <v>1057.0288585901401</v>
      </c>
      <c r="M1912">
        <v>21.560288947793399</v>
      </c>
      <c r="N1912">
        <v>50.742601379510099</v>
      </c>
      <c r="O1912">
        <v>48.610736591593501</v>
      </c>
      <c r="P1912">
        <v>-8.2184859807128696E-2</v>
      </c>
      <c r="Q1912">
        <v>0.25882817143147202</v>
      </c>
      <c r="R1912">
        <v>0.97270276353527196</v>
      </c>
      <c r="S1912" t="s">
        <v>8558</v>
      </c>
      <c r="T1912" t="s">
        <v>13290</v>
      </c>
      <c r="U1912" t="s">
        <v>13290</v>
      </c>
      <c r="V1912" t="s">
        <v>13290</v>
      </c>
      <c r="W1912" t="s">
        <v>15170</v>
      </c>
      <c r="X1912">
        <v>6</v>
      </c>
      <c r="Y1912" t="s">
        <v>21738</v>
      </c>
      <c r="Z1912" t="s">
        <v>28242</v>
      </c>
      <c r="AA1912">
        <v>0.49074321490237532</v>
      </c>
      <c r="AB1912" t="str">
        <f>HYPERLINK("Melting_Curves/meltCurve_O95983_2_MBD3.pdf", "Melting_Curves/meltCurve_O95983_2_MBD3.pdf")</f>
        <v>Melting_Curves/meltCurve_O95983_2_MBD3.pdf</v>
      </c>
    </row>
    <row r="1913" spans="1:28" x14ac:dyDescent="0.25">
      <c r="A1913" t="s">
        <v>1917</v>
      </c>
      <c r="B1913">
        <v>0.99252571173614901</v>
      </c>
      <c r="C1913">
        <v>0.938066010108218</v>
      </c>
      <c r="D1913">
        <v>0.89130415899177495</v>
      </c>
      <c r="E1913">
        <v>0.72169957627278802</v>
      </c>
      <c r="F1913">
        <v>0.32918305977060403</v>
      </c>
      <c r="G1913">
        <v>0.169061191369239</v>
      </c>
      <c r="H1913">
        <v>0.10282155756264701</v>
      </c>
      <c r="I1913">
        <v>0.10993102740048</v>
      </c>
      <c r="J1913">
        <v>0.121435644963467</v>
      </c>
      <c r="K1913">
        <v>0.123926277563288</v>
      </c>
      <c r="L1913">
        <v>1202.5329146265301</v>
      </c>
      <c r="M1913">
        <v>23.6116711109572</v>
      </c>
      <c r="N1913">
        <v>51.440257461514697</v>
      </c>
      <c r="O1913">
        <v>50.5684864532926</v>
      </c>
      <c r="P1913">
        <v>-0.10453722211672201</v>
      </c>
      <c r="Q1913">
        <v>0.10447652107701599</v>
      </c>
      <c r="R1913">
        <v>0.99498475239443296</v>
      </c>
      <c r="S1913" t="s">
        <v>8559</v>
      </c>
      <c r="T1913" t="s">
        <v>13290</v>
      </c>
      <c r="U1913" t="s">
        <v>13290</v>
      </c>
      <c r="V1913" t="s">
        <v>13290</v>
      </c>
      <c r="W1913" t="s">
        <v>15171</v>
      </c>
      <c r="X1913">
        <v>11</v>
      </c>
      <c r="Y1913" t="s">
        <v>21739</v>
      </c>
      <c r="Z1913" t="s">
        <v>28243</v>
      </c>
      <c r="AA1913">
        <v>0.43977637651105422</v>
      </c>
      <c r="AB1913" t="str">
        <f>HYPERLINK("Melting_Curves/meltCurve_O95985_TOP3B.pdf", "Melting_Curves/meltCurve_O95985_TOP3B.pdf")</f>
        <v>Melting_Curves/meltCurve_O95985_TOP3B.pdf</v>
      </c>
    </row>
    <row r="1914" spans="1:28" x14ac:dyDescent="0.25">
      <c r="A1914" t="s">
        <v>1918</v>
      </c>
      <c r="B1914">
        <v>0.99252571173614901</v>
      </c>
      <c r="C1914">
        <v>1.0837989585362899</v>
      </c>
      <c r="D1914">
        <v>0.95235609676608501</v>
      </c>
      <c r="E1914">
        <v>0.817979992461354</v>
      </c>
      <c r="F1914">
        <v>0.75141901000248201</v>
      </c>
      <c r="G1914">
        <v>0.60316694155137096</v>
      </c>
      <c r="H1914">
        <v>0.38535753241221998</v>
      </c>
      <c r="I1914">
        <v>0.18944286696121701</v>
      </c>
      <c r="J1914">
        <v>0.216717532193443</v>
      </c>
      <c r="K1914">
        <v>0.20027023066039701</v>
      </c>
      <c r="L1914">
        <v>734.21782132600595</v>
      </c>
      <c r="M1914">
        <v>12.868554787298701</v>
      </c>
      <c r="N1914">
        <v>57.948248332263297</v>
      </c>
      <c r="O1914">
        <v>55.730070934990401</v>
      </c>
      <c r="P1914">
        <v>-5.2544436973047899E-2</v>
      </c>
      <c r="Q1914">
        <v>8.9946883410757003E-2</v>
      </c>
      <c r="R1914">
        <v>0.97822805334785701</v>
      </c>
      <c r="S1914" t="s">
        <v>8560</v>
      </c>
      <c r="T1914" t="s">
        <v>13290</v>
      </c>
      <c r="U1914" t="s">
        <v>13290</v>
      </c>
      <c r="V1914" t="s">
        <v>13290</v>
      </c>
      <c r="W1914" t="s">
        <v>15172</v>
      </c>
      <c r="X1914">
        <v>13</v>
      </c>
      <c r="Y1914" t="s">
        <v>21740</v>
      </c>
      <c r="Z1914" t="s">
        <v>28244</v>
      </c>
      <c r="AA1914">
        <v>0.62240039498853739</v>
      </c>
      <c r="AB1914" t="str">
        <f>HYPERLINK("Melting_Curves/meltCurve_O95989_NUDT3.pdf", "Melting_Curves/meltCurve_O95989_NUDT3.pdf")</f>
        <v>Melting_Curves/meltCurve_O95989_NUDT3.pdf</v>
      </c>
    </row>
    <row r="1915" spans="1:28" x14ac:dyDescent="0.25">
      <c r="A1915" t="s">
        <v>1919</v>
      </c>
      <c r="B1915">
        <v>0.99252571173614901</v>
      </c>
      <c r="C1915">
        <v>0.82687242227663804</v>
      </c>
      <c r="D1915">
        <v>0.65601015483487102</v>
      </c>
      <c r="E1915">
        <v>0.45056605446387199</v>
      </c>
      <c r="F1915">
        <v>0.22229867696199801</v>
      </c>
      <c r="G1915">
        <v>0.148258047656109</v>
      </c>
      <c r="H1915">
        <v>0.13290486821494599</v>
      </c>
      <c r="I1915">
        <v>0.148132567977274</v>
      </c>
      <c r="J1915">
        <v>0.20532385383840199</v>
      </c>
      <c r="K1915">
        <v>0.220617293710382</v>
      </c>
      <c r="L1915">
        <v>821.98798719487695</v>
      </c>
      <c r="M1915">
        <v>17.488373580899101</v>
      </c>
      <c r="N1915">
        <v>48.045614645723603</v>
      </c>
      <c r="O1915">
        <v>46.400314609492</v>
      </c>
      <c r="P1915">
        <v>-7.9339523907339005E-2</v>
      </c>
      <c r="Q1915">
        <v>0.15802899719435501</v>
      </c>
      <c r="R1915">
        <v>0.98213239505468897</v>
      </c>
      <c r="S1915" t="s">
        <v>8561</v>
      </c>
      <c r="T1915" t="s">
        <v>13290</v>
      </c>
      <c r="U1915" t="s">
        <v>13290</v>
      </c>
      <c r="V1915" t="s">
        <v>13290</v>
      </c>
      <c r="W1915" t="s">
        <v>15173</v>
      </c>
      <c r="X1915">
        <v>7</v>
      </c>
      <c r="Y1915" t="s">
        <v>21741</v>
      </c>
      <c r="Z1915" t="s">
        <v>28245</v>
      </c>
      <c r="AA1915">
        <v>0.37107921363515639</v>
      </c>
      <c r="AB1915" t="str">
        <f>HYPERLINK("Melting_Curves/meltCurve_O95999_BCL10.pdf", "Melting_Curves/meltCurve_O95999_BCL10.pdf")</f>
        <v>Melting_Curves/meltCurve_O95999_BCL10.pdf</v>
      </c>
    </row>
    <row r="1916" spans="1:28" x14ac:dyDescent="0.25">
      <c r="A1916" t="s">
        <v>1920</v>
      </c>
      <c r="B1916">
        <v>0.99252571173614901</v>
      </c>
      <c r="C1916">
        <v>0.84355691126318499</v>
      </c>
      <c r="D1916">
        <v>0.73728821910250597</v>
      </c>
      <c r="E1916">
        <v>0.618013188222725</v>
      </c>
      <c r="F1916">
        <v>0.43258510681593598</v>
      </c>
      <c r="G1916">
        <v>0.32016797324233598</v>
      </c>
      <c r="H1916">
        <v>0.271403414015219</v>
      </c>
      <c r="I1916">
        <v>0.32532392260281701</v>
      </c>
      <c r="J1916">
        <v>0.39361933960768097</v>
      </c>
      <c r="K1916">
        <v>0.33326670545116199</v>
      </c>
      <c r="L1916">
        <v>696.78407804548601</v>
      </c>
      <c r="M1916">
        <v>14.598082437470101</v>
      </c>
      <c r="N1916">
        <v>51.1206997959126</v>
      </c>
      <c r="O1916">
        <v>46.862337752015797</v>
      </c>
      <c r="P1916">
        <v>-5.3736709667032298E-2</v>
      </c>
      <c r="Q1916">
        <v>0.31006146320834999</v>
      </c>
      <c r="R1916">
        <v>0.96738520147875795</v>
      </c>
      <c r="S1916" t="s">
        <v>8562</v>
      </c>
      <c r="T1916" t="s">
        <v>13290</v>
      </c>
      <c r="U1916" t="s">
        <v>13290</v>
      </c>
      <c r="V1916" t="s">
        <v>13290</v>
      </c>
      <c r="W1916" t="s">
        <v>15174</v>
      </c>
      <c r="X1916">
        <v>13</v>
      </c>
      <c r="Y1916" t="s">
        <v>21742</v>
      </c>
      <c r="Z1916" t="s">
        <v>28246</v>
      </c>
      <c r="AA1916">
        <v>0.50685262982043799</v>
      </c>
      <c r="AB1916" t="str">
        <f>HYPERLINK("Melting_Curves/meltCurve_O96000_NDUFB10.pdf", "Melting_Curves/meltCurve_O96000_NDUFB10.pdf")</f>
        <v>Melting_Curves/meltCurve_O96000_NDUFB10.pdf</v>
      </c>
    </row>
    <row r="1917" spans="1:28" x14ac:dyDescent="0.25">
      <c r="A1917" t="s">
        <v>1921</v>
      </c>
      <c r="B1917">
        <v>0.99252571173614901</v>
      </c>
      <c r="C1917">
        <v>1.0201953675512401</v>
      </c>
      <c r="D1917">
        <v>0.85920282863876896</v>
      </c>
      <c r="E1917">
        <v>0.64956239501903401</v>
      </c>
      <c r="F1917">
        <v>0.506776702200745</v>
      </c>
      <c r="G1917">
        <v>0.36939967881351998</v>
      </c>
      <c r="H1917">
        <v>0.36462257601916997</v>
      </c>
      <c r="I1917">
        <v>0.49315903207040301</v>
      </c>
      <c r="J1917">
        <v>0.80576143680314505</v>
      </c>
      <c r="K1917">
        <v>0.92490691960181104</v>
      </c>
      <c r="L1917">
        <v>1888.98981717007</v>
      </c>
      <c r="M1917">
        <v>40.269507185015698</v>
      </c>
      <c r="O1917">
        <v>46.793467410618199</v>
      </c>
      <c r="P1917">
        <v>-9.0256151096290094E-2</v>
      </c>
      <c r="Q1917">
        <v>0.58048766883246194</v>
      </c>
      <c r="R1917">
        <v>0.52374045721393603</v>
      </c>
      <c r="S1917" t="s">
        <v>8563</v>
      </c>
      <c r="T1917" t="s">
        <v>13290</v>
      </c>
      <c r="U1917" t="s">
        <v>13290</v>
      </c>
      <c r="V1917" t="s">
        <v>13290</v>
      </c>
      <c r="W1917" t="s">
        <v>15175</v>
      </c>
      <c r="X1917">
        <v>5</v>
      </c>
      <c r="Y1917" t="s">
        <v>21743</v>
      </c>
      <c r="Z1917" t="s">
        <v>28247</v>
      </c>
      <c r="AA1917">
        <v>0.67845012667310534</v>
      </c>
      <c r="AB1917" t="str">
        <f>HYPERLINK("Melting_Curves/meltCurve_O96007_MOCS2.pdf", "Melting_Curves/meltCurve_O96007_MOCS2.pdf")</f>
        <v>Melting_Curves/meltCurve_O96007_MOCS2.pdf</v>
      </c>
    </row>
    <row r="1918" spans="1:28" x14ac:dyDescent="0.25">
      <c r="A1918" t="s">
        <v>1922</v>
      </c>
      <c r="B1918">
        <v>0.99252571173614901</v>
      </c>
      <c r="C1918">
        <v>0.94082912415417697</v>
      </c>
      <c r="D1918">
        <v>0.94344707393899496</v>
      </c>
      <c r="E1918">
        <v>0.63342822527586695</v>
      </c>
      <c r="F1918">
        <v>0.79427837456091199</v>
      </c>
      <c r="G1918">
        <v>0.64432228723863005</v>
      </c>
      <c r="H1918">
        <v>0.560582112381525</v>
      </c>
      <c r="I1918">
        <v>0.66580857651470304</v>
      </c>
      <c r="J1918">
        <v>0.90048168631182801</v>
      </c>
      <c r="K1918">
        <v>0.90930380955162804</v>
      </c>
      <c r="L1918">
        <v>11561.1529514084</v>
      </c>
      <c r="M1918">
        <v>250</v>
      </c>
      <c r="O1918">
        <v>46.241652497479201</v>
      </c>
      <c r="P1918">
        <v>-0.36527730515477802</v>
      </c>
      <c r="Q1918">
        <v>0.72974358118918903</v>
      </c>
      <c r="R1918">
        <v>0.47808227348238003</v>
      </c>
      <c r="S1918" t="s">
        <v>8564</v>
      </c>
      <c r="T1918" t="s">
        <v>13290</v>
      </c>
      <c r="U1918" t="s">
        <v>13290</v>
      </c>
      <c r="V1918" t="s">
        <v>13290</v>
      </c>
      <c r="W1918" t="s">
        <v>15176</v>
      </c>
      <c r="X1918">
        <v>16</v>
      </c>
      <c r="Y1918" t="s">
        <v>21744</v>
      </c>
      <c r="Z1918" t="s">
        <v>28248</v>
      </c>
      <c r="AA1918">
        <v>0.78602039559656067</v>
      </c>
      <c r="AB1918" t="str">
        <f>HYPERLINK("Melting_Curves/meltCurve_O96008_TOMM40.pdf", "Melting_Curves/meltCurve_O96008_TOMM40.pdf")</f>
        <v>Melting_Curves/meltCurve_O96008_TOMM40.pdf</v>
      </c>
    </row>
    <row r="1919" spans="1:28" x14ac:dyDescent="0.25">
      <c r="A1919" t="s">
        <v>1923</v>
      </c>
      <c r="B1919">
        <v>0.99252571173614901</v>
      </c>
      <c r="C1919">
        <v>0.90288059130348097</v>
      </c>
      <c r="D1919">
        <v>0.872035452153059</v>
      </c>
      <c r="E1919">
        <v>0.642310431973521</v>
      </c>
      <c r="F1919">
        <v>0.67292846466999501</v>
      </c>
      <c r="G1919">
        <v>0.43965485158600498</v>
      </c>
      <c r="H1919">
        <v>0.40376235852493497</v>
      </c>
      <c r="I1919">
        <v>0.491115206602528</v>
      </c>
      <c r="J1919">
        <v>0.735122229935114</v>
      </c>
      <c r="K1919">
        <v>0.63335472946316695</v>
      </c>
      <c r="L1919">
        <v>1017.5876225273</v>
      </c>
      <c r="M1919">
        <v>21.541604260595399</v>
      </c>
      <c r="O1919">
        <v>46.836811213418599</v>
      </c>
      <c r="P1919">
        <v>-5.1646240036669198E-2</v>
      </c>
      <c r="Q1919">
        <v>0.55084375856214096</v>
      </c>
      <c r="R1919">
        <v>0.74009269271299505</v>
      </c>
      <c r="S1919" t="s">
        <v>8565</v>
      </c>
      <c r="T1919" t="s">
        <v>13290</v>
      </c>
      <c r="U1919" t="s">
        <v>13290</v>
      </c>
      <c r="V1919" t="s">
        <v>13290</v>
      </c>
      <c r="W1919" t="s">
        <v>15177</v>
      </c>
      <c r="X1919">
        <v>8</v>
      </c>
      <c r="Y1919" t="s">
        <v>21745</v>
      </c>
      <c r="Z1919" t="s">
        <v>28249</v>
      </c>
      <c r="AA1919">
        <v>0.66475093125644447</v>
      </c>
      <c r="AB1919" t="str">
        <f>HYPERLINK("Melting_Curves/meltCurve_O96011_2_PEX11B.pdf", "Melting_Curves/meltCurve_O96011_2_PEX11B.pdf")</f>
        <v>Melting_Curves/meltCurve_O96011_2_PEX11B.pdf</v>
      </c>
    </row>
    <row r="1920" spans="1:28" x14ac:dyDescent="0.25">
      <c r="A1920" t="s">
        <v>1924</v>
      </c>
      <c r="B1920">
        <v>0.99252571173614901</v>
      </c>
      <c r="C1920">
        <v>1.0729933718176901</v>
      </c>
      <c r="D1920">
        <v>0.94962090435333602</v>
      </c>
      <c r="E1920">
        <v>0.830360687374738</v>
      </c>
      <c r="F1920">
        <v>0.25313731482963697</v>
      </c>
      <c r="G1920">
        <v>0.13842060661945299</v>
      </c>
      <c r="H1920">
        <v>9.3202653075863603E-2</v>
      </c>
      <c r="I1920">
        <v>0.103787405582608</v>
      </c>
      <c r="J1920">
        <v>0.103077801504712</v>
      </c>
      <c r="K1920">
        <v>8.5630121582415106E-2</v>
      </c>
      <c r="L1920">
        <v>2161.6201104141901</v>
      </c>
      <c r="M1920">
        <v>42.166457434221897</v>
      </c>
      <c r="N1920">
        <v>51.538503971534297</v>
      </c>
      <c r="O1920">
        <v>51.149073815911997</v>
      </c>
      <c r="P1920">
        <v>-0.185365466865683</v>
      </c>
      <c r="Q1920">
        <v>0.100587844502032</v>
      </c>
      <c r="R1920">
        <v>0.99519093461986496</v>
      </c>
      <c r="S1920" t="s">
        <v>8566</v>
      </c>
      <c r="T1920" t="s">
        <v>13290</v>
      </c>
      <c r="U1920" t="s">
        <v>13290</v>
      </c>
      <c r="V1920" t="s">
        <v>13290</v>
      </c>
      <c r="W1920" t="s">
        <v>15178</v>
      </c>
      <c r="X1920">
        <v>12</v>
      </c>
      <c r="Y1920" t="s">
        <v>21746</v>
      </c>
      <c r="Z1920" t="s">
        <v>28250</v>
      </c>
      <c r="AA1920">
        <v>0.44115180433879841</v>
      </c>
      <c r="AB1920" t="str">
        <f>HYPERLINK("Melting_Curves/meltCurve_O96013_PAK4.pdf", "Melting_Curves/meltCurve_O96013_PAK4.pdf")</f>
        <v>Melting_Curves/meltCurve_O96013_PAK4.pdf</v>
      </c>
    </row>
    <row r="1921" spans="1:28" x14ac:dyDescent="0.25">
      <c r="A1921" t="s">
        <v>1925</v>
      </c>
      <c r="B1921">
        <v>0.99252571173614901</v>
      </c>
      <c r="C1921">
        <v>1.0711628303526799</v>
      </c>
      <c r="D1921">
        <v>0.91407847742449</v>
      </c>
      <c r="E1921">
        <v>0.74625176467271903</v>
      </c>
      <c r="F1921">
        <v>0.33897948802691102</v>
      </c>
      <c r="G1921">
        <v>0.17109848352729901</v>
      </c>
      <c r="H1921">
        <v>0.139142814361322</v>
      </c>
      <c r="I1921">
        <v>0.13884068388587101</v>
      </c>
      <c r="J1921">
        <v>0.16623396647077399</v>
      </c>
      <c r="K1921">
        <v>0.14873483855651201</v>
      </c>
      <c r="L1921">
        <v>1471.76485447452</v>
      </c>
      <c r="M1921">
        <v>28.872219663412</v>
      </c>
      <c r="N1921">
        <v>51.574211099498299</v>
      </c>
      <c r="O1921">
        <v>50.732458680428799</v>
      </c>
      <c r="P1921">
        <v>-0.122007919581437</v>
      </c>
      <c r="Q1921">
        <v>0.14246778789556699</v>
      </c>
      <c r="R1921">
        <v>0.99356201394700805</v>
      </c>
      <c r="S1921" t="s">
        <v>8567</v>
      </c>
      <c r="T1921" t="s">
        <v>13290</v>
      </c>
      <c r="U1921" t="s">
        <v>13290</v>
      </c>
      <c r="V1921" t="s">
        <v>13290</v>
      </c>
      <c r="W1921" t="s">
        <v>15179</v>
      </c>
      <c r="X1921">
        <v>17</v>
      </c>
      <c r="Y1921" t="s">
        <v>21747</v>
      </c>
      <c r="Z1921" t="s">
        <v>28251</v>
      </c>
      <c r="AA1921">
        <v>0.46200407315856551</v>
      </c>
      <c r="AB1921" t="str">
        <f>HYPERLINK("Melting_Curves/meltCurve_O96017_CHEK2.pdf", "Melting_Curves/meltCurve_O96017_CHEK2.pdf")</f>
        <v>Melting_Curves/meltCurve_O96017_CHEK2.pdf</v>
      </c>
    </row>
    <row r="1922" spans="1:28" x14ac:dyDescent="0.25">
      <c r="A1922" t="s">
        <v>1926</v>
      </c>
      <c r="B1922">
        <v>0.99252571173614901</v>
      </c>
      <c r="C1922">
        <v>1.00040936357743</v>
      </c>
      <c r="D1922">
        <v>0.93516718663668197</v>
      </c>
      <c r="E1922">
        <v>0.78727153821353002</v>
      </c>
      <c r="F1922">
        <v>0.29721582913594102</v>
      </c>
      <c r="G1922">
        <v>0.18439776422356399</v>
      </c>
      <c r="H1922">
        <v>0.11770741354325</v>
      </c>
      <c r="I1922">
        <v>9.3811505224243294E-2</v>
      </c>
      <c r="J1922">
        <v>9.3815056840024405E-2</v>
      </c>
      <c r="K1922">
        <v>9.00941159321762E-2</v>
      </c>
      <c r="L1922">
        <v>1593.10718108891</v>
      </c>
      <c r="M1922">
        <v>31.070965446861099</v>
      </c>
      <c r="N1922">
        <v>51.6541302233395</v>
      </c>
      <c r="O1922">
        <v>51.062192590461898</v>
      </c>
      <c r="P1922">
        <v>-0.13654721969431799</v>
      </c>
      <c r="Q1922">
        <v>0.102395330528846</v>
      </c>
      <c r="R1922">
        <v>0.99689707025353502</v>
      </c>
      <c r="S1922" t="s">
        <v>8568</v>
      </c>
      <c r="T1922" t="s">
        <v>13290</v>
      </c>
      <c r="U1922" t="s">
        <v>13290</v>
      </c>
      <c r="V1922" t="s">
        <v>13290</v>
      </c>
      <c r="W1922" t="s">
        <v>15180</v>
      </c>
      <c r="X1922">
        <v>18</v>
      </c>
      <c r="Y1922" t="s">
        <v>21748</v>
      </c>
      <c r="Z1922" t="s">
        <v>28252</v>
      </c>
      <c r="AA1922">
        <v>0.44497547277695892</v>
      </c>
      <c r="AB1922" t="str">
        <f>HYPERLINK("Melting_Curves/meltCurve_O96019_ACTL6A.pdf", "Melting_Curves/meltCurve_O96019_ACTL6A.pdf")</f>
        <v>Melting_Curves/meltCurve_O96019_ACTL6A.pdf</v>
      </c>
    </row>
    <row r="1923" spans="1:28" x14ac:dyDescent="0.25">
      <c r="A1923" t="s">
        <v>1927</v>
      </c>
      <c r="B1923">
        <v>0.99252571173614901</v>
      </c>
      <c r="C1923">
        <v>1.00765193870166</v>
      </c>
      <c r="D1923">
        <v>0.89029580289215404</v>
      </c>
      <c r="E1923">
        <v>0.55401196981952905</v>
      </c>
      <c r="F1923">
        <v>0.31887269296452297</v>
      </c>
      <c r="G1923">
        <v>0.14845315581284599</v>
      </c>
      <c r="H1923">
        <v>9.4980421443894694E-2</v>
      </c>
      <c r="I1923">
        <v>0.11779457613323301</v>
      </c>
      <c r="J1923">
        <v>0.15731461046773401</v>
      </c>
      <c r="K1923">
        <v>0.16039429479515799</v>
      </c>
      <c r="L1923">
        <v>1171.68922291373</v>
      </c>
      <c r="M1923">
        <v>23.5778903454366</v>
      </c>
      <c r="N1923">
        <v>50.327426184535398</v>
      </c>
      <c r="O1923">
        <v>49.341067607201502</v>
      </c>
      <c r="P1923">
        <v>-0.104136896056907</v>
      </c>
      <c r="Q1923">
        <v>0.12831244218055299</v>
      </c>
      <c r="R1923">
        <v>0.99457504825416299</v>
      </c>
      <c r="S1923" t="s">
        <v>8569</v>
      </c>
      <c r="T1923" t="s">
        <v>13290</v>
      </c>
      <c r="U1923" t="s">
        <v>13290</v>
      </c>
      <c r="V1923" t="s">
        <v>13290</v>
      </c>
      <c r="W1923" t="s">
        <v>15181</v>
      </c>
      <c r="X1923">
        <v>4</v>
      </c>
      <c r="Y1923" t="s">
        <v>21743</v>
      </c>
      <c r="Z1923" t="s">
        <v>28253</v>
      </c>
      <c r="AA1923">
        <v>0.41873955720330802</v>
      </c>
      <c r="AB1923" t="str">
        <f>HYPERLINK("Melting_Curves/meltCurve_O96033_MOCS2.pdf", "Melting_Curves/meltCurve_O96033_MOCS2.pdf")</f>
        <v>Melting_Curves/meltCurve_O96033_MOCS2.pdf</v>
      </c>
    </row>
    <row r="1924" spans="1:28" x14ac:dyDescent="0.25">
      <c r="A1924" t="s">
        <v>1928</v>
      </c>
      <c r="B1924">
        <v>0.99252571173614901</v>
      </c>
      <c r="C1924">
        <v>0.96789403875270696</v>
      </c>
      <c r="D1924">
        <v>0.89002207630847396</v>
      </c>
      <c r="E1924">
        <v>0.74770096603512703</v>
      </c>
      <c r="F1924">
        <v>0.60054453265260199</v>
      </c>
      <c r="G1924">
        <v>0.54588535296345198</v>
      </c>
      <c r="H1924">
        <v>0.44920909370231099</v>
      </c>
      <c r="I1924">
        <v>0.41924200401422801</v>
      </c>
      <c r="J1924">
        <v>0.52549626972196295</v>
      </c>
      <c r="K1924">
        <v>0.46151776664343702</v>
      </c>
      <c r="L1924">
        <v>827.56998494294896</v>
      </c>
      <c r="M1924">
        <v>16.555456855642099</v>
      </c>
      <c r="N1924">
        <v>58.582886938541101</v>
      </c>
      <c r="O1924">
        <v>49.275481904945302</v>
      </c>
      <c r="P1924">
        <v>-4.57014176462349E-2</v>
      </c>
      <c r="Q1924">
        <v>0.45593650483522502</v>
      </c>
      <c r="R1924">
        <v>0.98153500550965</v>
      </c>
      <c r="S1924" t="s">
        <v>8570</v>
      </c>
      <c r="T1924" t="s">
        <v>13290</v>
      </c>
      <c r="U1924" t="s">
        <v>13290</v>
      </c>
      <c r="V1924" t="s">
        <v>13290</v>
      </c>
      <c r="W1924" t="s">
        <v>15182</v>
      </c>
      <c r="X1924">
        <v>10</v>
      </c>
      <c r="Y1924" t="s">
        <v>21749</v>
      </c>
      <c r="Z1924" t="s">
        <v>28254</v>
      </c>
      <c r="AA1924">
        <v>0.64792398203032453</v>
      </c>
      <c r="AB1924" t="str">
        <f>HYPERLINK("Melting_Curves/meltCurve_P00167_2_CYB5A.pdf", "Melting_Curves/meltCurve_P00167_2_CYB5A.pdf")</f>
        <v>Melting_Curves/meltCurve_P00167_2_CYB5A.pdf</v>
      </c>
    </row>
    <row r="1925" spans="1:28" x14ac:dyDescent="0.25">
      <c r="A1925" t="s">
        <v>1929</v>
      </c>
      <c r="B1925">
        <v>0.99252571173614901</v>
      </c>
      <c r="C1925">
        <v>0.99367591735198402</v>
      </c>
      <c r="D1925">
        <v>1.07159522989776</v>
      </c>
      <c r="E1925">
        <v>1.10214976581681</v>
      </c>
      <c r="F1925">
        <v>1.0771629366342601</v>
      </c>
      <c r="G1925">
        <v>0.92241879594366305</v>
      </c>
      <c r="H1925">
        <v>0.76506328732624096</v>
      </c>
      <c r="I1925">
        <v>0.427264959399629</v>
      </c>
      <c r="J1925">
        <v>0.23740086492600901</v>
      </c>
      <c r="K1925">
        <v>0.138632255250452</v>
      </c>
      <c r="L1925">
        <v>1789.5688149093801</v>
      </c>
      <c r="M1925">
        <v>28.460298017603002</v>
      </c>
      <c r="N1925">
        <v>63.358823817377498</v>
      </c>
      <c r="O1925">
        <v>62.571511320088803</v>
      </c>
      <c r="P1925">
        <v>-0.102698236006787</v>
      </c>
      <c r="Q1925">
        <v>9.6856900769539497E-2</v>
      </c>
      <c r="R1925">
        <v>0.98005810602063104</v>
      </c>
      <c r="S1925" t="s">
        <v>8571</v>
      </c>
      <c r="T1925" t="s">
        <v>13290</v>
      </c>
      <c r="U1925" t="s">
        <v>13290</v>
      </c>
      <c r="V1925" t="s">
        <v>13290</v>
      </c>
      <c r="W1925" t="s">
        <v>15183</v>
      </c>
      <c r="X1925">
        <v>29</v>
      </c>
      <c r="Y1925" t="s">
        <v>21750</v>
      </c>
      <c r="Z1925" t="s">
        <v>28255</v>
      </c>
      <c r="AA1925">
        <v>0.78862547949233519</v>
      </c>
      <c r="AB1925" t="str">
        <f>HYPERLINK("Melting_Curves/meltCurve_P00338_LDHA.pdf", "Melting_Curves/meltCurve_P00338_LDHA.pdf")</f>
        <v>Melting_Curves/meltCurve_P00338_LDHA.pdf</v>
      </c>
    </row>
    <row r="1926" spans="1:28" x14ac:dyDescent="0.25">
      <c r="A1926" t="s">
        <v>1930</v>
      </c>
      <c r="B1926">
        <v>0.99252571173614901</v>
      </c>
      <c r="C1926">
        <v>0.93202812472121799</v>
      </c>
      <c r="D1926">
        <v>1.07561576094454</v>
      </c>
      <c r="E1926">
        <v>1.0857678328137299</v>
      </c>
      <c r="F1926">
        <v>1.08320037798798</v>
      </c>
      <c r="G1926">
        <v>0.91407485539827604</v>
      </c>
      <c r="H1926">
        <v>1.0209564785556799</v>
      </c>
      <c r="I1926">
        <v>1.1710782526999699</v>
      </c>
      <c r="J1926">
        <v>0.683963535592647</v>
      </c>
      <c r="K1926">
        <v>0.31411269224701899</v>
      </c>
      <c r="L1926">
        <v>15000</v>
      </c>
      <c r="M1926">
        <v>223.389421199894</v>
      </c>
      <c r="N1926">
        <v>67.445929370938998</v>
      </c>
      <c r="O1926">
        <v>67.141933976055796</v>
      </c>
      <c r="P1926">
        <v>-0.57057325834916905</v>
      </c>
      <c r="Q1926">
        <v>0.31403390737060499</v>
      </c>
      <c r="R1926">
        <v>0.89337351201728499</v>
      </c>
      <c r="S1926" t="s">
        <v>8572</v>
      </c>
      <c r="T1926" t="s">
        <v>13290</v>
      </c>
      <c r="U1926" t="s">
        <v>13290</v>
      </c>
      <c r="V1926" t="s">
        <v>13290</v>
      </c>
      <c r="W1926" t="s">
        <v>15184</v>
      </c>
      <c r="X1926">
        <v>13</v>
      </c>
      <c r="Y1926" t="s">
        <v>21751</v>
      </c>
      <c r="Z1926" t="s">
        <v>28256</v>
      </c>
      <c r="AA1926">
        <v>0.93487225286461628</v>
      </c>
      <c r="AB1926" t="str">
        <f>HYPERLINK("Melting_Curves/meltCurve_P00352_ALDH1A1.pdf", "Melting_Curves/meltCurve_P00352_ALDH1A1.pdf")</f>
        <v>Melting_Curves/meltCurve_P00352_ALDH1A1.pdf</v>
      </c>
    </row>
    <row r="1927" spans="1:28" x14ac:dyDescent="0.25">
      <c r="A1927" t="s">
        <v>1931</v>
      </c>
      <c r="B1927">
        <v>0.99252571173614901</v>
      </c>
      <c r="C1927">
        <v>0.87112118415033102</v>
      </c>
      <c r="D1927">
        <v>1.28009842744585</v>
      </c>
      <c r="E1927">
        <v>1.3398412916048901</v>
      </c>
      <c r="F1927">
        <v>1.46508061091207</v>
      </c>
      <c r="G1927">
        <v>0.94959248771687499</v>
      </c>
      <c r="H1927">
        <v>0.379717793320761</v>
      </c>
      <c r="I1927">
        <v>0.159954050022592</v>
      </c>
      <c r="J1927">
        <v>0.13774838147538801</v>
      </c>
      <c r="K1927">
        <v>0.126226941272892</v>
      </c>
      <c r="L1927">
        <v>3493.57988927215</v>
      </c>
      <c r="M1927">
        <v>58.390357293639902</v>
      </c>
      <c r="N1927">
        <v>60.1540113475846</v>
      </c>
      <c r="O1927">
        <v>59.761394432179998</v>
      </c>
      <c r="P1927">
        <v>-0.21143286172613501</v>
      </c>
      <c r="Q1927">
        <v>0.134410720013657</v>
      </c>
      <c r="R1927">
        <v>0.82880132511308702</v>
      </c>
      <c r="S1927" t="s">
        <v>8573</v>
      </c>
      <c r="T1927" t="s">
        <v>13290</v>
      </c>
      <c r="U1927" t="s">
        <v>13290</v>
      </c>
      <c r="V1927" t="s">
        <v>13290</v>
      </c>
      <c r="W1927" t="s">
        <v>15185</v>
      </c>
      <c r="X1927">
        <v>35</v>
      </c>
      <c r="Y1927" t="s">
        <v>21752</v>
      </c>
      <c r="Z1927" t="s">
        <v>28257</v>
      </c>
      <c r="AA1927">
        <v>0.70827099215621325</v>
      </c>
      <c r="AB1927" t="str">
        <f>HYPERLINK("Melting_Curves/meltCurve_P00367_GLUD1.pdf", "Melting_Curves/meltCurve_P00367_GLUD1.pdf")</f>
        <v>Melting_Curves/meltCurve_P00367_GLUD1.pdf</v>
      </c>
    </row>
    <row r="1928" spans="1:28" x14ac:dyDescent="0.25">
      <c r="A1928" t="s">
        <v>1932</v>
      </c>
      <c r="B1928">
        <v>0.99252571173614901</v>
      </c>
      <c r="C1928">
        <v>0.90718666421052396</v>
      </c>
      <c r="D1928">
        <v>0.48570013463434503</v>
      </c>
      <c r="E1928">
        <v>0.202049725859209</v>
      </c>
      <c r="F1928">
        <v>0.12339124905399</v>
      </c>
      <c r="G1928">
        <v>7.0356652258292296E-2</v>
      </c>
      <c r="H1928">
        <v>5.0366790304024897E-2</v>
      </c>
      <c r="I1928">
        <v>5.1372747991456302E-2</v>
      </c>
      <c r="J1928">
        <v>5.9055041778050203E-2</v>
      </c>
      <c r="K1928">
        <v>6.0237822240580198E-2</v>
      </c>
      <c r="L1928">
        <v>1234.1902339692699</v>
      </c>
      <c r="M1928">
        <v>26.904534996796102</v>
      </c>
      <c r="N1928">
        <v>46.116171528640699</v>
      </c>
      <c r="O1928">
        <v>45.621761722840297</v>
      </c>
      <c r="P1928">
        <v>-0.13768184019826901</v>
      </c>
      <c r="Q1928">
        <v>6.6146284205476705E-2</v>
      </c>
      <c r="R1928">
        <v>0.99621746651846399</v>
      </c>
      <c r="S1928" t="s">
        <v>8574</v>
      </c>
      <c r="T1928" t="s">
        <v>13290</v>
      </c>
      <c r="U1928" t="s">
        <v>13290</v>
      </c>
      <c r="V1928" t="s">
        <v>13290</v>
      </c>
      <c r="W1928" t="s">
        <v>15186</v>
      </c>
      <c r="X1928">
        <v>10</v>
      </c>
      <c r="Y1928" t="s">
        <v>21753</v>
      </c>
      <c r="Z1928" t="s">
        <v>28258</v>
      </c>
      <c r="AA1928">
        <v>0.256292113407879</v>
      </c>
      <c r="AB1928" t="str">
        <f>HYPERLINK("Melting_Curves/meltCurve_P00374_DHFR.pdf", "Melting_Curves/meltCurve_P00374_DHFR.pdf")</f>
        <v>Melting_Curves/meltCurve_P00374_DHFR.pdf</v>
      </c>
    </row>
    <row r="1929" spans="1:28" x14ac:dyDescent="0.25">
      <c r="A1929" t="s">
        <v>1933</v>
      </c>
      <c r="B1929">
        <v>0.99252571173614901</v>
      </c>
      <c r="C1929">
        <v>0.91373196586404704</v>
      </c>
      <c r="D1929">
        <v>0.85113231482743101</v>
      </c>
      <c r="E1929">
        <v>0.72291475796642601</v>
      </c>
      <c r="F1929">
        <v>0.57319321923737199</v>
      </c>
      <c r="G1929">
        <v>0.43360760222579497</v>
      </c>
      <c r="H1929">
        <v>0.147451016081283</v>
      </c>
      <c r="I1929">
        <v>7.9129569249720394E-2</v>
      </c>
      <c r="J1929">
        <v>8.6371836009206601E-2</v>
      </c>
      <c r="K1929">
        <v>8.1213636502738398E-2</v>
      </c>
      <c r="L1929">
        <v>636.74646097009804</v>
      </c>
      <c r="M1929">
        <v>11.7949496761976</v>
      </c>
      <c r="N1929">
        <v>53.984669289164003</v>
      </c>
      <c r="O1929">
        <v>52.503005439227898</v>
      </c>
      <c r="P1929">
        <v>-5.6177685565806497E-2</v>
      </c>
      <c r="Q1929">
        <v>0</v>
      </c>
      <c r="R1929">
        <v>0.98597559678628999</v>
      </c>
      <c r="S1929" t="s">
        <v>8575</v>
      </c>
      <c r="T1929" t="s">
        <v>13290</v>
      </c>
      <c r="U1929" t="s">
        <v>13290</v>
      </c>
      <c r="V1929" t="s">
        <v>13290</v>
      </c>
      <c r="W1929" t="s">
        <v>15187</v>
      </c>
      <c r="X1929">
        <v>15</v>
      </c>
      <c r="Y1929" t="s">
        <v>21754</v>
      </c>
      <c r="Z1929" t="s">
        <v>28259</v>
      </c>
      <c r="AA1929">
        <v>0.49272695853313841</v>
      </c>
      <c r="AB1929" t="str">
        <f>HYPERLINK("Melting_Curves/meltCurve_P00387_2_CYB5R3.pdf", "Melting_Curves/meltCurve_P00387_2_CYB5R3.pdf")</f>
        <v>Melting_Curves/meltCurve_P00387_2_CYB5R3.pdf</v>
      </c>
    </row>
    <row r="1930" spans="1:28" x14ac:dyDescent="0.25">
      <c r="A1930" t="s">
        <v>1934</v>
      </c>
      <c r="B1930">
        <v>0.99252571173614901</v>
      </c>
      <c r="C1930">
        <v>0.96713455247687397</v>
      </c>
      <c r="D1930">
        <v>0.97260076990002897</v>
      </c>
      <c r="E1930">
        <v>0.52137282145095198</v>
      </c>
      <c r="F1930">
        <v>0.24025177028796099</v>
      </c>
      <c r="G1930">
        <v>0.16972761445374401</v>
      </c>
      <c r="H1930">
        <v>0.220830482237485</v>
      </c>
      <c r="I1930">
        <v>0.18065107965990601</v>
      </c>
      <c r="J1930">
        <v>0.30908759661580298</v>
      </c>
      <c r="K1930">
        <v>0.31353309409376801</v>
      </c>
      <c r="L1930">
        <v>2614.0162899248799</v>
      </c>
      <c r="M1930">
        <v>53.232158943717401</v>
      </c>
      <c r="N1930">
        <v>49.7059015915736</v>
      </c>
      <c r="O1930">
        <v>49.0368054155702</v>
      </c>
      <c r="P1930">
        <v>-0.20706635125520301</v>
      </c>
      <c r="Q1930">
        <v>0.237012679565131</v>
      </c>
      <c r="R1930">
        <v>0.98168925766216397</v>
      </c>
      <c r="S1930" t="s">
        <v>8576</v>
      </c>
      <c r="T1930" t="s">
        <v>13290</v>
      </c>
      <c r="U1930" t="s">
        <v>13290</v>
      </c>
      <c r="V1930" t="s">
        <v>13290</v>
      </c>
      <c r="W1930" t="s">
        <v>15188</v>
      </c>
      <c r="X1930">
        <v>20</v>
      </c>
      <c r="Y1930" t="s">
        <v>21755</v>
      </c>
      <c r="Z1930" t="s">
        <v>28260</v>
      </c>
      <c r="AA1930">
        <v>0.47006095877771442</v>
      </c>
      <c r="AB1930" t="str">
        <f>HYPERLINK("Melting_Curves/meltCurve_P00390_2_GSR.pdf", "Melting_Curves/meltCurve_P00390_2_GSR.pdf")</f>
        <v>Melting_Curves/meltCurve_P00390_2_GSR.pdf</v>
      </c>
    </row>
    <row r="1931" spans="1:28" x14ac:dyDescent="0.25">
      <c r="A1931" t="s">
        <v>1935</v>
      </c>
      <c r="B1931">
        <v>0.99252571173614901</v>
      </c>
      <c r="C1931">
        <v>1.0991044412866</v>
      </c>
      <c r="D1931">
        <v>1.02571911088131</v>
      </c>
      <c r="E1931">
        <v>0.841351855371818</v>
      </c>
      <c r="F1931">
        <v>0.89335988148665102</v>
      </c>
      <c r="G1931">
        <v>0.68195020965182296</v>
      </c>
      <c r="H1931">
        <v>0.53494590708829404</v>
      </c>
      <c r="I1931">
        <v>0.40237409880208802</v>
      </c>
      <c r="J1931">
        <v>0.17587688784330699</v>
      </c>
      <c r="K1931">
        <v>0.162369585858015</v>
      </c>
      <c r="L1931">
        <v>760.38095055619897</v>
      </c>
      <c r="M1931">
        <v>12.482564517902601</v>
      </c>
      <c r="N1931">
        <v>60.915443322385201</v>
      </c>
      <c r="O1931">
        <v>59.415423809483897</v>
      </c>
      <c r="P1931">
        <v>-5.2533274077169401E-2</v>
      </c>
      <c r="Q1931">
        <v>0</v>
      </c>
      <c r="R1931">
        <v>0.96961498109532596</v>
      </c>
      <c r="S1931" t="s">
        <v>8577</v>
      </c>
      <c r="T1931" t="s">
        <v>13290</v>
      </c>
      <c r="U1931" t="s">
        <v>13290</v>
      </c>
      <c r="V1931" t="s">
        <v>13290</v>
      </c>
      <c r="W1931" t="s">
        <v>15189</v>
      </c>
      <c r="X1931">
        <v>5</v>
      </c>
      <c r="Y1931" t="s">
        <v>21756</v>
      </c>
      <c r="Z1931" t="s">
        <v>28261</v>
      </c>
      <c r="AA1931">
        <v>0.69512532183914033</v>
      </c>
      <c r="AB1931" t="str">
        <f>HYPERLINK("Melting_Curves/meltCurve_P00403_MT_CO2.pdf", "Melting_Curves/meltCurve_P00403_MT_CO2.pdf")</f>
        <v>Melting_Curves/meltCurve_P00403_MT_CO2.pdf</v>
      </c>
    </row>
    <row r="1932" spans="1:28" x14ac:dyDescent="0.25">
      <c r="A1932" t="s">
        <v>1936</v>
      </c>
      <c r="B1932">
        <v>0.99252571173614901</v>
      </c>
      <c r="C1932">
        <v>1.0818605736286599</v>
      </c>
      <c r="D1932">
        <v>0.81208734933318205</v>
      </c>
      <c r="E1932">
        <v>0.74525103267249204</v>
      </c>
      <c r="F1932">
        <v>0.87187722152417202</v>
      </c>
      <c r="G1932">
        <v>0.81409746554983897</v>
      </c>
      <c r="H1932">
        <v>0.70726303441267901</v>
      </c>
      <c r="I1932">
        <v>0.80040396453251605</v>
      </c>
      <c r="J1932">
        <v>0.96905852268158599</v>
      </c>
      <c r="K1932">
        <v>1.2669577348349901</v>
      </c>
      <c r="L1932">
        <v>11106.955521498499</v>
      </c>
      <c r="M1932">
        <v>250</v>
      </c>
      <c r="O1932">
        <v>44.424979008961898</v>
      </c>
      <c r="P1932">
        <v>-0.17814535305965001</v>
      </c>
      <c r="Q1932">
        <v>0.87337434305028006</v>
      </c>
      <c r="R1932">
        <v>0.15009841518632799</v>
      </c>
      <c r="S1932" t="s">
        <v>8578</v>
      </c>
      <c r="T1932" t="s">
        <v>13290</v>
      </c>
      <c r="U1932" t="s">
        <v>13290</v>
      </c>
      <c r="V1932" t="s">
        <v>13290</v>
      </c>
      <c r="W1932" t="s">
        <v>15190</v>
      </c>
      <c r="X1932">
        <v>12</v>
      </c>
      <c r="Y1932" t="s">
        <v>21757</v>
      </c>
      <c r="Z1932" t="s">
        <v>28262</v>
      </c>
      <c r="AA1932">
        <v>0.89207341208652935</v>
      </c>
      <c r="AB1932" t="str">
        <f>HYPERLINK("Melting_Curves/meltCurve_P00441_SOD1.pdf", "Melting_Curves/meltCurve_P00441_SOD1.pdf")</f>
        <v>Melting_Curves/meltCurve_P00441_SOD1.pdf</v>
      </c>
    </row>
    <row r="1933" spans="1:28" x14ac:dyDescent="0.25">
      <c r="A1933" t="s">
        <v>1937</v>
      </c>
      <c r="B1933">
        <v>0.99252571173614901</v>
      </c>
      <c r="C1933">
        <v>0.93816860897256005</v>
      </c>
      <c r="D1933">
        <v>0.90245395845452703</v>
      </c>
      <c r="E1933">
        <v>0.70427343534267906</v>
      </c>
      <c r="F1933">
        <v>0.87475506799742297</v>
      </c>
      <c r="G1933">
        <v>0.80474191513459803</v>
      </c>
      <c r="H1933">
        <v>0.86383019210829304</v>
      </c>
      <c r="I1933">
        <v>1.1518874924779701</v>
      </c>
      <c r="J1933">
        <v>1.5779864297817301</v>
      </c>
      <c r="K1933">
        <v>1.47273875154826</v>
      </c>
      <c r="L1933">
        <v>15000</v>
      </c>
      <c r="M1933">
        <v>233.54576117732799</v>
      </c>
      <c r="O1933">
        <v>64.222525626706698</v>
      </c>
      <c r="P1933">
        <v>0.45456352049187698</v>
      </c>
      <c r="Q1933">
        <v>1.5</v>
      </c>
      <c r="R1933">
        <v>0.75860401678837797</v>
      </c>
      <c r="S1933" t="s">
        <v>8579</v>
      </c>
      <c r="T1933" t="s">
        <v>13290</v>
      </c>
      <c r="U1933" t="s">
        <v>13290</v>
      </c>
      <c r="V1933" t="s">
        <v>13290</v>
      </c>
      <c r="W1933" t="s">
        <v>15191</v>
      </c>
      <c r="X1933">
        <v>18</v>
      </c>
      <c r="Y1933" t="s">
        <v>21758</v>
      </c>
      <c r="Z1933" t="s">
        <v>28263</v>
      </c>
      <c r="AA1933">
        <v>1.096148059842128</v>
      </c>
      <c r="AB1933" t="str">
        <f>HYPERLINK("Melting_Curves/meltCurve_P00491_PNP.pdf", "Melting_Curves/meltCurve_P00491_PNP.pdf")</f>
        <v>Melting_Curves/meltCurve_P00491_PNP.pdf</v>
      </c>
    </row>
    <row r="1934" spans="1:28" x14ac:dyDescent="0.25">
      <c r="A1934" t="s">
        <v>1938</v>
      </c>
      <c r="B1934">
        <v>0.99252571173614901</v>
      </c>
      <c r="C1934">
        <v>1.03876311394864</v>
      </c>
      <c r="D1934">
        <v>0.99326788033171698</v>
      </c>
      <c r="E1934">
        <v>0.92465720637945403</v>
      </c>
      <c r="F1934">
        <v>0.87898581520976504</v>
      </c>
      <c r="G1934">
        <v>0.77455461933082803</v>
      </c>
      <c r="H1934">
        <v>0.76515558091216296</v>
      </c>
      <c r="I1934">
        <v>1.0449492120977799</v>
      </c>
      <c r="J1934">
        <v>1.46754052234775</v>
      </c>
      <c r="K1934">
        <v>1.5865985799657401</v>
      </c>
      <c r="L1934">
        <v>7151.5512412517101</v>
      </c>
      <c r="M1934">
        <v>109.368350751957</v>
      </c>
      <c r="O1934">
        <v>65.367735226985801</v>
      </c>
      <c r="P1934">
        <v>0.20914056434700601</v>
      </c>
      <c r="Q1934">
        <v>1.5</v>
      </c>
      <c r="R1934">
        <v>0.79793736379768898</v>
      </c>
      <c r="S1934" t="s">
        <v>8580</v>
      </c>
      <c r="T1934" t="s">
        <v>13290</v>
      </c>
      <c r="U1934" t="s">
        <v>13290</v>
      </c>
      <c r="V1934" t="s">
        <v>13290</v>
      </c>
      <c r="W1934" t="s">
        <v>15192</v>
      </c>
      <c r="X1934">
        <v>19</v>
      </c>
      <c r="Y1934" t="s">
        <v>21759</v>
      </c>
      <c r="Z1934" t="s">
        <v>28264</v>
      </c>
      <c r="AA1934">
        <v>1.0765487964754781</v>
      </c>
      <c r="AB1934" t="str">
        <f>HYPERLINK("Melting_Curves/meltCurve_P00492_HPRT1.pdf", "Melting_Curves/meltCurve_P00492_HPRT1.pdf")</f>
        <v>Melting_Curves/meltCurve_P00492_HPRT1.pdf</v>
      </c>
    </row>
    <row r="1935" spans="1:28" x14ac:dyDescent="0.25">
      <c r="A1935" t="s">
        <v>1939</v>
      </c>
      <c r="B1935">
        <v>0.99252571173614901</v>
      </c>
      <c r="C1935">
        <v>0.99815351740053604</v>
      </c>
      <c r="D1935">
        <v>0.95129107064514196</v>
      </c>
      <c r="E1935">
        <v>0.81432708782595997</v>
      </c>
      <c r="F1935">
        <v>0.85548136902375604</v>
      </c>
      <c r="G1935">
        <v>0.73738936515328102</v>
      </c>
      <c r="H1935">
        <v>1.4081344586415501</v>
      </c>
      <c r="I1935">
        <v>1.1117582628448599</v>
      </c>
      <c r="J1935">
        <v>0.95186018757497204</v>
      </c>
      <c r="K1935">
        <v>0.30842292969656698</v>
      </c>
      <c r="L1935">
        <v>15000</v>
      </c>
      <c r="M1935">
        <v>220.95280635094801</v>
      </c>
      <c r="N1935">
        <v>68.182411900453303</v>
      </c>
      <c r="O1935">
        <v>67.882227945801404</v>
      </c>
      <c r="P1935">
        <v>-0.56347685398755598</v>
      </c>
      <c r="Q1935">
        <v>0.30754316407237098</v>
      </c>
      <c r="R1935">
        <v>0.569638385684205</v>
      </c>
      <c r="S1935" t="s">
        <v>8581</v>
      </c>
      <c r="T1935" t="s">
        <v>13290</v>
      </c>
      <c r="U1935" t="s">
        <v>13290</v>
      </c>
      <c r="V1935" t="s">
        <v>13290</v>
      </c>
      <c r="W1935" t="s">
        <v>15193</v>
      </c>
      <c r="X1935">
        <v>38</v>
      </c>
      <c r="Y1935" t="s">
        <v>21760</v>
      </c>
      <c r="Z1935" t="s">
        <v>28265</v>
      </c>
      <c r="AA1935">
        <v>0.95134237836728874</v>
      </c>
      <c r="AB1935" t="str">
        <f>HYPERLINK("Melting_Curves/meltCurve_P00505_GOT2.pdf", "Melting_Curves/meltCurve_P00505_GOT2.pdf")</f>
        <v>Melting_Curves/meltCurve_P00505_GOT2.pdf</v>
      </c>
    </row>
    <row r="1936" spans="1:28" x14ac:dyDescent="0.25">
      <c r="A1936" t="s">
        <v>1940</v>
      </c>
      <c r="B1936">
        <v>0.99252571173614901</v>
      </c>
      <c r="C1936">
        <v>1.0386770454733301</v>
      </c>
      <c r="D1936">
        <v>0.81538368593024202</v>
      </c>
      <c r="E1936">
        <v>0.41899844613083398</v>
      </c>
      <c r="F1936">
        <v>0.15118180905980499</v>
      </c>
      <c r="G1936">
        <v>0.11904873720616101</v>
      </c>
      <c r="H1936">
        <v>0.11583944933545701</v>
      </c>
      <c r="I1936">
        <v>0.17903712924687101</v>
      </c>
      <c r="J1936">
        <v>0.25000460069942898</v>
      </c>
      <c r="K1936">
        <v>0.34233567315101998</v>
      </c>
      <c r="L1936">
        <v>1634.29286763602</v>
      </c>
      <c r="M1936">
        <v>34.099512310760701</v>
      </c>
      <c r="N1936">
        <v>48.615865639208302</v>
      </c>
      <c r="O1936">
        <v>47.763253897898601</v>
      </c>
      <c r="P1936">
        <v>-0.14429446232877499</v>
      </c>
      <c r="Q1936">
        <v>0.191549417065977</v>
      </c>
      <c r="R1936">
        <v>0.96097747049053495</v>
      </c>
      <c r="S1936" t="s">
        <v>8582</v>
      </c>
      <c r="T1936" t="s">
        <v>13290</v>
      </c>
      <c r="U1936" t="s">
        <v>13290</v>
      </c>
      <c r="V1936" t="s">
        <v>13290</v>
      </c>
      <c r="W1936" t="s">
        <v>15194</v>
      </c>
      <c r="X1936">
        <v>5</v>
      </c>
      <c r="Y1936" t="s">
        <v>21761</v>
      </c>
      <c r="Z1936" t="s">
        <v>28266</v>
      </c>
      <c r="AA1936">
        <v>0.40889960568704642</v>
      </c>
      <c r="AB1936" t="str">
        <f>HYPERLINK("Melting_Curves/meltCurve_P00519_ABL1.pdf", "Melting_Curves/meltCurve_P00519_ABL1.pdf")</f>
        <v>Melting_Curves/meltCurve_P00519_ABL1.pdf</v>
      </c>
    </row>
    <row r="1937" spans="1:28" x14ac:dyDescent="0.25">
      <c r="A1937" t="s">
        <v>1941</v>
      </c>
      <c r="B1937">
        <v>0.99252571173614901</v>
      </c>
      <c r="C1937">
        <v>0.92966788667135403</v>
      </c>
      <c r="D1937">
        <v>1.0290488022387301</v>
      </c>
      <c r="E1937">
        <v>0.86042379106844302</v>
      </c>
      <c r="F1937">
        <v>0.73916684890657802</v>
      </c>
      <c r="G1937">
        <v>0.12326801137967</v>
      </c>
      <c r="H1937">
        <v>5.5614050486418397E-2</v>
      </c>
      <c r="I1937">
        <v>4.9217135875058098E-2</v>
      </c>
      <c r="J1937">
        <v>5.3786358194885198E-2</v>
      </c>
      <c r="K1937">
        <v>5.3103373463917899E-2</v>
      </c>
      <c r="L1937">
        <v>2603.63474782292</v>
      </c>
      <c r="M1937">
        <v>48.045314317569002</v>
      </c>
      <c r="N1937">
        <v>54.305118561344202</v>
      </c>
      <c r="O1937">
        <v>54.097597265858703</v>
      </c>
      <c r="P1937">
        <v>-0.21139135489105301</v>
      </c>
      <c r="Q1937">
        <v>4.7919397153537602E-2</v>
      </c>
      <c r="R1937">
        <v>0.98743522546047402</v>
      </c>
      <c r="S1937" t="s">
        <v>8583</v>
      </c>
      <c r="T1937" t="s">
        <v>13290</v>
      </c>
      <c r="U1937" t="s">
        <v>13290</v>
      </c>
      <c r="V1937" t="s">
        <v>13290</v>
      </c>
      <c r="W1937" t="s">
        <v>15195</v>
      </c>
      <c r="X1937">
        <v>55</v>
      </c>
      <c r="Y1937" t="s">
        <v>21762</v>
      </c>
      <c r="Z1937" t="s">
        <v>28267</v>
      </c>
      <c r="AA1937">
        <v>0.50075733541008982</v>
      </c>
      <c r="AB1937" t="str">
        <f>HYPERLINK("Melting_Curves/meltCurve_P00558_PGK1.pdf", "Melting_Curves/meltCurve_P00558_PGK1.pdf")</f>
        <v>Melting_Curves/meltCurve_P00558_PGK1.pdf</v>
      </c>
    </row>
    <row r="1938" spans="1:28" x14ac:dyDescent="0.25">
      <c r="A1938" t="s">
        <v>1942</v>
      </c>
      <c r="B1938">
        <v>0.99252571173614901</v>
      </c>
      <c r="C1938">
        <v>1.4310129080141001</v>
      </c>
      <c r="D1938">
        <v>0.69471374242543704</v>
      </c>
      <c r="E1938">
        <v>1.22114125471468</v>
      </c>
      <c r="F1938">
        <v>0.54021031871347802</v>
      </c>
      <c r="G1938">
        <v>0.93852394972475695</v>
      </c>
      <c r="H1938">
        <v>0.38038379105172199</v>
      </c>
      <c r="I1938">
        <v>0.28133355466877003</v>
      </c>
      <c r="J1938">
        <v>0.104937543294759</v>
      </c>
      <c r="K1938">
        <v>9.7987971900748899E-2</v>
      </c>
      <c r="L1938">
        <v>974.76572559997305</v>
      </c>
      <c r="M1938">
        <v>16.251686064513599</v>
      </c>
      <c r="N1938">
        <v>59.979359882097597</v>
      </c>
      <c r="O1938">
        <v>59.093265697177998</v>
      </c>
      <c r="P1938">
        <v>-6.8759461546027301E-2</v>
      </c>
      <c r="Q1938">
        <v>0</v>
      </c>
      <c r="R1938">
        <v>0.734972874659926</v>
      </c>
      <c r="S1938" t="s">
        <v>8584</v>
      </c>
      <c r="T1938" t="s">
        <v>13290</v>
      </c>
      <c r="U1938" t="s">
        <v>13290</v>
      </c>
      <c r="V1938" t="s">
        <v>13290</v>
      </c>
      <c r="W1938" t="s">
        <v>15196</v>
      </c>
      <c r="X1938">
        <v>26</v>
      </c>
      <c r="Y1938" t="s">
        <v>21763</v>
      </c>
      <c r="Z1938" t="s">
        <v>28268</v>
      </c>
      <c r="AA1938">
        <v>0.67375355040428897</v>
      </c>
      <c r="AB1938" t="str">
        <f>HYPERLINK("Melting_Curves/meltCurve_P00813_ADA.pdf", "Melting_Curves/meltCurve_P00813_ADA.pdf")</f>
        <v>Melting_Curves/meltCurve_P00813_ADA.pdf</v>
      </c>
    </row>
    <row r="1939" spans="1:28" x14ac:dyDescent="0.25">
      <c r="A1939" t="s">
        <v>1943</v>
      </c>
      <c r="B1939">
        <v>0.99252571173614901</v>
      </c>
      <c r="C1939">
        <v>0.98334085510634495</v>
      </c>
      <c r="D1939">
        <v>0.89660123746574705</v>
      </c>
      <c r="E1939">
        <v>0.82441583791392004</v>
      </c>
      <c r="F1939">
        <v>0.70865297680294903</v>
      </c>
      <c r="G1939">
        <v>0.51140037129774996</v>
      </c>
      <c r="H1939">
        <v>0.42596230304006999</v>
      </c>
      <c r="I1939">
        <v>0.361322019181403</v>
      </c>
      <c r="J1939">
        <v>0.40989511392487799</v>
      </c>
      <c r="K1939">
        <v>0.27284498160847498</v>
      </c>
      <c r="L1939">
        <v>647.01607514782302</v>
      </c>
      <c r="M1939">
        <v>11.9242669154693</v>
      </c>
      <c r="N1939">
        <v>58.084476699593999</v>
      </c>
      <c r="O1939">
        <v>52.801920302371101</v>
      </c>
      <c r="P1939">
        <v>-4.1114089297120203E-2</v>
      </c>
      <c r="Q1939">
        <v>0.27194962891352498</v>
      </c>
      <c r="R1939">
        <v>0.98530223748365597</v>
      </c>
      <c r="S1939" t="s">
        <v>8585</v>
      </c>
      <c r="T1939" t="s">
        <v>13290</v>
      </c>
      <c r="U1939" t="s">
        <v>13290</v>
      </c>
      <c r="V1939" t="s">
        <v>13290</v>
      </c>
      <c r="W1939" t="s">
        <v>15197</v>
      </c>
      <c r="X1939">
        <v>1</v>
      </c>
      <c r="Y1939" t="s">
        <v>21764</v>
      </c>
      <c r="Z1939" t="s">
        <v>28269</v>
      </c>
      <c r="AA1939">
        <v>0.63666248789047175</v>
      </c>
      <c r="AB1939" t="str">
        <f>HYPERLINK("Melting_Curves/meltCurve_P00846_MT_ATP6.pdf", "Melting_Curves/meltCurve_P00846_MT_ATP6.pdf")</f>
        <v>Melting_Curves/meltCurve_P00846_MT_ATP6.pdf</v>
      </c>
    </row>
    <row r="1940" spans="1:28" x14ac:dyDescent="0.25">
      <c r="A1940" t="s">
        <v>1944</v>
      </c>
      <c r="B1940">
        <v>0.99252571173614901</v>
      </c>
      <c r="C1940">
        <v>1.11930914045156</v>
      </c>
      <c r="D1940">
        <v>0.89195410568192302</v>
      </c>
      <c r="E1940">
        <v>0.45659033702351398</v>
      </c>
      <c r="F1940">
        <v>0.16433774955599501</v>
      </c>
      <c r="G1940">
        <v>0.10122210731086401</v>
      </c>
      <c r="H1940">
        <v>9.1632721523643906E-2</v>
      </c>
      <c r="I1940">
        <v>7.4128511909036202E-2</v>
      </c>
      <c r="J1940">
        <v>7.5212901343260793E-2</v>
      </c>
      <c r="K1940">
        <v>8.2471823607821598E-2</v>
      </c>
      <c r="L1940">
        <v>1608.3446472020401</v>
      </c>
      <c r="M1940">
        <v>32.790072847146398</v>
      </c>
      <c r="N1940">
        <v>49.328389843576097</v>
      </c>
      <c r="O1940">
        <v>48.868388117870701</v>
      </c>
      <c r="P1940">
        <v>-0.15356584747035401</v>
      </c>
      <c r="Q1940">
        <v>8.4542310713484004E-2</v>
      </c>
      <c r="R1940">
        <v>0.98978339527482795</v>
      </c>
      <c r="S1940" t="s">
        <v>8586</v>
      </c>
      <c r="T1940" t="s">
        <v>13290</v>
      </c>
      <c r="U1940" t="s">
        <v>13290</v>
      </c>
      <c r="V1940" t="s">
        <v>13290</v>
      </c>
      <c r="W1940" t="s">
        <v>15198</v>
      </c>
      <c r="X1940">
        <v>6</v>
      </c>
      <c r="Y1940" t="s">
        <v>21765</v>
      </c>
      <c r="Z1940" t="s">
        <v>28270</v>
      </c>
      <c r="AA1940">
        <v>0.36534977955234571</v>
      </c>
      <c r="AB1940" t="str">
        <f>HYPERLINK("Melting_Curves/meltCurve_P00918_CA2.pdf", "Melting_Curves/meltCurve_P00918_CA2.pdf")</f>
        <v>Melting_Curves/meltCurve_P00918_CA2.pdf</v>
      </c>
    </row>
    <row r="1941" spans="1:28" x14ac:dyDescent="0.25">
      <c r="A1941" t="s">
        <v>1945</v>
      </c>
      <c r="B1941">
        <v>0.99252571173614901</v>
      </c>
      <c r="C1941">
        <v>0.86055090564163395</v>
      </c>
      <c r="D1941">
        <v>1.03901895093564</v>
      </c>
      <c r="E1941">
        <v>0.918953704600597</v>
      </c>
      <c r="F1941">
        <v>0.436551691526543</v>
      </c>
      <c r="G1941">
        <v>0.18495906725154099</v>
      </c>
      <c r="H1941">
        <v>0.11685732034778901</v>
      </c>
      <c r="I1941">
        <v>6.1604373238479303E-2</v>
      </c>
      <c r="J1941">
        <v>6.3496957681937402E-2</v>
      </c>
      <c r="K1941">
        <v>6.2374855574808402E-2</v>
      </c>
      <c r="L1941">
        <v>1791.2010654585399</v>
      </c>
      <c r="M1941">
        <v>34.0283074611785</v>
      </c>
      <c r="N1941">
        <v>52.905013684557801</v>
      </c>
      <c r="O1941">
        <v>52.457742384094601</v>
      </c>
      <c r="P1941">
        <v>-0.14939969064870201</v>
      </c>
      <c r="Q1941">
        <v>7.8750252233511606E-2</v>
      </c>
      <c r="R1941">
        <v>0.98468369148047497</v>
      </c>
      <c r="S1941" t="s">
        <v>8587</v>
      </c>
      <c r="T1941" t="s">
        <v>13290</v>
      </c>
      <c r="U1941" t="s">
        <v>13290</v>
      </c>
      <c r="V1941" t="s">
        <v>13290</v>
      </c>
      <c r="W1941" t="s">
        <v>15199</v>
      </c>
      <c r="X1941">
        <v>26</v>
      </c>
      <c r="Y1941" t="s">
        <v>21766</v>
      </c>
      <c r="Z1941" t="s">
        <v>28271</v>
      </c>
      <c r="AA1941">
        <v>0.47148896847893479</v>
      </c>
      <c r="AB1941" t="str">
        <f>HYPERLINK("Melting_Curves/meltCurve_P00966_ASS1.pdf", "Melting_Curves/meltCurve_P00966_ASS1.pdf")</f>
        <v>Melting_Curves/meltCurve_P00966_ASS1.pdf</v>
      </c>
    </row>
    <row r="1942" spans="1:28" x14ac:dyDescent="0.25">
      <c r="A1942" t="s">
        <v>1946</v>
      </c>
      <c r="B1942">
        <v>0.99252571173614901</v>
      </c>
      <c r="C1942">
        <v>0.592230728211247</v>
      </c>
      <c r="D1942">
        <v>0.92013662195958501</v>
      </c>
      <c r="E1942">
        <v>0.86177168582222996</v>
      </c>
      <c r="F1942">
        <v>0.66561952367249999</v>
      </c>
      <c r="G1942">
        <v>0.50055179608261102</v>
      </c>
      <c r="H1942">
        <v>0.43121472724827398</v>
      </c>
      <c r="I1942">
        <v>0.46197720924839297</v>
      </c>
      <c r="J1942">
        <v>0.51844606464853404</v>
      </c>
      <c r="K1942">
        <v>0.405202478110957</v>
      </c>
      <c r="L1942">
        <v>297.04656172545202</v>
      </c>
      <c r="M1942">
        <v>5.3784230440703897</v>
      </c>
      <c r="N1942">
        <v>61.8858763552862</v>
      </c>
      <c r="O1942">
        <v>48.987662514707502</v>
      </c>
      <c r="P1942">
        <v>-2.15213613147003E-2</v>
      </c>
      <c r="Q1942">
        <v>0.21963457240445</v>
      </c>
      <c r="R1942">
        <v>0.68262270579034301</v>
      </c>
      <c r="S1942" t="s">
        <v>8588</v>
      </c>
      <c r="T1942" t="s">
        <v>13290</v>
      </c>
      <c r="U1942" t="s">
        <v>13290</v>
      </c>
      <c r="V1942" t="s">
        <v>13290</v>
      </c>
      <c r="W1942" t="s">
        <v>15200</v>
      </c>
      <c r="X1942">
        <v>9</v>
      </c>
      <c r="Y1942" t="s">
        <v>21767</v>
      </c>
      <c r="Z1942" t="s">
        <v>28272</v>
      </c>
      <c r="AA1942">
        <v>0.63314402082065357</v>
      </c>
      <c r="AB1942" t="str">
        <f>HYPERLINK("Melting_Curves/meltCurve_P01034_CST3.pdf", "Melting_Curves/meltCurve_P01034_CST3.pdf")</f>
        <v>Melting_Curves/meltCurve_P01034_CST3.pdf</v>
      </c>
    </row>
    <row r="1943" spans="1:28" x14ac:dyDescent="0.25">
      <c r="A1943" t="s">
        <v>1947</v>
      </c>
      <c r="B1943">
        <v>0.99252571173614901</v>
      </c>
      <c r="C1943">
        <v>1.0531770772737401</v>
      </c>
      <c r="D1943">
        <v>0.96798372810920497</v>
      </c>
      <c r="E1943">
        <v>0.76236882443031795</v>
      </c>
      <c r="F1943">
        <v>0.76022174113499696</v>
      </c>
      <c r="G1943">
        <v>0.66891109570977203</v>
      </c>
      <c r="H1943">
        <v>0.62069388048419105</v>
      </c>
      <c r="I1943">
        <v>0.69584459191405001</v>
      </c>
      <c r="J1943">
        <v>0.964985608267247</v>
      </c>
      <c r="K1943">
        <v>0.98597731296904001</v>
      </c>
      <c r="L1943">
        <v>11581.4599367386</v>
      </c>
      <c r="M1943">
        <v>250</v>
      </c>
      <c r="O1943">
        <v>46.322875273269098</v>
      </c>
      <c r="P1943">
        <v>-0.29702174929976399</v>
      </c>
      <c r="Q1943">
        <v>0.77985757746375595</v>
      </c>
      <c r="R1943">
        <v>0.46113188802171901</v>
      </c>
      <c r="S1943" t="s">
        <v>8589</v>
      </c>
      <c r="T1943" t="s">
        <v>13290</v>
      </c>
      <c r="U1943" t="s">
        <v>13290</v>
      </c>
      <c r="V1943" t="s">
        <v>13290</v>
      </c>
      <c r="W1943" t="s">
        <v>15201</v>
      </c>
      <c r="X1943">
        <v>11</v>
      </c>
      <c r="Y1943" t="s">
        <v>21768</v>
      </c>
      <c r="Z1943" t="s">
        <v>28273</v>
      </c>
      <c r="AA1943">
        <v>0.82629499817333074</v>
      </c>
      <c r="AB1943" t="str">
        <f>HYPERLINK("Melting_Curves/meltCurve_P01037_CST1.pdf", "Melting_Curves/meltCurve_P01037_CST1.pdf")</f>
        <v>Melting_Curves/meltCurve_P01037_CST1.pdf</v>
      </c>
    </row>
    <row r="1944" spans="1:28" x14ac:dyDescent="0.25">
      <c r="A1944" t="s">
        <v>1948</v>
      </c>
      <c r="B1944">
        <v>0.99252571173614901</v>
      </c>
      <c r="C1944">
        <v>0.86362816919465601</v>
      </c>
      <c r="D1944">
        <v>0.75690837259374499</v>
      </c>
      <c r="E1944">
        <v>0.65506973300759197</v>
      </c>
      <c r="F1944">
        <v>0.49362385173559098</v>
      </c>
      <c r="G1944">
        <v>0.340351969028926</v>
      </c>
      <c r="H1944">
        <v>0.28591027057818102</v>
      </c>
      <c r="I1944">
        <v>0.27220537962011299</v>
      </c>
      <c r="J1944">
        <v>0.324737027623621</v>
      </c>
      <c r="K1944">
        <v>0.54877535474788497</v>
      </c>
      <c r="L1944">
        <v>722.99610097303196</v>
      </c>
      <c r="M1944">
        <v>15.037809848077201</v>
      </c>
      <c r="N1944">
        <v>52.065034141712196</v>
      </c>
      <c r="O1944">
        <v>47.252351651468501</v>
      </c>
      <c r="P1944">
        <v>-5.2364103126548801E-2</v>
      </c>
      <c r="Q1944">
        <v>0.34190413246484802</v>
      </c>
      <c r="R1944">
        <v>0.88860031347163904</v>
      </c>
      <c r="S1944" t="s">
        <v>8590</v>
      </c>
      <c r="T1944" t="s">
        <v>13290</v>
      </c>
      <c r="U1944" t="s">
        <v>13290</v>
      </c>
      <c r="V1944" t="s">
        <v>13290</v>
      </c>
      <c r="W1944" t="s">
        <v>15202</v>
      </c>
      <c r="X1944">
        <v>2</v>
      </c>
      <c r="Y1944" t="s">
        <v>21769</v>
      </c>
      <c r="Z1944" t="s">
        <v>28274</v>
      </c>
      <c r="AA1944">
        <v>0.53590899160442396</v>
      </c>
      <c r="AB1944" t="str">
        <f>HYPERLINK("Melting_Curves/meltCurve_P01100_FOS.pdf", "Melting_Curves/meltCurve_P01100_FOS.pdf")</f>
        <v>Melting_Curves/meltCurve_P01100_FOS.pdf</v>
      </c>
    </row>
    <row r="1945" spans="1:28" x14ac:dyDescent="0.25">
      <c r="A1945" t="s">
        <v>1949</v>
      </c>
      <c r="B1945">
        <v>0.99252571173614901</v>
      </c>
      <c r="C1945">
        <v>0.94318598700645095</v>
      </c>
      <c r="D1945">
        <v>0.90313133605860996</v>
      </c>
      <c r="E1945">
        <v>0.87186797648783199</v>
      </c>
      <c r="F1945">
        <v>0.666388337321143</v>
      </c>
      <c r="G1945">
        <v>0.61569254723678801</v>
      </c>
      <c r="H1945">
        <v>0.45584192484717001</v>
      </c>
      <c r="I1945">
        <v>0.34277413153698699</v>
      </c>
      <c r="J1945">
        <v>0.12331935040281999</v>
      </c>
      <c r="K1945">
        <v>8.4618918425868495E-2</v>
      </c>
      <c r="L1945">
        <v>605.59037779841003</v>
      </c>
      <c r="M1945">
        <v>10.3769353266261</v>
      </c>
      <c r="N1945">
        <v>58.359266538172101</v>
      </c>
      <c r="O1945">
        <v>56.316717126150103</v>
      </c>
      <c r="P1945">
        <v>-4.6084512402874499E-2</v>
      </c>
      <c r="Q1945">
        <v>0</v>
      </c>
      <c r="R1945">
        <v>0.97364548036869802</v>
      </c>
      <c r="S1945" t="s">
        <v>8591</v>
      </c>
      <c r="T1945" t="s">
        <v>13290</v>
      </c>
      <c r="U1945" t="s">
        <v>13290</v>
      </c>
      <c r="V1945" t="s">
        <v>13290</v>
      </c>
      <c r="W1945" t="s">
        <v>15203</v>
      </c>
      <c r="X1945">
        <v>11</v>
      </c>
      <c r="Y1945" t="s">
        <v>21770</v>
      </c>
      <c r="Z1945" t="s">
        <v>28275</v>
      </c>
      <c r="AA1945">
        <v>0.62048585775245724</v>
      </c>
      <c r="AB1945" t="str">
        <f>HYPERLINK("Melting_Curves/meltCurve_P01111_NRAS.pdf", "Melting_Curves/meltCurve_P01111_NRAS.pdf")</f>
        <v>Melting_Curves/meltCurve_P01111_NRAS.pdf</v>
      </c>
    </row>
    <row r="1946" spans="1:28" x14ac:dyDescent="0.25">
      <c r="A1946" t="s">
        <v>1950</v>
      </c>
      <c r="B1946">
        <v>0.99252571173614901</v>
      </c>
      <c r="C1946">
        <v>0.97944378703797397</v>
      </c>
      <c r="D1946">
        <v>0.90836609180759598</v>
      </c>
      <c r="E1946">
        <v>0.81580234854598399</v>
      </c>
      <c r="F1946">
        <v>0.65703601740621398</v>
      </c>
      <c r="G1946">
        <v>0.56056718568334996</v>
      </c>
      <c r="H1946">
        <v>0.41625326494704501</v>
      </c>
      <c r="I1946">
        <v>0.38358089327137801</v>
      </c>
      <c r="J1946">
        <v>0.17049202232826599</v>
      </c>
      <c r="K1946">
        <v>0.13266319546331901</v>
      </c>
      <c r="L1946">
        <v>524.18291694371203</v>
      </c>
      <c r="M1946">
        <v>9.0338468518832507</v>
      </c>
      <c r="N1946">
        <v>58.024318905189602</v>
      </c>
      <c r="O1946">
        <v>55.3927957263518</v>
      </c>
      <c r="P1946">
        <v>-4.0800938138738599E-2</v>
      </c>
      <c r="Q1946">
        <v>0</v>
      </c>
      <c r="R1946">
        <v>0.984548550749069</v>
      </c>
      <c r="S1946" t="s">
        <v>8592</v>
      </c>
      <c r="T1946" t="s">
        <v>13290</v>
      </c>
      <c r="U1946" t="s">
        <v>13290</v>
      </c>
      <c r="V1946" t="s">
        <v>13290</v>
      </c>
      <c r="W1946" t="s">
        <v>15204</v>
      </c>
      <c r="X1946">
        <v>12</v>
      </c>
      <c r="Y1946" t="s">
        <v>21771</v>
      </c>
      <c r="Z1946" t="s">
        <v>28276</v>
      </c>
      <c r="AA1946">
        <v>0.60805536456357123</v>
      </c>
      <c r="AB1946" t="str">
        <f>HYPERLINK("Melting_Curves/meltCurve_P01112_HRAS.pdf", "Melting_Curves/meltCurve_P01112_HRAS.pdf")</f>
        <v>Melting_Curves/meltCurve_P01112_HRAS.pdf</v>
      </c>
    </row>
    <row r="1947" spans="1:28" x14ac:dyDescent="0.25">
      <c r="A1947" t="s">
        <v>1951</v>
      </c>
      <c r="B1947">
        <v>0.99252571173614901</v>
      </c>
      <c r="C1947">
        <v>0.93239269733941998</v>
      </c>
      <c r="D1947">
        <v>0.84400583795690698</v>
      </c>
      <c r="E1947">
        <v>0.89214155659362204</v>
      </c>
      <c r="F1947">
        <v>0.71628556725677694</v>
      </c>
      <c r="G1947">
        <v>0.63444531207173005</v>
      </c>
      <c r="H1947">
        <v>0.560582137265768</v>
      </c>
      <c r="I1947">
        <v>0.56548185069178503</v>
      </c>
      <c r="J1947">
        <v>0.27901277698351501</v>
      </c>
      <c r="K1947">
        <v>0.176254746611615</v>
      </c>
      <c r="L1947">
        <v>461.12730081011301</v>
      </c>
      <c r="M1947">
        <v>7.5268212820368001</v>
      </c>
      <c r="N1947">
        <v>61.264547429702397</v>
      </c>
      <c r="O1947">
        <v>57.387665956506602</v>
      </c>
      <c r="P1947">
        <v>-3.2835897628618202E-2</v>
      </c>
      <c r="Q1947">
        <v>0</v>
      </c>
      <c r="R1947">
        <v>0.92768401722599103</v>
      </c>
      <c r="S1947" t="s">
        <v>8593</v>
      </c>
      <c r="T1947" t="s">
        <v>13290</v>
      </c>
      <c r="U1947" t="s">
        <v>13290</v>
      </c>
      <c r="V1947" t="s">
        <v>13290</v>
      </c>
      <c r="W1947" t="s">
        <v>15205</v>
      </c>
      <c r="X1947">
        <v>10</v>
      </c>
      <c r="Y1947" t="s">
        <v>21772</v>
      </c>
      <c r="Z1947" t="s">
        <v>28277</v>
      </c>
      <c r="AA1947">
        <v>0.67595953945440856</v>
      </c>
      <c r="AB1947" t="str">
        <f>HYPERLINK("Melting_Curves/meltCurve_P01116_2_KRAS.pdf", "Melting_Curves/meltCurve_P01116_2_KRAS.pdf")</f>
        <v>Melting_Curves/meltCurve_P01116_2_KRAS.pdf</v>
      </c>
    </row>
    <row r="1948" spans="1:28" x14ac:dyDescent="0.25">
      <c r="A1948" t="s">
        <v>1952</v>
      </c>
      <c r="B1948">
        <v>0.99252571173614901</v>
      </c>
      <c r="C1948">
        <v>0.97527810037458895</v>
      </c>
      <c r="D1948">
        <v>0.94319916349931698</v>
      </c>
      <c r="E1948">
        <v>0.855234883942531</v>
      </c>
      <c r="F1948">
        <v>0.75477061180194605</v>
      </c>
      <c r="G1948">
        <v>0.51436630516695103</v>
      </c>
      <c r="H1948">
        <v>0.355067101840156</v>
      </c>
      <c r="I1948">
        <v>0.34915733187106501</v>
      </c>
      <c r="J1948">
        <v>0.39158916749545197</v>
      </c>
      <c r="K1948">
        <v>0.37509308545657599</v>
      </c>
      <c r="L1948">
        <v>1029.8240045171799</v>
      </c>
      <c r="M1948">
        <v>19.138766102882201</v>
      </c>
      <c r="N1948">
        <v>57.262730553211902</v>
      </c>
      <c r="O1948">
        <v>53.231153524351498</v>
      </c>
      <c r="P1948">
        <v>-5.9110443834802198E-2</v>
      </c>
      <c r="Q1948">
        <v>0.34240376425538399</v>
      </c>
      <c r="R1948">
        <v>0.985374154929885</v>
      </c>
      <c r="S1948" t="s">
        <v>8594</v>
      </c>
      <c r="T1948" t="s">
        <v>13290</v>
      </c>
      <c r="U1948" t="s">
        <v>13290</v>
      </c>
      <c r="V1948" t="s">
        <v>13290</v>
      </c>
      <c r="W1948" t="s">
        <v>15206</v>
      </c>
      <c r="X1948">
        <v>12</v>
      </c>
      <c r="Y1948" t="s">
        <v>21773</v>
      </c>
      <c r="Z1948" t="s">
        <v>28278</v>
      </c>
      <c r="AA1948">
        <v>0.65469892487900583</v>
      </c>
      <c r="AB1948" t="str">
        <f>HYPERLINK("Melting_Curves/meltCurve_P01137_TGFB1.pdf", "Melting_Curves/meltCurve_P01137_TGFB1.pdf")</f>
        <v>Melting_Curves/meltCurve_P01137_TGFB1.pdf</v>
      </c>
    </row>
    <row r="1949" spans="1:28" x14ac:dyDescent="0.25">
      <c r="A1949" t="s">
        <v>1953</v>
      </c>
      <c r="B1949">
        <v>0.99252571173614901</v>
      </c>
      <c r="C1949">
        <v>1.0596098818844399</v>
      </c>
      <c r="D1949">
        <v>0.91436836087590201</v>
      </c>
      <c r="E1949">
        <v>0.88416029946145602</v>
      </c>
      <c r="F1949">
        <v>0.86953874977573797</v>
      </c>
      <c r="G1949">
        <v>0.72356120238475297</v>
      </c>
      <c r="H1949">
        <v>0.69796684547406296</v>
      </c>
      <c r="I1949">
        <v>0.66445313994848199</v>
      </c>
      <c r="J1949">
        <v>0.609542305350949</v>
      </c>
      <c r="K1949">
        <v>0.59097149590532105</v>
      </c>
      <c r="L1949">
        <v>573.48033686485701</v>
      </c>
      <c r="M1949">
        <v>10.2354343989977</v>
      </c>
      <c r="O1949">
        <v>54.016553805679401</v>
      </c>
      <c r="P1949">
        <v>-2.1503848942154399E-2</v>
      </c>
      <c r="Q1949">
        <v>0.54626362913063697</v>
      </c>
      <c r="R1949">
        <v>0.95333131310353303</v>
      </c>
      <c r="S1949" t="s">
        <v>8595</v>
      </c>
      <c r="T1949" t="s">
        <v>13290</v>
      </c>
      <c r="U1949" t="s">
        <v>13290</v>
      </c>
      <c r="V1949" t="s">
        <v>13290</v>
      </c>
      <c r="W1949" t="s">
        <v>15207</v>
      </c>
      <c r="X1949">
        <v>2</v>
      </c>
      <c r="Y1949" t="s">
        <v>21774</v>
      </c>
      <c r="Z1949" t="s">
        <v>28279</v>
      </c>
      <c r="AA1949">
        <v>0.79820187233945383</v>
      </c>
      <c r="AB1949" t="str">
        <f>HYPERLINK("Melting_Curves/meltCurve_P02008_HBZ.pdf", "Melting_Curves/meltCurve_P02008_HBZ.pdf")</f>
        <v>Melting_Curves/meltCurve_P02008_HBZ.pdf</v>
      </c>
    </row>
    <row r="1950" spans="1:28" x14ac:dyDescent="0.25">
      <c r="A1950" t="s">
        <v>1954</v>
      </c>
      <c r="B1950">
        <v>0.99252571173614901</v>
      </c>
      <c r="C1950">
        <v>1.1743578669943</v>
      </c>
      <c r="D1950">
        <v>1.03466540989734</v>
      </c>
      <c r="E1950">
        <v>1.0297773757125099</v>
      </c>
      <c r="F1950">
        <v>0.81058794722066596</v>
      </c>
      <c r="G1950">
        <v>0.67136475292445796</v>
      </c>
      <c r="H1950">
        <v>0.64445010899767097</v>
      </c>
      <c r="I1950">
        <v>0.68118736060556795</v>
      </c>
      <c r="J1950">
        <v>0.88534951828747199</v>
      </c>
      <c r="K1950">
        <v>0.75569811157248501</v>
      </c>
      <c r="L1950">
        <v>13256.091393332101</v>
      </c>
      <c r="M1950">
        <v>250</v>
      </c>
      <c r="O1950">
        <v>53.020970700746197</v>
      </c>
      <c r="P1950">
        <v>-0.32108760303262202</v>
      </c>
      <c r="Q1950">
        <v>0.72760996947758105</v>
      </c>
      <c r="R1950">
        <v>0.76753767540069295</v>
      </c>
      <c r="S1950" t="s">
        <v>8596</v>
      </c>
      <c r="T1950" t="s">
        <v>13290</v>
      </c>
      <c r="U1950" t="s">
        <v>13290</v>
      </c>
      <c r="V1950" t="s">
        <v>13290</v>
      </c>
      <c r="W1950" t="s">
        <v>15208</v>
      </c>
      <c r="X1950">
        <v>4</v>
      </c>
      <c r="Y1950" t="s">
        <v>21775</v>
      </c>
      <c r="Z1950" t="s">
        <v>28280</v>
      </c>
      <c r="AA1950">
        <v>0.845892228461113</v>
      </c>
      <c r="AB1950" t="str">
        <f>HYPERLINK("Melting_Curves/meltCurve_P02144_MB.pdf", "Melting_Curves/meltCurve_P02144_MB.pdf")</f>
        <v>Melting_Curves/meltCurve_P02144_MB.pdf</v>
      </c>
    </row>
    <row r="1951" spans="1:28" x14ac:dyDescent="0.25">
      <c r="A1951" t="s">
        <v>1955</v>
      </c>
      <c r="B1951">
        <v>0.99252571173614901</v>
      </c>
      <c r="C1951">
        <v>0.93391397974116097</v>
      </c>
      <c r="D1951">
        <v>1.0783943726065399</v>
      </c>
      <c r="E1951">
        <v>1.00822238198835</v>
      </c>
      <c r="F1951">
        <v>0.90801012299302297</v>
      </c>
      <c r="G1951">
        <v>0.42604110279649599</v>
      </c>
      <c r="H1951">
        <v>0.26711989081260901</v>
      </c>
      <c r="I1951">
        <v>0.22773024261576799</v>
      </c>
      <c r="J1951">
        <v>0.26106787090338801</v>
      </c>
      <c r="K1951">
        <v>0.263111640330494</v>
      </c>
      <c r="L1951">
        <v>2659.8729371582699</v>
      </c>
      <c r="M1951">
        <v>48.021903589058198</v>
      </c>
      <c r="N1951">
        <v>56.208712496074803</v>
      </c>
      <c r="O1951">
        <v>55.292948574203997</v>
      </c>
      <c r="P1951">
        <v>-0.162443847206896</v>
      </c>
      <c r="Q1951">
        <v>0.25184222053085298</v>
      </c>
      <c r="R1951">
        <v>0.99074929731129402</v>
      </c>
      <c r="S1951" t="s">
        <v>8597</v>
      </c>
      <c r="T1951" t="s">
        <v>13290</v>
      </c>
      <c r="U1951" t="s">
        <v>13290</v>
      </c>
      <c r="V1951" t="s">
        <v>13290</v>
      </c>
      <c r="W1951" t="s">
        <v>15209</v>
      </c>
      <c r="X1951">
        <v>99</v>
      </c>
      <c r="Y1951" t="s">
        <v>21776</v>
      </c>
      <c r="Z1951" t="s">
        <v>28281</v>
      </c>
      <c r="AA1951">
        <v>0.63759623892210349</v>
      </c>
      <c r="AB1951" t="str">
        <f>HYPERLINK("Melting_Curves/meltCurve_P02545_LMNA.pdf", "Melting_Curves/meltCurve_P02545_LMNA.pdf")</f>
        <v>Melting_Curves/meltCurve_P02545_LMNA.pdf</v>
      </c>
    </row>
    <row r="1952" spans="1:28" x14ac:dyDescent="0.25">
      <c r="A1952" t="s">
        <v>1956</v>
      </c>
      <c r="B1952">
        <v>0.99252571173614901</v>
      </c>
      <c r="C1952">
        <v>1.1245082037657199</v>
      </c>
      <c r="D1952">
        <v>0.93281637370733805</v>
      </c>
      <c r="E1952">
        <v>0.96801303340688505</v>
      </c>
      <c r="F1952">
        <v>0.78061111800383198</v>
      </c>
      <c r="G1952">
        <v>0.498016924285405</v>
      </c>
      <c r="H1952">
        <v>0.455376788858815</v>
      </c>
      <c r="I1952">
        <v>0.587513853797476</v>
      </c>
      <c r="J1952">
        <v>0.92502309221537604</v>
      </c>
      <c r="K1952">
        <v>0.954893412142928</v>
      </c>
      <c r="L1952">
        <v>13256.277029790201</v>
      </c>
      <c r="M1952">
        <v>250</v>
      </c>
      <c r="O1952">
        <v>53.0217119008745</v>
      </c>
      <c r="P1952">
        <v>-0.37229461181961598</v>
      </c>
      <c r="Q1952">
        <v>0.68416482030213499</v>
      </c>
      <c r="R1952">
        <v>0.48021369470873598</v>
      </c>
      <c r="S1952" t="s">
        <v>8598</v>
      </c>
      <c r="T1952" t="s">
        <v>13290</v>
      </c>
      <c r="U1952" t="s">
        <v>13290</v>
      </c>
      <c r="V1952" t="s">
        <v>13290</v>
      </c>
      <c r="W1952" t="s">
        <v>15210</v>
      </c>
      <c r="X1952">
        <v>5</v>
      </c>
      <c r="Y1952" t="s">
        <v>21777</v>
      </c>
      <c r="Z1952" t="s">
        <v>28282</v>
      </c>
      <c r="AA1952">
        <v>0.82132045681457078</v>
      </c>
      <c r="AB1952" t="str">
        <f>HYPERLINK("Melting_Curves/meltCurve_P02649_APOE.pdf", "Melting_Curves/meltCurve_P02649_APOE.pdf")</f>
        <v>Melting_Curves/meltCurve_P02649_APOE.pdf</v>
      </c>
    </row>
    <row r="1953" spans="1:28" x14ac:dyDescent="0.25">
      <c r="A1953" t="s">
        <v>1957</v>
      </c>
      <c r="B1953">
        <v>0.99252571173614901</v>
      </c>
      <c r="C1953">
        <v>0.91317795058067797</v>
      </c>
      <c r="D1953">
        <v>0.944675741537088</v>
      </c>
      <c r="E1953">
        <v>0.94913158642261897</v>
      </c>
      <c r="F1953">
        <v>0.73728012356635597</v>
      </c>
      <c r="G1953">
        <v>0.55775450674976101</v>
      </c>
      <c r="H1953">
        <v>0.43967172101574598</v>
      </c>
      <c r="I1953">
        <v>0.49530542412812201</v>
      </c>
      <c r="J1953">
        <v>0.62086177024783695</v>
      </c>
      <c r="K1953">
        <v>0.259397526767636</v>
      </c>
      <c r="L1953">
        <v>1188.7794430931999</v>
      </c>
      <c r="M1953">
        <v>22.176854047683101</v>
      </c>
      <c r="N1953">
        <v>59.145459017213803</v>
      </c>
      <c r="O1953">
        <v>53.1743562700251</v>
      </c>
      <c r="P1953">
        <v>-5.8662211285129502E-2</v>
      </c>
      <c r="Q1953">
        <v>0.43738496756535</v>
      </c>
      <c r="R1953">
        <v>0.86792522579554299</v>
      </c>
      <c r="S1953" t="s">
        <v>8599</v>
      </c>
      <c r="T1953" t="s">
        <v>13290</v>
      </c>
      <c r="U1953" t="s">
        <v>13290</v>
      </c>
      <c r="V1953" t="s">
        <v>13290</v>
      </c>
      <c r="W1953" t="s">
        <v>15211</v>
      </c>
      <c r="X1953">
        <v>52</v>
      </c>
      <c r="Y1953" t="s">
        <v>21778</v>
      </c>
      <c r="Z1953" t="s">
        <v>28283</v>
      </c>
      <c r="AA1953">
        <v>0.6989714408829637</v>
      </c>
      <c r="AB1953" t="str">
        <f>HYPERLINK("Melting_Curves/meltCurve_P02786_TFRC.pdf", "Melting_Curves/meltCurve_P02786_TFRC.pdf")</f>
        <v>Melting_Curves/meltCurve_P02786_TFRC.pdf</v>
      </c>
    </row>
    <row r="1954" spans="1:28" x14ac:dyDescent="0.25">
      <c r="A1954" t="s">
        <v>1958</v>
      </c>
      <c r="B1954">
        <v>0.99252571173614901</v>
      </c>
      <c r="C1954">
        <v>1.0374335297866899</v>
      </c>
      <c r="D1954">
        <v>1.0216317111254201</v>
      </c>
      <c r="E1954">
        <v>0.98724261776820299</v>
      </c>
      <c r="F1954">
        <v>0.88401731955170604</v>
      </c>
      <c r="G1954">
        <v>0.77712973565503995</v>
      </c>
      <c r="H1954">
        <v>0.689423668582827</v>
      </c>
      <c r="I1954">
        <v>0.69499943209680004</v>
      </c>
      <c r="J1954">
        <v>0.808622700199081</v>
      </c>
      <c r="K1954">
        <v>0.71888867374394405</v>
      </c>
      <c r="L1954">
        <v>1934.0358673666699</v>
      </c>
      <c r="M1954">
        <v>36.011203874017497</v>
      </c>
      <c r="O1954">
        <v>53.541693744975198</v>
      </c>
      <c r="P1954">
        <v>-4.5462863326161597E-2</v>
      </c>
      <c r="Q1954">
        <v>0.72962292333267798</v>
      </c>
      <c r="R1954">
        <v>0.93411873379189103</v>
      </c>
      <c r="S1954" t="s">
        <v>8600</v>
      </c>
      <c r="T1954" t="s">
        <v>13290</v>
      </c>
      <c r="U1954" t="s">
        <v>13290</v>
      </c>
      <c r="V1954" t="s">
        <v>13290</v>
      </c>
      <c r="W1954" t="s">
        <v>15212</v>
      </c>
      <c r="X1954">
        <v>65</v>
      </c>
      <c r="Y1954" t="s">
        <v>20211</v>
      </c>
      <c r="Z1954" t="s">
        <v>28284</v>
      </c>
      <c r="AA1954">
        <v>0.85438947590150316</v>
      </c>
      <c r="AB1954" t="str">
        <f>HYPERLINK("Melting_Curves/meltCurve_P02787_TF.pdf", "Melting_Curves/meltCurve_P02787_TF.pdf")</f>
        <v>Melting_Curves/meltCurve_P02787_TF.pdf</v>
      </c>
    </row>
    <row r="1955" spans="1:28" x14ac:dyDescent="0.25">
      <c r="A1955" t="s">
        <v>1959</v>
      </c>
      <c r="B1955">
        <v>0.99252571173614901</v>
      </c>
      <c r="C1955">
        <v>0.99872956752994002</v>
      </c>
      <c r="D1955">
        <v>0.967608496699636</v>
      </c>
      <c r="E1955">
        <v>0.85738273302162105</v>
      </c>
      <c r="F1955">
        <v>0.63694200197072104</v>
      </c>
      <c r="G1955">
        <v>0.51294424961924501</v>
      </c>
      <c r="H1955">
        <v>0.70185509819873004</v>
      </c>
      <c r="I1955">
        <v>0.92589876651387304</v>
      </c>
      <c r="J1955">
        <v>1.4644280781499599</v>
      </c>
      <c r="K1955">
        <v>1.60571558582871</v>
      </c>
      <c r="L1955">
        <v>15000</v>
      </c>
      <c r="M1955">
        <v>226.107911859539</v>
      </c>
      <c r="O1955">
        <v>66.334817085275603</v>
      </c>
      <c r="P1955">
        <v>0.426073230838804</v>
      </c>
      <c r="Q1955">
        <v>1.5</v>
      </c>
      <c r="R1955">
        <v>0.53031915593717704</v>
      </c>
      <c r="S1955" t="s">
        <v>8601</v>
      </c>
      <c r="T1955" t="s">
        <v>13290</v>
      </c>
      <c r="U1955" t="s">
        <v>13290</v>
      </c>
      <c r="V1955" t="s">
        <v>13290</v>
      </c>
      <c r="W1955" t="s">
        <v>15213</v>
      </c>
      <c r="X1955">
        <v>3</v>
      </c>
      <c r="Y1955" t="s">
        <v>21779</v>
      </c>
      <c r="Z1955" t="s">
        <v>28285</v>
      </c>
      <c r="AA1955">
        <v>1.06092878861146</v>
      </c>
      <c r="AB1955" t="str">
        <f>HYPERLINK("Melting_Curves/meltCurve_P02792_FTL.pdf", "Melting_Curves/meltCurve_P02792_FTL.pdf")</f>
        <v>Melting_Curves/meltCurve_P02792_FTL.pdf</v>
      </c>
    </row>
    <row r="1956" spans="1:28" x14ac:dyDescent="0.25">
      <c r="A1956" t="s">
        <v>1960</v>
      </c>
      <c r="B1956">
        <v>0.99252571173614901</v>
      </c>
      <c r="C1956">
        <v>1.0096029083059499</v>
      </c>
      <c r="D1956">
        <v>0.82120071683900098</v>
      </c>
      <c r="E1956">
        <v>0.59282168716439299</v>
      </c>
      <c r="F1956">
        <v>0.460038676989597</v>
      </c>
      <c r="G1956">
        <v>0.34069741093100903</v>
      </c>
      <c r="H1956">
        <v>0.433345884737666</v>
      </c>
      <c r="I1956">
        <v>0.49039617988515499</v>
      </c>
      <c r="J1956">
        <v>0.68041961087146696</v>
      </c>
      <c r="K1956">
        <v>0.61458090920560005</v>
      </c>
      <c r="L1956">
        <v>1694.79885992554</v>
      </c>
      <c r="M1956">
        <v>36.163455776329499</v>
      </c>
      <c r="O1956">
        <v>46.722346297105503</v>
      </c>
      <c r="P1956">
        <v>-9.5651972959632306E-2</v>
      </c>
      <c r="Q1956">
        <v>0.50568102211303001</v>
      </c>
      <c r="R1956">
        <v>0.83552874822328005</v>
      </c>
      <c r="S1956" t="s">
        <v>8602</v>
      </c>
      <c r="T1956" t="s">
        <v>13290</v>
      </c>
      <c r="U1956" t="s">
        <v>13290</v>
      </c>
      <c r="V1956" t="s">
        <v>13290</v>
      </c>
      <c r="W1956" t="s">
        <v>15214</v>
      </c>
      <c r="X1956">
        <v>3</v>
      </c>
      <c r="Y1956" t="s">
        <v>21780</v>
      </c>
      <c r="Z1956" t="s">
        <v>28286</v>
      </c>
      <c r="AA1956">
        <v>0.62079020267018092</v>
      </c>
      <c r="AB1956" t="str">
        <f>HYPERLINK("Melting_Curves/meltCurve_P02794_FTH1.pdf", "Melting_Curves/meltCurve_P02794_FTH1.pdf")</f>
        <v>Melting_Curves/meltCurve_P02794_FTH1.pdf</v>
      </c>
    </row>
    <row r="1957" spans="1:28" x14ac:dyDescent="0.25">
      <c r="A1957" t="s">
        <v>1961</v>
      </c>
      <c r="B1957">
        <v>0.99252571173614901</v>
      </c>
      <c r="C1957">
        <v>1.38020310760652</v>
      </c>
      <c r="D1957">
        <v>1.38303207336905</v>
      </c>
      <c r="E1957">
        <v>3.6037841419808401</v>
      </c>
      <c r="F1957">
        <v>1.4288756943543801</v>
      </c>
      <c r="G1957">
        <v>0.98853296584870998</v>
      </c>
      <c r="H1957">
        <v>1.0324910729332699</v>
      </c>
      <c r="I1957">
        <v>2.2941642613655402</v>
      </c>
      <c r="J1957">
        <v>2.9543949322218199</v>
      </c>
      <c r="K1957">
        <v>4.52548306229329</v>
      </c>
      <c r="L1957">
        <v>3285.9358293741302</v>
      </c>
      <c r="M1957">
        <v>77.729525453587598</v>
      </c>
      <c r="O1957">
        <v>42.246026591594799</v>
      </c>
      <c r="P1957">
        <v>0.22999073013718499</v>
      </c>
      <c r="Q1957">
        <v>1.5</v>
      </c>
      <c r="R1957">
        <v>-0.20357034476326399</v>
      </c>
      <c r="S1957" t="s">
        <v>8603</v>
      </c>
      <c r="T1957" t="s">
        <v>13290</v>
      </c>
      <c r="U1957" t="s">
        <v>13290</v>
      </c>
      <c r="V1957" t="s">
        <v>13290</v>
      </c>
      <c r="W1957" t="s">
        <v>15215</v>
      </c>
      <c r="X1957">
        <v>6</v>
      </c>
      <c r="Y1957" t="s">
        <v>21781</v>
      </c>
      <c r="Z1957" t="s">
        <v>28287</v>
      </c>
      <c r="AA1957">
        <v>1.46162103261623</v>
      </c>
      <c r="AB1957" t="str">
        <f>HYPERLINK("Melting_Curves/meltCurve_P02795_MT2A.pdf", "Melting_Curves/meltCurve_P02795_MT2A.pdf")</f>
        <v>Melting_Curves/meltCurve_P02795_MT2A.pdf</v>
      </c>
    </row>
    <row r="1958" spans="1:28" x14ac:dyDescent="0.25">
      <c r="A1958" t="s">
        <v>1962</v>
      </c>
      <c r="B1958">
        <v>0.99252571173614901</v>
      </c>
      <c r="C1958">
        <v>0.89915344126523</v>
      </c>
      <c r="D1958">
        <v>1.0407342635299099</v>
      </c>
      <c r="E1958">
        <v>1.1386346424312801</v>
      </c>
      <c r="F1958">
        <v>0.91129973530492503</v>
      </c>
      <c r="G1958">
        <v>0.63852955822167701</v>
      </c>
      <c r="H1958">
        <v>0.70991370426498401</v>
      </c>
      <c r="I1958">
        <v>0.48128851549153601</v>
      </c>
      <c r="J1958">
        <v>0.42621113744928302</v>
      </c>
      <c r="K1958">
        <v>0.400249300781787</v>
      </c>
      <c r="L1958">
        <v>986.14818050284396</v>
      </c>
      <c r="M1958">
        <v>16.826221144607</v>
      </c>
      <c r="N1958">
        <v>63.830479514994003</v>
      </c>
      <c r="O1958">
        <v>57.798782921150298</v>
      </c>
      <c r="P1958">
        <v>-4.5577393627734997E-2</v>
      </c>
      <c r="Q1958">
        <v>0.37379917920663203</v>
      </c>
      <c r="R1958">
        <v>0.89174740934706997</v>
      </c>
      <c r="S1958" t="s">
        <v>8604</v>
      </c>
      <c r="T1958" t="s">
        <v>13290</v>
      </c>
      <c r="U1958" t="s">
        <v>13290</v>
      </c>
      <c r="V1958" t="s">
        <v>13290</v>
      </c>
      <c r="W1958" t="s">
        <v>15216</v>
      </c>
      <c r="X1958">
        <v>3</v>
      </c>
      <c r="Y1958" t="s">
        <v>21782</v>
      </c>
      <c r="Z1958" t="s">
        <v>28288</v>
      </c>
      <c r="AA1958">
        <v>0.76949318245036546</v>
      </c>
      <c r="AB1958" t="str">
        <f>HYPERLINK("Melting_Curves/meltCurve_P03928_MT_ATP8.pdf", "Melting_Curves/meltCurve_P03928_MT_ATP8.pdf")</f>
        <v>Melting_Curves/meltCurve_P03928_MT_ATP8.pdf</v>
      </c>
    </row>
    <row r="1959" spans="1:28" x14ac:dyDescent="0.25">
      <c r="A1959" t="s">
        <v>1963</v>
      </c>
      <c r="B1959">
        <v>0.99252571173614901</v>
      </c>
      <c r="C1959">
        <v>0.92512499989990105</v>
      </c>
      <c r="D1959">
        <v>1.09816468008773</v>
      </c>
      <c r="E1959">
        <v>1.0884168367409801</v>
      </c>
      <c r="F1959">
        <v>1.1228972191283</v>
      </c>
      <c r="G1959">
        <v>0.88000921695689505</v>
      </c>
      <c r="H1959">
        <v>0.94156827045166902</v>
      </c>
      <c r="I1959">
        <v>0.97701966905491899</v>
      </c>
      <c r="J1959">
        <v>0.36750985775398498</v>
      </c>
      <c r="K1959">
        <v>0.25373308125251098</v>
      </c>
      <c r="L1959">
        <v>7112.43712369888</v>
      </c>
      <c r="M1959">
        <v>107.697472131127</v>
      </c>
      <c r="N1959">
        <v>66.4737192960323</v>
      </c>
      <c r="O1959">
        <v>66.018111447336196</v>
      </c>
      <c r="P1959">
        <v>-0.30505495589023701</v>
      </c>
      <c r="Q1959">
        <v>0.252010042333492</v>
      </c>
      <c r="R1959">
        <v>0.93253794604853602</v>
      </c>
      <c r="S1959" t="s">
        <v>8605</v>
      </c>
      <c r="T1959" t="s">
        <v>13290</v>
      </c>
      <c r="U1959" t="s">
        <v>13290</v>
      </c>
      <c r="V1959" t="s">
        <v>13290</v>
      </c>
      <c r="W1959" t="s">
        <v>15217</v>
      </c>
      <c r="X1959">
        <v>27</v>
      </c>
      <c r="Y1959" t="s">
        <v>21783</v>
      </c>
      <c r="Z1959" t="s">
        <v>28289</v>
      </c>
      <c r="AA1959">
        <v>0.90171555431646222</v>
      </c>
      <c r="AB1959" t="str">
        <f>HYPERLINK("Melting_Curves/meltCurve_P04040_CAT.pdf", "Melting_Curves/meltCurve_P04040_CAT.pdf")</f>
        <v>Melting_Curves/meltCurve_P04040_CAT.pdf</v>
      </c>
    </row>
    <row r="1960" spans="1:28" x14ac:dyDescent="0.25">
      <c r="A1960" t="s">
        <v>1964</v>
      </c>
      <c r="B1960">
        <v>0.99252571173614901</v>
      </c>
      <c r="C1960">
        <v>0.98160908748104903</v>
      </c>
      <c r="D1960">
        <v>1.0220498447311099</v>
      </c>
      <c r="E1960">
        <v>0.92662417117318996</v>
      </c>
      <c r="F1960">
        <v>0.97093036712648095</v>
      </c>
      <c r="G1960">
        <v>0.80701099088463502</v>
      </c>
      <c r="H1960">
        <v>0.62377768348779195</v>
      </c>
      <c r="I1960">
        <v>0.237314970539756</v>
      </c>
      <c r="J1960">
        <v>0.17556878857788399</v>
      </c>
      <c r="K1960">
        <v>0.13076257151828899</v>
      </c>
      <c r="L1960">
        <v>1368.5003932372899</v>
      </c>
      <c r="M1960">
        <v>22.4162708298926</v>
      </c>
      <c r="N1960">
        <v>61.399534650955999</v>
      </c>
      <c r="O1960">
        <v>60.569797516210897</v>
      </c>
      <c r="P1960">
        <v>-8.69734324250271E-2</v>
      </c>
      <c r="Q1960">
        <v>5.9994584813069803E-2</v>
      </c>
      <c r="R1960">
        <v>0.98524060679802605</v>
      </c>
      <c r="S1960" t="s">
        <v>8606</v>
      </c>
      <c r="T1960" t="s">
        <v>13290</v>
      </c>
      <c r="U1960" t="s">
        <v>13290</v>
      </c>
      <c r="V1960" t="s">
        <v>13290</v>
      </c>
      <c r="W1960" t="s">
        <v>15218</v>
      </c>
      <c r="X1960">
        <v>6</v>
      </c>
      <c r="Y1960" t="s">
        <v>21784</v>
      </c>
      <c r="Z1960" t="s">
        <v>28290</v>
      </c>
      <c r="AA1960">
        <v>0.72545814942331011</v>
      </c>
      <c r="AB1960" t="str">
        <f>HYPERLINK("Melting_Curves/meltCurve_P04066_FUCA1.pdf", "Melting_Curves/meltCurve_P04066_FUCA1.pdf")</f>
        <v>Melting_Curves/meltCurve_P04066_FUCA1.pdf</v>
      </c>
    </row>
    <row r="1961" spans="1:28" x14ac:dyDescent="0.25">
      <c r="A1961" t="s">
        <v>1965</v>
      </c>
      <c r="B1961">
        <v>0.99252571173614901</v>
      </c>
      <c r="C1961">
        <v>0.99061380682453903</v>
      </c>
      <c r="D1961">
        <v>1.1098922422776201</v>
      </c>
      <c r="E1961">
        <v>1.2054410903233399</v>
      </c>
      <c r="F1961">
        <v>1.1541735786099701</v>
      </c>
      <c r="G1961">
        <v>0.99862104941466501</v>
      </c>
      <c r="H1961">
        <v>0.96054640153891702</v>
      </c>
      <c r="I1961">
        <v>0.90227686562081499</v>
      </c>
      <c r="J1961">
        <v>0.29511482814999701</v>
      </c>
      <c r="K1961">
        <v>0.178834066932157</v>
      </c>
      <c r="L1961">
        <v>5174.1227561611104</v>
      </c>
      <c r="M1961">
        <v>78.852349497644198</v>
      </c>
      <c r="N1961">
        <v>65.9716873671466</v>
      </c>
      <c r="O1961">
        <v>65.575695116284606</v>
      </c>
      <c r="P1961">
        <v>-0.24877859674254801</v>
      </c>
      <c r="Q1961">
        <v>0.17243671677634301</v>
      </c>
      <c r="R1961">
        <v>0.928489475681193</v>
      </c>
      <c r="S1961" t="s">
        <v>8607</v>
      </c>
      <c r="T1961" t="s">
        <v>13290</v>
      </c>
      <c r="U1961" t="s">
        <v>13290</v>
      </c>
      <c r="V1961" t="s">
        <v>13290</v>
      </c>
      <c r="W1961" t="s">
        <v>15219</v>
      </c>
      <c r="X1961">
        <v>44</v>
      </c>
      <c r="Y1961" t="s">
        <v>20838</v>
      </c>
      <c r="Z1961" t="s">
        <v>28291</v>
      </c>
      <c r="AA1961">
        <v>0.87988451727594186</v>
      </c>
      <c r="AB1961" t="str">
        <f>HYPERLINK("Melting_Curves/meltCurve_P04075_ALDOA.pdf", "Melting_Curves/meltCurve_P04075_ALDOA.pdf")</f>
        <v>Melting_Curves/meltCurve_P04075_ALDOA.pdf</v>
      </c>
    </row>
    <row r="1962" spans="1:28" x14ac:dyDescent="0.25">
      <c r="A1962" t="s">
        <v>1966</v>
      </c>
      <c r="B1962">
        <v>0.99252571173614901</v>
      </c>
      <c r="C1962">
        <v>0.98735510421811101</v>
      </c>
      <c r="D1962">
        <v>0.94208559997910002</v>
      </c>
      <c r="E1962">
        <v>0.74681921462428302</v>
      </c>
      <c r="F1962">
        <v>0.50344493451188199</v>
      </c>
      <c r="G1962">
        <v>0.25347056362738302</v>
      </c>
      <c r="H1962">
        <v>0.16871752780735699</v>
      </c>
      <c r="I1962">
        <v>0.16123153340594201</v>
      </c>
      <c r="J1962">
        <v>0.21034900398304199</v>
      </c>
      <c r="K1962">
        <v>0.21891997395065901</v>
      </c>
      <c r="L1962">
        <v>1123.56444627832</v>
      </c>
      <c r="M1962">
        <v>21.7297702972145</v>
      </c>
      <c r="N1962">
        <v>52.761715168040098</v>
      </c>
      <c r="O1962">
        <v>51.274294728087</v>
      </c>
      <c r="P1962">
        <v>-8.7275073751738805E-2</v>
      </c>
      <c r="Q1962">
        <v>0.17627055445780801</v>
      </c>
      <c r="R1962">
        <v>0.99399233589446601</v>
      </c>
      <c r="S1962" t="s">
        <v>8608</v>
      </c>
      <c r="T1962" t="s">
        <v>13290</v>
      </c>
      <c r="U1962" t="s">
        <v>13290</v>
      </c>
      <c r="V1962" t="s">
        <v>13290</v>
      </c>
      <c r="W1962" t="s">
        <v>15220</v>
      </c>
      <c r="X1962">
        <v>3</v>
      </c>
      <c r="Y1962" t="s">
        <v>21785</v>
      </c>
      <c r="Z1962" t="s">
        <v>28292</v>
      </c>
      <c r="AA1962">
        <v>0.50748992638897905</v>
      </c>
      <c r="AB1962" t="str">
        <f>HYPERLINK("Melting_Curves/meltCurve_P04080_CSTB.pdf", "Melting_Curves/meltCurve_P04080_CSTB.pdf")</f>
        <v>Melting_Curves/meltCurve_P04080_CSTB.pdf</v>
      </c>
    </row>
    <row r="1963" spans="1:28" x14ac:dyDescent="0.25">
      <c r="A1963" t="s">
        <v>1967</v>
      </c>
      <c r="B1963">
        <v>0.99252571173614901</v>
      </c>
      <c r="C1963">
        <v>1.0795628186424999</v>
      </c>
      <c r="D1963">
        <v>0.98515789213851701</v>
      </c>
      <c r="E1963">
        <v>0.48696370345498702</v>
      </c>
      <c r="F1963">
        <v>0.22143629824803701</v>
      </c>
      <c r="G1963">
        <v>0.120185019029597</v>
      </c>
      <c r="H1963">
        <v>0.100172713638503</v>
      </c>
      <c r="I1963">
        <v>0.103858950801116</v>
      </c>
      <c r="J1963">
        <v>0.123074563174132</v>
      </c>
      <c r="K1963">
        <v>0.111914985625026</v>
      </c>
      <c r="L1963">
        <v>1937.2939021887801</v>
      </c>
      <c r="M1963">
        <v>39.300959265745199</v>
      </c>
      <c r="N1963">
        <v>49.638711151180999</v>
      </c>
      <c r="O1963">
        <v>49.166684264501697</v>
      </c>
      <c r="P1963">
        <v>-0.175958949123069</v>
      </c>
      <c r="Q1963">
        <v>0.119481922808752</v>
      </c>
      <c r="R1963">
        <v>0.99237652409399102</v>
      </c>
      <c r="S1963" t="s">
        <v>8609</v>
      </c>
      <c r="T1963" t="s">
        <v>13290</v>
      </c>
      <c r="U1963" t="s">
        <v>13290</v>
      </c>
      <c r="V1963" t="s">
        <v>13290</v>
      </c>
      <c r="W1963" t="s">
        <v>15221</v>
      </c>
      <c r="X1963">
        <v>14</v>
      </c>
      <c r="Y1963" t="s">
        <v>21786</v>
      </c>
      <c r="Z1963" t="s">
        <v>28293</v>
      </c>
      <c r="AA1963">
        <v>0.39537234727405363</v>
      </c>
      <c r="AB1963" t="str">
        <f>HYPERLINK("Melting_Curves/meltCurve_P04083_ANXA1.pdf", "Melting_Curves/meltCurve_P04083_ANXA1.pdf")</f>
        <v>Melting_Curves/meltCurve_P04083_ANXA1.pdf</v>
      </c>
    </row>
    <row r="1964" spans="1:28" x14ac:dyDescent="0.25">
      <c r="A1964" t="s">
        <v>1968</v>
      </c>
      <c r="B1964">
        <v>0.99252571173614901</v>
      </c>
      <c r="C1964">
        <v>0.91633698923145601</v>
      </c>
      <c r="D1964">
        <v>0.99252805280686995</v>
      </c>
      <c r="E1964">
        <v>0.69722962655065401</v>
      </c>
      <c r="F1964">
        <v>0.35471667150710801</v>
      </c>
      <c r="G1964">
        <v>0.244731407151981</v>
      </c>
      <c r="H1964">
        <v>0.147452140763388</v>
      </c>
      <c r="I1964">
        <v>0.19034053566661299</v>
      </c>
      <c r="J1964">
        <v>0.39625349185243802</v>
      </c>
      <c r="K1964">
        <v>0.33388864703133703</v>
      </c>
      <c r="L1964">
        <v>1868.0123605286301</v>
      </c>
      <c r="M1964">
        <v>37.269309830295597</v>
      </c>
      <c r="N1964">
        <v>51.1461153532412</v>
      </c>
      <c r="O1964">
        <v>49.978353746281499</v>
      </c>
      <c r="P1964">
        <v>-0.13741058743631601</v>
      </c>
      <c r="Q1964">
        <v>0.26292860662052803</v>
      </c>
      <c r="R1964">
        <v>0.95186503586232496</v>
      </c>
      <c r="S1964" t="s">
        <v>8610</v>
      </c>
      <c r="T1964" t="s">
        <v>13290</v>
      </c>
      <c r="U1964" t="s">
        <v>13290</v>
      </c>
      <c r="V1964" t="s">
        <v>13290</v>
      </c>
      <c r="W1964" t="s">
        <v>15222</v>
      </c>
      <c r="X1964">
        <v>2</v>
      </c>
      <c r="Y1964" t="s">
        <v>21787</v>
      </c>
      <c r="Z1964" t="s">
        <v>28294</v>
      </c>
      <c r="AA1964">
        <v>0.51456275201212032</v>
      </c>
      <c r="AB1964" t="str">
        <f>HYPERLINK("Melting_Curves/meltCurve_P04114_APOB.pdf", "Melting_Curves/meltCurve_P04114_APOB.pdf")</f>
        <v>Melting_Curves/meltCurve_P04114_APOB.pdf</v>
      </c>
    </row>
    <row r="1965" spans="1:28" x14ac:dyDescent="0.25">
      <c r="A1965" t="s">
        <v>1969</v>
      </c>
      <c r="B1965">
        <v>0.99252571173614901</v>
      </c>
      <c r="C1965">
        <v>0.86901672913137396</v>
      </c>
      <c r="D1965">
        <v>0.94951717448942996</v>
      </c>
      <c r="E1965">
        <v>0.86470042810282799</v>
      </c>
      <c r="F1965">
        <v>0.595653575993634</v>
      </c>
      <c r="G1965">
        <v>0.18863632557079399</v>
      </c>
      <c r="H1965">
        <v>0.100380293470999</v>
      </c>
      <c r="I1965">
        <v>8.6065539442684094E-2</v>
      </c>
      <c r="J1965">
        <v>8.4877318854085906E-2</v>
      </c>
      <c r="K1965">
        <v>8.5138471188869802E-2</v>
      </c>
      <c r="L1965">
        <v>1434.5025371660099</v>
      </c>
      <c r="M1965">
        <v>26.864338451774501</v>
      </c>
      <c r="N1965">
        <v>53.708854414377399</v>
      </c>
      <c r="O1965">
        <v>53.1047827474287</v>
      </c>
      <c r="P1965">
        <v>-0.117364640655667</v>
      </c>
      <c r="Q1965">
        <v>7.1995170848387802E-2</v>
      </c>
      <c r="R1965">
        <v>0.98506270814153296</v>
      </c>
      <c r="S1965" t="s">
        <v>8611</v>
      </c>
      <c r="T1965" t="s">
        <v>13290</v>
      </c>
      <c r="U1965" t="s">
        <v>13290</v>
      </c>
      <c r="V1965" t="s">
        <v>13290</v>
      </c>
      <c r="W1965" t="s">
        <v>15223</v>
      </c>
      <c r="X1965">
        <v>26</v>
      </c>
      <c r="Y1965" t="s">
        <v>21788</v>
      </c>
      <c r="Z1965" t="s">
        <v>28295</v>
      </c>
      <c r="AA1965">
        <v>0.49392618304663599</v>
      </c>
      <c r="AB1965" t="str">
        <f>HYPERLINK("Melting_Curves/meltCurve_P04181_OAT.pdf", "Melting_Curves/meltCurve_P04181_OAT.pdf")</f>
        <v>Melting_Curves/meltCurve_P04181_OAT.pdf</v>
      </c>
    </row>
    <row r="1966" spans="1:28" x14ac:dyDescent="0.25">
      <c r="A1966" t="s">
        <v>1970</v>
      </c>
      <c r="B1966">
        <v>0.99252571173614901</v>
      </c>
      <c r="C1966">
        <v>1.00956265205039</v>
      </c>
      <c r="D1966">
        <v>0.89280280467907103</v>
      </c>
      <c r="E1966">
        <v>0.80187465304886596</v>
      </c>
      <c r="F1966">
        <v>0.71936675899429203</v>
      </c>
      <c r="G1966">
        <v>0.60151443808820504</v>
      </c>
      <c r="H1966">
        <v>0.57082996763580895</v>
      </c>
      <c r="I1966">
        <v>0.79042916346344105</v>
      </c>
      <c r="J1966">
        <v>1.0781242281950201</v>
      </c>
      <c r="K1966">
        <v>1.0779099099565399</v>
      </c>
      <c r="L1966">
        <v>11490.4400230555</v>
      </c>
      <c r="M1966">
        <v>250</v>
      </c>
      <c r="O1966">
        <v>45.958819037445501</v>
      </c>
      <c r="P1966">
        <v>-0.26420214696542699</v>
      </c>
      <c r="Q1966">
        <v>0.80572130245656104</v>
      </c>
      <c r="R1966">
        <v>0.19441252114566099</v>
      </c>
      <c r="S1966" t="s">
        <v>8612</v>
      </c>
      <c r="T1966" t="s">
        <v>13290</v>
      </c>
      <c r="U1966" t="s">
        <v>13290</v>
      </c>
      <c r="V1966" t="s">
        <v>13290</v>
      </c>
      <c r="W1966" t="s">
        <v>15224</v>
      </c>
      <c r="X1966">
        <v>12</v>
      </c>
      <c r="Y1966" t="s">
        <v>21789</v>
      </c>
      <c r="Z1966" t="s">
        <v>28296</v>
      </c>
      <c r="AA1966">
        <v>0.84434507292470806</v>
      </c>
      <c r="AB1966" t="str">
        <f>HYPERLINK("Melting_Curves/meltCurve_P04183_TK1.pdf", "Melting_Curves/meltCurve_P04183_TK1.pdf")</f>
        <v>Melting_Curves/meltCurve_P04183_TK1.pdf</v>
      </c>
    </row>
    <row r="1967" spans="1:28" x14ac:dyDescent="0.25">
      <c r="A1967" t="s">
        <v>1971</v>
      </c>
      <c r="B1967">
        <v>0.99252571173614901</v>
      </c>
      <c r="C1967">
        <v>1.0082551346711299</v>
      </c>
      <c r="D1967">
        <v>0.91960808942606098</v>
      </c>
      <c r="E1967">
        <v>0.91236341225083495</v>
      </c>
      <c r="F1967">
        <v>0.61751692663647295</v>
      </c>
      <c r="G1967">
        <v>0.381872736681865</v>
      </c>
      <c r="H1967">
        <v>0.21629280074676399</v>
      </c>
      <c r="I1967">
        <v>0.13641198336636501</v>
      </c>
      <c r="J1967">
        <v>0.10964965034442101</v>
      </c>
      <c r="K1967">
        <v>9.8139712044576097E-2</v>
      </c>
      <c r="L1967">
        <v>993.05187174628099</v>
      </c>
      <c r="M1967">
        <v>18.228602608489702</v>
      </c>
      <c r="N1967">
        <v>55.032235830574699</v>
      </c>
      <c r="O1967">
        <v>53.834734174169398</v>
      </c>
      <c r="P1967">
        <v>-7.7552062719719594E-2</v>
      </c>
      <c r="Q1967">
        <v>8.3901539495903898E-2</v>
      </c>
      <c r="R1967">
        <v>0.99615918797897096</v>
      </c>
      <c r="S1967" t="s">
        <v>8613</v>
      </c>
      <c r="T1967" t="s">
        <v>13290</v>
      </c>
      <c r="U1967" t="s">
        <v>13290</v>
      </c>
      <c r="V1967" t="s">
        <v>13290</v>
      </c>
      <c r="W1967" t="s">
        <v>15225</v>
      </c>
      <c r="X1967">
        <v>30</v>
      </c>
      <c r="Y1967" t="s">
        <v>21128</v>
      </c>
      <c r="Z1967" t="s">
        <v>28297</v>
      </c>
      <c r="AA1967">
        <v>0.54018846976870427</v>
      </c>
      <c r="AB1967" t="str">
        <f>HYPERLINK("Melting_Curves/meltCurve_P04350_TUBB4A.pdf", "Melting_Curves/meltCurve_P04350_TUBB4A.pdf")</f>
        <v>Melting_Curves/meltCurve_P04350_TUBB4A.pdf</v>
      </c>
    </row>
    <row r="1968" spans="1:28" x14ac:dyDescent="0.25">
      <c r="A1968" t="s">
        <v>1972</v>
      </c>
      <c r="B1968">
        <v>0.99252571173614901</v>
      </c>
      <c r="C1968">
        <v>1.00235396987877</v>
      </c>
      <c r="D1968">
        <v>1.0547438924231101</v>
      </c>
      <c r="E1968">
        <v>1.07354362590271</v>
      </c>
      <c r="F1968">
        <v>1.0992894255321899</v>
      </c>
      <c r="G1968">
        <v>0.93751992832810005</v>
      </c>
      <c r="H1968">
        <v>0.88311580789817501</v>
      </c>
      <c r="I1968">
        <v>1.0150161947643399</v>
      </c>
      <c r="J1968">
        <v>0.33986684089400798</v>
      </c>
      <c r="K1968">
        <v>0.18284979450700301</v>
      </c>
      <c r="L1968">
        <v>15000</v>
      </c>
      <c r="M1968">
        <v>224.98281688759499</v>
      </c>
      <c r="N1968">
        <v>66.806911024623801</v>
      </c>
      <c r="O1968">
        <v>66.666491908131107</v>
      </c>
      <c r="P1968">
        <v>-0.689439703711206</v>
      </c>
      <c r="Q1968">
        <v>0.182826032822381</v>
      </c>
      <c r="R1968">
        <v>0.96150313894753903</v>
      </c>
      <c r="S1968" t="s">
        <v>8614</v>
      </c>
      <c r="T1968" t="s">
        <v>13290</v>
      </c>
      <c r="U1968" t="s">
        <v>13290</v>
      </c>
      <c r="V1968" t="s">
        <v>13290</v>
      </c>
      <c r="W1968" t="s">
        <v>15226</v>
      </c>
      <c r="X1968">
        <v>41</v>
      </c>
      <c r="Y1968" t="s">
        <v>21790</v>
      </c>
      <c r="Z1968" t="s">
        <v>28298</v>
      </c>
      <c r="AA1968">
        <v>0.9094594508001127</v>
      </c>
      <c r="AB1968" t="str">
        <f>HYPERLINK("Melting_Curves/meltCurve_P04406_GAPDH.pdf", "Melting_Curves/meltCurve_P04406_GAPDH.pdf")</f>
        <v>Melting_Curves/meltCurve_P04406_GAPDH.pdf</v>
      </c>
    </row>
    <row r="1969" spans="1:28" x14ac:dyDescent="0.25">
      <c r="A1969" t="s">
        <v>1973</v>
      </c>
      <c r="B1969">
        <v>0.99252571173614901</v>
      </c>
      <c r="C1969">
        <v>0.94878400527478202</v>
      </c>
      <c r="D1969">
        <v>1.0496005146455001</v>
      </c>
      <c r="E1969">
        <v>1.10695645351807</v>
      </c>
      <c r="F1969">
        <v>1.0460619129512601</v>
      </c>
      <c r="G1969">
        <v>0.60509073403401004</v>
      </c>
      <c r="H1969">
        <v>0.221406533039224</v>
      </c>
      <c r="I1969">
        <v>0.17196930717721401</v>
      </c>
      <c r="J1969">
        <v>0.17501110892034399</v>
      </c>
      <c r="K1969">
        <v>0.14543616140315299</v>
      </c>
      <c r="L1969">
        <v>4270.2645388624396</v>
      </c>
      <c r="M1969">
        <v>75.087659102899394</v>
      </c>
      <c r="N1969">
        <v>57.2021647213897</v>
      </c>
      <c r="O1969">
        <v>56.830093168113798</v>
      </c>
      <c r="P1969">
        <v>-0.27200509295583097</v>
      </c>
      <c r="Q1969">
        <v>0.17653196099044599</v>
      </c>
      <c r="R1969">
        <v>0.98670031320540796</v>
      </c>
      <c r="S1969" t="s">
        <v>8615</v>
      </c>
      <c r="T1969" t="s">
        <v>13290</v>
      </c>
      <c r="U1969" t="s">
        <v>13290</v>
      </c>
      <c r="V1969" t="s">
        <v>13290</v>
      </c>
      <c r="W1969" t="s">
        <v>15227</v>
      </c>
      <c r="X1969">
        <v>5</v>
      </c>
      <c r="Y1969" t="s">
        <v>21791</v>
      </c>
      <c r="Z1969" t="s">
        <v>28299</v>
      </c>
      <c r="AA1969">
        <v>0.64051930597707207</v>
      </c>
      <c r="AB1969" t="str">
        <f>HYPERLINK("Melting_Curves/meltCurve_P04424_ASL.pdf", "Melting_Curves/meltCurve_P04424_ASL.pdf")</f>
        <v>Melting_Curves/meltCurve_P04424_ASL.pdf</v>
      </c>
    </row>
    <row r="1970" spans="1:28" x14ac:dyDescent="0.25">
      <c r="A1970" t="s">
        <v>1974</v>
      </c>
      <c r="B1970">
        <v>0.99252571173614901</v>
      </c>
      <c r="C1970">
        <v>0.97200446722912703</v>
      </c>
      <c r="D1970">
        <v>0.97189883738041705</v>
      </c>
      <c r="E1970">
        <v>0.81878011160157604</v>
      </c>
      <c r="F1970">
        <v>0.89354864419784197</v>
      </c>
      <c r="G1970">
        <v>0.71738926875789</v>
      </c>
      <c r="H1970">
        <v>0.50828888368621905</v>
      </c>
      <c r="I1970">
        <v>0.219023344970421</v>
      </c>
      <c r="J1970">
        <v>0.164455968286224</v>
      </c>
      <c r="K1970">
        <v>0.129843044170669</v>
      </c>
      <c r="L1970">
        <v>875.08639143934897</v>
      </c>
      <c r="M1970">
        <v>14.5735613753351</v>
      </c>
      <c r="N1970">
        <v>60.046159716591497</v>
      </c>
      <c r="O1970">
        <v>58.949546806317002</v>
      </c>
      <c r="P1970">
        <v>-6.1812220478935698E-2</v>
      </c>
      <c r="Q1970">
        <v>0</v>
      </c>
      <c r="R1970">
        <v>0.974263456805604</v>
      </c>
      <c r="S1970" t="s">
        <v>8616</v>
      </c>
      <c r="T1970" t="s">
        <v>13290</v>
      </c>
      <c r="U1970" t="s">
        <v>13290</v>
      </c>
      <c r="V1970" t="s">
        <v>13290</v>
      </c>
      <c r="W1970" t="s">
        <v>15228</v>
      </c>
      <c r="X1970">
        <v>15</v>
      </c>
      <c r="Y1970" t="s">
        <v>21792</v>
      </c>
      <c r="Z1970" t="s">
        <v>28300</v>
      </c>
      <c r="AA1970">
        <v>0.67448761928050704</v>
      </c>
      <c r="AB1970" t="str">
        <f>HYPERLINK("Melting_Curves/meltCurve_P04632_CAPNS1.pdf", "Melting_Curves/meltCurve_P04632_CAPNS1.pdf")</f>
        <v>Melting_Curves/meltCurve_P04632_CAPNS1.pdf</v>
      </c>
    </row>
    <row r="1971" spans="1:28" x14ac:dyDescent="0.25">
      <c r="A1971" t="s">
        <v>1975</v>
      </c>
      <c r="B1971">
        <v>0.99252571173614901</v>
      </c>
      <c r="C1971">
        <v>0.86209998718108405</v>
      </c>
      <c r="D1971">
        <v>0.56845911517700898</v>
      </c>
      <c r="E1971">
        <v>0.26907992538754699</v>
      </c>
      <c r="F1971">
        <v>0.150783943670522</v>
      </c>
      <c r="G1971">
        <v>9.5714072076876197E-2</v>
      </c>
      <c r="H1971">
        <v>8.7494938383850404E-2</v>
      </c>
      <c r="I1971">
        <v>0.135720849055949</v>
      </c>
      <c r="J1971">
        <v>0.36221875617910898</v>
      </c>
      <c r="K1971">
        <v>0.95054594446389695</v>
      </c>
      <c r="L1971">
        <v>1540.69167901632</v>
      </c>
      <c r="M1971">
        <v>34.138435359317498</v>
      </c>
      <c r="N1971">
        <v>46.312980071680499</v>
      </c>
      <c r="O1971">
        <v>44.976694918822503</v>
      </c>
      <c r="P1971">
        <v>-0.13456911154110299</v>
      </c>
      <c r="Q1971">
        <v>0.29083458596886702</v>
      </c>
      <c r="R1971">
        <v>0.53060052526418999</v>
      </c>
      <c r="S1971" t="s">
        <v>8617</v>
      </c>
      <c r="T1971" t="s">
        <v>13290</v>
      </c>
      <c r="U1971" t="s">
        <v>13290</v>
      </c>
      <c r="V1971" t="s">
        <v>13290</v>
      </c>
      <c r="W1971" t="s">
        <v>15229</v>
      </c>
      <c r="X1971">
        <v>20</v>
      </c>
      <c r="Y1971" t="s">
        <v>21793</v>
      </c>
      <c r="Z1971" t="s">
        <v>28301</v>
      </c>
      <c r="AA1971">
        <v>0.4154574779645685</v>
      </c>
      <c r="AB1971" t="str">
        <f>HYPERLINK("Melting_Curves/meltCurve_P04792_HSPB1.pdf", "Melting_Curves/meltCurve_P04792_HSPB1.pdf")</f>
        <v>Melting_Curves/meltCurve_P04792_HSPB1.pdf</v>
      </c>
    </row>
    <row r="1972" spans="1:28" x14ac:dyDescent="0.25">
      <c r="A1972" t="s">
        <v>1976</v>
      </c>
      <c r="B1972">
        <v>0.99252571173614901</v>
      </c>
      <c r="C1972">
        <v>1.1034802903751399</v>
      </c>
      <c r="D1972">
        <v>0.78622462321264397</v>
      </c>
      <c r="E1972">
        <v>0.30483906797808202</v>
      </c>
      <c r="F1972">
        <v>0.12413145729012499</v>
      </c>
      <c r="G1972">
        <v>7.2266355252061806E-2</v>
      </c>
      <c r="H1972">
        <v>5.3749564005555799E-2</v>
      </c>
      <c r="I1972">
        <v>7.0078759170862606E-2</v>
      </c>
      <c r="J1972">
        <v>7.5342581046753898E-2</v>
      </c>
      <c r="K1972">
        <v>6.8691711723599405E-2</v>
      </c>
      <c r="L1972">
        <v>1589.03356277741</v>
      </c>
      <c r="M1972">
        <v>33.165447156659198</v>
      </c>
      <c r="N1972">
        <v>48.134760775740197</v>
      </c>
      <c r="O1972">
        <v>47.739135003620703</v>
      </c>
      <c r="P1972">
        <v>-0.161341694737754</v>
      </c>
      <c r="Q1972">
        <v>7.1047737373188702E-2</v>
      </c>
      <c r="R1972">
        <v>0.98978392137659998</v>
      </c>
      <c r="S1972" t="s">
        <v>8618</v>
      </c>
      <c r="T1972" t="s">
        <v>13290</v>
      </c>
      <c r="U1972" t="s">
        <v>13290</v>
      </c>
      <c r="V1972" t="s">
        <v>13290</v>
      </c>
      <c r="W1972" t="s">
        <v>15230</v>
      </c>
      <c r="X1972">
        <v>8</v>
      </c>
      <c r="Y1972" t="s">
        <v>21794</v>
      </c>
      <c r="Z1972" t="s">
        <v>28302</v>
      </c>
      <c r="AA1972">
        <v>0.32058718072702541</v>
      </c>
      <c r="AB1972" t="str">
        <f>HYPERLINK("Melting_Curves/meltCurve_P04818_TYMS.pdf", "Melting_Curves/meltCurve_P04818_TYMS.pdf")</f>
        <v>Melting_Curves/meltCurve_P04818_TYMS.pdf</v>
      </c>
    </row>
    <row r="1973" spans="1:28" x14ac:dyDescent="0.25">
      <c r="A1973" t="s">
        <v>1977</v>
      </c>
      <c r="B1973">
        <v>0.99252571173614901</v>
      </c>
      <c r="C1973">
        <v>0.90518086897726102</v>
      </c>
      <c r="D1973">
        <v>0.944332327365213</v>
      </c>
      <c r="E1973">
        <v>0.94989702708843304</v>
      </c>
      <c r="F1973">
        <v>0.74411861984071903</v>
      </c>
      <c r="G1973">
        <v>0.22511452337335899</v>
      </c>
      <c r="H1973">
        <v>9.1537504646573897E-2</v>
      </c>
      <c r="I1973">
        <v>8.2707530722578401E-2</v>
      </c>
      <c r="J1973">
        <v>9.1296895216142093E-2</v>
      </c>
      <c r="K1973">
        <v>8.8366985603085604E-2</v>
      </c>
      <c r="L1973">
        <v>2158.9868283525502</v>
      </c>
      <c r="M1973">
        <v>39.671029920969701</v>
      </c>
      <c r="N1973">
        <v>54.674212037359297</v>
      </c>
      <c r="O1973">
        <v>54.284523497122002</v>
      </c>
      <c r="P1973">
        <v>-0.16743664786446399</v>
      </c>
      <c r="Q1973">
        <v>8.3543055800074595E-2</v>
      </c>
      <c r="R1973">
        <v>0.99182167272285005</v>
      </c>
      <c r="S1973" t="s">
        <v>8619</v>
      </c>
      <c r="T1973" t="s">
        <v>13290</v>
      </c>
      <c r="U1973" t="s">
        <v>13290</v>
      </c>
      <c r="V1973" t="s">
        <v>13290</v>
      </c>
      <c r="W1973" t="s">
        <v>15231</v>
      </c>
      <c r="X1973">
        <v>49</v>
      </c>
      <c r="Y1973" t="s">
        <v>21795</v>
      </c>
      <c r="Z1973" t="s">
        <v>28303</v>
      </c>
      <c r="AA1973">
        <v>0.52761780369932343</v>
      </c>
      <c r="AB1973" t="str">
        <f>HYPERLINK("Melting_Curves/meltCurve_P04843_RPN1.pdf", "Melting_Curves/meltCurve_P04843_RPN1.pdf")</f>
        <v>Melting_Curves/meltCurve_P04843_RPN1.pdf</v>
      </c>
    </row>
    <row r="1974" spans="1:28" x14ac:dyDescent="0.25">
      <c r="A1974" t="s">
        <v>1978</v>
      </c>
      <c r="B1974">
        <v>0.99252571173614901</v>
      </c>
      <c r="C1974">
        <v>0.44099829370612798</v>
      </c>
      <c r="D1974">
        <v>0.86191627704417095</v>
      </c>
      <c r="E1974">
        <v>0.69558044840980704</v>
      </c>
      <c r="F1974">
        <v>0.29398597221892397</v>
      </c>
      <c r="G1974">
        <v>7.44055771166129E-2</v>
      </c>
      <c r="H1974">
        <v>3.6305246440077502E-2</v>
      </c>
      <c r="I1974">
        <v>3.5879190315186597E-2</v>
      </c>
      <c r="J1974">
        <v>4.7257774928534703E-2</v>
      </c>
      <c r="K1974">
        <v>4.1106690310043097E-2</v>
      </c>
      <c r="L1974">
        <v>553.02561969194403</v>
      </c>
      <c r="M1974">
        <v>11.1610378814005</v>
      </c>
      <c r="N1974">
        <v>49.549658683135803</v>
      </c>
      <c r="O1974">
        <v>48.0388075247172</v>
      </c>
      <c r="P1974">
        <v>-5.8101976486604701E-2</v>
      </c>
      <c r="Q1974">
        <v>0</v>
      </c>
      <c r="R1974">
        <v>0.79701867256938297</v>
      </c>
      <c r="S1974" t="s">
        <v>8620</v>
      </c>
      <c r="T1974" t="s">
        <v>13290</v>
      </c>
      <c r="U1974" t="s">
        <v>13290</v>
      </c>
      <c r="V1974" t="s">
        <v>13290</v>
      </c>
      <c r="W1974" t="s">
        <v>15232</v>
      </c>
      <c r="X1974">
        <v>15</v>
      </c>
      <c r="Y1974" t="s">
        <v>21796</v>
      </c>
      <c r="Z1974" t="s">
        <v>28304</v>
      </c>
      <c r="AA1974">
        <v>0.3581717334497217</v>
      </c>
      <c r="AB1974" t="str">
        <f>HYPERLINK("Melting_Curves/meltCurve_P04844_RPN2.pdf", "Melting_Curves/meltCurve_P04844_RPN2.pdf")</f>
        <v>Melting_Curves/meltCurve_P04844_RPN2.pdf</v>
      </c>
    </row>
    <row r="1975" spans="1:28" x14ac:dyDescent="0.25">
      <c r="A1975" t="s">
        <v>1979</v>
      </c>
      <c r="B1975">
        <v>0.99252571173614901</v>
      </c>
      <c r="C1975">
        <v>0.89355254334759404</v>
      </c>
      <c r="D1975">
        <v>0.83947074140954603</v>
      </c>
      <c r="E1975">
        <v>0.79454967319218595</v>
      </c>
      <c r="F1975">
        <v>0.51190355147747202</v>
      </c>
      <c r="G1975">
        <v>0.19910910559029499</v>
      </c>
      <c r="H1975">
        <v>0.13452015091196301</v>
      </c>
      <c r="I1975">
        <v>0.13681466249590801</v>
      </c>
      <c r="J1975">
        <v>0.12173978375977899</v>
      </c>
      <c r="K1975">
        <v>0.107475456648153</v>
      </c>
      <c r="L1975">
        <v>903.96794886388705</v>
      </c>
      <c r="M1975">
        <v>17.2874234422213</v>
      </c>
      <c r="N1975">
        <v>52.842319062278797</v>
      </c>
      <c r="O1975">
        <v>51.605840271316701</v>
      </c>
      <c r="P1975">
        <v>-7.6835513247279205E-2</v>
      </c>
      <c r="Q1975">
        <v>8.2585821466647197E-2</v>
      </c>
      <c r="R1975">
        <v>0.98038491646032699</v>
      </c>
      <c r="S1975" t="s">
        <v>8621</v>
      </c>
      <c r="T1975" t="s">
        <v>13290</v>
      </c>
      <c r="U1975" t="s">
        <v>13290</v>
      </c>
      <c r="V1975" t="s">
        <v>13290</v>
      </c>
      <c r="W1975" t="s">
        <v>15233</v>
      </c>
      <c r="X1975">
        <v>19</v>
      </c>
      <c r="Y1975" t="s">
        <v>21797</v>
      </c>
      <c r="Z1975" t="s">
        <v>28305</v>
      </c>
      <c r="AA1975">
        <v>0.47469038099415217</v>
      </c>
      <c r="AB1975" t="str">
        <f>HYPERLINK("Melting_Curves/meltCurve_P04899_GNAI2.pdf", "Melting_Curves/meltCurve_P04899_GNAI2.pdf")</f>
        <v>Melting_Curves/meltCurve_P04899_GNAI2.pdf</v>
      </c>
    </row>
    <row r="1976" spans="1:28" x14ac:dyDescent="0.25">
      <c r="A1976" t="s">
        <v>1980</v>
      </c>
      <c r="B1976">
        <v>0.99252571173614901</v>
      </c>
      <c r="C1976">
        <v>0.94933128285198698</v>
      </c>
      <c r="D1976">
        <v>0.818814686175943</v>
      </c>
      <c r="E1976">
        <v>0.83595684376950397</v>
      </c>
      <c r="F1976">
        <v>0.54158844021493802</v>
      </c>
      <c r="G1976">
        <v>0.347115697971346</v>
      </c>
      <c r="H1976">
        <v>0.33511768231725098</v>
      </c>
      <c r="I1976">
        <v>0.46019780908879299</v>
      </c>
      <c r="J1976">
        <v>0.61809510046261695</v>
      </c>
      <c r="K1976">
        <v>0.74599686801746301</v>
      </c>
      <c r="L1976">
        <v>1271.44457234531</v>
      </c>
      <c r="M1976">
        <v>25.719823051082901</v>
      </c>
      <c r="O1976">
        <v>49.138481006233498</v>
      </c>
      <c r="P1976">
        <v>-6.5416251225889302E-2</v>
      </c>
      <c r="Q1976">
        <v>0.50008729725108603</v>
      </c>
      <c r="R1976">
        <v>0.69241010158365002</v>
      </c>
      <c r="S1976" t="s">
        <v>8622</v>
      </c>
      <c r="T1976" t="s">
        <v>13290</v>
      </c>
      <c r="U1976" t="s">
        <v>13290</v>
      </c>
      <c r="V1976" t="s">
        <v>13290</v>
      </c>
      <c r="W1976" t="s">
        <v>15234</v>
      </c>
      <c r="X1976">
        <v>5</v>
      </c>
      <c r="Y1976" t="s">
        <v>21798</v>
      </c>
      <c r="Z1976" t="s">
        <v>28306</v>
      </c>
      <c r="AA1976">
        <v>0.66149474312634993</v>
      </c>
      <c r="AB1976" t="str">
        <f>HYPERLINK("Melting_Curves/meltCurve_P04920_2_SLC4A2.pdf", "Melting_Curves/meltCurve_P04920_2_SLC4A2.pdf")</f>
        <v>Melting_Curves/meltCurve_P04920_2_SLC4A2.pdf</v>
      </c>
    </row>
    <row r="1977" spans="1:28" x14ac:dyDescent="0.25">
      <c r="A1977" t="s">
        <v>1981</v>
      </c>
      <c r="B1977">
        <v>0.99252571173614901</v>
      </c>
      <c r="C1977">
        <v>0.86601304888263397</v>
      </c>
      <c r="D1977">
        <v>0.86129334159069604</v>
      </c>
      <c r="E1977">
        <v>0.96264274829542995</v>
      </c>
      <c r="F1977">
        <v>0.75438083866316197</v>
      </c>
      <c r="G1977">
        <v>0.53417995482578795</v>
      </c>
      <c r="H1977">
        <v>0.26779108156876003</v>
      </c>
      <c r="I1977">
        <v>0.12321738257939099</v>
      </c>
      <c r="J1977">
        <v>0.13006956227239699</v>
      </c>
      <c r="K1977">
        <v>9.8229460544781697E-2</v>
      </c>
      <c r="L1977">
        <v>946.94344123939402</v>
      </c>
      <c r="M1977">
        <v>16.706813684137799</v>
      </c>
      <c r="N1977">
        <v>56.99001412146</v>
      </c>
      <c r="O1977">
        <v>55.886682295427299</v>
      </c>
      <c r="P1977">
        <v>-7.1494410623228102E-2</v>
      </c>
      <c r="Q1977">
        <v>4.3427180855588797E-2</v>
      </c>
      <c r="R1977">
        <v>0.97106760533969405</v>
      </c>
      <c r="S1977" t="s">
        <v>8623</v>
      </c>
      <c r="T1977" t="s">
        <v>13290</v>
      </c>
      <c r="U1977" t="s">
        <v>13290</v>
      </c>
      <c r="V1977" t="s">
        <v>13290</v>
      </c>
      <c r="W1977" t="s">
        <v>15235</v>
      </c>
      <c r="X1977">
        <v>66</v>
      </c>
      <c r="Y1977" t="s">
        <v>21799</v>
      </c>
      <c r="Z1977" t="s">
        <v>28307</v>
      </c>
      <c r="AA1977">
        <v>0.58976863734692786</v>
      </c>
      <c r="AB1977" t="str">
        <f>HYPERLINK("Melting_Curves/meltCurve_P05023_4_ATP1A1.pdf", "Melting_Curves/meltCurve_P05023_4_ATP1A1.pdf")</f>
        <v>Melting_Curves/meltCurve_P05023_4_ATP1A1.pdf</v>
      </c>
    </row>
    <row r="1978" spans="1:28" x14ac:dyDescent="0.25">
      <c r="A1978" t="s">
        <v>1982</v>
      </c>
      <c r="B1978">
        <v>0.99252571173614901</v>
      </c>
      <c r="C1978">
        <v>1.1450130670285601</v>
      </c>
      <c r="D1978">
        <v>1.00032718425601</v>
      </c>
      <c r="E1978">
        <v>1.0334014336970201</v>
      </c>
      <c r="F1978">
        <v>0.69360778688059499</v>
      </c>
      <c r="G1978">
        <v>0.51351110692304403</v>
      </c>
      <c r="H1978">
        <v>0.51520815578294799</v>
      </c>
      <c r="I1978">
        <v>0.71984960882395199</v>
      </c>
      <c r="J1978">
        <v>1.27210527401736</v>
      </c>
      <c r="K1978">
        <v>1.4186136888352401</v>
      </c>
      <c r="L1978">
        <v>15000</v>
      </c>
      <c r="M1978">
        <v>224.165298239582</v>
      </c>
      <c r="O1978">
        <v>66.909588036683502</v>
      </c>
      <c r="P1978">
        <v>0.35065142602419702</v>
      </c>
      <c r="Q1978">
        <v>1.41865427080979</v>
      </c>
      <c r="R1978">
        <v>0.23163144847686201</v>
      </c>
      <c r="S1978" t="s">
        <v>8624</v>
      </c>
      <c r="T1978" t="s">
        <v>13290</v>
      </c>
      <c r="U1978" t="s">
        <v>13290</v>
      </c>
      <c r="V1978" t="s">
        <v>13290</v>
      </c>
      <c r="W1978" t="s">
        <v>15236</v>
      </c>
      <c r="X1978">
        <v>4</v>
      </c>
      <c r="Y1978" t="s">
        <v>21800</v>
      </c>
      <c r="Z1978" t="s">
        <v>28308</v>
      </c>
      <c r="AA1978">
        <v>1.042991999829594</v>
      </c>
      <c r="AB1978" t="str">
        <f>HYPERLINK("Melting_Curves/meltCurve_P05060_CHGB.pdf", "Melting_Curves/meltCurve_P05060_CHGB.pdf")</f>
        <v>Melting_Curves/meltCurve_P05060_CHGB.pdf</v>
      </c>
    </row>
    <row r="1979" spans="1:28" x14ac:dyDescent="0.25">
      <c r="A1979" t="s">
        <v>1983</v>
      </c>
      <c r="B1979">
        <v>0.99252571173614901</v>
      </c>
      <c r="C1979">
        <v>0.96080752806541403</v>
      </c>
      <c r="D1979">
        <v>0.91146229694438496</v>
      </c>
      <c r="E1979">
        <v>0.83966229819528304</v>
      </c>
      <c r="F1979">
        <v>0.60744796528328704</v>
      </c>
      <c r="G1979">
        <v>0.40214711067749598</v>
      </c>
      <c r="H1979">
        <v>0.266461242811808</v>
      </c>
      <c r="I1979">
        <v>0.27959316833591202</v>
      </c>
      <c r="J1979">
        <v>0.35382834301330002</v>
      </c>
      <c r="K1979">
        <v>0.33302490004962298</v>
      </c>
      <c r="L1979">
        <v>1113.4058161614801</v>
      </c>
      <c r="M1979">
        <v>21.284188110055901</v>
      </c>
      <c r="N1979">
        <v>54.6159439045921</v>
      </c>
      <c r="O1979">
        <v>51.856215208008898</v>
      </c>
      <c r="P1979">
        <v>-7.2206934599154199E-2</v>
      </c>
      <c r="Q1979">
        <v>0.29632613608572</v>
      </c>
      <c r="R1979">
        <v>0.98398306013238701</v>
      </c>
      <c r="S1979" t="s">
        <v>8625</v>
      </c>
      <c r="T1979" t="s">
        <v>13290</v>
      </c>
      <c r="U1979" t="s">
        <v>13290</v>
      </c>
      <c r="V1979" t="s">
        <v>13290</v>
      </c>
      <c r="W1979" t="s">
        <v>15237</v>
      </c>
      <c r="X1979">
        <v>24</v>
      </c>
      <c r="Y1979" t="s">
        <v>21801</v>
      </c>
      <c r="Z1979" t="s">
        <v>28309</v>
      </c>
      <c r="AA1979">
        <v>0.59379834398739462</v>
      </c>
      <c r="AB1979" t="str">
        <f>HYPERLINK("Melting_Curves/meltCurve_P05067_7_APP.pdf", "Melting_Curves/meltCurve_P05067_7_APP.pdf")</f>
        <v>Melting_Curves/meltCurve_P05067_7_APP.pdf</v>
      </c>
    </row>
    <row r="1980" spans="1:28" x14ac:dyDescent="0.25">
      <c r="A1980" t="s">
        <v>1984</v>
      </c>
      <c r="B1980">
        <v>0.99252571173614901</v>
      </c>
      <c r="C1980">
        <v>0.89778151541068796</v>
      </c>
      <c r="D1980">
        <v>1.0828803114780301</v>
      </c>
      <c r="E1980">
        <v>0.97633640362923102</v>
      </c>
      <c r="F1980">
        <v>0.82730442768417201</v>
      </c>
      <c r="G1980">
        <v>0.33494361242235199</v>
      </c>
      <c r="H1980">
        <v>0.132881774143466</v>
      </c>
      <c r="I1980">
        <v>0.12654348353066</v>
      </c>
      <c r="J1980">
        <v>0.108114665588026</v>
      </c>
      <c r="K1980">
        <v>9.4828293310754999E-2</v>
      </c>
      <c r="L1980">
        <v>2081.8543801475698</v>
      </c>
      <c r="M1980">
        <v>37.717285356065602</v>
      </c>
      <c r="N1980">
        <v>55.551493554144102</v>
      </c>
      <c r="O1980">
        <v>55.0418378846107</v>
      </c>
      <c r="P1980">
        <v>-0.152957006188885</v>
      </c>
      <c r="Q1980">
        <v>0.107145737714036</v>
      </c>
      <c r="R1980">
        <v>0.98919407365921397</v>
      </c>
      <c r="S1980" t="s">
        <v>8626</v>
      </c>
      <c r="T1980" t="s">
        <v>13290</v>
      </c>
      <c r="U1980" t="s">
        <v>13290</v>
      </c>
      <c r="V1980" t="s">
        <v>13290</v>
      </c>
      <c r="W1980" t="s">
        <v>15238</v>
      </c>
      <c r="X1980">
        <v>16</v>
      </c>
      <c r="Y1980" t="s">
        <v>21802</v>
      </c>
      <c r="Z1980" t="s">
        <v>28310</v>
      </c>
      <c r="AA1980">
        <v>0.56322581459963983</v>
      </c>
      <c r="AB1980" t="str">
        <f>HYPERLINK("Melting_Curves/meltCurve_P05091_ALDH2.pdf", "Melting_Curves/meltCurve_P05091_ALDH2.pdf")</f>
        <v>Melting_Curves/meltCurve_P05091_ALDH2.pdf</v>
      </c>
    </row>
    <row r="1981" spans="1:28" x14ac:dyDescent="0.25">
      <c r="A1981" t="s">
        <v>1985</v>
      </c>
      <c r="B1981">
        <v>0.99252571173614901</v>
      </c>
      <c r="C1981">
        <v>1.1450112891828801</v>
      </c>
      <c r="D1981">
        <v>1.04193142219586</v>
      </c>
      <c r="E1981">
        <v>1.20873145340521</v>
      </c>
      <c r="F1981">
        <v>0.77774327872357796</v>
      </c>
      <c r="G1981">
        <v>0.68577134531966999</v>
      </c>
      <c r="H1981">
        <v>0.87761169584053</v>
      </c>
      <c r="I1981">
        <v>1.79788744927146</v>
      </c>
      <c r="J1981">
        <v>3.3736534507849201</v>
      </c>
      <c r="K1981">
        <v>3.6011950768619498</v>
      </c>
      <c r="L1981">
        <v>8140.0662687017202</v>
      </c>
      <c r="M1981">
        <v>130.93756585927599</v>
      </c>
      <c r="O1981">
        <v>62.153058815658802</v>
      </c>
      <c r="P1981">
        <v>0.263337012098871</v>
      </c>
      <c r="Q1981">
        <v>1.5</v>
      </c>
      <c r="R1981">
        <v>0.19353004821049499</v>
      </c>
      <c r="S1981" t="s">
        <v>8627</v>
      </c>
      <c r="T1981" t="s">
        <v>13290</v>
      </c>
      <c r="U1981" t="s">
        <v>13290</v>
      </c>
      <c r="V1981" t="s">
        <v>13290</v>
      </c>
      <c r="W1981" t="s">
        <v>15239</v>
      </c>
      <c r="X1981">
        <v>6</v>
      </c>
      <c r="Y1981" t="s">
        <v>21803</v>
      </c>
      <c r="Z1981" t="s">
        <v>28311</v>
      </c>
      <c r="AA1981">
        <v>1.1303420348461839</v>
      </c>
      <c r="AB1981" t="str">
        <f>HYPERLINK("Melting_Curves/meltCurve_P05114_HMGN1.pdf", "Melting_Curves/meltCurve_P05114_HMGN1.pdf")</f>
        <v>Melting_Curves/meltCurve_P05114_HMGN1.pdf</v>
      </c>
    </row>
    <row r="1982" spans="1:28" x14ac:dyDescent="0.25">
      <c r="A1982" t="s">
        <v>1986</v>
      </c>
      <c r="B1982">
        <v>0.99252571173614901</v>
      </c>
      <c r="C1982">
        <v>0.86325410656436197</v>
      </c>
      <c r="D1982">
        <v>0.83389818068398303</v>
      </c>
      <c r="E1982">
        <v>0.78892875179993505</v>
      </c>
      <c r="F1982">
        <v>0.78320059086683602</v>
      </c>
      <c r="G1982">
        <v>0.63670149863485703</v>
      </c>
      <c r="H1982">
        <v>0.59563437422088295</v>
      </c>
      <c r="I1982">
        <v>0.78331300662207404</v>
      </c>
      <c r="J1982">
        <v>0.99594430707814097</v>
      </c>
      <c r="K1982">
        <v>0.56322605369823198</v>
      </c>
      <c r="L1982">
        <v>719.38879598564597</v>
      </c>
      <c r="M1982">
        <v>16.1990055050906</v>
      </c>
      <c r="O1982">
        <v>43.749211597912897</v>
      </c>
      <c r="P1982">
        <v>-2.5579965850842601E-2</v>
      </c>
      <c r="Q1982">
        <v>0.723681946733988</v>
      </c>
      <c r="R1982">
        <v>0.34107215275197</v>
      </c>
      <c r="S1982" t="s">
        <v>8628</v>
      </c>
      <c r="T1982" t="s">
        <v>13290</v>
      </c>
      <c r="U1982" t="s">
        <v>13290</v>
      </c>
      <c r="V1982" t="s">
        <v>13290</v>
      </c>
      <c r="W1982" t="s">
        <v>15240</v>
      </c>
      <c r="X1982">
        <v>31</v>
      </c>
      <c r="Y1982" t="s">
        <v>21804</v>
      </c>
      <c r="Z1982" t="s">
        <v>28312</v>
      </c>
      <c r="AA1982">
        <v>0.77237884045457295</v>
      </c>
      <c r="AB1982" t="str">
        <f>HYPERLINK("Melting_Curves/meltCurve_P05141_SLC25A5.pdf", "Melting_Curves/meltCurve_P05141_SLC25A5.pdf")</f>
        <v>Melting_Curves/meltCurve_P05141_SLC25A5.pdf</v>
      </c>
    </row>
    <row r="1983" spans="1:28" x14ac:dyDescent="0.25">
      <c r="A1983" t="s">
        <v>1987</v>
      </c>
      <c r="B1983">
        <v>0.99252571173614901</v>
      </c>
      <c r="C1983">
        <v>1.0114987512296301</v>
      </c>
      <c r="D1983">
        <v>0.71875447884905297</v>
      </c>
      <c r="E1983">
        <v>0.26702724117371801</v>
      </c>
      <c r="F1983">
        <v>0.111704237747937</v>
      </c>
      <c r="G1983">
        <v>6.1525352114176E-2</v>
      </c>
      <c r="H1983">
        <v>4.2970858495441203E-2</v>
      </c>
      <c r="I1983">
        <v>4.4362211292363202E-2</v>
      </c>
      <c r="J1983">
        <v>5.1148597895123403E-2</v>
      </c>
      <c r="K1983">
        <v>5.7940949966971397E-2</v>
      </c>
      <c r="L1983">
        <v>1395.6886407658801</v>
      </c>
      <c r="M1983">
        <v>29.393775000501499</v>
      </c>
      <c r="N1983">
        <v>47.665789240500203</v>
      </c>
      <c r="O1983">
        <v>47.264310577188098</v>
      </c>
      <c r="P1983">
        <v>-0.14716624182362201</v>
      </c>
      <c r="Q1983">
        <v>5.3451048673013403E-2</v>
      </c>
      <c r="R1983">
        <v>0.99763399064215796</v>
      </c>
      <c r="S1983" t="s">
        <v>8629</v>
      </c>
      <c r="T1983" t="s">
        <v>13290</v>
      </c>
      <c r="U1983" t="s">
        <v>13290</v>
      </c>
      <c r="V1983" t="s">
        <v>13290</v>
      </c>
      <c r="W1983" t="s">
        <v>15241</v>
      </c>
      <c r="X1983">
        <v>5</v>
      </c>
      <c r="Y1983" t="s">
        <v>21805</v>
      </c>
      <c r="Z1983" t="s">
        <v>28313</v>
      </c>
      <c r="AA1983">
        <v>0.2954643171426648</v>
      </c>
      <c r="AB1983" t="str">
        <f>HYPERLINK("Melting_Curves/meltCurve_P05161_ISG15.pdf", "Melting_Curves/meltCurve_P05161_ISG15.pdf")</f>
        <v>Melting_Curves/meltCurve_P05161_ISG15.pdf</v>
      </c>
    </row>
    <row r="1984" spans="1:28" x14ac:dyDescent="0.25">
      <c r="A1984" t="s">
        <v>1988</v>
      </c>
      <c r="B1984">
        <v>0.99252571173614901</v>
      </c>
      <c r="C1984">
        <v>0.91675721439448299</v>
      </c>
      <c r="D1984">
        <v>1.2338469564585399</v>
      </c>
      <c r="E1984">
        <v>1.39522064243887</v>
      </c>
      <c r="F1984">
        <v>1.1531851142010501</v>
      </c>
      <c r="G1984">
        <v>0.35386516214851998</v>
      </c>
      <c r="H1984">
        <v>0.19507164662069901</v>
      </c>
      <c r="I1984">
        <v>0.20749149586636101</v>
      </c>
      <c r="J1984">
        <v>0.25269457843776399</v>
      </c>
      <c r="K1984">
        <v>0.27557635304433697</v>
      </c>
      <c r="L1984">
        <v>14104.9213310791</v>
      </c>
      <c r="M1984">
        <v>250</v>
      </c>
      <c r="N1984">
        <v>56.561388985437198</v>
      </c>
      <c r="O1984">
        <v>56.4160750689107</v>
      </c>
      <c r="P1984">
        <v>-0.85003647566158302</v>
      </c>
      <c r="Q1984">
        <v>0.23270845807469501</v>
      </c>
      <c r="R1984">
        <v>0.88324421500067796</v>
      </c>
      <c r="S1984" t="s">
        <v>8630</v>
      </c>
      <c r="T1984" t="s">
        <v>13290</v>
      </c>
      <c r="U1984" t="s">
        <v>13290</v>
      </c>
      <c r="V1984" t="s">
        <v>13290</v>
      </c>
      <c r="W1984" t="s">
        <v>15242</v>
      </c>
      <c r="X1984">
        <v>21</v>
      </c>
      <c r="Y1984" t="s">
        <v>21806</v>
      </c>
      <c r="Z1984" t="s">
        <v>28314</v>
      </c>
      <c r="AA1984">
        <v>0.65274062097464447</v>
      </c>
      <c r="AB1984" t="str">
        <f>HYPERLINK("Melting_Curves/meltCurve_P05165_2_PCCA.pdf", "Melting_Curves/meltCurve_P05165_2_PCCA.pdf")</f>
        <v>Melting_Curves/meltCurve_P05165_2_PCCA.pdf</v>
      </c>
    </row>
    <row r="1985" spans="1:28" x14ac:dyDescent="0.25">
      <c r="A1985" t="s">
        <v>1989</v>
      </c>
      <c r="B1985">
        <v>0.99252571173614901</v>
      </c>
      <c r="C1985">
        <v>0.82494625420486101</v>
      </c>
      <c r="D1985">
        <v>1.0803559208495901</v>
      </c>
      <c r="E1985">
        <v>0.73032814839241</v>
      </c>
      <c r="F1985">
        <v>0.58764454660141296</v>
      </c>
      <c r="G1985">
        <v>0.24143522381682</v>
      </c>
      <c r="H1985">
        <v>7.8226442811231894E-2</v>
      </c>
      <c r="I1985">
        <v>7.1940655320222299E-2</v>
      </c>
      <c r="J1985">
        <v>7.7130813355381106E-2</v>
      </c>
      <c r="K1985">
        <v>7.4537308236209895E-2</v>
      </c>
      <c r="L1985">
        <v>1042.1772293167901</v>
      </c>
      <c r="M1985">
        <v>19.575931852053198</v>
      </c>
      <c r="N1985">
        <v>53.484224412053301</v>
      </c>
      <c r="O1985">
        <v>52.6914674680093</v>
      </c>
      <c r="P1985">
        <v>-8.8876014048583599E-2</v>
      </c>
      <c r="Q1985">
        <v>4.3143039476931301E-2</v>
      </c>
      <c r="R1985">
        <v>0.96268136491387202</v>
      </c>
      <c r="S1985" t="s">
        <v>8631</v>
      </c>
      <c r="T1985" t="s">
        <v>13290</v>
      </c>
      <c r="U1985" t="s">
        <v>13290</v>
      </c>
      <c r="V1985" t="s">
        <v>13290</v>
      </c>
      <c r="W1985" t="s">
        <v>15243</v>
      </c>
      <c r="X1985">
        <v>29</v>
      </c>
      <c r="Y1985" t="s">
        <v>21807</v>
      </c>
      <c r="Z1985" t="s">
        <v>28315</v>
      </c>
      <c r="AA1985">
        <v>0.47897322430219191</v>
      </c>
      <c r="AB1985" t="str">
        <f>HYPERLINK("Melting_Curves/meltCurve_P05198_EIF2S1.pdf", "Melting_Curves/meltCurve_P05198_EIF2S1.pdf")</f>
        <v>Melting_Curves/meltCurve_P05198_EIF2S1.pdf</v>
      </c>
    </row>
    <row r="1986" spans="1:28" x14ac:dyDescent="0.25">
      <c r="A1986" t="s">
        <v>1990</v>
      </c>
      <c r="B1986">
        <v>0.99252571173614901</v>
      </c>
      <c r="C1986">
        <v>1.2407433607654501</v>
      </c>
      <c r="D1986">
        <v>0.98766885953047701</v>
      </c>
      <c r="E1986">
        <v>1.0763380812344301</v>
      </c>
      <c r="F1986">
        <v>1.04165090901077</v>
      </c>
      <c r="G1986">
        <v>1.0487233386218799</v>
      </c>
      <c r="H1986">
        <v>1.2456323309169799</v>
      </c>
      <c r="I1986">
        <v>2.3833867307580001</v>
      </c>
      <c r="J1986">
        <v>4.0970467870402496</v>
      </c>
      <c r="K1986">
        <v>4.1952589035850796</v>
      </c>
      <c r="L1986">
        <v>15000</v>
      </c>
      <c r="M1986">
        <v>246.67571010664</v>
      </c>
      <c r="O1986">
        <v>60.804601562734</v>
      </c>
      <c r="P1986">
        <v>0.50710754830050897</v>
      </c>
      <c r="Q1986">
        <v>1.5</v>
      </c>
      <c r="R1986">
        <v>5.4965794986288098E-3</v>
      </c>
      <c r="S1986" t="s">
        <v>8632</v>
      </c>
      <c r="T1986" t="s">
        <v>13290</v>
      </c>
      <c r="U1986" t="s">
        <v>13290</v>
      </c>
      <c r="V1986" t="s">
        <v>13290</v>
      </c>
      <c r="W1986" t="s">
        <v>15244</v>
      </c>
      <c r="X1986">
        <v>7</v>
      </c>
      <c r="Y1986" t="s">
        <v>21808</v>
      </c>
      <c r="Z1986" t="s">
        <v>28316</v>
      </c>
      <c r="AA1986">
        <v>1.153135502577775</v>
      </c>
      <c r="AB1986" t="str">
        <f>HYPERLINK("Melting_Curves/meltCurve_P05204_HMGN2.pdf", "Melting_Curves/meltCurve_P05204_HMGN2.pdf")</f>
        <v>Melting_Curves/meltCurve_P05204_HMGN2.pdf</v>
      </c>
    </row>
    <row r="1987" spans="1:28" x14ac:dyDescent="0.25">
      <c r="A1987" t="s">
        <v>1991</v>
      </c>
      <c r="B1987">
        <v>0.99252571173614901</v>
      </c>
      <c r="C1987">
        <v>0.88636134308597003</v>
      </c>
      <c r="D1987">
        <v>0.90716339318342898</v>
      </c>
      <c r="E1987">
        <v>0.80839021539788003</v>
      </c>
      <c r="F1987">
        <v>0.76480794156505005</v>
      </c>
      <c r="G1987">
        <v>0.65487073879520097</v>
      </c>
      <c r="H1987">
        <v>0.49970086089379101</v>
      </c>
      <c r="I1987">
        <v>0.54175367723274703</v>
      </c>
      <c r="J1987">
        <v>0.72946751558734302</v>
      </c>
      <c r="K1987">
        <v>0.68121517320687897</v>
      </c>
      <c r="L1987">
        <v>669.89392163667901</v>
      </c>
      <c r="M1987">
        <v>13.588747645500099</v>
      </c>
      <c r="O1987">
        <v>48.266820321061203</v>
      </c>
      <c r="P1987">
        <v>-2.7593309746117602E-2</v>
      </c>
      <c r="Q1987">
        <v>0.60801587049888495</v>
      </c>
      <c r="R1987">
        <v>0.77910636770691799</v>
      </c>
      <c r="S1987" t="s">
        <v>8633</v>
      </c>
      <c r="T1987" t="s">
        <v>13290</v>
      </c>
      <c r="U1987" t="s">
        <v>13290</v>
      </c>
      <c r="V1987" t="s">
        <v>13290</v>
      </c>
      <c r="W1987" t="s">
        <v>15245</v>
      </c>
      <c r="X1987">
        <v>1</v>
      </c>
      <c r="Y1987" t="s">
        <v>21809</v>
      </c>
      <c r="Z1987" t="s">
        <v>28317</v>
      </c>
      <c r="AA1987">
        <v>0.74094356015064933</v>
      </c>
      <c r="AB1987" t="str">
        <f>HYPERLINK("Melting_Curves/meltCurve_P05362_ICAM1.pdf", "Melting_Curves/meltCurve_P05362_ICAM1.pdf")</f>
        <v>Melting_Curves/meltCurve_P05362_ICAM1.pdf</v>
      </c>
    </row>
    <row r="1988" spans="1:28" x14ac:dyDescent="0.25">
      <c r="A1988" t="s">
        <v>1992</v>
      </c>
      <c r="B1988">
        <v>0.99252571173614901</v>
      </c>
      <c r="C1988">
        <v>0.93809744074646295</v>
      </c>
      <c r="D1988">
        <v>0.76235363989066496</v>
      </c>
      <c r="E1988">
        <v>0.53364270123283697</v>
      </c>
      <c r="F1988">
        <v>0.51520876271365001</v>
      </c>
      <c r="G1988">
        <v>0.44982008669395301</v>
      </c>
      <c r="H1988">
        <v>0.57154387283349695</v>
      </c>
      <c r="I1988">
        <v>1.1223441185329199</v>
      </c>
      <c r="J1988">
        <v>1.67293671782981</v>
      </c>
      <c r="K1988">
        <v>1.5230752571380901</v>
      </c>
      <c r="L1988">
        <v>15000</v>
      </c>
      <c r="M1988">
        <v>233.24843799341701</v>
      </c>
      <c r="O1988">
        <v>64.304383846100293</v>
      </c>
      <c r="P1988">
        <v>0.45340694773508899</v>
      </c>
      <c r="Q1988">
        <v>1.5</v>
      </c>
      <c r="R1988">
        <v>0.37834133673252002</v>
      </c>
      <c r="S1988" t="s">
        <v>8634</v>
      </c>
      <c r="T1988" t="s">
        <v>13290</v>
      </c>
      <c r="U1988" t="s">
        <v>13290</v>
      </c>
      <c r="V1988" t="s">
        <v>13290</v>
      </c>
      <c r="W1988" t="s">
        <v>15246</v>
      </c>
      <c r="X1988">
        <v>2</v>
      </c>
      <c r="Y1988" t="s">
        <v>21810</v>
      </c>
      <c r="Z1988" t="s">
        <v>28318</v>
      </c>
      <c r="AA1988">
        <v>1.0947832983533179</v>
      </c>
      <c r="AB1988" t="str">
        <f>HYPERLINK("Melting_Curves/meltCurve_P05386_RPLP1.pdf", "Melting_Curves/meltCurve_P05386_RPLP1.pdf")</f>
        <v>Melting_Curves/meltCurve_P05386_RPLP1.pdf</v>
      </c>
    </row>
    <row r="1989" spans="1:28" x14ac:dyDescent="0.25">
      <c r="A1989" t="s">
        <v>1993</v>
      </c>
      <c r="B1989">
        <v>0.99252571173614901</v>
      </c>
      <c r="C1989">
        <v>0.99210294707124003</v>
      </c>
      <c r="D1989">
        <v>0.88083607431354505</v>
      </c>
      <c r="E1989">
        <v>0.68383343460172596</v>
      </c>
      <c r="F1989">
        <v>0.61593891676311896</v>
      </c>
      <c r="G1989">
        <v>0.57586645880037002</v>
      </c>
      <c r="H1989">
        <v>0.89463329097418898</v>
      </c>
      <c r="I1989">
        <v>2.0839998336679599</v>
      </c>
      <c r="J1989">
        <v>4.1825245221428702</v>
      </c>
      <c r="K1989">
        <v>4.7377984083407698</v>
      </c>
      <c r="L1989">
        <v>15000</v>
      </c>
      <c r="M1989">
        <v>241.391909762393</v>
      </c>
      <c r="O1989">
        <v>62.135348473832899</v>
      </c>
      <c r="P1989">
        <v>0.48561711672679297</v>
      </c>
      <c r="Q1989">
        <v>1.5</v>
      </c>
      <c r="R1989">
        <v>0.13341723279204101</v>
      </c>
      <c r="S1989" t="s">
        <v>8635</v>
      </c>
      <c r="T1989" t="s">
        <v>13290</v>
      </c>
      <c r="U1989" t="s">
        <v>13290</v>
      </c>
      <c r="V1989" t="s">
        <v>13290</v>
      </c>
      <c r="W1989" t="s">
        <v>15247</v>
      </c>
      <c r="X1989">
        <v>9</v>
      </c>
      <c r="Y1989" t="s">
        <v>21811</v>
      </c>
      <c r="Z1989" t="s">
        <v>28319</v>
      </c>
      <c r="AA1989">
        <v>1.130947953718767</v>
      </c>
      <c r="AB1989" t="str">
        <f>HYPERLINK("Melting_Curves/meltCurve_P05387_RPLP2.pdf", "Melting_Curves/meltCurve_P05387_RPLP2.pdf")</f>
        <v>Melting_Curves/meltCurve_P05387_RPLP2.pdf</v>
      </c>
    </row>
    <row r="1990" spans="1:28" x14ac:dyDescent="0.25">
      <c r="A1990" t="s">
        <v>1994</v>
      </c>
      <c r="B1990">
        <v>0.99252571173614901</v>
      </c>
      <c r="C1990">
        <v>0.94329539460340905</v>
      </c>
      <c r="D1990">
        <v>0.65024173818735498</v>
      </c>
      <c r="E1990">
        <v>0.34070891003912201</v>
      </c>
      <c r="F1990">
        <v>0.33957119422365101</v>
      </c>
      <c r="G1990">
        <v>0.19589983144907799</v>
      </c>
      <c r="H1990">
        <v>0.153718601107387</v>
      </c>
      <c r="I1990">
        <v>0.100423775919032</v>
      </c>
      <c r="J1990">
        <v>0.109244917732777</v>
      </c>
      <c r="K1990">
        <v>0.10671552123667601</v>
      </c>
      <c r="L1990">
        <v>828.66020720512199</v>
      </c>
      <c r="M1990">
        <v>17.466519289648001</v>
      </c>
      <c r="N1990">
        <v>48.2366973701766</v>
      </c>
      <c r="O1990">
        <v>46.833979874221697</v>
      </c>
      <c r="P1990">
        <v>-8.1593463835554297E-2</v>
      </c>
      <c r="Q1990">
        <v>0.124923306449503</v>
      </c>
      <c r="R1990">
        <v>0.97954944645568998</v>
      </c>
      <c r="S1990" t="s">
        <v>8636</v>
      </c>
      <c r="T1990" t="s">
        <v>13290</v>
      </c>
      <c r="U1990" t="s">
        <v>13290</v>
      </c>
      <c r="V1990" t="s">
        <v>13290</v>
      </c>
      <c r="W1990" t="s">
        <v>15248</v>
      </c>
      <c r="X1990">
        <v>12</v>
      </c>
      <c r="Y1990" t="s">
        <v>21812</v>
      </c>
      <c r="Z1990" t="s">
        <v>28320</v>
      </c>
      <c r="AA1990">
        <v>0.35890300240222073</v>
      </c>
      <c r="AB1990" t="str">
        <f>HYPERLINK("Melting_Curves/meltCurve_P05388_RPLP0.pdf", "Melting_Curves/meltCurve_P05388_RPLP0.pdf")</f>
        <v>Melting_Curves/meltCurve_P05388_RPLP0.pdf</v>
      </c>
    </row>
    <row r="1991" spans="1:28" x14ac:dyDescent="0.25">
      <c r="A1991" t="s">
        <v>1995</v>
      </c>
      <c r="B1991">
        <v>0.99252571173614901</v>
      </c>
      <c r="C1991">
        <v>0.95936729655606301</v>
      </c>
      <c r="D1991">
        <v>0.79693703925996195</v>
      </c>
      <c r="E1991">
        <v>0.65781111764670397</v>
      </c>
      <c r="F1991">
        <v>0.56582189364637703</v>
      </c>
      <c r="G1991">
        <v>0.36782336430692503</v>
      </c>
      <c r="H1991">
        <v>0.33146748656291197</v>
      </c>
      <c r="I1991">
        <v>0.45760017904981598</v>
      </c>
      <c r="J1991">
        <v>0.88816409779589001</v>
      </c>
      <c r="K1991">
        <v>1.61386336429967</v>
      </c>
      <c r="L1991">
        <v>2018.56360670358</v>
      </c>
      <c r="M1991">
        <v>44.7490222785326</v>
      </c>
      <c r="O1991">
        <v>45.0187455951583</v>
      </c>
      <c r="P1991">
        <v>-7.5130379234350897E-2</v>
      </c>
      <c r="Q1991">
        <v>0.69766750048371695</v>
      </c>
      <c r="R1991">
        <v>9.2254787523768297E-2</v>
      </c>
      <c r="S1991" t="s">
        <v>8637</v>
      </c>
      <c r="T1991" t="s">
        <v>13290</v>
      </c>
      <c r="U1991" t="s">
        <v>13290</v>
      </c>
      <c r="V1991" t="s">
        <v>13290</v>
      </c>
      <c r="W1991" t="s">
        <v>15249</v>
      </c>
      <c r="X1991">
        <v>3</v>
      </c>
      <c r="Y1991" t="s">
        <v>21813</v>
      </c>
      <c r="Z1991" t="s">
        <v>28321</v>
      </c>
      <c r="AA1991">
        <v>0.74992759559952382</v>
      </c>
      <c r="AB1991" t="str">
        <f>HYPERLINK("Melting_Curves/meltCurve_P05412_JUN.pdf", "Melting_Curves/meltCurve_P05412_JUN.pdf")</f>
        <v>Melting_Curves/meltCurve_P05412_JUN.pdf</v>
      </c>
    </row>
    <row r="1992" spans="1:28" x14ac:dyDescent="0.25">
      <c r="A1992" t="s">
        <v>1996</v>
      </c>
      <c r="B1992">
        <v>0.99252571173614901</v>
      </c>
      <c r="C1992">
        <v>0.97025511463880199</v>
      </c>
      <c r="D1992">
        <v>0.66094718305211198</v>
      </c>
      <c r="E1992">
        <v>0.69160338142197297</v>
      </c>
      <c r="F1992">
        <v>0.21455304459036301</v>
      </c>
      <c r="G1992">
        <v>0.115282024578924</v>
      </c>
      <c r="H1992">
        <v>7.5364906670449802E-2</v>
      </c>
      <c r="I1992">
        <v>7.4794594990385099E-2</v>
      </c>
      <c r="J1992">
        <v>7.7379917673192605E-2</v>
      </c>
      <c r="K1992">
        <v>7.8510353494066695E-2</v>
      </c>
      <c r="L1992">
        <v>815.02970929917501</v>
      </c>
      <c r="M1992">
        <v>16.376038971274699</v>
      </c>
      <c r="N1992">
        <v>50.044257922960703</v>
      </c>
      <c r="O1992">
        <v>49.045243477936097</v>
      </c>
      <c r="P1992">
        <v>-7.9892920683165697E-2</v>
      </c>
      <c r="Q1992">
        <v>4.2970705926390101E-2</v>
      </c>
      <c r="R1992">
        <v>0.96013591618041305</v>
      </c>
      <c r="S1992" t="s">
        <v>8638</v>
      </c>
      <c r="T1992" t="s">
        <v>13290</v>
      </c>
      <c r="U1992" t="s">
        <v>13290</v>
      </c>
      <c r="V1992" t="s">
        <v>13290</v>
      </c>
      <c r="W1992" t="s">
        <v>15250</v>
      </c>
      <c r="X1992">
        <v>31</v>
      </c>
      <c r="Y1992" t="s">
        <v>21814</v>
      </c>
      <c r="Z1992" t="s">
        <v>28322</v>
      </c>
      <c r="AA1992">
        <v>0.37421232294766399</v>
      </c>
      <c r="AB1992" t="str">
        <f>HYPERLINK("Melting_Curves/meltCurve_P05455_SSB.pdf", "Melting_Curves/meltCurve_P05455_SSB.pdf")</f>
        <v>Melting_Curves/meltCurve_P05455_SSB.pdf</v>
      </c>
    </row>
    <row r="1993" spans="1:28" x14ac:dyDescent="0.25">
      <c r="A1993" t="s">
        <v>1997</v>
      </c>
      <c r="B1993">
        <v>0.99252571173614901</v>
      </c>
      <c r="C1993">
        <v>0.92496451021418302</v>
      </c>
      <c r="D1993">
        <v>0.90711805602785001</v>
      </c>
      <c r="E1993">
        <v>0.91504474595748198</v>
      </c>
      <c r="F1993">
        <v>0.54505733790789401</v>
      </c>
      <c r="G1993">
        <v>0.38018971436572302</v>
      </c>
      <c r="H1993">
        <v>0.348515816025806</v>
      </c>
      <c r="I1993">
        <v>0.52105607365199402</v>
      </c>
      <c r="J1993">
        <v>0.87638454405316002</v>
      </c>
      <c r="K1993">
        <v>0.71908227535326497</v>
      </c>
      <c r="L1993">
        <v>12470.223678099999</v>
      </c>
      <c r="M1993">
        <v>250</v>
      </c>
      <c r="O1993">
        <v>49.877703336108397</v>
      </c>
      <c r="P1993">
        <v>-0.54502357934522905</v>
      </c>
      <c r="Q1993">
        <v>0.56504761592406205</v>
      </c>
      <c r="R1993">
        <v>0.59333112952551104</v>
      </c>
      <c r="S1993" t="s">
        <v>8639</v>
      </c>
      <c r="T1993" t="s">
        <v>13290</v>
      </c>
      <c r="U1993" t="s">
        <v>13290</v>
      </c>
      <c r="V1993" t="s">
        <v>13290</v>
      </c>
      <c r="W1993" t="s">
        <v>15251</v>
      </c>
      <c r="X1993">
        <v>33</v>
      </c>
      <c r="Y1993" t="s">
        <v>21815</v>
      </c>
      <c r="Z1993" t="s">
        <v>28323</v>
      </c>
      <c r="AA1993">
        <v>0.70834298213882585</v>
      </c>
      <c r="AB1993" t="str">
        <f>HYPERLINK("Melting_Curves/meltCurve_P05556_ITGB1.pdf", "Melting_Curves/meltCurve_P05556_ITGB1.pdf")</f>
        <v>Melting_Curves/meltCurve_P05556_ITGB1.pdf</v>
      </c>
    </row>
    <row r="1994" spans="1:28" x14ac:dyDescent="0.25">
      <c r="A1994" t="s">
        <v>1998</v>
      </c>
      <c r="B1994">
        <v>0.99252571173614901</v>
      </c>
      <c r="C1994">
        <v>0.89716469960302603</v>
      </c>
      <c r="D1994">
        <v>0.931922307651883</v>
      </c>
      <c r="E1994">
        <v>0.798625995376125</v>
      </c>
      <c r="F1994">
        <v>0.200358208174828</v>
      </c>
      <c r="G1994">
        <v>0.133063326637924</v>
      </c>
      <c r="H1994">
        <v>0.10294894151746301</v>
      </c>
      <c r="I1994">
        <v>0.117212217042552</v>
      </c>
      <c r="J1994">
        <v>0.18010678053408799</v>
      </c>
      <c r="K1994">
        <v>0.28142098807231403</v>
      </c>
      <c r="L1994">
        <v>3011.65800965792</v>
      </c>
      <c r="M1994">
        <v>59.580920050318099</v>
      </c>
      <c r="N1994">
        <v>50.8823832187501</v>
      </c>
      <c r="O1994">
        <v>50.4905100649747</v>
      </c>
      <c r="P1994">
        <v>-0.247145146840556</v>
      </c>
      <c r="Q1994">
        <v>0.16225003487802001</v>
      </c>
      <c r="R1994">
        <v>0.97319670591774199</v>
      </c>
      <c r="S1994" t="s">
        <v>8640</v>
      </c>
      <c r="T1994" t="s">
        <v>13290</v>
      </c>
      <c r="U1994" t="s">
        <v>13290</v>
      </c>
      <c r="V1994" t="s">
        <v>13290</v>
      </c>
      <c r="W1994" t="s">
        <v>15252</v>
      </c>
      <c r="X1994">
        <v>43</v>
      </c>
      <c r="Y1994" t="s">
        <v>21816</v>
      </c>
      <c r="Z1994" t="s">
        <v>28324</v>
      </c>
      <c r="AA1994">
        <v>0.45809823521601112</v>
      </c>
      <c r="AB1994" t="str">
        <f>HYPERLINK("Melting_Curves/meltCurve_P05783_KRT18.pdf", "Melting_Curves/meltCurve_P05783_KRT18.pdf")</f>
        <v>Melting_Curves/meltCurve_P05783_KRT18.pdf</v>
      </c>
    </row>
    <row r="1995" spans="1:28" x14ac:dyDescent="0.25">
      <c r="A1995" t="s">
        <v>1999</v>
      </c>
      <c r="B1995">
        <v>0.99252571173614901</v>
      </c>
      <c r="C1995">
        <v>0.93885835278456498</v>
      </c>
      <c r="D1995">
        <v>0.79691151130759896</v>
      </c>
      <c r="E1995">
        <v>0.80160104996274295</v>
      </c>
      <c r="F1995">
        <v>0.44418044957624803</v>
      </c>
      <c r="G1995">
        <v>0.57979292419790096</v>
      </c>
      <c r="H1995">
        <v>0.57309743081928699</v>
      </c>
      <c r="I1995">
        <v>0.64660148254086802</v>
      </c>
      <c r="J1995">
        <v>0.90670997025611699</v>
      </c>
      <c r="K1995">
        <v>1.0100870519662499</v>
      </c>
      <c r="L1995">
        <v>1378.17939985057</v>
      </c>
      <c r="M1995">
        <v>30.695286485266799</v>
      </c>
      <c r="O1995">
        <v>44.709454216610297</v>
      </c>
      <c r="P1995">
        <v>-5.05485145065259E-2</v>
      </c>
      <c r="Q1995">
        <v>0.70549443690857705</v>
      </c>
      <c r="R1995">
        <v>0.30098363121607102</v>
      </c>
      <c r="S1995" t="s">
        <v>8641</v>
      </c>
      <c r="T1995" t="s">
        <v>13290</v>
      </c>
      <c r="U1995" t="s">
        <v>13290</v>
      </c>
      <c r="V1995" t="s">
        <v>13290</v>
      </c>
      <c r="W1995" t="s">
        <v>15253</v>
      </c>
      <c r="X1995">
        <v>1</v>
      </c>
      <c r="Y1995" t="s">
        <v>21817</v>
      </c>
      <c r="Z1995" t="s">
        <v>28325</v>
      </c>
      <c r="AA1995">
        <v>0.75539468249967323</v>
      </c>
      <c r="AB1995" t="str">
        <f>HYPERLINK("Melting_Curves/meltCurve_P05976_2_MYL1.pdf", "Melting_Curves/meltCurve_P05976_2_MYL1.pdf")</f>
        <v>Melting_Curves/meltCurve_P05976_2_MYL1.pdf</v>
      </c>
    </row>
    <row r="1996" spans="1:28" x14ac:dyDescent="0.25">
      <c r="A1996" t="s">
        <v>2000</v>
      </c>
      <c r="B1996">
        <v>0.99252571173614901</v>
      </c>
      <c r="C1996">
        <v>1.03027571750932</v>
      </c>
      <c r="D1996">
        <v>0.97172367669633597</v>
      </c>
      <c r="E1996">
        <v>0.87495441647008498</v>
      </c>
      <c r="F1996">
        <v>0.79936480417173195</v>
      </c>
      <c r="G1996">
        <v>0.713958306155421</v>
      </c>
      <c r="H1996">
        <v>0.59990195606622099</v>
      </c>
      <c r="I1996">
        <v>0.51609109566087497</v>
      </c>
      <c r="J1996">
        <v>0.27865736161409199</v>
      </c>
      <c r="K1996">
        <v>0.204814186915562</v>
      </c>
      <c r="L1996">
        <v>604.448861713214</v>
      </c>
      <c r="M1996">
        <v>9.7077474845068608</v>
      </c>
      <c r="N1996">
        <v>62.264560630421201</v>
      </c>
      <c r="O1996">
        <v>59.794721521859401</v>
      </c>
      <c r="P1996">
        <v>-4.0609919579032303E-2</v>
      </c>
      <c r="Q1996">
        <v>0</v>
      </c>
      <c r="R1996">
        <v>0.97491729973921404</v>
      </c>
      <c r="S1996" t="s">
        <v>8642</v>
      </c>
      <c r="T1996" t="s">
        <v>13290</v>
      </c>
      <c r="U1996" t="s">
        <v>13290</v>
      </c>
      <c r="V1996" t="s">
        <v>13290</v>
      </c>
      <c r="W1996" t="s">
        <v>15254</v>
      </c>
      <c r="X1996">
        <v>16</v>
      </c>
      <c r="Y1996" t="s">
        <v>21818</v>
      </c>
      <c r="Z1996" t="s">
        <v>28326</v>
      </c>
      <c r="AA1996">
        <v>0.71646216759409254</v>
      </c>
      <c r="AB1996" t="str">
        <f>HYPERLINK("Melting_Curves/meltCurve_P06132_UROD.pdf", "Melting_Curves/meltCurve_P06132_UROD.pdf")</f>
        <v>Melting_Curves/meltCurve_P06132_UROD.pdf</v>
      </c>
    </row>
    <row r="1997" spans="1:28" x14ac:dyDescent="0.25">
      <c r="A1997" t="s">
        <v>2001</v>
      </c>
      <c r="B1997">
        <v>0.99252571173614901</v>
      </c>
      <c r="C1997">
        <v>0.98810036628310804</v>
      </c>
      <c r="D1997">
        <v>1.04734032322561</v>
      </c>
      <c r="E1997">
        <v>1.0014581030396801</v>
      </c>
      <c r="F1997">
        <v>0.53806816604396601</v>
      </c>
      <c r="G1997">
        <v>0.34940823165168999</v>
      </c>
      <c r="H1997">
        <v>0.25741616369996501</v>
      </c>
      <c r="I1997">
        <v>0.16314694313973399</v>
      </c>
      <c r="J1997">
        <v>0.22537254846177199</v>
      </c>
      <c r="K1997">
        <v>0.16918262554869801</v>
      </c>
      <c r="L1997">
        <v>1898.4332982768799</v>
      </c>
      <c r="M1997">
        <v>35.8186225112172</v>
      </c>
      <c r="N1997">
        <v>53.835965590056503</v>
      </c>
      <c r="O1997">
        <v>52.836901293700301</v>
      </c>
      <c r="P1997">
        <v>-0.133369104815863</v>
      </c>
      <c r="Q1997">
        <v>0.21305878847621601</v>
      </c>
      <c r="R1997">
        <v>0.98554914209727795</v>
      </c>
      <c r="S1997" t="s">
        <v>8643</v>
      </c>
      <c r="T1997" t="s">
        <v>13290</v>
      </c>
      <c r="U1997" t="s">
        <v>13290</v>
      </c>
      <c r="V1997" t="s">
        <v>13290</v>
      </c>
      <c r="W1997" t="s">
        <v>15255</v>
      </c>
      <c r="X1997">
        <v>10</v>
      </c>
      <c r="Y1997" t="s">
        <v>21819</v>
      </c>
      <c r="Z1997" t="s">
        <v>28327</v>
      </c>
      <c r="AA1997">
        <v>0.55769294893659482</v>
      </c>
      <c r="AB1997" t="str">
        <f>HYPERLINK("Melting_Curves/meltCurve_P06276_BCHE.pdf", "Melting_Curves/meltCurve_P06276_BCHE.pdf")</f>
        <v>Melting_Curves/meltCurve_P06276_BCHE.pdf</v>
      </c>
    </row>
    <row r="1998" spans="1:28" x14ac:dyDescent="0.25">
      <c r="A1998" t="s">
        <v>2002</v>
      </c>
      <c r="B1998">
        <v>0.99252571173614901</v>
      </c>
      <c r="C1998">
        <v>0.96901947228074903</v>
      </c>
      <c r="D1998">
        <v>1.00790931231616</v>
      </c>
      <c r="E1998">
        <v>0.90175818642900596</v>
      </c>
      <c r="F1998">
        <v>0.80917830236661403</v>
      </c>
      <c r="G1998">
        <v>0.64657171879724495</v>
      </c>
      <c r="H1998">
        <v>0.42512513953018599</v>
      </c>
      <c r="I1998">
        <v>0.145950177626782</v>
      </c>
      <c r="J1998">
        <v>0.15526707849989899</v>
      </c>
      <c r="K1998">
        <v>0.12564273590354699</v>
      </c>
      <c r="L1998">
        <v>878.67083140466798</v>
      </c>
      <c r="M1998">
        <v>14.9905953703029</v>
      </c>
      <c r="N1998">
        <v>58.750824999717302</v>
      </c>
      <c r="O1998">
        <v>57.601390772512801</v>
      </c>
      <c r="P1998">
        <v>-6.39586053580639E-2</v>
      </c>
      <c r="Q1998">
        <v>1.7055340115497999E-2</v>
      </c>
      <c r="R1998">
        <v>0.98852875812790397</v>
      </c>
      <c r="S1998" t="s">
        <v>8644</v>
      </c>
      <c r="T1998" t="s">
        <v>13290</v>
      </c>
      <c r="U1998" t="s">
        <v>13290</v>
      </c>
      <c r="V1998" t="s">
        <v>13290</v>
      </c>
      <c r="W1998" t="s">
        <v>15256</v>
      </c>
      <c r="X1998">
        <v>8</v>
      </c>
      <c r="Y1998" t="s">
        <v>21820</v>
      </c>
      <c r="Z1998" t="s">
        <v>28328</v>
      </c>
      <c r="AA1998">
        <v>0.63845717095168497</v>
      </c>
      <c r="AB1998" t="str">
        <f>HYPERLINK("Melting_Curves/meltCurve_P06280_GLA.pdf", "Melting_Curves/meltCurve_P06280_GLA.pdf")</f>
        <v>Melting_Curves/meltCurve_P06280_GLA.pdf</v>
      </c>
    </row>
    <row r="1999" spans="1:28" x14ac:dyDescent="0.25">
      <c r="A1999" t="s">
        <v>2003</v>
      </c>
      <c r="B1999">
        <v>0.99252571173614901</v>
      </c>
      <c r="C1999">
        <v>1.0006016232046699</v>
      </c>
      <c r="D1999">
        <v>0.95648921991050395</v>
      </c>
      <c r="E1999">
        <v>1.0574167823840299</v>
      </c>
      <c r="F1999">
        <v>0.59738589691305499</v>
      </c>
      <c r="G1999">
        <v>0.169154194785988</v>
      </c>
      <c r="H1999">
        <v>7.7866249179146294E-2</v>
      </c>
      <c r="I1999">
        <v>7.0017578558825497E-2</v>
      </c>
      <c r="J1999">
        <v>7.1109979555811997E-2</v>
      </c>
      <c r="K1999">
        <v>6.8909255839199199E-2</v>
      </c>
      <c r="L1999">
        <v>2527.7008531179799</v>
      </c>
      <c r="M1999">
        <v>47.191417160872597</v>
      </c>
      <c r="N1999">
        <v>53.754801431591403</v>
      </c>
      <c r="O1999">
        <v>53.466796250147397</v>
      </c>
      <c r="P1999">
        <v>-0.203537566635422</v>
      </c>
      <c r="Q1999">
        <v>7.7587185021743305E-2</v>
      </c>
      <c r="R1999">
        <v>0.99488717710844599</v>
      </c>
      <c r="S1999" t="s">
        <v>8645</v>
      </c>
      <c r="T1999" t="s">
        <v>13290</v>
      </c>
      <c r="U1999" t="s">
        <v>13290</v>
      </c>
      <c r="V1999" t="s">
        <v>13290</v>
      </c>
      <c r="W1999" t="s">
        <v>15257</v>
      </c>
      <c r="X1999">
        <v>45</v>
      </c>
      <c r="Y1999" t="s">
        <v>21821</v>
      </c>
      <c r="Z1999" t="s">
        <v>28329</v>
      </c>
      <c r="AA1999">
        <v>0.4970487450652582</v>
      </c>
      <c r="AB1999" t="str">
        <f>HYPERLINK("Melting_Curves/meltCurve_P06396_2_GSN.pdf", "Melting_Curves/meltCurve_P06396_2_GSN.pdf")</f>
        <v>Melting_Curves/meltCurve_P06396_2_GSN.pdf</v>
      </c>
    </row>
    <row r="2000" spans="1:28" x14ac:dyDescent="0.25">
      <c r="A2000" t="s">
        <v>2004</v>
      </c>
      <c r="B2000">
        <v>0.99252571173614901</v>
      </c>
      <c r="C2000">
        <v>1.0203342366596799</v>
      </c>
      <c r="D2000">
        <v>0.90545643809306697</v>
      </c>
      <c r="E2000">
        <v>0.729453954924004</v>
      </c>
      <c r="F2000">
        <v>0.38281977288691599</v>
      </c>
      <c r="G2000">
        <v>0.15074257845514699</v>
      </c>
      <c r="H2000">
        <v>9.9348702030546507E-2</v>
      </c>
      <c r="I2000">
        <v>0.106155336105637</v>
      </c>
      <c r="J2000">
        <v>0.124024729464602</v>
      </c>
      <c r="K2000">
        <v>0.110160053397834</v>
      </c>
      <c r="L2000">
        <v>1219.52980751017</v>
      </c>
      <c r="M2000">
        <v>23.775693683896598</v>
      </c>
      <c r="N2000">
        <v>51.766054259656201</v>
      </c>
      <c r="O2000">
        <v>50.934400716633398</v>
      </c>
      <c r="P2000">
        <v>-0.105307440410288</v>
      </c>
      <c r="Q2000">
        <v>9.7619036947352605E-2</v>
      </c>
      <c r="R2000">
        <v>0.99685507313397204</v>
      </c>
      <c r="S2000" t="s">
        <v>8646</v>
      </c>
      <c r="T2000" t="s">
        <v>13290</v>
      </c>
      <c r="U2000" t="s">
        <v>13290</v>
      </c>
      <c r="V2000" t="s">
        <v>13290</v>
      </c>
      <c r="W2000" t="s">
        <v>15258</v>
      </c>
      <c r="X2000">
        <v>20</v>
      </c>
      <c r="Y2000" t="s">
        <v>21822</v>
      </c>
      <c r="Z2000" t="s">
        <v>28330</v>
      </c>
      <c r="AA2000">
        <v>0.44632689661201741</v>
      </c>
      <c r="AB2000" t="str">
        <f>HYPERLINK("Melting_Curves/meltCurve_P06400_RB1.pdf", "Melting_Curves/meltCurve_P06400_RB1.pdf")</f>
        <v>Melting_Curves/meltCurve_P06400_RB1.pdf</v>
      </c>
    </row>
    <row r="2001" spans="1:28" x14ac:dyDescent="0.25">
      <c r="A2001" t="s">
        <v>2005</v>
      </c>
      <c r="B2001">
        <v>0.99252571173614901</v>
      </c>
      <c r="C2001">
        <v>0.93736164198418004</v>
      </c>
      <c r="D2001">
        <v>0.69988915463161006</v>
      </c>
      <c r="E2001">
        <v>0.45266712502689999</v>
      </c>
      <c r="F2001">
        <v>0.30195105785433302</v>
      </c>
      <c r="G2001">
        <v>0.19978967753367699</v>
      </c>
      <c r="H2001">
        <v>0.110969798816378</v>
      </c>
      <c r="I2001">
        <v>7.6894693682763901E-2</v>
      </c>
      <c r="J2001">
        <v>7.5446582641506305E-2</v>
      </c>
      <c r="K2001">
        <v>6.8628632106696494E-2</v>
      </c>
      <c r="L2001">
        <v>719.47757885806004</v>
      </c>
      <c r="M2001">
        <v>14.7417162322234</v>
      </c>
      <c r="N2001">
        <v>49.269352992077998</v>
      </c>
      <c r="O2001">
        <v>47.933822801091097</v>
      </c>
      <c r="P2001">
        <v>-7.1912310823180503E-2</v>
      </c>
      <c r="Q2001">
        <v>6.4787072167306003E-2</v>
      </c>
      <c r="R2001">
        <v>0.99477825401971998</v>
      </c>
      <c r="S2001" t="s">
        <v>8647</v>
      </c>
      <c r="T2001" t="s">
        <v>13290</v>
      </c>
      <c r="U2001" t="s">
        <v>13290</v>
      </c>
      <c r="V2001" t="s">
        <v>13290</v>
      </c>
      <c r="W2001" t="s">
        <v>15259</v>
      </c>
      <c r="X2001">
        <v>17</v>
      </c>
      <c r="Y2001" t="s">
        <v>21823</v>
      </c>
      <c r="Z2001" t="s">
        <v>28331</v>
      </c>
      <c r="AA2001">
        <v>0.36331977710962921</v>
      </c>
      <c r="AB2001" t="str">
        <f>HYPERLINK("Melting_Curves/meltCurve_P06493_CDK1.pdf", "Melting_Curves/meltCurve_P06493_CDK1.pdf")</f>
        <v>Melting_Curves/meltCurve_P06493_CDK1.pdf</v>
      </c>
    </row>
    <row r="2002" spans="1:28" x14ac:dyDescent="0.25">
      <c r="A2002" t="s">
        <v>2006</v>
      </c>
      <c r="B2002">
        <v>0.99252571173614901</v>
      </c>
      <c r="C2002">
        <v>0.93671635185046498</v>
      </c>
      <c r="D2002">
        <v>0.99743198557506196</v>
      </c>
      <c r="E2002">
        <v>0.94969888067709396</v>
      </c>
      <c r="F2002">
        <v>0.89253964036761602</v>
      </c>
      <c r="G2002">
        <v>0.72324178315890497</v>
      </c>
      <c r="H2002">
        <v>0.80908834333562496</v>
      </c>
      <c r="I2002">
        <v>0.84763609086761105</v>
      </c>
      <c r="J2002">
        <v>0.17814188429883099</v>
      </c>
      <c r="K2002">
        <v>0.16541600098866199</v>
      </c>
      <c r="L2002">
        <v>6915.77867969614</v>
      </c>
      <c r="M2002">
        <v>106.56793379208899</v>
      </c>
      <c r="N2002">
        <v>65.130314807009597</v>
      </c>
      <c r="O2002">
        <v>64.872651389175104</v>
      </c>
      <c r="P2002">
        <v>-0.345176608877798</v>
      </c>
      <c r="Q2002">
        <v>0.159502502371277</v>
      </c>
      <c r="R2002">
        <v>0.85403891565331902</v>
      </c>
      <c r="S2002" t="s">
        <v>8648</v>
      </c>
      <c r="T2002" t="s">
        <v>13290</v>
      </c>
      <c r="U2002" t="s">
        <v>13290</v>
      </c>
      <c r="V2002" t="s">
        <v>13290</v>
      </c>
      <c r="W2002" t="s">
        <v>15260</v>
      </c>
      <c r="X2002">
        <v>31</v>
      </c>
      <c r="Y2002" t="s">
        <v>21824</v>
      </c>
      <c r="Z2002" t="s">
        <v>28332</v>
      </c>
      <c r="AA2002">
        <v>0.857507962862324</v>
      </c>
      <c r="AB2002" t="str">
        <f>HYPERLINK("Melting_Curves/meltCurve_P06576_ATP5B.pdf", "Melting_Curves/meltCurve_P06576_ATP5B.pdf")</f>
        <v>Melting_Curves/meltCurve_P06576_ATP5B.pdf</v>
      </c>
    </row>
    <row r="2003" spans="1:28" x14ac:dyDescent="0.25">
      <c r="A2003" t="s">
        <v>2007</v>
      </c>
      <c r="B2003">
        <v>0.99252571173614901</v>
      </c>
      <c r="C2003">
        <v>1.0078696436922201</v>
      </c>
      <c r="D2003">
        <v>1.0122417413851701</v>
      </c>
      <c r="E2003">
        <v>0.92971056752936099</v>
      </c>
      <c r="F2003">
        <v>1.0100446261781699</v>
      </c>
      <c r="G2003">
        <v>0.87679747640685501</v>
      </c>
      <c r="H2003">
        <v>0.79546284568150205</v>
      </c>
      <c r="I2003">
        <v>0.887740002418134</v>
      </c>
      <c r="J2003">
        <v>0.287677006313101</v>
      </c>
      <c r="K2003">
        <v>0.13764144045077101</v>
      </c>
      <c r="L2003">
        <v>4353.6463453609304</v>
      </c>
      <c r="M2003">
        <v>66.262900234166295</v>
      </c>
      <c r="N2003">
        <v>65.970850898059098</v>
      </c>
      <c r="O2003">
        <v>65.642872087072305</v>
      </c>
      <c r="P2003">
        <v>-0.22255957585294001</v>
      </c>
      <c r="Q2003">
        <v>0.118092166615119</v>
      </c>
      <c r="R2003">
        <v>0.93229151000833999</v>
      </c>
      <c r="S2003" t="s">
        <v>8649</v>
      </c>
      <c r="T2003" t="s">
        <v>13290</v>
      </c>
      <c r="U2003" t="s">
        <v>13290</v>
      </c>
      <c r="V2003" t="s">
        <v>13290</v>
      </c>
      <c r="W2003" t="s">
        <v>15261</v>
      </c>
      <c r="X2003">
        <v>63</v>
      </c>
      <c r="Y2003" t="s">
        <v>21825</v>
      </c>
      <c r="Z2003" t="s">
        <v>28333</v>
      </c>
      <c r="AA2003">
        <v>0.87454162258769286</v>
      </c>
      <c r="AB2003" t="str">
        <f>HYPERLINK("Melting_Curves/meltCurve_P06733_ENO1.pdf", "Melting_Curves/meltCurve_P06733_ENO1.pdf")</f>
        <v>Melting_Curves/meltCurve_P06733_ENO1.pdf</v>
      </c>
    </row>
    <row r="2004" spans="1:28" x14ac:dyDescent="0.25">
      <c r="A2004" t="s">
        <v>2008</v>
      </c>
      <c r="B2004">
        <v>0.99252571173614901</v>
      </c>
      <c r="C2004">
        <v>1.13819878032778</v>
      </c>
      <c r="D2004">
        <v>1.0446831020202401</v>
      </c>
      <c r="E2004">
        <v>2.3566673312817201</v>
      </c>
      <c r="F2004">
        <v>0.94041801014382298</v>
      </c>
      <c r="G2004">
        <v>0.93010986675278395</v>
      </c>
      <c r="H2004">
        <v>1.22126126511655</v>
      </c>
      <c r="I2004">
        <v>2.7647348931155098</v>
      </c>
      <c r="J2004">
        <v>0.94218065361102799</v>
      </c>
      <c r="K2004">
        <v>0.84751231345676004</v>
      </c>
      <c r="L2004">
        <v>11598.983104241601</v>
      </c>
      <c r="M2004">
        <v>250</v>
      </c>
      <c r="O2004">
        <v>46.392964317747698</v>
      </c>
      <c r="P2004">
        <v>0.57792096067188303</v>
      </c>
      <c r="Q2004">
        <v>1.42898345498609</v>
      </c>
      <c r="R2004">
        <v>6.9146364441944802E-2</v>
      </c>
      <c r="S2004" t="s">
        <v>8650</v>
      </c>
      <c r="T2004" t="s">
        <v>13290</v>
      </c>
      <c r="U2004" t="s">
        <v>13290</v>
      </c>
      <c r="V2004" t="s">
        <v>13290</v>
      </c>
      <c r="W2004" t="s">
        <v>15262</v>
      </c>
      <c r="X2004">
        <v>43</v>
      </c>
      <c r="Y2004" t="s">
        <v>21825</v>
      </c>
      <c r="Z2004" t="s">
        <v>28334</v>
      </c>
      <c r="AA2004">
        <v>1.337490219174563</v>
      </c>
      <c r="AB2004" t="str">
        <f>HYPERLINK("Melting_Curves/meltCurve_P06733_2_ENO1.pdf", "Melting_Curves/meltCurve_P06733_2_ENO1.pdf")</f>
        <v>Melting_Curves/meltCurve_P06733_2_ENO1.pdf</v>
      </c>
    </row>
    <row r="2005" spans="1:28" x14ac:dyDescent="0.25">
      <c r="A2005" t="s">
        <v>2009</v>
      </c>
      <c r="B2005">
        <v>0.99252571173614901</v>
      </c>
      <c r="C2005">
        <v>0.82658584932830004</v>
      </c>
      <c r="D2005">
        <v>1.09610623104509</v>
      </c>
      <c r="E2005">
        <v>1.0097356410818901</v>
      </c>
      <c r="F2005">
        <v>0.37929598622225702</v>
      </c>
      <c r="G2005">
        <v>0.37207282888891302</v>
      </c>
      <c r="H2005">
        <v>0.173112696959631</v>
      </c>
      <c r="I2005">
        <v>8.2270407642218199E-2</v>
      </c>
      <c r="J2005">
        <v>7.6044868562838902E-2</v>
      </c>
      <c r="K2005">
        <v>6.3989462998431196E-2</v>
      </c>
      <c r="S2005" t="s">
        <v>8651</v>
      </c>
      <c r="T2005" t="s">
        <v>13290</v>
      </c>
      <c r="U2005" t="s">
        <v>13291</v>
      </c>
      <c r="V2005" t="s">
        <v>13290</v>
      </c>
      <c r="W2005" t="s">
        <v>15263</v>
      </c>
      <c r="X2005">
        <v>57</v>
      </c>
      <c r="Y2005" t="s">
        <v>21826</v>
      </c>
      <c r="Z2005" t="s">
        <v>28335</v>
      </c>
      <c r="AB2005" t="str">
        <f>HYPERLINK("Melting_Curves/meltCurve_P06737_PYGL.pdf", "Melting_Curves/meltCurve_P06737_PYGL.pdf")</f>
        <v>Melting_Curves/meltCurve_P06737_PYGL.pdf</v>
      </c>
    </row>
    <row r="2006" spans="1:28" x14ac:dyDescent="0.25">
      <c r="A2006" t="s">
        <v>2010</v>
      </c>
      <c r="B2006">
        <v>0.99252571173614901</v>
      </c>
      <c r="C2006">
        <v>0.90091019869877198</v>
      </c>
      <c r="D2006">
        <v>1.0320737708209999</v>
      </c>
      <c r="E2006">
        <v>1.0237633951643399</v>
      </c>
      <c r="F2006">
        <v>0.87424557099554001</v>
      </c>
      <c r="G2006">
        <v>0.369445164931549</v>
      </c>
      <c r="H2006">
        <v>7.8969465127938607E-2</v>
      </c>
      <c r="I2006">
        <v>7.0363371295085894E-2</v>
      </c>
      <c r="J2006">
        <v>7.1961226375397605E-2</v>
      </c>
      <c r="K2006">
        <v>7.2519105447777094E-2</v>
      </c>
      <c r="L2006">
        <v>2265.5123503505902</v>
      </c>
      <c r="M2006">
        <v>40.6428489541128</v>
      </c>
      <c r="N2006">
        <v>55.9340930903182</v>
      </c>
      <c r="O2006">
        <v>55.607534623756202</v>
      </c>
      <c r="P2006">
        <v>-0.170818000754865</v>
      </c>
      <c r="Q2006">
        <v>6.5149364479083094E-2</v>
      </c>
      <c r="R2006">
        <v>0.99325984234367604</v>
      </c>
      <c r="S2006" t="s">
        <v>8652</v>
      </c>
      <c r="T2006" t="s">
        <v>13290</v>
      </c>
      <c r="U2006" t="s">
        <v>13290</v>
      </c>
      <c r="V2006" t="s">
        <v>13290</v>
      </c>
      <c r="W2006" t="s">
        <v>15264</v>
      </c>
      <c r="X2006">
        <v>49</v>
      </c>
      <c r="Y2006" t="s">
        <v>21827</v>
      </c>
      <c r="Z2006" t="s">
        <v>28336</v>
      </c>
      <c r="AA2006">
        <v>0.55916635526448732</v>
      </c>
      <c r="AB2006" t="str">
        <f>HYPERLINK("Melting_Curves/meltCurve_P06744_GPI.pdf", "Melting_Curves/meltCurve_P06744_GPI.pdf")</f>
        <v>Melting_Curves/meltCurve_P06744_GPI.pdf</v>
      </c>
    </row>
    <row r="2007" spans="1:28" x14ac:dyDescent="0.25">
      <c r="A2007" t="s">
        <v>2011</v>
      </c>
      <c r="B2007">
        <v>0.99252571173614901</v>
      </c>
      <c r="C2007">
        <v>1.01127283871614</v>
      </c>
      <c r="D2007">
        <v>0.96130757224514096</v>
      </c>
      <c r="E2007">
        <v>0.933630859231667</v>
      </c>
      <c r="F2007">
        <v>0.73295916775713699</v>
      </c>
      <c r="G2007">
        <v>0.49153115523347601</v>
      </c>
      <c r="H2007">
        <v>0.41747207469136699</v>
      </c>
      <c r="I2007">
        <v>0.55879606833517803</v>
      </c>
      <c r="J2007">
        <v>0.67971253980762503</v>
      </c>
      <c r="K2007">
        <v>0.73053735464079494</v>
      </c>
      <c r="L2007">
        <v>2387.6062301643701</v>
      </c>
      <c r="M2007">
        <v>45.666808852018903</v>
      </c>
      <c r="O2007">
        <v>52.183224604133201</v>
      </c>
      <c r="P2007">
        <v>-9.2640014589566694E-2</v>
      </c>
      <c r="Q2007">
        <v>0.57656347940672503</v>
      </c>
      <c r="R2007">
        <v>0.82892183419797105</v>
      </c>
      <c r="S2007" t="s">
        <v>8653</v>
      </c>
      <c r="T2007" t="s">
        <v>13290</v>
      </c>
      <c r="U2007" t="s">
        <v>13290</v>
      </c>
      <c r="V2007" t="s">
        <v>13290</v>
      </c>
      <c r="W2007" t="s">
        <v>15265</v>
      </c>
      <c r="X2007">
        <v>24</v>
      </c>
      <c r="Y2007" t="s">
        <v>21828</v>
      </c>
      <c r="Z2007" t="s">
        <v>28337</v>
      </c>
      <c r="AA2007">
        <v>0.75110680863026369</v>
      </c>
      <c r="AB2007" t="str">
        <f>HYPERLINK("Melting_Curves/meltCurve_P06748_NPM1.pdf", "Melting_Curves/meltCurve_P06748_NPM1.pdf")</f>
        <v>Melting_Curves/meltCurve_P06748_NPM1.pdf</v>
      </c>
    </row>
    <row r="2008" spans="1:28" x14ac:dyDescent="0.25">
      <c r="A2008" t="s">
        <v>2012</v>
      </c>
      <c r="B2008">
        <v>0.99252571173614901</v>
      </c>
      <c r="C2008">
        <v>1.10329404105365</v>
      </c>
      <c r="D2008">
        <v>1.03985926273757</v>
      </c>
      <c r="E2008">
        <v>1.44130964161879</v>
      </c>
      <c r="F2008">
        <v>0.67539784015299298</v>
      </c>
      <c r="G2008">
        <v>0.459477486487196</v>
      </c>
      <c r="H2008">
        <v>0.31527808154286002</v>
      </c>
      <c r="I2008">
        <v>0.549280418340927</v>
      </c>
      <c r="J2008">
        <v>0.70625451418126295</v>
      </c>
      <c r="K2008">
        <v>0.75751802714959104</v>
      </c>
      <c r="L2008">
        <v>13246.092203511</v>
      </c>
      <c r="M2008">
        <v>250</v>
      </c>
      <c r="O2008">
        <v>52.980977487539597</v>
      </c>
      <c r="P2008">
        <v>-0.52193060532046898</v>
      </c>
      <c r="Q2008">
        <v>0.55756169644403897</v>
      </c>
      <c r="R2008">
        <v>0.67467853006363998</v>
      </c>
      <c r="S2008" t="s">
        <v>8654</v>
      </c>
      <c r="T2008" t="s">
        <v>13290</v>
      </c>
      <c r="U2008" t="s">
        <v>13290</v>
      </c>
      <c r="V2008" t="s">
        <v>13290</v>
      </c>
      <c r="W2008" t="s">
        <v>15266</v>
      </c>
      <c r="X2008">
        <v>20</v>
      </c>
      <c r="Y2008" t="s">
        <v>21828</v>
      </c>
      <c r="Z2008" t="s">
        <v>28338</v>
      </c>
      <c r="AA2008">
        <v>0.74909557436839536</v>
      </c>
      <c r="AB2008" t="str">
        <f>HYPERLINK("Melting_Curves/meltCurve_P06748_3_NPM1.pdf", "Melting_Curves/meltCurve_P06748_3_NPM1.pdf")</f>
        <v>Melting_Curves/meltCurve_P06748_3_NPM1.pdf</v>
      </c>
    </row>
    <row r="2009" spans="1:28" x14ac:dyDescent="0.25">
      <c r="A2009" t="s">
        <v>2013</v>
      </c>
      <c r="B2009">
        <v>0.99252571173614901</v>
      </c>
      <c r="C2009">
        <v>1.09198365367898</v>
      </c>
      <c r="D2009">
        <v>0.98221662945916</v>
      </c>
      <c r="E2009">
        <v>1.0761847370984801</v>
      </c>
      <c r="F2009">
        <v>0.99607776547570204</v>
      </c>
      <c r="G2009">
        <v>0.85964592315524402</v>
      </c>
      <c r="H2009">
        <v>0.93058895916650797</v>
      </c>
      <c r="I2009">
        <v>1.33695840646713</v>
      </c>
      <c r="J2009">
        <v>2.0285442738100898</v>
      </c>
      <c r="K2009">
        <v>2.20940810581402</v>
      </c>
      <c r="L2009">
        <v>15000</v>
      </c>
      <c r="M2009">
        <v>235.10113814144901</v>
      </c>
      <c r="O2009">
        <v>63.797687574023001</v>
      </c>
      <c r="P2009">
        <v>0.46063787459036998</v>
      </c>
      <c r="Q2009">
        <v>1.5</v>
      </c>
      <c r="R2009">
        <v>0.59838282494390804</v>
      </c>
      <c r="S2009" t="s">
        <v>8655</v>
      </c>
      <c r="T2009" t="s">
        <v>13290</v>
      </c>
      <c r="U2009" t="s">
        <v>13290</v>
      </c>
      <c r="V2009" t="s">
        <v>13290</v>
      </c>
      <c r="W2009" t="s">
        <v>15267</v>
      </c>
      <c r="X2009">
        <v>53</v>
      </c>
      <c r="Y2009" t="s">
        <v>20956</v>
      </c>
      <c r="Z2009" t="s">
        <v>28339</v>
      </c>
      <c r="AA2009">
        <v>1.1032312196653751</v>
      </c>
      <c r="AB2009" t="str">
        <f>HYPERLINK("Melting_Curves/meltCurve_P06753_3_TPM3.pdf", "Melting_Curves/meltCurve_P06753_3_TPM3.pdf")</f>
        <v>Melting_Curves/meltCurve_P06753_3_TPM3.pdf</v>
      </c>
    </row>
    <row r="2010" spans="1:28" x14ac:dyDescent="0.25">
      <c r="A2010" t="s">
        <v>2014</v>
      </c>
      <c r="B2010">
        <v>0.99252571173614901</v>
      </c>
      <c r="C2010">
        <v>0.90800294500148104</v>
      </c>
      <c r="D2010">
        <v>0.890573978887085</v>
      </c>
      <c r="E2010">
        <v>0.83218684858101499</v>
      </c>
      <c r="F2010">
        <v>0.51744935802882497</v>
      </c>
      <c r="G2010">
        <v>0.32647839667488698</v>
      </c>
      <c r="H2010">
        <v>0.28800687252462898</v>
      </c>
      <c r="I2010">
        <v>0.38680577278572598</v>
      </c>
      <c r="J2010">
        <v>0.66048383159069002</v>
      </c>
      <c r="K2010">
        <v>0.65907227079592401</v>
      </c>
      <c r="L2010">
        <v>2191.6658287944801</v>
      </c>
      <c r="M2010">
        <v>43.495129413026497</v>
      </c>
      <c r="N2010">
        <v>53.6571931196519</v>
      </c>
      <c r="O2010">
        <v>50.282599082601301</v>
      </c>
      <c r="P2010">
        <v>-0.115770553643102</v>
      </c>
      <c r="Q2010">
        <v>0.464654024323295</v>
      </c>
      <c r="R2010">
        <v>0.74471843213370303</v>
      </c>
      <c r="S2010" t="s">
        <v>8656</v>
      </c>
      <c r="T2010" t="s">
        <v>13290</v>
      </c>
      <c r="U2010" t="s">
        <v>13290</v>
      </c>
      <c r="V2010" t="s">
        <v>13290</v>
      </c>
      <c r="W2010" t="s">
        <v>15268</v>
      </c>
      <c r="X2010">
        <v>8</v>
      </c>
      <c r="Y2010" t="s">
        <v>21829</v>
      </c>
      <c r="Z2010" t="s">
        <v>28340</v>
      </c>
      <c r="AA2010">
        <v>0.65161535156398742</v>
      </c>
      <c r="AB2010" t="str">
        <f>HYPERLINK("Melting_Curves/meltCurve_P06756_3_ITGAV.pdf", "Melting_Curves/meltCurve_P06756_3_ITGAV.pdf")</f>
        <v>Melting_Curves/meltCurve_P06756_3_ITGAV.pdf</v>
      </c>
    </row>
    <row r="2011" spans="1:28" x14ac:dyDescent="0.25">
      <c r="A2011" t="s">
        <v>2015</v>
      </c>
      <c r="B2011">
        <v>0.99252571173614901</v>
      </c>
      <c r="C2011">
        <v>1.08001882039098</v>
      </c>
      <c r="D2011">
        <v>0.84916601626238797</v>
      </c>
      <c r="E2011">
        <v>0.79263580047531002</v>
      </c>
      <c r="F2011">
        <v>0.944098052768789</v>
      </c>
      <c r="G2011">
        <v>0.83104204661743897</v>
      </c>
      <c r="H2011">
        <v>0.68496747156261695</v>
      </c>
      <c r="I2011">
        <v>0.79079719705853102</v>
      </c>
      <c r="J2011">
        <v>1.0332909245737301</v>
      </c>
      <c r="K2011">
        <v>1.06781188129991</v>
      </c>
      <c r="L2011">
        <v>11125.898488703901</v>
      </c>
      <c r="M2011">
        <v>250</v>
      </c>
      <c r="O2011">
        <v>44.500744078337</v>
      </c>
      <c r="P2011">
        <v>-0.1766496344147</v>
      </c>
      <c r="Q2011">
        <v>0.87422335189385403</v>
      </c>
      <c r="R2011">
        <v>0.238042201682755</v>
      </c>
      <c r="S2011" t="s">
        <v>8657</v>
      </c>
      <c r="T2011" t="s">
        <v>13290</v>
      </c>
      <c r="U2011" t="s">
        <v>13290</v>
      </c>
      <c r="V2011" t="s">
        <v>13290</v>
      </c>
      <c r="W2011" t="s">
        <v>15269</v>
      </c>
      <c r="X2011">
        <v>8</v>
      </c>
      <c r="Y2011" t="s">
        <v>21830</v>
      </c>
      <c r="Z2011" t="s">
        <v>28341</v>
      </c>
      <c r="AA2011">
        <v>0.89311474051076267</v>
      </c>
      <c r="AB2011" t="str">
        <f>HYPERLINK("Melting_Curves/meltCurve_P07108_DBI.pdf", "Melting_Curves/meltCurve_P07108_DBI.pdf")</f>
        <v>Melting_Curves/meltCurve_P07108_DBI.pdf</v>
      </c>
    </row>
    <row r="2012" spans="1:28" x14ac:dyDescent="0.25">
      <c r="A2012" t="s">
        <v>2016</v>
      </c>
      <c r="B2012">
        <v>0.99252571173614901</v>
      </c>
      <c r="C2012">
        <v>0.95835123007808098</v>
      </c>
      <c r="D2012">
        <v>1.0236543166679699</v>
      </c>
      <c r="E2012">
        <v>0.99604040082108003</v>
      </c>
      <c r="F2012">
        <v>1.0240755675953299</v>
      </c>
      <c r="G2012">
        <v>0.96311487024462294</v>
      </c>
      <c r="H2012">
        <v>0.89221233935343602</v>
      </c>
      <c r="I2012">
        <v>0.84985448851194401</v>
      </c>
      <c r="J2012">
        <v>0.54001830014998098</v>
      </c>
      <c r="K2012">
        <v>0.22367294177094299</v>
      </c>
      <c r="L2012">
        <v>2030.945947014</v>
      </c>
      <c r="M2012">
        <v>30.1557320877946</v>
      </c>
      <c r="N2012">
        <v>67.348586912246404</v>
      </c>
      <c r="O2012">
        <v>67.054498167151806</v>
      </c>
      <c r="P2012">
        <v>-0.11243065638564401</v>
      </c>
      <c r="Q2012">
        <v>0</v>
      </c>
      <c r="R2012">
        <v>0.98388573785111899</v>
      </c>
      <c r="S2012" t="s">
        <v>8658</v>
      </c>
      <c r="T2012" t="s">
        <v>13290</v>
      </c>
      <c r="U2012" t="s">
        <v>13290</v>
      </c>
      <c r="V2012" t="s">
        <v>13290</v>
      </c>
      <c r="W2012" t="s">
        <v>15270</v>
      </c>
      <c r="X2012">
        <v>24</v>
      </c>
      <c r="Y2012" t="s">
        <v>21831</v>
      </c>
      <c r="Z2012" t="s">
        <v>28342</v>
      </c>
      <c r="AA2012">
        <v>0.89574417556624231</v>
      </c>
      <c r="AB2012" t="str">
        <f>HYPERLINK("Melting_Curves/meltCurve_P07195_LDHB.pdf", "Melting_Curves/meltCurve_P07195_LDHB.pdf")</f>
        <v>Melting_Curves/meltCurve_P07195_LDHB.pdf</v>
      </c>
    </row>
    <row r="2013" spans="1:28" x14ac:dyDescent="0.25">
      <c r="A2013" t="s">
        <v>2017</v>
      </c>
      <c r="B2013">
        <v>0.99252571173614901</v>
      </c>
      <c r="C2013">
        <v>0.81696869894766</v>
      </c>
      <c r="D2013">
        <v>0.66565268413760004</v>
      </c>
      <c r="E2013">
        <v>0.56224886846779198</v>
      </c>
      <c r="F2013">
        <v>0.46219542982483097</v>
      </c>
      <c r="G2013">
        <v>0.21533994277077301</v>
      </c>
      <c r="H2013">
        <v>0.14623644136408301</v>
      </c>
      <c r="I2013">
        <v>0.13036729855923401</v>
      </c>
      <c r="J2013">
        <v>0.14036178585126699</v>
      </c>
      <c r="K2013">
        <v>0.115937769210139</v>
      </c>
      <c r="L2013">
        <v>500.89115086925398</v>
      </c>
      <c r="M2013">
        <v>10.022103236489899</v>
      </c>
      <c r="N2013">
        <v>50.481461014794597</v>
      </c>
      <c r="O2013">
        <v>48.111074192821299</v>
      </c>
      <c r="P2013">
        <v>-4.9628079041644901E-2</v>
      </c>
      <c r="Q2013">
        <v>4.7501669433527099E-2</v>
      </c>
      <c r="R2013">
        <v>0.97904935618098399</v>
      </c>
      <c r="S2013" t="s">
        <v>8659</v>
      </c>
      <c r="T2013" t="s">
        <v>13290</v>
      </c>
      <c r="U2013" t="s">
        <v>13290</v>
      </c>
      <c r="V2013" t="s">
        <v>13290</v>
      </c>
      <c r="W2013" t="s">
        <v>15271</v>
      </c>
      <c r="X2013">
        <v>1</v>
      </c>
      <c r="Y2013" t="s">
        <v>21832</v>
      </c>
      <c r="Z2013" t="s">
        <v>28343</v>
      </c>
      <c r="AA2013">
        <v>0.4073258389479435</v>
      </c>
      <c r="AB2013" t="str">
        <f>HYPERLINK("Melting_Curves/meltCurve_P07199_CENPB.pdf", "Melting_Curves/meltCurve_P07199_CENPB.pdf")</f>
        <v>Melting_Curves/meltCurve_P07199_CENPB.pdf</v>
      </c>
    </row>
    <row r="2014" spans="1:28" x14ac:dyDescent="0.25">
      <c r="A2014" t="s">
        <v>2018</v>
      </c>
      <c r="B2014">
        <v>0.99252571173614901</v>
      </c>
      <c r="C2014">
        <v>1.0504717945536799</v>
      </c>
      <c r="D2014">
        <v>0.98348834816572095</v>
      </c>
      <c r="E2014">
        <v>0.89819770027340495</v>
      </c>
      <c r="F2014">
        <v>0.84827006328718901</v>
      </c>
      <c r="G2014">
        <v>0.77832527552967101</v>
      </c>
      <c r="H2014">
        <v>0.712947677379839</v>
      </c>
      <c r="I2014">
        <v>0.86310492874894995</v>
      </c>
      <c r="J2014">
        <v>0.66984855147803102</v>
      </c>
      <c r="K2014">
        <v>0.40714045456511999</v>
      </c>
      <c r="L2014">
        <v>435.11509468970399</v>
      </c>
      <c r="M2014">
        <v>6.0418964570930003</v>
      </c>
      <c r="O2014">
        <v>65.318359843824496</v>
      </c>
      <c r="P2014">
        <v>-2.3197851193714401E-2</v>
      </c>
      <c r="Q2014">
        <v>0</v>
      </c>
      <c r="R2014">
        <v>0.78799718886320502</v>
      </c>
      <c r="S2014" t="s">
        <v>8660</v>
      </c>
      <c r="T2014" t="s">
        <v>13290</v>
      </c>
      <c r="U2014" t="s">
        <v>13290</v>
      </c>
      <c r="V2014" t="s">
        <v>13290</v>
      </c>
      <c r="W2014" t="s">
        <v>15272</v>
      </c>
      <c r="X2014">
        <v>15</v>
      </c>
      <c r="Y2014" t="s">
        <v>21833</v>
      </c>
      <c r="Z2014" t="s">
        <v>28344</v>
      </c>
      <c r="AA2014">
        <v>0.82983544688716138</v>
      </c>
      <c r="AB2014" t="str">
        <f>HYPERLINK("Melting_Curves/meltCurve_P07203_GPX1.pdf", "Melting_Curves/meltCurve_P07203_GPX1.pdf")</f>
        <v>Melting_Curves/meltCurve_P07203_GPX1.pdf</v>
      </c>
    </row>
    <row r="2015" spans="1:28" x14ac:dyDescent="0.25">
      <c r="A2015" t="s">
        <v>2019</v>
      </c>
      <c r="B2015">
        <v>0.99252571173614901</v>
      </c>
      <c r="C2015">
        <v>1.09745227814191</v>
      </c>
      <c r="D2015">
        <v>1.0499921880076799</v>
      </c>
      <c r="E2015">
        <v>0.89571530293657597</v>
      </c>
      <c r="F2015">
        <v>0.622856323711932</v>
      </c>
      <c r="G2015">
        <v>0.13968107520040501</v>
      </c>
      <c r="H2015">
        <v>7.8162735295999999E-2</v>
      </c>
      <c r="I2015">
        <v>7.7935719410703E-2</v>
      </c>
      <c r="J2015">
        <v>7.0262403599587506E-2</v>
      </c>
      <c r="K2015">
        <v>6.9653207897493602E-2</v>
      </c>
      <c r="L2015">
        <v>1994.1551722705201</v>
      </c>
      <c r="M2015">
        <v>37.191550396153701</v>
      </c>
      <c r="N2015">
        <v>53.821934679545201</v>
      </c>
      <c r="O2015">
        <v>53.464189540463202</v>
      </c>
      <c r="P2015">
        <v>-0.16250538677092</v>
      </c>
      <c r="Q2015">
        <v>6.5573278030196303E-2</v>
      </c>
      <c r="R2015">
        <v>0.99096492200799702</v>
      </c>
      <c r="S2015" t="s">
        <v>8661</v>
      </c>
      <c r="T2015" t="s">
        <v>13290</v>
      </c>
      <c r="U2015" t="s">
        <v>13290</v>
      </c>
      <c r="V2015" t="s">
        <v>13290</v>
      </c>
      <c r="W2015" t="s">
        <v>15273</v>
      </c>
      <c r="X2015">
        <v>9</v>
      </c>
      <c r="Y2015" t="s">
        <v>21834</v>
      </c>
      <c r="Z2015" t="s">
        <v>28345</v>
      </c>
      <c r="AA2015">
        <v>0.49375547459162211</v>
      </c>
      <c r="AB2015" t="str">
        <f>HYPERLINK("Melting_Curves/meltCurve_P07205_PGK2.pdf", "Melting_Curves/meltCurve_P07205_PGK2.pdf")</f>
        <v>Melting_Curves/meltCurve_P07205_PGK2.pdf</v>
      </c>
    </row>
    <row r="2016" spans="1:28" x14ac:dyDescent="0.25">
      <c r="A2016" t="s">
        <v>2020</v>
      </c>
      <c r="B2016">
        <v>0.99252571173614901</v>
      </c>
      <c r="C2016">
        <v>1.05848976414885</v>
      </c>
      <c r="D2016">
        <v>0.99326380575749995</v>
      </c>
      <c r="E2016">
        <v>0.92200335611325102</v>
      </c>
      <c r="F2016">
        <v>0.76850513577060897</v>
      </c>
      <c r="G2016">
        <v>0.45066976977791201</v>
      </c>
      <c r="H2016">
        <v>0.23656824317431899</v>
      </c>
      <c r="I2016">
        <v>0.24726326638622301</v>
      </c>
      <c r="J2016">
        <v>0.32709517251586701</v>
      </c>
      <c r="K2016">
        <v>0.32175500531610302</v>
      </c>
      <c r="L2016">
        <v>1681.4163500760501</v>
      </c>
      <c r="M2016">
        <v>30.901964500861101</v>
      </c>
      <c r="N2016">
        <v>55.881584160988403</v>
      </c>
      <c r="O2016">
        <v>54.184970952043003</v>
      </c>
      <c r="P2016">
        <v>-0.10290552472134901</v>
      </c>
      <c r="Q2016">
        <v>0.27824646186184199</v>
      </c>
      <c r="R2016">
        <v>0.98509577750200905</v>
      </c>
      <c r="S2016" t="s">
        <v>8662</v>
      </c>
      <c r="T2016" t="s">
        <v>13290</v>
      </c>
      <c r="U2016" t="s">
        <v>13290</v>
      </c>
      <c r="V2016" t="s">
        <v>13290</v>
      </c>
      <c r="W2016" t="s">
        <v>14299</v>
      </c>
      <c r="X2016">
        <v>56</v>
      </c>
      <c r="Y2016" t="s">
        <v>20883</v>
      </c>
      <c r="Z2016" t="s">
        <v>28346</v>
      </c>
      <c r="AA2016">
        <v>0.62945913480450477</v>
      </c>
      <c r="AB2016" t="str">
        <f>HYPERLINK("Melting_Curves/meltCurve_P07237_P4HB.pdf", "Melting_Curves/meltCurve_P07237_P4HB.pdf")</f>
        <v>Melting_Curves/meltCurve_P07237_P4HB.pdf</v>
      </c>
    </row>
    <row r="2017" spans="1:28" x14ac:dyDescent="0.25">
      <c r="A2017" t="s">
        <v>2021</v>
      </c>
      <c r="B2017">
        <v>0.99252571173614901</v>
      </c>
      <c r="C2017">
        <v>1.0462781410034401</v>
      </c>
      <c r="D2017">
        <v>1.0440953590233</v>
      </c>
      <c r="E2017">
        <v>0.89234023875873902</v>
      </c>
      <c r="F2017">
        <v>0.53859168186028905</v>
      </c>
      <c r="G2017">
        <v>0.43555623147441802</v>
      </c>
      <c r="H2017">
        <v>0.326558992926131</v>
      </c>
      <c r="I2017">
        <v>0.37553435559682102</v>
      </c>
      <c r="J2017">
        <v>0.49949331423892801</v>
      </c>
      <c r="K2017">
        <v>0.57768591392901703</v>
      </c>
      <c r="L2017">
        <v>2316.0332516824901</v>
      </c>
      <c r="M2017">
        <v>45.191444082796501</v>
      </c>
      <c r="N2017">
        <v>53.826363533257798</v>
      </c>
      <c r="O2017">
        <v>51.149326131967797</v>
      </c>
      <c r="P2017">
        <v>-0.123130860293473</v>
      </c>
      <c r="Q2017">
        <v>0.44254472551694501</v>
      </c>
      <c r="R2017">
        <v>0.940919403824381</v>
      </c>
      <c r="S2017" t="s">
        <v>8663</v>
      </c>
      <c r="T2017" t="s">
        <v>13290</v>
      </c>
      <c r="U2017" t="s">
        <v>13290</v>
      </c>
      <c r="V2017" t="s">
        <v>13290</v>
      </c>
      <c r="W2017" t="s">
        <v>15274</v>
      </c>
      <c r="X2017">
        <v>5</v>
      </c>
      <c r="Y2017" t="s">
        <v>21835</v>
      </c>
      <c r="Z2017" t="s">
        <v>28347</v>
      </c>
      <c r="AA2017">
        <v>0.65312324615456896</v>
      </c>
      <c r="AB2017" t="str">
        <f>HYPERLINK("Melting_Curves/meltCurve_P07305_2_H1F0.pdf", "Melting_Curves/meltCurve_P07305_2_H1F0.pdf")</f>
        <v>Melting_Curves/meltCurve_P07305_2_H1F0.pdf</v>
      </c>
    </row>
    <row r="2018" spans="1:28" x14ac:dyDescent="0.25">
      <c r="A2018" t="s">
        <v>2022</v>
      </c>
      <c r="B2018">
        <v>0.99252571173614901</v>
      </c>
      <c r="C2018">
        <v>1.07033978889353</v>
      </c>
      <c r="D2018">
        <v>0.97829431375548204</v>
      </c>
      <c r="E2018">
        <v>0.83117300815290696</v>
      </c>
      <c r="F2018">
        <v>0.73985899396426802</v>
      </c>
      <c r="G2018">
        <v>0.60581092161359995</v>
      </c>
      <c r="H2018">
        <v>0.35238473209827897</v>
      </c>
      <c r="I2018">
        <v>0.167063529380992</v>
      </c>
      <c r="J2018">
        <v>0.18526427427542799</v>
      </c>
      <c r="K2018">
        <v>0.15839184321838001</v>
      </c>
      <c r="L2018">
        <v>767.31790149687095</v>
      </c>
      <c r="M2018">
        <v>13.412062869133999</v>
      </c>
      <c r="N2018">
        <v>57.720048792384297</v>
      </c>
      <c r="O2018">
        <v>55.984071768743704</v>
      </c>
      <c r="P2018">
        <v>-5.6560609097917498E-2</v>
      </c>
      <c r="Q2018">
        <v>5.5776023996220003E-2</v>
      </c>
      <c r="R2018">
        <v>0.98354307175479105</v>
      </c>
      <c r="S2018" t="s">
        <v>8664</v>
      </c>
      <c r="T2018" t="s">
        <v>13290</v>
      </c>
      <c r="U2018" t="s">
        <v>13290</v>
      </c>
      <c r="V2018" t="s">
        <v>13290</v>
      </c>
      <c r="W2018" t="s">
        <v>15275</v>
      </c>
      <c r="X2018">
        <v>31</v>
      </c>
      <c r="Y2018" t="s">
        <v>21836</v>
      </c>
      <c r="Z2018" t="s">
        <v>28348</v>
      </c>
      <c r="AA2018">
        <v>0.6125570082797348</v>
      </c>
      <c r="AB2018" t="str">
        <f>HYPERLINK("Melting_Curves/meltCurve_P07339_CTSD.pdf", "Melting_Curves/meltCurve_P07339_CTSD.pdf")</f>
        <v>Melting_Curves/meltCurve_P07339_CTSD.pdf</v>
      </c>
    </row>
    <row r="2019" spans="1:28" x14ac:dyDescent="0.25">
      <c r="A2019" t="s">
        <v>2023</v>
      </c>
      <c r="B2019">
        <v>0.99252571173614901</v>
      </c>
      <c r="C2019">
        <v>0.92396426078084504</v>
      </c>
      <c r="D2019">
        <v>0.98499957969260599</v>
      </c>
      <c r="E2019">
        <v>0.87724299872338996</v>
      </c>
      <c r="F2019">
        <v>0.481675284659143</v>
      </c>
      <c r="G2019">
        <v>0.12967578251154699</v>
      </c>
      <c r="H2019">
        <v>8.10780711382353E-2</v>
      </c>
      <c r="I2019">
        <v>7.5782341218248894E-2</v>
      </c>
      <c r="J2019">
        <v>8.4740802978995305E-2</v>
      </c>
      <c r="K2019">
        <v>7.7868150206501494E-2</v>
      </c>
      <c r="L2019">
        <v>1702.17916142529</v>
      </c>
      <c r="M2019">
        <v>32.295090608459702</v>
      </c>
      <c r="N2019">
        <v>52.961075102211502</v>
      </c>
      <c r="O2019">
        <v>52.506197168703103</v>
      </c>
      <c r="P2019">
        <v>-0.14273603694932999</v>
      </c>
      <c r="Q2019">
        <v>7.1748679776208704E-2</v>
      </c>
      <c r="R2019">
        <v>0.99571139152363297</v>
      </c>
      <c r="S2019" t="s">
        <v>8665</v>
      </c>
      <c r="T2019" t="s">
        <v>13290</v>
      </c>
      <c r="U2019" t="s">
        <v>13290</v>
      </c>
      <c r="V2019" t="s">
        <v>13290</v>
      </c>
      <c r="W2019" t="s">
        <v>15276</v>
      </c>
      <c r="X2019">
        <v>51</v>
      </c>
      <c r="Y2019" t="s">
        <v>21837</v>
      </c>
      <c r="Z2019" t="s">
        <v>28349</v>
      </c>
      <c r="AA2019">
        <v>0.47010881888593847</v>
      </c>
      <c r="AB2019" t="str">
        <f>HYPERLINK("Melting_Curves/meltCurve_P07355_ANXA2.pdf", "Melting_Curves/meltCurve_P07355_ANXA2.pdf")</f>
        <v>Melting_Curves/meltCurve_P07355_ANXA2.pdf</v>
      </c>
    </row>
    <row r="2020" spans="1:28" x14ac:dyDescent="0.25">
      <c r="A2020" t="s">
        <v>2024</v>
      </c>
      <c r="B2020">
        <v>0.99252571173614901</v>
      </c>
      <c r="C2020">
        <v>1.0119256990771801</v>
      </c>
      <c r="D2020">
        <v>0.99386130898943403</v>
      </c>
      <c r="E2020">
        <v>0.95649813729845001</v>
      </c>
      <c r="F2020">
        <v>0.92438781304390405</v>
      </c>
      <c r="G2020">
        <v>0.79550321406454905</v>
      </c>
      <c r="H2020">
        <v>0.51781315932302296</v>
      </c>
      <c r="I2020">
        <v>0.142107426502704</v>
      </c>
      <c r="J2020">
        <v>0.124497962078429</v>
      </c>
      <c r="K2020">
        <v>0.113511819461226</v>
      </c>
      <c r="L2020">
        <v>1471.056913868</v>
      </c>
      <c r="M2020">
        <v>24.496505977635898</v>
      </c>
      <c r="N2020">
        <v>60.325026454456101</v>
      </c>
      <c r="O2020">
        <v>59.655784846810398</v>
      </c>
      <c r="P2020">
        <v>-9.7266909340173999E-2</v>
      </c>
      <c r="Q2020">
        <v>5.2525949822746797E-2</v>
      </c>
      <c r="R2020">
        <v>0.98924878582633302</v>
      </c>
      <c r="S2020" t="s">
        <v>8666</v>
      </c>
      <c r="T2020" t="s">
        <v>13290</v>
      </c>
      <c r="U2020" t="s">
        <v>13290</v>
      </c>
      <c r="V2020" t="s">
        <v>13290</v>
      </c>
      <c r="W2020" t="s">
        <v>15277</v>
      </c>
      <c r="X2020">
        <v>46</v>
      </c>
      <c r="Y2020" t="s">
        <v>21838</v>
      </c>
      <c r="Z2020" t="s">
        <v>28350</v>
      </c>
      <c r="AA2020">
        <v>0.69291120327753153</v>
      </c>
      <c r="AB2020" t="str">
        <f>HYPERLINK("Melting_Curves/meltCurve_P07384_CAPN1.pdf", "Melting_Curves/meltCurve_P07384_CAPN1.pdf")</f>
        <v>Melting_Curves/meltCurve_P07384_CAPN1.pdf</v>
      </c>
    </row>
    <row r="2021" spans="1:28" x14ac:dyDescent="0.25">
      <c r="A2021" t="s">
        <v>2025</v>
      </c>
      <c r="B2021">
        <v>0.99252571173614901</v>
      </c>
      <c r="C2021">
        <v>0.940070649059773</v>
      </c>
      <c r="D2021">
        <v>0.99718261320718804</v>
      </c>
      <c r="E2021">
        <v>0.85361239279631296</v>
      </c>
      <c r="F2021">
        <v>0.81512209279752001</v>
      </c>
      <c r="G2021">
        <v>0.60168074929825599</v>
      </c>
      <c r="H2021">
        <v>0.32675267991572698</v>
      </c>
      <c r="I2021">
        <v>0.14172326699811999</v>
      </c>
      <c r="J2021">
        <v>0.144491801805648</v>
      </c>
      <c r="K2021">
        <v>0.135297237482259</v>
      </c>
      <c r="L2021">
        <v>925.50720558582896</v>
      </c>
      <c r="M2021">
        <v>16.110084622122301</v>
      </c>
      <c r="N2021">
        <v>57.837197082857998</v>
      </c>
      <c r="O2021">
        <v>56.585625299482601</v>
      </c>
      <c r="P2021">
        <v>-6.7532949563760797E-2</v>
      </c>
      <c r="Q2021">
        <v>5.1252265225949202E-2</v>
      </c>
      <c r="R2021">
        <v>0.98715496727533003</v>
      </c>
      <c r="S2021" t="s">
        <v>8667</v>
      </c>
      <c r="T2021" t="s">
        <v>13290</v>
      </c>
      <c r="U2021" t="s">
        <v>13290</v>
      </c>
      <c r="V2021" t="s">
        <v>13290</v>
      </c>
      <c r="W2021" t="s">
        <v>15278</v>
      </c>
      <c r="X2021">
        <v>23</v>
      </c>
      <c r="Y2021" t="s">
        <v>21839</v>
      </c>
      <c r="Z2021" t="s">
        <v>28351</v>
      </c>
      <c r="AA2021">
        <v>0.61662433867021804</v>
      </c>
      <c r="AB2021" t="str">
        <f>HYPERLINK("Melting_Curves/meltCurve_P07686_HEXB.pdf", "Melting_Curves/meltCurve_P07686_HEXB.pdf")</f>
        <v>Melting_Curves/meltCurve_P07686_HEXB.pdf</v>
      </c>
    </row>
    <row r="2022" spans="1:28" x14ac:dyDescent="0.25">
      <c r="A2022" t="s">
        <v>2026</v>
      </c>
      <c r="B2022">
        <v>0.99252571173614901</v>
      </c>
      <c r="C2022">
        <v>0.91187920852113702</v>
      </c>
      <c r="D2022">
        <v>0.98476949589511698</v>
      </c>
      <c r="E2022">
        <v>0.76391120255658296</v>
      </c>
      <c r="F2022">
        <v>0.366258257740397</v>
      </c>
      <c r="G2022">
        <v>0.121576073455335</v>
      </c>
      <c r="H2022">
        <v>8.2718379802461203E-2</v>
      </c>
      <c r="I2022">
        <v>7.7300792795959097E-2</v>
      </c>
      <c r="J2022">
        <v>5.8252339690038298E-2</v>
      </c>
      <c r="K2022">
        <v>5.7871663346746101E-2</v>
      </c>
      <c r="L2022">
        <v>1382.58296374355</v>
      </c>
      <c r="M2022">
        <v>26.754363168770301</v>
      </c>
      <c r="N2022">
        <v>51.926000557369498</v>
      </c>
      <c r="O2022">
        <v>51.390796972352497</v>
      </c>
      <c r="P2022">
        <v>-0.12231503903843401</v>
      </c>
      <c r="Q2022">
        <v>6.0220172483645397E-2</v>
      </c>
      <c r="R2022">
        <v>0.99495938891951896</v>
      </c>
      <c r="S2022" t="s">
        <v>8668</v>
      </c>
      <c r="T2022" t="s">
        <v>13290</v>
      </c>
      <c r="U2022" t="s">
        <v>13290</v>
      </c>
      <c r="V2022" t="s">
        <v>13290</v>
      </c>
      <c r="W2022" t="s">
        <v>15279</v>
      </c>
      <c r="X2022">
        <v>19</v>
      </c>
      <c r="Y2022" t="s">
        <v>21840</v>
      </c>
      <c r="Z2022" t="s">
        <v>28352</v>
      </c>
      <c r="AA2022">
        <v>0.4335027679525631</v>
      </c>
      <c r="AB2022" t="str">
        <f>HYPERLINK("Melting_Curves/meltCurve_P07737_PFN1.pdf", "Melting_Curves/meltCurve_P07737_PFN1.pdf")</f>
        <v>Melting_Curves/meltCurve_P07737_PFN1.pdf</v>
      </c>
    </row>
    <row r="2023" spans="1:28" x14ac:dyDescent="0.25">
      <c r="A2023" t="s">
        <v>2027</v>
      </c>
      <c r="B2023">
        <v>0.99252571173614901</v>
      </c>
      <c r="C2023">
        <v>1.07741822069417</v>
      </c>
      <c r="D2023">
        <v>0.99076117231175198</v>
      </c>
      <c r="E2023">
        <v>0.93832937417070805</v>
      </c>
      <c r="F2023">
        <v>0.79462495552977697</v>
      </c>
      <c r="G2023">
        <v>0.60940350445022695</v>
      </c>
      <c r="H2023">
        <v>0.52340990271205101</v>
      </c>
      <c r="I2023">
        <v>0.41671402840470501</v>
      </c>
      <c r="J2023">
        <v>0.32163391831084798</v>
      </c>
      <c r="K2023">
        <v>0.28342599154106402</v>
      </c>
      <c r="L2023">
        <v>762.46593249158502</v>
      </c>
      <c r="M2023">
        <v>13.238854814205</v>
      </c>
      <c r="N2023">
        <v>60.434467748484799</v>
      </c>
      <c r="O2023">
        <v>56.326555689522102</v>
      </c>
      <c r="P2023">
        <v>-4.51531590667116E-2</v>
      </c>
      <c r="Q2023">
        <v>0.23168497268628599</v>
      </c>
      <c r="R2023">
        <v>0.984996201990331</v>
      </c>
      <c r="S2023" t="s">
        <v>8669</v>
      </c>
      <c r="T2023" t="s">
        <v>13290</v>
      </c>
      <c r="U2023" t="s">
        <v>13290</v>
      </c>
      <c r="V2023" t="s">
        <v>13290</v>
      </c>
      <c r="W2023" t="s">
        <v>15280</v>
      </c>
      <c r="X2023">
        <v>11</v>
      </c>
      <c r="Y2023" t="s">
        <v>21841</v>
      </c>
      <c r="Z2023" t="s">
        <v>28353</v>
      </c>
      <c r="AA2023">
        <v>0.69359790902691321</v>
      </c>
      <c r="AB2023" t="str">
        <f>HYPERLINK("Melting_Curves/meltCurve_P07738_BPGM.pdf", "Melting_Curves/meltCurve_P07738_BPGM.pdf")</f>
        <v>Melting_Curves/meltCurve_P07738_BPGM.pdf</v>
      </c>
    </row>
    <row r="2024" spans="1:28" x14ac:dyDescent="0.25">
      <c r="A2024" t="s">
        <v>2028</v>
      </c>
      <c r="B2024">
        <v>0.99252571173614901</v>
      </c>
      <c r="C2024">
        <v>1.0280773869583699</v>
      </c>
      <c r="D2024">
        <v>0.93566900909796202</v>
      </c>
      <c r="E2024">
        <v>0.73578977818660796</v>
      </c>
      <c r="F2024">
        <v>0.82514997135284196</v>
      </c>
      <c r="G2024">
        <v>0.70304730199052901</v>
      </c>
      <c r="H2024">
        <v>0.49611392167465501</v>
      </c>
      <c r="I2024">
        <v>0.219972601764442</v>
      </c>
      <c r="J2024">
        <v>8.4057093576743194E-2</v>
      </c>
      <c r="K2024">
        <v>6.6888690150098407E-2</v>
      </c>
      <c r="L2024">
        <v>815.97194266935298</v>
      </c>
      <c r="M2024">
        <v>13.7883628579609</v>
      </c>
      <c r="N2024">
        <v>59.178305169986203</v>
      </c>
      <c r="O2024">
        <v>57.975194897857698</v>
      </c>
      <c r="P2024">
        <v>-5.9466378099523001E-2</v>
      </c>
      <c r="Q2024">
        <v>0</v>
      </c>
      <c r="R2024">
        <v>0.948184643775283</v>
      </c>
      <c r="S2024" t="s">
        <v>8670</v>
      </c>
      <c r="T2024" t="s">
        <v>13290</v>
      </c>
      <c r="U2024" t="s">
        <v>13290</v>
      </c>
      <c r="V2024" t="s">
        <v>13290</v>
      </c>
      <c r="W2024" t="s">
        <v>15281</v>
      </c>
      <c r="X2024">
        <v>14</v>
      </c>
      <c r="Y2024" t="s">
        <v>21842</v>
      </c>
      <c r="Z2024" t="s">
        <v>28354</v>
      </c>
      <c r="AA2024">
        <v>0.64843738145092522</v>
      </c>
      <c r="AB2024" t="str">
        <f>HYPERLINK("Melting_Curves/meltCurve_P07741_APRT.pdf", "Melting_Curves/meltCurve_P07741_APRT.pdf")</f>
        <v>Melting_Curves/meltCurve_P07741_APRT.pdf</v>
      </c>
    </row>
    <row r="2025" spans="1:28" x14ac:dyDescent="0.25">
      <c r="A2025" t="s">
        <v>2029</v>
      </c>
      <c r="B2025">
        <v>0.99252571173614901</v>
      </c>
      <c r="C2025">
        <v>0.79836013754273505</v>
      </c>
      <c r="D2025">
        <v>0.76793765455863505</v>
      </c>
      <c r="E2025">
        <v>0.43700851561632298</v>
      </c>
      <c r="F2025">
        <v>0.29016990606076698</v>
      </c>
      <c r="G2025">
        <v>0.21074173297576199</v>
      </c>
      <c r="H2025">
        <v>0.189557045978716</v>
      </c>
      <c r="I2025">
        <v>0.20084055217455399</v>
      </c>
      <c r="J2025">
        <v>0.168335503620233</v>
      </c>
      <c r="K2025">
        <v>0.15992713677647699</v>
      </c>
      <c r="L2025">
        <v>759.26780529940504</v>
      </c>
      <c r="M2025">
        <v>15.909109319028801</v>
      </c>
      <c r="N2025">
        <v>48.923556225113899</v>
      </c>
      <c r="O2025">
        <v>46.990379350846297</v>
      </c>
      <c r="P2025">
        <v>-7.0989360727430104E-2</v>
      </c>
      <c r="Q2025">
        <v>0.16134853728824999</v>
      </c>
      <c r="R2025">
        <v>0.98509906865815899</v>
      </c>
      <c r="S2025" t="s">
        <v>8671</v>
      </c>
      <c r="T2025" t="s">
        <v>13290</v>
      </c>
      <c r="U2025" t="s">
        <v>13290</v>
      </c>
      <c r="V2025" t="s">
        <v>13290</v>
      </c>
      <c r="W2025" t="s">
        <v>15282</v>
      </c>
      <c r="X2025">
        <v>45</v>
      </c>
      <c r="Y2025" t="s">
        <v>21843</v>
      </c>
      <c r="Z2025" t="s">
        <v>28355</v>
      </c>
      <c r="AA2025">
        <v>0.39672706643759992</v>
      </c>
      <c r="AB2025" t="str">
        <f>HYPERLINK("Melting_Curves/meltCurve_P07814_EPRS.pdf", "Melting_Curves/meltCurve_P07814_EPRS.pdf")</f>
        <v>Melting_Curves/meltCurve_P07814_EPRS.pdf</v>
      </c>
    </row>
    <row r="2026" spans="1:28" x14ac:dyDescent="0.25">
      <c r="A2026" t="s">
        <v>2030</v>
      </c>
      <c r="B2026">
        <v>0.99252571173614901</v>
      </c>
      <c r="C2026">
        <v>1.03659304571796</v>
      </c>
      <c r="D2026">
        <v>0.95238556506746097</v>
      </c>
      <c r="E2026">
        <v>0.75192322977510195</v>
      </c>
      <c r="F2026">
        <v>0.65058136957303203</v>
      </c>
      <c r="G2026">
        <v>0.47545461531371203</v>
      </c>
      <c r="H2026">
        <v>0.29594936921570802</v>
      </c>
      <c r="I2026">
        <v>0.39675698301494999</v>
      </c>
      <c r="J2026">
        <v>0.61890263008389701</v>
      </c>
      <c r="K2026">
        <v>0.68263366775960799</v>
      </c>
      <c r="L2026">
        <v>1317.9095054408101</v>
      </c>
      <c r="M2026">
        <v>26.349033213866399</v>
      </c>
      <c r="N2026">
        <v>63.318334785761898</v>
      </c>
      <c r="O2026">
        <v>49.731941080516698</v>
      </c>
      <c r="P2026">
        <v>-6.6489713512936005E-2</v>
      </c>
      <c r="Q2026">
        <v>0.49802690538037497</v>
      </c>
      <c r="R2026">
        <v>0.80874422498480003</v>
      </c>
      <c r="S2026" t="s">
        <v>8672</v>
      </c>
      <c r="T2026" t="s">
        <v>13290</v>
      </c>
      <c r="U2026" t="s">
        <v>13290</v>
      </c>
      <c r="V2026" t="s">
        <v>13290</v>
      </c>
      <c r="W2026" t="s">
        <v>15283</v>
      </c>
      <c r="X2026">
        <v>9</v>
      </c>
      <c r="Y2026" t="s">
        <v>21844</v>
      </c>
      <c r="Z2026" t="s">
        <v>28356</v>
      </c>
      <c r="AA2026">
        <v>0.66967874871574995</v>
      </c>
      <c r="AB2026" t="str">
        <f>HYPERLINK("Melting_Curves/meltCurve_P07858_CTSB.pdf", "Melting_Curves/meltCurve_P07858_CTSB.pdf")</f>
        <v>Melting_Curves/meltCurve_P07858_CTSB.pdf</v>
      </c>
    </row>
    <row r="2027" spans="1:28" x14ac:dyDescent="0.25">
      <c r="A2027" t="s">
        <v>2031</v>
      </c>
      <c r="B2027">
        <v>0.99252571173614901</v>
      </c>
      <c r="C2027">
        <v>0.99518628827177102</v>
      </c>
      <c r="D2027">
        <v>0.86719275921931505</v>
      </c>
      <c r="E2027">
        <v>0.75553697661900798</v>
      </c>
      <c r="F2027">
        <v>0.134005162200108</v>
      </c>
      <c r="G2027">
        <v>8.3920251286500602E-2</v>
      </c>
      <c r="H2027">
        <v>5.8926086338478401E-2</v>
      </c>
      <c r="I2027">
        <v>5.9230724857263502E-2</v>
      </c>
      <c r="J2027">
        <v>6.7095472073283494E-2</v>
      </c>
      <c r="K2027">
        <v>6.7016497757266799E-2</v>
      </c>
      <c r="L2027">
        <v>2382.9030981114502</v>
      </c>
      <c r="M2027">
        <v>47.067442217336797</v>
      </c>
      <c r="N2027">
        <v>50.773786634731501</v>
      </c>
      <c r="O2027">
        <v>50.536280549546703</v>
      </c>
      <c r="P2027">
        <v>-0.21806854007385401</v>
      </c>
      <c r="Q2027">
        <v>6.3440845875223306E-2</v>
      </c>
      <c r="R2027">
        <v>0.99024742971525903</v>
      </c>
      <c r="S2027" t="s">
        <v>8673</v>
      </c>
      <c r="T2027" t="s">
        <v>13290</v>
      </c>
      <c r="U2027" t="s">
        <v>13290</v>
      </c>
      <c r="V2027" t="s">
        <v>13290</v>
      </c>
      <c r="W2027" t="s">
        <v>15284</v>
      </c>
      <c r="X2027">
        <v>74</v>
      </c>
      <c r="Y2027" t="s">
        <v>21845</v>
      </c>
      <c r="Z2027" t="s">
        <v>28357</v>
      </c>
      <c r="AA2027">
        <v>0.39757628940669237</v>
      </c>
      <c r="AB2027" t="str">
        <f>HYPERLINK("Melting_Curves/meltCurve_P07900_HSP90AA1.pdf", "Melting_Curves/meltCurve_P07900_HSP90AA1.pdf")</f>
        <v>Melting_Curves/meltCurve_P07900_HSP90AA1.pdf</v>
      </c>
    </row>
    <row r="2028" spans="1:28" x14ac:dyDescent="0.25">
      <c r="A2028" t="s">
        <v>2032</v>
      </c>
      <c r="B2028">
        <v>0.99252571173614901</v>
      </c>
      <c r="C2028">
        <v>1.03468227872115</v>
      </c>
      <c r="D2028">
        <v>0.99261229740534296</v>
      </c>
      <c r="E2028">
        <v>0.96443472595256496</v>
      </c>
      <c r="F2028">
        <v>0.79608481824934896</v>
      </c>
      <c r="G2028">
        <v>0.40729296156225397</v>
      </c>
      <c r="H2028">
        <v>0.18686142558694199</v>
      </c>
      <c r="I2028">
        <v>0.157561410298557</v>
      </c>
      <c r="J2028">
        <v>0.20483089246758601</v>
      </c>
      <c r="K2028">
        <v>0.207184646717302</v>
      </c>
      <c r="L2028">
        <v>1810.70107854304</v>
      </c>
      <c r="M2028">
        <v>32.909264449150598</v>
      </c>
      <c r="N2028">
        <v>55.777334242199402</v>
      </c>
      <c r="O2028">
        <v>54.819042422510101</v>
      </c>
      <c r="P2028">
        <v>-0.123069599338738</v>
      </c>
      <c r="Q2028">
        <v>0.17998445069052499</v>
      </c>
      <c r="R2028">
        <v>0.99671870688753095</v>
      </c>
      <c r="S2028" t="s">
        <v>8674</v>
      </c>
      <c r="T2028" t="s">
        <v>13290</v>
      </c>
      <c r="U2028" t="s">
        <v>13290</v>
      </c>
      <c r="V2028" t="s">
        <v>13290</v>
      </c>
      <c r="W2028" t="s">
        <v>15285</v>
      </c>
      <c r="X2028">
        <v>8</v>
      </c>
      <c r="Y2028" t="s">
        <v>21846</v>
      </c>
      <c r="Z2028" t="s">
        <v>28358</v>
      </c>
      <c r="AA2028">
        <v>0.59512490775960458</v>
      </c>
      <c r="AB2028" t="str">
        <f>HYPERLINK("Melting_Curves/meltCurve_P07902_GALT.pdf", "Melting_Curves/meltCurve_P07902_GALT.pdf")</f>
        <v>Melting_Curves/meltCurve_P07902_GALT.pdf</v>
      </c>
    </row>
    <row r="2029" spans="1:28" x14ac:dyDescent="0.25">
      <c r="A2029" t="s">
        <v>2033</v>
      </c>
      <c r="B2029">
        <v>0.99252571173614901</v>
      </c>
      <c r="C2029">
        <v>1.03891491764651</v>
      </c>
      <c r="D2029">
        <v>0.94312127827136305</v>
      </c>
      <c r="E2029">
        <v>1.08730045705246</v>
      </c>
      <c r="F2029">
        <v>0.76747899831375899</v>
      </c>
      <c r="G2029">
        <v>0.75111942651030805</v>
      </c>
      <c r="H2029">
        <v>1.0214365892667701</v>
      </c>
      <c r="I2029">
        <v>2.56673990103195</v>
      </c>
      <c r="J2029">
        <v>4.1208673775723801</v>
      </c>
      <c r="K2029">
        <v>4.7601594378591203</v>
      </c>
      <c r="L2029">
        <v>15000</v>
      </c>
      <c r="M2029">
        <v>243.703226207699</v>
      </c>
      <c r="O2029">
        <v>61.5461271226999</v>
      </c>
      <c r="P2029">
        <v>0.49496051978490302</v>
      </c>
      <c r="Q2029">
        <v>1.5</v>
      </c>
      <c r="R2029">
        <v>6.0974330058019097E-2</v>
      </c>
      <c r="S2029" t="s">
        <v>8675</v>
      </c>
      <c r="T2029" t="s">
        <v>13290</v>
      </c>
      <c r="U2029" t="s">
        <v>13290</v>
      </c>
      <c r="V2029" t="s">
        <v>13290</v>
      </c>
      <c r="W2029" t="s">
        <v>15286</v>
      </c>
      <c r="X2029">
        <v>9</v>
      </c>
      <c r="Y2029" t="s">
        <v>21847</v>
      </c>
      <c r="Z2029" t="s">
        <v>28359</v>
      </c>
      <c r="AA2029">
        <v>1.1407719528485349</v>
      </c>
      <c r="AB2029" t="str">
        <f>HYPERLINK("Melting_Curves/meltCurve_P07919_UQCRH.pdf", "Melting_Curves/meltCurve_P07919_UQCRH.pdf")</f>
        <v>Melting_Curves/meltCurve_P07919_UQCRH.pdf</v>
      </c>
    </row>
    <row r="2030" spans="1:28" x14ac:dyDescent="0.25">
      <c r="A2030" t="s">
        <v>2034</v>
      </c>
      <c r="B2030">
        <v>0.99252571173614901</v>
      </c>
      <c r="C2030">
        <v>0.91625843013582497</v>
      </c>
      <c r="D2030">
        <v>0.74802220364684402</v>
      </c>
      <c r="E2030">
        <v>0.70432008130795298</v>
      </c>
      <c r="F2030">
        <v>0.40482565012421601</v>
      </c>
      <c r="G2030">
        <v>0.14314486243562399</v>
      </c>
      <c r="H2030">
        <v>0.108670810077328</v>
      </c>
      <c r="I2030">
        <v>0.11391728218177199</v>
      </c>
      <c r="J2030">
        <v>0.124722331811816</v>
      </c>
      <c r="K2030">
        <v>8.1936442953020203E-2</v>
      </c>
      <c r="L2030">
        <v>739.87508630630305</v>
      </c>
      <c r="M2030">
        <v>14.5412314386946</v>
      </c>
      <c r="N2030">
        <v>51.301203283507597</v>
      </c>
      <c r="O2030">
        <v>49.947940009597801</v>
      </c>
      <c r="P2030">
        <v>-6.8705267457217695E-2</v>
      </c>
      <c r="Q2030">
        <v>5.6119806381785597E-2</v>
      </c>
      <c r="R2030">
        <v>0.97886165251483603</v>
      </c>
      <c r="S2030" t="s">
        <v>8676</v>
      </c>
      <c r="T2030" t="s">
        <v>13290</v>
      </c>
      <c r="U2030" t="s">
        <v>13290</v>
      </c>
      <c r="V2030" t="s">
        <v>13290</v>
      </c>
      <c r="W2030" t="s">
        <v>15287</v>
      </c>
      <c r="X2030">
        <v>16</v>
      </c>
      <c r="Y2030" t="s">
        <v>21848</v>
      </c>
      <c r="Z2030" t="s">
        <v>28360</v>
      </c>
      <c r="AA2030">
        <v>0.42151487418657158</v>
      </c>
      <c r="AB2030" t="str">
        <f>HYPERLINK("Melting_Curves/meltCurve_P07948_2_LYN.pdf", "Melting_Curves/meltCurve_P07948_2_LYN.pdf")</f>
        <v>Melting_Curves/meltCurve_P07948_2_LYN.pdf</v>
      </c>
    </row>
    <row r="2031" spans="1:28" x14ac:dyDescent="0.25">
      <c r="A2031" t="s">
        <v>2035</v>
      </c>
      <c r="B2031">
        <v>0.99252571173614901</v>
      </c>
      <c r="C2031">
        <v>1.0596275099710299</v>
      </c>
      <c r="D2031">
        <v>0.96039604598258599</v>
      </c>
      <c r="E2031">
        <v>0.94000764933881098</v>
      </c>
      <c r="F2031">
        <v>0.88054868371536699</v>
      </c>
      <c r="G2031">
        <v>0.81561091218302795</v>
      </c>
      <c r="H2031">
        <v>0.87346729667843404</v>
      </c>
      <c r="I2031">
        <v>1.18154941982898</v>
      </c>
      <c r="J2031">
        <v>1.64971788319677</v>
      </c>
      <c r="K2031">
        <v>1.7938565438073399</v>
      </c>
      <c r="L2031">
        <v>15000</v>
      </c>
      <c r="M2031">
        <v>233.813243548147</v>
      </c>
      <c r="O2031">
        <v>64.149072075992194</v>
      </c>
      <c r="P2031">
        <v>0.45560527300796899</v>
      </c>
      <c r="Q2031">
        <v>1.5</v>
      </c>
      <c r="R2031">
        <v>0.82290338719582101</v>
      </c>
      <c r="S2031" t="s">
        <v>8677</v>
      </c>
      <c r="T2031" t="s">
        <v>13290</v>
      </c>
      <c r="U2031" t="s">
        <v>13290</v>
      </c>
      <c r="V2031" t="s">
        <v>13290</v>
      </c>
      <c r="W2031" t="s">
        <v>15288</v>
      </c>
      <c r="X2031">
        <v>33</v>
      </c>
      <c r="Y2031" t="s">
        <v>21849</v>
      </c>
      <c r="Z2031" t="s">
        <v>28361</v>
      </c>
      <c r="AA2031">
        <v>1.0973728807631311</v>
      </c>
      <c r="AB2031" t="str">
        <f>HYPERLINK("Melting_Curves/meltCurve_P07951_TPM2.pdf", "Melting_Curves/meltCurve_P07951_TPM2.pdf")</f>
        <v>Melting_Curves/meltCurve_P07951_TPM2.pdf</v>
      </c>
    </row>
    <row r="2032" spans="1:28" x14ac:dyDescent="0.25">
      <c r="A2032" t="s">
        <v>2036</v>
      </c>
      <c r="B2032">
        <v>0.99252571173614901</v>
      </c>
      <c r="C2032">
        <v>0.62956185604179904</v>
      </c>
      <c r="D2032">
        <v>1.29341117469734</v>
      </c>
      <c r="E2032">
        <v>1.27911870749732</v>
      </c>
      <c r="F2032">
        <v>0.64265931155470601</v>
      </c>
      <c r="G2032">
        <v>0.120901127198171</v>
      </c>
      <c r="H2032">
        <v>5.9981500717725199E-2</v>
      </c>
      <c r="I2032">
        <v>5.0487834029033299E-2</v>
      </c>
      <c r="J2032">
        <v>5.7139329288033301E-2</v>
      </c>
      <c r="K2032">
        <v>5.8876207922378701E-2</v>
      </c>
      <c r="L2032">
        <v>5309.5855936279004</v>
      </c>
      <c r="M2032">
        <v>99.325537815228699</v>
      </c>
      <c r="N2032">
        <v>53.536260497959702</v>
      </c>
      <c r="O2032">
        <v>53.434739835919601</v>
      </c>
      <c r="P2032">
        <v>-0.432710136236161</v>
      </c>
      <c r="Q2032">
        <v>6.8849651586875601E-2</v>
      </c>
      <c r="R2032">
        <v>0.87531488276728298</v>
      </c>
      <c r="S2032" t="s">
        <v>8678</v>
      </c>
      <c r="T2032" t="s">
        <v>13290</v>
      </c>
      <c r="U2032" t="s">
        <v>13290</v>
      </c>
      <c r="V2032" t="s">
        <v>13290</v>
      </c>
      <c r="W2032" t="s">
        <v>15289</v>
      </c>
      <c r="X2032">
        <v>29</v>
      </c>
      <c r="Y2032" t="s">
        <v>21850</v>
      </c>
      <c r="Z2032" t="s">
        <v>28362</v>
      </c>
      <c r="AA2032">
        <v>0.48706807968278198</v>
      </c>
      <c r="AB2032" t="str">
        <f>HYPERLINK("Melting_Curves/meltCurve_P07954_2_FH.pdf", "Melting_Curves/meltCurve_P07954_2_FH.pdf")</f>
        <v>Melting_Curves/meltCurve_P07954_2_FH.pdf</v>
      </c>
    </row>
    <row r="2033" spans="1:28" x14ac:dyDescent="0.25">
      <c r="A2033" t="s">
        <v>2037</v>
      </c>
      <c r="B2033">
        <v>0.99252571173614901</v>
      </c>
      <c r="C2033">
        <v>0.87569291947141503</v>
      </c>
      <c r="D2033">
        <v>0.805809969382145</v>
      </c>
      <c r="E2033">
        <v>0.71486504424879405</v>
      </c>
      <c r="F2033">
        <v>0.43986668539231699</v>
      </c>
      <c r="G2033">
        <v>0.25190492200200498</v>
      </c>
      <c r="H2033">
        <v>0.18800625666371601</v>
      </c>
      <c r="I2033">
        <v>0.239194108373147</v>
      </c>
      <c r="J2033">
        <v>0.33886297195318499</v>
      </c>
      <c r="K2033">
        <v>0.31580773404755702</v>
      </c>
      <c r="L2033">
        <v>850.98925478522006</v>
      </c>
      <c r="M2033">
        <v>17.1028328099001</v>
      </c>
      <c r="N2033">
        <v>51.813394276561397</v>
      </c>
      <c r="O2033">
        <v>49.091904265440498</v>
      </c>
      <c r="P2033">
        <v>-6.5642474635086101E-2</v>
      </c>
      <c r="Q2033">
        <v>0.24636597011012201</v>
      </c>
      <c r="R2033">
        <v>0.95026500103262002</v>
      </c>
      <c r="S2033" t="s">
        <v>8679</v>
      </c>
      <c r="T2033" t="s">
        <v>13290</v>
      </c>
      <c r="U2033" t="s">
        <v>13290</v>
      </c>
      <c r="V2033" t="s">
        <v>13290</v>
      </c>
      <c r="W2033" t="s">
        <v>15290</v>
      </c>
      <c r="X2033">
        <v>4</v>
      </c>
      <c r="Y2033" t="s">
        <v>21851</v>
      </c>
      <c r="Z2033" t="s">
        <v>28363</v>
      </c>
      <c r="AA2033">
        <v>0.50569344388810555</v>
      </c>
      <c r="AB2033" t="str">
        <f>HYPERLINK("Melting_Curves/meltCurve_P08034_GJB1.pdf", "Melting_Curves/meltCurve_P08034_GJB1.pdf")</f>
        <v>Melting_Curves/meltCurve_P08034_GJB1.pdf</v>
      </c>
    </row>
    <row r="2034" spans="1:28" x14ac:dyDescent="0.25">
      <c r="A2034" t="s">
        <v>2038</v>
      </c>
      <c r="B2034">
        <v>0.99252571173614901</v>
      </c>
      <c r="C2034">
        <v>0.97697532185906799</v>
      </c>
      <c r="D2034">
        <v>0.77778820940541804</v>
      </c>
      <c r="E2034">
        <v>0.58036552539298802</v>
      </c>
      <c r="F2034">
        <v>0.26509658792589202</v>
      </c>
      <c r="G2034">
        <v>0.150349712804104</v>
      </c>
      <c r="H2034">
        <v>0.13260596303765099</v>
      </c>
      <c r="I2034">
        <v>0.170937977874138</v>
      </c>
      <c r="J2034">
        <v>0.26021781209501799</v>
      </c>
      <c r="K2034">
        <v>0.31488811181832899</v>
      </c>
      <c r="L2034">
        <v>1125.8630243625701</v>
      </c>
      <c r="M2034">
        <v>23.124565551928601</v>
      </c>
      <c r="N2034">
        <v>49.773387448710601</v>
      </c>
      <c r="O2034">
        <v>48.327187653934203</v>
      </c>
      <c r="P2034">
        <v>-9.5919194285789502E-2</v>
      </c>
      <c r="Q2034">
        <v>0.19818282086599401</v>
      </c>
      <c r="R2034">
        <v>0.96390541004226504</v>
      </c>
      <c r="S2034" t="s">
        <v>8680</v>
      </c>
      <c r="T2034" t="s">
        <v>13290</v>
      </c>
      <c r="U2034" t="s">
        <v>13290</v>
      </c>
      <c r="V2034" t="s">
        <v>13290</v>
      </c>
      <c r="W2034" t="s">
        <v>15291</v>
      </c>
      <c r="X2034">
        <v>10</v>
      </c>
      <c r="Y2034" t="s">
        <v>21852</v>
      </c>
      <c r="Z2034" t="s">
        <v>28364</v>
      </c>
      <c r="AA2034">
        <v>0.43870113945988343</v>
      </c>
      <c r="AB2034" t="str">
        <f>HYPERLINK("Melting_Curves/meltCurve_P08047_SP1.pdf", "Melting_Curves/meltCurve_P08047_SP1.pdf")</f>
        <v>Melting_Curves/meltCurve_P08047_SP1.pdf</v>
      </c>
    </row>
    <row r="2035" spans="1:28" x14ac:dyDescent="0.25">
      <c r="A2035" t="s">
        <v>2039</v>
      </c>
      <c r="B2035">
        <v>0.99252571173614901</v>
      </c>
      <c r="C2035">
        <v>0.98562453546941398</v>
      </c>
      <c r="D2035">
        <v>0.95754815545850702</v>
      </c>
      <c r="E2035">
        <v>0.86408405901346097</v>
      </c>
      <c r="F2035">
        <v>0.76414366580188298</v>
      </c>
      <c r="G2035">
        <v>0.50724031882944698</v>
      </c>
      <c r="H2035">
        <v>0.19628009655296499</v>
      </c>
      <c r="I2035">
        <v>8.0480597604616802E-2</v>
      </c>
      <c r="J2035">
        <v>8.1920137744959806E-2</v>
      </c>
      <c r="K2035">
        <v>7.5480236570186501E-2</v>
      </c>
      <c r="L2035">
        <v>1004.15996803605</v>
      </c>
      <c r="M2035">
        <v>17.819159357936101</v>
      </c>
      <c r="N2035">
        <v>56.453948259728897</v>
      </c>
      <c r="O2035">
        <v>55.6574874124384</v>
      </c>
      <c r="P2035">
        <v>-7.8786227354890506E-2</v>
      </c>
      <c r="Q2035">
        <v>1.5707303185953099E-2</v>
      </c>
      <c r="R2035">
        <v>0.99399813681595295</v>
      </c>
      <c r="S2035" t="s">
        <v>8681</v>
      </c>
      <c r="T2035" t="s">
        <v>13290</v>
      </c>
      <c r="U2035" t="s">
        <v>13290</v>
      </c>
      <c r="V2035" t="s">
        <v>13290</v>
      </c>
      <c r="W2035" t="s">
        <v>15292</v>
      </c>
      <c r="X2035">
        <v>53</v>
      </c>
      <c r="Y2035" t="s">
        <v>21853</v>
      </c>
      <c r="Z2035" t="s">
        <v>28365</v>
      </c>
      <c r="AA2035">
        <v>0.56658244868837071</v>
      </c>
      <c r="AB2035" t="str">
        <f>HYPERLINK("Melting_Curves/meltCurve_P08107_HSPA1A.pdf", "Melting_Curves/meltCurve_P08107_HSPA1A.pdf")</f>
        <v>Melting_Curves/meltCurve_P08107_HSPA1A.pdf</v>
      </c>
    </row>
    <row r="2036" spans="1:28" x14ac:dyDescent="0.25">
      <c r="A2036" t="s">
        <v>2040</v>
      </c>
      <c r="B2036">
        <v>0.99252571173614901</v>
      </c>
      <c r="C2036">
        <v>0.93667707848916304</v>
      </c>
      <c r="D2036">
        <v>1.07584359895744</v>
      </c>
      <c r="E2036">
        <v>0.97246044258890196</v>
      </c>
      <c r="F2036">
        <v>1.1235568578934001</v>
      </c>
      <c r="G2036">
        <v>0.99397464786899303</v>
      </c>
      <c r="H2036">
        <v>1.0849249933120899</v>
      </c>
      <c r="I2036">
        <v>1.5802578030771</v>
      </c>
      <c r="J2036">
        <v>2.0664483352326699</v>
      </c>
      <c r="K2036">
        <v>0.82331654872184301</v>
      </c>
      <c r="L2036">
        <v>15000</v>
      </c>
      <c r="M2036">
        <v>245.14838678558101</v>
      </c>
      <c r="O2036">
        <v>61.183358953693798</v>
      </c>
      <c r="P2036">
        <v>0.49084041473531997</v>
      </c>
      <c r="Q2036">
        <v>1.49000959159139</v>
      </c>
      <c r="R2036">
        <v>0.35960555386646498</v>
      </c>
      <c r="S2036" t="s">
        <v>8682</v>
      </c>
      <c r="T2036" t="s">
        <v>13290</v>
      </c>
      <c r="U2036" t="s">
        <v>13290</v>
      </c>
      <c r="V2036" t="s">
        <v>13290</v>
      </c>
      <c r="W2036" t="s">
        <v>15293</v>
      </c>
      <c r="X2036">
        <v>29</v>
      </c>
      <c r="Y2036" t="s">
        <v>21854</v>
      </c>
      <c r="Z2036" t="s">
        <v>28366</v>
      </c>
      <c r="AA2036">
        <v>1.14388672214247</v>
      </c>
      <c r="AB2036" t="str">
        <f>HYPERLINK("Melting_Curves/meltCurve_P08237_PFKM.pdf", "Melting_Curves/meltCurve_P08237_PFKM.pdf")</f>
        <v>Melting_Curves/meltCurve_P08237_PFKM.pdf</v>
      </c>
    </row>
    <row r="2037" spans="1:28" x14ac:dyDescent="0.25">
      <c r="A2037" t="s">
        <v>2041</v>
      </c>
      <c r="B2037">
        <v>0.99252571173614901</v>
      </c>
      <c r="C2037">
        <v>0.99269192214983204</v>
      </c>
      <c r="D2037">
        <v>0.82208992678305204</v>
      </c>
      <c r="E2037">
        <v>0.67888808224847397</v>
      </c>
      <c r="F2037">
        <v>0.14493465804129599</v>
      </c>
      <c r="G2037">
        <v>8.2564620396121197E-2</v>
      </c>
      <c r="H2037">
        <v>5.6189906543372498E-2</v>
      </c>
      <c r="I2037">
        <v>5.7598381056906199E-2</v>
      </c>
      <c r="J2037">
        <v>6.7506411811265904E-2</v>
      </c>
      <c r="K2037">
        <v>6.5148940240288097E-2</v>
      </c>
      <c r="L2037">
        <v>1495.9932778237101</v>
      </c>
      <c r="M2037">
        <v>29.771058806659699</v>
      </c>
      <c r="N2037">
        <v>50.435383834241499</v>
      </c>
      <c r="O2037">
        <v>50.024841503003799</v>
      </c>
      <c r="P2037">
        <v>-0.14106831117395599</v>
      </c>
      <c r="Q2037">
        <v>5.1848208707527703E-2</v>
      </c>
      <c r="R2037">
        <v>0.98580861391811403</v>
      </c>
      <c r="S2037" t="s">
        <v>8683</v>
      </c>
      <c r="T2037" t="s">
        <v>13290</v>
      </c>
      <c r="U2037" t="s">
        <v>13290</v>
      </c>
      <c r="V2037" t="s">
        <v>13290</v>
      </c>
      <c r="W2037" t="s">
        <v>15294</v>
      </c>
      <c r="X2037">
        <v>83</v>
      </c>
      <c r="Y2037" t="s">
        <v>21855</v>
      </c>
      <c r="Z2037" t="s">
        <v>28367</v>
      </c>
      <c r="AA2037">
        <v>0.38177761276379912</v>
      </c>
      <c r="AB2037" t="str">
        <f>HYPERLINK("Melting_Curves/meltCurve_P08238_HSP90AB1.pdf", "Melting_Curves/meltCurve_P08238_HSP90AB1.pdf")</f>
        <v>Melting_Curves/meltCurve_P08238_HSP90AB1.pdf</v>
      </c>
    </row>
    <row r="2038" spans="1:28" x14ac:dyDescent="0.25">
      <c r="A2038" t="s">
        <v>2042</v>
      </c>
      <c r="B2038">
        <v>0.99252571173614901</v>
      </c>
      <c r="C2038">
        <v>0.95562357290272104</v>
      </c>
      <c r="D2038">
        <v>0.73463029917201395</v>
      </c>
      <c r="E2038">
        <v>0.64229142317669097</v>
      </c>
      <c r="F2038">
        <v>0.16888430270145</v>
      </c>
      <c r="G2038">
        <v>8.8746233848712205E-2</v>
      </c>
      <c r="H2038">
        <v>5.7856642889519201E-2</v>
      </c>
      <c r="I2038">
        <v>5.2408881348722701E-2</v>
      </c>
      <c r="J2038">
        <v>5.8364456231818497E-2</v>
      </c>
      <c r="K2038">
        <v>5.0450763844412001E-2</v>
      </c>
      <c r="L2038">
        <v>950.49784422323899</v>
      </c>
      <c r="M2038">
        <v>19.115893737543502</v>
      </c>
      <c r="N2038">
        <v>49.8886393690047</v>
      </c>
      <c r="O2038">
        <v>49.188338820449303</v>
      </c>
      <c r="P2038">
        <v>-9.4171314264109393E-2</v>
      </c>
      <c r="Q2038">
        <v>3.07644021165192E-2</v>
      </c>
      <c r="R2038">
        <v>0.97950566950403595</v>
      </c>
      <c r="S2038" t="s">
        <v>8684</v>
      </c>
      <c r="T2038" t="s">
        <v>13290</v>
      </c>
      <c r="U2038" t="s">
        <v>13290</v>
      </c>
      <c r="V2038" t="s">
        <v>13290</v>
      </c>
      <c r="W2038" t="s">
        <v>15295</v>
      </c>
      <c r="X2038">
        <v>39</v>
      </c>
      <c r="Y2038" t="s">
        <v>21856</v>
      </c>
      <c r="Z2038" t="s">
        <v>28368</v>
      </c>
      <c r="AA2038">
        <v>0.35965444856735068</v>
      </c>
      <c r="AB2038" t="str">
        <f>HYPERLINK("Melting_Curves/meltCurve_P08240_SRPR.pdf", "Melting_Curves/meltCurve_P08240_SRPR.pdf")</f>
        <v>Melting_Curves/meltCurve_P08240_SRPR.pdf</v>
      </c>
    </row>
    <row r="2039" spans="1:28" x14ac:dyDescent="0.25">
      <c r="A2039" t="s">
        <v>2043</v>
      </c>
      <c r="B2039">
        <v>0.99252571173614901</v>
      </c>
      <c r="C2039">
        <v>0.93283763995156499</v>
      </c>
      <c r="D2039">
        <v>1.00101958084219</v>
      </c>
      <c r="E2039">
        <v>0.89282152834897699</v>
      </c>
      <c r="F2039">
        <v>0.63714864417093398</v>
      </c>
      <c r="G2039">
        <v>0.14363201926007099</v>
      </c>
      <c r="H2039">
        <v>7.9339239992839303E-2</v>
      </c>
      <c r="I2039">
        <v>7.0104245370959606E-2</v>
      </c>
      <c r="J2039">
        <v>7.2316555680697503E-2</v>
      </c>
      <c r="K2039">
        <v>6.9992014153605703E-2</v>
      </c>
      <c r="L2039">
        <v>1966.80513011623</v>
      </c>
      <c r="M2039">
        <v>36.6245138596435</v>
      </c>
      <c r="N2039">
        <v>53.902492670742603</v>
      </c>
      <c r="O2039">
        <v>53.5425306517457</v>
      </c>
      <c r="P2039">
        <v>-0.16011127371598199</v>
      </c>
      <c r="Q2039">
        <v>6.3715975972206199E-2</v>
      </c>
      <c r="R2039">
        <v>0.99389623735191002</v>
      </c>
      <c r="S2039" t="s">
        <v>8685</v>
      </c>
      <c r="T2039" t="s">
        <v>13290</v>
      </c>
      <c r="U2039" t="s">
        <v>13290</v>
      </c>
      <c r="V2039" t="s">
        <v>13290</v>
      </c>
      <c r="W2039" t="s">
        <v>15296</v>
      </c>
      <c r="X2039">
        <v>38</v>
      </c>
      <c r="Y2039" t="s">
        <v>21857</v>
      </c>
      <c r="Z2039" t="s">
        <v>28369</v>
      </c>
      <c r="AA2039">
        <v>0.49548173941286439</v>
      </c>
      <c r="AB2039" t="str">
        <f>HYPERLINK("Melting_Curves/meltCurve_P08243_2_ASNS.pdf", "Melting_Curves/meltCurve_P08243_2_ASNS.pdf")</f>
        <v>Melting_Curves/meltCurve_P08243_2_ASNS.pdf</v>
      </c>
    </row>
    <row r="2040" spans="1:28" x14ac:dyDescent="0.25">
      <c r="A2040" t="s">
        <v>2044</v>
      </c>
      <c r="B2040">
        <v>0.99252571173614901</v>
      </c>
      <c r="C2040">
        <v>1.12253451040297</v>
      </c>
      <c r="D2040">
        <v>0.92056494007798095</v>
      </c>
      <c r="E2040">
        <v>0.946413763853302</v>
      </c>
      <c r="F2040">
        <v>0.74464849792843502</v>
      </c>
      <c r="G2040">
        <v>0.65703467861951903</v>
      </c>
      <c r="H2040">
        <v>0.63605608531673796</v>
      </c>
      <c r="I2040">
        <v>0.82747356020606699</v>
      </c>
      <c r="J2040">
        <v>1.0540980397172099</v>
      </c>
      <c r="K2040">
        <v>0.69393416828089904</v>
      </c>
      <c r="L2040">
        <v>12459.415888687599</v>
      </c>
      <c r="M2040">
        <v>250</v>
      </c>
      <c r="O2040">
        <v>49.834474423109</v>
      </c>
      <c r="P2040">
        <v>-0.28986689938517701</v>
      </c>
      <c r="Q2040">
        <v>0.76887416762222904</v>
      </c>
      <c r="R2040">
        <v>0.46936694997804201</v>
      </c>
      <c r="S2040" t="s">
        <v>8686</v>
      </c>
      <c r="T2040" t="s">
        <v>13290</v>
      </c>
      <c r="U2040" t="s">
        <v>13290</v>
      </c>
      <c r="V2040" t="s">
        <v>13290</v>
      </c>
      <c r="W2040" t="s">
        <v>15297</v>
      </c>
      <c r="X2040">
        <v>2</v>
      </c>
      <c r="Y2040" t="s">
        <v>21858</v>
      </c>
      <c r="Z2040" t="s">
        <v>28370</v>
      </c>
      <c r="AA2040">
        <v>0.84468565547836394</v>
      </c>
      <c r="AB2040" t="str">
        <f>HYPERLINK("Melting_Curves/meltCurve_P08294_SOD3.pdf", "Melting_Curves/meltCurve_P08294_SOD3.pdf")</f>
        <v>Melting_Curves/meltCurve_P08294_SOD3.pdf</v>
      </c>
    </row>
    <row r="2041" spans="1:28" x14ac:dyDescent="0.25">
      <c r="A2041" t="s">
        <v>2045</v>
      </c>
      <c r="B2041">
        <v>0.99252571173614901</v>
      </c>
      <c r="C2041">
        <v>1.0864823263196799</v>
      </c>
      <c r="D2041">
        <v>0.84134240890691803</v>
      </c>
      <c r="E2041">
        <v>0.86938496756926298</v>
      </c>
      <c r="F2041">
        <v>0.76623455175157396</v>
      </c>
      <c r="G2041">
        <v>0.69556218133478698</v>
      </c>
      <c r="H2041">
        <v>0.70311901353961503</v>
      </c>
      <c r="I2041">
        <v>0.83305249396398395</v>
      </c>
      <c r="J2041">
        <v>1.03483165476198</v>
      </c>
      <c r="K2041">
        <v>0.880985023777348</v>
      </c>
      <c r="L2041">
        <v>11392.035060820601</v>
      </c>
      <c r="M2041">
        <v>250</v>
      </c>
      <c r="O2041">
        <v>45.565224681012197</v>
      </c>
      <c r="P2041">
        <v>-0.23843965075397699</v>
      </c>
      <c r="Q2041">
        <v>0.82616710194597898</v>
      </c>
      <c r="R2041">
        <v>0.42775716994199398</v>
      </c>
      <c r="S2041" t="s">
        <v>8687</v>
      </c>
      <c r="T2041" t="s">
        <v>13290</v>
      </c>
      <c r="U2041" t="s">
        <v>13290</v>
      </c>
      <c r="V2041" t="s">
        <v>13290</v>
      </c>
      <c r="W2041" t="s">
        <v>15298</v>
      </c>
      <c r="X2041">
        <v>18</v>
      </c>
      <c r="Y2041" t="s">
        <v>21859</v>
      </c>
      <c r="Z2041" t="s">
        <v>28371</v>
      </c>
      <c r="AA2041">
        <v>0.85844520211089204</v>
      </c>
      <c r="AB2041" t="str">
        <f>HYPERLINK("Melting_Curves/meltCurve_P08397_2_HMBS.pdf", "Melting_Curves/meltCurve_P08397_2_HMBS.pdf")</f>
        <v>Melting_Curves/meltCurve_P08397_2_HMBS.pdf</v>
      </c>
    </row>
    <row r="2042" spans="1:28" x14ac:dyDescent="0.25">
      <c r="A2042" t="s">
        <v>2046</v>
      </c>
      <c r="B2042">
        <v>0.99252571173614901</v>
      </c>
      <c r="C2042">
        <v>0.90851625014740101</v>
      </c>
      <c r="D2042">
        <v>0.89154667811677002</v>
      </c>
      <c r="E2042">
        <v>0.896086314689717</v>
      </c>
      <c r="F2042">
        <v>0.72668734856874595</v>
      </c>
      <c r="G2042">
        <v>0.56224523965985695</v>
      </c>
      <c r="H2042">
        <v>0.41071316063719499</v>
      </c>
      <c r="I2042">
        <v>0.25829181398378098</v>
      </c>
      <c r="J2042">
        <v>0.33528231781370299</v>
      </c>
      <c r="K2042">
        <v>0.231062487920045</v>
      </c>
      <c r="L2042">
        <v>638.575144686979</v>
      </c>
      <c r="M2042">
        <v>11.322500141753199</v>
      </c>
      <c r="N2042">
        <v>58.276006464587503</v>
      </c>
      <c r="O2042">
        <v>54.7254086822985</v>
      </c>
      <c r="P2042">
        <v>-4.3833530915425398E-2</v>
      </c>
      <c r="Q2042">
        <v>0.152807588501881</v>
      </c>
      <c r="R2042">
        <v>0.97751357215704104</v>
      </c>
      <c r="S2042" t="s">
        <v>8688</v>
      </c>
      <c r="T2042" t="s">
        <v>13290</v>
      </c>
      <c r="U2042" t="s">
        <v>13290</v>
      </c>
      <c r="V2042" t="s">
        <v>13290</v>
      </c>
      <c r="W2042" t="s">
        <v>15299</v>
      </c>
      <c r="X2042">
        <v>21</v>
      </c>
      <c r="Y2042" t="s">
        <v>21860</v>
      </c>
      <c r="Z2042" t="s">
        <v>28372</v>
      </c>
      <c r="AA2042">
        <v>0.6321850882222827</v>
      </c>
      <c r="AB2042" t="str">
        <f>HYPERLINK("Melting_Curves/meltCurve_P08473_MME.pdf", "Melting_Curves/meltCurve_P08473_MME.pdf")</f>
        <v>Melting_Curves/meltCurve_P08473_MME.pdf</v>
      </c>
    </row>
    <row r="2043" spans="1:28" x14ac:dyDescent="0.25">
      <c r="A2043" t="s">
        <v>2047</v>
      </c>
      <c r="B2043">
        <v>0.99252571173614901</v>
      </c>
      <c r="C2043">
        <v>1.0444906424540701</v>
      </c>
      <c r="D2043">
        <v>1.1662021972380101</v>
      </c>
      <c r="E2043">
        <v>0.88378263273054902</v>
      </c>
      <c r="F2043">
        <v>0.17001933862502699</v>
      </c>
      <c r="G2043">
        <v>0.10310887066690599</v>
      </c>
      <c r="H2043">
        <v>7.2503736428820895E-2</v>
      </c>
      <c r="I2043">
        <v>7.94059663772268E-2</v>
      </c>
      <c r="J2043">
        <v>9.3991206963358498E-2</v>
      </c>
      <c r="K2043">
        <v>9.2106129306024603E-2</v>
      </c>
      <c r="L2043">
        <v>3146.69017908563</v>
      </c>
      <c r="M2043">
        <v>61.487027851072803</v>
      </c>
      <c r="N2043">
        <v>51.338272927395003</v>
      </c>
      <c r="O2043">
        <v>51.122438400428003</v>
      </c>
      <c r="P2043">
        <v>-0.27420514442049598</v>
      </c>
      <c r="Q2043">
        <v>8.8065835559623398E-2</v>
      </c>
      <c r="R2043">
        <v>0.98531983640590304</v>
      </c>
      <c r="S2043" t="s">
        <v>8689</v>
      </c>
      <c r="T2043" t="s">
        <v>13290</v>
      </c>
      <c r="U2043" t="s">
        <v>13290</v>
      </c>
      <c r="V2043" t="s">
        <v>13290</v>
      </c>
      <c r="W2043" t="s">
        <v>15300</v>
      </c>
      <c r="X2043">
        <v>22</v>
      </c>
      <c r="Y2043" t="s">
        <v>21861</v>
      </c>
      <c r="Z2043" t="s">
        <v>28373</v>
      </c>
      <c r="AA2043">
        <v>0.42916525335903888</v>
      </c>
      <c r="AB2043" t="str">
        <f>HYPERLINK("Melting_Curves/meltCurve_P08559_PDHA1.pdf", "Melting_Curves/meltCurve_P08559_PDHA1.pdf")</f>
        <v>Melting_Curves/meltCurve_P08559_PDHA1.pdf</v>
      </c>
    </row>
    <row r="2044" spans="1:28" x14ac:dyDescent="0.25">
      <c r="A2044" t="s">
        <v>2048</v>
      </c>
      <c r="B2044">
        <v>0.99252571173614901</v>
      </c>
      <c r="C2044">
        <v>0.91465864663174901</v>
      </c>
      <c r="D2044">
        <v>0.89788141302222402</v>
      </c>
      <c r="E2044">
        <v>0.85804266043134003</v>
      </c>
      <c r="F2044">
        <v>0.72188518191805195</v>
      </c>
      <c r="G2044">
        <v>0.53681707745788598</v>
      </c>
      <c r="H2044">
        <v>0.32694710812918198</v>
      </c>
      <c r="I2044">
        <v>0.18142633437032399</v>
      </c>
      <c r="J2044">
        <v>0.12994414497776899</v>
      </c>
      <c r="K2044">
        <v>0.116026800820219</v>
      </c>
      <c r="L2044">
        <v>676.33506285479098</v>
      </c>
      <c r="M2044">
        <v>11.852016072858101</v>
      </c>
      <c r="N2044">
        <v>57.064978726871402</v>
      </c>
      <c r="O2044">
        <v>55.513136809075</v>
      </c>
      <c r="P2044">
        <v>-5.3388316480984403E-2</v>
      </c>
      <c r="Q2044">
        <v>0</v>
      </c>
      <c r="R2044">
        <v>0.99179911577113899</v>
      </c>
      <c r="S2044" t="s">
        <v>8690</v>
      </c>
      <c r="T2044" t="s">
        <v>13290</v>
      </c>
      <c r="U2044" t="s">
        <v>13290</v>
      </c>
      <c r="V2044" t="s">
        <v>13290</v>
      </c>
      <c r="W2044" t="s">
        <v>15301</v>
      </c>
      <c r="X2044">
        <v>8</v>
      </c>
      <c r="Y2044" t="s">
        <v>21862</v>
      </c>
      <c r="Z2044" t="s">
        <v>28374</v>
      </c>
      <c r="AA2044">
        <v>0.58539458352392448</v>
      </c>
      <c r="AB2044" t="str">
        <f>HYPERLINK("Melting_Curves/meltCurve_P08574_CYC1.pdf", "Melting_Curves/meltCurve_P08574_CYC1.pdf")</f>
        <v>Melting_Curves/meltCurve_P08574_CYC1.pdf</v>
      </c>
    </row>
    <row r="2045" spans="1:28" x14ac:dyDescent="0.25">
      <c r="A2045" t="s">
        <v>2049</v>
      </c>
      <c r="B2045">
        <v>0.99252571173614901</v>
      </c>
      <c r="C2045">
        <v>0.99262396558881805</v>
      </c>
      <c r="D2045">
        <v>1.3565821739782</v>
      </c>
      <c r="E2045">
        <v>1.36447494450303</v>
      </c>
      <c r="F2045">
        <v>1.1797830283106501</v>
      </c>
      <c r="G2045">
        <v>0.77518797612380697</v>
      </c>
      <c r="H2045">
        <v>0.45748291597552698</v>
      </c>
      <c r="I2045">
        <v>0.46499400816242298</v>
      </c>
      <c r="J2045">
        <v>0.49631312162602598</v>
      </c>
      <c r="K2045">
        <v>0.52108980435669405</v>
      </c>
      <c r="L2045">
        <v>14214.504901758</v>
      </c>
      <c r="M2045">
        <v>250</v>
      </c>
      <c r="N2045">
        <v>57.666410291722997</v>
      </c>
      <c r="O2045">
        <v>56.8543810853105</v>
      </c>
      <c r="P2045">
        <v>-0.56617234392859095</v>
      </c>
      <c r="Q2045">
        <v>0.48496994950728001</v>
      </c>
      <c r="R2045">
        <v>0.75636346958710798</v>
      </c>
      <c r="S2045" t="s">
        <v>8691</v>
      </c>
      <c r="T2045" t="s">
        <v>13290</v>
      </c>
      <c r="U2045" t="s">
        <v>13290</v>
      </c>
      <c r="V2045" t="s">
        <v>13290</v>
      </c>
      <c r="W2045" t="s">
        <v>15302</v>
      </c>
      <c r="X2045">
        <v>6</v>
      </c>
      <c r="Y2045" t="s">
        <v>21863</v>
      </c>
      <c r="Z2045" t="s">
        <v>28375</v>
      </c>
      <c r="AA2045">
        <v>0.77443423139694301</v>
      </c>
      <c r="AB2045" t="str">
        <f>HYPERLINK("Melting_Curves/meltCurve_P08579_SNRPB2.pdf", "Melting_Curves/meltCurve_P08579_SNRPB2.pdf")</f>
        <v>Melting_Curves/meltCurve_P08579_SNRPB2.pdf</v>
      </c>
    </row>
    <row r="2046" spans="1:28" x14ac:dyDescent="0.25">
      <c r="A2046" t="s">
        <v>2050</v>
      </c>
      <c r="B2046">
        <v>0.99252571173614901</v>
      </c>
      <c r="C2046">
        <v>0.92072816896047605</v>
      </c>
      <c r="D2046">
        <v>1.1332222573106101</v>
      </c>
      <c r="E2046">
        <v>1.24511362921563</v>
      </c>
      <c r="F2046">
        <v>0.477161396052529</v>
      </c>
      <c r="G2046">
        <v>0.25230853906157902</v>
      </c>
      <c r="H2046">
        <v>0.18800969493519101</v>
      </c>
      <c r="I2046">
        <v>0.21603181327356399</v>
      </c>
      <c r="J2046">
        <v>0.41304987288670902</v>
      </c>
      <c r="K2046">
        <v>0.55290305873057299</v>
      </c>
      <c r="L2046">
        <v>13234.521876721299</v>
      </c>
      <c r="M2046">
        <v>250</v>
      </c>
      <c r="N2046">
        <v>53.160670658123301</v>
      </c>
      <c r="O2046">
        <v>52.934699960738598</v>
      </c>
      <c r="P2046">
        <v>-0.79760938981072904</v>
      </c>
      <c r="Q2046">
        <v>0.32446058281455298</v>
      </c>
      <c r="R2046">
        <v>0.87449284020006302</v>
      </c>
      <c r="S2046" t="s">
        <v>8692</v>
      </c>
      <c r="T2046" t="s">
        <v>13290</v>
      </c>
      <c r="U2046" t="s">
        <v>13290</v>
      </c>
      <c r="V2046" t="s">
        <v>13290</v>
      </c>
      <c r="W2046" t="s">
        <v>15303</v>
      </c>
      <c r="X2046">
        <v>24</v>
      </c>
      <c r="Y2046" t="s">
        <v>21864</v>
      </c>
      <c r="Z2046" t="s">
        <v>28376</v>
      </c>
      <c r="AA2046">
        <v>0.61586294728502067</v>
      </c>
      <c r="AB2046" t="str">
        <f>HYPERLINK("Melting_Curves/meltCurve_P08621_SNRNP70.pdf", "Melting_Curves/meltCurve_P08621_SNRNP70.pdf")</f>
        <v>Melting_Curves/meltCurve_P08621_SNRNP70.pdf</v>
      </c>
    </row>
    <row r="2047" spans="1:28" x14ac:dyDescent="0.25">
      <c r="A2047" t="s">
        <v>2051</v>
      </c>
      <c r="B2047">
        <v>0.99252571173614901</v>
      </c>
      <c r="C2047">
        <v>0.86482943567250103</v>
      </c>
      <c r="D2047">
        <v>0.82037446226603505</v>
      </c>
      <c r="E2047">
        <v>0.81117010399414002</v>
      </c>
      <c r="F2047">
        <v>0.50803977967124803</v>
      </c>
      <c r="G2047">
        <v>0.104221210442126</v>
      </c>
      <c r="H2047">
        <v>4.7762255056952203E-2</v>
      </c>
      <c r="I2047">
        <v>3.2494851293650699E-2</v>
      </c>
      <c r="J2047">
        <v>3.5904905554222898E-2</v>
      </c>
      <c r="K2047">
        <v>3.8801219429301398E-2</v>
      </c>
      <c r="L2047">
        <v>1055.8379871028001</v>
      </c>
      <c r="M2047">
        <v>20.056313774515399</v>
      </c>
      <c r="N2047">
        <v>52.6549826620804</v>
      </c>
      <c r="O2047">
        <v>52.128700781502502</v>
      </c>
      <c r="P2047">
        <v>-9.5982814386424406E-2</v>
      </c>
      <c r="Q2047">
        <v>2.14997969238099E-3</v>
      </c>
      <c r="R2047">
        <v>0.970204722466944</v>
      </c>
      <c r="S2047" t="s">
        <v>8693</v>
      </c>
      <c r="T2047" t="s">
        <v>13290</v>
      </c>
      <c r="U2047" t="s">
        <v>13290</v>
      </c>
      <c r="V2047" t="s">
        <v>13290</v>
      </c>
      <c r="W2047" t="s">
        <v>15304</v>
      </c>
      <c r="X2047">
        <v>12</v>
      </c>
      <c r="Y2047" t="s">
        <v>21865</v>
      </c>
      <c r="Z2047" t="s">
        <v>28377</v>
      </c>
      <c r="AA2047">
        <v>0.43639393813230182</v>
      </c>
      <c r="AB2047" t="str">
        <f>HYPERLINK("Melting_Curves/meltCurve_P08754_GNAI3.pdf", "Melting_Curves/meltCurve_P08754_GNAI3.pdf")</f>
        <v>Melting_Curves/meltCurve_P08754_GNAI3.pdf</v>
      </c>
    </row>
    <row r="2048" spans="1:28" x14ac:dyDescent="0.25">
      <c r="A2048" t="s">
        <v>2052</v>
      </c>
      <c r="B2048">
        <v>0.99252571173614901</v>
      </c>
      <c r="C2048">
        <v>1.08571549170868</v>
      </c>
      <c r="D2048">
        <v>0.78562442853930803</v>
      </c>
      <c r="E2048">
        <v>0.47587589886218001</v>
      </c>
      <c r="F2048">
        <v>0.12534577399976701</v>
      </c>
      <c r="G2048">
        <v>7.3216848738946405E-2</v>
      </c>
      <c r="H2048">
        <v>4.8637175328981097E-2</v>
      </c>
      <c r="I2048">
        <v>4.6722115855801903E-2</v>
      </c>
      <c r="J2048">
        <v>5.4409263187752202E-2</v>
      </c>
      <c r="K2048">
        <v>5.2227292908840997E-2</v>
      </c>
      <c r="L2048">
        <v>1254.76102029095</v>
      </c>
      <c r="M2048">
        <v>25.6364310953435</v>
      </c>
      <c r="N2048">
        <v>49.125817088094301</v>
      </c>
      <c r="O2048">
        <v>48.649551896098899</v>
      </c>
      <c r="P2048">
        <v>-0.12579341211023001</v>
      </c>
      <c r="Q2048">
        <v>4.5152790912583098E-2</v>
      </c>
      <c r="R2048">
        <v>0.98909320833966197</v>
      </c>
      <c r="S2048" t="s">
        <v>8694</v>
      </c>
      <c r="T2048" t="s">
        <v>13290</v>
      </c>
      <c r="U2048" t="s">
        <v>13290</v>
      </c>
      <c r="V2048" t="s">
        <v>13290</v>
      </c>
      <c r="W2048" t="s">
        <v>15305</v>
      </c>
      <c r="X2048">
        <v>34</v>
      </c>
      <c r="Y2048" t="s">
        <v>21866</v>
      </c>
      <c r="Z2048" t="s">
        <v>28378</v>
      </c>
      <c r="AA2048">
        <v>0.33786969435475211</v>
      </c>
      <c r="AB2048" t="str">
        <f>HYPERLINK("Melting_Curves/meltCurve_P08758_ANXA5.pdf", "Melting_Curves/meltCurve_P08758_ANXA5.pdf")</f>
        <v>Melting_Curves/meltCurve_P08758_ANXA5.pdf</v>
      </c>
    </row>
    <row r="2049" spans="1:28" x14ac:dyDescent="0.25">
      <c r="A2049" t="s">
        <v>2053</v>
      </c>
      <c r="B2049">
        <v>0.99252571173614901</v>
      </c>
      <c r="C2049">
        <v>0.92771077922340905</v>
      </c>
      <c r="D2049">
        <v>1.0149874926507101</v>
      </c>
      <c r="E2049">
        <v>1.1914096431941399</v>
      </c>
      <c r="F2049">
        <v>1.1902408219131999</v>
      </c>
      <c r="G2049">
        <v>0.60170319807791905</v>
      </c>
      <c r="H2049">
        <v>0.32604621616610102</v>
      </c>
      <c r="I2049">
        <v>0.31588250105712201</v>
      </c>
      <c r="J2049">
        <v>0.34793209320226898</v>
      </c>
      <c r="K2049">
        <v>0.55864977772341595</v>
      </c>
      <c r="L2049">
        <v>14164.867210554101</v>
      </c>
      <c r="M2049">
        <v>250</v>
      </c>
      <c r="N2049">
        <v>56.998797340949302</v>
      </c>
      <c r="O2049">
        <v>56.6558431018615</v>
      </c>
      <c r="P2049">
        <v>-0.67609130513894899</v>
      </c>
      <c r="Q2049">
        <v>0.38712763518639998</v>
      </c>
      <c r="R2049">
        <v>0.89618859342240298</v>
      </c>
      <c r="S2049" t="s">
        <v>8695</v>
      </c>
      <c r="T2049" t="s">
        <v>13290</v>
      </c>
      <c r="U2049" t="s">
        <v>13290</v>
      </c>
      <c r="V2049" t="s">
        <v>13290</v>
      </c>
      <c r="W2049" t="s">
        <v>15306</v>
      </c>
      <c r="X2049">
        <v>10</v>
      </c>
      <c r="Y2049" t="s">
        <v>21867</v>
      </c>
      <c r="Z2049" t="s">
        <v>28379</v>
      </c>
      <c r="AA2049">
        <v>0.72752617925631335</v>
      </c>
      <c r="AB2049" t="str">
        <f>HYPERLINK("Melting_Curves/meltCurve_P09012_SNRPA.pdf", "Melting_Curves/meltCurve_P09012_SNRPA.pdf")</f>
        <v>Melting_Curves/meltCurve_P09012_SNRPA.pdf</v>
      </c>
    </row>
    <row r="2050" spans="1:28" x14ac:dyDescent="0.25">
      <c r="A2050" t="s">
        <v>2054</v>
      </c>
      <c r="B2050">
        <v>0.99252571173614901</v>
      </c>
      <c r="C2050">
        <v>1.01299372127772</v>
      </c>
      <c r="D2050">
        <v>0.98846423973804598</v>
      </c>
      <c r="E2050">
        <v>0.98822648693310899</v>
      </c>
      <c r="F2050">
        <v>0.62786493460390902</v>
      </c>
      <c r="G2050">
        <v>0.52417305590715402</v>
      </c>
      <c r="H2050">
        <v>0.54881045307336596</v>
      </c>
      <c r="I2050">
        <v>0.82696412952639398</v>
      </c>
      <c r="J2050">
        <v>1.2474648882786501</v>
      </c>
      <c r="K2050">
        <v>1.4613385779055501</v>
      </c>
      <c r="L2050">
        <v>15000</v>
      </c>
      <c r="M2050">
        <v>223.69249011511599</v>
      </c>
      <c r="O2050">
        <v>67.050977150775196</v>
      </c>
      <c r="P2050">
        <v>0.38480973567701099</v>
      </c>
      <c r="Q2050">
        <v>1.4613810773676901</v>
      </c>
      <c r="R2050">
        <v>0.26238568719941702</v>
      </c>
      <c r="S2050" t="s">
        <v>8696</v>
      </c>
      <c r="T2050" t="s">
        <v>13290</v>
      </c>
      <c r="U2050" t="s">
        <v>13290</v>
      </c>
      <c r="V2050" t="s">
        <v>13290</v>
      </c>
      <c r="W2050" t="s">
        <v>15307</v>
      </c>
      <c r="X2050">
        <v>2</v>
      </c>
      <c r="Y2050" t="s">
        <v>21868</v>
      </c>
      <c r="Z2050" t="s">
        <v>28380</v>
      </c>
      <c r="AA2050">
        <v>1.0452042057090789</v>
      </c>
      <c r="AB2050" t="str">
        <f>HYPERLINK("Melting_Curves/meltCurve_P09038_2_FGF2.pdf", "Melting_Curves/meltCurve_P09038_2_FGF2.pdf")</f>
        <v>Melting_Curves/meltCurve_P09038_2_FGF2.pdf</v>
      </c>
    </row>
    <row r="2051" spans="1:28" x14ac:dyDescent="0.25">
      <c r="A2051" t="s">
        <v>2055</v>
      </c>
      <c r="B2051">
        <v>0.99252571173614901</v>
      </c>
      <c r="C2051">
        <v>1.01545951770452</v>
      </c>
      <c r="D2051">
        <v>1.0058506496430499</v>
      </c>
      <c r="E2051">
        <v>0.90013455376019502</v>
      </c>
      <c r="F2051">
        <v>0.93465272973927005</v>
      </c>
      <c r="G2051">
        <v>0.82970075506094199</v>
      </c>
      <c r="H2051">
        <v>0.790763467430602</v>
      </c>
      <c r="I2051">
        <v>0.97257065945370302</v>
      </c>
      <c r="J2051">
        <v>0.66504863853396101</v>
      </c>
      <c r="K2051">
        <v>0.25842581329553699</v>
      </c>
      <c r="L2051">
        <v>2756.76124637064</v>
      </c>
      <c r="M2051">
        <v>40.405806226732203</v>
      </c>
      <c r="N2051">
        <v>68.226860706283105</v>
      </c>
      <c r="O2051">
        <v>68.0603805955067</v>
      </c>
      <c r="P2051">
        <v>-0.14841926570911401</v>
      </c>
      <c r="Q2051">
        <v>0</v>
      </c>
      <c r="R2051">
        <v>0.82243391235680896</v>
      </c>
      <c r="S2051" t="s">
        <v>8697</v>
      </c>
      <c r="T2051" t="s">
        <v>13290</v>
      </c>
      <c r="U2051" t="s">
        <v>13290</v>
      </c>
      <c r="V2051" t="s">
        <v>13290</v>
      </c>
      <c r="W2051" t="s">
        <v>15308</v>
      </c>
      <c r="X2051">
        <v>33</v>
      </c>
      <c r="Y2051" t="s">
        <v>21869</v>
      </c>
      <c r="Z2051" t="s">
        <v>28381</v>
      </c>
      <c r="AA2051">
        <v>0.92624321285416</v>
      </c>
      <c r="AB2051" t="str">
        <f>HYPERLINK("Melting_Curves/meltCurve_P09104_ENO2.pdf", "Melting_Curves/meltCurve_P09104_ENO2.pdf")</f>
        <v>Melting_Curves/meltCurve_P09104_ENO2.pdf</v>
      </c>
    </row>
    <row r="2052" spans="1:28" x14ac:dyDescent="0.25">
      <c r="A2052" t="s">
        <v>2056</v>
      </c>
      <c r="B2052">
        <v>0.99252571173614901</v>
      </c>
      <c r="C2052">
        <v>1.0371176762304899</v>
      </c>
      <c r="D2052">
        <v>1.0456728670798501</v>
      </c>
      <c r="E2052">
        <v>1.0471682936973701</v>
      </c>
      <c r="F2052">
        <v>0.87390785595490705</v>
      </c>
      <c r="G2052">
        <v>0.71327452118669299</v>
      </c>
      <c r="H2052">
        <v>0.50313010194912999</v>
      </c>
      <c r="I2052">
        <v>0.12755748036039999</v>
      </c>
      <c r="J2052">
        <v>6.9962373691648705E-2</v>
      </c>
      <c r="K2052">
        <v>6.05894836671051E-2</v>
      </c>
      <c r="L2052">
        <v>1235.4844305443401</v>
      </c>
      <c r="M2052">
        <v>20.677554261942099</v>
      </c>
      <c r="N2052">
        <v>59.750029118427101</v>
      </c>
      <c r="O2052">
        <v>59.199608420039603</v>
      </c>
      <c r="P2052">
        <v>-8.7323826960600204E-2</v>
      </c>
      <c r="Q2052">
        <v>0</v>
      </c>
      <c r="R2052">
        <v>0.98382349415694403</v>
      </c>
      <c r="S2052" t="s">
        <v>8698</v>
      </c>
      <c r="T2052" t="s">
        <v>13290</v>
      </c>
      <c r="U2052" t="s">
        <v>13290</v>
      </c>
      <c r="V2052" t="s">
        <v>13290</v>
      </c>
      <c r="W2052" t="s">
        <v>15309</v>
      </c>
      <c r="X2052">
        <v>17</v>
      </c>
      <c r="Y2052" t="s">
        <v>21870</v>
      </c>
      <c r="Z2052" t="s">
        <v>28382</v>
      </c>
      <c r="AA2052">
        <v>0.66706689961248089</v>
      </c>
      <c r="AB2052" t="str">
        <f>HYPERLINK("Melting_Curves/meltCurve_P09110_ACAA1.pdf", "Melting_Curves/meltCurve_P09110_ACAA1.pdf")</f>
        <v>Melting_Curves/meltCurve_P09110_ACAA1.pdf</v>
      </c>
    </row>
    <row r="2053" spans="1:28" x14ac:dyDescent="0.25">
      <c r="A2053" t="s">
        <v>2057</v>
      </c>
      <c r="B2053">
        <v>0.99252571173614901</v>
      </c>
      <c r="C2053">
        <v>0.868286801103481</v>
      </c>
      <c r="D2053">
        <v>1.0239333457244899</v>
      </c>
      <c r="E2053">
        <v>0.78535833889339102</v>
      </c>
      <c r="F2053">
        <v>0.41549959757098498</v>
      </c>
      <c r="G2053">
        <v>0.20964904073059801</v>
      </c>
      <c r="H2053">
        <v>0.12692870912802301</v>
      </c>
      <c r="I2053">
        <v>0.10644399518205599</v>
      </c>
      <c r="J2053">
        <v>0.11599256367098899</v>
      </c>
      <c r="K2053">
        <v>0.120800465443926</v>
      </c>
      <c r="L2053">
        <v>1348.1232083124901</v>
      </c>
      <c r="M2053">
        <v>25.983430071064902</v>
      </c>
      <c r="N2053">
        <v>52.3978766872576</v>
      </c>
      <c r="O2053">
        <v>51.579562238930599</v>
      </c>
      <c r="P2053">
        <v>-0.11177407800799</v>
      </c>
      <c r="Q2053">
        <v>0.112481837594573</v>
      </c>
      <c r="R2053">
        <v>0.98585700438397605</v>
      </c>
      <c r="S2053" t="s">
        <v>8699</v>
      </c>
      <c r="T2053" t="s">
        <v>13290</v>
      </c>
      <c r="U2053" t="s">
        <v>13290</v>
      </c>
      <c r="V2053" t="s">
        <v>13290</v>
      </c>
      <c r="W2053" t="s">
        <v>15310</v>
      </c>
      <c r="X2053">
        <v>10</v>
      </c>
      <c r="Y2053" t="s">
        <v>21871</v>
      </c>
      <c r="Z2053" t="s">
        <v>28383</v>
      </c>
      <c r="AA2053">
        <v>0.47156608455915161</v>
      </c>
      <c r="AB2053" t="str">
        <f>HYPERLINK("Melting_Curves/meltCurve_P09132_SRP19.pdf", "Melting_Curves/meltCurve_P09132_SRP19.pdf")</f>
        <v>Melting_Curves/meltCurve_P09132_SRP19.pdf</v>
      </c>
    </row>
    <row r="2054" spans="1:28" x14ac:dyDescent="0.25">
      <c r="A2054" t="s">
        <v>2058</v>
      </c>
      <c r="B2054">
        <v>0.99252571173614901</v>
      </c>
      <c r="C2054">
        <v>0.96270559460667904</v>
      </c>
      <c r="D2054">
        <v>0.90287599937160101</v>
      </c>
      <c r="E2054">
        <v>0.78576435420142898</v>
      </c>
      <c r="F2054">
        <v>0.66804481345636701</v>
      </c>
      <c r="G2054">
        <v>0.396771967274827</v>
      </c>
      <c r="H2054">
        <v>0.38349469687814602</v>
      </c>
      <c r="I2054">
        <v>0.328669197526753</v>
      </c>
      <c r="J2054">
        <v>0.25479860132584597</v>
      </c>
      <c r="K2054">
        <v>0.20117151520021601</v>
      </c>
      <c r="L2054">
        <v>642.84354759643202</v>
      </c>
      <c r="M2054">
        <v>11.9075311582954</v>
      </c>
      <c r="N2054">
        <v>56.099555990621901</v>
      </c>
      <c r="O2054">
        <v>52.5312410586087</v>
      </c>
      <c r="P2054">
        <v>-4.6438906948612198E-2</v>
      </c>
      <c r="Q2054">
        <v>0.180724347202605</v>
      </c>
      <c r="R2054">
        <v>0.98717976047045297</v>
      </c>
      <c r="S2054" t="s">
        <v>8700</v>
      </c>
      <c r="T2054" t="s">
        <v>13290</v>
      </c>
      <c r="U2054" t="s">
        <v>13290</v>
      </c>
      <c r="V2054" t="s">
        <v>13290</v>
      </c>
      <c r="W2054" t="s">
        <v>15311</v>
      </c>
      <c r="X2054">
        <v>2</v>
      </c>
      <c r="Y2054" t="s">
        <v>21872</v>
      </c>
      <c r="Z2054" t="s">
        <v>28384</v>
      </c>
      <c r="AA2054">
        <v>0.58425745146255414</v>
      </c>
      <c r="AB2054" t="str">
        <f>HYPERLINK("Melting_Curves/meltCurve_P09172_DBH.pdf", "Melting_Curves/meltCurve_P09172_DBH.pdf")</f>
        <v>Melting_Curves/meltCurve_P09172_DBH.pdf</v>
      </c>
    </row>
    <row r="2055" spans="1:28" x14ac:dyDescent="0.25">
      <c r="A2055" t="s">
        <v>2059</v>
      </c>
      <c r="B2055">
        <v>0.99252571173614901</v>
      </c>
      <c r="C2055">
        <v>0.89634550075578401</v>
      </c>
      <c r="D2055">
        <v>0.96927988878517102</v>
      </c>
      <c r="E2055">
        <v>0.80860162706846195</v>
      </c>
      <c r="F2055">
        <v>0.64118178139549298</v>
      </c>
      <c r="G2055">
        <v>0.31846268546897899</v>
      </c>
      <c r="H2055">
        <v>5.8182941866740598E-2</v>
      </c>
      <c r="I2055">
        <v>5.21934322013781E-2</v>
      </c>
      <c r="J2055">
        <v>4.63260661499297E-2</v>
      </c>
      <c r="K2055">
        <v>4.2964047970461501E-2</v>
      </c>
      <c r="L2055">
        <v>1009.49604980084</v>
      </c>
      <c r="M2055">
        <v>18.580142525193001</v>
      </c>
      <c r="N2055">
        <v>54.3341223973231</v>
      </c>
      <c r="O2055">
        <v>53.714347733734598</v>
      </c>
      <c r="P2055">
        <v>-8.6448820153098196E-2</v>
      </c>
      <c r="Q2055">
        <v>3.6508074105228702E-4</v>
      </c>
      <c r="R2055">
        <v>0.98815780018143795</v>
      </c>
      <c r="S2055" t="s">
        <v>8701</v>
      </c>
      <c r="T2055" t="s">
        <v>13290</v>
      </c>
      <c r="U2055" t="s">
        <v>13290</v>
      </c>
      <c r="V2055" t="s">
        <v>13290</v>
      </c>
      <c r="W2055" t="s">
        <v>15312</v>
      </c>
      <c r="X2055">
        <v>19</v>
      </c>
      <c r="Y2055" t="s">
        <v>21873</v>
      </c>
      <c r="Z2055" t="s">
        <v>28385</v>
      </c>
      <c r="AA2055">
        <v>0.49304349070609499</v>
      </c>
      <c r="AB2055" t="str">
        <f>HYPERLINK("Melting_Curves/meltCurve_P09211_GSTP1.pdf", "Melting_Curves/meltCurve_P09211_GSTP1.pdf")</f>
        <v>Melting_Curves/meltCurve_P09211_GSTP1.pdf</v>
      </c>
    </row>
    <row r="2056" spans="1:28" x14ac:dyDescent="0.25">
      <c r="A2056" t="s">
        <v>2060</v>
      </c>
      <c r="B2056">
        <v>0.99252571173614901</v>
      </c>
      <c r="C2056">
        <v>0.96292655229509705</v>
      </c>
      <c r="D2056">
        <v>0.93586029252412295</v>
      </c>
      <c r="E2056">
        <v>0.77038879154231799</v>
      </c>
      <c r="F2056">
        <v>0.83260044372585296</v>
      </c>
      <c r="G2056">
        <v>0.71011376156580797</v>
      </c>
      <c r="H2056">
        <v>0.64818792213245902</v>
      </c>
      <c r="I2056">
        <v>0.640016998038198</v>
      </c>
      <c r="J2056">
        <v>0.92177663968069801</v>
      </c>
      <c r="K2056">
        <v>0.89954518361078495</v>
      </c>
      <c r="L2056">
        <v>3073.1157562733902</v>
      </c>
      <c r="M2056">
        <v>65.908020284026193</v>
      </c>
      <c r="O2056">
        <v>46.584471262648897</v>
      </c>
      <c r="P2056">
        <v>-7.9903174675810096E-2</v>
      </c>
      <c r="Q2056">
        <v>0.77409450053861795</v>
      </c>
      <c r="R2056">
        <v>0.48379797369639699</v>
      </c>
      <c r="S2056" t="s">
        <v>8702</v>
      </c>
      <c r="T2056" t="s">
        <v>13290</v>
      </c>
      <c r="U2056" t="s">
        <v>13290</v>
      </c>
      <c r="V2056" t="s">
        <v>13290</v>
      </c>
      <c r="W2056" t="s">
        <v>15313</v>
      </c>
      <c r="X2056">
        <v>7</v>
      </c>
      <c r="Y2056" t="s">
        <v>21874</v>
      </c>
      <c r="Z2056" t="s">
        <v>28386</v>
      </c>
      <c r="AA2056">
        <v>0.82426643487179041</v>
      </c>
      <c r="AB2056" t="str">
        <f>HYPERLINK("Melting_Curves/meltCurve_P09234_SNRPC.pdf", "Melting_Curves/meltCurve_P09234_SNRPC.pdf")</f>
        <v>Melting_Curves/meltCurve_P09234_SNRPC.pdf</v>
      </c>
    </row>
    <row r="2057" spans="1:28" x14ac:dyDescent="0.25">
      <c r="A2057" t="s">
        <v>2061</v>
      </c>
      <c r="B2057">
        <v>0.99252571173614901</v>
      </c>
      <c r="C2057">
        <v>1.0602588782984199</v>
      </c>
      <c r="D2057">
        <v>0.97166398399289</v>
      </c>
      <c r="E2057">
        <v>0.85156488576724798</v>
      </c>
      <c r="F2057">
        <v>0.68315116155038402</v>
      </c>
      <c r="G2057">
        <v>0.43773443059686001</v>
      </c>
      <c r="H2057">
        <v>0.194566983476195</v>
      </c>
      <c r="I2057">
        <v>0.13970718868694601</v>
      </c>
      <c r="J2057">
        <v>0.161550289729853</v>
      </c>
      <c r="K2057">
        <v>0.18039526757223101</v>
      </c>
      <c r="L2057">
        <v>1053.18876441871</v>
      </c>
      <c r="M2057">
        <v>19.2954191407206</v>
      </c>
      <c r="N2057">
        <v>55.433539656405998</v>
      </c>
      <c r="O2057">
        <v>54.006196684137301</v>
      </c>
      <c r="P2057">
        <v>-7.7871051694622398E-2</v>
      </c>
      <c r="Q2057">
        <v>0.12821554816490199</v>
      </c>
      <c r="R2057">
        <v>0.99139322928935503</v>
      </c>
      <c r="S2057" t="s">
        <v>8703</v>
      </c>
      <c r="T2057" t="s">
        <v>13290</v>
      </c>
      <c r="U2057" t="s">
        <v>13290</v>
      </c>
      <c r="V2057" t="s">
        <v>13290</v>
      </c>
      <c r="W2057" t="s">
        <v>15314</v>
      </c>
      <c r="X2057">
        <v>13</v>
      </c>
      <c r="Y2057" t="s">
        <v>21875</v>
      </c>
      <c r="Z2057" t="s">
        <v>28387</v>
      </c>
      <c r="AA2057">
        <v>0.56435147170804334</v>
      </c>
      <c r="AB2057" t="str">
        <f>HYPERLINK("Melting_Curves/meltCurve_P09382_LGALS1.pdf", "Melting_Curves/meltCurve_P09382_LGALS1.pdf")</f>
        <v>Melting_Curves/meltCurve_P09382_LGALS1.pdf</v>
      </c>
    </row>
    <row r="2058" spans="1:28" x14ac:dyDescent="0.25">
      <c r="A2058" t="s">
        <v>2062</v>
      </c>
      <c r="B2058">
        <v>0.99252571173614901</v>
      </c>
      <c r="C2058">
        <v>1.0785964368329299</v>
      </c>
      <c r="D2058">
        <v>1.0139758833288099</v>
      </c>
      <c r="E2058">
        <v>0.92800775190411899</v>
      </c>
      <c r="F2058">
        <v>0.79349601629064503</v>
      </c>
      <c r="G2058">
        <v>0.70548283933439504</v>
      </c>
      <c r="H2058">
        <v>0.59948106608692098</v>
      </c>
      <c r="I2058">
        <v>0.17058722891154299</v>
      </c>
      <c r="J2058">
        <v>0.118738459636618</v>
      </c>
      <c r="K2058">
        <v>0.10353867107586701</v>
      </c>
      <c r="L2058">
        <v>938.03434966823795</v>
      </c>
      <c r="M2058">
        <v>15.6260876251621</v>
      </c>
      <c r="N2058">
        <v>60.030019947414999</v>
      </c>
      <c r="O2058">
        <v>59.072656032499196</v>
      </c>
      <c r="P2058">
        <v>-6.61364883175556E-2</v>
      </c>
      <c r="Q2058">
        <v>0</v>
      </c>
      <c r="R2058">
        <v>0.96216250321540397</v>
      </c>
      <c r="S2058" t="s">
        <v>8704</v>
      </c>
      <c r="T2058" t="s">
        <v>13290</v>
      </c>
      <c r="U2058" t="s">
        <v>13290</v>
      </c>
      <c r="V2058" t="s">
        <v>13290</v>
      </c>
      <c r="W2058" t="s">
        <v>15315</v>
      </c>
      <c r="X2058">
        <v>10</v>
      </c>
      <c r="Y2058" t="s">
        <v>21876</v>
      </c>
      <c r="Z2058" t="s">
        <v>28388</v>
      </c>
      <c r="AA2058">
        <v>0.67490120362587869</v>
      </c>
      <c r="AB2058" t="str">
        <f>HYPERLINK("Melting_Curves/meltCurve_P09417_QDPR.pdf", "Melting_Curves/meltCurve_P09417_QDPR.pdf")</f>
        <v>Melting_Curves/meltCurve_P09417_QDPR.pdf</v>
      </c>
    </row>
    <row r="2059" spans="1:28" x14ac:dyDescent="0.25">
      <c r="A2059" t="s">
        <v>2063</v>
      </c>
      <c r="B2059">
        <v>0.99252571173614901</v>
      </c>
      <c r="C2059">
        <v>1.1152243609286201</v>
      </c>
      <c r="D2059">
        <v>0.96075068268417696</v>
      </c>
      <c r="E2059">
        <v>0.91330726869841805</v>
      </c>
      <c r="F2059">
        <v>0.64869467014638604</v>
      </c>
      <c r="G2059">
        <v>0.51819696373346102</v>
      </c>
      <c r="H2059">
        <v>0.49474947591959501</v>
      </c>
      <c r="I2059">
        <v>0.57166543210320697</v>
      </c>
      <c r="J2059">
        <v>0.79604245248578598</v>
      </c>
      <c r="K2059">
        <v>0.84934867264811698</v>
      </c>
      <c r="L2059">
        <v>4269.6066853408602</v>
      </c>
      <c r="M2059">
        <v>84.956592395496301</v>
      </c>
      <c r="O2059">
        <v>50.228508379801397</v>
      </c>
      <c r="P2059">
        <v>-0.149722975985116</v>
      </c>
      <c r="Q2059">
        <v>0.64591985998125101</v>
      </c>
      <c r="R2059">
        <v>0.70827956630297695</v>
      </c>
      <c r="S2059" t="s">
        <v>8705</v>
      </c>
      <c r="T2059" t="s">
        <v>13290</v>
      </c>
      <c r="U2059" t="s">
        <v>13290</v>
      </c>
      <c r="V2059" t="s">
        <v>13290</v>
      </c>
      <c r="W2059" t="s">
        <v>15316</v>
      </c>
      <c r="X2059">
        <v>26</v>
      </c>
      <c r="Y2059" t="s">
        <v>21877</v>
      </c>
      <c r="Z2059" t="s">
        <v>28389</v>
      </c>
      <c r="AA2059">
        <v>0.76724285975785256</v>
      </c>
      <c r="AB2059" t="str">
        <f>HYPERLINK("Melting_Curves/meltCurve_P09429_HMGB1.pdf", "Melting_Curves/meltCurve_P09429_HMGB1.pdf")</f>
        <v>Melting_Curves/meltCurve_P09429_HMGB1.pdf</v>
      </c>
    </row>
    <row r="2060" spans="1:28" x14ac:dyDescent="0.25">
      <c r="A2060" t="s">
        <v>2064</v>
      </c>
      <c r="B2060">
        <v>0.99252571173614901</v>
      </c>
      <c r="C2060">
        <v>0.958292502909729</v>
      </c>
      <c r="D2060">
        <v>1.0154170460608301</v>
      </c>
      <c r="E2060">
        <v>0.87056559648629595</v>
      </c>
      <c r="F2060">
        <v>0.95629952086376702</v>
      </c>
      <c r="G2060">
        <v>0.73407820179699801</v>
      </c>
      <c r="H2060">
        <v>0.70007682962082296</v>
      </c>
      <c r="I2060">
        <v>0.92274557101235999</v>
      </c>
      <c r="J2060">
        <v>1.2515725551379899</v>
      </c>
      <c r="K2060">
        <v>1.3785515462476801</v>
      </c>
      <c r="L2060">
        <v>15000</v>
      </c>
      <c r="M2060">
        <v>224.23030293601499</v>
      </c>
      <c r="O2060">
        <v>66.890173477681003</v>
      </c>
      <c r="P2060">
        <v>0.317266828201064</v>
      </c>
      <c r="Q2060">
        <v>1.3785757242116301</v>
      </c>
      <c r="R2060">
        <v>0.51852833273098797</v>
      </c>
      <c r="S2060" t="s">
        <v>8706</v>
      </c>
      <c r="T2060" t="s">
        <v>13290</v>
      </c>
      <c r="U2060" t="s">
        <v>13290</v>
      </c>
      <c r="V2060" t="s">
        <v>13290</v>
      </c>
      <c r="W2060" t="s">
        <v>15317</v>
      </c>
      <c r="X2060">
        <v>12</v>
      </c>
      <c r="Y2060" t="s">
        <v>21878</v>
      </c>
      <c r="Z2060" t="s">
        <v>28390</v>
      </c>
      <c r="AA2060">
        <v>1.039121127237379</v>
      </c>
      <c r="AB2060" t="str">
        <f>HYPERLINK("Melting_Curves/meltCurve_P09467_FBP1.pdf", "Melting_Curves/meltCurve_P09467_FBP1.pdf")</f>
        <v>Melting_Curves/meltCurve_P09467_FBP1.pdf</v>
      </c>
    </row>
    <row r="2061" spans="1:28" x14ac:dyDescent="0.25">
      <c r="A2061" t="s">
        <v>2065</v>
      </c>
      <c r="B2061">
        <v>0.99252571173614901</v>
      </c>
      <c r="C2061">
        <v>1.0120858105445001</v>
      </c>
      <c r="D2061">
        <v>0.94084011439915105</v>
      </c>
      <c r="E2061">
        <v>0.77613832106946401</v>
      </c>
      <c r="F2061">
        <v>0.81205377957579405</v>
      </c>
      <c r="G2061">
        <v>0.69996525361331396</v>
      </c>
      <c r="H2061">
        <v>0.65636609699693604</v>
      </c>
      <c r="I2061">
        <v>1.0254176493176499</v>
      </c>
      <c r="J2061">
        <v>1.64957525009235</v>
      </c>
      <c r="K2061">
        <v>1.86192621224726</v>
      </c>
      <c r="L2061">
        <v>15000</v>
      </c>
      <c r="M2061">
        <v>231.490991075457</v>
      </c>
      <c r="O2061">
        <v>64.7925019375338</v>
      </c>
      <c r="P2061">
        <v>0.44660065707984598</v>
      </c>
      <c r="Q2061">
        <v>1.5</v>
      </c>
      <c r="R2061">
        <v>0.68802181536354901</v>
      </c>
      <c r="S2061" t="s">
        <v>8707</v>
      </c>
      <c r="T2061" t="s">
        <v>13290</v>
      </c>
      <c r="U2061" t="s">
        <v>13290</v>
      </c>
      <c r="V2061" t="s">
        <v>13290</v>
      </c>
      <c r="W2061" t="s">
        <v>15318</v>
      </c>
      <c r="X2061">
        <v>37</v>
      </c>
      <c r="Y2061" t="s">
        <v>20881</v>
      </c>
      <c r="Z2061" t="s">
        <v>28391</v>
      </c>
      <c r="AA2061">
        <v>1.086644715475388</v>
      </c>
      <c r="AB2061" t="str">
        <f>HYPERLINK("Melting_Curves/meltCurve_P09493_10_TPM1.pdf", "Melting_Curves/meltCurve_P09493_10_TPM1.pdf")</f>
        <v>Melting_Curves/meltCurve_P09493_10_TPM1.pdf</v>
      </c>
    </row>
    <row r="2062" spans="1:28" x14ac:dyDescent="0.25">
      <c r="A2062" t="s">
        <v>2066</v>
      </c>
      <c r="B2062">
        <v>0.99252571173614901</v>
      </c>
      <c r="C2062">
        <v>1.07910550234221</v>
      </c>
      <c r="D2062">
        <v>0.95958034247908097</v>
      </c>
      <c r="E2062">
        <v>1.0077312379297101</v>
      </c>
      <c r="F2062">
        <v>0.95017478015543699</v>
      </c>
      <c r="G2062">
        <v>0.81965436000598202</v>
      </c>
      <c r="H2062">
        <v>0.90926837208216105</v>
      </c>
      <c r="I2062">
        <v>1.4189125194535701</v>
      </c>
      <c r="J2062">
        <v>2.3446562096085901</v>
      </c>
      <c r="K2062">
        <v>2.6268916480070401</v>
      </c>
      <c r="L2062">
        <v>15000</v>
      </c>
      <c r="M2062">
        <v>236.017261691903</v>
      </c>
      <c r="O2062">
        <v>63.550110496737503</v>
      </c>
      <c r="P2062">
        <v>0.46423456434000199</v>
      </c>
      <c r="Q2062">
        <v>1.5</v>
      </c>
      <c r="R2062">
        <v>0.45238273729255601</v>
      </c>
      <c r="S2062" t="s">
        <v>8708</v>
      </c>
      <c r="T2062" t="s">
        <v>13290</v>
      </c>
      <c r="U2062" t="s">
        <v>13290</v>
      </c>
      <c r="V2062" t="s">
        <v>13290</v>
      </c>
      <c r="W2062" t="s">
        <v>15319</v>
      </c>
      <c r="X2062">
        <v>38</v>
      </c>
      <c r="Y2062" t="s">
        <v>20881</v>
      </c>
      <c r="Z2062" t="s">
        <v>28392</v>
      </c>
      <c r="AA2062">
        <v>1.1073595346914671</v>
      </c>
      <c r="AB2062" t="str">
        <f>HYPERLINK("Melting_Curves/meltCurve_P09493_3_TPM1.pdf", "Melting_Curves/meltCurve_P09493_3_TPM1.pdf")</f>
        <v>Melting_Curves/meltCurve_P09493_3_TPM1.pdf</v>
      </c>
    </row>
    <row r="2063" spans="1:28" x14ac:dyDescent="0.25">
      <c r="A2063" t="s">
        <v>2067</v>
      </c>
      <c r="B2063">
        <v>0.99252571173614901</v>
      </c>
      <c r="C2063">
        <v>0.96820426481352295</v>
      </c>
      <c r="D2063">
        <v>0.91739430432061297</v>
      </c>
      <c r="E2063">
        <v>1.0702072400775799</v>
      </c>
      <c r="F2063">
        <v>1.3780243945164701</v>
      </c>
      <c r="G2063">
        <v>1.45311974469136</v>
      </c>
      <c r="H2063">
        <v>1.61697053787849</v>
      </c>
      <c r="I2063">
        <v>2.22133906778947</v>
      </c>
      <c r="J2063">
        <v>3.6275420365454401</v>
      </c>
      <c r="K2063">
        <v>4.1128348025230403</v>
      </c>
      <c r="L2063">
        <v>2299.2317863376802</v>
      </c>
      <c r="M2063">
        <v>44.3750394976677</v>
      </c>
      <c r="O2063">
        <v>51.708731853988802</v>
      </c>
      <c r="P2063">
        <v>0.107271776614352</v>
      </c>
      <c r="Q2063">
        <v>1.5</v>
      </c>
      <c r="R2063">
        <v>-4.7506089291780001E-3</v>
      </c>
      <c r="S2063" t="s">
        <v>8709</v>
      </c>
      <c r="T2063" t="s">
        <v>13290</v>
      </c>
      <c r="U2063" t="s">
        <v>13290</v>
      </c>
      <c r="V2063" t="s">
        <v>13290</v>
      </c>
      <c r="W2063" t="s">
        <v>15320</v>
      </c>
      <c r="X2063">
        <v>17</v>
      </c>
      <c r="Y2063" t="s">
        <v>21879</v>
      </c>
      <c r="Z2063" t="s">
        <v>28393</v>
      </c>
      <c r="AA2063">
        <v>1.301653503304079</v>
      </c>
      <c r="AB2063" t="str">
        <f>HYPERLINK("Melting_Curves/meltCurve_P09496_2_CLTA.pdf", "Melting_Curves/meltCurve_P09496_2_CLTA.pdf")</f>
        <v>Melting_Curves/meltCurve_P09496_2_CLTA.pdf</v>
      </c>
    </row>
    <row r="2064" spans="1:28" x14ac:dyDescent="0.25">
      <c r="A2064" t="s">
        <v>2068</v>
      </c>
      <c r="B2064">
        <v>0.99252571173614901</v>
      </c>
      <c r="C2064">
        <v>0.98939934496989801</v>
      </c>
      <c r="D2064">
        <v>0.93410051711933595</v>
      </c>
      <c r="E2064">
        <v>1.2750852698367501</v>
      </c>
      <c r="F2064">
        <v>1.92212428783328</v>
      </c>
      <c r="G2064">
        <v>1.97705740982219</v>
      </c>
      <c r="H2064">
        <v>2.30849062602271</v>
      </c>
      <c r="I2064">
        <v>2.9209463095749699</v>
      </c>
      <c r="J2064">
        <v>4.3771635868216601</v>
      </c>
      <c r="K2064">
        <v>5.3100331014924</v>
      </c>
      <c r="L2064">
        <v>12390.0125321949</v>
      </c>
      <c r="M2064">
        <v>250</v>
      </c>
      <c r="O2064">
        <v>49.556879546078001</v>
      </c>
      <c r="P2064">
        <v>0.63058854613666504</v>
      </c>
      <c r="Q2064">
        <v>1.5</v>
      </c>
      <c r="R2064">
        <v>-0.27156138174601102</v>
      </c>
      <c r="S2064" t="s">
        <v>8710</v>
      </c>
      <c r="T2064" t="s">
        <v>13290</v>
      </c>
      <c r="U2064" t="s">
        <v>13290</v>
      </c>
      <c r="V2064" t="s">
        <v>13290</v>
      </c>
      <c r="W2064" t="s">
        <v>15321</v>
      </c>
      <c r="X2064">
        <v>18</v>
      </c>
      <c r="Y2064" t="s">
        <v>21880</v>
      </c>
      <c r="Z2064" t="s">
        <v>28394</v>
      </c>
      <c r="AA2064">
        <v>1.3406223426286821</v>
      </c>
      <c r="AB2064" t="str">
        <f>HYPERLINK("Melting_Curves/meltCurve_P09497_2_CLTB.pdf", "Melting_Curves/meltCurve_P09497_2_CLTB.pdf")</f>
        <v>Melting_Curves/meltCurve_P09497_2_CLTB.pdf</v>
      </c>
    </row>
    <row r="2065" spans="1:28" x14ac:dyDescent="0.25">
      <c r="A2065" t="s">
        <v>2069</v>
      </c>
      <c r="B2065">
        <v>0.99252571173614901</v>
      </c>
      <c r="C2065">
        <v>1.0302078870534299</v>
      </c>
      <c r="D2065">
        <v>0.74702808487950301</v>
      </c>
      <c r="E2065">
        <v>0.37955836831954098</v>
      </c>
      <c r="F2065">
        <v>0.14622988490777</v>
      </c>
      <c r="G2065">
        <v>9.4691008244484703E-2</v>
      </c>
      <c r="H2065">
        <v>6.7535455691865101E-2</v>
      </c>
      <c r="I2065">
        <v>6.5098818114060097E-2</v>
      </c>
      <c r="J2065">
        <v>7.5169094011629203E-2</v>
      </c>
      <c r="K2065">
        <v>6.4948270260903898E-2</v>
      </c>
      <c r="L2065">
        <v>1216.25395567699</v>
      </c>
      <c r="M2065">
        <v>25.2730892048525</v>
      </c>
      <c r="N2065">
        <v>48.408856198947298</v>
      </c>
      <c r="O2065">
        <v>47.826203991891397</v>
      </c>
      <c r="P2065">
        <v>-0.122996646137816</v>
      </c>
      <c r="Q2065">
        <v>6.8988157902604097E-2</v>
      </c>
      <c r="R2065">
        <v>0.99559747090134798</v>
      </c>
      <c r="S2065" t="s">
        <v>8711</v>
      </c>
      <c r="T2065" t="s">
        <v>13290</v>
      </c>
      <c r="U2065" t="s">
        <v>13290</v>
      </c>
      <c r="V2065" t="s">
        <v>13290</v>
      </c>
      <c r="W2065" t="s">
        <v>15322</v>
      </c>
      <c r="X2065">
        <v>32</v>
      </c>
      <c r="Y2065" t="s">
        <v>21881</v>
      </c>
      <c r="Z2065" t="s">
        <v>28395</v>
      </c>
      <c r="AA2065">
        <v>0.32916106717277149</v>
      </c>
      <c r="AB2065" t="str">
        <f>HYPERLINK("Melting_Curves/meltCurve_P09525_ANXA4.pdf", "Melting_Curves/meltCurve_P09525_ANXA4.pdf")</f>
        <v>Melting_Curves/meltCurve_P09525_ANXA4.pdf</v>
      </c>
    </row>
    <row r="2066" spans="1:28" x14ac:dyDescent="0.25">
      <c r="A2066" t="s">
        <v>2070</v>
      </c>
      <c r="B2066">
        <v>0.99252571173614901</v>
      </c>
      <c r="C2066">
        <v>0.97238900968298003</v>
      </c>
      <c r="D2066">
        <v>0.89344449582311702</v>
      </c>
      <c r="E2066">
        <v>0.76147704306405894</v>
      </c>
      <c r="F2066">
        <v>0.26382664597771999</v>
      </c>
      <c r="G2066">
        <v>0.123149503879921</v>
      </c>
      <c r="H2066">
        <v>7.6153967830567798E-2</v>
      </c>
      <c r="I2066">
        <v>7.7442689440509402E-2</v>
      </c>
      <c r="J2066">
        <v>8.9843014858546802E-2</v>
      </c>
      <c r="K2066">
        <v>8.6455649995919107E-2</v>
      </c>
      <c r="L2066">
        <v>1588.4448939572101</v>
      </c>
      <c r="M2066">
        <v>31.120663749707401</v>
      </c>
      <c r="N2066">
        <v>51.3268901416955</v>
      </c>
      <c r="O2066">
        <v>50.832117488142501</v>
      </c>
      <c r="P2066">
        <v>-0.14089639821246</v>
      </c>
      <c r="Q2066">
        <v>7.9451260969032794E-2</v>
      </c>
      <c r="R2066">
        <v>0.994819926528975</v>
      </c>
      <c r="S2066" t="s">
        <v>8712</v>
      </c>
      <c r="T2066" t="s">
        <v>13290</v>
      </c>
      <c r="U2066" t="s">
        <v>13290</v>
      </c>
      <c r="V2066" t="s">
        <v>13290</v>
      </c>
      <c r="W2066" t="s">
        <v>15323</v>
      </c>
      <c r="X2066">
        <v>28</v>
      </c>
      <c r="Y2066" t="s">
        <v>21882</v>
      </c>
      <c r="Z2066" t="s">
        <v>28396</v>
      </c>
      <c r="AA2066">
        <v>0.42364016752723788</v>
      </c>
      <c r="AB2066" t="str">
        <f>HYPERLINK("Melting_Curves/meltCurve_P09543_2_CNP.pdf", "Melting_Curves/meltCurve_P09543_2_CNP.pdf")</f>
        <v>Melting_Curves/meltCurve_P09543_2_CNP.pdf</v>
      </c>
    </row>
    <row r="2067" spans="1:28" x14ac:dyDescent="0.25">
      <c r="A2067" t="s">
        <v>2071</v>
      </c>
      <c r="B2067">
        <v>0.99252571173614901</v>
      </c>
      <c r="C2067">
        <v>0.94763594365548298</v>
      </c>
      <c r="D2067">
        <v>0.85731857458990401</v>
      </c>
      <c r="E2067">
        <v>0.78603022208072004</v>
      </c>
      <c r="F2067">
        <v>0.58261634047033695</v>
      </c>
      <c r="G2067">
        <v>0.23099595700216599</v>
      </c>
      <c r="H2067">
        <v>0.140931605501848</v>
      </c>
      <c r="I2067">
        <v>0.14741986129141499</v>
      </c>
      <c r="J2067">
        <v>0.169024884318692</v>
      </c>
      <c r="K2067">
        <v>0.137410510796657</v>
      </c>
      <c r="L2067">
        <v>953.24687574020402</v>
      </c>
      <c r="M2067">
        <v>18.115695351123399</v>
      </c>
      <c r="N2067">
        <v>53.364205859441597</v>
      </c>
      <c r="O2067">
        <v>51.991329553111598</v>
      </c>
      <c r="P2067">
        <v>-7.7388754210992006E-2</v>
      </c>
      <c r="Q2067">
        <v>0.111632284246276</v>
      </c>
      <c r="R2067">
        <v>0.98275780536352497</v>
      </c>
      <c r="S2067" t="s">
        <v>8713</v>
      </c>
      <c r="T2067" t="s">
        <v>13290</v>
      </c>
      <c r="U2067" t="s">
        <v>13290</v>
      </c>
      <c r="V2067" t="s">
        <v>13290</v>
      </c>
      <c r="W2067" t="s">
        <v>15324</v>
      </c>
      <c r="X2067">
        <v>10</v>
      </c>
      <c r="Y2067" t="s">
        <v>21883</v>
      </c>
      <c r="Z2067" t="s">
        <v>28397</v>
      </c>
      <c r="AA2067">
        <v>0.49982886663216608</v>
      </c>
      <c r="AB2067" t="str">
        <f>HYPERLINK("Melting_Curves/meltCurve_P09601_HMOX1.pdf", "Melting_Curves/meltCurve_P09601_HMOX1.pdf")</f>
        <v>Melting_Curves/meltCurve_P09601_HMOX1.pdf</v>
      </c>
    </row>
    <row r="2068" spans="1:28" x14ac:dyDescent="0.25">
      <c r="A2068" t="s">
        <v>2072</v>
      </c>
      <c r="B2068">
        <v>0.99252571173614901</v>
      </c>
      <c r="C2068">
        <v>0.97943265273318003</v>
      </c>
      <c r="D2068">
        <v>1.1013489091086599</v>
      </c>
      <c r="E2068">
        <v>1.2253111574139399</v>
      </c>
      <c r="F2068">
        <v>0.96922249214567702</v>
      </c>
      <c r="G2068">
        <v>0.89177645329171296</v>
      </c>
      <c r="H2068">
        <v>1.32758059020442</v>
      </c>
      <c r="I2068">
        <v>1.84760305139686</v>
      </c>
      <c r="J2068">
        <v>0.30011794611082998</v>
      </c>
      <c r="K2068">
        <v>0.28101280016857499</v>
      </c>
      <c r="L2068">
        <v>15000</v>
      </c>
      <c r="M2068">
        <v>226.56456324624</v>
      </c>
      <c r="N2068">
        <v>66.4391437217526</v>
      </c>
      <c r="O2068">
        <v>66.201135162141796</v>
      </c>
      <c r="P2068">
        <v>-0.62117120863359698</v>
      </c>
      <c r="Q2068">
        <v>0.27398639078495401</v>
      </c>
      <c r="R2068">
        <v>0.52752896928072401</v>
      </c>
      <c r="S2068" t="s">
        <v>8714</v>
      </c>
      <c r="T2068" t="s">
        <v>13290</v>
      </c>
      <c r="U2068" t="s">
        <v>13290</v>
      </c>
      <c r="V2068" t="s">
        <v>13290</v>
      </c>
      <c r="W2068" t="s">
        <v>15325</v>
      </c>
      <c r="X2068">
        <v>1</v>
      </c>
      <c r="Y2068" t="s">
        <v>21884</v>
      </c>
      <c r="Z2068" t="s">
        <v>28398</v>
      </c>
      <c r="AA2068">
        <v>0.90829326281364919</v>
      </c>
      <c r="AB2068" t="str">
        <f>HYPERLINK("Melting_Curves/meltCurve_P09619_PDGFRB.pdf", "Melting_Curves/meltCurve_P09619_PDGFRB.pdf")</f>
        <v>Melting_Curves/meltCurve_P09619_PDGFRB.pdf</v>
      </c>
    </row>
    <row r="2069" spans="1:28" x14ac:dyDescent="0.25">
      <c r="A2069" t="s">
        <v>2073</v>
      </c>
      <c r="B2069">
        <v>0.99252571173614901</v>
      </c>
      <c r="C2069">
        <v>1.01733419283485</v>
      </c>
      <c r="D2069">
        <v>0.94679989150538801</v>
      </c>
      <c r="E2069">
        <v>0.95742204505323603</v>
      </c>
      <c r="F2069">
        <v>1.0074628800513501</v>
      </c>
      <c r="G2069">
        <v>0.87535350865865602</v>
      </c>
      <c r="H2069">
        <v>0.95643827144425697</v>
      </c>
      <c r="I2069">
        <v>1.2609682062801699</v>
      </c>
      <c r="J2069">
        <v>1.74868442103736</v>
      </c>
      <c r="K2069">
        <v>1.67524803107723</v>
      </c>
      <c r="L2069">
        <v>15000</v>
      </c>
      <c r="M2069">
        <v>234.462940429122</v>
      </c>
      <c r="O2069">
        <v>63.971338256197797</v>
      </c>
      <c r="P2069">
        <v>0.45814058613661801</v>
      </c>
      <c r="Q2069">
        <v>1.5</v>
      </c>
      <c r="R2069">
        <v>0.87219918052659295</v>
      </c>
      <c r="S2069" t="s">
        <v>8715</v>
      </c>
      <c r="T2069" t="s">
        <v>13290</v>
      </c>
      <c r="U2069" t="s">
        <v>13290</v>
      </c>
      <c r="V2069" t="s">
        <v>13290</v>
      </c>
      <c r="W2069" t="s">
        <v>15326</v>
      </c>
      <c r="X2069">
        <v>32</v>
      </c>
      <c r="Y2069" t="s">
        <v>21885</v>
      </c>
      <c r="Z2069" t="s">
        <v>28399</v>
      </c>
      <c r="AA2069">
        <v>1.100336249463765</v>
      </c>
      <c r="AB2069" t="str">
        <f>HYPERLINK("Melting_Curves/meltCurve_P09622_DLD.pdf", "Melting_Curves/meltCurve_P09622_DLD.pdf")</f>
        <v>Melting_Curves/meltCurve_P09622_DLD.pdf</v>
      </c>
    </row>
    <row r="2070" spans="1:28" x14ac:dyDescent="0.25">
      <c r="A2070" t="s">
        <v>2074</v>
      </c>
      <c r="B2070">
        <v>0.99252571173614901</v>
      </c>
      <c r="C2070">
        <v>0.92080480474139104</v>
      </c>
      <c r="D2070">
        <v>1.30230415247817</v>
      </c>
      <c r="E2070">
        <v>1.2590572056992799</v>
      </c>
      <c r="F2070">
        <v>0.99742178546278404</v>
      </c>
      <c r="G2070">
        <v>0.51236736777992797</v>
      </c>
      <c r="H2070">
        <v>0.170218268547812</v>
      </c>
      <c r="I2070">
        <v>0.14833479864149501</v>
      </c>
      <c r="J2070">
        <v>0.18072407954521399</v>
      </c>
      <c r="K2070">
        <v>0.18817415302065499</v>
      </c>
      <c r="L2070">
        <v>5925.2211423171902</v>
      </c>
      <c r="M2070">
        <v>104.676037929225</v>
      </c>
      <c r="N2070">
        <v>56.833762318019097</v>
      </c>
      <c r="O2070">
        <v>56.584673200298397</v>
      </c>
      <c r="P2070">
        <v>-0.38306243541288798</v>
      </c>
      <c r="Q2070">
        <v>0.17171256530756501</v>
      </c>
      <c r="R2070">
        <v>0.91872532532942597</v>
      </c>
      <c r="S2070" t="s">
        <v>8716</v>
      </c>
      <c r="T2070" t="s">
        <v>13290</v>
      </c>
      <c r="U2070" t="s">
        <v>13290</v>
      </c>
      <c r="V2070" t="s">
        <v>13290</v>
      </c>
      <c r="W2070" t="s">
        <v>15327</v>
      </c>
      <c r="X2070">
        <v>15</v>
      </c>
      <c r="Y2070" t="s">
        <v>21886</v>
      </c>
      <c r="Z2070" t="s">
        <v>28400</v>
      </c>
      <c r="AA2070">
        <v>0.63064847226474019</v>
      </c>
      <c r="AB2070" t="str">
        <f>HYPERLINK("Melting_Curves/meltCurve_P09661_SNRPA1.pdf", "Melting_Curves/meltCurve_P09661_SNRPA1.pdf")</f>
        <v>Melting_Curves/meltCurve_P09661_SNRPA1.pdf</v>
      </c>
    </row>
    <row r="2071" spans="1:28" x14ac:dyDescent="0.25">
      <c r="A2071" t="s">
        <v>2075</v>
      </c>
      <c r="B2071">
        <v>0.99252571173614901</v>
      </c>
      <c r="C2071">
        <v>1.1088605062639101</v>
      </c>
      <c r="D2071">
        <v>1.2491855060245201</v>
      </c>
      <c r="E2071">
        <v>1.4524519318395099</v>
      </c>
      <c r="F2071">
        <v>0.74101547258589995</v>
      </c>
      <c r="G2071">
        <v>0.43249009298528102</v>
      </c>
      <c r="H2071">
        <v>0.24199291494330299</v>
      </c>
      <c r="I2071">
        <v>0.37418940577583998</v>
      </c>
      <c r="J2071">
        <v>0.57623743839923403</v>
      </c>
      <c r="K2071">
        <v>0.88638419516808697</v>
      </c>
      <c r="L2071">
        <v>13295.673592932901</v>
      </c>
      <c r="M2071">
        <v>250</v>
      </c>
      <c r="O2071">
        <v>53.179276693628097</v>
      </c>
      <c r="P2071">
        <v>-0.58498005992421498</v>
      </c>
      <c r="Q2071">
        <v>0.50225880234271203</v>
      </c>
      <c r="R2071">
        <v>0.64046270679214201</v>
      </c>
      <c r="S2071" t="s">
        <v>8717</v>
      </c>
      <c r="T2071" t="s">
        <v>13290</v>
      </c>
      <c r="U2071" t="s">
        <v>13290</v>
      </c>
      <c r="V2071" t="s">
        <v>13290</v>
      </c>
      <c r="W2071" t="s">
        <v>15328</v>
      </c>
      <c r="X2071">
        <v>1</v>
      </c>
      <c r="Y2071" t="s">
        <v>21887</v>
      </c>
      <c r="Z2071" t="s">
        <v>28401</v>
      </c>
      <c r="AA2071">
        <v>0.72102426174949286</v>
      </c>
      <c r="AB2071" t="str">
        <f>HYPERLINK("Melting_Curves/meltCurve_P09668_CTSH.pdf", "Melting_Curves/meltCurve_P09668_CTSH.pdf")</f>
        <v>Melting_Curves/meltCurve_P09668_CTSH.pdf</v>
      </c>
    </row>
    <row r="2072" spans="1:28" x14ac:dyDescent="0.25">
      <c r="A2072" t="s">
        <v>2076</v>
      </c>
      <c r="B2072">
        <v>0.99252571173614901</v>
      </c>
      <c r="C2072">
        <v>1.0131491001849</v>
      </c>
      <c r="D2072">
        <v>0.967365392002703</v>
      </c>
      <c r="E2072">
        <v>0.84524899940125797</v>
      </c>
      <c r="F2072">
        <v>0.71636489889767596</v>
      </c>
      <c r="G2072">
        <v>0.59731850530831299</v>
      </c>
      <c r="H2072">
        <v>0.57024210630411798</v>
      </c>
      <c r="I2072">
        <v>0.88640863757465205</v>
      </c>
      <c r="J2072">
        <v>1.46162463277633</v>
      </c>
      <c r="K2072">
        <v>1.1680162611212901</v>
      </c>
      <c r="L2072">
        <v>11538.393978952499</v>
      </c>
      <c r="M2072">
        <v>250</v>
      </c>
      <c r="O2072">
        <v>46.150605403042</v>
      </c>
      <c r="P2072">
        <v>-0.14602340555644799</v>
      </c>
      <c r="Q2072">
        <v>0.892174863091583</v>
      </c>
      <c r="R2072">
        <v>3.3048316693274203E-2</v>
      </c>
      <c r="S2072" t="s">
        <v>8718</v>
      </c>
      <c r="T2072" t="s">
        <v>13290</v>
      </c>
      <c r="U2072" t="s">
        <v>13290</v>
      </c>
      <c r="V2072" t="s">
        <v>13290</v>
      </c>
      <c r="W2072" t="s">
        <v>15329</v>
      </c>
      <c r="X2072">
        <v>9</v>
      </c>
      <c r="Y2072" t="s">
        <v>21888</v>
      </c>
      <c r="Z2072" t="s">
        <v>28402</v>
      </c>
      <c r="AA2072">
        <v>0.91430060231903454</v>
      </c>
      <c r="AB2072" t="str">
        <f>HYPERLINK("Melting_Curves/meltCurve_P09669_COX6C.pdf", "Melting_Curves/meltCurve_P09669_COX6C.pdf")</f>
        <v>Melting_Curves/meltCurve_P09669_COX6C.pdf</v>
      </c>
    </row>
    <row r="2073" spans="1:28" x14ac:dyDescent="0.25">
      <c r="A2073" t="s">
        <v>2077</v>
      </c>
      <c r="B2073">
        <v>0.99252571173614901</v>
      </c>
      <c r="C2073">
        <v>1.0049224379424799</v>
      </c>
      <c r="D2073">
        <v>0.60081506136246599</v>
      </c>
      <c r="E2073">
        <v>0.25047027515873299</v>
      </c>
      <c r="F2073">
        <v>0.123076685287715</v>
      </c>
      <c r="G2073">
        <v>7.2540546418636206E-2</v>
      </c>
      <c r="H2073">
        <v>5.4627362830642699E-2</v>
      </c>
      <c r="I2073">
        <v>5.2364984309630602E-2</v>
      </c>
      <c r="J2073">
        <v>5.8808631562404901E-2</v>
      </c>
      <c r="K2073">
        <v>5.5654196792759701E-2</v>
      </c>
      <c r="L2073">
        <v>1298.1701290035201</v>
      </c>
      <c r="M2073">
        <v>27.744224806420501</v>
      </c>
      <c r="N2073">
        <v>47.0238877619447</v>
      </c>
      <c r="O2073">
        <v>46.549578698740802</v>
      </c>
      <c r="P2073">
        <v>-0.13942656100824599</v>
      </c>
      <c r="Q2073">
        <v>6.4282382859970497E-2</v>
      </c>
      <c r="R2073">
        <v>0.99348817371869902</v>
      </c>
      <c r="S2073" t="s">
        <v>8719</v>
      </c>
      <c r="T2073" t="s">
        <v>13290</v>
      </c>
      <c r="U2073" t="s">
        <v>13290</v>
      </c>
      <c r="V2073" t="s">
        <v>13290</v>
      </c>
      <c r="W2073" t="s">
        <v>15330</v>
      </c>
      <c r="X2073">
        <v>53</v>
      </c>
      <c r="Y2073" t="s">
        <v>21889</v>
      </c>
      <c r="Z2073" t="s">
        <v>28403</v>
      </c>
      <c r="AA2073">
        <v>0.28275262572089782</v>
      </c>
      <c r="AB2073" t="str">
        <f>HYPERLINK("Melting_Curves/meltCurve_P09874_PARP1.pdf", "Melting_Curves/meltCurve_P09874_PARP1.pdf")</f>
        <v>Melting_Curves/meltCurve_P09874_PARP1.pdf</v>
      </c>
    </row>
    <row r="2074" spans="1:28" x14ac:dyDescent="0.25">
      <c r="A2074" t="s">
        <v>2078</v>
      </c>
      <c r="B2074">
        <v>0.99252571173614901</v>
      </c>
      <c r="C2074">
        <v>1.0363509126878001</v>
      </c>
      <c r="D2074">
        <v>0.96113416531776996</v>
      </c>
      <c r="E2074">
        <v>0.86547411160940302</v>
      </c>
      <c r="F2074">
        <v>0.64909386803880098</v>
      </c>
      <c r="G2074">
        <v>0.19243475655030101</v>
      </c>
      <c r="H2074">
        <v>8.5166690634931402E-2</v>
      </c>
      <c r="I2074">
        <v>6.9410677452105399E-2</v>
      </c>
      <c r="J2074">
        <v>7.4501970204723503E-2</v>
      </c>
      <c r="K2074">
        <v>7.2373866568113301E-2</v>
      </c>
      <c r="L2074">
        <v>1559.3131443636901</v>
      </c>
      <c r="M2074">
        <v>28.975188892364699</v>
      </c>
      <c r="N2074">
        <v>54.052463138687898</v>
      </c>
      <c r="O2074">
        <v>53.5610840863947</v>
      </c>
      <c r="P2074">
        <v>-0.127176814266306</v>
      </c>
      <c r="Q2074">
        <v>5.9653878058621698E-2</v>
      </c>
      <c r="R2074">
        <v>0.99450581456682996</v>
      </c>
      <c r="S2074" t="s">
        <v>8720</v>
      </c>
      <c r="T2074" t="s">
        <v>13290</v>
      </c>
      <c r="U2074" t="s">
        <v>13290</v>
      </c>
      <c r="V2074" t="s">
        <v>13290</v>
      </c>
      <c r="W2074" t="s">
        <v>15331</v>
      </c>
      <c r="X2074">
        <v>46</v>
      </c>
      <c r="Y2074" t="s">
        <v>21890</v>
      </c>
      <c r="Z2074" t="s">
        <v>28404</v>
      </c>
      <c r="AA2074">
        <v>0.4992882450834133</v>
      </c>
      <c r="AB2074" t="str">
        <f>HYPERLINK("Melting_Curves/meltCurve_P09960_LTA4H.pdf", "Melting_Curves/meltCurve_P09960_LTA4H.pdf")</f>
        <v>Melting_Curves/meltCurve_P09960_LTA4H.pdf</v>
      </c>
    </row>
    <row r="2075" spans="1:28" x14ac:dyDescent="0.25">
      <c r="A2075" t="s">
        <v>2079</v>
      </c>
      <c r="B2075">
        <v>0.99252571173614901</v>
      </c>
      <c r="C2075">
        <v>0.97945508640272805</v>
      </c>
      <c r="D2075">
        <v>1.04310289970257</v>
      </c>
      <c r="E2075">
        <v>1.03672862727286</v>
      </c>
      <c r="F2075">
        <v>1.08876990019277</v>
      </c>
      <c r="G2075">
        <v>0.90761879904176002</v>
      </c>
      <c r="H2075">
        <v>0.746246046570614</v>
      </c>
      <c r="I2075">
        <v>0.41022441464451498</v>
      </c>
      <c r="J2075">
        <v>0.145390176596948</v>
      </c>
      <c r="K2075">
        <v>0.111385900743511</v>
      </c>
      <c r="L2075">
        <v>1834.46554682953</v>
      </c>
      <c r="M2075">
        <v>29.199660588254702</v>
      </c>
      <c r="N2075">
        <v>63.0373864665629</v>
      </c>
      <c r="O2075">
        <v>62.532440010628598</v>
      </c>
      <c r="P2075">
        <v>-0.111267319601502</v>
      </c>
      <c r="Q2075">
        <v>4.6870239080952898E-2</v>
      </c>
      <c r="R2075">
        <v>0.98735404678405003</v>
      </c>
      <c r="S2075" t="s">
        <v>8721</v>
      </c>
      <c r="T2075" t="s">
        <v>13290</v>
      </c>
      <c r="U2075" t="s">
        <v>13290</v>
      </c>
      <c r="V2075" t="s">
        <v>13290</v>
      </c>
      <c r="W2075" t="s">
        <v>15332</v>
      </c>
      <c r="X2075">
        <v>43</v>
      </c>
      <c r="Y2075" t="s">
        <v>21891</v>
      </c>
      <c r="Z2075" t="s">
        <v>28405</v>
      </c>
      <c r="AA2075">
        <v>0.7753549013324208</v>
      </c>
      <c r="AB2075" t="str">
        <f>HYPERLINK("Melting_Curves/meltCurve_P09972_ALDOC.pdf", "Melting_Curves/meltCurve_P09972_ALDOC.pdf")</f>
        <v>Melting_Curves/meltCurve_P09972_ALDOC.pdf</v>
      </c>
    </row>
    <row r="2076" spans="1:28" x14ac:dyDescent="0.25">
      <c r="A2076" t="s">
        <v>2080</v>
      </c>
      <c r="B2076">
        <v>0.99252571173614901</v>
      </c>
      <c r="C2076">
        <v>1.19699573779608</v>
      </c>
      <c r="D2076">
        <v>0.93212891195051595</v>
      </c>
      <c r="E2076">
        <v>0.79592128065206802</v>
      </c>
      <c r="F2076">
        <v>0.65703213971096197</v>
      </c>
      <c r="G2076">
        <v>0.48246550796593102</v>
      </c>
      <c r="H2076">
        <v>0.282362410485201</v>
      </c>
      <c r="I2076">
        <v>8.5926089720401805E-2</v>
      </c>
      <c r="J2076">
        <v>7.7537540860386805E-2</v>
      </c>
      <c r="K2076">
        <v>9.7331019373415498E-2</v>
      </c>
      <c r="L2076">
        <v>765.10606750814395</v>
      </c>
      <c r="M2076">
        <v>13.6811818528478</v>
      </c>
      <c r="N2076">
        <v>55.923990569785197</v>
      </c>
      <c r="O2076">
        <v>54.7697523668825</v>
      </c>
      <c r="P2076">
        <v>-6.2457664080420298E-2</v>
      </c>
      <c r="Q2076">
        <v>0</v>
      </c>
      <c r="R2076">
        <v>0.96338360724142402</v>
      </c>
      <c r="S2076" t="s">
        <v>8722</v>
      </c>
      <c r="T2076" t="s">
        <v>13290</v>
      </c>
      <c r="U2076" t="s">
        <v>13290</v>
      </c>
      <c r="V2076" t="s">
        <v>13290</v>
      </c>
      <c r="W2076" t="s">
        <v>15333</v>
      </c>
      <c r="X2076">
        <v>5</v>
      </c>
      <c r="Y2076" t="s">
        <v>21892</v>
      </c>
      <c r="Z2076" t="s">
        <v>28406</v>
      </c>
      <c r="AA2076">
        <v>0.54999422308809687</v>
      </c>
      <c r="AB2076" t="str">
        <f>HYPERLINK("Melting_Curves/meltCurve_P0C024_NUDT7.pdf", "Melting_Curves/meltCurve_P0C024_NUDT7.pdf")</f>
        <v>Melting_Curves/meltCurve_P0C024_NUDT7.pdf</v>
      </c>
    </row>
    <row r="2077" spans="1:28" x14ac:dyDescent="0.25">
      <c r="A2077" t="s">
        <v>2081</v>
      </c>
      <c r="B2077">
        <v>0.99252571173614901</v>
      </c>
      <c r="C2077">
        <v>1.05684580592488</v>
      </c>
      <c r="D2077">
        <v>0.92632961534732305</v>
      </c>
      <c r="E2077">
        <v>0.91268304736623296</v>
      </c>
      <c r="F2077">
        <v>0.35084196550687102</v>
      </c>
      <c r="G2077">
        <v>0.230948984511197</v>
      </c>
      <c r="H2077">
        <v>7.7546877314681198E-2</v>
      </c>
      <c r="I2077">
        <v>9.9795107696716207E-2</v>
      </c>
      <c r="J2077">
        <v>0.141054772354718</v>
      </c>
      <c r="K2077">
        <v>0.160849752471277</v>
      </c>
      <c r="L2077">
        <v>2161.5685250738202</v>
      </c>
      <c r="M2077">
        <v>41.619038296427597</v>
      </c>
      <c r="N2077">
        <v>52.3298570524083</v>
      </c>
      <c r="O2077">
        <v>51.817535473777099</v>
      </c>
      <c r="P2077">
        <v>-0.173855757644236</v>
      </c>
      <c r="Q2077">
        <v>0.13416923300379799</v>
      </c>
      <c r="R2077">
        <v>0.98761787708023396</v>
      </c>
      <c r="S2077" t="s">
        <v>8723</v>
      </c>
      <c r="T2077" t="s">
        <v>13290</v>
      </c>
      <c r="U2077" t="s">
        <v>13290</v>
      </c>
      <c r="V2077" t="s">
        <v>13290</v>
      </c>
      <c r="W2077" t="s">
        <v>15334</v>
      </c>
      <c r="X2077">
        <v>3</v>
      </c>
      <c r="Y2077" t="s">
        <v>21893</v>
      </c>
      <c r="Z2077" t="s">
        <v>28407</v>
      </c>
      <c r="AA2077">
        <v>0.48155233363506622</v>
      </c>
      <c r="AB2077" t="str">
        <f>HYPERLINK("Melting_Curves/meltCurve_P0C7P0_CISD3.pdf", "Melting_Curves/meltCurve_P0C7P0_CISD3.pdf")</f>
        <v>Melting_Curves/meltCurve_P0C7P0_CISD3.pdf</v>
      </c>
    </row>
    <row r="2078" spans="1:28" x14ac:dyDescent="0.25">
      <c r="A2078" t="s">
        <v>2082</v>
      </c>
      <c r="B2078">
        <v>0.99252571173614901</v>
      </c>
      <c r="C2078">
        <v>0.94655532788306396</v>
      </c>
      <c r="D2078">
        <v>0.74835560926566203</v>
      </c>
      <c r="E2078">
        <v>0.65468188453590903</v>
      </c>
      <c r="F2078">
        <v>0.30658549664934598</v>
      </c>
      <c r="G2078">
        <v>0.21034650362676799</v>
      </c>
      <c r="H2078">
        <v>0.148394860954119</v>
      </c>
      <c r="I2078">
        <v>0.22614000874074899</v>
      </c>
      <c r="J2078">
        <v>0.27122865881986702</v>
      </c>
      <c r="K2078">
        <v>0.28025031498333203</v>
      </c>
      <c r="L2078">
        <v>940.69027579357498</v>
      </c>
      <c r="M2078">
        <v>19.216147180934499</v>
      </c>
      <c r="N2078">
        <v>50.394909207053097</v>
      </c>
      <c r="O2078">
        <v>48.4322133746373</v>
      </c>
      <c r="P2078">
        <v>-7.8219120576766193E-2</v>
      </c>
      <c r="Q2078">
        <v>0.211458871877057</v>
      </c>
      <c r="R2078">
        <v>0.96394113966567097</v>
      </c>
      <c r="S2078" t="s">
        <v>8724</v>
      </c>
      <c r="T2078" t="s">
        <v>13290</v>
      </c>
      <c r="U2078" t="s">
        <v>13290</v>
      </c>
      <c r="V2078" t="s">
        <v>13290</v>
      </c>
      <c r="W2078" t="s">
        <v>15335</v>
      </c>
      <c r="X2078">
        <v>2</v>
      </c>
      <c r="Y2078" t="s">
        <v>21894</v>
      </c>
      <c r="Z2078" t="s">
        <v>28408</v>
      </c>
      <c r="AA2078">
        <v>0.45877419276699638</v>
      </c>
      <c r="AB2078" t="str">
        <f>HYPERLINK("Melting_Curves/meltCurve_P0C7T5_ATXN1L.pdf", "Melting_Curves/meltCurve_P0C7T5_ATXN1L.pdf")</f>
        <v>Melting_Curves/meltCurve_P0C7T5_ATXN1L.pdf</v>
      </c>
    </row>
    <row r="2079" spans="1:28" x14ac:dyDescent="0.25">
      <c r="A2079" t="s">
        <v>2083</v>
      </c>
      <c r="B2079">
        <v>0.99252571173614901</v>
      </c>
      <c r="C2079">
        <v>1.0258086796497501</v>
      </c>
      <c r="D2079">
        <v>0.95254019123480704</v>
      </c>
      <c r="E2079">
        <v>0.80719800215475701</v>
      </c>
      <c r="F2079">
        <v>0.65357018836288405</v>
      </c>
      <c r="G2079">
        <v>0.56876955514379601</v>
      </c>
      <c r="H2079">
        <v>0.39949653791582801</v>
      </c>
      <c r="I2079">
        <v>0.16230410508854801</v>
      </c>
      <c r="J2079">
        <v>0.198402167448331</v>
      </c>
      <c r="K2079">
        <v>0.17804718779681</v>
      </c>
      <c r="L2079">
        <v>632.02259172266702</v>
      </c>
      <c r="M2079">
        <v>11.1461432353245</v>
      </c>
      <c r="N2079">
        <v>57.214404490703402</v>
      </c>
      <c r="O2079">
        <v>54.969890407522698</v>
      </c>
      <c r="P2079">
        <v>-4.8305215188715701E-2</v>
      </c>
      <c r="Q2079">
        <v>4.7390346657892803E-2</v>
      </c>
      <c r="R2079">
        <v>0.98166443841710505</v>
      </c>
      <c r="S2079" t="s">
        <v>8725</v>
      </c>
      <c r="T2079" t="s">
        <v>13290</v>
      </c>
      <c r="U2079" t="s">
        <v>13290</v>
      </c>
      <c r="V2079" t="s">
        <v>13290</v>
      </c>
      <c r="W2079" t="s">
        <v>15336</v>
      </c>
      <c r="X2079">
        <v>6</v>
      </c>
      <c r="Y2079" t="s">
        <v>21895</v>
      </c>
      <c r="Z2079" t="s">
        <v>28409</v>
      </c>
      <c r="AA2079">
        <v>0.59487711704170965</v>
      </c>
      <c r="AB2079" t="str">
        <f>HYPERLINK("Melting_Curves/meltCurve_P0C870_JMJD7.pdf", "Melting_Curves/meltCurve_P0C870_JMJD7.pdf")</f>
        <v>Melting_Curves/meltCurve_P0C870_JMJD7.pdf</v>
      </c>
    </row>
    <row r="2080" spans="1:28" x14ac:dyDescent="0.25">
      <c r="A2080" t="s">
        <v>2084</v>
      </c>
      <c r="B2080">
        <v>0.99252571173614901</v>
      </c>
      <c r="C2080">
        <v>1.04600610880264</v>
      </c>
      <c r="D2080">
        <v>1.15645388720701</v>
      </c>
      <c r="E2080">
        <v>1.57601158097376</v>
      </c>
      <c r="F2080">
        <v>0.88211305840124998</v>
      </c>
      <c r="G2080">
        <v>0.63059843313532704</v>
      </c>
      <c r="H2080">
        <v>0.66198548840404403</v>
      </c>
      <c r="I2080">
        <v>0.78623620777848602</v>
      </c>
      <c r="J2080">
        <v>1.3898396386094001</v>
      </c>
      <c r="K2080">
        <v>2.1963625015071502</v>
      </c>
      <c r="L2080">
        <v>15000</v>
      </c>
      <c r="M2080">
        <v>224.810993077799</v>
      </c>
      <c r="O2080">
        <v>66.717435758583804</v>
      </c>
      <c r="P2080">
        <v>0.421199854192574</v>
      </c>
      <c r="Q2080">
        <v>1.5</v>
      </c>
      <c r="R2080">
        <v>0.44487169010426902</v>
      </c>
      <c r="S2080" t="s">
        <v>8726</v>
      </c>
      <c r="T2080" t="s">
        <v>13290</v>
      </c>
      <c r="U2080" t="s">
        <v>13290</v>
      </c>
      <c r="V2080" t="s">
        <v>13290</v>
      </c>
      <c r="W2080" t="s">
        <v>15337</v>
      </c>
      <c r="X2080">
        <v>2</v>
      </c>
      <c r="Y2080" t="s">
        <v>21896</v>
      </c>
      <c r="Z2080" t="s">
        <v>28410</v>
      </c>
      <c r="AA2080">
        <v>1.0545491431976981</v>
      </c>
      <c r="AB2080" t="str">
        <f>HYPERLINK("Melting_Curves/meltCurve_P0CAP2_POLR2M.pdf", "Melting_Curves/meltCurve_P0CAP2_POLR2M.pdf")</f>
        <v>Melting_Curves/meltCurve_P0CAP2_POLR2M.pdf</v>
      </c>
    </row>
    <row r="2081" spans="1:28" x14ac:dyDescent="0.25">
      <c r="A2081" t="s">
        <v>2085</v>
      </c>
      <c r="B2081">
        <v>0.99252571173614901</v>
      </c>
      <c r="C2081">
        <v>1.0559900001720299</v>
      </c>
      <c r="D2081">
        <v>0.94912298220566804</v>
      </c>
      <c r="E2081">
        <v>0.91657313226052095</v>
      </c>
      <c r="F2081">
        <v>0.72709704036475997</v>
      </c>
      <c r="G2081">
        <v>0.60744976192615896</v>
      </c>
      <c r="H2081">
        <v>0.59252209261057598</v>
      </c>
      <c r="I2081">
        <v>0.77561465787358996</v>
      </c>
      <c r="J2081">
        <v>1.34507172440488</v>
      </c>
      <c r="K2081">
        <v>1.5153274315965899</v>
      </c>
      <c r="L2081">
        <v>15000</v>
      </c>
      <c r="M2081">
        <v>224.347330243155</v>
      </c>
      <c r="O2081">
        <v>66.855300003038295</v>
      </c>
      <c r="P2081">
        <v>0.41946437067731501</v>
      </c>
      <c r="Q2081">
        <v>1.5</v>
      </c>
      <c r="R2081">
        <v>0.438114934691615</v>
      </c>
      <c r="S2081" t="s">
        <v>8727</v>
      </c>
      <c r="T2081" t="s">
        <v>13290</v>
      </c>
      <c r="U2081" t="s">
        <v>13290</v>
      </c>
      <c r="V2081" t="s">
        <v>13290</v>
      </c>
      <c r="W2081" t="s">
        <v>15338</v>
      </c>
      <c r="X2081">
        <v>3</v>
      </c>
      <c r="Y2081" t="s">
        <v>21021</v>
      </c>
      <c r="Z2081" t="s">
        <v>28411</v>
      </c>
      <c r="AA2081">
        <v>1.0522504954895671</v>
      </c>
      <c r="AB2081" t="str">
        <f>HYPERLINK("Melting_Curves/meltCurve_P0CG12_CHTF8.pdf", "Melting_Curves/meltCurve_P0CG12_CHTF8.pdf")</f>
        <v>Melting_Curves/meltCurve_P0CG12_CHTF8.pdf</v>
      </c>
    </row>
    <row r="2082" spans="1:28" x14ac:dyDescent="0.25">
      <c r="A2082" t="s">
        <v>2086</v>
      </c>
      <c r="B2082">
        <v>0.99252571173614901</v>
      </c>
      <c r="C2082">
        <v>1.02847664265427</v>
      </c>
      <c r="D2082">
        <v>0.92054021148930099</v>
      </c>
      <c r="E2082">
        <v>0.81055559237217001</v>
      </c>
      <c r="F2082">
        <v>0.56699556450523103</v>
      </c>
      <c r="G2082">
        <v>0.34437314881723302</v>
      </c>
      <c r="H2082">
        <v>0.15305403182658001</v>
      </c>
      <c r="I2082">
        <v>0.13605290311481399</v>
      </c>
      <c r="J2082">
        <v>0.14328462245465001</v>
      </c>
      <c r="K2082">
        <v>0.162925814663577</v>
      </c>
      <c r="L2082">
        <v>986.26152649361802</v>
      </c>
      <c r="M2082">
        <v>18.547988139848599</v>
      </c>
      <c r="N2082">
        <v>53.958985067175199</v>
      </c>
      <c r="O2082">
        <v>52.566975136127297</v>
      </c>
      <c r="P2082">
        <v>-7.7778246142477803E-2</v>
      </c>
      <c r="Q2082">
        <v>0.118311262286129</v>
      </c>
      <c r="R2082">
        <v>0.99493187455350796</v>
      </c>
      <c r="S2082" t="s">
        <v>8728</v>
      </c>
      <c r="T2082" t="s">
        <v>13290</v>
      </c>
      <c r="U2082" t="s">
        <v>13290</v>
      </c>
      <c r="V2082" t="s">
        <v>13290</v>
      </c>
      <c r="W2082" t="s">
        <v>15339</v>
      </c>
      <c r="X2082">
        <v>9</v>
      </c>
      <c r="Y2082" t="s">
        <v>21897</v>
      </c>
      <c r="Z2082" t="s">
        <v>28412</v>
      </c>
      <c r="AA2082">
        <v>0.51918976360499525</v>
      </c>
      <c r="AB2082" t="str">
        <f>HYPERLINK("Melting_Curves/meltCurve_P0CW22_RPS17L.pdf", "Melting_Curves/meltCurve_P0CW22_RPS17L.pdf")</f>
        <v>Melting_Curves/meltCurve_P0CW22_RPS17L.pdf</v>
      </c>
    </row>
    <row r="2083" spans="1:28" x14ac:dyDescent="0.25">
      <c r="A2083" t="s">
        <v>2087</v>
      </c>
      <c r="B2083">
        <v>0.99252571173614901</v>
      </c>
      <c r="C2083">
        <v>1.0319025837293001</v>
      </c>
      <c r="D2083">
        <v>1.0000143990754899</v>
      </c>
      <c r="E2083">
        <v>1.32324439522241</v>
      </c>
      <c r="F2083">
        <v>0.84245790300907397</v>
      </c>
      <c r="G2083">
        <v>0.63257698184415101</v>
      </c>
      <c r="H2083">
        <v>0.66424637225421901</v>
      </c>
      <c r="I2083">
        <v>1.0476434461383</v>
      </c>
      <c r="J2083">
        <v>2.3526533715236</v>
      </c>
      <c r="K2083">
        <v>1.4950576003087801</v>
      </c>
      <c r="L2083">
        <v>15000</v>
      </c>
      <c r="M2083">
        <v>232.16381963338401</v>
      </c>
      <c r="O2083">
        <v>64.6047565657598</v>
      </c>
      <c r="P2083">
        <v>0.44920032539832999</v>
      </c>
      <c r="Q2083">
        <v>1.5</v>
      </c>
      <c r="R2083">
        <v>0.51180003897072102</v>
      </c>
      <c r="S2083" t="s">
        <v>8729</v>
      </c>
      <c r="T2083" t="s">
        <v>13290</v>
      </c>
      <c r="U2083" t="s">
        <v>13290</v>
      </c>
      <c r="V2083" t="s">
        <v>13290</v>
      </c>
      <c r="W2083" t="s">
        <v>15340</v>
      </c>
      <c r="X2083">
        <v>1</v>
      </c>
      <c r="Y2083" t="s">
        <v>21898</v>
      </c>
      <c r="Z2083" t="s">
        <v>28413</v>
      </c>
      <c r="AA2083">
        <v>1.089775084660489</v>
      </c>
      <c r="AB2083" t="str">
        <f>HYPERLINK("Melting_Curves/meltCurve_P0DJ93_SMIM13.pdf", "Melting_Curves/meltCurve_P0DJ93_SMIM13.pdf")</f>
        <v>Melting_Curves/meltCurve_P0DJ93_SMIM13.pdf</v>
      </c>
    </row>
    <row r="2084" spans="1:28" x14ac:dyDescent="0.25">
      <c r="A2084" t="s">
        <v>2088</v>
      </c>
      <c r="B2084">
        <v>0.99252571173614901</v>
      </c>
      <c r="C2084">
        <v>1.16353550774841</v>
      </c>
      <c r="D2084">
        <v>1.1147214711167299</v>
      </c>
      <c r="E2084">
        <v>1.1343299398501601</v>
      </c>
      <c r="F2084">
        <v>0.78163601691335305</v>
      </c>
      <c r="G2084">
        <v>0.54331668078959505</v>
      </c>
      <c r="H2084">
        <v>0.49034395706910699</v>
      </c>
      <c r="I2084">
        <v>0.60869684423537196</v>
      </c>
      <c r="J2084">
        <v>0.93131751850706301</v>
      </c>
      <c r="K2084">
        <v>0.96396523348934005</v>
      </c>
      <c r="S2084" t="s">
        <v>8730</v>
      </c>
      <c r="T2084" t="s">
        <v>13290</v>
      </c>
      <c r="U2084" t="s">
        <v>13291</v>
      </c>
      <c r="V2084" t="s">
        <v>13290</v>
      </c>
      <c r="W2084" t="s">
        <v>15341</v>
      </c>
      <c r="X2084">
        <v>8</v>
      </c>
      <c r="Y2084" t="s">
        <v>21899</v>
      </c>
      <c r="Z2084" t="s">
        <v>28414</v>
      </c>
      <c r="AB2084" t="str">
        <f>HYPERLINK("Melting_Curves/meltCurve_P10109_FDX1.pdf", "Melting_Curves/meltCurve_P10109_FDX1.pdf")</f>
        <v>Melting_Curves/meltCurve_P10109_FDX1.pdf</v>
      </c>
    </row>
    <row r="2085" spans="1:28" x14ac:dyDescent="0.25">
      <c r="A2085" t="s">
        <v>2089</v>
      </c>
      <c r="B2085">
        <v>0.99252571173614901</v>
      </c>
      <c r="C2085">
        <v>0.92937336670444703</v>
      </c>
      <c r="D2085">
        <v>0.85634372999618402</v>
      </c>
      <c r="E2085">
        <v>0.77622561084227404</v>
      </c>
      <c r="F2085">
        <v>0.66619177158556497</v>
      </c>
      <c r="G2085">
        <v>0.54017661683918095</v>
      </c>
      <c r="H2085">
        <v>0.43252268336917299</v>
      </c>
      <c r="I2085">
        <v>0.47949920748430702</v>
      </c>
      <c r="J2085">
        <v>0.49233008028076097</v>
      </c>
      <c r="K2085">
        <v>0.25766359321196203</v>
      </c>
      <c r="L2085">
        <v>455.12844607110401</v>
      </c>
      <c r="M2085">
        <v>8.3894930790914408</v>
      </c>
      <c r="N2085">
        <v>59.580961770155398</v>
      </c>
      <c r="O2085">
        <v>51.4301992583122</v>
      </c>
      <c r="P2085">
        <v>-3.0044234745678501E-2</v>
      </c>
      <c r="Q2085">
        <v>0.26397466312881401</v>
      </c>
      <c r="R2085">
        <v>0.94592506675892196</v>
      </c>
      <c r="S2085" t="s">
        <v>8731</v>
      </c>
      <c r="T2085" t="s">
        <v>13290</v>
      </c>
      <c r="U2085" t="s">
        <v>13290</v>
      </c>
      <c r="V2085" t="s">
        <v>13290</v>
      </c>
      <c r="W2085" t="s">
        <v>15342</v>
      </c>
      <c r="X2085">
        <v>7</v>
      </c>
      <c r="Y2085" t="s">
        <v>21900</v>
      </c>
      <c r="Z2085" t="s">
        <v>28415</v>
      </c>
      <c r="AA2085">
        <v>0.63701872162023421</v>
      </c>
      <c r="AB2085" t="str">
        <f>HYPERLINK("Melting_Curves/meltCurve_P10114_RAP2A.pdf", "Melting_Curves/meltCurve_P10114_RAP2A.pdf")</f>
        <v>Melting_Curves/meltCurve_P10114_RAP2A.pdf</v>
      </c>
    </row>
    <row r="2086" spans="1:28" x14ac:dyDescent="0.25">
      <c r="A2086" t="s">
        <v>2090</v>
      </c>
      <c r="B2086">
        <v>0.99252571173614901</v>
      </c>
      <c r="C2086">
        <v>0.89296486736032199</v>
      </c>
      <c r="D2086">
        <v>1.02751467260139</v>
      </c>
      <c r="E2086">
        <v>0.69462408737293402</v>
      </c>
      <c r="F2086">
        <v>1.0742861787447799</v>
      </c>
      <c r="G2086">
        <v>0.83305603893214097</v>
      </c>
      <c r="H2086">
        <v>0.46594725474583298</v>
      </c>
      <c r="I2086">
        <v>0.136394567289542</v>
      </c>
      <c r="J2086">
        <v>8.0411995680287299E-2</v>
      </c>
      <c r="K2086">
        <v>6.7958851828347003E-2</v>
      </c>
      <c r="L2086">
        <v>1866.87397177254</v>
      </c>
      <c r="M2086">
        <v>31.046789825858301</v>
      </c>
      <c r="N2086">
        <v>60.299767881733899</v>
      </c>
      <c r="O2086">
        <v>59.883163182840697</v>
      </c>
      <c r="P2086">
        <v>-0.124220561760869</v>
      </c>
      <c r="Q2086">
        <v>4.16171262068388E-2</v>
      </c>
      <c r="R2086">
        <v>0.922111435316606</v>
      </c>
      <c r="S2086" t="s">
        <v>8732</v>
      </c>
      <c r="T2086" t="s">
        <v>13290</v>
      </c>
      <c r="U2086" t="s">
        <v>13290</v>
      </c>
      <c r="V2086" t="s">
        <v>13290</v>
      </c>
      <c r="W2086" t="s">
        <v>15343</v>
      </c>
      <c r="X2086">
        <v>23</v>
      </c>
      <c r="Y2086" t="s">
        <v>21901</v>
      </c>
      <c r="Z2086" t="s">
        <v>28416</v>
      </c>
      <c r="AA2086">
        <v>0.69024105143430003</v>
      </c>
      <c r="AB2086" t="str">
        <f>HYPERLINK("Melting_Curves/meltCurve_P10155_TROVE2.pdf", "Melting_Curves/meltCurve_P10155_TROVE2.pdf")</f>
        <v>Melting_Curves/meltCurve_P10155_TROVE2.pdf</v>
      </c>
    </row>
    <row r="2087" spans="1:28" x14ac:dyDescent="0.25">
      <c r="A2087" t="s">
        <v>2091</v>
      </c>
      <c r="B2087">
        <v>0.99252571173614901</v>
      </c>
      <c r="C2087">
        <v>1.02070787837012</v>
      </c>
      <c r="D2087">
        <v>1.04757178920363</v>
      </c>
      <c r="E2087">
        <v>1.14917269330431</v>
      </c>
      <c r="F2087">
        <v>0.77464545697853004</v>
      </c>
      <c r="G2087">
        <v>0.64111808140523596</v>
      </c>
      <c r="H2087">
        <v>0.76767369904455196</v>
      </c>
      <c r="I2087">
        <v>1.5061701906646701</v>
      </c>
      <c r="J2087">
        <v>2.9161071152931899</v>
      </c>
      <c r="K2087">
        <v>2.0457982432532198</v>
      </c>
      <c r="L2087">
        <v>15000</v>
      </c>
      <c r="M2087">
        <v>239.008509407584</v>
      </c>
      <c r="O2087">
        <v>62.754873587655403</v>
      </c>
      <c r="P2087">
        <v>0.47607556226870001</v>
      </c>
      <c r="Q2087">
        <v>1.5</v>
      </c>
      <c r="R2087">
        <v>0.425695333074464</v>
      </c>
      <c r="S2087" t="s">
        <v>8733</v>
      </c>
      <c r="T2087" t="s">
        <v>13290</v>
      </c>
      <c r="U2087" t="s">
        <v>13290</v>
      </c>
      <c r="V2087" t="s">
        <v>13290</v>
      </c>
      <c r="W2087" t="s">
        <v>15344</v>
      </c>
      <c r="X2087">
        <v>1</v>
      </c>
      <c r="Y2087" t="s">
        <v>21902</v>
      </c>
      <c r="Z2087" t="s">
        <v>28417</v>
      </c>
      <c r="AA2087">
        <v>1.120618549972334</v>
      </c>
      <c r="AB2087" t="str">
        <f>HYPERLINK("Melting_Curves/meltCurve_P10176_COX8A.pdf", "Melting_Curves/meltCurve_P10176_COX8A.pdf")</f>
        <v>Melting_Curves/meltCurve_P10176_COX8A.pdf</v>
      </c>
    </row>
    <row r="2088" spans="1:28" x14ac:dyDescent="0.25">
      <c r="A2088" t="s">
        <v>2092</v>
      </c>
      <c r="B2088">
        <v>0.99252571173614901</v>
      </c>
      <c r="C2088">
        <v>1.0144507042012201</v>
      </c>
      <c r="D2088">
        <v>0.96384600148825705</v>
      </c>
      <c r="E2088">
        <v>0.923730064416315</v>
      </c>
      <c r="F2088">
        <v>0.82822537099058302</v>
      </c>
      <c r="G2088">
        <v>0.66718951330216003</v>
      </c>
      <c r="H2088">
        <v>0.53834450376104503</v>
      </c>
      <c r="I2088">
        <v>0.35670239189178798</v>
      </c>
      <c r="J2088">
        <v>0.26659288068910703</v>
      </c>
      <c r="K2088">
        <v>0.268608880521509</v>
      </c>
      <c r="L2088">
        <v>723.366862063349</v>
      </c>
      <c r="M2088">
        <v>12.185386438872399</v>
      </c>
      <c r="N2088">
        <v>60.778433929900103</v>
      </c>
      <c r="O2088">
        <v>57.832562484466003</v>
      </c>
      <c r="P2088">
        <v>-4.6180594646593201E-2</v>
      </c>
      <c r="Q2088">
        <v>0.123495807981402</v>
      </c>
      <c r="R2088">
        <v>0.99466037769864901</v>
      </c>
      <c r="S2088" t="s">
        <v>8734</v>
      </c>
      <c r="T2088" t="s">
        <v>13290</v>
      </c>
      <c r="U2088" t="s">
        <v>13290</v>
      </c>
      <c r="V2088" t="s">
        <v>13290</v>
      </c>
      <c r="W2088" t="s">
        <v>15345</v>
      </c>
      <c r="X2088">
        <v>29</v>
      </c>
      <c r="Y2088" t="s">
        <v>21903</v>
      </c>
      <c r="Z2088" t="s">
        <v>28418</v>
      </c>
      <c r="AA2088">
        <v>0.69477501096523731</v>
      </c>
      <c r="AB2088" t="str">
        <f>HYPERLINK("Melting_Curves/meltCurve_P10253_GAA.pdf", "Melting_Curves/meltCurve_P10253_GAA.pdf")</f>
        <v>Melting_Curves/meltCurve_P10253_GAA.pdf</v>
      </c>
    </row>
    <row r="2089" spans="1:28" x14ac:dyDescent="0.25">
      <c r="A2089" t="s">
        <v>2093</v>
      </c>
      <c r="B2089">
        <v>0.99252571173614901</v>
      </c>
      <c r="C2089">
        <v>1.1302996753427901</v>
      </c>
      <c r="D2089">
        <v>0.84002551750177401</v>
      </c>
      <c r="E2089">
        <v>0.93028331711130396</v>
      </c>
      <c r="F2089">
        <v>0.60166469327750005</v>
      </c>
      <c r="G2089">
        <v>0.41816932530119799</v>
      </c>
      <c r="H2089">
        <v>0.304004768873959</v>
      </c>
      <c r="I2089">
        <v>0.27602225791658802</v>
      </c>
      <c r="J2089">
        <v>0.40241561749336902</v>
      </c>
      <c r="K2089">
        <v>0.323723678832395</v>
      </c>
      <c r="L2089">
        <v>1460.40656429726</v>
      </c>
      <c r="M2089">
        <v>27.7415012553091</v>
      </c>
      <c r="N2089">
        <v>54.697865383484597</v>
      </c>
      <c r="O2089">
        <v>52.3721155391084</v>
      </c>
      <c r="P2089">
        <v>-8.9569986362134493E-2</v>
      </c>
      <c r="Q2089">
        <v>0.32362305707962602</v>
      </c>
      <c r="R2089">
        <v>0.94588227056754504</v>
      </c>
      <c r="S2089" t="s">
        <v>8735</v>
      </c>
      <c r="T2089" t="s">
        <v>13290</v>
      </c>
      <c r="U2089" t="s">
        <v>13290</v>
      </c>
      <c r="V2089" t="s">
        <v>13290</v>
      </c>
      <c r="W2089" t="s">
        <v>15346</v>
      </c>
      <c r="X2089">
        <v>5</v>
      </c>
      <c r="Y2089" t="s">
        <v>21904</v>
      </c>
      <c r="Z2089" t="s">
        <v>28419</v>
      </c>
      <c r="AA2089">
        <v>0.61376539864420943</v>
      </c>
      <c r="AB2089" t="str">
        <f>HYPERLINK("Melting_Curves/meltCurve_P10301_RRAS.pdf", "Melting_Curves/meltCurve_P10301_RRAS.pdf")</f>
        <v>Melting_Curves/meltCurve_P10301_RRAS.pdf</v>
      </c>
    </row>
    <row r="2090" spans="1:28" x14ac:dyDescent="0.25">
      <c r="A2090" t="s">
        <v>2094</v>
      </c>
      <c r="B2090">
        <v>0.99252571173614901</v>
      </c>
      <c r="C2090">
        <v>0.81134032092481501</v>
      </c>
      <c r="D2090">
        <v>0.80917864943439699</v>
      </c>
      <c r="E2090">
        <v>0.48888482078044698</v>
      </c>
      <c r="F2090">
        <v>0.29677718763085398</v>
      </c>
      <c r="G2090">
        <v>0.168423118695323</v>
      </c>
      <c r="H2090">
        <v>0.136528112521281</v>
      </c>
      <c r="I2090">
        <v>8.2774813330176902E-2</v>
      </c>
      <c r="J2090">
        <v>8.7302099380671294E-2</v>
      </c>
      <c r="K2090">
        <v>6.1322509769771501E-2</v>
      </c>
      <c r="L2090">
        <v>691.79865001286998</v>
      </c>
      <c r="M2090">
        <v>14.0428765702246</v>
      </c>
      <c r="N2090">
        <v>49.672439073954401</v>
      </c>
      <c r="O2090">
        <v>48.296588680956198</v>
      </c>
      <c r="P2090">
        <v>-6.8729991004756102E-2</v>
      </c>
      <c r="Q2090">
        <v>5.4612466406957702E-2</v>
      </c>
      <c r="R2090">
        <v>0.98859203823313402</v>
      </c>
      <c r="S2090" t="s">
        <v>8736</v>
      </c>
      <c r="T2090" t="s">
        <v>13290</v>
      </c>
      <c r="U2090" t="s">
        <v>13290</v>
      </c>
      <c r="V2090" t="s">
        <v>13290</v>
      </c>
      <c r="W2090" t="s">
        <v>15347</v>
      </c>
      <c r="X2090">
        <v>1</v>
      </c>
      <c r="Y2090" t="s">
        <v>21905</v>
      </c>
      <c r="Z2090" t="s">
        <v>28420</v>
      </c>
      <c r="AA2090">
        <v>0.37259388424350631</v>
      </c>
      <c r="AB2090" t="str">
        <f>HYPERLINK("Melting_Curves/meltCurve_P10398_ARAF.pdf", "Melting_Curves/meltCurve_P10398_ARAF.pdf")</f>
        <v>Melting_Curves/meltCurve_P10398_ARAF.pdf</v>
      </c>
    </row>
    <row r="2091" spans="1:28" x14ac:dyDescent="0.25">
      <c r="A2091" t="s">
        <v>2095</v>
      </c>
      <c r="B2091">
        <v>0.99252571173614901</v>
      </c>
      <c r="C2091">
        <v>1.0996801020451701</v>
      </c>
      <c r="D2091">
        <v>1.0078838788472799</v>
      </c>
      <c r="E2091">
        <v>1.0116382077558399</v>
      </c>
      <c r="F2091">
        <v>0.69785524930680898</v>
      </c>
      <c r="G2091">
        <v>0.55173411441470099</v>
      </c>
      <c r="H2091">
        <v>0.50214451486428502</v>
      </c>
      <c r="I2091">
        <v>0.57449518134940303</v>
      </c>
      <c r="J2091">
        <v>0.78148631898049503</v>
      </c>
      <c r="K2091">
        <v>0.98811639110304805</v>
      </c>
      <c r="L2091">
        <v>13150.710503353601</v>
      </c>
      <c r="M2091">
        <v>250</v>
      </c>
      <c r="O2091">
        <v>52.599475803622902</v>
      </c>
      <c r="P2091">
        <v>-0.38071280527676099</v>
      </c>
      <c r="Q2091">
        <v>0.67959529668827001</v>
      </c>
      <c r="R2091">
        <v>0.61864263074067205</v>
      </c>
      <c r="S2091" t="s">
        <v>8737</v>
      </c>
      <c r="T2091" t="s">
        <v>13290</v>
      </c>
      <c r="U2091" t="s">
        <v>13290</v>
      </c>
      <c r="V2091" t="s">
        <v>13290</v>
      </c>
      <c r="W2091" t="s">
        <v>15348</v>
      </c>
      <c r="X2091">
        <v>11</v>
      </c>
      <c r="Y2091" t="s">
        <v>21906</v>
      </c>
      <c r="Z2091" t="s">
        <v>28421</v>
      </c>
      <c r="AA2091">
        <v>0.81422520408318566</v>
      </c>
      <c r="AB2091" t="str">
        <f>HYPERLINK("Melting_Curves/meltCurve_P10412_HIST1H1E.pdf", "Melting_Curves/meltCurve_P10412_HIST1H1E.pdf")</f>
        <v>Melting_Curves/meltCurve_P10412_HIST1H1E.pdf</v>
      </c>
    </row>
    <row r="2092" spans="1:28" x14ac:dyDescent="0.25">
      <c r="A2092" t="s">
        <v>2096</v>
      </c>
      <c r="B2092">
        <v>0.99252571173614901</v>
      </c>
      <c r="C2092">
        <v>0.92881935915021197</v>
      </c>
      <c r="D2092">
        <v>1.07679983343022</v>
      </c>
      <c r="E2092">
        <v>1.3052118590333901</v>
      </c>
      <c r="F2092">
        <v>1.4507579068416401</v>
      </c>
      <c r="G2092">
        <v>0.45910772591191901</v>
      </c>
      <c r="H2092">
        <v>0.197458717036708</v>
      </c>
      <c r="I2092">
        <v>0.154265192970272</v>
      </c>
      <c r="J2092">
        <v>0.13746551089893899</v>
      </c>
      <c r="K2092">
        <v>0.12961839733764</v>
      </c>
      <c r="L2092">
        <v>14167.3480939171</v>
      </c>
      <c r="M2092">
        <v>250</v>
      </c>
      <c r="N2092">
        <v>56.753431974047402</v>
      </c>
      <c r="O2092">
        <v>56.665764469499798</v>
      </c>
      <c r="P2092">
        <v>-0.93232888214158205</v>
      </c>
      <c r="Q2092">
        <v>0.15470191799055799</v>
      </c>
      <c r="R2092">
        <v>0.87379381715823301</v>
      </c>
      <c r="S2092" t="s">
        <v>8738</v>
      </c>
      <c r="T2092" t="s">
        <v>13290</v>
      </c>
      <c r="U2092" t="s">
        <v>13290</v>
      </c>
      <c r="V2092" t="s">
        <v>13290</v>
      </c>
      <c r="W2092" t="s">
        <v>15349</v>
      </c>
      <c r="X2092">
        <v>11</v>
      </c>
      <c r="Y2092" t="s">
        <v>21907</v>
      </c>
      <c r="Z2092" t="s">
        <v>28422</v>
      </c>
      <c r="AA2092">
        <v>0.62447283296338085</v>
      </c>
      <c r="AB2092" t="str">
        <f>HYPERLINK("Melting_Curves/meltCurve_P10515_DLAT.pdf", "Melting_Curves/meltCurve_P10515_DLAT.pdf")</f>
        <v>Melting_Curves/meltCurve_P10515_DLAT.pdf</v>
      </c>
    </row>
    <row r="2093" spans="1:28" x14ac:dyDescent="0.25">
      <c r="A2093" t="s">
        <v>2097</v>
      </c>
      <c r="B2093">
        <v>0.99252571173614901</v>
      </c>
      <c r="C2093">
        <v>0.97032456615234297</v>
      </c>
      <c r="D2093">
        <v>0.89660065307325598</v>
      </c>
      <c r="E2093">
        <v>0.61400954792768703</v>
      </c>
      <c r="F2093">
        <v>0.296915479793182</v>
      </c>
      <c r="G2093">
        <v>0.16940058951209</v>
      </c>
      <c r="H2093">
        <v>0.11589949120568099</v>
      </c>
      <c r="I2093">
        <v>0.116462137427536</v>
      </c>
      <c r="J2093">
        <v>0.13462005985761399</v>
      </c>
      <c r="K2093">
        <v>0.11198568470454</v>
      </c>
      <c r="L2093">
        <v>1148.18502839025</v>
      </c>
      <c r="M2093">
        <v>22.9085280682676</v>
      </c>
      <c r="N2093">
        <v>50.688659322259397</v>
      </c>
      <c r="O2093">
        <v>49.743186654102303</v>
      </c>
      <c r="P2093">
        <v>-0.102097957553018</v>
      </c>
      <c r="Q2093">
        <v>0.11324180838989401</v>
      </c>
      <c r="R2093">
        <v>0.99946391625367903</v>
      </c>
      <c r="S2093" t="s">
        <v>8739</v>
      </c>
      <c r="T2093" t="s">
        <v>13290</v>
      </c>
      <c r="U2093" t="s">
        <v>13290</v>
      </c>
      <c r="V2093" t="s">
        <v>13290</v>
      </c>
      <c r="W2093" t="s">
        <v>15350</v>
      </c>
      <c r="X2093">
        <v>22</v>
      </c>
      <c r="Y2093" t="s">
        <v>21908</v>
      </c>
      <c r="Z2093" t="s">
        <v>28423</v>
      </c>
      <c r="AA2093">
        <v>0.42183541713405781</v>
      </c>
      <c r="AB2093" t="str">
        <f>HYPERLINK("Melting_Curves/meltCurve_P10586_2_PTPRF.pdf", "Melting_Curves/meltCurve_P10586_2_PTPRF.pdf")</f>
        <v>Melting_Curves/meltCurve_P10586_2_PTPRF.pdf</v>
      </c>
    </row>
    <row r="2094" spans="1:28" x14ac:dyDescent="0.25">
      <c r="A2094" t="s">
        <v>2098</v>
      </c>
      <c r="B2094">
        <v>0.99252571173614901</v>
      </c>
      <c r="C2094">
        <v>0.87353000352000398</v>
      </c>
      <c r="D2094">
        <v>0.67594456345421605</v>
      </c>
      <c r="E2094">
        <v>0.51572248108933305</v>
      </c>
      <c r="F2094">
        <v>0.40446202354553201</v>
      </c>
      <c r="G2094">
        <v>0.21878580420394</v>
      </c>
      <c r="H2094">
        <v>0.101565775184446</v>
      </c>
      <c r="I2094">
        <v>9.2494379619996306E-2</v>
      </c>
      <c r="J2094">
        <v>0.15091399552920601</v>
      </c>
      <c r="K2094">
        <v>8.1105625376249296E-2</v>
      </c>
      <c r="L2094">
        <v>577.17656333669595</v>
      </c>
      <c r="M2094">
        <v>11.665198890641401</v>
      </c>
      <c r="N2094">
        <v>49.981176517439202</v>
      </c>
      <c r="O2094">
        <v>48.091537741328303</v>
      </c>
      <c r="P2094">
        <v>-5.7299565734488397E-2</v>
      </c>
      <c r="Q2094">
        <v>5.5349797337744797E-2</v>
      </c>
      <c r="R2094">
        <v>0.986226559658545</v>
      </c>
      <c r="S2094" t="s">
        <v>8740</v>
      </c>
      <c r="T2094" t="s">
        <v>13290</v>
      </c>
      <c r="U2094" t="s">
        <v>13290</v>
      </c>
      <c r="V2094" t="s">
        <v>13290</v>
      </c>
      <c r="W2094" t="s">
        <v>15351</v>
      </c>
      <c r="X2094">
        <v>2</v>
      </c>
      <c r="Y2094" t="s">
        <v>21909</v>
      </c>
      <c r="Z2094" t="s">
        <v>28424</v>
      </c>
      <c r="AA2094">
        <v>0.3891042589807448</v>
      </c>
      <c r="AB2094" t="str">
        <f>HYPERLINK("Melting_Curves/meltCurve_P10588_NR2F6.pdf", "Melting_Curves/meltCurve_P10588_NR2F6.pdf")</f>
        <v>Melting_Curves/meltCurve_P10588_NR2F6.pdf</v>
      </c>
    </row>
    <row r="2095" spans="1:28" x14ac:dyDescent="0.25">
      <c r="A2095" t="s">
        <v>2099</v>
      </c>
      <c r="B2095">
        <v>0.99252571173614901</v>
      </c>
      <c r="C2095">
        <v>1.0972471102963299</v>
      </c>
      <c r="D2095">
        <v>1.0444169688034901</v>
      </c>
      <c r="E2095">
        <v>0.91859613737148904</v>
      </c>
      <c r="F2095">
        <v>0.83521468035772795</v>
      </c>
      <c r="G2095">
        <v>0.75566034427406903</v>
      </c>
      <c r="H2095">
        <v>0.72063626546264203</v>
      </c>
      <c r="I2095">
        <v>0.90754364643837904</v>
      </c>
      <c r="J2095">
        <v>1.3008217302937399</v>
      </c>
      <c r="K2095">
        <v>1.30707950785803</v>
      </c>
      <c r="L2095">
        <v>15000</v>
      </c>
      <c r="M2095">
        <v>226.96560305352301</v>
      </c>
      <c r="O2095">
        <v>66.084178414809998</v>
      </c>
      <c r="P2095">
        <v>0.26513521877174601</v>
      </c>
      <c r="Q2095">
        <v>1.3087911618127701</v>
      </c>
      <c r="R2095">
        <v>0.488934540704897</v>
      </c>
      <c r="S2095" t="s">
        <v>8741</v>
      </c>
      <c r="T2095" t="s">
        <v>13290</v>
      </c>
      <c r="U2095" t="s">
        <v>13290</v>
      </c>
      <c r="V2095" t="s">
        <v>13290</v>
      </c>
      <c r="W2095" t="s">
        <v>15352</v>
      </c>
      <c r="X2095">
        <v>13</v>
      </c>
      <c r="Y2095" t="s">
        <v>21910</v>
      </c>
      <c r="Z2095" t="s">
        <v>28425</v>
      </c>
      <c r="AA2095">
        <v>1.0402094426983379</v>
      </c>
      <c r="AB2095" t="str">
        <f>HYPERLINK("Melting_Curves/meltCurve_P10599_TXN.pdf", "Melting_Curves/meltCurve_P10599_TXN.pdf")</f>
        <v>Melting_Curves/meltCurve_P10599_TXN.pdf</v>
      </c>
    </row>
    <row r="2096" spans="1:28" x14ac:dyDescent="0.25">
      <c r="A2096" t="s">
        <v>2100</v>
      </c>
      <c r="B2096">
        <v>0.99252571173614901</v>
      </c>
      <c r="C2096">
        <v>0.99494395126316204</v>
      </c>
      <c r="D2096">
        <v>0.95286095613286004</v>
      </c>
      <c r="E2096">
        <v>0.85357465655841402</v>
      </c>
      <c r="F2096">
        <v>0.75916958647729404</v>
      </c>
      <c r="G2096">
        <v>0.59569314543254404</v>
      </c>
      <c r="H2096">
        <v>0.63940188443333201</v>
      </c>
      <c r="I2096">
        <v>1.11476338952086</v>
      </c>
      <c r="J2096">
        <v>1.9113284105714099</v>
      </c>
      <c r="K2096">
        <v>1.9589205503943099</v>
      </c>
      <c r="L2096">
        <v>15000</v>
      </c>
      <c r="M2096">
        <v>233.16573073216099</v>
      </c>
      <c r="O2096">
        <v>64.327191029491303</v>
      </c>
      <c r="P2096">
        <v>0.45308548241475799</v>
      </c>
      <c r="Q2096">
        <v>1.5</v>
      </c>
      <c r="R2096">
        <v>0.63675664776778496</v>
      </c>
      <c r="S2096" t="s">
        <v>8742</v>
      </c>
      <c r="T2096" t="s">
        <v>13290</v>
      </c>
      <c r="U2096" t="s">
        <v>13290</v>
      </c>
      <c r="V2096" t="s">
        <v>13290</v>
      </c>
      <c r="W2096" t="s">
        <v>15353</v>
      </c>
      <c r="X2096">
        <v>12</v>
      </c>
      <c r="Y2096" t="s">
        <v>21911</v>
      </c>
      <c r="Z2096" t="s">
        <v>28426</v>
      </c>
      <c r="AA2096">
        <v>1.094403039774855</v>
      </c>
      <c r="AB2096" t="str">
        <f>HYPERLINK("Melting_Curves/meltCurve_P10606_COX5B.pdf", "Melting_Curves/meltCurve_P10606_COX5B.pdf")</f>
        <v>Melting_Curves/meltCurve_P10606_COX5B.pdf</v>
      </c>
    </row>
    <row r="2097" spans="1:28" x14ac:dyDescent="0.25">
      <c r="A2097" t="s">
        <v>2101</v>
      </c>
      <c r="B2097">
        <v>0.99252571173614901</v>
      </c>
      <c r="C2097">
        <v>0.94370910047174394</v>
      </c>
      <c r="D2097">
        <v>0.976974401861474</v>
      </c>
      <c r="E2097">
        <v>0.79306319327846098</v>
      </c>
      <c r="F2097">
        <v>0.87594157481953705</v>
      </c>
      <c r="G2097">
        <v>0.71939352325455497</v>
      </c>
      <c r="H2097">
        <v>0.37450815087338601</v>
      </c>
      <c r="I2097">
        <v>0.202525586567399</v>
      </c>
      <c r="J2097">
        <v>0.25158042199883901</v>
      </c>
      <c r="K2097">
        <v>0.28461783409599101</v>
      </c>
      <c r="L2097">
        <v>1156.7926649277999</v>
      </c>
      <c r="M2097">
        <v>20.117137967279</v>
      </c>
      <c r="N2097">
        <v>58.988396428775403</v>
      </c>
      <c r="O2097">
        <v>56.9436842043349</v>
      </c>
      <c r="P2097">
        <v>-7.0769975857373602E-2</v>
      </c>
      <c r="Q2097">
        <v>0.198737947457888</v>
      </c>
      <c r="R2097">
        <v>0.94548875808159305</v>
      </c>
      <c r="S2097" t="s">
        <v>8743</v>
      </c>
      <c r="T2097" t="s">
        <v>13290</v>
      </c>
      <c r="U2097" t="s">
        <v>13290</v>
      </c>
      <c r="V2097" t="s">
        <v>13290</v>
      </c>
      <c r="W2097" t="s">
        <v>15354</v>
      </c>
      <c r="X2097">
        <v>7</v>
      </c>
      <c r="Y2097" t="s">
        <v>21912</v>
      </c>
      <c r="Z2097" t="s">
        <v>28427</v>
      </c>
      <c r="AA2097">
        <v>0.67562895620224761</v>
      </c>
      <c r="AB2097" t="str">
        <f>HYPERLINK("Melting_Curves/meltCurve_P10619_CTSA.pdf", "Melting_Curves/meltCurve_P10619_CTSA.pdf")</f>
        <v>Melting_Curves/meltCurve_P10619_CTSA.pdf</v>
      </c>
    </row>
    <row r="2098" spans="1:28" x14ac:dyDescent="0.25">
      <c r="A2098" t="s">
        <v>2102</v>
      </c>
      <c r="B2098">
        <v>0.99252571173614901</v>
      </c>
      <c r="C2098">
        <v>1.1059754738818799</v>
      </c>
      <c r="D2098">
        <v>0.97007457792299201</v>
      </c>
      <c r="E2098">
        <v>0.95992957437267601</v>
      </c>
      <c r="F2098">
        <v>0.90712846061409702</v>
      </c>
      <c r="G2098">
        <v>0.78137932949001299</v>
      </c>
      <c r="H2098">
        <v>0.80121920876053299</v>
      </c>
      <c r="I2098">
        <v>1.0835063087330901</v>
      </c>
      <c r="J2098">
        <v>1.5202221726182701</v>
      </c>
      <c r="K2098">
        <v>1.6559960114151699</v>
      </c>
      <c r="L2098">
        <v>15000</v>
      </c>
      <c r="M2098">
        <v>232.76824004411401</v>
      </c>
      <c r="O2098">
        <v>64.437024803493102</v>
      </c>
      <c r="P2098">
        <v>0.451542112289679</v>
      </c>
      <c r="Q2098">
        <v>1.5</v>
      </c>
      <c r="R2098">
        <v>0.82239945995249197</v>
      </c>
      <c r="S2098" t="s">
        <v>8744</v>
      </c>
      <c r="T2098" t="s">
        <v>13290</v>
      </c>
      <c r="U2098" t="s">
        <v>13290</v>
      </c>
      <c r="V2098" t="s">
        <v>13290</v>
      </c>
      <c r="W2098" t="s">
        <v>15355</v>
      </c>
      <c r="X2098">
        <v>10</v>
      </c>
      <c r="Y2098" t="s">
        <v>21913</v>
      </c>
      <c r="Z2098" t="s">
        <v>28428</v>
      </c>
      <c r="AA2098">
        <v>1.0925717480945341</v>
      </c>
      <c r="AB2098" t="str">
        <f>HYPERLINK("Melting_Curves/meltCurve_P10636_5_MAPT.pdf", "Melting_Curves/meltCurve_P10636_5_MAPT.pdf")</f>
        <v>Melting_Curves/meltCurve_P10636_5_MAPT.pdf</v>
      </c>
    </row>
    <row r="2099" spans="1:28" x14ac:dyDescent="0.25">
      <c r="A2099" t="s">
        <v>2103</v>
      </c>
      <c r="B2099">
        <v>0.99252571173614901</v>
      </c>
      <c r="C2099">
        <v>1.0361161827415299</v>
      </c>
      <c r="D2099">
        <v>0.79238146234750895</v>
      </c>
      <c r="E2099">
        <v>0.68780317793095203</v>
      </c>
      <c r="F2099">
        <v>0.581290409384847</v>
      </c>
      <c r="G2099">
        <v>0.32703341318597201</v>
      </c>
      <c r="H2099">
        <v>0.22547041210270199</v>
      </c>
      <c r="I2099">
        <v>0.32282382482710897</v>
      </c>
      <c r="J2099">
        <v>0.47180331236397199</v>
      </c>
      <c r="K2099">
        <v>0.46604516863359302</v>
      </c>
      <c r="L2099">
        <v>929.84469137118003</v>
      </c>
      <c r="M2099">
        <v>18.821418557892098</v>
      </c>
      <c r="N2099">
        <v>53.0161775131726</v>
      </c>
      <c r="O2099">
        <v>48.855967686032798</v>
      </c>
      <c r="P2099">
        <v>-6.1513044452080202E-2</v>
      </c>
      <c r="Q2099">
        <v>0.36133291481444701</v>
      </c>
      <c r="R2099">
        <v>0.89577775645372804</v>
      </c>
      <c r="S2099" t="s">
        <v>8745</v>
      </c>
      <c r="T2099" t="s">
        <v>13290</v>
      </c>
      <c r="U2099" t="s">
        <v>13290</v>
      </c>
      <c r="V2099" t="s">
        <v>13290</v>
      </c>
      <c r="W2099" t="s">
        <v>15356</v>
      </c>
      <c r="X2099">
        <v>4</v>
      </c>
      <c r="Y2099" t="s">
        <v>21914</v>
      </c>
      <c r="Z2099" t="s">
        <v>28429</v>
      </c>
      <c r="AA2099">
        <v>0.5715864397186261</v>
      </c>
      <c r="AB2099" t="str">
        <f>HYPERLINK("Melting_Curves/meltCurve_P10643_C7.pdf", "Melting_Curves/meltCurve_P10643_C7.pdf")</f>
        <v>Melting_Curves/meltCurve_P10643_C7.pdf</v>
      </c>
    </row>
    <row r="2100" spans="1:28" x14ac:dyDescent="0.25">
      <c r="A2100" t="s">
        <v>2104</v>
      </c>
      <c r="B2100">
        <v>0.99252571173614901</v>
      </c>
      <c r="C2100">
        <v>0.97518037406332203</v>
      </c>
      <c r="D2100">
        <v>0.96782281290344796</v>
      </c>
      <c r="E2100">
        <v>0.65919389254306104</v>
      </c>
      <c r="F2100">
        <v>0.32135569205033199</v>
      </c>
      <c r="G2100">
        <v>0.13997859291433801</v>
      </c>
      <c r="H2100">
        <v>9.6597967866576206E-2</v>
      </c>
      <c r="I2100">
        <v>9.2591933902343798E-2</v>
      </c>
      <c r="J2100">
        <v>0.105888305592915</v>
      </c>
      <c r="K2100">
        <v>0.107879108838388</v>
      </c>
      <c r="L2100">
        <v>1310.8409084029699</v>
      </c>
      <c r="M2100">
        <v>25.8459811292308</v>
      </c>
      <c r="N2100">
        <v>51.139381241120802</v>
      </c>
      <c r="O2100">
        <v>50.416718299887002</v>
      </c>
      <c r="P2100">
        <v>-0.115855607641902</v>
      </c>
      <c r="Q2100">
        <v>9.6031368081988505E-2</v>
      </c>
      <c r="R2100">
        <v>0.99856536887197</v>
      </c>
      <c r="S2100" t="s">
        <v>8746</v>
      </c>
      <c r="T2100" t="s">
        <v>13290</v>
      </c>
      <c r="U2100" t="s">
        <v>13290</v>
      </c>
      <c r="V2100" t="s">
        <v>13290</v>
      </c>
      <c r="W2100" t="s">
        <v>15357</v>
      </c>
      <c r="X2100">
        <v>23</v>
      </c>
      <c r="Y2100" t="s">
        <v>21915</v>
      </c>
      <c r="Z2100" t="s">
        <v>28430</v>
      </c>
      <c r="AA2100">
        <v>0.42659231760158017</v>
      </c>
      <c r="AB2100" t="str">
        <f>HYPERLINK("Melting_Curves/meltCurve_P10644_PRKAR1A.pdf", "Melting_Curves/meltCurve_P10644_PRKAR1A.pdf")</f>
        <v>Melting_Curves/meltCurve_P10644_PRKAR1A.pdf</v>
      </c>
    </row>
    <row r="2101" spans="1:28" x14ac:dyDescent="0.25">
      <c r="A2101" t="s">
        <v>2105</v>
      </c>
      <c r="B2101">
        <v>0.99252571173614901</v>
      </c>
      <c r="C2101">
        <v>1.0848920129481201</v>
      </c>
      <c r="D2101">
        <v>0.99013795287609396</v>
      </c>
      <c r="E2101">
        <v>0.79295729211565102</v>
      </c>
      <c r="F2101">
        <v>0.36927863093880697</v>
      </c>
      <c r="G2101">
        <v>0.22389526312574701</v>
      </c>
      <c r="H2101">
        <v>0.19255653865380201</v>
      </c>
      <c r="I2101">
        <v>0.15575405759420899</v>
      </c>
      <c r="J2101">
        <v>0.16173910344161799</v>
      </c>
      <c r="K2101">
        <v>0.139511173517508</v>
      </c>
      <c r="L2101">
        <v>1606.6624526944099</v>
      </c>
      <c r="M2101">
        <v>31.275240245517001</v>
      </c>
      <c r="N2101">
        <v>52.031163954717002</v>
      </c>
      <c r="O2101">
        <v>51.1630478169781</v>
      </c>
      <c r="P2101">
        <v>-0.127815822074101</v>
      </c>
      <c r="Q2101">
        <v>0.16363092719331301</v>
      </c>
      <c r="R2101">
        <v>0.99360555079302304</v>
      </c>
      <c r="S2101" t="s">
        <v>8747</v>
      </c>
      <c r="T2101" t="s">
        <v>13290</v>
      </c>
      <c r="U2101" t="s">
        <v>13290</v>
      </c>
      <c r="V2101" t="s">
        <v>13290</v>
      </c>
      <c r="W2101" t="s">
        <v>15358</v>
      </c>
      <c r="X2101">
        <v>4</v>
      </c>
      <c r="Y2101" t="s">
        <v>21916</v>
      </c>
      <c r="Z2101" t="s">
        <v>28431</v>
      </c>
      <c r="AA2101">
        <v>0.48553064874194107</v>
      </c>
      <c r="AB2101" t="str">
        <f>HYPERLINK("Melting_Curves/meltCurve_P10746_UROS.pdf", "Melting_Curves/meltCurve_P10746_UROS.pdf")</f>
        <v>Melting_Curves/meltCurve_P10746_UROS.pdf</v>
      </c>
    </row>
    <row r="2102" spans="1:28" x14ac:dyDescent="0.25">
      <c r="A2102" t="s">
        <v>2106</v>
      </c>
      <c r="B2102">
        <v>0.99252571173614901</v>
      </c>
      <c r="C2102">
        <v>1.0914577303441699</v>
      </c>
      <c r="D2102">
        <v>1.0333629708627601</v>
      </c>
      <c r="E2102">
        <v>0.99420237964840696</v>
      </c>
      <c r="F2102">
        <v>0.83166523439005302</v>
      </c>
      <c r="G2102">
        <v>0.58543139866110905</v>
      </c>
      <c r="H2102">
        <v>0.148746188189982</v>
      </c>
      <c r="I2102">
        <v>8.8594013150614701E-2</v>
      </c>
      <c r="J2102">
        <v>9.3305194997249194E-2</v>
      </c>
      <c r="K2102">
        <v>9.1718525579063098E-2</v>
      </c>
      <c r="L2102">
        <v>1620.7628376416901</v>
      </c>
      <c r="M2102">
        <v>28.499940624844701</v>
      </c>
      <c r="N2102">
        <v>57.151256631497603</v>
      </c>
      <c r="O2102">
        <v>56.591209706955901</v>
      </c>
      <c r="P2102">
        <v>-0.11763789627528499</v>
      </c>
      <c r="Q2102">
        <v>6.5651719941115294E-2</v>
      </c>
      <c r="R2102">
        <v>0.99014953111071502</v>
      </c>
      <c r="S2102" t="s">
        <v>8748</v>
      </c>
      <c r="T2102" t="s">
        <v>13290</v>
      </c>
      <c r="U2102" t="s">
        <v>13290</v>
      </c>
      <c r="V2102" t="s">
        <v>13290</v>
      </c>
      <c r="W2102" t="s">
        <v>15359</v>
      </c>
      <c r="X2102">
        <v>17</v>
      </c>
      <c r="Y2102" t="s">
        <v>21917</v>
      </c>
      <c r="Z2102" t="s">
        <v>28432</v>
      </c>
      <c r="AA2102">
        <v>0.59784400103010304</v>
      </c>
      <c r="AB2102" t="str">
        <f>HYPERLINK("Melting_Curves/meltCurve_P10768_ESD.pdf", "Melting_Curves/meltCurve_P10768_ESD.pdf")</f>
        <v>Melting_Curves/meltCurve_P10768_ESD.pdf</v>
      </c>
    </row>
    <row r="2103" spans="1:28" x14ac:dyDescent="0.25">
      <c r="A2103" t="s">
        <v>2107</v>
      </c>
      <c r="B2103">
        <v>0.99252571173614901</v>
      </c>
      <c r="C2103">
        <v>0.90952624738740395</v>
      </c>
      <c r="D2103">
        <v>1.11889393331593</v>
      </c>
      <c r="E2103">
        <v>0.930678397626725</v>
      </c>
      <c r="F2103">
        <v>1.35993365636084</v>
      </c>
      <c r="G2103">
        <v>0.84561827722649796</v>
      </c>
      <c r="H2103">
        <v>0.38794772709292602</v>
      </c>
      <c r="I2103">
        <v>0.16923192589458699</v>
      </c>
      <c r="J2103">
        <v>0.105543895709707</v>
      </c>
      <c r="K2103">
        <v>9.2557002336233707E-2</v>
      </c>
      <c r="L2103">
        <v>2418.57633159545</v>
      </c>
      <c r="M2103">
        <v>40.575228367587698</v>
      </c>
      <c r="N2103">
        <v>59.942420264111703</v>
      </c>
      <c r="O2103">
        <v>59.462975220482903</v>
      </c>
      <c r="P2103">
        <v>-0.15327562543000101</v>
      </c>
      <c r="Q2103">
        <v>0.101500373199745</v>
      </c>
      <c r="R2103">
        <v>0.91421910252384397</v>
      </c>
      <c r="S2103" t="s">
        <v>8749</v>
      </c>
      <c r="T2103" t="s">
        <v>13290</v>
      </c>
      <c r="U2103" t="s">
        <v>13290</v>
      </c>
      <c r="V2103" t="s">
        <v>13290</v>
      </c>
      <c r="W2103" t="s">
        <v>15360</v>
      </c>
      <c r="X2103">
        <v>62</v>
      </c>
      <c r="Y2103" t="s">
        <v>21918</v>
      </c>
      <c r="Z2103" t="s">
        <v>28433</v>
      </c>
      <c r="AA2103">
        <v>0.69217815380714687</v>
      </c>
      <c r="AB2103" t="str">
        <f>HYPERLINK("Melting_Curves/meltCurve_P10809_HSPD1.pdf", "Melting_Curves/meltCurve_P10809_HSPD1.pdf")</f>
        <v>Melting_Curves/meltCurve_P10809_HSPD1.pdf</v>
      </c>
    </row>
    <row r="2104" spans="1:28" x14ac:dyDescent="0.25">
      <c r="A2104" t="s">
        <v>2108</v>
      </c>
      <c r="B2104">
        <v>0.99252571173614901</v>
      </c>
      <c r="C2104">
        <v>1.0183224104620401</v>
      </c>
      <c r="D2104">
        <v>0.86626410165161705</v>
      </c>
      <c r="E2104">
        <v>0.68552815079148</v>
      </c>
      <c r="F2104">
        <v>0.33632543360816602</v>
      </c>
      <c r="G2104">
        <v>0.21636119398092399</v>
      </c>
      <c r="H2104">
        <v>0.16868169380787101</v>
      </c>
      <c r="I2104">
        <v>0.18951680629047099</v>
      </c>
      <c r="J2104">
        <v>0.32378850795909397</v>
      </c>
      <c r="K2104">
        <v>0.27469674833948299</v>
      </c>
      <c r="L2104">
        <v>1367.61637884929</v>
      </c>
      <c r="M2104">
        <v>27.379821822519101</v>
      </c>
      <c r="N2104">
        <v>51.082494014689203</v>
      </c>
      <c r="O2104">
        <v>49.685609290636499</v>
      </c>
      <c r="P2104">
        <v>-0.106419082516402</v>
      </c>
      <c r="Q2104">
        <v>0.227540907316784</v>
      </c>
      <c r="R2104">
        <v>0.97659416023925405</v>
      </c>
      <c r="S2104" t="s">
        <v>8750</v>
      </c>
      <c r="T2104" t="s">
        <v>13290</v>
      </c>
      <c r="U2104" t="s">
        <v>13290</v>
      </c>
      <c r="V2104" t="s">
        <v>13290</v>
      </c>
      <c r="W2104" t="s">
        <v>15361</v>
      </c>
      <c r="X2104">
        <v>5</v>
      </c>
      <c r="Y2104" t="s">
        <v>21919</v>
      </c>
      <c r="Z2104" t="s">
        <v>28434</v>
      </c>
      <c r="AA2104">
        <v>0.48947816708448411</v>
      </c>
      <c r="AB2104" t="str">
        <f>HYPERLINK("Melting_Curves/meltCurve_P10909_4_CLU.pdf", "Melting_Curves/meltCurve_P10909_4_CLU.pdf")</f>
        <v>Melting_Curves/meltCurve_P10909_4_CLU.pdf</v>
      </c>
    </row>
    <row r="2105" spans="1:28" x14ac:dyDescent="0.25">
      <c r="A2105" t="s">
        <v>2109</v>
      </c>
      <c r="B2105">
        <v>0.99252571173614901</v>
      </c>
      <c r="C2105">
        <v>0.902514980398745</v>
      </c>
      <c r="D2105">
        <v>0.97903716554400499</v>
      </c>
      <c r="E2105">
        <v>0.89234439659349596</v>
      </c>
      <c r="F2105">
        <v>0.65425099403741704</v>
      </c>
      <c r="G2105">
        <v>0.43402251405722603</v>
      </c>
      <c r="H2105">
        <v>0.215381153886993</v>
      </c>
      <c r="I2105">
        <v>0.161583739255519</v>
      </c>
      <c r="J2105">
        <v>0.21058925650767499</v>
      </c>
      <c r="K2105">
        <v>0.172306033773964</v>
      </c>
      <c r="L2105">
        <v>1072.04908934487</v>
      </c>
      <c r="M2105">
        <v>19.735078565252401</v>
      </c>
      <c r="N2105">
        <v>55.358933088430398</v>
      </c>
      <c r="O2105">
        <v>53.773468976063903</v>
      </c>
      <c r="P2105">
        <v>-7.7576823537613804E-2</v>
      </c>
      <c r="Q2105">
        <v>0.154514251755727</v>
      </c>
      <c r="R2105">
        <v>0.98871631980563202</v>
      </c>
      <c r="S2105" t="s">
        <v>8751</v>
      </c>
      <c r="T2105" t="s">
        <v>13290</v>
      </c>
      <c r="U2105" t="s">
        <v>13290</v>
      </c>
      <c r="V2105" t="s">
        <v>13290</v>
      </c>
      <c r="W2105" t="s">
        <v>15362</v>
      </c>
      <c r="X2105">
        <v>60</v>
      </c>
      <c r="Y2105" t="s">
        <v>21920</v>
      </c>
      <c r="Z2105" t="s">
        <v>28435</v>
      </c>
      <c r="AA2105">
        <v>0.56981893554161345</v>
      </c>
      <c r="AB2105" t="str">
        <f>HYPERLINK("Melting_Curves/meltCurve_P11021_HSPA5.pdf", "Melting_Curves/meltCurve_P11021_HSPA5.pdf")</f>
        <v>Melting_Curves/meltCurve_P11021_HSPA5.pdf</v>
      </c>
    </row>
    <row r="2106" spans="1:28" x14ac:dyDescent="0.25">
      <c r="A2106" t="s">
        <v>2110</v>
      </c>
      <c r="B2106">
        <v>0.99252571173614901</v>
      </c>
      <c r="C2106">
        <v>0.98801729774763103</v>
      </c>
      <c r="D2106">
        <v>0.90219220898766395</v>
      </c>
      <c r="E2106">
        <v>0.63190526260096702</v>
      </c>
      <c r="F2106">
        <v>0.25986399108948099</v>
      </c>
      <c r="G2106">
        <v>0.142288325413089</v>
      </c>
      <c r="H2106">
        <v>0.12833513114211501</v>
      </c>
      <c r="I2106">
        <v>0.144064328923414</v>
      </c>
      <c r="J2106">
        <v>0.211630181099214</v>
      </c>
      <c r="K2106">
        <v>0.168958959775696</v>
      </c>
      <c r="L2106">
        <v>1485.4653910991899</v>
      </c>
      <c r="M2106">
        <v>29.771401188259802</v>
      </c>
      <c r="N2106">
        <v>50.516928474516398</v>
      </c>
      <c r="O2106">
        <v>49.672208723289103</v>
      </c>
      <c r="P2106">
        <v>-0.12687219461376401</v>
      </c>
      <c r="Q2106">
        <v>0.15328392206080199</v>
      </c>
      <c r="R2106">
        <v>0.99429939616392804</v>
      </c>
      <c r="S2106" t="s">
        <v>8752</v>
      </c>
      <c r="T2106" t="s">
        <v>13290</v>
      </c>
      <c r="U2106" t="s">
        <v>13290</v>
      </c>
      <c r="V2106" t="s">
        <v>13290</v>
      </c>
      <c r="W2106" t="s">
        <v>15363</v>
      </c>
      <c r="X2106">
        <v>50</v>
      </c>
      <c r="Y2106" t="s">
        <v>21921</v>
      </c>
      <c r="Z2106" t="s">
        <v>28436</v>
      </c>
      <c r="AA2106">
        <v>0.43788924520200678</v>
      </c>
      <c r="AB2106" t="str">
        <f>HYPERLINK("Melting_Curves/meltCurve_P11047_LAMC1.pdf", "Melting_Curves/meltCurve_P11047_LAMC1.pdf")</f>
        <v>Melting_Curves/meltCurve_P11047_LAMC1.pdf</v>
      </c>
    </row>
    <row r="2107" spans="1:28" x14ac:dyDescent="0.25">
      <c r="A2107" t="s">
        <v>2111</v>
      </c>
      <c r="B2107">
        <v>0.99252571173614901</v>
      </c>
      <c r="C2107">
        <v>1.10318558046128</v>
      </c>
      <c r="D2107">
        <v>0.97990511125871005</v>
      </c>
      <c r="E2107">
        <v>0.73696427222318694</v>
      </c>
      <c r="F2107">
        <v>0.60606802545750305</v>
      </c>
      <c r="G2107">
        <v>0.16541010097102299</v>
      </c>
      <c r="H2107">
        <v>0.10879482052973199</v>
      </c>
      <c r="I2107">
        <v>0.117803222084205</v>
      </c>
      <c r="J2107">
        <v>0.17032448723444099</v>
      </c>
      <c r="K2107">
        <v>0.116446013162899</v>
      </c>
      <c r="L2107">
        <v>1204.81785638825</v>
      </c>
      <c r="M2107">
        <v>22.867511453262001</v>
      </c>
      <c r="N2107">
        <v>53.235616831661403</v>
      </c>
      <c r="O2107">
        <v>52.288943670988203</v>
      </c>
      <c r="P2107">
        <v>-9.7854999410017296E-2</v>
      </c>
      <c r="Q2107">
        <v>0.10499489252925499</v>
      </c>
      <c r="R2107">
        <v>0.97316851541357496</v>
      </c>
      <c r="S2107" t="s">
        <v>8753</v>
      </c>
      <c r="T2107" t="s">
        <v>13290</v>
      </c>
      <c r="U2107" t="s">
        <v>13290</v>
      </c>
      <c r="V2107" t="s">
        <v>13290</v>
      </c>
      <c r="W2107" t="s">
        <v>15364</v>
      </c>
      <c r="X2107">
        <v>5</v>
      </c>
      <c r="Y2107" t="s">
        <v>21922</v>
      </c>
      <c r="Z2107" t="s">
        <v>28437</v>
      </c>
      <c r="AA2107">
        <v>0.49319886356237308</v>
      </c>
      <c r="AB2107" t="str">
        <f>HYPERLINK("Melting_Curves/meltCurve_P11086_PNMT.pdf", "Melting_Curves/meltCurve_P11086_PNMT.pdf")</f>
        <v>Melting_Curves/meltCurve_P11086_PNMT.pdf</v>
      </c>
    </row>
    <row r="2108" spans="1:28" x14ac:dyDescent="0.25">
      <c r="A2108" t="s">
        <v>2112</v>
      </c>
      <c r="B2108">
        <v>0.99252571173614901</v>
      </c>
      <c r="C2108">
        <v>0.98152836324848602</v>
      </c>
      <c r="D2108">
        <v>0.98677913421388497</v>
      </c>
      <c r="E2108">
        <v>0.91978239220983904</v>
      </c>
      <c r="F2108">
        <v>0.88250586136799503</v>
      </c>
      <c r="G2108">
        <v>0.72456035174654199</v>
      </c>
      <c r="H2108">
        <v>0.49043483913782399</v>
      </c>
      <c r="I2108">
        <v>0.33721614198418998</v>
      </c>
      <c r="J2108">
        <v>0.46525012162979701</v>
      </c>
      <c r="K2108">
        <v>0.34356471649668602</v>
      </c>
      <c r="L2108">
        <v>1179.41915559069</v>
      </c>
      <c r="M2108">
        <v>20.632944350303799</v>
      </c>
      <c r="N2108">
        <v>60.691476717754</v>
      </c>
      <c r="O2108">
        <v>56.633116417004302</v>
      </c>
      <c r="P2108">
        <v>-5.9260295518881297E-2</v>
      </c>
      <c r="Q2108">
        <v>0.34939026171318699</v>
      </c>
      <c r="R2108">
        <v>0.97379763753485804</v>
      </c>
      <c r="S2108" t="s">
        <v>8754</v>
      </c>
      <c r="T2108" t="s">
        <v>13290</v>
      </c>
      <c r="U2108" t="s">
        <v>13290</v>
      </c>
      <c r="V2108" t="s">
        <v>13290</v>
      </c>
      <c r="W2108" t="s">
        <v>15365</v>
      </c>
      <c r="X2108">
        <v>9</v>
      </c>
      <c r="Y2108" t="s">
        <v>21923</v>
      </c>
      <c r="Z2108" t="s">
        <v>28438</v>
      </c>
      <c r="AA2108">
        <v>0.7291775302335215</v>
      </c>
      <c r="AB2108" t="str">
        <f>HYPERLINK("Melting_Curves/meltCurve_P11117_ACP2.pdf", "Melting_Curves/meltCurve_P11117_ACP2.pdf")</f>
        <v>Melting_Curves/meltCurve_P11117_ACP2.pdf</v>
      </c>
    </row>
    <row r="2109" spans="1:28" x14ac:dyDescent="0.25">
      <c r="A2109" t="s">
        <v>2113</v>
      </c>
      <c r="B2109">
        <v>0.99252571173614901</v>
      </c>
      <c r="C2109">
        <v>0.97936248726951303</v>
      </c>
      <c r="D2109">
        <v>0.94459791069744004</v>
      </c>
      <c r="E2109">
        <v>0.89029231428809497</v>
      </c>
      <c r="F2109">
        <v>0.85612716407918799</v>
      </c>
      <c r="G2109">
        <v>0.75183857942787802</v>
      </c>
      <c r="H2109">
        <v>0.21423022538463099</v>
      </c>
      <c r="I2109">
        <v>9.1120003824841006E-2</v>
      </c>
      <c r="J2109">
        <v>9.4080777424746798E-2</v>
      </c>
      <c r="K2109">
        <v>8.8778536870802893E-2</v>
      </c>
      <c r="L2109">
        <v>1938.1328170357599</v>
      </c>
      <c r="M2109">
        <v>33.342029621851303</v>
      </c>
      <c r="N2109">
        <v>58.385626840567397</v>
      </c>
      <c r="O2109">
        <v>57.920921752770397</v>
      </c>
      <c r="P2109">
        <v>-0.134097150822308</v>
      </c>
      <c r="Q2109">
        <v>6.8203595459363803E-2</v>
      </c>
      <c r="R2109">
        <v>0.98063857182801095</v>
      </c>
      <c r="S2109" t="s">
        <v>8755</v>
      </c>
      <c r="T2109" t="s">
        <v>13290</v>
      </c>
      <c r="U2109" t="s">
        <v>13290</v>
      </c>
      <c r="V2109" t="s">
        <v>13290</v>
      </c>
      <c r="W2109" t="s">
        <v>13357</v>
      </c>
      <c r="X2109">
        <v>71</v>
      </c>
      <c r="Y2109" t="s">
        <v>19942</v>
      </c>
      <c r="Z2109" t="s">
        <v>28439</v>
      </c>
      <c r="AA2109">
        <v>0.6363970437572799</v>
      </c>
      <c r="AB2109" t="str">
        <f>HYPERLINK("Melting_Curves/meltCurve_P11142_HSPA8.pdf", "Melting_Curves/meltCurve_P11142_HSPA8.pdf")</f>
        <v>Melting_Curves/meltCurve_P11142_HSPA8.pdf</v>
      </c>
    </row>
    <row r="2110" spans="1:28" x14ac:dyDescent="0.25">
      <c r="A2110" t="s">
        <v>2114</v>
      </c>
      <c r="B2110">
        <v>0.99252571173614901</v>
      </c>
      <c r="C2110">
        <v>0.93451795689758299</v>
      </c>
      <c r="D2110">
        <v>0.84870626613521305</v>
      </c>
      <c r="E2110">
        <v>0.92281714022754502</v>
      </c>
      <c r="F2110">
        <v>0.67861493133216799</v>
      </c>
      <c r="G2110">
        <v>0.50025214858274403</v>
      </c>
      <c r="H2110">
        <v>0.440794583563343</v>
      </c>
      <c r="I2110">
        <v>0.60529491567305405</v>
      </c>
      <c r="J2110">
        <v>0.92321783939194102</v>
      </c>
      <c r="K2110">
        <v>0.78521990346775905</v>
      </c>
      <c r="L2110">
        <v>2758.1372274431201</v>
      </c>
      <c r="M2110">
        <v>54.428853276283199</v>
      </c>
      <c r="O2110">
        <v>50.605907873960803</v>
      </c>
      <c r="P2110">
        <v>-9.3719566992240905E-2</v>
      </c>
      <c r="Q2110">
        <v>0.65145244932617796</v>
      </c>
      <c r="R2110">
        <v>0.45582788379863198</v>
      </c>
      <c r="S2110" t="s">
        <v>8756</v>
      </c>
      <c r="T2110" t="s">
        <v>13290</v>
      </c>
      <c r="U2110" t="s">
        <v>13290</v>
      </c>
      <c r="V2110" t="s">
        <v>13290</v>
      </c>
      <c r="W2110" t="s">
        <v>15366</v>
      </c>
      <c r="X2110">
        <v>10</v>
      </c>
      <c r="Y2110" t="s">
        <v>21924</v>
      </c>
      <c r="Z2110" t="s">
        <v>28440</v>
      </c>
      <c r="AA2110">
        <v>0.7761245821785453</v>
      </c>
      <c r="AB2110" t="str">
        <f>HYPERLINK("Melting_Curves/meltCurve_P11166_SLC2A1.pdf", "Melting_Curves/meltCurve_P11166_SLC2A1.pdf")</f>
        <v>Melting_Curves/meltCurve_P11166_SLC2A1.pdf</v>
      </c>
    </row>
    <row r="2111" spans="1:28" x14ac:dyDescent="0.25">
      <c r="A2111" t="s">
        <v>2115</v>
      </c>
      <c r="B2111">
        <v>0.99252571173614901</v>
      </c>
      <c r="C2111">
        <v>0.98395750399687298</v>
      </c>
      <c r="D2111">
        <v>0.82875016694654602</v>
      </c>
      <c r="E2111">
        <v>0.72873631313278397</v>
      </c>
      <c r="F2111">
        <v>0.25051482649996398</v>
      </c>
      <c r="G2111">
        <v>0.137325906999932</v>
      </c>
      <c r="H2111">
        <v>0.10187436369294001</v>
      </c>
      <c r="I2111">
        <v>0.11508341122457599</v>
      </c>
      <c r="J2111">
        <v>0.14847868630597499</v>
      </c>
      <c r="K2111">
        <v>0.15253441444826399</v>
      </c>
      <c r="L2111">
        <v>1422.3679944517701</v>
      </c>
      <c r="M2111">
        <v>28.1614708404176</v>
      </c>
      <c r="N2111">
        <v>50.996488498218902</v>
      </c>
      <c r="O2111">
        <v>50.254966203224903</v>
      </c>
      <c r="P2111">
        <v>-0.123520212512439</v>
      </c>
      <c r="Q2111">
        <v>0.118305723415238</v>
      </c>
      <c r="R2111">
        <v>0.98363045751655698</v>
      </c>
      <c r="S2111" t="s">
        <v>8757</v>
      </c>
      <c r="T2111" t="s">
        <v>13290</v>
      </c>
      <c r="U2111" t="s">
        <v>13290</v>
      </c>
      <c r="V2111" t="s">
        <v>13290</v>
      </c>
      <c r="W2111" t="s">
        <v>15367</v>
      </c>
      <c r="X2111">
        <v>32</v>
      </c>
      <c r="Y2111" t="s">
        <v>21925</v>
      </c>
      <c r="Z2111" t="s">
        <v>28441</v>
      </c>
      <c r="AA2111">
        <v>0.43336612309030742</v>
      </c>
      <c r="AB2111" t="str">
        <f>HYPERLINK("Melting_Curves/meltCurve_P11171_EPB41.pdf", "Melting_Curves/meltCurve_P11171_EPB41.pdf")</f>
        <v>Melting_Curves/meltCurve_P11171_EPB41.pdf</v>
      </c>
    </row>
    <row r="2112" spans="1:28" x14ac:dyDescent="0.25">
      <c r="A2112" t="s">
        <v>2116</v>
      </c>
      <c r="B2112">
        <v>0.99252571173614901</v>
      </c>
      <c r="C2112">
        <v>1.0337421972343499</v>
      </c>
      <c r="D2112">
        <v>0.84739805440328797</v>
      </c>
      <c r="E2112">
        <v>0.71555855949610503</v>
      </c>
      <c r="F2112">
        <v>0.490720941588765</v>
      </c>
      <c r="G2112">
        <v>0.26825690990276202</v>
      </c>
      <c r="H2112">
        <v>0.279992290058732</v>
      </c>
      <c r="I2112">
        <v>0.34367211927268698</v>
      </c>
      <c r="J2112">
        <v>0.67424511622703598</v>
      </c>
      <c r="K2112">
        <v>0.53318058945104496</v>
      </c>
      <c r="L2112">
        <v>1344.4764529430499</v>
      </c>
      <c r="M2112">
        <v>27.405706822949998</v>
      </c>
      <c r="N2112">
        <v>52.629676191300199</v>
      </c>
      <c r="O2112">
        <v>48.799291487683902</v>
      </c>
      <c r="P2112">
        <v>-8.1131943518454305E-2</v>
      </c>
      <c r="Q2112">
        <v>0.42214307379781002</v>
      </c>
      <c r="R2112">
        <v>0.80300740864323406</v>
      </c>
      <c r="S2112" t="s">
        <v>8758</v>
      </c>
      <c r="T2112" t="s">
        <v>13290</v>
      </c>
      <c r="U2112" t="s">
        <v>13290</v>
      </c>
      <c r="V2112" t="s">
        <v>13290</v>
      </c>
      <c r="W2112" t="s">
        <v>15368</v>
      </c>
      <c r="X2112">
        <v>32</v>
      </c>
      <c r="Y2112" t="s">
        <v>21925</v>
      </c>
      <c r="Z2112" t="s">
        <v>28442</v>
      </c>
      <c r="AA2112">
        <v>0.60086310926389619</v>
      </c>
      <c r="AB2112" t="str">
        <f>HYPERLINK("Melting_Curves/meltCurve_P11171_2_EPB41.pdf", "Melting_Curves/meltCurve_P11171_2_EPB41.pdf")</f>
        <v>Melting_Curves/meltCurve_P11171_2_EPB41.pdf</v>
      </c>
    </row>
    <row r="2113" spans="1:28" x14ac:dyDescent="0.25">
      <c r="A2113" t="s">
        <v>2117</v>
      </c>
      <c r="B2113">
        <v>0.99252571173614901</v>
      </c>
      <c r="C2113">
        <v>1.0110082225046599</v>
      </c>
      <c r="D2113">
        <v>0.95964594254220204</v>
      </c>
      <c r="E2113">
        <v>0.76764678990531299</v>
      </c>
      <c r="F2113">
        <v>0.56722073182522503</v>
      </c>
      <c r="G2113">
        <v>0.30751434031517499</v>
      </c>
      <c r="H2113">
        <v>0.109555523906035</v>
      </c>
      <c r="I2113">
        <v>8.9318604894917497E-2</v>
      </c>
      <c r="J2113">
        <v>9.3327019014707094E-2</v>
      </c>
      <c r="K2113">
        <v>8.7508629548160702E-2</v>
      </c>
      <c r="L2113">
        <v>947.79084387604803</v>
      </c>
      <c r="M2113">
        <v>17.7593999125653</v>
      </c>
      <c r="N2113">
        <v>53.716255961824302</v>
      </c>
      <c r="O2113">
        <v>52.7055293350369</v>
      </c>
      <c r="P2113">
        <v>-7.9666853297323495E-2</v>
      </c>
      <c r="Q2113">
        <v>5.4322724022609598E-2</v>
      </c>
      <c r="R2113">
        <v>0.99633102558483599</v>
      </c>
      <c r="S2113" t="s">
        <v>8759</v>
      </c>
      <c r="T2113" t="s">
        <v>13290</v>
      </c>
      <c r="U2113" t="s">
        <v>13290</v>
      </c>
      <c r="V2113" t="s">
        <v>13290</v>
      </c>
      <c r="W2113" t="s">
        <v>15369</v>
      </c>
      <c r="X2113">
        <v>32</v>
      </c>
      <c r="Y2113" t="s">
        <v>21926</v>
      </c>
      <c r="Z2113" t="s">
        <v>28443</v>
      </c>
      <c r="AA2113">
        <v>0.49142195206232481</v>
      </c>
      <c r="AB2113" t="str">
        <f>HYPERLINK("Melting_Curves/meltCurve_P11172_UMPS.pdf", "Melting_Curves/meltCurve_P11172_UMPS.pdf")</f>
        <v>Melting_Curves/meltCurve_P11172_UMPS.pdf</v>
      </c>
    </row>
    <row r="2114" spans="1:28" x14ac:dyDescent="0.25">
      <c r="A2114" t="s">
        <v>2118</v>
      </c>
      <c r="B2114">
        <v>0.99252571173614901</v>
      </c>
      <c r="C2114">
        <v>0.87924419996052505</v>
      </c>
      <c r="D2114">
        <v>0.96362713926110999</v>
      </c>
      <c r="E2114">
        <v>0.72336521908724605</v>
      </c>
      <c r="F2114">
        <v>0.18927029547031901</v>
      </c>
      <c r="G2114">
        <v>0.10645543734834</v>
      </c>
      <c r="H2114">
        <v>7.25612061266631E-2</v>
      </c>
      <c r="I2114">
        <v>6.4147575216263297E-2</v>
      </c>
      <c r="J2114">
        <v>6.9370924512934098E-2</v>
      </c>
      <c r="K2114">
        <v>7.1172706946254993E-2</v>
      </c>
      <c r="L2114">
        <v>1948.75135967292</v>
      </c>
      <c r="M2114">
        <v>38.4664029827183</v>
      </c>
      <c r="N2114">
        <v>50.866582920987703</v>
      </c>
      <c r="O2114">
        <v>50.524769045180399</v>
      </c>
      <c r="P2114">
        <v>-0.176638748608069</v>
      </c>
      <c r="Q2114">
        <v>7.1957536624798799E-2</v>
      </c>
      <c r="R2114">
        <v>0.99020016597401905</v>
      </c>
      <c r="S2114" t="s">
        <v>8760</v>
      </c>
      <c r="T2114" t="s">
        <v>13290</v>
      </c>
      <c r="U2114" t="s">
        <v>13290</v>
      </c>
      <c r="V2114" t="s">
        <v>13290</v>
      </c>
      <c r="W2114" t="s">
        <v>15370</v>
      </c>
      <c r="X2114">
        <v>13</v>
      </c>
      <c r="Y2114" t="s">
        <v>21927</v>
      </c>
      <c r="Z2114" t="s">
        <v>28444</v>
      </c>
      <c r="AA2114">
        <v>0.40527339465584611</v>
      </c>
      <c r="AB2114" t="str">
        <f>HYPERLINK("Melting_Curves/meltCurve_P11177_PDHB.pdf", "Melting_Curves/meltCurve_P11177_PDHB.pdf")</f>
        <v>Melting_Curves/meltCurve_P11177_PDHB.pdf</v>
      </c>
    </row>
    <row r="2115" spans="1:28" x14ac:dyDescent="0.25">
      <c r="A2115" t="s">
        <v>2119</v>
      </c>
      <c r="B2115">
        <v>0.99252571173614901</v>
      </c>
      <c r="C2115">
        <v>1.10046952531846</v>
      </c>
      <c r="D2115">
        <v>0.89746995604190605</v>
      </c>
      <c r="E2115">
        <v>0.74675857685281799</v>
      </c>
      <c r="F2115">
        <v>1.0042724558273399</v>
      </c>
      <c r="G2115">
        <v>0.37710010479071499</v>
      </c>
      <c r="H2115">
        <v>0.22843410371263601</v>
      </c>
      <c r="I2115">
        <v>0.188159865713905</v>
      </c>
      <c r="J2115">
        <v>0.14921183795380899</v>
      </c>
      <c r="K2115">
        <v>0.116346799128386</v>
      </c>
      <c r="L2115">
        <v>5495.0441537360603</v>
      </c>
      <c r="M2115">
        <v>97.844352985896094</v>
      </c>
      <c r="N2115">
        <v>56.401209733618401</v>
      </c>
      <c r="O2115">
        <v>56.137617376946302</v>
      </c>
      <c r="P2115">
        <v>-0.36150605718470702</v>
      </c>
      <c r="Q2115">
        <v>0.170352075003981</v>
      </c>
      <c r="R2115">
        <v>0.93745218794495999</v>
      </c>
      <c r="S2115" t="s">
        <v>8761</v>
      </c>
      <c r="T2115" t="s">
        <v>13290</v>
      </c>
      <c r="U2115" t="s">
        <v>13290</v>
      </c>
      <c r="V2115" t="s">
        <v>13290</v>
      </c>
      <c r="W2115" t="s">
        <v>15371</v>
      </c>
      <c r="X2115">
        <v>7</v>
      </c>
      <c r="Y2115" t="s">
        <v>21928</v>
      </c>
      <c r="Z2115" t="s">
        <v>28445</v>
      </c>
      <c r="AA2115">
        <v>0.61782001123038599</v>
      </c>
      <c r="AB2115" t="str">
        <f>HYPERLINK("Melting_Curves/meltCurve_P11182_DBT.pdf", "Melting_Curves/meltCurve_P11182_DBT.pdf")</f>
        <v>Melting_Curves/meltCurve_P11182_DBT.pdf</v>
      </c>
    </row>
    <row r="2116" spans="1:28" x14ac:dyDescent="0.25">
      <c r="A2116" t="s">
        <v>2120</v>
      </c>
      <c r="B2116">
        <v>0.99252571173614901</v>
      </c>
      <c r="C2116">
        <v>0.94827185332600905</v>
      </c>
      <c r="D2116">
        <v>1.09539013577775</v>
      </c>
      <c r="E2116">
        <v>1.02371577050939</v>
      </c>
      <c r="F2116">
        <v>0.33759917476526902</v>
      </c>
      <c r="G2116">
        <v>0.20945619885719199</v>
      </c>
      <c r="H2116">
        <v>0.13436322870029799</v>
      </c>
      <c r="I2116">
        <v>0.135547752974366</v>
      </c>
      <c r="J2116">
        <v>0.12970692814184701</v>
      </c>
      <c r="K2116">
        <v>0.114710175518595</v>
      </c>
      <c r="L2116">
        <v>9253.8987626023809</v>
      </c>
      <c r="M2116">
        <v>175.17943453254699</v>
      </c>
      <c r="N2116">
        <v>52.928526563800403</v>
      </c>
      <c r="O2116">
        <v>52.818374133250103</v>
      </c>
      <c r="P2116">
        <v>-0.70913412077641702</v>
      </c>
      <c r="Q2116">
        <v>0.14475552821113499</v>
      </c>
      <c r="R2116">
        <v>0.98967439837707605</v>
      </c>
      <c r="S2116" t="s">
        <v>8762</v>
      </c>
      <c r="T2116" t="s">
        <v>13290</v>
      </c>
      <c r="U2116" t="s">
        <v>13290</v>
      </c>
      <c r="V2116" t="s">
        <v>13290</v>
      </c>
      <c r="W2116" t="s">
        <v>15372</v>
      </c>
      <c r="X2116">
        <v>46</v>
      </c>
      <c r="Y2116" t="s">
        <v>21929</v>
      </c>
      <c r="Z2116" t="s">
        <v>28446</v>
      </c>
      <c r="AA2116">
        <v>0.51054140190372155</v>
      </c>
      <c r="AB2116" t="str">
        <f>HYPERLINK("Melting_Curves/meltCurve_P11216_PYGB.pdf", "Melting_Curves/meltCurve_P11216_PYGB.pdf")</f>
        <v>Melting_Curves/meltCurve_P11216_PYGB.pdf</v>
      </c>
    </row>
    <row r="2117" spans="1:28" x14ac:dyDescent="0.25">
      <c r="A2117" t="s">
        <v>2121</v>
      </c>
      <c r="B2117">
        <v>0.99252571173614901</v>
      </c>
      <c r="C2117">
        <v>0.87046755358333605</v>
      </c>
      <c r="D2117">
        <v>0.80779856869012001</v>
      </c>
      <c r="E2117">
        <v>0.81395129607976002</v>
      </c>
      <c r="F2117">
        <v>0.66309470607017695</v>
      </c>
      <c r="G2117">
        <v>0.62629503930068597</v>
      </c>
      <c r="H2117">
        <v>0.50422193735693699</v>
      </c>
      <c r="I2117">
        <v>0.51434177422263405</v>
      </c>
      <c r="J2117">
        <v>0.19359027235046</v>
      </c>
      <c r="K2117">
        <v>0.114192180759307</v>
      </c>
      <c r="L2117">
        <v>430.39847910160103</v>
      </c>
      <c r="M2117">
        <v>7.27961971653282</v>
      </c>
      <c r="N2117">
        <v>59.123759271403998</v>
      </c>
      <c r="O2117">
        <v>55.1519210114554</v>
      </c>
      <c r="P2117">
        <v>-3.3051008947387502E-2</v>
      </c>
      <c r="Q2117">
        <v>0</v>
      </c>
      <c r="R2117">
        <v>0.907388292720262</v>
      </c>
      <c r="S2117" t="s">
        <v>8763</v>
      </c>
      <c r="T2117" t="s">
        <v>13290</v>
      </c>
      <c r="U2117" t="s">
        <v>13290</v>
      </c>
      <c r="V2117" t="s">
        <v>13290</v>
      </c>
      <c r="W2117" t="s">
        <v>15373</v>
      </c>
      <c r="X2117">
        <v>10</v>
      </c>
      <c r="Y2117" t="s">
        <v>21930</v>
      </c>
      <c r="Z2117" t="s">
        <v>28447</v>
      </c>
      <c r="AA2117">
        <v>0.62608677602118956</v>
      </c>
      <c r="AB2117" t="str">
        <f>HYPERLINK("Melting_Curves/meltCurve_P11233_RALA.pdf", "Melting_Curves/meltCurve_P11233_RALA.pdf")</f>
        <v>Melting_Curves/meltCurve_P11233_RALA.pdf</v>
      </c>
    </row>
    <row r="2118" spans="1:28" x14ac:dyDescent="0.25">
      <c r="A2118" t="s">
        <v>2122</v>
      </c>
      <c r="B2118">
        <v>0.99252571173614901</v>
      </c>
      <c r="C2118">
        <v>0.94973959790941498</v>
      </c>
      <c r="D2118">
        <v>0.86782365543129902</v>
      </c>
      <c r="E2118">
        <v>0.84525589411989099</v>
      </c>
      <c r="F2118">
        <v>0.68108783677710605</v>
      </c>
      <c r="G2118">
        <v>0.62257756489485205</v>
      </c>
      <c r="H2118">
        <v>0.45993536688898801</v>
      </c>
      <c r="I2118">
        <v>0.30726223420947402</v>
      </c>
      <c r="J2118">
        <v>0.13422407874866499</v>
      </c>
      <c r="K2118">
        <v>0.110631730454302</v>
      </c>
      <c r="L2118">
        <v>581.70311469010596</v>
      </c>
      <c r="M2118">
        <v>9.9830590485201505</v>
      </c>
      <c r="N2118">
        <v>58.269023534095901</v>
      </c>
      <c r="O2118">
        <v>56.0756529924776</v>
      </c>
      <c r="P2118">
        <v>-4.4528893765864601E-2</v>
      </c>
      <c r="Q2118">
        <v>0</v>
      </c>
      <c r="R2118">
        <v>0.97693232231515903</v>
      </c>
      <c r="S2118" t="s">
        <v>8764</v>
      </c>
      <c r="T2118" t="s">
        <v>13290</v>
      </c>
      <c r="U2118" t="s">
        <v>13290</v>
      </c>
      <c r="V2118" t="s">
        <v>13290</v>
      </c>
      <c r="W2118" t="s">
        <v>15374</v>
      </c>
      <c r="X2118">
        <v>5</v>
      </c>
      <c r="Y2118" t="s">
        <v>21931</v>
      </c>
      <c r="Z2118" t="s">
        <v>28448</v>
      </c>
      <c r="AA2118">
        <v>0.61714134117881947</v>
      </c>
      <c r="AB2118" t="str">
        <f>HYPERLINK("Melting_Curves/meltCurve_P11234_RALB.pdf", "Melting_Curves/meltCurve_P11234_RALB.pdf")</f>
        <v>Melting_Curves/meltCurve_P11234_RALB.pdf</v>
      </c>
    </row>
    <row r="2119" spans="1:28" x14ac:dyDescent="0.25">
      <c r="A2119" t="s">
        <v>2123</v>
      </c>
      <c r="B2119">
        <v>0.99252571173614901</v>
      </c>
      <c r="C2119">
        <v>0.79653927046802397</v>
      </c>
      <c r="D2119">
        <v>0.72782536830182998</v>
      </c>
      <c r="E2119">
        <v>0.28064918469699601</v>
      </c>
      <c r="F2119">
        <v>0.11378854689509001</v>
      </c>
      <c r="G2119">
        <v>8.4486111121029606E-2</v>
      </c>
      <c r="H2119">
        <v>6.6098397480129994E-2</v>
      </c>
      <c r="I2119">
        <v>7.8796251068063303E-2</v>
      </c>
      <c r="J2119">
        <v>9.3901017176906798E-2</v>
      </c>
      <c r="K2119">
        <v>9.8210897689881504E-2</v>
      </c>
      <c r="L2119">
        <v>1019.8720644280399</v>
      </c>
      <c r="M2119">
        <v>21.643966446394</v>
      </c>
      <c r="N2119">
        <v>47.457414981531699</v>
      </c>
      <c r="O2119">
        <v>46.723678125145</v>
      </c>
      <c r="P2119">
        <v>-0.10756080196998501</v>
      </c>
      <c r="Q2119">
        <v>7.1239251341457199E-2</v>
      </c>
      <c r="R2119">
        <v>0.98344644546507098</v>
      </c>
      <c r="S2119" t="s">
        <v>8765</v>
      </c>
      <c r="T2119" t="s">
        <v>13290</v>
      </c>
      <c r="U2119" t="s">
        <v>13290</v>
      </c>
      <c r="V2119" t="s">
        <v>13290</v>
      </c>
      <c r="W2119" t="s">
        <v>15375</v>
      </c>
      <c r="X2119">
        <v>10</v>
      </c>
      <c r="Y2119" t="s">
        <v>21932</v>
      </c>
      <c r="Z2119" t="s">
        <v>28449</v>
      </c>
      <c r="AA2119">
        <v>0.30304649523101251</v>
      </c>
      <c r="AB2119" t="str">
        <f>HYPERLINK("Melting_Curves/meltCurve_P11274_BCR.pdf", "Melting_Curves/meltCurve_P11274_BCR.pdf")</f>
        <v>Melting_Curves/meltCurve_P11274_BCR.pdf</v>
      </c>
    </row>
    <row r="2120" spans="1:28" x14ac:dyDescent="0.25">
      <c r="A2120" t="s">
        <v>2124</v>
      </c>
      <c r="B2120">
        <v>0.99252571173614901</v>
      </c>
      <c r="C2120">
        <v>1.0243208624101701</v>
      </c>
      <c r="D2120">
        <v>0.98801462158092601</v>
      </c>
      <c r="E2120">
        <v>0.85270319273377104</v>
      </c>
      <c r="F2120">
        <v>0.71633254587323203</v>
      </c>
      <c r="G2120">
        <v>0.54633007521852395</v>
      </c>
      <c r="H2120">
        <v>0.438134610022128</v>
      </c>
      <c r="I2120">
        <v>0.46027334046307</v>
      </c>
      <c r="J2120">
        <v>0.58010610042747202</v>
      </c>
      <c r="K2120">
        <v>0.44904724803620799</v>
      </c>
      <c r="L2120">
        <v>1187.6566528430899</v>
      </c>
      <c r="M2120">
        <v>22.7135663254378</v>
      </c>
      <c r="N2120">
        <v>60.346550488131001</v>
      </c>
      <c r="O2120">
        <v>51.888172728510803</v>
      </c>
      <c r="P2120">
        <v>-5.7354607133917102E-2</v>
      </c>
      <c r="Q2120">
        <v>0.47591364380328399</v>
      </c>
      <c r="R2120">
        <v>0.96645135457075404</v>
      </c>
      <c r="S2120" t="s">
        <v>8766</v>
      </c>
      <c r="T2120" t="s">
        <v>13290</v>
      </c>
      <c r="U2120" t="s">
        <v>13290</v>
      </c>
      <c r="V2120" t="s">
        <v>13290</v>
      </c>
      <c r="W2120" t="s">
        <v>15376</v>
      </c>
      <c r="X2120">
        <v>12</v>
      </c>
      <c r="Y2120" t="s">
        <v>21933</v>
      </c>
      <c r="Z2120" t="s">
        <v>28450</v>
      </c>
      <c r="AA2120">
        <v>0.69633589998381451</v>
      </c>
      <c r="AB2120" t="str">
        <f>HYPERLINK("Melting_Curves/meltCurve_P11279_LAMP1.pdf", "Melting_Curves/meltCurve_P11279_LAMP1.pdf")</f>
        <v>Melting_Curves/meltCurve_P11279_LAMP1.pdf</v>
      </c>
    </row>
    <row r="2121" spans="1:28" x14ac:dyDescent="0.25">
      <c r="A2121" t="s">
        <v>2125</v>
      </c>
      <c r="B2121">
        <v>0.99252571173614901</v>
      </c>
      <c r="C2121">
        <v>1.0345096270668399</v>
      </c>
      <c r="D2121">
        <v>0.57990756699962698</v>
      </c>
      <c r="E2121">
        <v>0.20668377089356599</v>
      </c>
      <c r="F2121">
        <v>0.117693734328427</v>
      </c>
      <c r="G2121">
        <v>6.3728017474235302E-2</v>
      </c>
      <c r="H2121">
        <v>5.48445287178854E-2</v>
      </c>
      <c r="I2121">
        <v>6.1006027481217598E-2</v>
      </c>
      <c r="J2121">
        <v>7.5984724182090999E-2</v>
      </c>
      <c r="K2121">
        <v>8.50974729244766E-2</v>
      </c>
      <c r="L2121">
        <v>1646.0740516921601</v>
      </c>
      <c r="M2121">
        <v>35.466606319499299</v>
      </c>
      <c r="N2121">
        <v>46.638779078545298</v>
      </c>
      <c r="O2121">
        <v>46.265138907631602</v>
      </c>
      <c r="P2121">
        <v>-0.17646675548806001</v>
      </c>
      <c r="Q2121">
        <v>7.9220585818012307E-2</v>
      </c>
      <c r="R2121">
        <v>0.99165659543520002</v>
      </c>
      <c r="S2121" t="s">
        <v>8767</v>
      </c>
      <c r="T2121" t="s">
        <v>13290</v>
      </c>
      <c r="U2121" t="s">
        <v>13290</v>
      </c>
      <c r="V2121" t="s">
        <v>13290</v>
      </c>
      <c r="W2121" t="s">
        <v>15377</v>
      </c>
      <c r="X2121">
        <v>20</v>
      </c>
      <c r="Y2121" t="s">
        <v>21934</v>
      </c>
      <c r="Z2121" t="s">
        <v>28451</v>
      </c>
      <c r="AA2121">
        <v>0.27988358486723242</v>
      </c>
      <c r="AB2121" t="str">
        <f>HYPERLINK("Melting_Curves/meltCurve_P11387_TOP1.pdf", "Melting_Curves/meltCurve_P11387_TOP1.pdf")</f>
        <v>Melting_Curves/meltCurve_P11387_TOP1.pdf</v>
      </c>
    </row>
    <row r="2122" spans="1:28" x14ac:dyDescent="0.25">
      <c r="A2122" t="s">
        <v>2126</v>
      </c>
      <c r="B2122">
        <v>0.99252571173614901</v>
      </c>
      <c r="C2122">
        <v>0.89681886657778898</v>
      </c>
      <c r="D2122">
        <v>0.81699304233411996</v>
      </c>
      <c r="E2122">
        <v>0.34559987080091498</v>
      </c>
      <c r="F2122">
        <v>0.21299789193706301</v>
      </c>
      <c r="G2122">
        <v>0.12986379866190501</v>
      </c>
      <c r="H2122">
        <v>0.100894469794977</v>
      </c>
      <c r="I2122">
        <v>0.11211012240255</v>
      </c>
      <c r="J2122">
        <v>9.9154527520049898E-2</v>
      </c>
      <c r="K2122">
        <v>9.1098372497643604E-2</v>
      </c>
      <c r="L2122">
        <v>1195.0027404646501</v>
      </c>
      <c r="M2122">
        <v>24.888423883381101</v>
      </c>
      <c r="N2122">
        <v>48.470290143649997</v>
      </c>
      <c r="O2122">
        <v>47.707642342309903</v>
      </c>
      <c r="P2122">
        <v>-0.116813333738055</v>
      </c>
      <c r="Q2122">
        <v>0.104352686083641</v>
      </c>
      <c r="R2122">
        <v>0.99323402082429701</v>
      </c>
      <c r="S2122" t="s">
        <v>8768</v>
      </c>
      <c r="T2122" t="s">
        <v>13290</v>
      </c>
      <c r="U2122" t="s">
        <v>13290</v>
      </c>
      <c r="V2122" t="s">
        <v>13290</v>
      </c>
      <c r="W2122" t="s">
        <v>15378</v>
      </c>
      <c r="X2122">
        <v>22</v>
      </c>
      <c r="Y2122" t="s">
        <v>21935</v>
      </c>
      <c r="Z2122" t="s">
        <v>28452</v>
      </c>
      <c r="AA2122">
        <v>0.35161342399998807</v>
      </c>
      <c r="AB2122" t="str">
        <f>HYPERLINK("Melting_Curves/meltCurve_P11388_TOP2A.pdf", "Melting_Curves/meltCurve_P11388_TOP2A.pdf")</f>
        <v>Melting_Curves/meltCurve_P11388_TOP2A.pdf</v>
      </c>
    </row>
    <row r="2123" spans="1:28" x14ac:dyDescent="0.25">
      <c r="A2123" t="s">
        <v>2127</v>
      </c>
      <c r="B2123">
        <v>0.99252571173614901</v>
      </c>
      <c r="C2123">
        <v>0.88673308321543998</v>
      </c>
      <c r="D2123">
        <v>0.98773635788310499</v>
      </c>
      <c r="E2123">
        <v>0.88233307685815598</v>
      </c>
      <c r="F2123">
        <v>0.632303902242357</v>
      </c>
      <c r="G2123">
        <v>0.22470747657493201</v>
      </c>
      <c r="H2123">
        <v>9.3544745653121E-2</v>
      </c>
      <c r="I2123">
        <v>8.3361239591485697E-2</v>
      </c>
      <c r="J2123">
        <v>8.9159683327389105E-2</v>
      </c>
      <c r="K2123">
        <v>9.4180810173363605E-2</v>
      </c>
      <c r="L2123">
        <v>1512.6563784089799</v>
      </c>
      <c r="M2123">
        <v>28.138058494173698</v>
      </c>
      <c r="N2123">
        <v>54.075414966797901</v>
      </c>
      <c r="O2123">
        <v>53.489050108821999</v>
      </c>
      <c r="P2123">
        <v>-0.121513869251589</v>
      </c>
      <c r="Q2123">
        <v>7.6040472845900195E-2</v>
      </c>
      <c r="R2123">
        <v>0.98968849757472899</v>
      </c>
      <c r="S2123" t="s">
        <v>8769</v>
      </c>
      <c r="T2123" t="s">
        <v>13290</v>
      </c>
      <c r="U2123" t="s">
        <v>13290</v>
      </c>
      <c r="V2123" t="s">
        <v>13290</v>
      </c>
      <c r="W2123" t="s">
        <v>15379</v>
      </c>
      <c r="X2123">
        <v>39</v>
      </c>
      <c r="Y2123" t="s">
        <v>21936</v>
      </c>
      <c r="Z2123" t="s">
        <v>28453</v>
      </c>
      <c r="AA2123">
        <v>0.50662528201531531</v>
      </c>
      <c r="AB2123" t="str">
        <f>HYPERLINK("Melting_Curves/meltCurve_P11413_G6PD.pdf", "Melting_Curves/meltCurve_P11413_G6PD.pdf")</f>
        <v>Melting_Curves/meltCurve_P11413_G6PD.pdf</v>
      </c>
    </row>
    <row r="2124" spans="1:28" x14ac:dyDescent="0.25">
      <c r="A2124" t="s">
        <v>2128</v>
      </c>
      <c r="B2124">
        <v>0.99252571173614901</v>
      </c>
      <c r="C2124">
        <v>0.94752727394283498</v>
      </c>
      <c r="D2124">
        <v>0.78518254883040794</v>
      </c>
      <c r="E2124">
        <v>0.498043201908762</v>
      </c>
      <c r="F2124">
        <v>0.28012119085616699</v>
      </c>
      <c r="G2124">
        <v>0.20643236585256899</v>
      </c>
      <c r="H2124">
        <v>0.183550637994602</v>
      </c>
      <c r="I2124">
        <v>0.21316766354220401</v>
      </c>
      <c r="J2124">
        <v>0.244054839894982</v>
      </c>
      <c r="K2124">
        <v>0.266957385740967</v>
      </c>
      <c r="L2124">
        <v>1109.43708471889</v>
      </c>
      <c r="M2124">
        <v>23.070367096314701</v>
      </c>
      <c r="N2124">
        <v>49.301177339923399</v>
      </c>
      <c r="O2124">
        <v>47.732321335807498</v>
      </c>
      <c r="P2124">
        <v>-9.4683251610025998E-2</v>
      </c>
      <c r="Q2124">
        <v>0.21642028902795901</v>
      </c>
      <c r="R2124">
        <v>0.99298307980228395</v>
      </c>
      <c r="S2124" t="s">
        <v>8770</v>
      </c>
      <c r="T2124" t="s">
        <v>13290</v>
      </c>
      <c r="U2124" t="s">
        <v>13290</v>
      </c>
      <c r="V2124" t="s">
        <v>13290</v>
      </c>
      <c r="W2124" t="s">
        <v>15380</v>
      </c>
      <c r="X2124">
        <v>10</v>
      </c>
      <c r="Y2124" t="s">
        <v>21937</v>
      </c>
      <c r="Z2124" t="s">
        <v>28454</v>
      </c>
      <c r="AA2124">
        <v>0.43591749053605172</v>
      </c>
      <c r="AB2124" t="str">
        <f>HYPERLINK("Melting_Curves/meltCurve_P11441_UBL4A.pdf", "Melting_Curves/meltCurve_P11441_UBL4A.pdf")</f>
        <v>Melting_Curves/meltCurve_P11441_UBL4A.pdf</v>
      </c>
    </row>
    <row r="2125" spans="1:28" x14ac:dyDescent="0.25">
      <c r="A2125" t="s">
        <v>2129</v>
      </c>
      <c r="B2125">
        <v>0.99252571173614901</v>
      </c>
      <c r="C2125">
        <v>0.93272078632719002</v>
      </c>
      <c r="D2125">
        <v>0.89961644264584295</v>
      </c>
      <c r="E2125">
        <v>0.74178607286779796</v>
      </c>
      <c r="F2125">
        <v>0.19338914158899201</v>
      </c>
      <c r="G2125">
        <v>0.114474834730521</v>
      </c>
      <c r="H2125">
        <v>7.7273356795425699E-2</v>
      </c>
      <c r="I2125">
        <v>8.4627868865339101E-2</v>
      </c>
      <c r="J2125">
        <v>9.3171625994103197E-2</v>
      </c>
      <c r="K2125">
        <v>8.6645604145222099E-2</v>
      </c>
      <c r="L2125">
        <v>1946.06241721735</v>
      </c>
      <c r="M2125">
        <v>38.3975635946097</v>
      </c>
      <c r="N2125">
        <v>50.930003719495801</v>
      </c>
      <c r="O2125">
        <v>50.545041870362603</v>
      </c>
      <c r="P2125">
        <v>-0.173719990757432</v>
      </c>
      <c r="Q2125">
        <v>8.5289585746228302E-2</v>
      </c>
      <c r="R2125">
        <v>0.99186302381533198</v>
      </c>
      <c r="S2125" t="s">
        <v>8771</v>
      </c>
      <c r="T2125" t="s">
        <v>13290</v>
      </c>
      <c r="U2125" t="s">
        <v>13290</v>
      </c>
      <c r="V2125" t="s">
        <v>13290</v>
      </c>
      <c r="W2125" t="s">
        <v>15381</v>
      </c>
      <c r="X2125">
        <v>50</v>
      </c>
      <c r="Y2125" t="s">
        <v>21938</v>
      </c>
      <c r="Z2125" t="s">
        <v>28455</v>
      </c>
      <c r="AA2125">
        <v>0.41446512545905467</v>
      </c>
      <c r="AB2125" t="str">
        <f>HYPERLINK("Melting_Curves/meltCurve_P11498_PC.pdf", "Melting_Curves/meltCurve_P11498_PC.pdf")</f>
        <v>Melting_Curves/meltCurve_P11498_PC.pdf</v>
      </c>
    </row>
    <row r="2126" spans="1:28" x14ac:dyDescent="0.25">
      <c r="A2126" t="s">
        <v>2130</v>
      </c>
      <c r="B2126">
        <v>0.99252571173614901</v>
      </c>
      <c r="C2126">
        <v>0.91647234684413503</v>
      </c>
      <c r="D2126">
        <v>1.09125297774441</v>
      </c>
      <c r="E2126">
        <v>0.97485673868834599</v>
      </c>
      <c r="F2126">
        <v>0.244744819959404</v>
      </c>
      <c r="G2126">
        <v>0.101716175782586</v>
      </c>
      <c r="H2126">
        <v>6.5637103283792297E-2</v>
      </c>
      <c r="I2126">
        <v>6.4145067446120002E-2</v>
      </c>
      <c r="J2126">
        <v>7.3963018419198598E-2</v>
      </c>
      <c r="K2126">
        <v>7.4576951003423694E-2</v>
      </c>
      <c r="L2126">
        <v>3671.7679163314501</v>
      </c>
      <c r="M2126">
        <v>70.507477326379203</v>
      </c>
      <c r="N2126">
        <v>52.197210722138102</v>
      </c>
      <c r="O2126">
        <v>52.034445392570603</v>
      </c>
      <c r="P2126">
        <v>-0.31322967375446398</v>
      </c>
      <c r="Q2126">
        <v>7.5347491271731806E-2</v>
      </c>
      <c r="R2126">
        <v>0.99166768373899605</v>
      </c>
      <c r="S2126" t="s">
        <v>8772</v>
      </c>
      <c r="T2126" t="s">
        <v>13290</v>
      </c>
      <c r="U2126" t="s">
        <v>13290</v>
      </c>
      <c r="V2126" t="s">
        <v>13290</v>
      </c>
      <c r="W2126" t="s">
        <v>15382</v>
      </c>
      <c r="X2126">
        <v>61</v>
      </c>
      <c r="Y2126" t="s">
        <v>21939</v>
      </c>
      <c r="Z2126" t="s">
        <v>28456</v>
      </c>
      <c r="AA2126">
        <v>0.44862508949444557</v>
      </c>
      <c r="AB2126" t="str">
        <f>HYPERLINK("Melting_Curves/meltCurve_P11586_MTHFD1.pdf", "Melting_Curves/meltCurve_P11586_MTHFD1.pdf")</f>
        <v>Melting_Curves/meltCurve_P11586_MTHFD1.pdf</v>
      </c>
    </row>
    <row r="2127" spans="1:28" x14ac:dyDescent="0.25">
      <c r="A2127" t="s">
        <v>2131</v>
      </c>
      <c r="B2127">
        <v>0.99252571173614901</v>
      </c>
      <c r="C2127">
        <v>0.88046325103685896</v>
      </c>
      <c r="D2127">
        <v>1.1375740490016299</v>
      </c>
      <c r="E2127">
        <v>1.13527579276211</v>
      </c>
      <c r="F2127">
        <v>0.78099332473029104</v>
      </c>
      <c r="G2127">
        <v>0.34311086003006103</v>
      </c>
      <c r="H2127">
        <v>0.22490445034443299</v>
      </c>
      <c r="I2127">
        <v>0.21655083378682199</v>
      </c>
      <c r="J2127">
        <v>0.25826506405685501</v>
      </c>
      <c r="K2127">
        <v>0.20521878475685901</v>
      </c>
      <c r="L2127">
        <v>2514.1482327284498</v>
      </c>
      <c r="M2127">
        <v>46.2090900279916</v>
      </c>
      <c r="N2127">
        <v>55.133763411027203</v>
      </c>
      <c r="O2127">
        <v>54.306488280295198</v>
      </c>
      <c r="P2127">
        <v>-0.16425747894623199</v>
      </c>
      <c r="Q2127">
        <v>0.22783715782177399</v>
      </c>
      <c r="R2127">
        <v>0.96148901245375096</v>
      </c>
      <c r="S2127" t="s">
        <v>8773</v>
      </c>
      <c r="T2127" t="s">
        <v>13290</v>
      </c>
      <c r="U2127" t="s">
        <v>13290</v>
      </c>
      <c r="V2127" t="s">
        <v>13290</v>
      </c>
      <c r="W2127" t="s">
        <v>15383</v>
      </c>
      <c r="X2127">
        <v>65</v>
      </c>
      <c r="Y2127" t="s">
        <v>21940</v>
      </c>
      <c r="Z2127" t="s">
        <v>28457</v>
      </c>
      <c r="AA2127">
        <v>0.60085348366462399</v>
      </c>
      <c r="AB2127" t="str">
        <f>HYPERLINK("Melting_Curves/meltCurve_P11717_IGF2R.pdf", "Melting_Curves/meltCurve_P11717_IGF2R.pdf")</f>
        <v>Melting_Curves/meltCurve_P11717_IGF2R.pdf</v>
      </c>
    </row>
    <row r="2128" spans="1:28" x14ac:dyDescent="0.25">
      <c r="A2128" t="s">
        <v>2132</v>
      </c>
      <c r="B2128">
        <v>0.99252571173614901</v>
      </c>
      <c r="C2128">
        <v>1.06714373831781</v>
      </c>
      <c r="D2128">
        <v>1.0097071446677801</v>
      </c>
      <c r="E2128">
        <v>0.94252165211491901</v>
      </c>
      <c r="F2128">
        <v>0.90012921684497005</v>
      </c>
      <c r="G2128">
        <v>0.83699542980139996</v>
      </c>
      <c r="H2128">
        <v>0.76280469695433895</v>
      </c>
      <c r="I2128">
        <v>0.77785103361750196</v>
      </c>
      <c r="J2128">
        <v>0.34699384129862099</v>
      </c>
      <c r="K2128">
        <v>0.19782664562081001</v>
      </c>
      <c r="L2128">
        <v>1209.6452822147701</v>
      </c>
      <c r="M2128">
        <v>18.411392343312599</v>
      </c>
      <c r="N2128">
        <v>65.700924275154193</v>
      </c>
      <c r="O2128">
        <v>64.940543646695104</v>
      </c>
      <c r="P2128">
        <v>-7.0881079449457401E-2</v>
      </c>
      <c r="Q2128">
        <v>0</v>
      </c>
      <c r="R2128">
        <v>0.91937512858354098</v>
      </c>
      <c r="S2128" t="s">
        <v>8774</v>
      </c>
      <c r="T2128" t="s">
        <v>13290</v>
      </c>
      <c r="U2128" t="s">
        <v>13290</v>
      </c>
      <c r="V2128" t="s">
        <v>13290</v>
      </c>
      <c r="W2128" t="s">
        <v>15384</v>
      </c>
      <c r="X2128">
        <v>19</v>
      </c>
      <c r="Y2128" t="s">
        <v>21941</v>
      </c>
      <c r="Z2128" t="s">
        <v>28458</v>
      </c>
      <c r="AA2128">
        <v>0.83532001744935613</v>
      </c>
      <c r="AB2128" t="str">
        <f>HYPERLINK("Melting_Curves/meltCurve_P11766_ADH5.pdf", "Melting_Curves/meltCurve_P11766_ADH5.pdf")</f>
        <v>Melting_Curves/meltCurve_P11766_ADH5.pdf</v>
      </c>
    </row>
    <row r="2129" spans="1:28" x14ac:dyDescent="0.25">
      <c r="A2129" t="s">
        <v>2133</v>
      </c>
      <c r="B2129">
        <v>0.99252571173614901</v>
      </c>
      <c r="C2129">
        <v>1.1125628088771899</v>
      </c>
      <c r="D2129">
        <v>1.3472288742712</v>
      </c>
      <c r="E2129">
        <v>4.1432421617837596</v>
      </c>
      <c r="F2129">
        <v>1.1482952017667201</v>
      </c>
      <c r="G2129">
        <v>0.80699454209359101</v>
      </c>
      <c r="H2129">
        <v>0.82225305455328801</v>
      </c>
      <c r="I2129">
        <v>1.3917388651120299</v>
      </c>
      <c r="J2129">
        <v>2.1594528495679701</v>
      </c>
      <c r="K2129">
        <v>1.2357324156870499</v>
      </c>
      <c r="L2129">
        <v>2562.6245952343202</v>
      </c>
      <c r="M2129">
        <v>58.085161119025699</v>
      </c>
      <c r="O2129">
        <v>44.066205162030101</v>
      </c>
      <c r="P2129">
        <v>0.164766835628123</v>
      </c>
      <c r="Q2129">
        <v>1.5</v>
      </c>
      <c r="R2129">
        <v>4.5679049722924699E-2</v>
      </c>
      <c r="S2129" t="s">
        <v>8775</v>
      </c>
      <c r="T2129" t="s">
        <v>13290</v>
      </c>
      <c r="U2129" t="s">
        <v>13290</v>
      </c>
      <c r="V2129" t="s">
        <v>13290</v>
      </c>
      <c r="W2129" t="s">
        <v>15385</v>
      </c>
      <c r="X2129">
        <v>1</v>
      </c>
      <c r="Y2129" t="s">
        <v>21942</v>
      </c>
      <c r="Z2129" t="s">
        <v>28459</v>
      </c>
      <c r="AA2129">
        <v>1.4306144907435701</v>
      </c>
      <c r="AB2129" t="str">
        <f>HYPERLINK("Melting_Curves/meltCurve_P11801_PSKH1.pdf", "Melting_Curves/meltCurve_P11801_PSKH1.pdf")</f>
        <v>Melting_Curves/meltCurve_P11801_PSKH1.pdf</v>
      </c>
    </row>
    <row r="2130" spans="1:28" x14ac:dyDescent="0.25">
      <c r="A2130" t="s">
        <v>2134</v>
      </c>
      <c r="B2130">
        <v>0.99252571173614901</v>
      </c>
      <c r="C2130">
        <v>0.87569870371205405</v>
      </c>
      <c r="D2130">
        <v>0.66167178302624297</v>
      </c>
      <c r="E2130">
        <v>0.47048842670905799</v>
      </c>
      <c r="F2130">
        <v>0.33239948211731202</v>
      </c>
      <c r="G2130">
        <v>0.21792709169351901</v>
      </c>
      <c r="H2130">
        <v>0.15910217998635301</v>
      </c>
      <c r="I2130">
        <v>0.12135282866248701</v>
      </c>
      <c r="J2130">
        <v>0.12865637842865099</v>
      </c>
      <c r="K2130">
        <v>0.113738692307973</v>
      </c>
      <c r="L2130">
        <v>647.30331310363499</v>
      </c>
      <c r="M2130">
        <v>13.399323164373699</v>
      </c>
      <c r="N2130">
        <v>49.171187950692101</v>
      </c>
      <c r="O2130">
        <v>47.270725929237898</v>
      </c>
      <c r="P2130">
        <v>-6.3453002881929205E-2</v>
      </c>
      <c r="Q2130">
        <v>0.10473141640524899</v>
      </c>
      <c r="R2130">
        <v>0.99539945229679005</v>
      </c>
      <c r="S2130" t="s">
        <v>8776</v>
      </c>
      <c r="T2130" t="s">
        <v>13290</v>
      </c>
      <c r="U2130" t="s">
        <v>13290</v>
      </c>
      <c r="V2130" t="s">
        <v>13290</v>
      </c>
      <c r="W2130" t="s">
        <v>15386</v>
      </c>
      <c r="X2130">
        <v>7</v>
      </c>
      <c r="Y2130" t="s">
        <v>21943</v>
      </c>
      <c r="Z2130" t="s">
        <v>28460</v>
      </c>
      <c r="AA2130">
        <v>0.38084230652565709</v>
      </c>
      <c r="AB2130" t="str">
        <f>HYPERLINK("Melting_Curves/meltCurve_P11802_CDK4.pdf", "Melting_Curves/meltCurve_P11802_CDK4.pdf")</f>
        <v>Melting_Curves/meltCurve_P11802_CDK4.pdf</v>
      </c>
    </row>
    <row r="2131" spans="1:28" x14ac:dyDescent="0.25">
      <c r="A2131" t="s">
        <v>2135</v>
      </c>
      <c r="B2131">
        <v>0.99252571173614901</v>
      </c>
      <c r="C2131">
        <v>0.79605111281878804</v>
      </c>
      <c r="D2131">
        <v>0.95937088995539199</v>
      </c>
      <c r="E2131">
        <v>0.7187391324604</v>
      </c>
      <c r="F2131">
        <v>1.01152154235847</v>
      </c>
      <c r="G2131">
        <v>0.83198799671038304</v>
      </c>
      <c r="H2131">
        <v>0.67892638786181703</v>
      </c>
      <c r="I2131">
        <v>0.27201321832698699</v>
      </c>
      <c r="J2131">
        <v>0.15600400351719601</v>
      </c>
      <c r="K2131">
        <v>0.14469268780552799</v>
      </c>
      <c r="L2131">
        <v>1529.55918156078</v>
      </c>
      <c r="M2131">
        <v>24.846687609864599</v>
      </c>
      <c r="N2131">
        <v>61.918644006805302</v>
      </c>
      <c r="O2131">
        <v>61.165283629911997</v>
      </c>
      <c r="P2131">
        <v>-9.4748503652058405E-2</v>
      </c>
      <c r="Q2131">
        <v>6.7040450646391206E-2</v>
      </c>
      <c r="R2131">
        <v>0.86986491477722505</v>
      </c>
      <c r="S2131" t="s">
        <v>8777</v>
      </c>
      <c r="T2131" t="s">
        <v>13290</v>
      </c>
      <c r="U2131" t="s">
        <v>13290</v>
      </c>
      <c r="V2131" t="s">
        <v>13290</v>
      </c>
      <c r="W2131" t="s">
        <v>15387</v>
      </c>
      <c r="X2131">
        <v>8</v>
      </c>
      <c r="Y2131" t="s">
        <v>21944</v>
      </c>
      <c r="Z2131" t="s">
        <v>28461</v>
      </c>
      <c r="AA2131">
        <v>0.74257893478255055</v>
      </c>
      <c r="AB2131" t="str">
        <f>HYPERLINK("Melting_Curves/meltCurve_P11908_PRPS2.pdf", "Melting_Curves/meltCurve_P11908_PRPS2.pdf")</f>
        <v>Melting_Curves/meltCurve_P11908_PRPS2.pdf</v>
      </c>
    </row>
    <row r="2132" spans="1:28" x14ac:dyDescent="0.25">
      <c r="A2132" t="s">
        <v>2136</v>
      </c>
      <c r="B2132">
        <v>0.99252571173614901</v>
      </c>
      <c r="C2132">
        <v>1.14057515530924</v>
      </c>
      <c r="D2132">
        <v>0.73973085379054404</v>
      </c>
      <c r="E2132">
        <v>0.70333602692188202</v>
      </c>
      <c r="F2132">
        <v>0.12543301875262</v>
      </c>
      <c r="G2132">
        <v>0.134576690977669</v>
      </c>
      <c r="H2132">
        <v>0.10753251027129999</v>
      </c>
      <c r="I2132">
        <v>0.13743220025007399</v>
      </c>
      <c r="J2132">
        <v>0.18458257782881399</v>
      </c>
      <c r="K2132">
        <v>0.186276072207925</v>
      </c>
      <c r="S2132" t="s">
        <v>8778</v>
      </c>
      <c r="T2132" t="s">
        <v>13290</v>
      </c>
      <c r="U2132" t="s">
        <v>13291</v>
      </c>
      <c r="V2132" t="s">
        <v>13290</v>
      </c>
      <c r="W2132" t="s">
        <v>15388</v>
      </c>
      <c r="X2132">
        <v>43</v>
      </c>
      <c r="Y2132" t="s">
        <v>21945</v>
      </c>
      <c r="Z2132" t="s">
        <v>28462</v>
      </c>
      <c r="AB2132" t="str">
        <f>HYPERLINK("Melting_Curves/meltCurve_P11940_2_PABPC1.pdf", "Melting_Curves/meltCurve_P11940_2_PABPC1.pdf")</f>
        <v>Melting_Curves/meltCurve_P11940_2_PABPC1.pdf</v>
      </c>
    </row>
    <row r="2133" spans="1:28" x14ac:dyDescent="0.25">
      <c r="A2133" t="s">
        <v>2137</v>
      </c>
      <c r="B2133">
        <v>0.99252571173614901</v>
      </c>
      <c r="C2133">
        <v>1.07355646378822</v>
      </c>
      <c r="D2133">
        <v>1.0096240567872301</v>
      </c>
      <c r="E2133">
        <v>0.96348224560762397</v>
      </c>
      <c r="F2133">
        <v>0.831280802336547</v>
      </c>
      <c r="G2133">
        <v>0.59267693808267197</v>
      </c>
      <c r="H2133">
        <v>0.30331330302020798</v>
      </c>
      <c r="I2133">
        <v>0.110917687977064</v>
      </c>
      <c r="J2133">
        <v>8.0957340278799694E-2</v>
      </c>
      <c r="K2133">
        <v>7.6906193988478505E-2</v>
      </c>
      <c r="L2133">
        <v>1154.0679934873799</v>
      </c>
      <c r="M2133">
        <v>20.0188945562086</v>
      </c>
      <c r="N2133">
        <v>57.824345112044803</v>
      </c>
      <c r="O2133">
        <v>57.082929104740003</v>
      </c>
      <c r="P2133">
        <v>-8.5094566233180999E-2</v>
      </c>
      <c r="Q2133">
        <v>2.9459007880172201E-2</v>
      </c>
      <c r="R2133">
        <v>0.99487975204907497</v>
      </c>
      <c r="S2133" t="s">
        <v>8779</v>
      </c>
      <c r="T2133" t="s">
        <v>13290</v>
      </c>
      <c r="U2133" t="s">
        <v>13290</v>
      </c>
      <c r="V2133" t="s">
        <v>13290</v>
      </c>
      <c r="W2133" t="s">
        <v>15389</v>
      </c>
      <c r="X2133">
        <v>24</v>
      </c>
      <c r="Y2133" t="s">
        <v>21946</v>
      </c>
      <c r="Z2133" t="s">
        <v>28463</v>
      </c>
      <c r="AA2133">
        <v>0.61175606205434185</v>
      </c>
      <c r="AB2133" t="str">
        <f>HYPERLINK("Melting_Curves/meltCurve_P12004_PCNA.pdf", "Melting_Curves/meltCurve_P12004_PCNA.pdf")</f>
        <v>Melting_Curves/meltCurve_P12004_PCNA.pdf</v>
      </c>
    </row>
    <row r="2134" spans="1:28" x14ac:dyDescent="0.25">
      <c r="A2134" t="s">
        <v>2138</v>
      </c>
      <c r="B2134">
        <v>0.99252571173614901</v>
      </c>
      <c r="C2134">
        <v>0.97516101756090201</v>
      </c>
      <c r="D2134">
        <v>0.94291296314719197</v>
      </c>
      <c r="E2134">
        <v>0.84045060160069696</v>
      </c>
      <c r="F2134">
        <v>0.59834304319146803</v>
      </c>
      <c r="G2134">
        <v>0.18866253638149</v>
      </c>
      <c r="H2134">
        <v>8.6537999191068901E-2</v>
      </c>
      <c r="I2134">
        <v>8.5276215260853605E-2</v>
      </c>
      <c r="J2134">
        <v>8.2926005946634102E-2</v>
      </c>
      <c r="K2134">
        <v>7.8932137519493906E-2</v>
      </c>
      <c r="L2134">
        <v>1348.0906138292701</v>
      </c>
      <c r="M2134">
        <v>25.259264328973298</v>
      </c>
      <c r="N2134">
        <v>53.658894209457699</v>
      </c>
      <c r="O2134">
        <v>53.039007141606803</v>
      </c>
      <c r="P2134">
        <v>-0.111495519694693</v>
      </c>
      <c r="Q2134">
        <v>6.3545913682782396E-2</v>
      </c>
      <c r="R2134">
        <v>0.99452562325832805</v>
      </c>
      <c r="S2134" t="s">
        <v>8780</v>
      </c>
      <c r="T2134" t="s">
        <v>13290</v>
      </c>
      <c r="U2134" t="s">
        <v>13290</v>
      </c>
      <c r="V2134" t="s">
        <v>13290</v>
      </c>
      <c r="W2134" t="s">
        <v>15390</v>
      </c>
      <c r="X2134">
        <v>36</v>
      </c>
      <c r="Y2134" t="s">
        <v>21947</v>
      </c>
      <c r="Z2134" t="s">
        <v>28464</v>
      </c>
      <c r="AA2134">
        <v>0.48937492749537082</v>
      </c>
      <c r="AB2134" t="str">
        <f>HYPERLINK("Melting_Curves/meltCurve_P12081_HARS.pdf", "Melting_Curves/meltCurve_P12081_HARS.pdf")</f>
        <v>Melting_Curves/meltCurve_P12081_HARS.pdf</v>
      </c>
    </row>
    <row r="2135" spans="1:28" x14ac:dyDescent="0.25">
      <c r="A2135" t="s">
        <v>2139</v>
      </c>
      <c r="B2135">
        <v>0.99252571173614901</v>
      </c>
      <c r="C2135">
        <v>1.09369596863591</v>
      </c>
      <c r="D2135">
        <v>0.97004483383247897</v>
      </c>
      <c r="E2135">
        <v>0.82662898321505995</v>
      </c>
      <c r="F2135">
        <v>0.41811012094648597</v>
      </c>
      <c r="G2135">
        <v>0.24926085269207801</v>
      </c>
      <c r="H2135">
        <v>0.19762102996542599</v>
      </c>
      <c r="I2135">
        <v>0.230394105750128</v>
      </c>
      <c r="J2135">
        <v>0.31176863888025502</v>
      </c>
      <c r="K2135">
        <v>0.250761087357598</v>
      </c>
      <c r="L2135">
        <v>1830.3069261266801</v>
      </c>
      <c r="M2135">
        <v>35.669557579179802</v>
      </c>
      <c r="N2135">
        <v>52.292928078906499</v>
      </c>
      <c r="O2135">
        <v>51.152376672532696</v>
      </c>
      <c r="P2135">
        <v>-0.13183466309670699</v>
      </c>
      <c r="Q2135">
        <v>0.24376585875614901</v>
      </c>
      <c r="R2135">
        <v>0.98618288163484003</v>
      </c>
      <c r="S2135" t="s">
        <v>8781</v>
      </c>
      <c r="T2135" t="s">
        <v>13290</v>
      </c>
      <c r="U2135" t="s">
        <v>13290</v>
      </c>
      <c r="V2135" t="s">
        <v>13290</v>
      </c>
      <c r="W2135" t="s">
        <v>15391</v>
      </c>
      <c r="X2135">
        <v>18</v>
      </c>
      <c r="Y2135" t="s">
        <v>21948</v>
      </c>
      <c r="Z2135" t="s">
        <v>28465</v>
      </c>
      <c r="AA2135">
        <v>0.53231552851566788</v>
      </c>
      <c r="AB2135" t="str">
        <f>HYPERLINK("Melting_Curves/meltCurve_P12109_COL6A1.pdf", "Melting_Curves/meltCurve_P12109_COL6A1.pdf")</f>
        <v>Melting_Curves/meltCurve_P12109_COL6A1.pdf</v>
      </c>
    </row>
    <row r="2136" spans="1:28" x14ac:dyDescent="0.25">
      <c r="A2136" t="s">
        <v>2140</v>
      </c>
      <c r="B2136">
        <v>0.99252571173614901</v>
      </c>
      <c r="C2136">
        <v>0.90965637975285596</v>
      </c>
      <c r="D2136">
        <v>0.83648661236474597</v>
      </c>
      <c r="E2136">
        <v>0.75146638479592398</v>
      </c>
      <c r="F2136">
        <v>0.68879381946495299</v>
      </c>
      <c r="G2136">
        <v>0.57633279464759601</v>
      </c>
      <c r="H2136">
        <v>0.51999327121370797</v>
      </c>
      <c r="I2136">
        <v>0.69188469276833198</v>
      </c>
      <c r="J2136">
        <v>0.94932507370172203</v>
      </c>
      <c r="K2136">
        <v>0.68202001907792498</v>
      </c>
      <c r="L2136">
        <v>987.74148287252103</v>
      </c>
      <c r="M2136">
        <v>21.718316263669699</v>
      </c>
      <c r="O2136">
        <v>45.099341826045197</v>
      </c>
      <c r="P2136">
        <v>-3.7872981497595E-2</v>
      </c>
      <c r="Q2136">
        <v>0.68542565235737796</v>
      </c>
      <c r="R2136">
        <v>0.50530851720176695</v>
      </c>
      <c r="S2136" t="s">
        <v>8782</v>
      </c>
      <c r="T2136" t="s">
        <v>13290</v>
      </c>
      <c r="U2136" t="s">
        <v>13290</v>
      </c>
      <c r="V2136" t="s">
        <v>13290</v>
      </c>
      <c r="W2136" t="s">
        <v>15392</v>
      </c>
      <c r="X2136">
        <v>26</v>
      </c>
      <c r="Y2136" t="s">
        <v>21949</v>
      </c>
      <c r="Z2136" t="s">
        <v>28466</v>
      </c>
      <c r="AA2136">
        <v>0.74706814708745595</v>
      </c>
      <c r="AB2136" t="str">
        <f>HYPERLINK("Melting_Curves/meltCurve_P12235_SLC25A4.pdf", "Melting_Curves/meltCurve_P12235_SLC25A4.pdf")</f>
        <v>Melting_Curves/meltCurve_P12235_SLC25A4.pdf</v>
      </c>
    </row>
    <row r="2137" spans="1:28" x14ac:dyDescent="0.25">
      <c r="A2137" t="s">
        <v>2141</v>
      </c>
      <c r="B2137">
        <v>0.99252571173614901</v>
      </c>
      <c r="C2137">
        <v>0.87881421775304902</v>
      </c>
      <c r="D2137">
        <v>0.87026050428603197</v>
      </c>
      <c r="E2137">
        <v>0.70208941392531099</v>
      </c>
      <c r="F2137">
        <v>0.70235122065998401</v>
      </c>
      <c r="G2137">
        <v>0.58530872192238703</v>
      </c>
      <c r="H2137">
        <v>0.50511018837640098</v>
      </c>
      <c r="I2137">
        <v>0.67869492025925104</v>
      </c>
      <c r="J2137">
        <v>0.97638404458924499</v>
      </c>
      <c r="K2137">
        <v>0.75765862159503905</v>
      </c>
      <c r="L2137">
        <v>1004.29538508324</v>
      </c>
      <c r="M2137">
        <v>22.287652352576401</v>
      </c>
      <c r="O2137">
        <v>44.702563979497697</v>
      </c>
      <c r="P2137">
        <v>-3.7635143339680897E-2</v>
      </c>
      <c r="Q2137">
        <v>0.69806570122913403</v>
      </c>
      <c r="R2137">
        <v>0.41207957769806403</v>
      </c>
      <c r="S2137" t="s">
        <v>8783</v>
      </c>
      <c r="T2137" t="s">
        <v>13290</v>
      </c>
      <c r="U2137" t="s">
        <v>13290</v>
      </c>
      <c r="V2137" t="s">
        <v>13290</v>
      </c>
      <c r="W2137" t="s">
        <v>15393</v>
      </c>
      <c r="X2137">
        <v>27</v>
      </c>
      <c r="Y2137" t="s">
        <v>21950</v>
      </c>
      <c r="Z2137" t="s">
        <v>28467</v>
      </c>
      <c r="AA2137">
        <v>0.75293199339064409</v>
      </c>
      <c r="AB2137" t="str">
        <f>HYPERLINK("Melting_Curves/meltCurve_P12236_SLC25A6.pdf", "Melting_Curves/meltCurve_P12236_SLC25A6.pdf")</f>
        <v>Melting_Curves/meltCurve_P12236_SLC25A6.pdf</v>
      </c>
    </row>
    <row r="2138" spans="1:28" x14ac:dyDescent="0.25">
      <c r="A2138" t="s">
        <v>2142</v>
      </c>
      <c r="B2138">
        <v>0.99252571173614901</v>
      </c>
      <c r="C2138">
        <v>0.96845304216094197</v>
      </c>
      <c r="D2138">
        <v>1.1763043260822501</v>
      </c>
      <c r="E2138">
        <v>1.0627551580141299</v>
      </c>
      <c r="F2138">
        <v>0.95444868114338799</v>
      </c>
      <c r="G2138">
        <v>0.67212009604960898</v>
      </c>
      <c r="H2138">
        <v>0.64465806321161101</v>
      </c>
      <c r="I2138">
        <v>0.64174356629732499</v>
      </c>
      <c r="J2138">
        <v>0.72650380216144905</v>
      </c>
      <c r="K2138">
        <v>0.66973205281645098</v>
      </c>
      <c r="L2138">
        <v>6694.79367309185</v>
      </c>
      <c r="M2138">
        <v>124.012621590273</v>
      </c>
      <c r="O2138">
        <v>53.970741819462802</v>
      </c>
      <c r="P2138">
        <v>-0.18910101604263399</v>
      </c>
      <c r="Q2138">
        <v>0.67081022171885696</v>
      </c>
      <c r="R2138">
        <v>0.88752636854549805</v>
      </c>
      <c r="S2138" t="s">
        <v>8784</v>
      </c>
      <c r="T2138" t="s">
        <v>13290</v>
      </c>
      <c r="U2138" t="s">
        <v>13290</v>
      </c>
      <c r="V2138" t="s">
        <v>13290</v>
      </c>
      <c r="W2138" t="s">
        <v>15394</v>
      </c>
      <c r="X2138">
        <v>12</v>
      </c>
      <c r="Y2138" t="s">
        <v>21951</v>
      </c>
      <c r="Z2138" t="s">
        <v>28468</v>
      </c>
      <c r="AA2138">
        <v>0.82439190556325692</v>
      </c>
      <c r="AB2138" t="str">
        <f>HYPERLINK("Melting_Curves/meltCurve_P12268_IMPDH2.pdf", "Melting_Curves/meltCurve_P12268_IMPDH2.pdf")</f>
        <v>Melting_Curves/meltCurve_P12268_IMPDH2.pdf</v>
      </c>
    </row>
    <row r="2139" spans="1:28" x14ac:dyDescent="0.25">
      <c r="A2139" t="s">
        <v>2143</v>
      </c>
      <c r="B2139">
        <v>0.99252571173614901</v>
      </c>
      <c r="C2139">
        <v>0.95259646151612298</v>
      </c>
      <c r="D2139">
        <v>0.83581008668972001</v>
      </c>
      <c r="E2139">
        <v>0.41004803955223301</v>
      </c>
      <c r="F2139">
        <v>0.32190505693089499</v>
      </c>
      <c r="G2139">
        <v>0.219484548736958</v>
      </c>
      <c r="H2139">
        <v>0.188948406393316</v>
      </c>
      <c r="I2139">
        <v>0.21739452742869</v>
      </c>
      <c r="J2139">
        <v>0.28713118082827899</v>
      </c>
      <c r="K2139">
        <v>0.28124726898084901</v>
      </c>
      <c r="L2139">
        <v>1463.8996658419101</v>
      </c>
      <c r="M2139">
        <v>30.647699464666399</v>
      </c>
      <c r="N2139">
        <v>48.832504727667597</v>
      </c>
      <c r="O2139">
        <v>47.563412195452599</v>
      </c>
      <c r="P2139">
        <v>-0.121771665676169</v>
      </c>
      <c r="Q2139">
        <v>0.24407476830059499</v>
      </c>
      <c r="R2139">
        <v>0.98794946787537397</v>
      </c>
      <c r="S2139" t="s">
        <v>8785</v>
      </c>
      <c r="T2139" t="s">
        <v>13290</v>
      </c>
      <c r="U2139" t="s">
        <v>13290</v>
      </c>
      <c r="V2139" t="s">
        <v>13290</v>
      </c>
      <c r="W2139" t="s">
        <v>15395</v>
      </c>
      <c r="X2139">
        <v>113</v>
      </c>
      <c r="Y2139" t="s">
        <v>21952</v>
      </c>
      <c r="Z2139" t="s">
        <v>28469</v>
      </c>
      <c r="AA2139">
        <v>0.4440857892869215</v>
      </c>
      <c r="AB2139" t="str">
        <f>HYPERLINK("Melting_Curves/meltCurve_P12270_TPR.pdf", "Melting_Curves/meltCurve_P12270_TPR.pdf")</f>
        <v>Melting_Curves/meltCurve_P12270_TPR.pdf</v>
      </c>
    </row>
    <row r="2140" spans="1:28" x14ac:dyDescent="0.25">
      <c r="A2140" t="s">
        <v>2144</v>
      </c>
      <c r="B2140">
        <v>0.99252571173614901</v>
      </c>
      <c r="C2140">
        <v>1.08756275858591</v>
      </c>
      <c r="D2140">
        <v>0.86575070566688295</v>
      </c>
      <c r="E2140">
        <v>0.70631317791863202</v>
      </c>
      <c r="F2140">
        <v>0.215647356928821</v>
      </c>
      <c r="G2140">
        <v>0.108249611053406</v>
      </c>
      <c r="H2140">
        <v>6.9107099819748399E-2</v>
      </c>
      <c r="I2140">
        <v>6.5027477488292698E-2</v>
      </c>
      <c r="J2140">
        <v>6.8941833695775404E-2</v>
      </c>
      <c r="K2140">
        <v>6.4838384692182699E-2</v>
      </c>
      <c r="L2140">
        <v>1505.64146935551</v>
      </c>
      <c r="M2140">
        <v>29.7343683462041</v>
      </c>
      <c r="N2140">
        <v>50.867673996257203</v>
      </c>
      <c r="O2140">
        <v>50.409025698722502</v>
      </c>
      <c r="P2140">
        <v>-0.138143193544388</v>
      </c>
      <c r="Q2140">
        <v>6.3223164006791593E-2</v>
      </c>
      <c r="R2140">
        <v>0.989012033816698</v>
      </c>
      <c r="S2140" t="s">
        <v>8786</v>
      </c>
      <c r="T2140" t="s">
        <v>13290</v>
      </c>
      <c r="U2140" t="s">
        <v>13290</v>
      </c>
      <c r="V2140" t="s">
        <v>13290</v>
      </c>
      <c r="W2140" t="s">
        <v>15396</v>
      </c>
      <c r="X2140">
        <v>30</v>
      </c>
      <c r="Y2140" t="s">
        <v>21953</v>
      </c>
      <c r="Z2140" t="s">
        <v>28470</v>
      </c>
      <c r="AA2140">
        <v>0.40131477673216082</v>
      </c>
      <c r="AB2140" t="str">
        <f>HYPERLINK("Melting_Curves/meltCurve_P12277_CKB.pdf", "Melting_Curves/meltCurve_P12277_CKB.pdf")</f>
        <v>Melting_Curves/meltCurve_P12277_CKB.pdf</v>
      </c>
    </row>
    <row r="2141" spans="1:28" x14ac:dyDescent="0.25">
      <c r="A2141" t="s">
        <v>2145</v>
      </c>
      <c r="B2141">
        <v>0.99252571173614901</v>
      </c>
      <c r="C2141">
        <v>1.0699234404383999</v>
      </c>
      <c r="D2141">
        <v>0.97944590423300104</v>
      </c>
      <c r="E2141">
        <v>0.870031528611097</v>
      </c>
      <c r="F2141">
        <v>0.32742718668607901</v>
      </c>
      <c r="G2141">
        <v>0.113637166900262</v>
      </c>
      <c r="H2141">
        <v>7.8329156629852001E-2</v>
      </c>
      <c r="I2141">
        <v>8.0971034115620996E-2</v>
      </c>
      <c r="J2141">
        <v>9.0012052521614094E-2</v>
      </c>
      <c r="K2141">
        <v>8.9340924401091495E-2</v>
      </c>
      <c r="L2141">
        <v>2055.0961533572499</v>
      </c>
      <c r="M2141">
        <v>39.644180413977502</v>
      </c>
      <c r="N2141">
        <v>52.080733893681</v>
      </c>
      <c r="O2141">
        <v>51.707157730104299</v>
      </c>
      <c r="P2141">
        <v>-0.17554077736760301</v>
      </c>
      <c r="Q2141">
        <v>8.4183865475045E-2</v>
      </c>
      <c r="R2141">
        <v>0.99702265203402496</v>
      </c>
      <c r="S2141" t="s">
        <v>8787</v>
      </c>
      <c r="T2141" t="s">
        <v>13290</v>
      </c>
      <c r="U2141" t="s">
        <v>13290</v>
      </c>
      <c r="V2141" t="s">
        <v>13290</v>
      </c>
      <c r="W2141" t="s">
        <v>15397</v>
      </c>
      <c r="X2141">
        <v>7</v>
      </c>
      <c r="Y2141" t="s">
        <v>21954</v>
      </c>
      <c r="Z2141" t="s">
        <v>28471</v>
      </c>
      <c r="AA2141">
        <v>0.44892094261980803</v>
      </c>
      <c r="AB2141" t="str">
        <f>HYPERLINK("Melting_Curves/meltCurve_P12429_ANXA3.pdf", "Melting_Curves/meltCurve_P12429_ANXA3.pdf")</f>
        <v>Melting_Curves/meltCurve_P12429_ANXA3.pdf</v>
      </c>
    </row>
    <row r="2142" spans="1:28" x14ac:dyDescent="0.25">
      <c r="A2142" t="s">
        <v>2146</v>
      </c>
      <c r="B2142">
        <v>0.99252571173614901</v>
      </c>
      <c r="C2142">
        <v>0.96984092278117995</v>
      </c>
      <c r="D2142">
        <v>1.0605412917436201</v>
      </c>
      <c r="E2142">
        <v>1.1495779381443501</v>
      </c>
      <c r="F2142">
        <v>1.4185493417936099</v>
      </c>
      <c r="G2142">
        <v>1.16148318895018</v>
      </c>
      <c r="H2142">
        <v>1.1806608006461199</v>
      </c>
      <c r="I2142">
        <v>1.35093880277276</v>
      </c>
      <c r="J2142">
        <v>1.5013909854879599</v>
      </c>
      <c r="K2142">
        <v>0.91900805214960402</v>
      </c>
      <c r="L2142">
        <v>12382.806656508499</v>
      </c>
      <c r="M2142">
        <v>250</v>
      </c>
      <c r="O2142">
        <v>49.528046166411798</v>
      </c>
      <c r="P2142">
        <v>0.32221449660470503</v>
      </c>
      <c r="Q2142">
        <v>1.2553385269289301</v>
      </c>
      <c r="R2142">
        <v>0.35001647777357903</v>
      </c>
      <c r="S2142" t="s">
        <v>8788</v>
      </c>
      <c r="T2142" t="s">
        <v>13290</v>
      </c>
      <c r="U2142" t="s">
        <v>13290</v>
      </c>
      <c r="V2142" t="s">
        <v>13290</v>
      </c>
      <c r="W2142" t="s">
        <v>15398</v>
      </c>
      <c r="X2142">
        <v>24</v>
      </c>
      <c r="Y2142" t="s">
        <v>21955</v>
      </c>
      <c r="Z2142" t="s">
        <v>28472</v>
      </c>
      <c r="AA2142">
        <v>1.1741933523524251</v>
      </c>
      <c r="AB2142" t="str">
        <f>HYPERLINK("Melting_Curves/meltCurve_P12532_CKMT1A.pdf", "Melting_Curves/meltCurve_P12532_CKMT1A.pdf")</f>
        <v>Melting_Curves/meltCurve_P12532_CKMT1A.pdf</v>
      </c>
    </row>
    <row r="2143" spans="1:28" x14ac:dyDescent="0.25">
      <c r="A2143" t="s">
        <v>2147</v>
      </c>
      <c r="B2143">
        <v>0.99252571173614901</v>
      </c>
      <c r="C2143">
        <v>1.14140017135018</v>
      </c>
      <c r="D2143">
        <v>0.86148658211598395</v>
      </c>
      <c r="E2143">
        <v>0.78047035960314903</v>
      </c>
      <c r="F2143">
        <v>0.45080003925957901</v>
      </c>
      <c r="G2143">
        <v>0.39308602545198101</v>
      </c>
      <c r="H2143">
        <v>0.31253735652919101</v>
      </c>
      <c r="I2143">
        <v>0.36359143889875301</v>
      </c>
      <c r="J2143">
        <v>0.65417470550573897</v>
      </c>
      <c r="K2143">
        <v>0.70871366686028503</v>
      </c>
      <c r="L2143">
        <v>2332.8344813733802</v>
      </c>
      <c r="M2143">
        <v>46.871531767852296</v>
      </c>
      <c r="N2143">
        <v>53.3103075062076</v>
      </c>
      <c r="O2143">
        <v>49.6804737926984</v>
      </c>
      <c r="P2143">
        <v>-0.123182079406591</v>
      </c>
      <c r="Q2143">
        <v>0.47774377386914602</v>
      </c>
      <c r="R2143">
        <v>0.76252087964438797</v>
      </c>
      <c r="S2143" t="s">
        <v>8789</v>
      </c>
      <c r="T2143" t="s">
        <v>13290</v>
      </c>
      <c r="U2143" t="s">
        <v>13290</v>
      </c>
      <c r="V2143" t="s">
        <v>13290</v>
      </c>
      <c r="W2143" t="s">
        <v>15399</v>
      </c>
      <c r="X2143">
        <v>1</v>
      </c>
      <c r="Y2143" t="s">
        <v>21956</v>
      </c>
      <c r="Z2143" t="s">
        <v>28473</v>
      </c>
      <c r="AA2143">
        <v>0.6491452814616685</v>
      </c>
      <c r="AB2143" t="str">
        <f>HYPERLINK("Melting_Curves/meltCurve_P12755_SKI.pdf", "Melting_Curves/meltCurve_P12755_SKI.pdf")</f>
        <v>Melting_Curves/meltCurve_P12755_SKI.pdf</v>
      </c>
    </row>
    <row r="2144" spans="1:28" x14ac:dyDescent="0.25">
      <c r="A2144" t="s">
        <v>2148</v>
      </c>
      <c r="B2144">
        <v>0.99252571173614901</v>
      </c>
      <c r="C2144">
        <v>0.94387339423245598</v>
      </c>
      <c r="D2144">
        <v>0.93337293889126205</v>
      </c>
      <c r="E2144">
        <v>0.90780717621488005</v>
      </c>
      <c r="F2144">
        <v>0.80681130823708602</v>
      </c>
      <c r="G2144">
        <v>0.47783506262252701</v>
      </c>
      <c r="H2144">
        <v>9.3970621284400202E-2</v>
      </c>
      <c r="I2144">
        <v>7.6534251504993406E-2</v>
      </c>
      <c r="J2144">
        <v>7.4386007544361199E-2</v>
      </c>
      <c r="K2144">
        <v>6.8449439872773105E-2</v>
      </c>
      <c r="L2144">
        <v>1450.0808417017799</v>
      </c>
      <c r="M2144">
        <v>25.863400208932401</v>
      </c>
      <c r="N2144">
        <v>56.259304116704001</v>
      </c>
      <c r="O2144">
        <v>55.734945486582099</v>
      </c>
      <c r="P2144">
        <v>-0.11110187352239601</v>
      </c>
      <c r="Q2144">
        <v>4.2324923695535498E-2</v>
      </c>
      <c r="R2144">
        <v>0.98950604207380699</v>
      </c>
      <c r="S2144" t="s">
        <v>8790</v>
      </c>
      <c r="T2144" t="s">
        <v>13290</v>
      </c>
      <c r="U2144" t="s">
        <v>13290</v>
      </c>
      <c r="V2144" t="s">
        <v>13290</v>
      </c>
      <c r="W2144" t="s">
        <v>15400</v>
      </c>
      <c r="X2144">
        <v>59</v>
      </c>
      <c r="Y2144" t="s">
        <v>21957</v>
      </c>
      <c r="Z2144" t="s">
        <v>28474</v>
      </c>
      <c r="AA2144">
        <v>0.56351904769476779</v>
      </c>
      <c r="AB2144" t="str">
        <f>HYPERLINK("Melting_Curves/meltCurve_P12814_2_ACTN1.pdf", "Melting_Curves/meltCurve_P12814_2_ACTN1.pdf")</f>
        <v>Melting_Curves/meltCurve_P12814_2_ACTN1.pdf</v>
      </c>
    </row>
    <row r="2145" spans="1:28" x14ac:dyDescent="0.25">
      <c r="A2145" t="s">
        <v>2149</v>
      </c>
      <c r="B2145">
        <v>0.99252571173614901</v>
      </c>
      <c r="C2145">
        <v>0.97188794792132305</v>
      </c>
      <c r="D2145">
        <v>1.00698779431845</v>
      </c>
      <c r="E2145">
        <v>1.03081987618891</v>
      </c>
      <c r="F2145">
        <v>0.85570786227794504</v>
      </c>
      <c r="G2145">
        <v>0.63686656324864899</v>
      </c>
      <c r="H2145">
        <v>0.48729893972236998</v>
      </c>
      <c r="I2145">
        <v>0.53494428593087495</v>
      </c>
      <c r="J2145">
        <v>0.77158420769326297</v>
      </c>
      <c r="K2145">
        <v>0.66225727245381505</v>
      </c>
      <c r="L2145">
        <v>3605.9562790672799</v>
      </c>
      <c r="M2145">
        <v>67.260061297582396</v>
      </c>
      <c r="O2145">
        <v>53.564815902733201</v>
      </c>
      <c r="P2145">
        <v>-0.12031953477686</v>
      </c>
      <c r="Q2145">
        <v>0.616718057888757</v>
      </c>
      <c r="R2145">
        <v>0.86418034281126799</v>
      </c>
      <c r="S2145" t="s">
        <v>8791</v>
      </c>
      <c r="T2145" t="s">
        <v>13290</v>
      </c>
      <c r="U2145" t="s">
        <v>13290</v>
      </c>
      <c r="V2145" t="s">
        <v>13290</v>
      </c>
      <c r="W2145" t="s">
        <v>15401</v>
      </c>
      <c r="X2145">
        <v>15</v>
      </c>
      <c r="Y2145" t="s">
        <v>21958</v>
      </c>
      <c r="Z2145" t="s">
        <v>28475</v>
      </c>
      <c r="AA2145">
        <v>0.79112736468763212</v>
      </c>
      <c r="AB2145" t="str">
        <f>HYPERLINK("Melting_Curves/meltCurve_P12830_CDH1.pdf", "Melting_Curves/meltCurve_P12830_CDH1.pdf")</f>
        <v>Melting_Curves/meltCurve_P12830_CDH1.pdf</v>
      </c>
    </row>
    <row r="2146" spans="1:28" x14ac:dyDescent="0.25">
      <c r="A2146" t="s">
        <v>2150</v>
      </c>
      <c r="B2146">
        <v>0.99252571173614901</v>
      </c>
      <c r="C2146">
        <v>0.95121543327580005</v>
      </c>
      <c r="D2146">
        <v>0.94110651126302802</v>
      </c>
      <c r="E2146">
        <v>0.76058591447109303</v>
      </c>
      <c r="F2146">
        <v>0.90099186631474604</v>
      </c>
      <c r="G2146">
        <v>0.67360624292759996</v>
      </c>
      <c r="H2146">
        <v>0.49782555359144298</v>
      </c>
      <c r="I2146">
        <v>0.239632203208374</v>
      </c>
      <c r="J2146">
        <v>0.12994251577295399</v>
      </c>
      <c r="K2146">
        <v>0.112813961293053</v>
      </c>
      <c r="L2146">
        <v>809.50224659833998</v>
      </c>
      <c r="M2146">
        <v>13.5832990430557</v>
      </c>
      <c r="N2146">
        <v>59.595408018585402</v>
      </c>
      <c r="O2146">
        <v>58.348232450342003</v>
      </c>
      <c r="P2146">
        <v>-5.8207940730968799E-2</v>
      </c>
      <c r="Q2146">
        <v>0</v>
      </c>
      <c r="R2146">
        <v>0.95648232321302895</v>
      </c>
      <c r="S2146" t="s">
        <v>8792</v>
      </c>
      <c r="T2146" t="s">
        <v>13290</v>
      </c>
      <c r="U2146" t="s">
        <v>13290</v>
      </c>
      <c r="V2146" t="s">
        <v>13290</v>
      </c>
      <c r="W2146" t="s">
        <v>15402</v>
      </c>
      <c r="X2146">
        <v>22</v>
      </c>
      <c r="Y2146" t="s">
        <v>21959</v>
      </c>
      <c r="Z2146" t="s">
        <v>28476</v>
      </c>
      <c r="AA2146">
        <v>0.66035638703701205</v>
      </c>
      <c r="AB2146" t="str">
        <f>HYPERLINK("Melting_Curves/meltCurve_P12955_PEPD.pdf", "Melting_Curves/meltCurve_P12955_PEPD.pdf")</f>
        <v>Melting_Curves/meltCurve_P12955_PEPD.pdf</v>
      </c>
    </row>
    <row r="2147" spans="1:28" x14ac:dyDescent="0.25">
      <c r="A2147" t="s">
        <v>2151</v>
      </c>
      <c r="B2147">
        <v>0.99252571173614901</v>
      </c>
      <c r="C2147">
        <v>0.82622624316154503</v>
      </c>
      <c r="D2147">
        <v>2.2245758469849002</v>
      </c>
      <c r="E2147">
        <v>1.07168006162407</v>
      </c>
      <c r="F2147">
        <v>0.51275587931322097</v>
      </c>
      <c r="G2147">
        <v>0.17819919574682999</v>
      </c>
      <c r="H2147">
        <v>9.9587128915092499E-2</v>
      </c>
      <c r="I2147">
        <v>9.1746812094145896E-2</v>
      </c>
      <c r="J2147">
        <v>9.298074002942E-2</v>
      </c>
      <c r="K2147">
        <v>9.1319689818365496E-2</v>
      </c>
      <c r="L2147">
        <v>4141.5921917399501</v>
      </c>
      <c r="M2147">
        <v>78.025579084881201</v>
      </c>
      <c r="N2147">
        <v>53.2483995261465</v>
      </c>
      <c r="O2147">
        <v>53.045091963735402</v>
      </c>
      <c r="P2147">
        <v>-0.32751324081501798</v>
      </c>
      <c r="Q2147">
        <v>0.109370662143098</v>
      </c>
      <c r="R2147">
        <v>0.63952739253997204</v>
      </c>
      <c r="S2147" t="s">
        <v>8793</v>
      </c>
      <c r="T2147" t="s">
        <v>13290</v>
      </c>
      <c r="U2147" t="s">
        <v>13290</v>
      </c>
      <c r="V2147" t="s">
        <v>13290</v>
      </c>
      <c r="W2147" t="s">
        <v>15403</v>
      </c>
      <c r="X2147">
        <v>33</v>
      </c>
      <c r="Y2147" t="s">
        <v>21960</v>
      </c>
      <c r="Z2147" t="s">
        <v>28477</v>
      </c>
      <c r="AA2147">
        <v>0.49853643651652801</v>
      </c>
      <c r="AB2147" t="str">
        <f>HYPERLINK("Melting_Curves/meltCurve_P12956_XRCC6.pdf", "Melting_Curves/meltCurve_P12956_XRCC6.pdf")</f>
        <v>Melting_Curves/meltCurve_P12956_XRCC6.pdf</v>
      </c>
    </row>
    <row r="2148" spans="1:28" x14ac:dyDescent="0.25">
      <c r="A2148" t="s">
        <v>2152</v>
      </c>
      <c r="B2148">
        <v>0.99252571173614901</v>
      </c>
      <c r="C2148">
        <v>0.89116896613295404</v>
      </c>
      <c r="D2148">
        <v>0.82500814782013199</v>
      </c>
      <c r="E2148">
        <v>0.42609601911419798</v>
      </c>
      <c r="F2148">
        <v>0.332751263987211</v>
      </c>
      <c r="G2148">
        <v>0.12754707542296401</v>
      </c>
      <c r="H2148">
        <v>8.1909713566522005E-2</v>
      </c>
      <c r="I2148">
        <v>8.0398054878624406E-2</v>
      </c>
      <c r="J2148">
        <v>9.1652619800657698E-2</v>
      </c>
      <c r="K2148">
        <v>9.3464141955175606E-2</v>
      </c>
      <c r="L2148">
        <v>845.58971760953204</v>
      </c>
      <c r="M2148">
        <v>17.252616464229099</v>
      </c>
      <c r="N2148">
        <v>49.467855078781497</v>
      </c>
      <c r="O2148">
        <v>48.367990326353201</v>
      </c>
      <c r="P2148">
        <v>-8.2628097473790504E-2</v>
      </c>
      <c r="Q2148">
        <v>7.3457163077939799E-2</v>
      </c>
      <c r="R2148">
        <v>0.98835090914490498</v>
      </c>
      <c r="S2148" t="s">
        <v>8794</v>
      </c>
      <c r="T2148" t="s">
        <v>13290</v>
      </c>
      <c r="U2148" t="s">
        <v>13290</v>
      </c>
      <c r="V2148" t="s">
        <v>13290</v>
      </c>
      <c r="W2148" t="s">
        <v>15404</v>
      </c>
      <c r="X2148">
        <v>27</v>
      </c>
      <c r="Y2148" t="s">
        <v>21961</v>
      </c>
      <c r="Z2148" t="s">
        <v>28478</v>
      </c>
      <c r="AA2148">
        <v>0.3692506464668609</v>
      </c>
      <c r="AB2148" t="str">
        <f>HYPERLINK("Melting_Curves/meltCurve_P13010_XRCC5.pdf", "Melting_Curves/meltCurve_P13010_XRCC5.pdf")</f>
        <v>Melting_Curves/meltCurve_P13010_XRCC5.pdf</v>
      </c>
    </row>
    <row r="2149" spans="1:28" x14ac:dyDescent="0.25">
      <c r="A2149" t="s">
        <v>2153</v>
      </c>
      <c r="B2149">
        <v>0.99252571173614901</v>
      </c>
      <c r="C2149">
        <v>1.0836618981561701</v>
      </c>
      <c r="D2149">
        <v>0.98257590885019896</v>
      </c>
      <c r="E2149">
        <v>0.60278348348136401</v>
      </c>
      <c r="F2149">
        <v>0.120615016705109</v>
      </c>
      <c r="G2149">
        <v>6.6885787901165894E-2</v>
      </c>
      <c r="H2149">
        <v>3.6743818775663697E-2</v>
      </c>
      <c r="I2149">
        <v>3.7131288743174201E-2</v>
      </c>
      <c r="J2149">
        <v>2.97134582045568E-2</v>
      </c>
      <c r="K2149">
        <v>3.84326687578588E-2</v>
      </c>
      <c r="L2149">
        <v>2047.7964753374399</v>
      </c>
      <c r="M2149">
        <v>40.926953683577104</v>
      </c>
      <c r="N2149">
        <v>50.138855245479697</v>
      </c>
      <c r="O2149">
        <v>49.916387711177897</v>
      </c>
      <c r="P2149">
        <v>-0.19667930381054699</v>
      </c>
      <c r="Q2149">
        <v>4.0485480573103201E-2</v>
      </c>
      <c r="R2149">
        <v>0.99591747866546898</v>
      </c>
      <c r="S2149" t="s">
        <v>8795</v>
      </c>
      <c r="T2149" t="s">
        <v>13290</v>
      </c>
      <c r="U2149" t="s">
        <v>13290</v>
      </c>
      <c r="V2149" t="s">
        <v>13290</v>
      </c>
      <c r="W2149" t="s">
        <v>15405</v>
      </c>
      <c r="X2149">
        <v>9</v>
      </c>
      <c r="Y2149" t="s">
        <v>21962</v>
      </c>
      <c r="Z2149" t="s">
        <v>28479</v>
      </c>
      <c r="AA2149">
        <v>0.36462559142849121</v>
      </c>
      <c r="AB2149" t="str">
        <f>HYPERLINK("Melting_Curves/meltCurve_P13051_UNG.pdf", "Melting_Curves/meltCurve_P13051_UNG.pdf")</f>
        <v>Melting_Curves/meltCurve_P13051_UNG.pdf</v>
      </c>
    </row>
    <row r="2150" spans="1:28" x14ac:dyDescent="0.25">
      <c r="A2150" t="s">
        <v>2154</v>
      </c>
      <c r="B2150">
        <v>0.99252571173614901</v>
      </c>
      <c r="C2150">
        <v>1.13833298294993</v>
      </c>
      <c r="D2150">
        <v>0.70790129020467096</v>
      </c>
      <c r="E2150">
        <v>0.54747004411004896</v>
      </c>
      <c r="F2150">
        <v>0.20089860688401301</v>
      </c>
      <c r="G2150">
        <v>0.115059545071882</v>
      </c>
      <c r="H2150">
        <v>9.8164801475156396E-2</v>
      </c>
      <c r="I2150">
        <v>0.141628467322891</v>
      </c>
      <c r="J2150">
        <v>0.155615798130362</v>
      </c>
      <c r="K2150">
        <v>0.211786055525816</v>
      </c>
      <c r="L2150">
        <v>1160.6924016537</v>
      </c>
      <c r="M2150">
        <v>23.854977893998601</v>
      </c>
      <c r="N2150">
        <v>49.315598161205799</v>
      </c>
      <c r="O2150">
        <v>48.318111235657298</v>
      </c>
      <c r="P2150">
        <v>-0.106574361312285</v>
      </c>
      <c r="Q2150">
        <v>0.13655069967118799</v>
      </c>
      <c r="R2150">
        <v>0.95576488309320695</v>
      </c>
      <c r="S2150" t="s">
        <v>8796</v>
      </c>
      <c r="T2150" t="s">
        <v>13290</v>
      </c>
      <c r="U2150" t="s">
        <v>13290</v>
      </c>
      <c r="V2150" t="s">
        <v>13290</v>
      </c>
      <c r="W2150" t="s">
        <v>15406</v>
      </c>
      <c r="X2150">
        <v>1</v>
      </c>
      <c r="Y2150" t="s">
        <v>21963</v>
      </c>
      <c r="Z2150" t="s">
        <v>28480</v>
      </c>
      <c r="AA2150">
        <v>0.39411038517074959</v>
      </c>
      <c r="AB2150" t="str">
        <f>HYPERLINK("Melting_Curves/meltCurve_P13056_NR2C1.pdf", "Melting_Curves/meltCurve_P13056_NR2C1.pdf")</f>
        <v>Melting_Curves/meltCurve_P13056_NR2C1.pdf</v>
      </c>
    </row>
    <row r="2151" spans="1:28" x14ac:dyDescent="0.25">
      <c r="A2151" t="s">
        <v>2155</v>
      </c>
      <c r="B2151">
        <v>0.99252571173614901</v>
      </c>
      <c r="C2151">
        <v>0.98608744151136696</v>
      </c>
      <c r="D2151">
        <v>0.94683755714705797</v>
      </c>
      <c r="E2151">
        <v>0.86999346118412901</v>
      </c>
      <c r="F2151">
        <v>0.72641290486244803</v>
      </c>
      <c r="G2151">
        <v>0.63067960833453796</v>
      </c>
      <c r="H2151">
        <v>0.61253770216999603</v>
      </c>
      <c r="I2151">
        <v>1.0145165721735201</v>
      </c>
      <c r="J2151">
        <v>2.1192584259762599</v>
      </c>
      <c r="K2151">
        <v>1.96618765523162</v>
      </c>
      <c r="L2151">
        <v>15000</v>
      </c>
      <c r="M2151">
        <v>231.2619684535</v>
      </c>
      <c r="O2151">
        <v>64.856659688950501</v>
      </c>
      <c r="P2151">
        <v>0.44571748293684998</v>
      </c>
      <c r="Q2151">
        <v>1.5</v>
      </c>
      <c r="R2151">
        <v>0.60590086382872199</v>
      </c>
      <c r="S2151" t="s">
        <v>8797</v>
      </c>
      <c r="T2151" t="s">
        <v>13290</v>
      </c>
      <c r="U2151" t="s">
        <v>13290</v>
      </c>
      <c r="V2151" t="s">
        <v>13290</v>
      </c>
      <c r="W2151" t="s">
        <v>15407</v>
      </c>
      <c r="X2151">
        <v>19</v>
      </c>
      <c r="Y2151" t="s">
        <v>21964</v>
      </c>
      <c r="Z2151" t="s">
        <v>28481</v>
      </c>
      <c r="AA2151">
        <v>1.0855750200164771</v>
      </c>
      <c r="AB2151" t="str">
        <f>HYPERLINK("Melting_Curves/meltCurve_P13073_COX4I1.pdf", "Melting_Curves/meltCurve_P13073_COX4I1.pdf")</f>
        <v>Melting_Curves/meltCurve_P13073_COX4I1.pdf</v>
      </c>
    </row>
    <row r="2152" spans="1:28" x14ac:dyDescent="0.25">
      <c r="A2152" t="s">
        <v>2156</v>
      </c>
      <c r="B2152">
        <v>0.99252571173614901</v>
      </c>
      <c r="C2152">
        <v>0.89242493055320005</v>
      </c>
      <c r="D2152">
        <v>0.85456716955722301</v>
      </c>
      <c r="E2152">
        <v>0.59339398437740198</v>
      </c>
      <c r="F2152">
        <v>0.37388669669326602</v>
      </c>
      <c r="G2152">
        <v>0.20921845240793699</v>
      </c>
      <c r="H2152">
        <v>0.14815275407748599</v>
      </c>
      <c r="I2152">
        <v>0.13764595578503599</v>
      </c>
      <c r="J2152">
        <v>0.15153683394304901</v>
      </c>
      <c r="K2152">
        <v>0.15813282949874799</v>
      </c>
      <c r="L2152">
        <v>836.27127879955697</v>
      </c>
      <c r="M2152">
        <v>16.726411537185001</v>
      </c>
      <c r="N2152">
        <v>50.882812084245202</v>
      </c>
      <c r="O2152">
        <v>49.298808285956198</v>
      </c>
      <c r="P2152">
        <v>-7.4113034667548303E-2</v>
      </c>
      <c r="Q2152">
        <v>0.12630545565394399</v>
      </c>
      <c r="R2152">
        <v>0.99499669784581901</v>
      </c>
      <c r="S2152" t="s">
        <v>8798</v>
      </c>
      <c r="T2152" t="s">
        <v>13290</v>
      </c>
      <c r="U2152" t="s">
        <v>13290</v>
      </c>
      <c r="V2152" t="s">
        <v>13290</v>
      </c>
      <c r="W2152" t="s">
        <v>15408</v>
      </c>
      <c r="X2152">
        <v>7</v>
      </c>
      <c r="Y2152" t="s">
        <v>21965</v>
      </c>
      <c r="Z2152" t="s">
        <v>28482</v>
      </c>
      <c r="AA2152">
        <v>0.43455158321613752</v>
      </c>
      <c r="AB2152" t="str">
        <f>HYPERLINK("Melting_Curves/meltCurve_P13196_ALAS1.pdf", "Melting_Curves/meltCurve_P13196_ALAS1.pdf")</f>
        <v>Melting_Curves/meltCurve_P13196_ALAS1.pdf</v>
      </c>
    </row>
    <row r="2153" spans="1:28" x14ac:dyDescent="0.25">
      <c r="A2153" t="s">
        <v>2157</v>
      </c>
      <c r="B2153">
        <v>0.99252571173614901</v>
      </c>
      <c r="C2153">
        <v>1.07496919669818</v>
      </c>
      <c r="D2153">
        <v>0.97285969958191199</v>
      </c>
      <c r="E2153">
        <v>0.93890230215933401</v>
      </c>
      <c r="F2153">
        <v>0.82911315750072501</v>
      </c>
      <c r="G2153">
        <v>0.59149005960642898</v>
      </c>
      <c r="H2153">
        <v>0.44094209488882802</v>
      </c>
      <c r="I2153">
        <v>0.29134708395912001</v>
      </c>
      <c r="J2153">
        <v>0.28818565299377302</v>
      </c>
      <c r="K2153">
        <v>0.24040587100541</v>
      </c>
      <c r="L2153">
        <v>981.41586128292295</v>
      </c>
      <c r="M2153">
        <v>17.260587640053199</v>
      </c>
      <c r="N2153">
        <v>58.817901824673299</v>
      </c>
      <c r="O2153">
        <v>56.112036077567502</v>
      </c>
      <c r="P2153">
        <v>-6.0093054398823301E-2</v>
      </c>
      <c r="Q2153">
        <v>0.21862509236959499</v>
      </c>
      <c r="R2153">
        <v>0.99104081594402404</v>
      </c>
      <c r="S2153" t="s">
        <v>8799</v>
      </c>
      <c r="T2153" t="s">
        <v>13290</v>
      </c>
      <c r="U2153" t="s">
        <v>13290</v>
      </c>
      <c r="V2153" t="s">
        <v>13290</v>
      </c>
      <c r="W2153" t="s">
        <v>15409</v>
      </c>
      <c r="X2153">
        <v>5</v>
      </c>
      <c r="Y2153" t="s">
        <v>21966</v>
      </c>
      <c r="Z2153" t="s">
        <v>28483</v>
      </c>
      <c r="AA2153">
        <v>0.66902418644425066</v>
      </c>
      <c r="AB2153" t="str">
        <f>HYPERLINK("Melting_Curves/meltCurve_P13284_IFI30.pdf", "Melting_Curves/meltCurve_P13284_IFI30.pdf")</f>
        <v>Melting_Curves/meltCurve_P13284_IFI30.pdf</v>
      </c>
    </row>
    <row r="2154" spans="1:28" x14ac:dyDescent="0.25">
      <c r="A2154" t="s">
        <v>2158</v>
      </c>
      <c r="B2154">
        <v>0.99252571173614901</v>
      </c>
      <c r="C2154">
        <v>1.06884294188649</v>
      </c>
      <c r="D2154">
        <v>0.94237379936629995</v>
      </c>
      <c r="E2154">
        <v>0.83148349298952695</v>
      </c>
      <c r="F2154">
        <v>0.230851918004463</v>
      </c>
      <c r="G2154">
        <v>0.114619050844062</v>
      </c>
      <c r="H2154">
        <v>7.07073074969196E-2</v>
      </c>
      <c r="I2154">
        <v>6.7354171279173994E-2</v>
      </c>
      <c r="J2154">
        <v>7.7323023768414406E-2</v>
      </c>
      <c r="K2154">
        <v>7.3094179901670706E-2</v>
      </c>
      <c r="L2154">
        <v>2201.1674660947801</v>
      </c>
      <c r="M2154">
        <v>42.9266412139661</v>
      </c>
      <c r="N2154">
        <v>51.476510318210302</v>
      </c>
      <c r="O2154">
        <v>51.166514854518198</v>
      </c>
      <c r="P2154">
        <v>-0.19369841699699</v>
      </c>
      <c r="Q2154">
        <v>7.6484275038180893E-2</v>
      </c>
      <c r="R2154">
        <v>0.99541061809432796</v>
      </c>
      <c r="S2154" t="s">
        <v>8800</v>
      </c>
      <c r="T2154" t="s">
        <v>13290</v>
      </c>
      <c r="U2154" t="s">
        <v>13290</v>
      </c>
      <c r="V2154" t="s">
        <v>13290</v>
      </c>
      <c r="W2154" t="s">
        <v>15410</v>
      </c>
      <c r="X2154">
        <v>28</v>
      </c>
      <c r="Y2154" t="s">
        <v>21967</v>
      </c>
      <c r="Z2154" t="s">
        <v>28484</v>
      </c>
      <c r="AA2154">
        <v>0.42648588310151908</v>
      </c>
      <c r="AB2154" t="str">
        <f>HYPERLINK("Melting_Curves/meltCurve_P13489_RNH1.pdf", "Melting_Curves/meltCurve_P13489_RNH1.pdf")</f>
        <v>Melting_Curves/meltCurve_P13489_RNH1.pdf</v>
      </c>
    </row>
    <row r="2155" spans="1:28" x14ac:dyDescent="0.25">
      <c r="A2155" t="s">
        <v>2159</v>
      </c>
      <c r="B2155">
        <v>0.99252571173614901</v>
      </c>
      <c r="C2155">
        <v>1.0489940509109399</v>
      </c>
      <c r="D2155">
        <v>0.92871070672658596</v>
      </c>
      <c r="E2155">
        <v>0.90633242223606103</v>
      </c>
      <c r="F2155">
        <v>0.60850954673302304</v>
      </c>
      <c r="G2155">
        <v>0.39944386822945899</v>
      </c>
      <c r="H2155">
        <v>0.215576909677172</v>
      </c>
      <c r="I2155">
        <v>0.18789231855737501</v>
      </c>
      <c r="J2155">
        <v>0.20906617709553399</v>
      </c>
      <c r="K2155">
        <v>0.15997815371292501</v>
      </c>
      <c r="L2155">
        <v>1118.7902210699999</v>
      </c>
      <c r="M2155">
        <v>20.797750161733202</v>
      </c>
      <c r="N2155">
        <v>54.864131963762802</v>
      </c>
      <c r="O2155">
        <v>53.303880685055802</v>
      </c>
      <c r="P2155">
        <v>-8.1279707901013201E-2</v>
      </c>
      <c r="Q2155">
        <v>0.166755421210841</v>
      </c>
      <c r="R2155">
        <v>0.99310905266413796</v>
      </c>
      <c r="S2155" t="s">
        <v>8801</v>
      </c>
      <c r="T2155" t="s">
        <v>13290</v>
      </c>
      <c r="U2155" t="s">
        <v>13290</v>
      </c>
      <c r="V2155" t="s">
        <v>13290</v>
      </c>
      <c r="W2155" t="s">
        <v>15411</v>
      </c>
      <c r="X2155">
        <v>2</v>
      </c>
      <c r="Y2155" t="s">
        <v>21968</v>
      </c>
      <c r="Z2155" t="s">
        <v>28485</v>
      </c>
      <c r="AA2155">
        <v>0.56052474609967506</v>
      </c>
      <c r="AB2155" t="str">
        <f>HYPERLINK("Melting_Curves/meltCurve_P13498_CYBA.pdf", "Melting_Curves/meltCurve_P13498_CYBA.pdf")</f>
        <v>Melting_Curves/meltCurve_P13498_CYBA.pdf</v>
      </c>
    </row>
    <row r="2156" spans="1:28" x14ac:dyDescent="0.25">
      <c r="A2156" t="s">
        <v>2160</v>
      </c>
      <c r="B2156">
        <v>0.99252571173614901</v>
      </c>
      <c r="C2156">
        <v>0.95782908342088602</v>
      </c>
      <c r="D2156">
        <v>0.79731768518454704</v>
      </c>
      <c r="E2156">
        <v>0.63837149384827196</v>
      </c>
      <c r="F2156">
        <v>0.56690749875825197</v>
      </c>
      <c r="G2156">
        <v>0.43767153849606</v>
      </c>
      <c r="H2156">
        <v>0.40690516858783798</v>
      </c>
      <c r="I2156">
        <v>0.512736291155512</v>
      </c>
      <c r="J2156">
        <v>0.78900926049553199</v>
      </c>
      <c r="K2156">
        <v>0.85944094180961905</v>
      </c>
      <c r="L2156">
        <v>1546.2570038577501</v>
      </c>
      <c r="M2156">
        <v>33.645888028490603</v>
      </c>
      <c r="O2156">
        <v>45.795355582188499</v>
      </c>
      <c r="P2156">
        <v>-7.4127429859084298E-2</v>
      </c>
      <c r="Q2156">
        <v>0.59642284554486602</v>
      </c>
      <c r="R2156">
        <v>0.56654219728268895</v>
      </c>
      <c r="S2156" t="s">
        <v>8802</v>
      </c>
      <c r="T2156" t="s">
        <v>13290</v>
      </c>
      <c r="U2156" t="s">
        <v>13290</v>
      </c>
      <c r="V2156" t="s">
        <v>13290</v>
      </c>
      <c r="W2156" t="s">
        <v>15412</v>
      </c>
      <c r="X2156">
        <v>6</v>
      </c>
      <c r="Y2156" t="s">
        <v>21969</v>
      </c>
      <c r="Z2156" t="s">
        <v>28486</v>
      </c>
      <c r="AA2156">
        <v>0.67846382562767926</v>
      </c>
      <c r="AB2156" t="str">
        <f>HYPERLINK("Melting_Curves/meltCurve_P13521_SCG2.pdf", "Melting_Curves/meltCurve_P13521_SCG2.pdf")</f>
        <v>Melting_Curves/meltCurve_P13521_SCG2.pdf</v>
      </c>
    </row>
    <row r="2157" spans="1:28" x14ac:dyDescent="0.25">
      <c r="A2157" t="s">
        <v>2161</v>
      </c>
      <c r="B2157">
        <v>0.99252571173614901</v>
      </c>
      <c r="C2157">
        <v>1.11002100199069</v>
      </c>
      <c r="D2157">
        <v>0.94335735851601998</v>
      </c>
      <c r="E2157">
        <v>1.06977828792545</v>
      </c>
      <c r="F2157">
        <v>0.85043535860472097</v>
      </c>
      <c r="G2157">
        <v>0.74518736181651501</v>
      </c>
      <c r="H2157">
        <v>0.29399138866382801</v>
      </c>
      <c r="I2157">
        <v>8.2088984641125004E-2</v>
      </c>
      <c r="J2157">
        <v>7.9312522463887897E-2</v>
      </c>
      <c r="K2157">
        <v>7.2050943313487298E-2</v>
      </c>
      <c r="L2157">
        <v>1606.7484230933801</v>
      </c>
      <c r="M2157">
        <v>27.450073447644499</v>
      </c>
      <c r="N2157">
        <v>58.711402947259103</v>
      </c>
      <c r="O2157">
        <v>58.225479191401803</v>
      </c>
      <c r="P2157">
        <v>-0.11315836414662001</v>
      </c>
      <c r="Q2157">
        <v>3.9909473766931901E-2</v>
      </c>
      <c r="R2157">
        <v>0.98093670799447696</v>
      </c>
      <c r="S2157" t="s">
        <v>8803</v>
      </c>
      <c r="T2157" t="s">
        <v>13290</v>
      </c>
      <c r="U2157" t="s">
        <v>13290</v>
      </c>
      <c r="V2157" t="s">
        <v>13290</v>
      </c>
      <c r="W2157" t="s">
        <v>15413</v>
      </c>
      <c r="X2157">
        <v>81</v>
      </c>
      <c r="Y2157" t="s">
        <v>21970</v>
      </c>
      <c r="Z2157" t="s">
        <v>28487</v>
      </c>
      <c r="AA2157">
        <v>0.64018075313684675</v>
      </c>
      <c r="AB2157" t="str">
        <f>HYPERLINK("Melting_Curves/meltCurve_P13639_EEF2.pdf", "Melting_Curves/meltCurve_P13639_EEF2.pdf")</f>
        <v>Melting_Curves/meltCurve_P13639_EEF2.pdf</v>
      </c>
    </row>
    <row r="2158" spans="1:28" x14ac:dyDescent="0.25">
      <c r="A2158" t="s">
        <v>2162</v>
      </c>
      <c r="B2158">
        <v>0.99252571173614901</v>
      </c>
      <c r="C2158">
        <v>1.6897415298563701</v>
      </c>
      <c r="D2158">
        <v>1.35817492889914</v>
      </c>
      <c r="E2158">
        <v>4.4464600043900999</v>
      </c>
      <c r="F2158">
        <v>1.5547620343362301</v>
      </c>
      <c r="G2158">
        <v>1.2001544633799299</v>
      </c>
      <c r="H2158">
        <v>1.2049307354465699</v>
      </c>
      <c r="I2158">
        <v>3.3068661946436002</v>
      </c>
      <c r="J2158">
        <v>4.2056035123459097</v>
      </c>
      <c r="K2158">
        <v>6.3628119286726497</v>
      </c>
      <c r="L2158">
        <v>10285.394210049901</v>
      </c>
      <c r="M2158">
        <v>250</v>
      </c>
      <c r="O2158">
        <v>41.138944033472498</v>
      </c>
      <c r="P2158">
        <v>0.75962085942219004</v>
      </c>
      <c r="Q2158">
        <v>1.5</v>
      </c>
      <c r="R2158">
        <v>-0.41065817214050199</v>
      </c>
      <c r="S2158" t="s">
        <v>8804</v>
      </c>
      <c r="T2158" t="s">
        <v>13290</v>
      </c>
      <c r="U2158" t="s">
        <v>13290</v>
      </c>
      <c r="V2158" t="s">
        <v>13290</v>
      </c>
      <c r="W2158" t="s">
        <v>15414</v>
      </c>
      <c r="X2158">
        <v>4</v>
      </c>
      <c r="Y2158" t="s">
        <v>21971</v>
      </c>
      <c r="Z2158" t="s">
        <v>28488</v>
      </c>
      <c r="AA2158">
        <v>1.4809355686716881</v>
      </c>
      <c r="AB2158" t="str">
        <f>HYPERLINK("Melting_Curves/meltCurve_P13640_2_MT1G.pdf", "Melting_Curves/meltCurve_P13640_2_MT1G.pdf")</f>
        <v>Melting_Curves/meltCurve_P13640_2_MT1G.pdf</v>
      </c>
    </row>
    <row r="2159" spans="1:28" x14ac:dyDescent="0.25">
      <c r="A2159" t="s">
        <v>2163</v>
      </c>
      <c r="B2159">
        <v>0.99252571173614901</v>
      </c>
      <c r="C2159">
        <v>1.0671255106161199</v>
      </c>
      <c r="D2159">
        <v>0.88874987396479899</v>
      </c>
      <c r="E2159">
        <v>0.61974559737584201</v>
      </c>
      <c r="F2159">
        <v>0.25528129163890101</v>
      </c>
      <c r="G2159">
        <v>0.13810563536231499</v>
      </c>
      <c r="H2159">
        <v>0.10118990264391101</v>
      </c>
      <c r="I2159">
        <v>0.107740171702795</v>
      </c>
      <c r="J2159">
        <v>0.13970384218267101</v>
      </c>
      <c r="K2159">
        <v>0.119755816165317</v>
      </c>
      <c r="L2159">
        <v>1360.7037955349699</v>
      </c>
      <c r="M2159">
        <v>27.199519546752899</v>
      </c>
      <c r="N2159">
        <v>50.5003314820339</v>
      </c>
      <c r="O2159">
        <v>49.758687670571099</v>
      </c>
      <c r="P2159">
        <v>-0.121274714330284</v>
      </c>
      <c r="Q2159">
        <v>0.112570704828822</v>
      </c>
      <c r="R2159">
        <v>0.994189347930031</v>
      </c>
      <c r="S2159" t="s">
        <v>8805</v>
      </c>
      <c r="T2159" t="s">
        <v>13290</v>
      </c>
      <c r="U2159" t="s">
        <v>13290</v>
      </c>
      <c r="V2159" t="s">
        <v>13290</v>
      </c>
      <c r="W2159" t="s">
        <v>15415</v>
      </c>
      <c r="X2159">
        <v>61</v>
      </c>
      <c r="Y2159" t="s">
        <v>21972</v>
      </c>
      <c r="Z2159" t="s">
        <v>28489</v>
      </c>
      <c r="AA2159">
        <v>0.41586623818146162</v>
      </c>
      <c r="AB2159" t="str">
        <f>HYPERLINK("Melting_Curves/meltCurve_P13667_PDIA4.pdf", "Melting_Curves/meltCurve_P13667_PDIA4.pdf")</f>
        <v>Melting_Curves/meltCurve_P13667_PDIA4.pdf</v>
      </c>
    </row>
    <row r="2160" spans="1:28" x14ac:dyDescent="0.25">
      <c r="A2160" t="s">
        <v>2164</v>
      </c>
      <c r="B2160">
        <v>0.99252571173614901</v>
      </c>
      <c r="C2160">
        <v>0.82766353907206702</v>
      </c>
      <c r="D2160">
        <v>0.85045162117745199</v>
      </c>
      <c r="E2160">
        <v>0.62947746681550498</v>
      </c>
      <c r="F2160">
        <v>0.44293081618952401</v>
      </c>
      <c r="G2160">
        <v>0.18378165001067301</v>
      </c>
      <c r="H2160">
        <v>0.106072112997992</v>
      </c>
      <c r="I2160">
        <v>0.118660653485036</v>
      </c>
      <c r="J2160">
        <v>0.20402103102522501</v>
      </c>
      <c r="K2160">
        <v>0.15264372899928499</v>
      </c>
      <c r="L2160">
        <v>755.99452483675805</v>
      </c>
      <c r="M2160">
        <v>14.984915947276701</v>
      </c>
      <c r="N2160">
        <v>51.2909988605508</v>
      </c>
      <c r="O2160">
        <v>49.577467504484197</v>
      </c>
      <c r="P2160">
        <v>-6.7342642519342993E-2</v>
      </c>
      <c r="Q2160">
        <v>0.108880134960259</v>
      </c>
      <c r="R2160">
        <v>0.970048358969546</v>
      </c>
      <c r="S2160" t="s">
        <v>8806</v>
      </c>
      <c r="T2160" t="s">
        <v>13290</v>
      </c>
      <c r="U2160" t="s">
        <v>13290</v>
      </c>
      <c r="V2160" t="s">
        <v>13290</v>
      </c>
      <c r="W2160" t="s">
        <v>15416</v>
      </c>
      <c r="X2160">
        <v>22</v>
      </c>
      <c r="Y2160" t="s">
        <v>21973</v>
      </c>
      <c r="Z2160" t="s">
        <v>28490</v>
      </c>
      <c r="AA2160">
        <v>0.44028191860178378</v>
      </c>
      <c r="AB2160" t="str">
        <f>HYPERLINK("Melting_Curves/meltCurve_P13674_P4HA1.pdf", "Melting_Curves/meltCurve_P13674_P4HA1.pdf")</f>
        <v>Melting_Curves/meltCurve_P13674_P4HA1.pdf</v>
      </c>
    </row>
    <row r="2161" spans="1:28" x14ac:dyDescent="0.25">
      <c r="A2161" t="s">
        <v>2165</v>
      </c>
      <c r="B2161">
        <v>0.99252571173614901</v>
      </c>
      <c r="C2161">
        <v>0.92185461685867198</v>
      </c>
      <c r="D2161">
        <v>1.0537250323262</v>
      </c>
      <c r="E2161">
        <v>0.87879998502697898</v>
      </c>
      <c r="F2161">
        <v>0.51032837468386605</v>
      </c>
      <c r="G2161">
        <v>0.217700857373678</v>
      </c>
      <c r="H2161">
        <v>0.114390093489876</v>
      </c>
      <c r="I2161">
        <v>0.13590568863086799</v>
      </c>
      <c r="J2161">
        <v>0.26908180485260402</v>
      </c>
      <c r="K2161">
        <v>0.19301379674629901</v>
      </c>
      <c r="L2161">
        <v>1818.98781926878</v>
      </c>
      <c r="M2161">
        <v>34.645657277170798</v>
      </c>
      <c r="N2161">
        <v>53.1616890273094</v>
      </c>
      <c r="O2161">
        <v>52.328624932199801</v>
      </c>
      <c r="P2161">
        <v>-0.13662234777322599</v>
      </c>
      <c r="Q2161">
        <v>0.17458822879709801</v>
      </c>
      <c r="R2161">
        <v>0.98098528722781098</v>
      </c>
      <c r="S2161" t="s">
        <v>8807</v>
      </c>
      <c r="T2161" t="s">
        <v>13290</v>
      </c>
      <c r="U2161" t="s">
        <v>13290</v>
      </c>
      <c r="V2161" t="s">
        <v>13290</v>
      </c>
      <c r="W2161" t="s">
        <v>15417</v>
      </c>
      <c r="X2161">
        <v>22</v>
      </c>
      <c r="Y2161" t="s">
        <v>21973</v>
      </c>
      <c r="Z2161" t="s">
        <v>28491</v>
      </c>
      <c r="AA2161">
        <v>0.52257446247157568</v>
      </c>
      <c r="AB2161" t="str">
        <f>HYPERLINK("Melting_Curves/meltCurve_P13674_2_P4HA1.pdf", "Melting_Curves/meltCurve_P13674_2_P4HA1.pdf")</f>
        <v>Melting_Curves/meltCurve_P13674_2_P4HA1.pdf</v>
      </c>
    </row>
    <row r="2162" spans="1:28" x14ac:dyDescent="0.25">
      <c r="A2162" t="s">
        <v>2166</v>
      </c>
      <c r="B2162">
        <v>0.99252571173614901</v>
      </c>
      <c r="C2162">
        <v>1.00375351547178</v>
      </c>
      <c r="D2162">
        <v>0.87311643244412296</v>
      </c>
      <c r="E2162">
        <v>0.68726515702768398</v>
      </c>
      <c r="F2162">
        <v>0.447431194251111</v>
      </c>
      <c r="G2162">
        <v>0.157642194564173</v>
      </c>
      <c r="H2162">
        <v>9.7545253004411206E-2</v>
      </c>
      <c r="I2162">
        <v>9.7996283033673096E-2</v>
      </c>
      <c r="J2162">
        <v>0.111073924658596</v>
      </c>
      <c r="K2162">
        <v>0.12031120162341501</v>
      </c>
      <c r="L2162">
        <v>983.85119611537402</v>
      </c>
      <c r="M2162">
        <v>19.147798395635</v>
      </c>
      <c r="N2162">
        <v>51.870970001938197</v>
      </c>
      <c r="O2162">
        <v>50.831358122143101</v>
      </c>
      <c r="P2162">
        <v>-8.63997125186306E-2</v>
      </c>
      <c r="Q2162">
        <v>8.2579640495343498E-2</v>
      </c>
      <c r="R2162">
        <v>0.99300573105373802</v>
      </c>
      <c r="S2162" t="s">
        <v>8808</v>
      </c>
      <c r="T2162" t="s">
        <v>13290</v>
      </c>
      <c r="U2162" t="s">
        <v>13290</v>
      </c>
      <c r="V2162" t="s">
        <v>13290</v>
      </c>
      <c r="W2162" t="s">
        <v>15418</v>
      </c>
      <c r="X2162">
        <v>14</v>
      </c>
      <c r="Y2162" t="s">
        <v>21974</v>
      </c>
      <c r="Z2162" t="s">
        <v>28492</v>
      </c>
      <c r="AA2162">
        <v>0.44442369152825678</v>
      </c>
      <c r="AB2162" t="str">
        <f>HYPERLINK("Melting_Curves/meltCurve_P13693_TPT1.pdf", "Melting_Curves/meltCurve_P13693_TPT1.pdf")</f>
        <v>Melting_Curves/meltCurve_P13693_TPT1.pdf</v>
      </c>
    </row>
    <row r="2163" spans="1:28" x14ac:dyDescent="0.25">
      <c r="A2163" t="s">
        <v>2167</v>
      </c>
      <c r="B2163">
        <v>0.99252571173614901</v>
      </c>
      <c r="C2163">
        <v>1.02657989571818</v>
      </c>
      <c r="D2163">
        <v>0.95395110137837003</v>
      </c>
      <c r="E2163">
        <v>1.02152173369504</v>
      </c>
      <c r="F2163">
        <v>0.73522643497911599</v>
      </c>
      <c r="G2163">
        <v>0.43781315433691298</v>
      </c>
      <c r="H2163">
        <v>0.42938273856513198</v>
      </c>
      <c r="I2163">
        <v>0.114185166493371</v>
      </c>
      <c r="J2163">
        <v>6.3340151788826002E-2</v>
      </c>
      <c r="K2163">
        <v>5.78248120072428E-2</v>
      </c>
      <c r="L2163">
        <v>884.82776922471805</v>
      </c>
      <c r="M2163">
        <v>15.460868210658701</v>
      </c>
      <c r="N2163">
        <v>57.230147653750699</v>
      </c>
      <c r="O2163">
        <v>56.298353929101502</v>
      </c>
      <c r="P2163">
        <v>-6.8662111345212995E-2</v>
      </c>
      <c r="Q2163">
        <v>0</v>
      </c>
      <c r="R2163">
        <v>0.97019815011016197</v>
      </c>
      <c r="S2163" t="s">
        <v>8809</v>
      </c>
      <c r="T2163" t="s">
        <v>13290</v>
      </c>
      <c r="U2163" t="s">
        <v>13290</v>
      </c>
      <c r="V2163" t="s">
        <v>13290</v>
      </c>
      <c r="W2163" t="s">
        <v>15419</v>
      </c>
      <c r="X2163">
        <v>21</v>
      </c>
      <c r="Y2163" t="s">
        <v>21975</v>
      </c>
      <c r="Z2163" t="s">
        <v>28493</v>
      </c>
      <c r="AA2163">
        <v>0.58940862600129895</v>
      </c>
      <c r="AB2163" t="str">
        <f>HYPERLINK("Melting_Curves/meltCurve_P13804_ETFA.pdf", "Melting_Curves/meltCurve_P13804_ETFA.pdf")</f>
        <v>Melting_Curves/meltCurve_P13804_ETFA.pdf</v>
      </c>
    </row>
    <row r="2164" spans="1:28" x14ac:dyDescent="0.25">
      <c r="A2164" t="s">
        <v>2168</v>
      </c>
      <c r="B2164">
        <v>0.99252571173614901</v>
      </c>
      <c r="C2164">
        <v>0.88829629302107804</v>
      </c>
      <c r="D2164">
        <v>0.73464232185423195</v>
      </c>
      <c r="E2164">
        <v>0.541311450523839</v>
      </c>
      <c r="F2164">
        <v>0.23880021655476499</v>
      </c>
      <c r="G2164">
        <v>7.6489610227931507E-2</v>
      </c>
      <c r="H2164">
        <v>5.3492022515512702E-2</v>
      </c>
      <c r="I2164">
        <v>5.3789910616421098E-2</v>
      </c>
      <c r="J2164">
        <v>5.71992621314776E-2</v>
      </c>
      <c r="K2164">
        <v>5.5241598061059403E-2</v>
      </c>
      <c r="L2164">
        <v>796.10984194379</v>
      </c>
      <c r="M2164">
        <v>16.1651597119161</v>
      </c>
      <c r="N2164">
        <v>49.404330190026002</v>
      </c>
      <c r="O2164">
        <v>48.513318786828997</v>
      </c>
      <c r="P2164">
        <v>-8.1238308855079405E-2</v>
      </c>
      <c r="Q2164">
        <v>2.4855132126886899E-2</v>
      </c>
      <c r="R2164">
        <v>0.99318221297876497</v>
      </c>
      <c r="S2164" t="s">
        <v>8810</v>
      </c>
      <c r="T2164" t="s">
        <v>13290</v>
      </c>
      <c r="U2164" t="s">
        <v>13290</v>
      </c>
      <c r="V2164" t="s">
        <v>13290</v>
      </c>
      <c r="W2164" t="s">
        <v>15420</v>
      </c>
      <c r="X2164">
        <v>24</v>
      </c>
      <c r="Y2164" t="s">
        <v>21976</v>
      </c>
      <c r="Z2164" t="s">
        <v>28494</v>
      </c>
      <c r="AA2164">
        <v>0.346193642176021</v>
      </c>
      <c r="AB2164" t="str">
        <f>HYPERLINK("Melting_Curves/meltCurve_P13861_PRKAR2A.pdf", "Melting_Curves/meltCurve_P13861_PRKAR2A.pdf")</f>
        <v>Melting_Curves/meltCurve_P13861_PRKAR2A.pdf</v>
      </c>
    </row>
    <row r="2165" spans="1:28" x14ac:dyDescent="0.25">
      <c r="A2165" t="s">
        <v>2169</v>
      </c>
      <c r="B2165">
        <v>0.99252571173614901</v>
      </c>
      <c r="C2165">
        <v>0.83695523329062504</v>
      </c>
      <c r="D2165">
        <v>0.83634177610443805</v>
      </c>
      <c r="E2165">
        <v>0.77125413576996205</v>
      </c>
      <c r="F2165">
        <v>0.60889991235334895</v>
      </c>
      <c r="G2165">
        <v>0.48280270156258798</v>
      </c>
      <c r="H2165">
        <v>0.40838776204265897</v>
      </c>
      <c r="I2165">
        <v>0.50017031019115299</v>
      </c>
      <c r="J2165">
        <v>0.82653740183198599</v>
      </c>
      <c r="K2165">
        <v>0.48841022224413</v>
      </c>
      <c r="L2165">
        <v>699.04482554531296</v>
      </c>
      <c r="M2165">
        <v>14.7429223132328</v>
      </c>
      <c r="O2165">
        <v>46.568888285761602</v>
      </c>
      <c r="P2165">
        <v>-3.6710041326251303E-2</v>
      </c>
      <c r="Q2165">
        <v>0.53622204589379296</v>
      </c>
      <c r="R2165">
        <v>0.64710264470535095</v>
      </c>
      <c r="S2165" t="s">
        <v>8811</v>
      </c>
      <c r="T2165" t="s">
        <v>13290</v>
      </c>
      <c r="U2165" t="s">
        <v>13290</v>
      </c>
      <c r="V2165" t="s">
        <v>13290</v>
      </c>
      <c r="W2165" t="s">
        <v>15421</v>
      </c>
      <c r="X2165">
        <v>2</v>
      </c>
      <c r="Y2165" t="s">
        <v>21977</v>
      </c>
      <c r="Z2165" t="s">
        <v>28495</v>
      </c>
      <c r="AA2165">
        <v>0.6635957416225764</v>
      </c>
      <c r="AB2165" t="str">
        <f>HYPERLINK("Melting_Curves/meltCurve_P13866_2_SLC5A1.pdf", "Melting_Curves/meltCurve_P13866_2_SLC5A1.pdf")</f>
        <v>Melting_Curves/meltCurve_P13866_2_SLC5A1.pdf</v>
      </c>
    </row>
    <row r="2166" spans="1:28" x14ac:dyDescent="0.25">
      <c r="A2166" t="s">
        <v>2170</v>
      </c>
      <c r="B2166">
        <v>0.99252571173614901</v>
      </c>
      <c r="C2166">
        <v>1.0455522675441999</v>
      </c>
      <c r="D2166">
        <v>0.99097096930302297</v>
      </c>
      <c r="E2166">
        <v>1.01624604711269</v>
      </c>
      <c r="F2166">
        <v>0.91086195834723604</v>
      </c>
      <c r="G2166">
        <v>0.80319679758357998</v>
      </c>
      <c r="H2166">
        <v>0.78450457301561605</v>
      </c>
      <c r="I2166">
        <v>0.90901518177806795</v>
      </c>
      <c r="J2166">
        <v>0.47997879804535798</v>
      </c>
      <c r="K2166">
        <v>0.223049955385098</v>
      </c>
      <c r="L2166">
        <v>1825.0830481175601</v>
      </c>
      <c r="M2166">
        <v>27.190811883081398</v>
      </c>
      <c r="N2166">
        <v>67.121314651077697</v>
      </c>
      <c r="O2166">
        <v>66.761396123733206</v>
      </c>
      <c r="P2166">
        <v>-0.10182181633234701</v>
      </c>
      <c r="Q2166">
        <v>0</v>
      </c>
      <c r="R2166">
        <v>0.86377052757405504</v>
      </c>
      <c r="S2166" t="s">
        <v>8812</v>
      </c>
      <c r="T2166" t="s">
        <v>13290</v>
      </c>
      <c r="U2166" t="s">
        <v>13290</v>
      </c>
      <c r="V2166" t="s">
        <v>13290</v>
      </c>
      <c r="W2166" t="s">
        <v>15422</v>
      </c>
      <c r="X2166">
        <v>21</v>
      </c>
      <c r="Y2166" t="s">
        <v>21978</v>
      </c>
      <c r="Z2166" t="s">
        <v>28496</v>
      </c>
      <c r="AA2166">
        <v>0.88650292734129321</v>
      </c>
      <c r="AB2166" t="str">
        <f>HYPERLINK("Melting_Curves/meltCurve_P13929_ENO3.pdf", "Melting_Curves/meltCurve_P13929_ENO3.pdf")</f>
        <v>Melting_Curves/meltCurve_P13929_ENO3.pdf</v>
      </c>
    </row>
    <row r="2167" spans="1:28" x14ac:dyDescent="0.25">
      <c r="A2167" t="s">
        <v>2171</v>
      </c>
      <c r="B2167">
        <v>0.99252571173614901</v>
      </c>
      <c r="C2167">
        <v>1.0401965329487499</v>
      </c>
      <c r="D2167">
        <v>0.98581596224166101</v>
      </c>
      <c r="E2167">
        <v>0.87744965940112596</v>
      </c>
      <c r="F2167">
        <v>0.62088686862940701</v>
      </c>
      <c r="G2167">
        <v>0.34171945319451102</v>
      </c>
      <c r="H2167">
        <v>0.13299762362150699</v>
      </c>
      <c r="I2167">
        <v>0.107989588644578</v>
      </c>
      <c r="J2167">
        <v>0.12797356460272699</v>
      </c>
      <c r="K2167">
        <v>0.126395394415629</v>
      </c>
      <c r="L2167">
        <v>1216.60351256433</v>
      </c>
      <c r="M2167">
        <v>22.550593128866701</v>
      </c>
      <c r="N2167">
        <v>54.497785041530499</v>
      </c>
      <c r="O2167">
        <v>53.5310737389811</v>
      </c>
      <c r="P2167">
        <v>-9.4636852171568905E-2</v>
      </c>
      <c r="Q2167">
        <v>0.10141432337357</v>
      </c>
      <c r="R2167">
        <v>0.99688775408539598</v>
      </c>
      <c r="S2167" t="s">
        <v>8813</v>
      </c>
      <c r="T2167" t="s">
        <v>13290</v>
      </c>
      <c r="U2167" t="s">
        <v>13290</v>
      </c>
      <c r="V2167" t="s">
        <v>13290</v>
      </c>
      <c r="W2167" t="s">
        <v>15423</v>
      </c>
      <c r="X2167">
        <v>17</v>
      </c>
      <c r="Y2167" t="s">
        <v>21979</v>
      </c>
      <c r="Z2167" t="s">
        <v>28497</v>
      </c>
      <c r="AA2167">
        <v>0.5292472939782723</v>
      </c>
      <c r="AB2167" t="str">
        <f>HYPERLINK("Melting_Curves/meltCurve_P13984_GTF2F2.pdf", "Melting_Curves/meltCurve_P13984_GTF2F2.pdf")</f>
        <v>Melting_Curves/meltCurve_P13984_GTF2F2.pdf</v>
      </c>
    </row>
    <row r="2168" spans="1:28" x14ac:dyDescent="0.25">
      <c r="A2168" t="s">
        <v>2172</v>
      </c>
      <c r="B2168">
        <v>0.99252571173614901</v>
      </c>
      <c r="C2168">
        <v>0.86814011585311202</v>
      </c>
      <c r="D2168">
        <v>0.45696407855450899</v>
      </c>
      <c r="E2168">
        <v>0.33973218678491601</v>
      </c>
      <c r="F2168">
        <v>0.217240482460104</v>
      </c>
      <c r="G2168">
        <v>0.123819240553994</v>
      </c>
      <c r="H2168">
        <v>0.12773482968289601</v>
      </c>
      <c r="I2168">
        <v>0.142821081179547</v>
      </c>
      <c r="J2168">
        <v>0.184932749042341</v>
      </c>
      <c r="K2168">
        <v>0.17500756824136299</v>
      </c>
      <c r="L2168">
        <v>1056.7200228649699</v>
      </c>
      <c r="M2168">
        <v>23.261250765875999</v>
      </c>
      <c r="N2168">
        <v>46.203754003765297</v>
      </c>
      <c r="O2168">
        <v>45.096589674731298</v>
      </c>
      <c r="P2168">
        <v>-0.108115594196558</v>
      </c>
      <c r="Q2168">
        <v>0.16160014662442801</v>
      </c>
      <c r="R2168">
        <v>0.98130029189088597</v>
      </c>
      <c r="S2168" t="s">
        <v>8814</v>
      </c>
      <c r="T2168" t="s">
        <v>13290</v>
      </c>
      <c r="U2168" t="s">
        <v>13290</v>
      </c>
      <c r="V2168" t="s">
        <v>13290</v>
      </c>
      <c r="W2168" t="s">
        <v>15424</v>
      </c>
      <c r="X2168">
        <v>1</v>
      </c>
      <c r="Y2168" t="s">
        <v>21980</v>
      </c>
      <c r="Z2168" t="s">
        <v>28498</v>
      </c>
      <c r="AA2168">
        <v>0.32283243549797658</v>
      </c>
      <c r="AB2168" t="str">
        <f>HYPERLINK("Melting_Curves/meltCurve_P13994_CCDC130.pdf", "Melting_Curves/meltCurve_P13994_CCDC130.pdf")</f>
        <v>Melting_Curves/meltCurve_P13994_CCDC130.pdf</v>
      </c>
    </row>
    <row r="2169" spans="1:28" x14ac:dyDescent="0.25">
      <c r="A2169" t="s">
        <v>2173</v>
      </c>
      <c r="B2169">
        <v>0.99252571173614901</v>
      </c>
      <c r="C2169">
        <v>1.0153855849998299</v>
      </c>
      <c r="D2169">
        <v>0.96719099996063995</v>
      </c>
      <c r="E2169">
        <v>0.98530370163730696</v>
      </c>
      <c r="F2169">
        <v>0.62213547306611805</v>
      </c>
      <c r="G2169">
        <v>0.21752894705179801</v>
      </c>
      <c r="H2169">
        <v>0.140789612870552</v>
      </c>
      <c r="I2169">
        <v>9.5943235452284406E-2</v>
      </c>
      <c r="J2169">
        <v>7.9861199416998305E-2</v>
      </c>
      <c r="K2169">
        <v>7.1483018989174696E-2</v>
      </c>
      <c r="L2169">
        <v>1883.5520454213199</v>
      </c>
      <c r="M2169">
        <v>35.023043667450096</v>
      </c>
      <c r="N2169">
        <v>54.094332829217301</v>
      </c>
      <c r="O2169">
        <v>53.605933577461002</v>
      </c>
      <c r="P2169">
        <v>-0.148313287081802</v>
      </c>
      <c r="Q2169">
        <v>9.1975641377169598E-2</v>
      </c>
      <c r="R2169">
        <v>0.99768632663117596</v>
      </c>
      <c r="S2169" t="s">
        <v>8815</v>
      </c>
      <c r="T2169" t="s">
        <v>13290</v>
      </c>
      <c r="U2169" t="s">
        <v>13290</v>
      </c>
      <c r="V2169" t="s">
        <v>13290</v>
      </c>
      <c r="W2169" t="s">
        <v>15425</v>
      </c>
      <c r="X2169">
        <v>18</v>
      </c>
      <c r="Y2169" t="s">
        <v>21981</v>
      </c>
      <c r="Z2169" t="s">
        <v>28499</v>
      </c>
      <c r="AA2169">
        <v>0.51346350883595193</v>
      </c>
      <c r="AB2169" t="str">
        <f>HYPERLINK("Melting_Curves/meltCurve_P13995_MTHFD2.pdf", "Melting_Curves/meltCurve_P13995_MTHFD2.pdf")</f>
        <v>Melting_Curves/meltCurve_P13995_MTHFD2.pdf</v>
      </c>
    </row>
    <row r="2170" spans="1:28" x14ac:dyDescent="0.25">
      <c r="A2170" t="s">
        <v>2174</v>
      </c>
      <c r="B2170">
        <v>0.99252571173614901</v>
      </c>
      <c r="C2170">
        <v>1.0830993115521399</v>
      </c>
      <c r="D2170">
        <v>1.0479377508327401</v>
      </c>
      <c r="E2170">
        <v>0.97694081812974198</v>
      </c>
      <c r="F2170">
        <v>0.84193868723949505</v>
      </c>
      <c r="G2170">
        <v>0.75052657153837599</v>
      </c>
      <c r="H2170">
        <v>0.69753595983711203</v>
      </c>
      <c r="I2170">
        <v>0.82947778793715599</v>
      </c>
      <c r="J2170">
        <v>0.96297411979256498</v>
      </c>
      <c r="K2170">
        <v>0.80268385430796896</v>
      </c>
      <c r="L2170">
        <v>2947.1560117579202</v>
      </c>
      <c r="M2170">
        <v>57.190550372896197</v>
      </c>
      <c r="O2170">
        <v>51.4693263303813</v>
      </c>
      <c r="P2170">
        <v>-5.2960257967285297E-2</v>
      </c>
      <c r="Q2170">
        <v>0.809351200768198</v>
      </c>
      <c r="R2170">
        <v>0.68088061961013802</v>
      </c>
      <c r="S2170" t="s">
        <v>8816</v>
      </c>
      <c r="T2170" t="s">
        <v>13290</v>
      </c>
      <c r="U2170" t="s">
        <v>13290</v>
      </c>
      <c r="V2170" t="s">
        <v>13290</v>
      </c>
      <c r="W2170" t="s">
        <v>15426</v>
      </c>
      <c r="X2170">
        <v>8</v>
      </c>
      <c r="Y2170" t="s">
        <v>21982</v>
      </c>
      <c r="Z2170" t="s">
        <v>28500</v>
      </c>
      <c r="AA2170">
        <v>0.88296879664372596</v>
      </c>
      <c r="AB2170" t="str">
        <f>HYPERLINK("Melting_Curves/meltCurve_P14174_MIF.pdf", "Melting_Curves/meltCurve_P14174_MIF.pdf")</f>
        <v>Melting_Curves/meltCurve_P14174_MIF.pdf</v>
      </c>
    </row>
    <row r="2171" spans="1:28" x14ac:dyDescent="0.25">
      <c r="A2171" t="s">
        <v>2175</v>
      </c>
      <c r="B2171">
        <v>0.99252571173614901</v>
      </c>
      <c r="C2171">
        <v>0.92524850167557204</v>
      </c>
      <c r="D2171">
        <v>0.76927229914454798</v>
      </c>
      <c r="E2171">
        <v>0.44669233994947999</v>
      </c>
      <c r="F2171">
        <v>0.234689975160534</v>
      </c>
      <c r="G2171">
        <v>0.118222557439092</v>
      </c>
      <c r="H2171">
        <v>9.7056630691379805E-2</v>
      </c>
      <c r="I2171">
        <v>0.112135045864103</v>
      </c>
      <c r="J2171">
        <v>0.19979360106750599</v>
      </c>
      <c r="K2171">
        <v>0.20555350740241801</v>
      </c>
      <c r="L2171">
        <v>1076.1354150750999</v>
      </c>
      <c r="M2171">
        <v>22.371706015331299</v>
      </c>
      <c r="N2171">
        <v>48.826226943602798</v>
      </c>
      <c r="O2171">
        <v>47.723120939364698</v>
      </c>
      <c r="P2171">
        <v>-0.10066012903901</v>
      </c>
      <c r="Q2171">
        <v>0.141108821832443</v>
      </c>
      <c r="R2171">
        <v>0.98727835535226005</v>
      </c>
      <c r="S2171" t="s">
        <v>8817</v>
      </c>
      <c r="T2171" t="s">
        <v>13290</v>
      </c>
      <c r="U2171" t="s">
        <v>13290</v>
      </c>
      <c r="V2171" t="s">
        <v>13290</v>
      </c>
      <c r="W2171" t="s">
        <v>15427</v>
      </c>
      <c r="X2171">
        <v>11</v>
      </c>
      <c r="Y2171" t="s">
        <v>21983</v>
      </c>
      <c r="Z2171" t="s">
        <v>28501</v>
      </c>
      <c r="AA2171">
        <v>0.38268796859180471</v>
      </c>
      <c r="AB2171" t="str">
        <f>HYPERLINK("Melting_Curves/meltCurve_P14222_PRF1.pdf", "Melting_Curves/meltCurve_P14222_PRF1.pdf")</f>
        <v>Melting_Curves/meltCurve_P14222_PRF1.pdf</v>
      </c>
    </row>
    <row r="2172" spans="1:28" x14ac:dyDescent="0.25">
      <c r="A2172" t="s">
        <v>2176</v>
      </c>
      <c r="B2172">
        <v>0.99252571173614901</v>
      </c>
      <c r="C2172">
        <v>1.03919479073286</v>
      </c>
      <c r="D2172">
        <v>0.62980852492054396</v>
      </c>
      <c r="E2172">
        <v>0.24892384810995699</v>
      </c>
      <c r="F2172">
        <v>0.129564464735584</v>
      </c>
      <c r="G2172">
        <v>7.0707269713041906E-2</v>
      </c>
      <c r="H2172">
        <v>5.1207860236082599E-2</v>
      </c>
      <c r="I2172">
        <v>4.9264998029358499E-2</v>
      </c>
      <c r="J2172">
        <v>5.1187596789748997E-2</v>
      </c>
      <c r="K2172">
        <v>5.1774997684551301E-2</v>
      </c>
      <c r="L2172">
        <v>1368.5592080511201</v>
      </c>
      <c r="M2172">
        <v>29.133233942179</v>
      </c>
      <c r="N2172">
        <v>47.191021088491503</v>
      </c>
      <c r="O2172">
        <v>46.756187868937602</v>
      </c>
      <c r="P2172">
        <v>-0.14608594041491699</v>
      </c>
      <c r="Q2172">
        <v>6.2187880773267097E-2</v>
      </c>
      <c r="R2172">
        <v>0.99100271570377296</v>
      </c>
      <c r="S2172" t="s">
        <v>8818</v>
      </c>
      <c r="T2172" t="s">
        <v>13290</v>
      </c>
      <c r="U2172" t="s">
        <v>13290</v>
      </c>
      <c r="V2172" t="s">
        <v>13290</v>
      </c>
      <c r="W2172" t="s">
        <v>15428</v>
      </c>
      <c r="X2172">
        <v>13</v>
      </c>
      <c r="Y2172" t="s">
        <v>21984</v>
      </c>
      <c r="Z2172" t="s">
        <v>28502</v>
      </c>
      <c r="AA2172">
        <v>0.28625058606842502</v>
      </c>
      <c r="AB2172" t="str">
        <f>HYPERLINK("Melting_Curves/meltCurve_P14324_2_FDPS.pdf", "Melting_Curves/meltCurve_P14324_2_FDPS.pdf")</f>
        <v>Melting_Curves/meltCurve_P14324_2_FDPS.pdf</v>
      </c>
    </row>
    <row r="2173" spans="1:28" x14ac:dyDescent="0.25">
      <c r="A2173" t="s">
        <v>2177</v>
      </c>
      <c r="B2173">
        <v>0.99252571173614901</v>
      </c>
      <c r="C2173">
        <v>1.1479821147523199</v>
      </c>
      <c r="D2173">
        <v>0.81157372508208803</v>
      </c>
      <c r="E2173">
        <v>0.74973815570112601</v>
      </c>
      <c r="F2173">
        <v>0.25202568587420499</v>
      </c>
      <c r="G2173">
        <v>9.5957078104531301E-2</v>
      </c>
      <c r="H2173">
        <v>6.7173238649959097E-2</v>
      </c>
      <c r="I2173">
        <v>7.1288499423212207E-2</v>
      </c>
      <c r="J2173">
        <v>7.3550868644953402E-2</v>
      </c>
      <c r="K2173">
        <v>7.2381308440089304E-2</v>
      </c>
      <c r="L2173">
        <v>1443.6734213866901</v>
      </c>
      <c r="M2173">
        <v>28.3494674318734</v>
      </c>
      <c r="N2173">
        <v>51.163564192500203</v>
      </c>
      <c r="O2173">
        <v>50.672814341170103</v>
      </c>
      <c r="P2173">
        <v>-0.131179439306879</v>
      </c>
      <c r="Q2173">
        <v>6.2109093547521803E-2</v>
      </c>
      <c r="R2173">
        <v>0.97239316873986903</v>
      </c>
      <c r="S2173" t="s">
        <v>8819</v>
      </c>
      <c r="T2173" t="s">
        <v>13290</v>
      </c>
      <c r="U2173" t="s">
        <v>13290</v>
      </c>
      <c r="V2173" t="s">
        <v>13290</v>
      </c>
      <c r="W2173" t="s">
        <v>15429</v>
      </c>
      <c r="X2173">
        <v>27</v>
      </c>
      <c r="Y2173" t="s">
        <v>21985</v>
      </c>
      <c r="Z2173" t="s">
        <v>28503</v>
      </c>
      <c r="AA2173">
        <v>0.4102278527388003</v>
      </c>
      <c r="AB2173" t="str">
        <f>HYPERLINK("Melting_Curves/meltCurve_P14550_AKR1A1.pdf", "Melting_Curves/meltCurve_P14550_AKR1A1.pdf")</f>
        <v>Melting_Curves/meltCurve_P14550_AKR1A1.pdf</v>
      </c>
    </row>
    <row r="2174" spans="1:28" x14ac:dyDescent="0.25">
      <c r="A2174" t="s">
        <v>2178</v>
      </c>
      <c r="B2174">
        <v>0.99252571173614901</v>
      </c>
      <c r="C2174">
        <v>1.0552733364014399</v>
      </c>
      <c r="D2174">
        <v>0.42563275183128402</v>
      </c>
      <c r="E2174">
        <v>1.0655396854416399</v>
      </c>
      <c r="F2174">
        <v>0.76336723811125595</v>
      </c>
      <c r="G2174">
        <v>0.59317268910634602</v>
      </c>
      <c r="H2174">
        <v>0.39497296256577802</v>
      </c>
      <c r="I2174">
        <v>0.22832616288944299</v>
      </c>
      <c r="J2174">
        <v>0.29610359040796802</v>
      </c>
      <c r="K2174">
        <v>0.31380113431367501</v>
      </c>
      <c r="L2174">
        <v>436.39819779269999</v>
      </c>
      <c r="M2174">
        <v>7.4081341006941601</v>
      </c>
      <c r="N2174">
        <v>58.907978446605703</v>
      </c>
      <c r="O2174">
        <v>55.072463207767299</v>
      </c>
      <c r="P2174">
        <v>-3.3679640353395102E-2</v>
      </c>
      <c r="Q2174">
        <v>0</v>
      </c>
      <c r="R2174">
        <v>0.66664856370395298</v>
      </c>
      <c r="S2174" t="s">
        <v>8820</v>
      </c>
      <c r="T2174" t="s">
        <v>13290</v>
      </c>
      <c r="U2174" t="s">
        <v>13290</v>
      </c>
      <c r="V2174" t="s">
        <v>13290</v>
      </c>
      <c r="W2174" t="s">
        <v>15430</v>
      </c>
      <c r="X2174">
        <v>10</v>
      </c>
      <c r="Y2174" t="s">
        <v>21986</v>
      </c>
      <c r="Z2174" t="s">
        <v>28504</v>
      </c>
      <c r="AA2174">
        <v>0.6220263946308322</v>
      </c>
      <c r="AB2174" t="str">
        <f>HYPERLINK("Melting_Curves/meltCurve_P14555_PLA2G2A.pdf", "Melting_Curves/meltCurve_P14555_PLA2G2A.pdf")</f>
        <v>Melting_Curves/meltCurve_P14555_PLA2G2A.pdf</v>
      </c>
    </row>
    <row r="2175" spans="1:28" x14ac:dyDescent="0.25">
      <c r="A2175" t="s">
        <v>2179</v>
      </c>
      <c r="B2175">
        <v>0.99252571173614901</v>
      </c>
      <c r="C2175">
        <v>0.91572268212400298</v>
      </c>
      <c r="D2175">
        <v>1.14103469254767</v>
      </c>
      <c r="E2175">
        <v>1.09469255786391</v>
      </c>
      <c r="F2175">
        <v>1.2890814106872499</v>
      </c>
      <c r="G2175">
        <v>0.99788635247652402</v>
      </c>
      <c r="H2175">
        <v>0.70179944055771304</v>
      </c>
      <c r="I2175">
        <v>0.114618249492258</v>
      </c>
      <c r="J2175">
        <v>0.104832841039598</v>
      </c>
      <c r="K2175">
        <v>8.8395660889496505E-2</v>
      </c>
      <c r="L2175">
        <v>5554.9916661830302</v>
      </c>
      <c r="M2175">
        <v>90.656773518974305</v>
      </c>
      <c r="N2175">
        <v>61.419891760053098</v>
      </c>
      <c r="O2175">
        <v>61.245178261236298</v>
      </c>
      <c r="P2175">
        <v>-0.33442613231074497</v>
      </c>
      <c r="Q2175">
        <v>9.6284340290568496E-2</v>
      </c>
      <c r="R2175">
        <v>0.939221059401532</v>
      </c>
      <c r="S2175" t="s">
        <v>8821</v>
      </c>
      <c r="T2175" t="s">
        <v>13290</v>
      </c>
      <c r="U2175" t="s">
        <v>13290</v>
      </c>
      <c r="V2175" t="s">
        <v>13290</v>
      </c>
      <c r="W2175" t="s">
        <v>15431</v>
      </c>
      <c r="X2175">
        <v>58</v>
      </c>
      <c r="Y2175" t="s">
        <v>20860</v>
      </c>
      <c r="Z2175" t="s">
        <v>28505</v>
      </c>
      <c r="AA2175">
        <v>0.73790843984503118</v>
      </c>
      <c r="AB2175" t="str">
        <f>HYPERLINK("Melting_Curves/meltCurve_P14618_PKM.pdf", "Melting_Curves/meltCurve_P14618_PKM.pdf")</f>
        <v>Melting_Curves/meltCurve_P14618_PKM.pdf</v>
      </c>
    </row>
    <row r="2176" spans="1:28" x14ac:dyDescent="0.25">
      <c r="A2176" t="s">
        <v>2180</v>
      </c>
      <c r="B2176">
        <v>0.99252571173614901</v>
      </c>
      <c r="C2176">
        <v>0.94132806886187703</v>
      </c>
      <c r="D2176">
        <v>1.1606222697841999</v>
      </c>
      <c r="E2176">
        <v>1.2212458611855499</v>
      </c>
      <c r="F2176">
        <v>1.25259390171508</v>
      </c>
      <c r="G2176">
        <v>0.97065284401128604</v>
      </c>
      <c r="H2176">
        <v>0.76211363722694003</v>
      </c>
      <c r="I2176">
        <v>0.138566204328299</v>
      </c>
      <c r="J2176">
        <v>0.11331429002257</v>
      </c>
      <c r="K2176">
        <v>9.5004521223911897E-2</v>
      </c>
      <c r="L2176">
        <v>5060.1421144281503</v>
      </c>
      <c r="M2176">
        <v>82.209113228736101</v>
      </c>
      <c r="N2176">
        <v>61.7252210968553</v>
      </c>
      <c r="O2176">
        <v>61.515688118941</v>
      </c>
      <c r="P2176">
        <v>-0.299696422406587</v>
      </c>
      <c r="Q2176">
        <v>0.102969062703576</v>
      </c>
      <c r="R2176">
        <v>0.92826320922551697</v>
      </c>
      <c r="S2176" t="s">
        <v>8822</v>
      </c>
      <c r="T2176" t="s">
        <v>13290</v>
      </c>
      <c r="U2176" t="s">
        <v>13290</v>
      </c>
      <c r="V2176" t="s">
        <v>13290</v>
      </c>
      <c r="W2176" t="s">
        <v>15432</v>
      </c>
      <c r="X2176">
        <v>58</v>
      </c>
      <c r="Y2176" t="s">
        <v>20860</v>
      </c>
      <c r="Z2176" t="s">
        <v>28506</v>
      </c>
      <c r="AA2176">
        <v>0.74829484647928124</v>
      </c>
      <c r="AB2176" t="str">
        <f>HYPERLINK("Melting_Curves/meltCurve_P14618_2_PKM.pdf", "Melting_Curves/meltCurve_P14618_2_PKM.pdf")</f>
        <v>Melting_Curves/meltCurve_P14618_2_PKM.pdf</v>
      </c>
    </row>
    <row r="2177" spans="1:28" x14ac:dyDescent="0.25">
      <c r="A2177" t="s">
        <v>2181</v>
      </c>
      <c r="B2177">
        <v>0.99252571173614901</v>
      </c>
      <c r="C2177">
        <v>1.0538365749615199</v>
      </c>
      <c r="D2177">
        <v>0.96653354053277196</v>
      </c>
      <c r="E2177">
        <v>0.65908626302212303</v>
      </c>
      <c r="F2177">
        <v>0.59099314328658603</v>
      </c>
      <c r="G2177">
        <v>0.35291580225877001</v>
      </c>
      <c r="H2177">
        <v>0.19840809822349201</v>
      </c>
      <c r="I2177">
        <v>0.14284822514788201</v>
      </c>
      <c r="J2177">
        <v>0.17380102461307601</v>
      </c>
      <c r="K2177">
        <v>0.20572754551816799</v>
      </c>
      <c r="L2177">
        <v>847.18575860417104</v>
      </c>
      <c r="M2177">
        <v>16.146378387622502</v>
      </c>
      <c r="N2177">
        <v>53.613614282835897</v>
      </c>
      <c r="O2177">
        <v>51.684054591956397</v>
      </c>
      <c r="P2177">
        <v>-6.6720984508929895E-2</v>
      </c>
      <c r="Q2177">
        <v>0.14577746899854799</v>
      </c>
      <c r="R2177">
        <v>0.97730559963319097</v>
      </c>
      <c r="S2177" t="s">
        <v>8823</v>
      </c>
      <c r="T2177" t="s">
        <v>13290</v>
      </c>
      <c r="U2177" t="s">
        <v>13290</v>
      </c>
      <c r="V2177" t="s">
        <v>13290</v>
      </c>
      <c r="W2177" t="s">
        <v>15433</v>
      </c>
      <c r="X2177">
        <v>2</v>
      </c>
      <c r="Y2177" t="s">
        <v>21987</v>
      </c>
      <c r="Z2177" t="s">
        <v>28507</v>
      </c>
      <c r="AA2177">
        <v>0.51762692776192576</v>
      </c>
      <c r="AB2177" t="str">
        <f>HYPERLINK("Melting_Curves/meltCurve_P14621_ACYP2.pdf", "Melting_Curves/meltCurve_P14621_ACYP2.pdf")</f>
        <v>Melting_Curves/meltCurve_P14621_ACYP2.pdf</v>
      </c>
    </row>
    <row r="2178" spans="1:28" x14ac:dyDescent="0.25">
      <c r="A2178" t="s">
        <v>2182</v>
      </c>
      <c r="B2178">
        <v>0.99252571173614901</v>
      </c>
      <c r="C2178">
        <v>0.95185304146594596</v>
      </c>
      <c r="D2178">
        <v>0.90589133445534498</v>
      </c>
      <c r="E2178">
        <v>0.86779642006900104</v>
      </c>
      <c r="F2178">
        <v>0.44311130344064698</v>
      </c>
      <c r="G2178">
        <v>0.13675541208842501</v>
      </c>
      <c r="H2178">
        <v>0.105161379361526</v>
      </c>
      <c r="I2178">
        <v>0.110282155376212</v>
      </c>
      <c r="J2178">
        <v>0.148835429376595</v>
      </c>
      <c r="K2178">
        <v>0.113300182986557</v>
      </c>
      <c r="L2178">
        <v>1699.49520750085</v>
      </c>
      <c r="M2178">
        <v>32.528115601508098</v>
      </c>
      <c r="N2178">
        <v>52.650490491976399</v>
      </c>
      <c r="O2178">
        <v>52.0506833079491</v>
      </c>
      <c r="P2178">
        <v>-0.13899655233347599</v>
      </c>
      <c r="Q2178">
        <v>0.110328910443989</v>
      </c>
      <c r="R2178">
        <v>0.99154654266965603</v>
      </c>
      <c r="S2178" t="s">
        <v>8824</v>
      </c>
      <c r="T2178" t="s">
        <v>13290</v>
      </c>
      <c r="U2178" t="s">
        <v>13290</v>
      </c>
      <c r="V2178" t="s">
        <v>13290</v>
      </c>
      <c r="W2178" t="s">
        <v>15434</v>
      </c>
      <c r="X2178">
        <v>85</v>
      </c>
      <c r="Y2178" t="s">
        <v>21988</v>
      </c>
      <c r="Z2178" t="s">
        <v>28508</v>
      </c>
      <c r="AA2178">
        <v>0.47838043795398622</v>
      </c>
      <c r="AB2178" t="str">
        <f>HYPERLINK("Melting_Curves/meltCurve_P14625_HSP90B1.pdf", "Melting_Curves/meltCurve_P14625_HSP90B1.pdf")</f>
        <v>Melting_Curves/meltCurve_P14625_HSP90B1.pdf</v>
      </c>
    </row>
    <row r="2179" spans="1:28" x14ac:dyDescent="0.25">
      <c r="A2179" t="s">
        <v>2183</v>
      </c>
      <c r="B2179">
        <v>0.99252571173614901</v>
      </c>
      <c r="C2179">
        <v>1.0199513284043999</v>
      </c>
      <c r="D2179">
        <v>0.91811862228866803</v>
      </c>
      <c r="E2179">
        <v>0.850191286936544</v>
      </c>
      <c r="F2179">
        <v>0.68436427847359504</v>
      </c>
      <c r="G2179">
        <v>0.47708826886703598</v>
      </c>
      <c r="H2179">
        <v>0.25947894990067299</v>
      </c>
      <c r="I2179">
        <v>0.18511242013260801</v>
      </c>
      <c r="J2179">
        <v>0.254371148538099</v>
      </c>
      <c r="K2179">
        <v>0.22050350901045099</v>
      </c>
      <c r="L2179">
        <v>918.94961113120496</v>
      </c>
      <c r="M2179">
        <v>16.891613381784801</v>
      </c>
      <c r="N2179">
        <v>55.874419046983903</v>
      </c>
      <c r="O2179">
        <v>53.657394721068201</v>
      </c>
      <c r="P2179">
        <v>-6.4573653647665805E-2</v>
      </c>
      <c r="Q2179">
        <v>0.1795610342175</v>
      </c>
      <c r="R2179">
        <v>0.98958179277207703</v>
      </c>
      <c r="S2179" t="s">
        <v>8825</v>
      </c>
      <c r="T2179" t="s">
        <v>13290</v>
      </c>
      <c r="U2179" t="s">
        <v>13290</v>
      </c>
      <c r="V2179" t="s">
        <v>13290</v>
      </c>
      <c r="W2179" t="s">
        <v>15435</v>
      </c>
      <c r="X2179">
        <v>6</v>
      </c>
      <c r="Y2179" t="s">
        <v>21989</v>
      </c>
      <c r="Z2179" t="s">
        <v>28509</v>
      </c>
      <c r="AA2179">
        <v>0.58761244716487837</v>
      </c>
      <c r="AB2179" t="str">
        <f>HYPERLINK("Melting_Curves/meltCurve_P14635_CCNB1.pdf", "Melting_Curves/meltCurve_P14635_CCNB1.pdf")</f>
        <v>Melting_Curves/meltCurve_P14635_CCNB1.pdf</v>
      </c>
    </row>
    <row r="2180" spans="1:28" x14ac:dyDescent="0.25">
      <c r="A2180" t="s">
        <v>2184</v>
      </c>
      <c r="B2180">
        <v>0.99252571173614901</v>
      </c>
      <c r="C2180">
        <v>1.0361472984786999</v>
      </c>
      <c r="D2180">
        <v>0.97279021999848203</v>
      </c>
      <c r="E2180">
        <v>0.85897760789382305</v>
      </c>
      <c r="F2180">
        <v>0.75366878793021097</v>
      </c>
      <c r="G2180">
        <v>1.0378192092807601</v>
      </c>
      <c r="H2180">
        <v>1.0002957730608499</v>
      </c>
      <c r="I2180">
        <v>1.2310219992273701</v>
      </c>
      <c r="J2180">
        <v>1.74674365522887</v>
      </c>
      <c r="K2180">
        <v>1.7125354135313799</v>
      </c>
      <c r="L2180">
        <v>15000</v>
      </c>
      <c r="M2180">
        <v>234.22306782335099</v>
      </c>
      <c r="O2180">
        <v>64.036832835186502</v>
      </c>
      <c r="P2180">
        <v>0.45720371144248401</v>
      </c>
      <c r="Q2180">
        <v>1.5</v>
      </c>
      <c r="R2180">
        <v>0.81403738975284501</v>
      </c>
      <c r="S2180" t="s">
        <v>8826</v>
      </c>
      <c r="T2180" t="s">
        <v>13290</v>
      </c>
      <c r="U2180" t="s">
        <v>13290</v>
      </c>
      <c r="V2180" t="s">
        <v>13290</v>
      </c>
      <c r="W2180" t="s">
        <v>15436</v>
      </c>
      <c r="X2180">
        <v>8</v>
      </c>
      <c r="Y2180" t="s">
        <v>21990</v>
      </c>
      <c r="Z2180" t="s">
        <v>28510</v>
      </c>
      <c r="AA2180">
        <v>1.0992440678392379</v>
      </c>
      <c r="AB2180" t="str">
        <f>HYPERLINK("Melting_Curves/meltCurve_P14649_MYL6B.pdf", "Melting_Curves/meltCurve_P14649_MYL6B.pdf")</f>
        <v>Melting_Curves/meltCurve_P14649_MYL6B.pdf</v>
      </c>
    </row>
    <row r="2181" spans="1:28" x14ac:dyDescent="0.25">
      <c r="A2181" t="s">
        <v>2185</v>
      </c>
      <c r="B2181">
        <v>0.99252571173614901</v>
      </c>
      <c r="C2181">
        <v>0.943713658532774</v>
      </c>
      <c r="D2181">
        <v>1.0395689920011599</v>
      </c>
      <c r="E2181">
        <v>0.99534047193820896</v>
      </c>
      <c r="F2181">
        <v>1.09671208768869</v>
      </c>
      <c r="G2181">
        <v>0.87863949316448697</v>
      </c>
      <c r="H2181">
        <v>0.89213918974488604</v>
      </c>
      <c r="I2181">
        <v>1.0524286221966599</v>
      </c>
      <c r="J2181">
        <v>1.05862625779263</v>
      </c>
      <c r="K2181">
        <v>0.65686777667136398</v>
      </c>
      <c r="L2181">
        <v>15000</v>
      </c>
      <c r="M2181">
        <v>213.63629006994</v>
      </c>
      <c r="Q2181">
        <v>0</v>
      </c>
      <c r="R2181">
        <v>0.68639584080703298</v>
      </c>
      <c r="S2181" t="s">
        <v>8827</v>
      </c>
      <c r="T2181" t="s">
        <v>13290</v>
      </c>
      <c r="U2181" t="s">
        <v>13290</v>
      </c>
      <c r="V2181" t="s">
        <v>13290</v>
      </c>
      <c r="W2181" t="s">
        <v>15437</v>
      </c>
      <c r="X2181">
        <v>13</v>
      </c>
      <c r="Y2181" t="s">
        <v>21991</v>
      </c>
      <c r="Z2181" t="s">
        <v>28511</v>
      </c>
      <c r="AA2181">
        <v>0.99547063213889342</v>
      </c>
      <c r="AB2181" t="str">
        <f>HYPERLINK("Melting_Curves/meltCurve_P14678_2_SNRPB.pdf", "Melting_Curves/meltCurve_P14678_2_SNRPB.pdf")</f>
        <v>Melting_Curves/meltCurve_P14678_2_SNRPB.pdf</v>
      </c>
    </row>
    <row r="2182" spans="1:28" x14ac:dyDescent="0.25">
      <c r="A2182" t="s">
        <v>2186</v>
      </c>
      <c r="B2182">
        <v>0.99252571173614901</v>
      </c>
      <c r="C2182">
        <v>0.71543811957874204</v>
      </c>
      <c r="D2182">
        <v>0.98310271480373901</v>
      </c>
      <c r="E2182">
        <v>0.42134590719103099</v>
      </c>
      <c r="F2182">
        <v>0.17691852779442399</v>
      </c>
      <c r="G2182">
        <v>8.8346141482302007E-2</v>
      </c>
      <c r="H2182">
        <v>5.6565213000055403E-2</v>
      </c>
      <c r="I2182">
        <v>5.9226846193534299E-2</v>
      </c>
      <c r="J2182">
        <v>6.6480322326865002E-2</v>
      </c>
      <c r="K2182">
        <v>6.5671640229630707E-2</v>
      </c>
      <c r="L2182">
        <v>1575.5122633393701</v>
      </c>
      <c r="M2182">
        <v>32.116578401841402</v>
      </c>
      <c r="N2182">
        <v>49.2832227666092</v>
      </c>
      <c r="O2182">
        <v>48.867027440770599</v>
      </c>
      <c r="P2182">
        <v>-0.15300222094281399</v>
      </c>
      <c r="Q2182">
        <v>6.8801604066535599E-2</v>
      </c>
      <c r="R2182">
        <v>0.938189296105158</v>
      </c>
      <c r="S2182" t="s">
        <v>8828</v>
      </c>
      <c r="T2182" t="s">
        <v>13290</v>
      </c>
      <c r="U2182" t="s">
        <v>13290</v>
      </c>
      <c r="V2182" t="s">
        <v>13290</v>
      </c>
      <c r="W2182" t="s">
        <v>15438</v>
      </c>
      <c r="X2182">
        <v>22</v>
      </c>
      <c r="Y2182" t="s">
        <v>21992</v>
      </c>
      <c r="Z2182" t="s">
        <v>28512</v>
      </c>
      <c r="AA2182">
        <v>0.35483819003045908</v>
      </c>
      <c r="AB2182" t="str">
        <f>HYPERLINK("Melting_Curves/meltCurve_P14735_IDE.pdf", "Melting_Curves/meltCurve_P14735_IDE.pdf")</f>
        <v>Melting_Curves/meltCurve_P14735_IDE.pdf</v>
      </c>
    </row>
    <row r="2183" spans="1:28" x14ac:dyDescent="0.25">
      <c r="A2183" t="s">
        <v>2187</v>
      </c>
      <c r="B2183">
        <v>0.99252571173614901</v>
      </c>
      <c r="C2183">
        <v>1.02435012565286</v>
      </c>
      <c r="D2183">
        <v>0.94868561170752796</v>
      </c>
      <c r="E2183">
        <v>0.77268837741121199</v>
      </c>
      <c r="F2183">
        <v>0.62094341560585797</v>
      </c>
      <c r="G2183">
        <v>0.62038854758421802</v>
      </c>
      <c r="H2183">
        <v>0.58984390788942798</v>
      </c>
      <c r="I2183">
        <v>0.81957058641009795</v>
      </c>
      <c r="J2183">
        <v>1.2667405980612001</v>
      </c>
      <c r="K2183">
        <v>1.2987969866447</v>
      </c>
      <c r="L2183">
        <v>15000</v>
      </c>
      <c r="M2183">
        <v>225.64777541444499</v>
      </c>
      <c r="O2183">
        <v>66.470063120609694</v>
      </c>
      <c r="P2183">
        <v>0.25378948129225298</v>
      </c>
      <c r="Q2183">
        <v>1.2990395566817401</v>
      </c>
      <c r="R2183">
        <v>8.5953468922359902E-2</v>
      </c>
      <c r="S2183" t="s">
        <v>8829</v>
      </c>
      <c r="T2183" t="s">
        <v>13290</v>
      </c>
      <c r="U2183" t="s">
        <v>13290</v>
      </c>
      <c r="V2183" t="s">
        <v>13290</v>
      </c>
      <c r="W2183" t="s">
        <v>15439</v>
      </c>
      <c r="X2183">
        <v>9</v>
      </c>
      <c r="Y2183" t="s">
        <v>21993</v>
      </c>
      <c r="Z2183" t="s">
        <v>28513</v>
      </c>
      <c r="AA2183">
        <v>1.0350915277769781</v>
      </c>
      <c r="AB2183" t="str">
        <f>HYPERLINK("Melting_Curves/meltCurve_P14854_COX6B1.pdf", "Melting_Curves/meltCurve_P14854_COX6B1.pdf")</f>
        <v>Melting_Curves/meltCurve_P14854_COX6B1.pdf</v>
      </c>
    </row>
    <row r="2184" spans="1:28" x14ac:dyDescent="0.25">
      <c r="A2184" t="s">
        <v>2188</v>
      </c>
      <c r="B2184">
        <v>0.99252571173614901</v>
      </c>
      <c r="C2184">
        <v>1.05727745858197</v>
      </c>
      <c r="D2184">
        <v>0.468154140396912</v>
      </c>
      <c r="E2184">
        <v>0.261379584802858</v>
      </c>
      <c r="F2184">
        <v>0.163578614142177</v>
      </c>
      <c r="G2184">
        <v>9.6719497271808993E-2</v>
      </c>
      <c r="H2184">
        <v>7.8969387821927306E-2</v>
      </c>
      <c r="I2184">
        <v>8.3879607477958196E-2</v>
      </c>
      <c r="J2184">
        <v>0.12966093502222201</v>
      </c>
      <c r="K2184">
        <v>0.13411576304519501</v>
      </c>
      <c r="L2184">
        <v>11478.4183690723</v>
      </c>
      <c r="M2184">
        <v>250</v>
      </c>
      <c r="N2184">
        <v>45.971782045878598</v>
      </c>
      <c r="O2184">
        <v>45.910735815147802</v>
      </c>
      <c r="P2184">
        <v>-1.1769144033872001</v>
      </c>
      <c r="Q2184">
        <v>0.13547191058925701</v>
      </c>
      <c r="R2184">
        <v>0.97850084258856795</v>
      </c>
      <c r="S2184" t="s">
        <v>8830</v>
      </c>
      <c r="T2184" t="s">
        <v>13290</v>
      </c>
      <c r="U2184" t="s">
        <v>13290</v>
      </c>
      <c r="V2184" t="s">
        <v>13290</v>
      </c>
      <c r="W2184" t="s">
        <v>15440</v>
      </c>
      <c r="X2184">
        <v>23</v>
      </c>
      <c r="Y2184" t="s">
        <v>21994</v>
      </c>
      <c r="Z2184" t="s">
        <v>28514</v>
      </c>
      <c r="AA2184">
        <v>0.30595946674068208</v>
      </c>
      <c r="AB2184" t="str">
        <f>HYPERLINK("Melting_Curves/meltCurve_P14866_HNRNPL.pdf", "Melting_Curves/meltCurve_P14866_HNRNPL.pdf")</f>
        <v>Melting_Curves/meltCurve_P14866_HNRNPL.pdf</v>
      </c>
    </row>
    <row r="2185" spans="1:28" x14ac:dyDescent="0.25">
      <c r="A2185" t="s">
        <v>2189</v>
      </c>
      <c r="B2185">
        <v>0.99252571173614901</v>
      </c>
      <c r="C2185">
        <v>0.94721863655271799</v>
      </c>
      <c r="D2185">
        <v>0.99302370977578103</v>
      </c>
      <c r="E2185">
        <v>0.79743431322432001</v>
      </c>
      <c r="F2185">
        <v>0.69586308077413905</v>
      </c>
      <c r="G2185">
        <v>0.402786794693761</v>
      </c>
      <c r="H2185">
        <v>0.12011679331691701</v>
      </c>
      <c r="I2185">
        <v>8.9440637336700796E-2</v>
      </c>
      <c r="J2185">
        <v>9.4169962599576496E-2</v>
      </c>
      <c r="K2185">
        <v>9.1341930323338302E-2</v>
      </c>
      <c r="L2185">
        <v>971.98642760716302</v>
      </c>
      <c r="M2185">
        <v>17.717009926353899</v>
      </c>
      <c r="N2185">
        <v>55.113474339447897</v>
      </c>
      <c r="O2185">
        <v>54.177143578377901</v>
      </c>
      <c r="P2185">
        <v>-7.8581781561583006E-2</v>
      </c>
      <c r="Q2185">
        <v>3.8864260417446603E-2</v>
      </c>
      <c r="R2185">
        <v>0.98838598056597404</v>
      </c>
      <c r="S2185" t="s">
        <v>8831</v>
      </c>
      <c r="T2185" t="s">
        <v>13290</v>
      </c>
      <c r="U2185" t="s">
        <v>13290</v>
      </c>
      <c r="V2185" t="s">
        <v>13290</v>
      </c>
      <c r="W2185" t="s">
        <v>15441</v>
      </c>
      <c r="X2185">
        <v>38</v>
      </c>
      <c r="Y2185" t="s">
        <v>21995</v>
      </c>
      <c r="Z2185" t="s">
        <v>28515</v>
      </c>
      <c r="AA2185">
        <v>0.53027839630811779</v>
      </c>
      <c r="AB2185" t="str">
        <f>HYPERLINK("Melting_Curves/meltCurve_P14868_DARS.pdf", "Melting_Curves/meltCurve_P14868_DARS.pdf")</f>
        <v>Melting_Curves/meltCurve_P14868_DARS.pdf</v>
      </c>
    </row>
    <row r="2186" spans="1:28" x14ac:dyDescent="0.25">
      <c r="A2186" t="s">
        <v>2190</v>
      </c>
      <c r="B2186">
        <v>0.99252571173614901</v>
      </c>
      <c r="C2186">
        <v>0.89692215027770394</v>
      </c>
      <c r="D2186">
        <v>0.71436588382655797</v>
      </c>
      <c r="E2186">
        <v>0.4826111395089</v>
      </c>
      <c r="F2186">
        <v>0.20923072768245399</v>
      </c>
      <c r="G2186">
        <v>0.101197279209202</v>
      </c>
      <c r="H2186">
        <v>6.6955333447016596E-2</v>
      </c>
      <c r="I2186">
        <v>7.5343435890877303E-2</v>
      </c>
      <c r="J2186">
        <v>7.66844708599453E-2</v>
      </c>
      <c r="K2186">
        <v>7.71460083252717E-2</v>
      </c>
      <c r="L2186">
        <v>831.55039004857895</v>
      </c>
      <c r="M2186">
        <v>17.128873970084101</v>
      </c>
      <c r="N2186">
        <v>48.8756864114021</v>
      </c>
      <c r="O2186">
        <v>47.899506972503403</v>
      </c>
      <c r="P2186">
        <v>-8.4537469068100696E-2</v>
      </c>
      <c r="Q2186">
        <v>5.4448018684802903E-2</v>
      </c>
      <c r="R2186">
        <v>0.996507572088282</v>
      </c>
      <c r="S2186" t="s">
        <v>8832</v>
      </c>
      <c r="T2186" t="s">
        <v>13290</v>
      </c>
      <c r="U2186" t="s">
        <v>13290</v>
      </c>
      <c r="V2186" t="s">
        <v>13290</v>
      </c>
      <c r="W2186" t="s">
        <v>13924</v>
      </c>
      <c r="X2186">
        <v>19</v>
      </c>
      <c r="Y2186" t="s">
        <v>20513</v>
      </c>
      <c r="Z2186" t="s">
        <v>28516</v>
      </c>
      <c r="AA2186">
        <v>0.34210821551621329</v>
      </c>
      <c r="AB2186" t="str">
        <f>HYPERLINK("Melting_Curves/meltCurve_P14923_JUP.pdf", "Melting_Curves/meltCurve_P14923_JUP.pdf")</f>
        <v>Melting_Curves/meltCurve_P14923_JUP.pdf</v>
      </c>
    </row>
    <row r="2187" spans="1:28" x14ac:dyDescent="0.25">
      <c r="A2187" t="s">
        <v>2191</v>
      </c>
      <c r="B2187">
        <v>0.99252571173614901</v>
      </c>
      <c r="C2187">
        <v>0.96085291749319901</v>
      </c>
      <c r="D2187">
        <v>0.89896538806682003</v>
      </c>
      <c r="E2187">
        <v>0.81586909383529005</v>
      </c>
      <c r="F2187">
        <v>0.727975928630054</v>
      </c>
      <c r="G2187">
        <v>0.624398725131175</v>
      </c>
      <c r="H2187">
        <v>0.72363298800761999</v>
      </c>
      <c r="I2187">
        <v>1.7606582658809</v>
      </c>
      <c r="J2187">
        <v>3.37081786240788</v>
      </c>
      <c r="K2187">
        <v>3.4306010240740399</v>
      </c>
      <c r="L2187">
        <v>1963.1966916091801</v>
      </c>
      <c r="M2187">
        <v>32.233461043641398</v>
      </c>
      <c r="O2187">
        <v>60.672580721058601</v>
      </c>
      <c r="P2187">
        <v>6.6408966158983507E-2</v>
      </c>
      <c r="Q2187">
        <v>1.5</v>
      </c>
      <c r="R2187">
        <v>0.24109212634239499</v>
      </c>
      <c r="S2187" t="s">
        <v>8833</v>
      </c>
      <c r="T2187" t="s">
        <v>13290</v>
      </c>
      <c r="U2187" t="s">
        <v>13290</v>
      </c>
      <c r="V2187" t="s">
        <v>13290</v>
      </c>
      <c r="W2187" t="s">
        <v>15442</v>
      </c>
      <c r="X2187">
        <v>12</v>
      </c>
      <c r="Y2187" t="s">
        <v>21996</v>
      </c>
      <c r="Z2187" t="s">
        <v>28517</v>
      </c>
      <c r="AA2187">
        <v>1.148993097394549</v>
      </c>
      <c r="AB2187" t="str">
        <f>HYPERLINK("Melting_Curves/meltCurve_P14927_UQCRB.pdf", "Melting_Curves/meltCurve_P14927_UQCRB.pdf")</f>
        <v>Melting_Curves/meltCurve_P14927_UQCRB.pdf</v>
      </c>
    </row>
    <row r="2188" spans="1:28" x14ac:dyDescent="0.25">
      <c r="A2188" t="s">
        <v>2192</v>
      </c>
      <c r="B2188">
        <v>0.99252571173614901</v>
      </c>
      <c r="C2188">
        <v>0.89700234955870295</v>
      </c>
      <c r="D2188">
        <v>1.3060703056470999</v>
      </c>
      <c r="E2188">
        <v>1.4272175602243999</v>
      </c>
      <c r="F2188">
        <v>1.1320496888768199</v>
      </c>
      <c r="G2188">
        <v>0.80724864000312402</v>
      </c>
      <c r="H2188">
        <v>0.16027482878097499</v>
      </c>
      <c r="I2188">
        <v>0.196043556192145</v>
      </c>
      <c r="J2188">
        <v>0.196533488034591</v>
      </c>
      <c r="K2188">
        <v>0.18806011755074301</v>
      </c>
      <c r="L2188">
        <v>14266.5452985469</v>
      </c>
      <c r="M2188">
        <v>250</v>
      </c>
      <c r="N2188">
        <v>57.172005949678301</v>
      </c>
      <c r="O2188">
        <v>57.062529092706399</v>
      </c>
      <c r="P2188">
        <v>-0.89241141932455204</v>
      </c>
      <c r="Q2188">
        <v>0.18522795621920299</v>
      </c>
      <c r="R2188">
        <v>0.86558545725062797</v>
      </c>
      <c r="S2188" t="s">
        <v>8834</v>
      </c>
      <c r="T2188" t="s">
        <v>13290</v>
      </c>
      <c r="U2188" t="s">
        <v>13290</v>
      </c>
      <c r="V2188" t="s">
        <v>13290</v>
      </c>
      <c r="W2188" t="s">
        <v>15443</v>
      </c>
      <c r="X2188">
        <v>9</v>
      </c>
      <c r="Y2188" t="s">
        <v>21997</v>
      </c>
      <c r="Z2188" t="s">
        <v>28518</v>
      </c>
      <c r="AA2188">
        <v>0.64881113355516007</v>
      </c>
      <c r="AB2188" t="str">
        <f>HYPERLINK("Melting_Curves/meltCurve_P15104_GLUL.pdf", "Melting_Curves/meltCurve_P15104_GLUL.pdf")</f>
        <v>Melting_Curves/meltCurve_P15104_GLUL.pdf</v>
      </c>
    </row>
    <row r="2189" spans="1:28" x14ac:dyDescent="0.25">
      <c r="A2189" t="s">
        <v>2193</v>
      </c>
      <c r="B2189">
        <v>0.99252571173614901</v>
      </c>
      <c r="C2189">
        <v>0.98904663092462597</v>
      </c>
      <c r="D2189">
        <v>0.87630679113566601</v>
      </c>
      <c r="E2189">
        <v>0.85431166142549797</v>
      </c>
      <c r="F2189">
        <v>0.69305857283273498</v>
      </c>
      <c r="G2189">
        <v>0.48798897959323501</v>
      </c>
      <c r="H2189">
        <v>0.41287931762783697</v>
      </c>
      <c r="I2189">
        <v>0.57745840725340103</v>
      </c>
      <c r="J2189">
        <v>0.93215902296400199</v>
      </c>
      <c r="K2189">
        <v>0.65797235016226097</v>
      </c>
      <c r="L2189">
        <v>1304.26561904964</v>
      </c>
      <c r="M2189">
        <v>26.310750093062602</v>
      </c>
      <c r="O2189">
        <v>49.287882505393803</v>
      </c>
      <c r="P2189">
        <v>-5.0999075276525203E-2</v>
      </c>
      <c r="Q2189">
        <v>0.61785830214528403</v>
      </c>
      <c r="R2189">
        <v>0.56330053648509604</v>
      </c>
      <c r="S2189" t="s">
        <v>8835</v>
      </c>
      <c r="T2189" t="s">
        <v>13290</v>
      </c>
      <c r="U2189" t="s">
        <v>13290</v>
      </c>
      <c r="V2189" t="s">
        <v>13290</v>
      </c>
      <c r="W2189" t="s">
        <v>15444</v>
      </c>
      <c r="X2189">
        <v>11</v>
      </c>
      <c r="Y2189" t="s">
        <v>21998</v>
      </c>
      <c r="Z2189" t="s">
        <v>28519</v>
      </c>
      <c r="AA2189">
        <v>0.74284759306888826</v>
      </c>
      <c r="AB2189" t="str">
        <f>HYPERLINK("Melting_Curves/meltCurve_P15144_ANPEP.pdf", "Melting_Curves/meltCurve_P15144_ANPEP.pdf")</f>
        <v>Melting_Curves/meltCurve_P15144_ANPEP.pdf</v>
      </c>
    </row>
    <row r="2190" spans="1:28" x14ac:dyDescent="0.25">
      <c r="A2190" t="s">
        <v>2194</v>
      </c>
      <c r="B2190">
        <v>0.99252571173614901</v>
      </c>
      <c r="C2190">
        <v>0.94352871889768797</v>
      </c>
      <c r="D2190">
        <v>0.89720380955940005</v>
      </c>
      <c r="E2190">
        <v>0.89636684182190596</v>
      </c>
      <c r="F2190">
        <v>0.707549483976881</v>
      </c>
      <c r="G2190">
        <v>0.59712910511098405</v>
      </c>
      <c r="H2190">
        <v>0.39693423269582001</v>
      </c>
      <c r="I2190">
        <v>0.441101907304975</v>
      </c>
      <c r="J2190">
        <v>0.65729995711815503</v>
      </c>
      <c r="K2190">
        <v>0.51790855442586703</v>
      </c>
      <c r="L2190">
        <v>1123.1870740853201</v>
      </c>
      <c r="M2190">
        <v>21.5609741485525</v>
      </c>
      <c r="O2190">
        <v>51.651609152825998</v>
      </c>
      <c r="P2190">
        <v>-5.1920467371303201E-2</v>
      </c>
      <c r="Q2190">
        <v>0.50248799936960897</v>
      </c>
      <c r="R2190">
        <v>0.87420746056241105</v>
      </c>
      <c r="S2190" t="s">
        <v>8836</v>
      </c>
      <c r="T2190" t="s">
        <v>13290</v>
      </c>
      <c r="U2190" t="s">
        <v>13290</v>
      </c>
      <c r="V2190" t="s">
        <v>13290</v>
      </c>
      <c r="W2190" t="s">
        <v>15445</v>
      </c>
      <c r="X2190">
        <v>4</v>
      </c>
      <c r="Y2190" t="s">
        <v>21999</v>
      </c>
      <c r="Z2190" t="s">
        <v>28520</v>
      </c>
      <c r="AA2190">
        <v>0.70904971538823247</v>
      </c>
      <c r="AB2190" t="str">
        <f>HYPERLINK("Melting_Curves/meltCurve_P15151_3_PVR.pdf", "Melting_Curves/meltCurve_P15151_3_PVR.pdf")</f>
        <v>Melting_Curves/meltCurve_P15151_3_PVR.pdf</v>
      </c>
    </row>
    <row r="2191" spans="1:28" x14ac:dyDescent="0.25">
      <c r="A2191" t="s">
        <v>2195</v>
      </c>
      <c r="B2191">
        <v>0.99252571173614901</v>
      </c>
      <c r="C2191">
        <v>1.09218541007771</v>
      </c>
      <c r="D2191">
        <v>1.0023587074862299</v>
      </c>
      <c r="E2191">
        <v>0.95253833418421696</v>
      </c>
      <c r="F2191">
        <v>0.60071755559650797</v>
      </c>
      <c r="G2191">
        <v>0.20583632891518799</v>
      </c>
      <c r="H2191">
        <v>9.0737019979464803E-2</v>
      </c>
      <c r="I2191">
        <v>9.4212927004785105E-2</v>
      </c>
      <c r="J2191">
        <v>0.107383087521912</v>
      </c>
      <c r="K2191">
        <v>0.105698747488418</v>
      </c>
      <c r="L2191">
        <v>1926.1607846075301</v>
      </c>
      <c r="M2191">
        <v>35.965027133125801</v>
      </c>
      <c r="N2191">
        <v>53.879108555026001</v>
      </c>
      <c r="O2191">
        <v>53.391724688083997</v>
      </c>
      <c r="P2191">
        <v>-0.15208889034643899</v>
      </c>
      <c r="Q2191">
        <v>9.6871268506218799E-2</v>
      </c>
      <c r="R2191">
        <v>0.994850370456422</v>
      </c>
      <c r="S2191" t="s">
        <v>8837</v>
      </c>
      <c r="T2191" t="s">
        <v>13290</v>
      </c>
      <c r="U2191" t="s">
        <v>13290</v>
      </c>
      <c r="V2191" t="s">
        <v>13290</v>
      </c>
      <c r="W2191" t="s">
        <v>15446</v>
      </c>
      <c r="X2191">
        <v>34</v>
      </c>
      <c r="Y2191" t="s">
        <v>22000</v>
      </c>
      <c r="Z2191" t="s">
        <v>28521</v>
      </c>
      <c r="AA2191">
        <v>0.50910791653181764</v>
      </c>
      <c r="AB2191" t="str">
        <f>HYPERLINK("Melting_Curves/meltCurve_P15170_2_GSPT1.pdf", "Melting_Curves/meltCurve_P15170_2_GSPT1.pdf")</f>
        <v>Melting_Curves/meltCurve_P15170_2_GSPT1.pdf</v>
      </c>
    </row>
    <row r="2192" spans="1:28" x14ac:dyDescent="0.25">
      <c r="A2192" t="s">
        <v>2196</v>
      </c>
      <c r="B2192">
        <v>0.99252571173614901</v>
      </c>
      <c r="C2192">
        <v>1.0728040538094401</v>
      </c>
      <c r="D2192">
        <v>1.06011110156169</v>
      </c>
      <c r="E2192">
        <v>1.42182531468027</v>
      </c>
      <c r="F2192">
        <v>1.09649388684202</v>
      </c>
      <c r="G2192">
        <v>0.86105176319767196</v>
      </c>
      <c r="H2192">
        <v>0.79970287166812903</v>
      </c>
      <c r="I2192">
        <v>0.95312039281362304</v>
      </c>
      <c r="J2192">
        <v>0.99920257493213904</v>
      </c>
      <c r="K2192">
        <v>0.62030038244421404</v>
      </c>
      <c r="L2192">
        <v>10666.424744817899</v>
      </c>
      <c r="M2192">
        <v>151.88667258003699</v>
      </c>
      <c r="Q2192">
        <v>0</v>
      </c>
      <c r="R2192">
        <v>0.35620904332208803</v>
      </c>
      <c r="S2192" t="s">
        <v>8838</v>
      </c>
      <c r="T2192" t="s">
        <v>13290</v>
      </c>
      <c r="U2192" t="s">
        <v>13290</v>
      </c>
      <c r="V2192" t="s">
        <v>13290</v>
      </c>
      <c r="W2192" t="s">
        <v>15447</v>
      </c>
      <c r="X2192">
        <v>5</v>
      </c>
      <c r="Y2192" t="s">
        <v>22001</v>
      </c>
      <c r="Z2192" t="s">
        <v>28522</v>
      </c>
      <c r="AA2192">
        <v>0.99279317232771136</v>
      </c>
      <c r="AB2192" t="str">
        <f>HYPERLINK("Melting_Curves/meltCurve_P15289_ARSA.pdf", "Melting_Curves/meltCurve_P15289_ARSA.pdf")</f>
        <v>Melting_Curves/meltCurve_P15289_ARSA.pdf</v>
      </c>
    </row>
    <row r="2193" spans="1:28" x14ac:dyDescent="0.25">
      <c r="A2193" t="s">
        <v>2197</v>
      </c>
      <c r="B2193">
        <v>0.99252571173614901</v>
      </c>
      <c r="C2193">
        <v>0.97149738772068694</v>
      </c>
      <c r="D2193">
        <v>0.89193873827805503</v>
      </c>
      <c r="E2193">
        <v>0.71994998985279801</v>
      </c>
      <c r="F2193">
        <v>0.208202861151038</v>
      </c>
      <c r="G2193">
        <v>8.5339895383571396E-2</v>
      </c>
      <c r="H2193">
        <v>5.3927251761647997E-2</v>
      </c>
      <c r="I2193">
        <v>6.3985233848840806E-2</v>
      </c>
      <c r="J2193">
        <v>9.8906417267233399E-2</v>
      </c>
      <c r="K2193">
        <v>9.1236842255372902E-2</v>
      </c>
      <c r="L2193">
        <v>1719.28298873995</v>
      </c>
      <c r="M2193">
        <v>33.937773187706398</v>
      </c>
      <c r="N2193">
        <v>50.891181826830397</v>
      </c>
      <c r="O2193">
        <v>50.484950069488796</v>
      </c>
      <c r="P2193">
        <v>-0.15604801335922999</v>
      </c>
      <c r="Q2193">
        <v>7.14720168796662E-2</v>
      </c>
      <c r="R2193">
        <v>0.99394006396168699</v>
      </c>
      <c r="S2193" t="s">
        <v>8839</v>
      </c>
      <c r="T2193" t="s">
        <v>13290</v>
      </c>
      <c r="U2193" t="s">
        <v>13290</v>
      </c>
      <c r="V2193" t="s">
        <v>13290</v>
      </c>
      <c r="W2193" t="s">
        <v>15448</v>
      </c>
      <c r="X2193">
        <v>2</v>
      </c>
      <c r="Y2193" t="s">
        <v>22002</v>
      </c>
      <c r="Z2193" t="s">
        <v>28523</v>
      </c>
      <c r="AA2193">
        <v>0.40593378760169618</v>
      </c>
      <c r="AB2193" t="str">
        <f>HYPERLINK("Melting_Curves/meltCurve_P15291_2_B4GALT1.pdf", "Melting_Curves/meltCurve_P15291_2_B4GALT1.pdf")</f>
        <v>Melting_Curves/meltCurve_P15291_2_B4GALT1.pdf</v>
      </c>
    </row>
    <row r="2194" spans="1:28" x14ac:dyDescent="0.25">
      <c r="A2194" t="s">
        <v>2198</v>
      </c>
      <c r="B2194">
        <v>0.99252571173614901</v>
      </c>
      <c r="C2194">
        <v>1.02361385819789</v>
      </c>
      <c r="D2194">
        <v>0.86230374364751905</v>
      </c>
      <c r="E2194">
        <v>0.80072561879481596</v>
      </c>
      <c r="F2194">
        <v>0.195899230803289</v>
      </c>
      <c r="G2194">
        <v>0.11352181012762801</v>
      </c>
      <c r="H2194">
        <v>6.3727981342083295E-2</v>
      </c>
      <c r="I2194">
        <v>6.6908410822765205E-2</v>
      </c>
      <c r="J2194">
        <v>8.6034846663394504E-2</v>
      </c>
      <c r="K2194">
        <v>8.3806726139736998E-2</v>
      </c>
      <c r="L2194">
        <v>2172.3164898988498</v>
      </c>
      <c r="M2194">
        <v>42.609070600013702</v>
      </c>
      <c r="N2194">
        <v>51.186316898203003</v>
      </c>
      <c r="O2194">
        <v>50.870551329281298</v>
      </c>
      <c r="P2194">
        <v>-0.19306035585755099</v>
      </c>
      <c r="Q2194">
        <v>7.8029596430327197E-2</v>
      </c>
      <c r="R2194">
        <v>0.98867335078456597</v>
      </c>
      <c r="S2194" t="s">
        <v>8840</v>
      </c>
      <c r="T2194" t="s">
        <v>13290</v>
      </c>
      <c r="U2194" t="s">
        <v>13290</v>
      </c>
      <c r="V2194" t="s">
        <v>13290</v>
      </c>
      <c r="W2194" t="s">
        <v>15449</v>
      </c>
      <c r="X2194">
        <v>61</v>
      </c>
      <c r="Y2194" t="s">
        <v>22003</v>
      </c>
      <c r="Z2194" t="s">
        <v>28524</v>
      </c>
      <c r="AA2194">
        <v>0.41840791297158209</v>
      </c>
      <c r="AB2194" t="str">
        <f>HYPERLINK("Melting_Curves/meltCurve_P15311_EZR.pdf", "Melting_Curves/meltCurve_P15311_EZR.pdf")</f>
        <v>Melting_Curves/meltCurve_P15311_EZR.pdf</v>
      </c>
    </row>
    <row r="2195" spans="1:28" x14ac:dyDescent="0.25">
      <c r="A2195" t="s">
        <v>2199</v>
      </c>
      <c r="B2195">
        <v>0.99252571173614901</v>
      </c>
      <c r="C2195">
        <v>1.0649916814491001</v>
      </c>
      <c r="D2195">
        <v>0.93138813350665395</v>
      </c>
      <c r="E2195">
        <v>0.66991761944890305</v>
      </c>
      <c r="F2195">
        <v>0.23414351583777601</v>
      </c>
      <c r="G2195">
        <v>0.11014219126502101</v>
      </c>
      <c r="H2195">
        <v>7.5205475328121205E-2</v>
      </c>
      <c r="I2195">
        <v>6.9420353462818302E-2</v>
      </c>
      <c r="J2195">
        <v>7.4016697993291095E-2</v>
      </c>
      <c r="K2195">
        <v>7.1747619249838898E-2</v>
      </c>
      <c r="L2195">
        <v>1519.1122544688999</v>
      </c>
      <c r="M2195">
        <v>30.0604264651632</v>
      </c>
      <c r="N2195">
        <v>50.795077012519201</v>
      </c>
      <c r="O2195">
        <v>50.313227071328498</v>
      </c>
      <c r="P2195">
        <v>-0.138724393503947</v>
      </c>
      <c r="Q2195">
        <v>7.1253854717723497E-2</v>
      </c>
      <c r="R2195">
        <v>0.99671157881429695</v>
      </c>
      <c r="S2195" t="s">
        <v>8841</v>
      </c>
      <c r="T2195" t="s">
        <v>13290</v>
      </c>
      <c r="U2195" t="s">
        <v>13290</v>
      </c>
      <c r="V2195" t="s">
        <v>13290</v>
      </c>
      <c r="W2195" t="s">
        <v>15450</v>
      </c>
      <c r="X2195">
        <v>19</v>
      </c>
      <c r="Y2195" t="s">
        <v>22004</v>
      </c>
      <c r="Z2195" t="s">
        <v>28525</v>
      </c>
      <c r="AA2195">
        <v>0.40317894473564092</v>
      </c>
      <c r="AB2195" t="str">
        <f>HYPERLINK("Melting_Curves/meltCurve_P15374_UCHL3.pdf", "Melting_Curves/meltCurve_P15374_UCHL3.pdf")</f>
        <v>Melting_Curves/meltCurve_P15374_UCHL3.pdf</v>
      </c>
    </row>
    <row r="2196" spans="1:28" x14ac:dyDescent="0.25">
      <c r="A2196" t="s">
        <v>2200</v>
      </c>
      <c r="B2196">
        <v>0.99252571173614901</v>
      </c>
      <c r="C2196">
        <v>1.08955641061803</v>
      </c>
      <c r="D2196">
        <v>0.84740150608954201</v>
      </c>
      <c r="E2196">
        <v>0.90653396919017404</v>
      </c>
      <c r="F2196">
        <v>0.66158274526929794</v>
      </c>
      <c r="G2196">
        <v>0.52930390539883798</v>
      </c>
      <c r="H2196">
        <v>0.52648591665255695</v>
      </c>
      <c r="I2196">
        <v>0.54184489489134202</v>
      </c>
      <c r="J2196">
        <v>1.2871471321911101</v>
      </c>
      <c r="K2196">
        <v>1.6442184738600301</v>
      </c>
      <c r="L2196">
        <v>526.96836406775105</v>
      </c>
      <c r="M2196">
        <v>1.0000000000000001E-5</v>
      </c>
      <c r="Q2196">
        <v>1.5</v>
      </c>
      <c r="R2196">
        <v>-7.7954531542604899E-2</v>
      </c>
      <c r="S2196" t="s">
        <v>8842</v>
      </c>
      <c r="T2196" t="s">
        <v>13290</v>
      </c>
      <c r="U2196" t="s">
        <v>13290</v>
      </c>
      <c r="V2196" t="s">
        <v>13290</v>
      </c>
      <c r="W2196" t="s">
        <v>15451</v>
      </c>
      <c r="X2196">
        <v>2</v>
      </c>
      <c r="Y2196" t="s">
        <v>22005</v>
      </c>
      <c r="Z2196" t="s">
        <v>28526</v>
      </c>
      <c r="AA2196">
        <v>1.000067015472244</v>
      </c>
      <c r="AB2196" t="str">
        <f>HYPERLINK("Melting_Curves/meltCurve_P15407_FOSL1.pdf", "Melting_Curves/meltCurve_P15407_FOSL1.pdf")</f>
        <v>Melting_Curves/meltCurve_P15407_FOSL1.pdf</v>
      </c>
    </row>
    <row r="2197" spans="1:28" x14ac:dyDescent="0.25">
      <c r="A2197" t="s">
        <v>2201</v>
      </c>
      <c r="B2197">
        <v>0.99252571173614901</v>
      </c>
      <c r="C2197">
        <v>0.90107367135791006</v>
      </c>
      <c r="D2197">
        <v>0.85510608912325503</v>
      </c>
      <c r="E2197">
        <v>0.76146332510713199</v>
      </c>
      <c r="F2197">
        <v>0.70680223134979703</v>
      </c>
      <c r="G2197">
        <v>0.54146982725918202</v>
      </c>
      <c r="H2197">
        <v>0.39678120389082799</v>
      </c>
      <c r="I2197">
        <v>0.39978392332665602</v>
      </c>
      <c r="J2197">
        <v>0.55365464283822496</v>
      </c>
      <c r="K2197">
        <v>0.39929236973510901</v>
      </c>
      <c r="L2197">
        <v>562.83301041992104</v>
      </c>
      <c r="M2197">
        <v>10.915753936311701</v>
      </c>
      <c r="N2197">
        <v>59.655677282400902</v>
      </c>
      <c r="O2197">
        <v>49.921613020309799</v>
      </c>
      <c r="P2197">
        <v>-3.3559143744710501E-2</v>
      </c>
      <c r="Q2197">
        <v>0.386301823908141</v>
      </c>
      <c r="R2197">
        <v>0.92878468272836101</v>
      </c>
      <c r="S2197" t="s">
        <v>8843</v>
      </c>
      <c r="T2197" t="s">
        <v>13290</v>
      </c>
      <c r="U2197" t="s">
        <v>13290</v>
      </c>
      <c r="V2197" t="s">
        <v>13290</v>
      </c>
      <c r="W2197" t="s">
        <v>15452</v>
      </c>
      <c r="X2197">
        <v>7</v>
      </c>
      <c r="Y2197" t="s">
        <v>22006</v>
      </c>
      <c r="Z2197" t="s">
        <v>28527</v>
      </c>
      <c r="AA2197">
        <v>0.64466912279732469</v>
      </c>
      <c r="AB2197" t="str">
        <f>HYPERLINK("Melting_Curves/meltCurve_P15529_7_CD46.pdf", "Melting_Curves/meltCurve_P15529_7_CD46.pdf")</f>
        <v>Melting_Curves/meltCurve_P15529_7_CD46.pdf</v>
      </c>
    </row>
    <row r="2198" spans="1:28" x14ac:dyDescent="0.25">
      <c r="A2198" t="s">
        <v>2202</v>
      </c>
      <c r="B2198">
        <v>0.99252571173614901</v>
      </c>
      <c r="C2198">
        <v>1.09783729507962</v>
      </c>
      <c r="D2198">
        <v>1.034790272495</v>
      </c>
      <c r="E2198">
        <v>1.01097830149637</v>
      </c>
      <c r="F2198">
        <v>0.95223567572528101</v>
      </c>
      <c r="G2198">
        <v>0.69750093905990096</v>
      </c>
      <c r="H2198">
        <v>0.66098383207897504</v>
      </c>
      <c r="I2198">
        <v>0.84196504264302996</v>
      </c>
      <c r="J2198">
        <v>0.74074433854310995</v>
      </c>
      <c r="K2198">
        <v>0.50927247403431297</v>
      </c>
      <c r="L2198">
        <v>4418.9155837438102</v>
      </c>
      <c r="M2198">
        <v>81.350418775091597</v>
      </c>
      <c r="O2198">
        <v>54.286719697885701</v>
      </c>
      <c r="P2198">
        <v>-0.11675738051713901</v>
      </c>
      <c r="Q2198">
        <v>0.68834213702540203</v>
      </c>
      <c r="R2198">
        <v>0.79325090890609096</v>
      </c>
      <c r="S2198" t="s">
        <v>8844</v>
      </c>
      <c r="T2198" t="s">
        <v>13290</v>
      </c>
      <c r="U2198" t="s">
        <v>13290</v>
      </c>
      <c r="V2198" t="s">
        <v>13290</v>
      </c>
      <c r="W2198" t="s">
        <v>15453</v>
      </c>
      <c r="X2198">
        <v>14</v>
      </c>
      <c r="Y2198" t="s">
        <v>22007</v>
      </c>
      <c r="Z2198" t="s">
        <v>28528</v>
      </c>
      <c r="AA2198">
        <v>0.83738293568954236</v>
      </c>
      <c r="AB2198" t="str">
        <f>HYPERLINK("Melting_Curves/meltCurve_P15531_NME1.pdf", "Melting_Curves/meltCurve_P15531_NME1.pdf")</f>
        <v>Melting_Curves/meltCurve_P15531_NME1.pdf</v>
      </c>
    </row>
    <row r="2199" spans="1:28" x14ac:dyDescent="0.25">
      <c r="A2199" t="s">
        <v>2203</v>
      </c>
      <c r="B2199">
        <v>0.99252571173614901</v>
      </c>
      <c r="C2199">
        <v>0.79676961414672598</v>
      </c>
      <c r="D2199">
        <v>0.79941033275478701</v>
      </c>
      <c r="E2199">
        <v>0.62549756309634597</v>
      </c>
      <c r="F2199">
        <v>0.29291313641350702</v>
      </c>
      <c r="G2199">
        <v>0.21563843086267001</v>
      </c>
      <c r="H2199">
        <v>0.23678976384627901</v>
      </c>
      <c r="I2199">
        <v>0.40215995625531897</v>
      </c>
      <c r="J2199">
        <v>1.2393874940446501</v>
      </c>
      <c r="K2199">
        <v>1.9376673946437599</v>
      </c>
      <c r="L2199">
        <v>1759.89157549068</v>
      </c>
      <c r="M2199">
        <v>41.691581572307399</v>
      </c>
      <c r="O2199">
        <v>42.115388241253797</v>
      </c>
      <c r="P2199">
        <v>-7.0246435252860701E-2</v>
      </c>
      <c r="Q2199">
        <v>0.71615846605441003</v>
      </c>
      <c r="R2199">
        <v>2.6582919522238301E-2</v>
      </c>
      <c r="S2199" t="s">
        <v>8845</v>
      </c>
      <c r="T2199" t="s">
        <v>13290</v>
      </c>
      <c r="U2199" t="s">
        <v>13290</v>
      </c>
      <c r="V2199" t="s">
        <v>13290</v>
      </c>
      <c r="W2199" t="s">
        <v>15454</v>
      </c>
      <c r="X2199">
        <v>2</v>
      </c>
      <c r="Y2199" t="s">
        <v>22008</v>
      </c>
      <c r="Z2199" t="s">
        <v>28529</v>
      </c>
      <c r="AA2199">
        <v>0.73863232729480566</v>
      </c>
      <c r="AB2199" t="str">
        <f>HYPERLINK("Melting_Curves/meltCurve_P15822_HIVEP1.pdf", "Melting_Curves/meltCurve_P15822_HIVEP1.pdf")</f>
        <v>Melting_Curves/meltCurve_P15822_HIVEP1.pdf</v>
      </c>
    </row>
    <row r="2200" spans="1:28" x14ac:dyDescent="0.25">
      <c r="A2200" t="s">
        <v>2204</v>
      </c>
      <c r="B2200">
        <v>0.99252571173614901</v>
      </c>
      <c r="C2200">
        <v>1.0195329864165199</v>
      </c>
      <c r="D2200">
        <v>0.93916231997241895</v>
      </c>
      <c r="E2200">
        <v>0.84893127974053395</v>
      </c>
      <c r="F2200">
        <v>0.663195136060866</v>
      </c>
      <c r="G2200">
        <v>0.55853543511975601</v>
      </c>
      <c r="H2200">
        <v>0.53222602541831299</v>
      </c>
      <c r="I2200">
        <v>0.65566600765958805</v>
      </c>
      <c r="J2200">
        <v>0.67251080708085098</v>
      </c>
      <c r="K2200">
        <v>0.39530978472770301</v>
      </c>
      <c r="L2200">
        <v>1266.7621991555</v>
      </c>
      <c r="M2200">
        <v>24.989470844334001</v>
      </c>
      <c r="O2200">
        <v>50.370557726242097</v>
      </c>
      <c r="P2200">
        <v>-5.50450260990656E-2</v>
      </c>
      <c r="Q2200">
        <v>0.55619524643760898</v>
      </c>
      <c r="R2200">
        <v>0.87152310161659197</v>
      </c>
      <c r="S2200" t="s">
        <v>8846</v>
      </c>
      <c r="T2200" t="s">
        <v>13290</v>
      </c>
      <c r="U2200" t="s">
        <v>13290</v>
      </c>
      <c r="V2200" t="s">
        <v>13290</v>
      </c>
      <c r="W2200" t="s">
        <v>15455</v>
      </c>
      <c r="X2200">
        <v>10</v>
      </c>
      <c r="Y2200" t="s">
        <v>22009</v>
      </c>
      <c r="Z2200" t="s">
        <v>28530</v>
      </c>
      <c r="AA2200">
        <v>0.71836403812461513</v>
      </c>
      <c r="AB2200" t="str">
        <f>HYPERLINK("Melting_Curves/meltCurve_P15848_ARSB.pdf", "Melting_Curves/meltCurve_P15848_ARSB.pdf")</f>
        <v>Melting_Curves/meltCurve_P15848_ARSB.pdf</v>
      </c>
    </row>
    <row r="2201" spans="1:28" x14ac:dyDescent="0.25">
      <c r="A2201" t="s">
        <v>2205</v>
      </c>
      <c r="B2201">
        <v>0.99252571173614901</v>
      </c>
      <c r="C2201">
        <v>0.95922217096262097</v>
      </c>
      <c r="D2201">
        <v>0.98830398299385003</v>
      </c>
      <c r="E2201">
        <v>0.78937941278611401</v>
      </c>
      <c r="F2201">
        <v>0.33395362372227799</v>
      </c>
      <c r="G2201">
        <v>0.19439402167196601</v>
      </c>
      <c r="H2201">
        <v>0.102319174828969</v>
      </c>
      <c r="I2201">
        <v>0.103461202775955</v>
      </c>
      <c r="J2201">
        <v>0.115243103045224</v>
      </c>
      <c r="K2201">
        <v>0.113208109264107</v>
      </c>
      <c r="L2201">
        <v>1579.89531764511</v>
      </c>
      <c r="M2201">
        <v>30.715419633649098</v>
      </c>
      <c r="N2201">
        <v>51.865679768305398</v>
      </c>
      <c r="O2201">
        <v>51.220000247480499</v>
      </c>
      <c r="P2201">
        <v>-0.13309803519091701</v>
      </c>
      <c r="Q2201">
        <v>0.112206045525627</v>
      </c>
      <c r="R2201">
        <v>0.99758141124844302</v>
      </c>
      <c r="S2201" t="s">
        <v>8847</v>
      </c>
      <c r="T2201" t="s">
        <v>13290</v>
      </c>
      <c r="U2201" t="s">
        <v>13290</v>
      </c>
      <c r="V2201" t="s">
        <v>13290</v>
      </c>
      <c r="W2201" t="s">
        <v>15456</v>
      </c>
      <c r="X2201">
        <v>14</v>
      </c>
      <c r="Y2201" t="s">
        <v>22010</v>
      </c>
      <c r="Z2201" t="s">
        <v>28531</v>
      </c>
      <c r="AA2201">
        <v>0.45601294700292982</v>
      </c>
      <c r="AB2201" t="str">
        <f>HYPERLINK("Melting_Curves/meltCurve_P15880_RPS2.pdf", "Melting_Curves/meltCurve_P15880_RPS2.pdf")</f>
        <v>Melting_Curves/meltCurve_P15880_RPS2.pdf</v>
      </c>
    </row>
    <row r="2202" spans="1:28" x14ac:dyDescent="0.25">
      <c r="A2202" t="s">
        <v>2206</v>
      </c>
      <c r="B2202">
        <v>0.99252571173614901</v>
      </c>
      <c r="C2202">
        <v>1.0805777210908201</v>
      </c>
      <c r="D2202">
        <v>0.86416785868050505</v>
      </c>
      <c r="E2202">
        <v>0.61975788047366998</v>
      </c>
      <c r="F2202">
        <v>0.25078482441151301</v>
      </c>
      <c r="G2202">
        <v>0.123414302994882</v>
      </c>
      <c r="H2202">
        <v>0.102285963004109</v>
      </c>
      <c r="I2202">
        <v>0.10955043220114601</v>
      </c>
      <c r="J2202">
        <v>0.152426673656475</v>
      </c>
      <c r="K2202">
        <v>0.13879639558102999</v>
      </c>
      <c r="L2202">
        <v>1352.3742758557501</v>
      </c>
      <c r="M2202">
        <v>27.088195465674598</v>
      </c>
      <c r="N2202">
        <v>50.421737648135803</v>
      </c>
      <c r="O2202">
        <v>49.655148899933003</v>
      </c>
      <c r="P2202">
        <v>-0.12040672218205301</v>
      </c>
      <c r="Q2202">
        <v>0.11714234017233301</v>
      </c>
      <c r="R2202">
        <v>0.98981795161423802</v>
      </c>
      <c r="S2202" t="s">
        <v>8848</v>
      </c>
      <c r="T2202" t="s">
        <v>13290</v>
      </c>
      <c r="U2202" t="s">
        <v>13290</v>
      </c>
      <c r="V2202" t="s">
        <v>13290</v>
      </c>
      <c r="W2202" t="s">
        <v>15457</v>
      </c>
      <c r="X2202">
        <v>3</v>
      </c>
      <c r="Y2202" t="s">
        <v>22011</v>
      </c>
      <c r="Z2202" t="s">
        <v>28532</v>
      </c>
      <c r="AA2202">
        <v>0.41592288688636198</v>
      </c>
      <c r="AB2202" t="str">
        <f>HYPERLINK("Melting_Curves/meltCurve_P15882_3_CHN1.pdf", "Melting_Curves/meltCurve_P15882_3_CHN1.pdf")</f>
        <v>Melting_Curves/meltCurve_P15882_3_CHN1.pdf</v>
      </c>
    </row>
    <row r="2203" spans="1:28" x14ac:dyDescent="0.25">
      <c r="A2203" t="s">
        <v>2207</v>
      </c>
      <c r="B2203">
        <v>0.99252571173614901</v>
      </c>
      <c r="C2203">
        <v>0.72063088346806603</v>
      </c>
      <c r="D2203">
        <v>0.27111767767408301</v>
      </c>
      <c r="E2203">
        <v>0.14428240756879401</v>
      </c>
      <c r="F2203">
        <v>8.0395136378129201E-2</v>
      </c>
      <c r="G2203">
        <v>5.0064258497957197E-2</v>
      </c>
      <c r="H2203">
        <v>3.87604044290078E-2</v>
      </c>
      <c r="I2203">
        <v>4.42877486567676E-2</v>
      </c>
      <c r="J2203">
        <v>5.5174516350694799E-2</v>
      </c>
      <c r="K2203">
        <v>5.9172882982262198E-2</v>
      </c>
      <c r="L2203">
        <v>1303.1665551603701</v>
      </c>
      <c r="M2203">
        <v>29.491050470108</v>
      </c>
      <c r="N2203">
        <v>44.379097527611798</v>
      </c>
      <c r="O2203">
        <v>43.9868756579245</v>
      </c>
      <c r="P2203">
        <v>-0.157645252283027</v>
      </c>
      <c r="Q2203">
        <v>5.9474566318948603E-2</v>
      </c>
      <c r="R2203">
        <v>0.99537672698104795</v>
      </c>
      <c r="S2203" t="s">
        <v>8849</v>
      </c>
      <c r="T2203" t="s">
        <v>13290</v>
      </c>
      <c r="U2203" t="s">
        <v>13290</v>
      </c>
      <c r="V2203" t="s">
        <v>13290</v>
      </c>
      <c r="W2203" t="s">
        <v>15458</v>
      </c>
      <c r="X2203">
        <v>184</v>
      </c>
      <c r="Y2203" t="s">
        <v>22012</v>
      </c>
      <c r="Z2203" t="s">
        <v>28533</v>
      </c>
      <c r="AA2203">
        <v>0.1977314219036273</v>
      </c>
      <c r="AB2203" t="str">
        <f>HYPERLINK("Melting_Curves/meltCurve_P15924_DSP.pdf", "Melting_Curves/meltCurve_P15924_DSP.pdf")</f>
        <v>Melting_Curves/meltCurve_P15924_DSP.pdf</v>
      </c>
    </row>
    <row r="2204" spans="1:28" x14ac:dyDescent="0.25">
      <c r="A2204" t="s">
        <v>2208</v>
      </c>
      <c r="B2204">
        <v>0.99252571173614901</v>
      </c>
      <c r="C2204">
        <v>0.95539433425778997</v>
      </c>
      <c r="D2204">
        <v>1.00332188090306</v>
      </c>
      <c r="E2204">
        <v>0.83122425748832396</v>
      </c>
      <c r="F2204">
        <v>1.19074348299378</v>
      </c>
      <c r="G2204">
        <v>1.2833758755904201</v>
      </c>
      <c r="H2204">
        <v>0.51344467361101898</v>
      </c>
      <c r="I2204">
        <v>0.121520572304568</v>
      </c>
      <c r="J2204">
        <v>0.11810646278649301</v>
      </c>
      <c r="K2204">
        <v>0.104864821357583</v>
      </c>
      <c r="L2204">
        <v>13383.1084184787</v>
      </c>
      <c r="M2204">
        <v>220.316258574035</v>
      </c>
      <c r="N2204">
        <v>60.817011617821798</v>
      </c>
      <c r="O2204">
        <v>60.739993959939902</v>
      </c>
      <c r="P2204">
        <v>-0.80267604559000005</v>
      </c>
      <c r="Q2204">
        <v>0.11482649119678601</v>
      </c>
      <c r="R2204">
        <v>0.92251616111746904</v>
      </c>
      <c r="S2204" t="s">
        <v>8850</v>
      </c>
      <c r="T2204" t="s">
        <v>13290</v>
      </c>
      <c r="U2204" t="s">
        <v>13290</v>
      </c>
      <c r="V2204" t="s">
        <v>13290</v>
      </c>
      <c r="W2204" t="s">
        <v>15459</v>
      </c>
      <c r="X2204">
        <v>7</v>
      </c>
      <c r="Y2204" t="s">
        <v>22013</v>
      </c>
      <c r="Z2204" t="s">
        <v>28534</v>
      </c>
      <c r="AA2204">
        <v>0.72704512388930864</v>
      </c>
      <c r="AB2204" t="str">
        <f>HYPERLINK("Melting_Curves/meltCurve_P15927_RPA2.pdf", "Melting_Curves/meltCurve_P15927_RPA2.pdf")</f>
        <v>Melting_Curves/meltCurve_P15927_RPA2.pdf</v>
      </c>
    </row>
    <row r="2205" spans="1:28" x14ac:dyDescent="0.25">
      <c r="A2205" t="s">
        <v>2209</v>
      </c>
      <c r="B2205">
        <v>0.99252571173614901</v>
      </c>
      <c r="C2205">
        <v>1.0054906619430899</v>
      </c>
      <c r="D2205">
        <v>0.96064971538673405</v>
      </c>
      <c r="E2205">
        <v>0.82364398118874804</v>
      </c>
      <c r="F2205">
        <v>0.80565362369501403</v>
      </c>
      <c r="G2205">
        <v>0.70983804704700804</v>
      </c>
      <c r="H2205">
        <v>0.69252103603503801</v>
      </c>
      <c r="I2205">
        <v>1.2264593100874499</v>
      </c>
      <c r="J2205">
        <v>2.2452359708866099</v>
      </c>
      <c r="K2205">
        <v>1.9637486542582701</v>
      </c>
      <c r="L2205">
        <v>15000</v>
      </c>
      <c r="M2205">
        <v>234.186659736021</v>
      </c>
      <c r="O2205">
        <v>64.046795951216197</v>
      </c>
      <c r="P2205">
        <v>0.45706159581983602</v>
      </c>
      <c r="Q2205">
        <v>1.5</v>
      </c>
      <c r="R2205">
        <v>0.604255913245758</v>
      </c>
      <c r="S2205" t="s">
        <v>8851</v>
      </c>
      <c r="T2205" t="s">
        <v>13290</v>
      </c>
      <c r="U2205" t="s">
        <v>13290</v>
      </c>
      <c r="V2205" t="s">
        <v>13290</v>
      </c>
      <c r="W2205" t="s">
        <v>15460</v>
      </c>
      <c r="X2205">
        <v>5</v>
      </c>
      <c r="Y2205" t="s">
        <v>22014</v>
      </c>
      <c r="Z2205" t="s">
        <v>28535</v>
      </c>
      <c r="AA2205">
        <v>1.0990780998915339</v>
      </c>
      <c r="AB2205" t="str">
        <f>HYPERLINK("Melting_Curves/meltCurve_P15954_COX7C.pdf", "Melting_Curves/meltCurve_P15954_COX7C.pdf")</f>
        <v>Melting_Curves/meltCurve_P15954_COX7C.pdf</v>
      </c>
    </row>
    <row r="2206" spans="1:28" x14ac:dyDescent="0.25">
      <c r="A2206" t="s">
        <v>2210</v>
      </c>
      <c r="B2206">
        <v>0.99252571173614901</v>
      </c>
      <c r="C2206">
        <v>0.826490265201965</v>
      </c>
      <c r="D2206">
        <v>0.72391406644642098</v>
      </c>
      <c r="E2206">
        <v>0.47347836970750301</v>
      </c>
      <c r="F2206">
        <v>0.22465938441441399</v>
      </c>
      <c r="G2206">
        <v>0.119019280524569</v>
      </c>
      <c r="H2206">
        <v>8.2566108726071397E-2</v>
      </c>
      <c r="I2206">
        <v>8.30057044416148E-2</v>
      </c>
      <c r="J2206">
        <v>9.8066299239129795E-2</v>
      </c>
      <c r="K2206">
        <v>0.101454651487754</v>
      </c>
      <c r="L2206">
        <v>760.134180866782</v>
      </c>
      <c r="M2206">
        <v>15.733297893243201</v>
      </c>
      <c r="N2206">
        <v>48.759449794768102</v>
      </c>
      <c r="O2206">
        <v>47.553401434551098</v>
      </c>
      <c r="P2206">
        <v>-7.7180198297691099E-2</v>
      </c>
      <c r="Q2206">
        <v>6.6979156106182394E-2</v>
      </c>
      <c r="R2206">
        <v>0.99237247914871896</v>
      </c>
      <c r="S2206" t="s">
        <v>8852</v>
      </c>
      <c r="T2206" t="s">
        <v>13290</v>
      </c>
      <c r="U2206" t="s">
        <v>13290</v>
      </c>
      <c r="V2206" t="s">
        <v>13290</v>
      </c>
      <c r="W2206" t="s">
        <v>15461</v>
      </c>
      <c r="X2206">
        <v>39</v>
      </c>
      <c r="Y2206" t="s">
        <v>22015</v>
      </c>
      <c r="Z2206" t="s">
        <v>28536</v>
      </c>
      <c r="AA2206">
        <v>0.34709100348344057</v>
      </c>
      <c r="AB2206" t="str">
        <f>HYPERLINK("Melting_Curves/meltCurve_P16144_2_ITGB4.pdf", "Melting_Curves/meltCurve_P16144_2_ITGB4.pdf")</f>
        <v>Melting_Curves/meltCurve_P16144_2_ITGB4.pdf</v>
      </c>
    </row>
    <row r="2207" spans="1:28" x14ac:dyDescent="0.25">
      <c r="A2207" t="s">
        <v>2211</v>
      </c>
      <c r="B2207">
        <v>0.99252571173614901</v>
      </c>
      <c r="C2207">
        <v>1.10591694294857</v>
      </c>
      <c r="D2207">
        <v>0.99924597453144803</v>
      </c>
      <c r="E2207">
        <v>0.87107072918662698</v>
      </c>
      <c r="F2207">
        <v>0.59411743021116403</v>
      </c>
      <c r="G2207">
        <v>0.245771471116049</v>
      </c>
      <c r="H2207">
        <v>9.1020260258075497E-2</v>
      </c>
      <c r="I2207">
        <v>8.9113419796627305E-2</v>
      </c>
      <c r="J2207">
        <v>8.9928547316342894E-2</v>
      </c>
      <c r="K2207">
        <v>9.05208396623364E-2</v>
      </c>
      <c r="L2207">
        <v>1395.4412904030501</v>
      </c>
      <c r="M2207">
        <v>26.048105011326399</v>
      </c>
      <c r="N2207">
        <v>53.913256686066703</v>
      </c>
      <c r="O2207">
        <v>53.258942038648598</v>
      </c>
      <c r="P2207">
        <v>-0.112972071997948</v>
      </c>
      <c r="Q2207">
        <v>7.6062564443607095E-2</v>
      </c>
      <c r="R2207">
        <v>0.99223944193936497</v>
      </c>
      <c r="S2207" t="s">
        <v>8853</v>
      </c>
      <c r="T2207" t="s">
        <v>13290</v>
      </c>
      <c r="U2207" t="s">
        <v>13290</v>
      </c>
      <c r="V2207" t="s">
        <v>13290</v>
      </c>
      <c r="W2207" t="s">
        <v>15462</v>
      </c>
      <c r="X2207">
        <v>25</v>
      </c>
      <c r="Y2207" t="s">
        <v>22016</v>
      </c>
      <c r="Z2207" t="s">
        <v>28537</v>
      </c>
      <c r="AA2207">
        <v>0.50195080106615819</v>
      </c>
      <c r="AB2207" t="str">
        <f>HYPERLINK("Melting_Curves/meltCurve_P16152_CBR1.pdf", "Melting_Curves/meltCurve_P16152_CBR1.pdf")</f>
        <v>Melting_Curves/meltCurve_P16152_CBR1.pdf</v>
      </c>
    </row>
    <row r="2208" spans="1:28" x14ac:dyDescent="0.25">
      <c r="A2208" t="s">
        <v>2212</v>
      </c>
      <c r="B2208">
        <v>0.99252571173614901</v>
      </c>
      <c r="C2208">
        <v>0.93235965458685399</v>
      </c>
      <c r="D2208">
        <v>0.87792121610359197</v>
      </c>
      <c r="E2208">
        <v>0.77996367476664497</v>
      </c>
      <c r="F2208">
        <v>0.51362863819424398</v>
      </c>
      <c r="G2208">
        <v>0.38151697893307202</v>
      </c>
      <c r="H2208">
        <v>0.26890441405840398</v>
      </c>
      <c r="I2208">
        <v>0.25025614914723099</v>
      </c>
      <c r="J2208">
        <v>0.296469487814574</v>
      </c>
      <c r="K2208">
        <v>0.22957172756705599</v>
      </c>
      <c r="L2208">
        <v>818.74696525563297</v>
      </c>
      <c r="M2208">
        <v>15.8386872175078</v>
      </c>
      <c r="N2208">
        <v>53.773051588230501</v>
      </c>
      <c r="O2208">
        <v>50.889880282270902</v>
      </c>
      <c r="P2208">
        <v>-5.9990588184071603E-2</v>
      </c>
      <c r="Q2208">
        <v>0.229061295375488</v>
      </c>
      <c r="R2208">
        <v>0.99141823924946604</v>
      </c>
      <c r="S2208" t="s">
        <v>8854</v>
      </c>
      <c r="T2208" t="s">
        <v>13290</v>
      </c>
      <c r="U2208" t="s">
        <v>13290</v>
      </c>
      <c r="V2208" t="s">
        <v>13290</v>
      </c>
      <c r="W2208" t="s">
        <v>15463</v>
      </c>
      <c r="X2208">
        <v>19</v>
      </c>
      <c r="Y2208" t="s">
        <v>22017</v>
      </c>
      <c r="Z2208" t="s">
        <v>28538</v>
      </c>
      <c r="AA2208">
        <v>0.54551373768884803</v>
      </c>
      <c r="AB2208" t="str">
        <f>HYPERLINK("Melting_Curves/meltCurve_P16188_HLA_A.pdf", "Melting_Curves/meltCurve_P16188_HLA_A.pdf")</f>
        <v>Melting_Curves/meltCurve_P16188_HLA_A.pdf</v>
      </c>
    </row>
    <row r="2209" spans="1:28" x14ac:dyDescent="0.25">
      <c r="A2209" t="s">
        <v>2213</v>
      </c>
      <c r="B2209">
        <v>0.99252571173614901</v>
      </c>
      <c r="C2209">
        <v>0.91217469709052701</v>
      </c>
      <c r="D2209">
        <v>1.0768854727498001</v>
      </c>
      <c r="E2209">
        <v>1.02534449412677</v>
      </c>
      <c r="F2209">
        <v>0.78812395299732196</v>
      </c>
      <c r="G2209">
        <v>0.30166949899092999</v>
      </c>
      <c r="H2209">
        <v>0.157024433987318</v>
      </c>
      <c r="I2209">
        <v>7.8198951603281996E-2</v>
      </c>
      <c r="J2209">
        <v>7.0241951398431701E-2</v>
      </c>
      <c r="K2209">
        <v>0.10205746689518901</v>
      </c>
      <c r="L2209">
        <v>2018.9471246201001</v>
      </c>
      <c r="M2209">
        <v>36.725425483356403</v>
      </c>
      <c r="N2209">
        <v>55.282228763538903</v>
      </c>
      <c r="O2209">
        <v>54.811862554608297</v>
      </c>
      <c r="P2209">
        <v>-0.152003651976447</v>
      </c>
      <c r="Q2209">
        <v>9.2554663110478802E-2</v>
      </c>
      <c r="R2209">
        <v>0.98970640336745597</v>
      </c>
      <c r="S2209" t="s">
        <v>8855</v>
      </c>
      <c r="T2209" t="s">
        <v>13290</v>
      </c>
      <c r="U2209" t="s">
        <v>13290</v>
      </c>
      <c r="V2209" t="s">
        <v>13290</v>
      </c>
      <c r="W2209" t="s">
        <v>15464</v>
      </c>
      <c r="X2209">
        <v>9</v>
      </c>
      <c r="Y2209" t="s">
        <v>22018</v>
      </c>
      <c r="Z2209" t="s">
        <v>28539</v>
      </c>
      <c r="AA2209">
        <v>0.54956263041448916</v>
      </c>
      <c r="AB2209" t="str">
        <f>HYPERLINK("Melting_Curves/meltCurve_P16219_ACADS.pdf", "Melting_Curves/meltCurve_P16219_ACADS.pdf")</f>
        <v>Melting_Curves/meltCurve_P16219_ACADS.pdf</v>
      </c>
    </row>
    <row r="2210" spans="1:28" x14ac:dyDescent="0.25">
      <c r="A2210" t="s">
        <v>2214</v>
      </c>
      <c r="B2210">
        <v>0.99252571173614901</v>
      </c>
      <c r="C2210">
        <v>1.0292818509570101</v>
      </c>
      <c r="D2210">
        <v>0.86657745996282398</v>
      </c>
      <c r="E2210">
        <v>0.73758916555522702</v>
      </c>
      <c r="F2210">
        <v>0.70384499256181698</v>
      </c>
      <c r="G2210">
        <v>0.58781617232096395</v>
      </c>
      <c r="H2210">
        <v>0.65839339238789696</v>
      </c>
      <c r="I2210">
        <v>1.15912328153869</v>
      </c>
      <c r="J2210">
        <v>1.8901178928794999</v>
      </c>
      <c r="K2210">
        <v>2.1246232267090299</v>
      </c>
      <c r="L2210">
        <v>15000</v>
      </c>
      <c r="M2210">
        <v>233.613832229281</v>
      </c>
      <c r="O2210">
        <v>64.203817985734304</v>
      </c>
      <c r="P2210">
        <v>0.454828520909559</v>
      </c>
      <c r="Q2210">
        <v>1.5</v>
      </c>
      <c r="R2210">
        <v>0.59637561998402</v>
      </c>
      <c r="S2210" t="s">
        <v>8856</v>
      </c>
      <c r="T2210" t="s">
        <v>13290</v>
      </c>
      <c r="U2210" t="s">
        <v>13290</v>
      </c>
      <c r="V2210" t="s">
        <v>13290</v>
      </c>
      <c r="W2210" t="s">
        <v>15465</v>
      </c>
      <c r="X2210">
        <v>6</v>
      </c>
      <c r="Y2210" t="s">
        <v>22019</v>
      </c>
      <c r="Z2210" t="s">
        <v>28540</v>
      </c>
      <c r="AA2210">
        <v>1.0964600281762771</v>
      </c>
      <c r="AB2210" t="str">
        <f>HYPERLINK("Melting_Curves/meltCurve_P16220_2_CREB1.pdf", "Melting_Curves/meltCurve_P16220_2_CREB1.pdf")</f>
        <v>Melting_Curves/meltCurve_P16220_2_CREB1.pdf</v>
      </c>
    </row>
    <row r="2211" spans="1:28" x14ac:dyDescent="0.25">
      <c r="A2211" t="s">
        <v>2215</v>
      </c>
      <c r="B2211">
        <v>0.99252571173614901</v>
      </c>
      <c r="C2211">
        <v>0.90914184455253899</v>
      </c>
      <c r="D2211">
        <v>0.79656664009892097</v>
      </c>
      <c r="E2211">
        <v>0.70267073684155001</v>
      </c>
      <c r="F2211">
        <v>0.753634954499663</v>
      </c>
      <c r="G2211">
        <v>0.67933436211121601</v>
      </c>
      <c r="H2211">
        <v>0.35647491434850798</v>
      </c>
      <c r="I2211">
        <v>0.182437218120168</v>
      </c>
      <c r="J2211">
        <v>0.21085603937028999</v>
      </c>
      <c r="K2211">
        <v>0.182139733337081</v>
      </c>
      <c r="L2211">
        <v>489.311828115315</v>
      </c>
      <c r="M2211">
        <v>8.5150521889462105</v>
      </c>
      <c r="N2211">
        <v>57.4643416290887</v>
      </c>
      <c r="O2211">
        <v>54.557903291912702</v>
      </c>
      <c r="P2211">
        <v>-3.9053345576182001E-2</v>
      </c>
      <c r="Q2211">
        <v>0</v>
      </c>
      <c r="R2211">
        <v>0.92626477901908699</v>
      </c>
      <c r="S2211" t="s">
        <v>8857</v>
      </c>
      <c r="T2211" t="s">
        <v>13290</v>
      </c>
      <c r="U2211" t="s">
        <v>13290</v>
      </c>
      <c r="V2211" t="s">
        <v>13290</v>
      </c>
      <c r="W2211" t="s">
        <v>15466</v>
      </c>
      <c r="X2211">
        <v>14</v>
      </c>
      <c r="Y2211" t="s">
        <v>22020</v>
      </c>
      <c r="Z2211" t="s">
        <v>28541</v>
      </c>
      <c r="AA2211">
        <v>0.59199435258648281</v>
      </c>
      <c r="AB2211" t="str">
        <f>HYPERLINK("Melting_Curves/meltCurve_P16278_3_GLB1.pdf", "Melting_Curves/meltCurve_P16278_3_GLB1.pdf")</f>
        <v>Melting_Curves/meltCurve_P16278_3_GLB1.pdf</v>
      </c>
    </row>
    <row r="2212" spans="1:28" x14ac:dyDescent="0.25">
      <c r="A2212" t="s">
        <v>2216</v>
      </c>
      <c r="B2212">
        <v>0.99252571173614901</v>
      </c>
      <c r="C2212">
        <v>0.935350143466393</v>
      </c>
      <c r="D2212">
        <v>0.88679772810640201</v>
      </c>
      <c r="E2212">
        <v>0.72263563123030705</v>
      </c>
      <c r="F2212">
        <v>0.27839528070682501</v>
      </c>
      <c r="G2212">
        <v>0.13885278014625699</v>
      </c>
      <c r="H2212">
        <v>9.4847520171049998E-2</v>
      </c>
      <c r="I2212">
        <v>9.0585567268239006E-2</v>
      </c>
      <c r="J2212">
        <v>0.10493987166957799</v>
      </c>
      <c r="K2212">
        <v>9.9620669107552601E-2</v>
      </c>
      <c r="L2212">
        <v>1339.8579818299099</v>
      </c>
      <c r="M2212">
        <v>26.3730669602649</v>
      </c>
      <c r="N2212">
        <v>51.187928022759699</v>
      </c>
      <c r="O2212">
        <v>50.5146419007432</v>
      </c>
      <c r="P2212">
        <v>-0.11881141584693999</v>
      </c>
      <c r="Q2212">
        <v>8.9730613691295494E-2</v>
      </c>
      <c r="R2212">
        <v>0.99357723349224303</v>
      </c>
      <c r="S2212" t="s">
        <v>8858</v>
      </c>
      <c r="T2212" t="s">
        <v>13290</v>
      </c>
      <c r="U2212" t="s">
        <v>13290</v>
      </c>
      <c r="V2212" t="s">
        <v>13290</v>
      </c>
      <c r="W2212" t="s">
        <v>15467</v>
      </c>
      <c r="X2212">
        <v>17</v>
      </c>
      <c r="Y2212" t="s">
        <v>22021</v>
      </c>
      <c r="Z2212" t="s">
        <v>28542</v>
      </c>
      <c r="AA2212">
        <v>0.42493032769325728</v>
      </c>
      <c r="AB2212" t="str">
        <f>HYPERLINK("Melting_Curves/meltCurve_P16298_PPP3CB.pdf", "Melting_Curves/meltCurve_P16298_PPP3CB.pdf")</f>
        <v>Melting_Curves/meltCurve_P16298_PPP3CB.pdf</v>
      </c>
    </row>
    <row r="2213" spans="1:28" x14ac:dyDescent="0.25">
      <c r="A2213" t="s">
        <v>2217</v>
      </c>
      <c r="B2213">
        <v>0.99252571173614901</v>
      </c>
      <c r="C2213">
        <v>1.00560571635476</v>
      </c>
      <c r="D2213">
        <v>0.47705223746428299</v>
      </c>
      <c r="E2213">
        <v>0.37783644755169199</v>
      </c>
      <c r="F2213">
        <v>0.34007926897692398</v>
      </c>
      <c r="G2213">
        <v>0.270459995946361</v>
      </c>
      <c r="H2213">
        <v>0.274010913502091</v>
      </c>
      <c r="I2213">
        <v>0.38206156739321301</v>
      </c>
      <c r="J2213">
        <v>0.55013723191928199</v>
      </c>
      <c r="K2213">
        <v>0.60320014893878104</v>
      </c>
      <c r="L2213">
        <v>11412.0985687348</v>
      </c>
      <c r="M2213">
        <v>250</v>
      </c>
      <c r="N2213">
        <v>45.943604936289503</v>
      </c>
      <c r="O2213">
        <v>45.645470951294698</v>
      </c>
      <c r="P2213">
        <v>-0.82198231760227702</v>
      </c>
      <c r="Q2213">
        <v>0.39968365267108302</v>
      </c>
      <c r="R2213">
        <v>0.84761317843974704</v>
      </c>
      <c r="S2213" t="s">
        <v>8859</v>
      </c>
      <c r="T2213" t="s">
        <v>13290</v>
      </c>
      <c r="U2213" t="s">
        <v>13290</v>
      </c>
      <c r="V2213" t="s">
        <v>13290</v>
      </c>
      <c r="W2213" t="s">
        <v>15468</v>
      </c>
      <c r="X2213">
        <v>5</v>
      </c>
      <c r="Y2213" t="s">
        <v>22022</v>
      </c>
      <c r="Z2213" t="s">
        <v>28543</v>
      </c>
      <c r="AA2213">
        <v>0.51275919266077674</v>
      </c>
      <c r="AB2213" t="str">
        <f>HYPERLINK("Melting_Curves/meltCurve_P16383_GCFC2.pdf", "Melting_Curves/meltCurve_P16383_GCFC2.pdf")</f>
        <v>Melting_Curves/meltCurve_P16383_GCFC2.pdf</v>
      </c>
    </row>
    <row r="2214" spans="1:28" x14ac:dyDescent="0.25">
      <c r="A2214" t="s">
        <v>2218</v>
      </c>
      <c r="B2214">
        <v>0.99252571173614901</v>
      </c>
      <c r="C2214">
        <v>1.16524201721777</v>
      </c>
      <c r="D2214">
        <v>1.0751009382588399</v>
      </c>
      <c r="E2214">
        <v>1.18885292624429</v>
      </c>
      <c r="F2214">
        <v>0.79192014091154195</v>
      </c>
      <c r="G2214">
        <v>0.65617888086405896</v>
      </c>
      <c r="H2214">
        <v>0.564974571736508</v>
      </c>
      <c r="I2214">
        <v>0.73760269140262202</v>
      </c>
      <c r="J2214">
        <v>1.00448852070117</v>
      </c>
      <c r="K2214">
        <v>1.21805374292998</v>
      </c>
      <c r="L2214">
        <v>4433.7933970083704</v>
      </c>
      <c r="M2214">
        <v>85.644675098021594</v>
      </c>
      <c r="O2214">
        <v>51.741427109107399</v>
      </c>
      <c r="P2214">
        <v>-7.1281417902985297E-2</v>
      </c>
      <c r="Q2214">
        <v>0.82774401709676104</v>
      </c>
      <c r="R2214">
        <v>0.27278196804492999</v>
      </c>
      <c r="S2214" t="s">
        <v>8860</v>
      </c>
      <c r="T2214" t="s">
        <v>13290</v>
      </c>
      <c r="U2214" t="s">
        <v>13290</v>
      </c>
      <c r="V2214" t="s">
        <v>13290</v>
      </c>
      <c r="W2214" t="s">
        <v>15469</v>
      </c>
      <c r="X2214">
        <v>13</v>
      </c>
      <c r="Y2214" t="s">
        <v>22023</v>
      </c>
      <c r="Z2214" t="s">
        <v>28544</v>
      </c>
      <c r="AA2214">
        <v>0.89545724918895642</v>
      </c>
      <c r="AB2214" t="str">
        <f>HYPERLINK("Melting_Curves/meltCurve_P16401_HIST1H1B.pdf", "Melting_Curves/meltCurve_P16401_HIST1H1B.pdf")</f>
        <v>Melting_Curves/meltCurve_P16401_HIST1H1B.pdf</v>
      </c>
    </row>
    <row r="2215" spans="1:28" x14ac:dyDescent="0.25">
      <c r="A2215" t="s">
        <v>2219</v>
      </c>
      <c r="B2215">
        <v>0.99252571173614901</v>
      </c>
      <c r="C2215">
        <v>0.91636543618681299</v>
      </c>
      <c r="D2215">
        <v>0.85021831672524795</v>
      </c>
      <c r="E2215">
        <v>0.68512453892958802</v>
      </c>
      <c r="F2215">
        <v>0.29104158360695198</v>
      </c>
      <c r="G2215">
        <v>0.141294532467203</v>
      </c>
      <c r="H2215">
        <v>0.100130628117749</v>
      </c>
      <c r="I2215">
        <v>0.10003469225098</v>
      </c>
      <c r="J2215">
        <v>9.9265073404949403E-2</v>
      </c>
      <c r="K2215">
        <v>9.6045489440372403E-2</v>
      </c>
      <c r="L2215">
        <v>1058.2233446766199</v>
      </c>
      <c r="M2215">
        <v>20.942045282770799</v>
      </c>
      <c r="N2215">
        <v>50.962014617238502</v>
      </c>
      <c r="O2215">
        <v>50.077055065580097</v>
      </c>
      <c r="P2215">
        <v>-9.6067268241194395E-2</v>
      </c>
      <c r="Q2215">
        <v>8.1152730055980504E-2</v>
      </c>
      <c r="R2215">
        <v>0.99191861096575795</v>
      </c>
      <c r="S2215" t="s">
        <v>8861</v>
      </c>
      <c r="T2215" t="s">
        <v>13290</v>
      </c>
      <c r="U2215" t="s">
        <v>13290</v>
      </c>
      <c r="V2215" t="s">
        <v>13290</v>
      </c>
      <c r="W2215" t="s">
        <v>15470</v>
      </c>
      <c r="X2215">
        <v>28</v>
      </c>
      <c r="Y2215" t="s">
        <v>22024</v>
      </c>
      <c r="Z2215" t="s">
        <v>28545</v>
      </c>
      <c r="AA2215">
        <v>0.41539016118152361</v>
      </c>
      <c r="AB2215" t="str">
        <f>HYPERLINK("Melting_Curves/meltCurve_P16435_POR.pdf", "Melting_Curves/meltCurve_P16435_POR.pdf")</f>
        <v>Melting_Curves/meltCurve_P16435_POR.pdf</v>
      </c>
    </row>
    <row r="2216" spans="1:28" x14ac:dyDescent="0.25">
      <c r="A2216" t="s">
        <v>2220</v>
      </c>
      <c r="B2216">
        <v>0.99252571173614901</v>
      </c>
      <c r="C2216">
        <v>1.0665573076252901</v>
      </c>
      <c r="D2216">
        <v>0.96272454481847203</v>
      </c>
      <c r="E2216">
        <v>0.60013349783591097</v>
      </c>
      <c r="F2216">
        <v>0.40423232853956198</v>
      </c>
      <c r="G2216">
        <v>0.168594099375414</v>
      </c>
      <c r="H2216">
        <v>8.4273296320569999E-2</v>
      </c>
      <c r="I2216">
        <v>7.6243152771825098E-2</v>
      </c>
      <c r="J2216">
        <v>8.8830111482833998E-2</v>
      </c>
      <c r="K2216">
        <v>5.7140409478322399E-2</v>
      </c>
      <c r="L2216">
        <v>1042.0244923626001</v>
      </c>
      <c r="M2216">
        <v>20.3979627375757</v>
      </c>
      <c r="N2216">
        <v>51.437470471917898</v>
      </c>
      <c r="O2216">
        <v>50.601350836077799</v>
      </c>
      <c r="P2216">
        <v>-9.4202925053921693E-2</v>
      </c>
      <c r="Q2216">
        <v>6.5269047166710906E-2</v>
      </c>
      <c r="R2216">
        <v>0.98856929236226698</v>
      </c>
      <c r="S2216" t="s">
        <v>8862</v>
      </c>
      <c r="T2216" t="s">
        <v>13290</v>
      </c>
      <c r="U2216" t="s">
        <v>13290</v>
      </c>
      <c r="V2216" t="s">
        <v>13290</v>
      </c>
      <c r="W2216" t="s">
        <v>15471</v>
      </c>
      <c r="X2216">
        <v>2</v>
      </c>
      <c r="Y2216" t="s">
        <v>22025</v>
      </c>
      <c r="Z2216" t="s">
        <v>28546</v>
      </c>
      <c r="AA2216">
        <v>0.42314713164096113</v>
      </c>
      <c r="AB2216" t="str">
        <f>HYPERLINK("Melting_Curves/meltCurve_P16455_MGMT.pdf", "Melting_Curves/meltCurve_P16455_MGMT.pdf")</f>
        <v>Melting_Curves/meltCurve_P16455_MGMT.pdf</v>
      </c>
    </row>
    <row r="2217" spans="1:28" x14ac:dyDescent="0.25">
      <c r="A2217" t="s">
        <v>2221</v>
      </c>
      <c r="B2217">
        <v>0.99252571173614901</v>
      </c>
      <c r="C2217">
        <v>0.64345902170939995</v>
      </c>
      <c r="D2217">
        <v>0.87143062801016402</v>
      </c>
      <c r="E2217">
        <v>0.82321296156019397</v>
      </c>
      <c r="F2217">
        <v>0.27945060002377498</v>
      </c>
      <c r="G2217">
        <v>9.0709259651385196E-2</v>
      </c>
      <c r="H2217">
        <v>5.6082351751262999E-2</v>
      </c>
      <c r="I2217">
        <v>4.9806728599118E-2</v>
      </c>
      <c r="J2217">
        <v>5.8102439592924701E-2</v>
      </c>
      <c r="K2217">
        <v>6.0168441164695198E-2</v>
      </c>
      <c r="L2217">
        <v>1681.6621935585799</v>
      </c>
      <c r="M2217">
        <v>32.660790572835502</v>
      </c>
      <c r="N2217">
        <v>51.659570048325399</v>
      </c>
      <c r="O2217">
        <v>51.296838749927197</v>
      </c>
      <c r="P2217">
        <v>-0.151028283007903</v>
      </c>
      <c r="Q2217">
        <v>5.11879229510478E-2</v>
      </c>
      <c r="R2217">
        <v>0.89965390255397004</v>
      </c>
      <c r="S2217" t="s">
        <v>8863</v>
      </c>
      <c r="T2217" t="s">
        <v>13290</v>
      </c>
      <c r="U2217" t="s">
        <v>13290</v>
      </c>
      <c r="V2217" t="s">
        <v>13290</v>
      </c>
      <c r="W2217" t="s">
        <v>15472</v>
      </c>
      <c r="X2217">
        <v>37</v>
      </c>
      <c r="Y2217" t="s">
        <v>22026</v>
      </c>
      <c r="Z2217" t="s">
        <v>28547</v>
      </c>
      <c r="AA2217">
        <v>0.41961616442524402</v>
      </c>
      <c r="AB2217" t="str">
        <f>HYPERLINK("Melting_Curves/meltCurve_P16615_ATP2A2.pdf", "Melting_Curves/meltCurve_P16615_ATP2A2.pdf")</f>
        <v>Melting_Curves/meltCurve_P16615_ATP2A2.pdf</v>
      </c>
    </row>
    <row r="2218" spans="1:28" x14ac:dyDescent="0.25">
      <c r="A2218" t="s">
        <v>2222</v>
      </c>
      <c r="B2218">
        <v>0.99252571173614901</v>
      </c>
      <c r="C2218">
        <v>0.85920517510080197</v>
      </c>
      <c r="D2218">
        <v>0.98319909529419403</v>
      </c>
      <c r="E2218">
        <v>0.81082094965614904</v>
      </c>
      <c r="F2218">
        <v>0.53735270953571201</v>
      </c>
      <c r="G2218">
        <v>0.27752484304584402</v>
      </c>
      <c r="H2218">
        <v>0.23038860216057699</v>
      </c>
      <c r="I2218">
        <v>0.293028219685595</v>
      </c>
      <c r="J2218">
        <v>0.59833591761039295</v>
      </c>
      <c r="K2218">
        <v>0.39139673459030999</v>
      </c>
      <c r="L2218">
        <v>1705.18978784367</v>
      </c>
      <c r="M2218">
        <v>33.390644687593301</v>
      </c>
      <c r="N2218">
        <v>53.092003884093899</v>
      </c>
      <c r="O2218">
        <v>50.885765991972697</v>
      </c>
      <c r="P2218">
        <v>-0.104989776961327</v>
      </c>
      <c r="Q2218">
        <v>0.36000488621444998</v>
      </c>
      <c r="R2218">
        <v>0.858564110832577</v>
      </c>
      <c r="S2218" t="s">
        <v>8864</v>
      </c>
      <c r="T2218" t="s">
        <v>13290</v>
      </c>
      <c r="U2218" t="s">
        <v>13290</v>
      </c>
      <c r="V2218" t="s">
        <v>13290</v>
      </c>
      <c r="W2218" t="s">
        <v>15473</v>
      </c>
      <c r="X2218">
        <v>2</v>
      </c>
      <c r="Y2218" t="s">
        <v>22027</v>
      </c>
      <c r="Z2218" t="s">
        <v>28548</v>
      </c>
      <c r="AA2218">
        <v>0.59936756922347445</v>
      </c>
      <c r="AB2218" t="str">
        <f>HYPERLINK("Melting_Curves/meltCurve_P16870_2_CPE.pdf", "Melting_Curves/meltCurve_P16870_2_CPE.pdf")</f>
        <v>Melting_Curves/meltCurve_P16870_2_CPE.pdf</v>
      </c>
    </row>
    <row r="2219" spans="1:28" x14ac:dyDescent="0.25">
      <c r="A2219" t="s">
        <v>2223</v>
      </c>
      <c r="B2219">
        <v>0.99252571173614901</v>
      </c>
      <c r="C2219">
        <v>0.96794207193477699</v>
      </c>
      <c r="D2219">
        <v>0.97290393522629703</v>
      </c>
      <c r="E2219">
        <v>0.79450465895852296</v>
      </c>
      <c r="F2219">
        <v>0.86591501206906296</v>
      </c>
      <c r="G2219">
        <v>0.71762996435758197</v>
      </c>
      <c r="H2219">
        <v>0.74511833498840596</v>
      </c>
      <c r="I2219">
        <v>0.99376780408151</v>
      </c>
      <c r="J2219">
        <v>1.35229072076677</v>
      </c>
      <c r="K2219">
        <v>1.1556995376171599</v>
      </c>
      <c r="L2219">
        <v>1658.53636692176</v>
      </c>
      <c r="M2219">
        <v>39.1689692704647</v>
      </c>
      <c r="O2219">
        <v>42.233200688675403</v>
      </c>
      <c r="P2219">
        <v>-1.1749534259655E-2</v>
      </c>
      <c r="Q2219">
        <v>0.94932526207290802</v>
      </c>
      <c r="R2219">
        <v>5.4342705603367403E-3</v>
      </c>
      <c r="S2219" t="s">
        <v>8865</v>
      </c>
      <c r="T2219" t="s">
        <v>13290</v>
      </c>
      <c r="U2219" t="s">
        <v>13290</v>
      </c>
      <c r="V2219" t="s">
        <v>13290</v>
      </c>
      <c r="W2219" t="s">
        <v>15474</v>
      </c>
      <c r="X2219">
        <v>16</v>
      </c>
      <c r="Y2219" t="s">
        <v>22028</v>
      </c>
      <c r="Z2219" t="s">
        <v>28549</v>
      </c>
      <c r="AA2219">
        <v>0.95358725071477701</v>
      </c>
      <c r="AB2219" t="str">
        <f>HYPERLINK("Melting_Curves/meltCurve_P16930_FAH.pdf", "Melting_Curves/meltCurve_P16930_FAH.pdf")</f>
        <v>Melting_Curves/meltCurve_P16930_FAH.pdf</v>
      </c>
    </row>
    <row r="2220" spans="1:28" x14ac:dyDescent="0.25">
      <c r="A2220" t="s">
        <v>2224</v>
      </c>
      <c r="B2220">
        <v>0.99252571173614901</v>
      </c>
      <c r="C2220">
        <v>1.14360265805619</v>
      </c>
      <c r="D2220">
        <v>1.0391626875623201</v>
      </c>
      <c r="E2220">
        <v>1.1145707376034999</v>
      </c>
      <c r="F2220">
        <v>0.86708280556502704</v>
      </c>
      <c r="G2220">
        <v>0.79596147869171097</v>
      </c>
      <c r="H2220">
        <v>0.88315947542565398</v>
      </c>
      <c r="I2220">
        <v>1.2493813532673399</v>
      </c>
      <c r="J2220">
        <v>1.8419463646719501</v>
      </c>
      <c r="K2220">
        <v>1.9002537286380901</v>
      </c>
      <c r="L2220">
        <v>15000</v>
      </c>
      <c r="M2220">
        <v>234.37025256814201</v>
      </c>
      <c r="O2220">
        <v>63.996636343298299</v>
      </c>
      <c r="P2220">
        <v>0.45777845993140898</v>
      </c>
      <c r="Q2220">
        <v>1.5</v>
      </c>
      <c r="R2220">
        <v>0.71571658865742205</v>
      </c>
      <c r="S2220" t="s">
        <v>8866</v>
      </c>
      <c r="T2220" t="s">
        <v>13290</v>
      </c>
      <c r="U2220" t="s">
        <v>13290</v>
      </c>
      <c r="V2220" t="s">
        <v>13290</v>
      </c>
      <c r="W2220" t="s">
        <v>13722</v>
      </c>
      <c r="X2220">
        <v>28</v>
      </c>
      <c r="Y2220" t="s">
        <v>22029</v>
      </c>
      <c r="Z2220" t="s">
        <v>28550</v>
      </c>
      <c r="AA2220">
        <v>1.099914490617816</v>
      </c>
      <c r="AB2220" t="str">
        <f>HYPERLINK("Melting_Curves/meltCurve_P16949_STMN1.pdf", "Melting_Curves/meltCurve_P16949_STMN1.pdf")</f>
        <v>Melting_Curves/meltCurve_P16949_STMN1.pdf</v>
      </c>
    </row>
    <row r="2221" spans="1:28" x14ac:dyDescent="0.25">
      <c r="A2221" t="s">
        <v>2225</v>
      </c>
      <c r="B2221">
        <v>0.99252571173614901</v>
      </c>
      <c r="C2221">
        <v>0.99205432414156802</v>
      </c>
      <c r="D2221">
        <v>0.97246666601987997</v>
      </c>
      <c r="E2221">
        <v>0.81184517159550396</v>
      </c>
      <c r="F2221">
        <v>0.76429739531321805</v>
      </c>
      <c r="G2221">
        <v>0.45372082176915801</v>
      </c>
      <c r="H2221">
        <v>0.44744886821719498</v>
      </c>
      <c r="I2221">
        <v>0.591659763750356</v>
      </c>
      <c r="J2221">
        <v>0.84075737599341205</v>
      </c>
      <c r="K2221">
        <v>1.03762159313013</v>
      </c>
      <c r="L2221">
        <v>1796.9041560774101</v>
      </c>
      <c r="M2221">
        <v>36.559334122005701</v>
      </c>
      <c r="O2221">
        <v>49.003993578838497</v>
      </c>
      <c r="P2221">
        <v>-5.8758675865648702E-2</v>
      </c>
      <c r="Q2221">
        <v>0.68496132959227496</v>
      </c>
      <c r="R2221">
        <v>0.39484224845945798</v>
      </c>
      <c r="S2221" t="s">
        <v>8867</v>
      </c>
      <c r="T2221" t="s">
        <v>13290</v>
      </c>
      <c r="U2221" t="s">
        <v>13290</v>
      </c>
      <c r="V2221" t="s">
        <v>13290</v>
      </c>
      <c r="W2221" t="s">
        <v>15475</v>
      </c>
      <c r="X2221">
        <v>7</v>
      </c>
      <c r="Y2221" t="s">
        <v>22030</v>
      </c>
      <c r="Z2221" t="s">
        <v>28551</v>
      </c>
      <c r="AA2221">
        <v>0.78233721865102668</v>
      </c>
      <c r="AB2221" t="str">
        <f>HYPERLINK("Melting_Curves/meltCurve_P16989_YBX3.pdf", "Melting_Curves/meltCurve_P16989_YBX3.pdf")</f>
        <v>Melting_Curves/meltCurve_P16989_YBX3.pdf</v>
      </c>
    </row>
    <row r="2222" spans="1:28" x14ac:dyDescent="0.25">
      <c r="A2222" t="s">
        <v>2226</v>
      </c>
      <c r="B2222">
        <v>0.99252571173614901</v>
      </c>
      <c r="C2222">
        <v>1.0500357024684099</v>
      </c>
      <c r="D2222">
        <v>0.90697637305159795</v>
      </c>
      <c r="E2222">
        <v>0.93064492314053704</v>
      </c>
      <c r="F2222">
        <v>1.21591937913811</v>
      </c>
      <c r="G2222">
        <v>0.59793572025506303</v>
      </c>
      <c r="H2222">
        <v>0.55916080735210605</v>
      </c>
      <c r="I2222">
        <v>0.68178019875623497</v>
      </c>
      <c r="J2222">
        <v>0.90930377848081301</v>
      </c>
      <c r="K2222">
        <v>1.1160641341509101</v>
      </c>
      <c r="L2222">
        <v>2596.57751788203</v>
      </c>
      <c r="M2222">
        <v>47.198496822220797</v>
      </c>
      <c r="O2222">
        <v>54.9155006022146</v>
      </c>
      <c r="P2222">
        <v>-4.6968070122997599E-2</v>
      </c>
      <c r="Q2222">
        <v>0.78141063907285602</v>
      </c>
      <c r="R2222">
        <v>0.26543931668415299</v>
      </c>
      <c r="S2222" t="s">
        <v>8868</v>
      </c>
      <c r="T2222" t="s">
        <v>13290</v>
      </c>
      <c r="U2222" t="s">
        <v>13290</v>
      </c>
      <c r="V2222" t="s">
        <v>13290</v>
      </c>
      <c r="W2222" t="s">
        <v>15476</v>
      </c>
      <c r="X2222">
        <v>7</v>
      </c>
      <c r="Y2222" t="s">
        <v>22030</v>
      </c>
      <c r="Z2222" t="s">
        <v>28552</v>
      </c>
      <c r="AA2222">
        <v>0.89140234127730267</v>
      </c>
      <c r="AB2222" t="str">
        <f>HYPERLINK("Melting_Curves/meltCurve_P16989_2_YBX3.pdf", "Melting_Curves/meltCurve_P16989_2_YBX3.pdf")</f>
        <v>Melting_Curves/meltCurve_P16989_2_YBX3.pdf</v>
      </c>
    </row>
    <row r="2223" spans="1:28" x14ac:dyDescent="0.25">
      <c r="A2223" t="s">
        <v>2227</v>
      </c>
      <c r="B2223">
        <v>0.99252571173614901</v>
      </c>
      <c r="C2223">
        <v>0.93854010181173997</v>
      </c>
      <c r="D2223">
        <v>0.74855436965576105</v>
      </c>
      <c r="E2223">
        <v>0.62503748144436</v>
      </c>
      <c r="F2223">
        <v>0.37745157115509498</v>
      </c>
      <c r="G2223">
        <v>0.19948564734343299</v>
      </c>
      <c r="H2223">
        <v>0.10343003223836</v>
      </c>
      <c r="I2223">
        <v>0.102638892620251</v>
      </c>
      <c r="J2223">
        <v>0.106964588434737</v>
      </c>
      <c r="K2223">
        <v>0.11744626594165899</v>
      </c>
      <c r="L2223">
        <v>716.879437694069</v>
      </c>
      <c r="M2223">
        <v>14.2461352015688</v>
      </c>
      <c r="N2223">
        <v>50.847335791618697</v>
      </c>
      <c r="O2223">
        <v>49.360590674916502</v>
      </c>
      <c r="P2223">
        <v>-6.7215082965920103E-2</v>
      </c>
      <c r="Q2223">
        <v>6.8556885248116206E-2</v>
      </c>
      <c r="R2223">
        <v>0.99239516993099097</v>
      </c>
      <c r="S2223" t="s">
        <v>8869</v>
      </c>
      <c r="T2223" t="s">
        <v>13290</v>
      </c>
      <c r="U2223" t="s">
        <v>13290</v>
      </c>
      <c r="V2223" t="s">
        <v>13290</v>
      </c>
      <c r="W2223" t="s">
        <v>15477</v>
      </c>
      <c r="X2223">
        <v>6</v>
      </c>
      <c r="Y2223" t="s">
        <v>22031</v>
      </c>
      <c r="Z2223" t="s">
        <v>28553</v>
      </c>
      <c r="AA2223">
        <v>0.41301781562872331</v>
      </c>
      <c r="AB2223" t="str">
        <f>HYPERLINK("Melting_Curves/meltCurve_P17028_ZNF24.pdf", "Melting_Curves/meltCurve_P17028_ZNF24.pdf")</f>
        <v>Melting_Curves/meltCurve_P17028_ZNF24.pdf</v>
      </c>
    </row>
    <row r="2224" spans="1:28" x14ac:dyDescent="0.25">
      <c r="A2224" t="s">
        <v>2228</v>
      </c>
      <c r="B2224">
        <v>0.99252571173614901</v>
      </c>
      <c r="C2224">
        <v>1.0529082377763399</v>
      </c>
      <c r="D2224">
        <v>0.97390015094714999</v>
      </c>
      <c r="E2224">
        <v>0.84272554859490001</v>
      </c>
      <c r="F2224">
        <v>0.79116102635282703</v>
      </c>
      <c r="G2224">
        <v>0.64983878808602502</v>
      </c>
      <c r="H2224">
        <v>0.48361080368846998</v>
      </c>
      <c r="I2224">
        <v>0.196044217976513</v>
      </c>
      <c r="J2224">
        <v>0.152502164774247</v>
      </c>
      <c r="K2224">
        <v>0.14180358754667899</v>
      </c>
      <c r="L2224">
        <v>747.90795072395599</v>
      </c>
      <c r="M2224">
        <v>12.663827338275301</v>
      </c>
      <c r="N2224">
        <v>59.058603024418098</v>
      </c>
      <c r="O2224">
        <v>57.6440115609714</v>
      </c>
      <c r="P2224">
        <v>-5.4933306373833403E-2</v>
      </c>
      <c r="Q2224">
        <v>0</v>
      </c>
      <c r="R2224">
        <v>0.98064542737802696</v>
      </c>
      <c r="S2224" t="s">
        <v>8870</v>
      </c>
      <c r="T2224" t="s">
        <v>13290</v>
      </c>
      <c r="U2224" t="s">
        <v>13290</v>
      </c>
      <c r="V2224" t="s">
        <v>13290</v>
      </c>
      <c r="W2224" t="s">
        <v>15478</v>
      </c>
      <c r="X2224">
        <v>10</v>
      </c>
      <c r="Y2224" t="s">
        <v>22032</v>
      </c>
      <c r="Z2224" t="s">
        <v>28554</v>
      </c>
      <c r="AA2224">
        <v>0.64383434601092604</v>
      </c>
      <c r="AB2224" t="str">
        <f>HYPERLINK("Melting_Curves/meltCurve_P17050_NAGA.pdf", "Melting_Curves/meltCurve_P17050_NAGA.pdf")</f>
        <v>Melting_Curves/meltCurve_P17050_NAGA.pdf</v>
      </c>
    </row>
    <row r="2225" spans="1:28" x14ac:dyDescent="0.25">
      <c r="A2225" t="s">
        <v>2229</v>
      </c>
      <c r="B2225">
        <v>0.99252571173614901</v>
      </c>
      <c r="C2225">
        <v>1.00382601723916</v>
      </c>
      <c r="D2225">
        <v>1.05117956845835</v>
      </c>
      <c r="E2225">
        <v>1.2134294888057899</v>
      </c>
      <c r="F2225">
        <v>0.90662036143977698</v>
      </c>
      <c r="G2225">
        <v>0.78791113125088197</v>
      </c>
      <c r="H2225">
        <v>0.24208108468398201</v>
      </c>
      <c r="I2225">
        <v>0.116976795995009</v>
      </c>
      <c r="J2225">
        <v>0.12625677923826401</v>
      </c>
      <c r="K2225">
        <v>0.13763246128003201</v>
      </c>
      <c r="L2225">
        <v>2477.84115413073</v>
      </c>
      <c r="M2225">
        <v>42.540834545103401</v>
      </c>
      <c r="N2225">
        <v>58.620944593513201</v>
      </c>
      <c r="O2225">
        <v>58.117920581574701</v>
      </c>
      <c r="P2225">
        <v>-0.161206946557826</v>
      </c>
      <c r="Q2225">
        <v>0.11905855281701699</v>
      </c>
      <c r="R2225">
        <v>0.96905836620350005</v>
      </c>
      <c r="S2225" t="s">
        <v>8871</v>
      </c>
      <c r="T2225" t="s">
        <v>13290</v>
      </c>
      <c r="U2225" t="s">
        <v>13290</v>
      </c>
      <c r="V2225" t="s">
        <v>13290</v>
      </c>
      <c r="W2225" t="s">
        <v>15479</v>
      </c>
      <c r="X2225">
        <v>19</v>
      </c>
      <c r="Y2225" t="s">
        <v>22033</v>
      </c>
      <c r="Z2225" t="s">
        <v>28555</v>
      </c>
      <c r="AA2225">
        <v>0.65793718651890776</v>
      </c>
      <c r="AB2225" t="str">
        <f>HYPERLINK("Melting_Curves/meltCurve_P17066_HSPA6.pdf", "Melting_Curves/meltCurve_P17066_HSPA6.pdf")</f>
        <v>Melting_Curves/meltCurve_P17066_HSPA6.pdf</v>
      </c>
    </row>
    <row r="2226" spans="1:28" x14ac:dyDescent="0.25">
      <c r="A2226" t="s">
        <v>2230</v>
      </c>
      <c r="B2226">
        <v>0.99252571173614901</v>
      </c>
      <c r="C2226">
        <v>1.1088629607112801</v>
      </c>
      <c r="D2226">
        <v>0.893283106469135</v>
      </c>
      <c r="E2226">
        <v>0.83298906836671804</v>
      </c>
      <c r="F2226">
        <v>0.82173087822324498</v>
      </c>
      <c r="G2226">
        <v>0.68830492021617895</v>
      </c>
      <c r="H2226">
        <v>0.87071796735976503</v>
      </c>
      <c r="I2226">
        <v>1.2119438717130899</v>
      </c>
      <c r="J2226">
        <v>1.6708702064980301</v>
      </c>
      <c r="K2226">
        <v>1.64623350757847</v>
      </c>
      <c r="L2226">
        <v>15000</v>
      </c>
      <c r="M2226">
        <v>234.068306581695</v>
      </c>
      <c r="O2226">
        <v>64.079179375216199</v>
      </c>
      <c r="P2226">
        <v>0.45659976707238398</v>
      </c>
      <c r="Q2226">
        <v>1.5</v>
      </c>
      <c r="R2226">
        <v>0.76548948611628798</v>
      </c>
      <c r="S2226" t="s">
        <v>8872</v>
      </c>
      <c r="T2226" t="s">
        <v>13290</v>
      </c>
      <c r="U2226" t="s">
        <v>13290</v>
      </c>
      <c r="V2226" t="s">
        <v>13290</v>
      </c>
      <c r="W2226" t="s">
        <v>15480</v>
      </c>
      <c r="X2226">
        <v>3</v>
      </c>
      <c r="Y2226" t="s">
        <v>22034</v>
      </c>
      <c r="Z2226" t="s">
        <v>28556</v>
      </c>
      <c r="AA2226">
        <v>1.098538224788274</v>
      </c>
      <c r="AB2226" t="str">
        <f>HYPERLINK("Melting_Curves/meltCurve_P17096_HMGA1.pdf", "Melting_Curves/meltCurve_P17096_HMGA1.pdf")</f>
        <v>Melting_Curves/meltCurve_P17096_HMGA1.pdf</v>
      </c>
    </row>
    <row r="2227" spans="1:28" x14ac:dyDescent="0.25">
      <c r="A2227" t="s">
        <v>2231</v>
      </c>
      <c r="B2227">
        <v>0.99252571173614901</v>
      </c>
      <c r="C2227">
        <v>1.04345752841259</v>
      </c>
      <c r="D2227">
        <v>0.94477685299347003</v>
      </c>
      <c r="E2227">
        <v>0.98233292381826198</v>
      </c>
      <c r="F2227">
        <v>0.62686945134581495</v>
      </c>
      <c r="G2227">
        <v>0.47941139089991502</v>
      </c>
      <c r="H2227">
        <v>0.48418012532028398</v>
      </c>
      <c r="I2227">
        <v>0.59338046318362303</v>
      </c>
      <c r="J2227">
        <v>0.70336793780590501</v>
      </c>
      <c r="K2227">
        <v>0.72437512122005199</v>
      </c>
      <c r="L2227">
        <v>4211.53834294642</v>
      </c>
      <c r="M2227">
        <v>81.758192882612505</v>
      </c>
      <c r="O2227">
        <v>51.481330770752599</v>
      </c>
      <c r="P2227">
        <v>-0.159918278872583</v>
      </c>
      <c r="Q2227">
        <v>0.59721198990059299</v>
      </c>
      <c r="R2227">
        <v>0.86006397334859597</v>
      </c>
      <c r="S2227" t="s">
        <v>8873</v>
      </c>
      <c r="T2227" t="s">
        <v>13290</v>
      </c>
      <c r="U2227" t="s">
        <v>13290</v>
      </c>
      <c r="V2227" t="s">
        <v>13290</v>
      </c>
      <c r="W2227" t="s">
        <v>15481</v>
      </c>
      <c r="X2227">
        <v>4</v>
      </c>
      <c r="Y2227" t="s">
        <v>22034</v>
      </c>
      <c r="Z2227" t="s">
        <v>28557</v>
      </c>
      <c r="AA2227">
        <v>0.75211796892233695</v>
      </c>
      <c r="AB2227" t="str">
        <f>HYPERLINK("Melting_Curves/meltCurve_P17096_2_HMGA1.pdf", "Melting_Curves/meltCurve_P17096_2_HMGA1.pdf")</f>
        <v>Melting_Curves/meltCurve_P17096_2_HMGA1.pdf</v>
      </c>
    </row>
    <row r="2228" spans="1:28" x14ac:dyDescent="0.25">
      <c r="A2228" t="s">
        <v>2232</v>
      </c>
      <c r="B2228">
        <v>0.99252571173614901</v>
      </c>
      <c r="C2228">
        <v>0.84854553426970003</v>
      </c>
      <c r="D2228">
        <v>0.74368480165335105</v>
      </c>
      <c r="E2228">
        <v>0.50609805668126795</v>
      </c>
      <c r="F2228">
        <v>0.30435590744871199</v>
      </c>
      <c r="G2228">
        <v>0.123011085114134</v>
      </c>
      <c r="H2228">
        <v>6.65902935275548E-2</v>
      </c>
      <c r="I2228">
        <v>7.1519518653505698E-2</v>
      </c>
      <c r="J2228">
        <v>8.96133403112747E-2</v>
      </c>
      <c r="K2228">
        <v>9.9641129598889502E-2</v>
      </c>
      <c r="L2228">
        <v>718.24354461230905</v>
      </c>
      <c r="M2228">
        <v>14.639879955973001</v>
      </c>
      <c r="N2228">
        <v>49.423004231690001</v>
      </c>
      <c r="O2228">
        <v>48.172623518395099</v>
      </c>
      <c r="P2228">
        <v>-7.2118951955466401E-2</v>
      </c>
      <c r="Q2228">
        <v>5.08738781596672E-2</v>
      </c>
      <c r="R2228">
        <v>0.99241763211939904</v>
      </c>
      <c r="S2228" t="s">
        <v>8874</v>
      </c>
      <c r="T2228" t="s">
        <v>13290</v>
      </c>
      <c r="U2228" t="s">
        <v>13290</v>
      </c>
      <c r="V2228" t="s">
        <v>13290</v>
      </c>
      <c r="W2228" t="s">
        <v>15482</v>
      </c>
      <c r="X2228">
        <v>5</v>
      </c>
      <c r="Y2228" t="s">
        <v>22035</v>
      </c>
      <c r="Z2228" t="s">
        <v>28558</v>
      </c>
      <c r="AA2228">
        <v>0.36198963338259349</v>
      </c>
      <c r="AB2228" t="str">
        <f>HYPERLINK("Melting_Curves/meltCurve_P17152_TMEM11.pdf", "Melting_Curves/meltCurve_P17152_TMEM11.pdf")</f>
        <v>Melting_Curves/meltCurve_P17152_TMEM11.pdf</v>
      </c>
    </row>
    <row r="2229" spans="1:28" x14ac:dyDescent="0.25">
      <c r="A2229" t="s">
        <v>2233</v>
      </c>
      <c r="B2229">
        <v>0.99252571173614901</v>
      </c>
      <c r="C2229">
        <v>1.01359962245908</v>
      </c>
      <c r="D2229">
        <v>0.97931919965370495</v>
      </c>
      <c r="E2229">
        <v>0.78808868154905798</v>
      </c>
      <c r="F2229">
        <v>0.66011981817849996</v>
      </c>
      <c r="G2229">
        <v>0.546307917471894</v>
      </c>
      <c r="H2229">
        <v>0.75172464483917001</v>
      </c>
      <c r="I2229">
        <v>0.86361752598158603</v>
      </c>
      <c r="J2229">
        <v>1.1792609185262899</v>
      </c>
      <c r="K2229">
        <v>1.03381876234624</v>
      </c>
      <c r="L2229">
        <v>11590.3634709871</v>
      </c>
      <c r="M2229">
        <v>250</v>
      </c>
      <c r="O2229">
        <v>46.358478286406502</v>
      </c>
      <c r="P2229">
        <v>-0.226700232745597</v>
      </c>
      <c r="Q2229">
        <v>0.83184832320882096</v>
      </c>
      <c r="R2229">
        <v>0.16651442131708899</v>
      </c>
      <c r="S2229" t="s">
        <v>8875</v>
      </c>
      <c r="T2229" t="s">
        <v>13290</v>
      </c>
      <c r="U2229" t="s">
        <v>13290</v>
      </c>
      <c r="V2229" t="s">
        <v>13290</v>
      </c>
      <c r="W2229" t="s">
        <v>15483</v>
      </c>
      <c r="X2229">
        <v>31</v>
      </c>
      <c r="Y2229" t="s">
        <v>22036</v>
      </c>
      <c r="Z2229" t="s">
        <v>28559</v>
      </c>
      <c r="AA2229">
        <v>0.86751830922016182</v>
      </c>
      <c r="AB2229" t="str">
        <f>HYPERLINK("Melting_Curves/meltCurve_P17174_GOT1.pdf", "Melting_Curves/meltCurve_P17174_GOT1.pdf")</f>
        <v>Melting_Curves/meltCurve_P17174_GOT1.pdf</v>
      </c>
    </row>
    <row r="2230" spans="1:28" x14ac:dyDescent="0.25">
      <c r="A2230" t="s">
        <v>2234</v>
      </c>
      <c r="B2230">
        <v>0.99252571173614901</v>
      </c>
      <c r="C2230">
        <v>1.0314048948511501</v>
      </c>
      <c r="D2230">
        <v>0.871992667044172</v>
      </c>
      <c r="E2230">
        <v>0.58101906620900801</v>
      </c>
      <c r="F2230">
        <v>0.326324486666624</v>
      </c>
      <c r="G2230">
        <v>0.149928993442388</v>
      </c>
      <c r="H2230">
        <v>7.1324111177299698E-2</v>
      </c>
      <c r="I2230">
        <v>7.5738208206061003E-2</v>
      </c>
      <c r="J2230">
        <v>4.9473035463653697E-2</v>
      </c>
      <c r="K2230">
        <v>4.5306528025463998E-2</v>
      </c>
      <c r="L2230">
        <v>976.37209284177902</v>
      </c>
      <c r="M2230">
        <v>19.341277985719302</v>
      </c>
      <c r="N2230">
        <v>50.742402603322098</v>
      </c>
      <c r="O2230">
        <v>49.950902975255097</v>
      </c>
      <c r="P2230">
        <v>-9.2219480124861905E-2</v>
      </c>
      <c r="Q2230">
        <v>4.7369017830466403E-2</v>
      </c>
      <c r="R2230">
        <v>0.99663872687258703</v>
      </c>
      <c r="S2230" t="s">
        <v>8876</v>
      </c>
      <c r="T2230" t="s">
        <v>13290</v>
      </c>
      <c r="U2230" t="s">
        <v>13290</v>
      </c>
      <c r="V2230" t="s">
        <v>13290</v>
      </c>
      <c r="W2230" t="s">
        <v>15484</v>
      </c>
      <c r="X2230">
        <v>2</v>
      </c>
      <c r="Y2230" t="s">
        <v>22037</v>
      </c>
      <c r="Z2230" t="s">
        <v>28560</v>
      </c>
      <c r="AA2230">
        <v>0.39430804257436047</v>
      </c>
      <c r="AB2230" t="str">
        <f>HYPERLINK("Melting_Curves/meltCurve_P17252_PRKCA.pdf", "Melting_Curves/meltCurve_P17252_PRKCA.pdf")</f>
        <v>Melting_Curves/meltCurve_P17252_PRKCA.pdf</v>
      </c>
    </row>
    <row r="2231" spans="1:28" x14ac:dyDescent="0.25">
      <c r="A2231" t="s">
        <v>2235</v>
      </c>
      <c r="B2231">
        <v>0.99252571173614901</v>
      </c>
      <c r="C2231">
        <v>0.96190347739344695</v>
      </c>
      <c r="D2231">
        <v>0.82144832540861501</v>
      </c>
      <c r="E2231">
        <v>0.75715589335546196</v>
      </c>
      <c r="F2231">
        <v>0.62738602547051903</v>
      </c>
      <c r="G2231">
        <v>0.44766193678391297</v>
      </c>
      <c r="H2231">
        <v>0.428704661710966</v>
      </c>
      <c r="I2231">
        <v>0.51511890541264405</v>
      </c>
      <c r="J2231">
        <v>0.81416981640942498</v>
      </c>
      <c r="K2231">
        <v>1.0769043336294899</v>
      </c>
      <c r="L2231">
        <v>1253.2611473067</v>
      </c>
      <c r="M2231">
        <v>27.152922668782999</v>
      </c>
      <c r="O2231">
        <v>45.907494299805201</v>
      </c>
      <c r="P2231">
        <v>-5.0735977818144602E-2</v>
      </c>
      <c r="Q2231">
        <v>0.65688569759687199</v>
      </c>
      <c r="R2231">
        <v>0.33325490738629399</v>
      </c>
      <c r="S2231" t="s">
        <v>8877</v>
      </c>
      <c r="T2231" t="s">
        <v>13290</v>
      </c>
      <c r="U2231" t="s">
        <v>13290</v>
      </c>
      <c r="V2231" t="s">
        <v>13290</v>
      </c>
      <c r="W2231" t="s">
        <v>15485</v>
      </c>
      <c r="X2231">
        <v>3</v>
      </c>
      <c r="Y2231" t="s">
        <v>22038</v>
      </c>
      <c r="Z2231" t="s">
        <v>28561</v>
      </c>
      <c r="AA2231">
        <v>0.72989470029508596</v>
      </c>
      <c r="AB2231" t="str">
        <f>HYPERLINK("Melting_Curves/meltCurve_P17275_JUNB.pdf", "Melting_Curves/meltCurve_P17275_JUNB.pdf")</f>
        <v>Melting_Curves/meltCurve_P17275_JUNB.pdf</v>
      </c>
    </row>
    <row r="2232" spans="1:28" x14ac:dyDescent="0.25">
      <c r="A2232" t="s">
        <v>2236</v>
      </c>
      <c r="B2232">
        <v>0.99252571173614901</v>
      </c>
      <c r="C2232">
        <v>0.89715025613381405</v>
      </c>
      <c r="D2232">
        <v>0.91027088592375305</v>
      </c>
      <c r="E2232">
        <v>0.97414931534764204</v>
      </c>
      <c r="F2232">
        <v>0.76230167643620494</v>
      </c>
      <c r="G2232">
        <v>0.53294450986003306</v>
      </c>
      <c r="H2232">
        <v>0.42895947006698398</v>
      </c>
      <c r="I2232">
        <v>0.36664991664780999</v>
      </c>
      <c r="J2232">
        <v>0.44418427295511997</v>
      </c>
      <c r="K2232">
        <v>0.27076943591609598</v>
      </c>
      <c r="L2232">
        <v>1111.4622602014001</v>
      </c>
      <c r="M2232">
        <v>20.317688806361801</v>
      </c>
      <c r="N2232">
        <v>57.985329934744797</v>
      </c>
      <c r="O2232">
        <v>54.182512707212702</v>
      </c>
      <c r="P2232">
        <v>-6.1721485323936398E-2</v>
      </c>
      <c r="Q2232">
        <v>0.34163331866275098</v>
      </c>
      <c r="R2232">
        <v>0.95308855425515904</v>
      </c>
      <c r="S2232" t="s">
        <v>8878</v>
      </c>
      <c r="T2232" t="s">
        <v>13290</v>
      </c>
      <c r="U2232" t="s">
        <v>13290</v>
      </c>
      <c r="V2232" t="s">
        <v>13290</v>
      </c>
      <c r="W2232" t="s">
        <v>13785</v>
      </c>
      <c r="X2232">
        <v>16</v>
      </c>
      <c r="Y2232" t="s">
        <v>20373</v>
      </c>
      <c r="Z2232" t="s">
        <v>28562</v>
      </c>
      <c r="AA2232">
        <v>0.67294159997605507</v>
      </c>
      <c r="AB2232" t="str">
        <f>HYPERLINK("Melting_Curves/meltCurve_P17301_ITGA2.pdf", "Melting_Curves/meltCurve_P17301_ITGA2.pdf")</f>
        <v>Melting_Curves/meltCurve_P17301_ITGA2.pdf</v>
      </c>
    </row>
    <row r="2233" spans="1:28" x14ac:dyDescent="0.25">
      <c r="A2233" t="s">
        <v>2237</v>
      </c>
      <c r="B2233">
        <v>0.99252571173614901</v>
      </c>
      <c r="C2233">
        <v>0.97920808535953796</v>
      </c>
      <c r="D2233">
        <v>0.84240225459539997</v>
      </c>
      <c r="E2233">
        <v>0.78846689919830204</v>
      </c>
      <c r="F2233">
        <v>0.64192371718202101</v>
      </c>
      <c r="G2233">
        <v>0.47883655124142699</v>
      </c>
      <c r="H2233">
        <v>0.47740883872593398</v>
      </c>
      <c r="I2233">
        <v>0.74448993418276799</v>
      </c>
      <c r="J2233">
        <v>1.2539569160875601</v>
      </c>
      <c r="K2233">
        <v>1.6944248743213799</v>
      </c>
      <c r="L2233">
        <v>10797.9884758957</v>
      </c>
      <c r="M2233">
        <v>250</v>
      </c>
      <c r="O2233">
        <v>43.1891899436541</v>
      </c>
      <c r="P2233">
        <v>-0.19501589232019401</v>
      </c>
      <c r="Q2233">
        <v>0.86523874563134096</v>
      </c>
      <c r="R2233">
        <v>1.8914928925516199E-2</v>
      </c>
      <c r="S2233" t="s">
        <v>8879</v>
      </c>
      <c r="T2233" t="s">
        <v>13290</v>
      </c>
      <c r="U2233" t="s">
        <v>13290</v>
      </c>
      <c r="V2233" t="s">
        <v>13290</v>
      </c>
      <c r="W2233" t="s">
        <v>15486</v>
      </c>
      <c r="X2233">
        <v>3</v>
      </c>
      <c r="Y2233" t="s">
        <v>22039</v>
      </c>
      <c r="Z2233" t="s">
        <v>28563</v>
      </c>
      <c r="AA2233">
        <v>0.8795873510962875</v>
      </c>
      <c r="AB2233" t="str">
        <f>HYPERLINK("Melting_Curves/meltCurve_P17535_JUND.pdf", "Melting_Curves/meltCurve_P17535_JUND.pdf")</f>
        <v>Melting_Curves/meltCurve_P17535_JUND.pdf</v>
      </c>
    </row>
    <row r="2234" spans="1:28" x14ac:dyDescent="0.25">
      <c r="A2234" t="s">
        <v>2238</v>
      </c>
      <c r="B2234">
        <v>0.99252571173614901</v>
      </c>
      <c r="C2234">
        <v>0.973527717348454</v>
      </c>
      <c r="D2234">
        <v>1.1022054656115801</v>
      </c>
      <c r="E2234">
        <v>1.18595224230833</v>
      </c>
      <c r="F2234">
        <v>0.84705483377315405</v>
      </c>
      <c r="G2234">
        <v>0.63720676428871204</v>
      </c>
      <c r="H2234">
        <v>0.56006701022148098</v>
      </c>
      <c r="I2234">
        <v>0.40743056293338298</v>
      </c>
      <c r="J2234">
        <v>0.49011697096992901</v>
      </c>
      <c r="K2234">
        <v>0.408481268499858</v>
      </c>
      <c r="L2234">
        <v>1701.7865132434499</v>
      </c>
      <c r="M2234">
        <v>30.576235274119199</v>
      </c>
      <c r="N2234">
        <v>60.205453250382902</v>
      </c>
      <c r="O2234">
        <v>55.420718612044404</v>
      </c>
      <c r="P2234">
        <v>-7.5810334178604097E-2</v>
      </c>
      <c r="Q2234">
        <v>0.45036558858780801</v>
      </c>
      <c r="R2234">
        <v>0.91804003383974997</v>
      </c>
      <c r="S2234" t="s">
        <v>8880</v>
      </c>
      <c r="T2234" t="s">
        <v>13290</v>
      </c>
      <c r="U2234" t="s">
        <v>13290</v>
      </c>
      <c r="V2234" t="s">
        <v>13290</v>
      </c>
      <c r="W2234" t="s">
        <v>15487</v>
      </c>
      <c r="X2234">
        <v>8</v>
      </c>
      <c r="Y2234" t="s">
        <v>22040</v>
      </c>
      <c r="Z2234" t="s">
        <v>28564</v>
      </c>
      <c r="AA2234">
        <v>0.7407563591774261</v>
      </c>
      <c r="AB2234" t="str">
        <f>HYPERLINK("Melting_Curves/meltCurve_P17568_NDUFB7.pdf", "Melting_Curves/meltCurve_P17568_NDUFB7.pdf")</f>
        <v>Melting_Curves/meltCurve_P17568_NDUFB7.pdf</v>
      </c>
    </row>
    <row r="2235" spans="1:28" x14ac:dyDescent="0.25">
      <c r="A2235" t="s">
        <v>2239</v>
      </c>
      <c r="B2235">
        <v>0.99252571173614901</v>
      </c>
      <c r="C2235">
        <v>1.00630608064739</v>
      </c>
      <c r="D2235">
        <v>0.99142541281811702</v>
      </c>
      <c r="E2235">
        <v>0.96660562532994798</v>
      </c>
      <c r="F2235">
        <v>0.50919928216641197</v>
      </c>
      <c r="G2235">
        <v>0.13370593486301999</v>
      </c>
      <c r="H2235">
        <v>7.9586401764057305E-2</v>
      </c>
      <c r="I2235">
        <v>7.9963822790851E-2</v>
      </c>
      <c r="J2235">
        <v>0.108698886675481</v>
      </c>
      <c r="K2235">
        <v>9.72656182733561E-2</v>
      </c>
      <c r="L2235">
        <v>2472.6681940747699</v>
      </c>
      <c r="M2235">
        <v>46.637137816272599</v>
      </c>
      <c r="N2235">
        <v>53.249872627715298</v>
      </c>
      <c r="O2235">
        <v>52.922088423125601</v>
      </c>
      <c r="P2235">
        <v>-0.200167301479906</v>
      </c>
      <c r="Q2235">
        <v>9.1431414751474899E-2</v>
      </c>
      <c r="R2235">
        <v>0.99952258337243505</v>
      </c>
      <c r="S2235" t="s">
        <v>8881</v>
      </c>
      <c r="T2235" t="s">
        <v>13290</v>
      </c>
      <c r="U2235" t="s">
        <v>13290</v>
      </c>
      <c r="V2235" t="s">
        <v>13290</v>
      </c>
      <c r="W2235" t="s">
        <v>15488</v>
      </c>
      <c r="X2235">
        <v>12</v>
      </c>
      <c r="Y2235" t="s">
        <v>22041</v>
      </c>
      <c r="Z2235" t="s">
        <v>28565</v>
      </c>
      <c r="AA2235">
        <v>0.48817249288230857</v>
      </c>
      <c r="AB2235" t="str">
        <f>HYPERLINK("Melting_Curves/meltCurve_P17612_PRKACA.pdf", "Melting_Curves/meltCurve_P17612_PRKACA.pdf")</f>
        <v>Melting_Curves/meltCurve_P17612_PRKACA.pdf</v>
      </c>
    </row>
    <row r="2236" spans="1:28" x14ac:dyDescent="0.25">
      <c r="A2236" t="s">
        <v>2240</v>
      </c>
      <c r="B2236">
        <v>0.99252571173614901</v>
      </c>
      <c r="C2236">
        <v>1.0107229660586801</v>
      </c>
      <c r="D2236">
        <v>0.99898813116866703</v>
      </c>
      <c r="E2236">
        <v>0.89484929155025195</v>
      </c>
      <c r="F2236">
        <v>0.74252539658426198</v>
      </c>
      <c r="G2236">
        <v>0.25683900591653103</v>
      </c>
      <c r="H2236">
        <v>0.115429347132328</v>
      </c>
      <c r="I2236">
        <v>0.13295052108160699</v>
      </c>
      <c r="J2236">
        <v>0.133266451592432</v>
      </c>
      <c r="K2236">
        <v>0.130239365861404</v>
      </c>
      <c r="L2236">
        <v>1976.2782525386899</v>
      </c>
      <c r="M2236">
        <v>36.3803362373705</v>
      </c>
      <c r="N2236">
        <v>54.738669806902102</v>
      </c>
      <c r="O2236">
        <v>54.159351402143102</v>
      </c>
      <c r="P2236">
        <v>-0.147651115557137</v>
      </c>
      <c r="Q2236">
        <v>0.120770692275249</v>
      </c>
      <c r="R2236">
        <v>0.99501924495191096</v>
      </c>
      <c r="S2236" t="s">
        <v>8882</v>
      </c>
      <c r="T2236" t="s">
        <v>13290</v>
      </c>
      <c r="U2236" t="s">
        <v>13290</v>
      </c>
      <c r="V2236" t="s">
        <v>13290</v>
      </c>
      <c r="W2236" t="s">
        <v>15489</v>
      </c>
      <c r="X2236">
        <v>16</v>
      </c>
      <c r="Y2236" t="s">
        <v>22042</v>
      </c>
      <c r="Z2236" t="s">
        <v>28566</v>
      </c>
      <c r="AA2236">
        <v>0.54451246963147948</v>
      </c>
      <c r="AB2236" t="str">
        <f>HYPERLINK("Melting_Curves/meltCurve_P17655_CAPN2.pdf", "Melting_Curves/meltCurve_P17655_CAPN2.pdf")</f>
        <v>Melting_Curves/meltCurve_P17655_CAPN2.pdf</v>
      </c>
    </row>
    <row r="2237" spans="1:28" x14ac:dyDescent="0.25">
      <c r="A2237" t="s">
        <v>2241</v>
      </c>
      <c r="B2237">
        <v>0.99252571173614901</v>
      </c>
      <c r="C2237">
        <v>1.0275479296082699</v>
      </c>
      <c r="D2237">
        <v>0.87868384100041697</v>
      </c>
      <c r="E2237">
        <v>0.47558866288198098</v>
      </c>
      <c r="F2237">
        <v>0.20233303911374501</v>
      </c>
      <c r="G2237">
        <v>0.124660851698307</v>
      </c>
      <c r="H2237">
        <v>8.7224588221508303E-2</v>
      </c>
      <c r="I2237">
        <v>8.7783057950768101E-2</v>
      </c>
      <c r="J2237">
        <v>0.111151065093403</v>
      </c>
      <c r="K2237">
        <v>0.10152804733561201</v>
      </c>
      <c r="L2237">
        <v>1388.27802604968</v>
      </c>
      <c r="M2237">
        <v>28.2916075870084</v>
      </c>
      <c r="N2237">
        <v>49.4569776761168</v>
      </c>
      <c r="O2237">
        <v>48.827121774399998</v>
      </c>
      <c r="P2237">
        <v>-0.13048513903647699</v>
      </c>
      <c r="Q2237">
        <v>9.9215557292797199E-2</v>
      </c>
      <c r="R2237">
        <v>0.99817484934871803</v>
      </c>
      <c r="S2237" t="s">
        <v>8883</v>
      </c>
      <c r="T2237" t="s">
        <v>13290</v>
      </c>
      <c r="U2237" t="s">
        <v>13290</v>
      </c>
      <c r="V2237" t="s">
        <v>13290</v>
      </c>
      <c r="W2237" t="s">
        <v>15490</v>
      </c>
      <c r="X2237">
        <v>12</v>
      </c>
      <c r="Y2237" t="s">
        <v>22043</v>
      </c>
      <c r="Z2237" t="s">
        <v>28567</v>
      </c>
      <c r="AA2237">
        <v>0.37775539839962868</v>
      </c>
      <c r="AB2237" t="str">
        <f>HYPERLINK("Melting_Curves/meltCurve_P17706_2_PTPN2.pdf", "Melting_Curves/meltCurve_P17706_2_PTPN2.pdf")</f>
        <v>Melting_Curves/meltCurve_P17706_2_PTPN2.pdf</v>
      </c>
    </row>
    <row r="2238" spans="1:28" x14ac:dyDescent="0.25">
      <c r="A2238" t="s">
        <v>2242</v>
      </c>
      <c r="B2238">
        <v>0.99252571173614901</v>
      </c>
      <c r="C2238">
        <v>0.98007876929387405</v>
      </c>
      <c r="D2238">
        <v>1.0332581324138499</v>
      </c>
      <c r="E2238">
        <v>0.97946681074469399</v>
      </c>
      <c r="F2238">
        <v>0.94012839485601996</v>
      </c>
      <c r="G2238">
        <v>0.74113176115039503</v>
      </c>
      <c r="H2238">
        <v>0.50674915803326603</v>
      </c>
      <c r="I2238">
        <v>0.18614888278630001</v>
      </c>
      <c r="J2238">
        <v>0.12510385675424501</v>
      </c>
      <c r="K2238">
        <v>0.10854221794013399</v>
      </c>
      <c r="L2238">
        <v>1253.77266897303</v>
      </c>
      <c r="M2238">
        <v>20.909044001183201</v>
      </c>
      <c r="N2238">
        <v>60.189628125778199</v>
      </c>
      <c r="O2238">
        <v>59.422781314473902</v>
      </c>
      <c r="P2238">
        <v>-8.4642175335051195E-2</v>
      </c>
      <c r="Q2238">
        <v>3.78258736543792E-2</v>
      </c>
      <c r="R2238">
        <v>0.99309726096998296</v>
      </c>
      <c r="S2238" t="s">
        <v>8884</v>
      </c>
      <c r="T2238" t="s">
        <v>13290</v>
      </c>
      <c r="U2238" t="s">
        <v>13290</v>
      </c>
      <c r="V2238" t="s">
        <v>13290</v>
      </c>
      <c r="W2238" t="s">
        <v>15491</v>
      </c>
      <c r="X2238">
        <v>37</v>
      </c>
      <c r="Y2238" t="s">
        <v>22044</v>
      </c>
      <c r="Z2238" t="s">
        <v>28568</v>
      </c>
      <c r="AA2238">
        <v>0.68611722138929454</v>
      </c>
      <c r="AB2238" t="str">
        <f>HYPERLINK("Melting_Curves/meltCurve_P17812_CTPS1.pdf", "Melting_Curves/meltCurve_P17812_CTPS1.pdf")</f>
        <v>Melting_Curves/meltCurve_P17812_CTPS1.pdf</v>
      </c>
    </row>
    <row r="2239" spans="1:28" x14ac:dyDescent="0.25">
      <c r="A2239" t="s">
        <v>2243</v>
      </c>
      <c r="B2239">
        <v>0.99252571173614901</v>
      </c>
      <c r="C2239">
        <v>0.934535626029252</v>
      </c>
      <c r="D2239">
        <v>1.03281518316822</v>
      </c>
      <c r="E2239">
        <v>1.0325818366046999</v>
      </c>
      <c r="F2239">
        <v>1.1809422839314601</v>
      </c>
      <c r="G2239">
        <v>0.96017044451940403</v>
      </c>
      <c r="H2239">
        <v>0.97707201289206103</v>
      </c>
      <c r="I2239">
        <v>1.31840283510322</v>
      </c>
      <c r="J2239">
        <v>1.36426406712014</v>
      </c>
      <c r="K2239">
        <v>0.476278466880448</v>
      </c>
      <c r="L2239">
        <v>15000</v>
      </c>
      <c r="M2239">
        <v>214.38006021554801</v>
      </c>
      <c r="N2239">
        <v>69.969207076410001</v>
      </c>
      <c r="O2239">
        <v>69.963117666144498</v>
      </c>
      <c r="P2239">
        <v>-0.76604683474667301</v>
      </c>
      <c r="Q2239">
        <v>0</v>
      </c>
      <c r="R2239">
        <v>0.49213104228631299</v>
      </c>
      <c r="S2239" t="s">
        <v>8885</v>
      </c>
      <c r="T2239" t="s">
        <v>13290</v>
      </c>
      <c r="U2239" t="s">
        <v>13290</v>
      </c>
      <c r="V2239" t="s">
        <v>13290</v>
      </c>
      <c r="W2239" t="s">
        <v>15492</v>
      </c>
      <c r="X2239">
        <v>34</v>
      </c>
      <c r="Y2239" t="s">
        <v>22045</v>
      </c>
      <c r="Z2239" t="s">
        <v>28569</v>
      </c>
      <c r="AA2239">
        <v>0.99201571733245386</v>
      </c>
      <c r="AB2239" t="str">
        <f>HYPERLINK("Melting_Curves/meltCurve_P17858_PFKL.pdf", "Melting_Curves/meltCurve_P17858_PFKL.pdf")</f>
        <v>Melting_Curves/meltCurve_P17858_PFKL.pdf</v>
      </c>
    </row>
    <row r="2240" spans="1:28" x14ac:dyDescent="0.25">
      <c r="A2240" t="s">
        <v>2244</v>
      </c>
      <c r="B2240">
        <v>0.99252571173614901</v>
      </c>
      <c r="C2240">
        <v>1.0599503724147401</v>
      </c>
      <c r="D2240">
        <v>1.02154091243124</v>
      </c>
      <c r="E2240">
        <v>0.79260681854686599</v>
      </c>
      <c r="F2240">
        <v>0.64598211105020198</v>
      </c>
      <c r="G2240">
        <v>0.57958319869292696</v>
      </c>
      <c r="H2240">
        <v>0.59852504216306202</v>
      </c>
      <c r="I2240">
        <v>0.71931926745567198</v>
      </c>
      <c r="J2240">
        <v>1.0630029393038201</v>
      </c>
      <c r="K2240">
        <v>0.97125611916211396</v>
      </c>
      <c r="L2240">
        <v>12303.540478999301</v>
      </c>
      <c r="M2240">
        <v>250</v>
      </c>
      <c r="O2240">
        <v>49.211012719352901</v>
      </c>
      <c r="P2240">
        <v>-0.30106983216956501</v>
      </c>
      <c r="Q2240">
        <v>0.76294477971577601</v>
      </c>
      <c r="R2240">
        <v>0.39256627762583501</v>
      </c>
      <c r="S2240" t="s">
        <v>8886</v>
      </c>
      <c r="T2240" t="s">
        <v>13290</v>
      </c>
      <c r="U2240" t="s">
        <v>13290</v>
      </c>
      <c r="V2240" t="s">
        <v>13290</v>
      </c>
      <c r="W2240" t="s">
        <v>15493</v>
      </c>
      <c r="X2240">
        <v>4</v>
      </c>
      <c r="Y2240" t="s">
        <v>22046</v>
      </c>
      <c r="Z2240" t="s">
        <v>28570</v>
      </c>
      <c r="AA2240">
        <v>0.83577409362043964</v>
      </c>
      <c r="AB2240" t="str">
        <f>HYPERLINK("Melting_Curves/meltCurve_P17900_GM2A.pdf", "Melting_Curves/meltCurve_P17900_GM2A.pdf")</f>
        <v>Melting_Curves/meltCurve_P17900_GM2A.pdf</v>
      </c>
    </row>
    <row r="2241" spans="1:28" x14ac:dyDescent="0.25">
      <c r="A2241" t="s">
        <v>2245</v>
      </c>
      <c r="B2241">
        <v>0.99252571173614901</v>
      </c>
      <c r="C2241">
        <v>0.99143040816253203</v>
      </c>
      <c r="D2241">
        <v>0.87372258274919301</v>
      </c>
      <c r="E2241">
        <v>0.66868909466257598</v>
      </c>
      <c r="F2241">
        <v>0.34948870195157</v>
      </c>
      <c r="G2241">
        <v>0.17472803493835601</v>
      </c>
      <c r="H2241">
        <v>0.113793273404155</v>
      </c>
      <c r="I2241">
        <v>0.10157687459715201</v>
      </c>
      <c r="J2241">
        <v>0.12502707171317401</v>
      </c>
      <c r="K2241">
        <v>0.12589923886464</v>
      </c>
      <c r="L2241">
        <v>1059.3569185937699</v>
      </c>
      <c r="M2241">
        <v>20.900143911770499</v>
      </c>
      <c r="N2241">
        <v>51.253622996837301</v>
      </c>
      <c r="O2241">
        <v>50.229400557270303</v>
      </c>
      <c r="P2241">
        <v>-9.3288748383041506E-2</v>
      </c>
      <c r="Q2241">
        <v>0.103219618178293</v>
      </c>
      <c r="R2241">
        <v>0.99801476594879801</v>
      </c>
      <c r="S2241" t="s">
        <v>8887</v>
      </c>
      <c r="T2241" t="s">
        <v>13290</v>
      </c>
      <c r="U2241" t="s">
        <v>13290</v>
      </c>
      <c r="V2241" t="s">
        <v>13290</v>
      </c>
      <c r="W2241" t="s">
        <v>15494</v>
      </c>
      <c r="X2241">
        <v>13</v>
      </c>
      <c r="Y2241" t="s">
        <v>22047</v>
      </c>
      <c r="Z2241" t="s">
        <v>28571</v>
      </c>
      <c r="AA2241">
        <v>0.43412512551771482</v>
      </c>
      <c r="AB2241" t="str">
        <f>HYPERLINK("Melting_Curves/meltCurve_P17931_LGALS3.pdf", "Melting_Curves/meltCurve_P17931_LGALS3.pdf")</f>
        <v>Melting_Curves/meltCurve_P17931_LGALS3.pdf</v>
      </c>
    </row>
    <row r="2242" spans="1:28" x14ac:dyDescent="0.25">
      <c r="A2242" t="s">
        <v>2246</v>
      </c>
      <c r="B2242">
        <v>0.99252571173614901</v>
      </c>
      <c r="C2242">
        <v>1.05162114796772</v>
      </c>
      <c r="D2242">
        <v>1.0805020722430601</v>
      </c>
      <c r="E2242">
        <v>1.044959813038</v>
      </c>
      <c r="F2242">
        <v>1.38607139773318</v>
      </c>
      <c r="G2242">
        <v>1.43767470403164</v>
      </c>
      <c r="H2242">
        <v>0.87925768045514097</v>
      </c>
      <c r="I2242">
        <v>0.21475857782785099</v>
      </c>
      <c r="J2242">
        <v>0.15840148697983999</v>
      </c>
      <c r="K2242">
        <v>0.132482993183206</v>
      </c>
      <c r="L2242">
        <v>5239.11587030999</v>
      </c>
      <c r="M2242">
        <v>84.334693923145295</v>
      </c>
      <c r="N2242">
        <v>62.377644575523803</v>
      </c>
      <c r="O2242">
        <v>62.087996087495704</v>
      </c>
      <c r="P2242">
        <v>-0.29010878639610299</v>
      </c>
      <c r="Q2242">
        <v>0.145676806327076</v>
      </c>
      <c r="R2242">
        <v>0.83840248717853005</v>
      </c>
      <c r="S2242" t="s">
        <v>8888</v>
      </c>
      <c r="T2242" t="s">
        <v>13290</v>
      </c>
      <c r="U2242" t="s">
        <v>13290</v>
      </c>
      <c r="V2242" t="s">
        <v>13290</v>
      </c>
      <c r="W2242" t="s">
        <v>15495</v>
      </c>
      <c r="X2242">
        <v>37</v>
      </c>
      <c r="Y2242" t="s">
        <v>22048</v>
      </c>
      <c r="Z2242" t="s">
        <v>28572</v>
      </c>
      <c r="AA2242">
        <v>0.77649823620335945</v>
      </c>
      <c r="AB2242" t="str">
        <f>HYPERLINK("Melting_Curves/meltCurve_P17987_TCP1.pdf", "Melting_Curves/meltCurve_P17987_TCP1.pdf")</f>
        <v>Melting_Curves/meltCurve_P17987_TCP1.pdf</v>
      </c>
    </row>
    <row r="2243" spans="1:28" x14ac:dyDescent="0.25">
      <c r="A2243" t="s">
        <v>2247</v>
      </c>
      <c r="B2243">
        <v>0.99252571173614901</v>
      </c>
      <c r="C2243">
        <v>0.86030661714743994</v>
      </c>
      <c r="D2243">
        <v>0.71276398203917102</v>
      </c>
      <c r="E2243">
        <v>0.34120044502427999</v>
      </c>
      <c r="F2243">
        <v>0.21201749193292699</v>
      </c>
      <c r="G2243">
        <v>0.12115047867253299</v>
      </c>
      <c r="H2243">
        <v>8.8943649377183701E-2</v>
      </c>
      <c r="I2243">
        <v>9.2203173425229795E-2</v>
      </c>
      <c r="J2243">
        <v>0.10700827368957901</v>
      </c>
      <c r="K2243">
        <v>9.71872814543394E-2</v>
      </c>
      <c r="L2243">
        <v>918.33029581160702</v>
      </c>
      <c r="M2243">
        <v>19.345479270891701</v>
      </c>
      <c r="N2243">
        <v>47.967177963870199</v>
      </c>
      <c r="O2243">
        <v>46.971494945687603</v>
      </c>
      <c r="P2243">
        <v>-9.3613942290120294E-2</v>
      </c>
      <c r="Q2243">
        <v>9.0841821965768094E-2</v>
      </c>
      <c r="R2243">
        <v>0.99633484964419305</v>
      </c>
      <c r="S2243" t="s">
        <v>8889</v>
      </c>
      <c r="T2243" t="s">
        <v>13290</v>
      </c>
      <c r="U2243" t="s">
        <v>13290</v>
      </c>
      <c r="V2243" t="s">
        <v>13290</v>
      </c>
      <c r="W2243" t="s">
        <v>15496</v>
      </c>
      <c r="X2243">
        <v>9</v>
      </c>
      <c r="Y2243" t="s">
        <v>22049</v>
      </c>
      <c r="Z2243" t="s">
        <v>28573</v>
      </c>
      <c r="AA2243">
        <v>0.33129391516010581</v>
      </c>
      <c r="AB2243" t="str">
        <f>HYPERLINK("Melting_Curves/meltCurve_P18031_PTPN1.pdf", "Melting_Curves/meltCurve_P18031_PTPN1.pdf")</f>
        <v>Melting_Curves/meltCurve_P18031_PTPN1.pdf</v>
      </c>
    </row>
    <row r="2244" spans="1:28" x14ac:dyDescent="0.25">
      <c r="A2244" t="s">
        <v>2248</v>
      </c>
      <c r="B2244">
        <v>0.99252571173614901</v>
      </c>
      <c r="C2244">
        <v>1.0985381576091999</v>
      </c>
      <c r="D2244">
        <v>0.97509852657657103</v>
      </c>
      <c r="E2244">
        <v>0.93356606605610204</v>
      </c>
      <c r="F2244">
        <v>0.72760370183134804</v>
      </c>
      <c r="G2244">
        <v>0.55563298771352099</v>
      </c>
      <c r="H2244">
        <v>0.438975001133598</v>
      </c>
      <c r="I2244">
        <v>0.41829413899961498</v>
      </c>
      <c r="J2244">
        <v>0.49242331415635898</v>
      </c>
      <c r="K2244">
        <v>0.46441369420967299</v>
      </c>
      <c r="L2244">
        <v>1431.3720725225701</v>
      </c>
      <c r="M2244">
        <v>26.858792311693499</v>
      </c>
      <c r="N2244">
        <v>58.287286039541797</v>
      </c>
      <c r="O2244">
        <v>52.999701364343501</v>
      </c>
      <c r="P2244">
        <v>-6.9688170802764696E-2</v>
      </c>
      <c r="Q2244">
        <v>0.44995072038407702</v>
      </c>
      <c r="R2244">
        <v>0.97708432253432498</v>
      </c>
      <c r="S2244" t="s">
        <v>8890</v>
      </c>
      <c r="T2244" t="s">
        <v>13290</v>
      </c>
      <c r="U2244" t="s">
        <v>13290</v>
      </c>
      <c r="V2244" t="s">
        <v>13290</v>
      </c>
      <c r="W2244" t="s">
        <v>15497</v>
      </c>
      <c r="X2244">
        <v>20</v>
      </c>
      <c r="Y2244" t="s">
        <v>22050</v>
      </c>
      <c r="Z2244" t="s">
        <v>28574</v>
      </c>
      <c r="AA2244">
        <v>0.69810127660435517</v>
      </c>
      <c r="AB2244" t="str">
        <f>HYPERLINK("Melting_Curves/meltCurve_P18065_IGFBP2.pdf", "Melting_Curves/meltCurve_P18065_IGFBP2.pdf")</f>
        <v>Melting_Curves/meltCurve_P18065_IGFBP2.pdf</v>
      </c>
    </row>
    <row r="2245" spans="1:28" x14ac:dyDescent="0.25">
      <c r="A2245" t="s">
        <v>2249</v>
      </c>
      <c r="B2245">
        <v>0.99252571173614901</v>
      </c>
      <c r="C2245">
        <v>1.1296659771809701</v>
      </c>
      <c r="D2245">
        <v>0.47247604481177802</v>
      </c>
      <c r="E2245">
        <v>0.53194536738637099</v>
      </c>
      <c r="F2245">
        <v>0.42281792106551502</v>
      </c>
      <c r="G2245">
        <v>0.13648769506227401</v>
      </c>
      <c r="H2245">
        <v>5.4909482774810503E-2</v>
      </c>
      <c r="I2245">
        <v>4.6444036219255899E-2</v>
      </c>
      <c r="J2245">
        <v>5.0831016042511203E-2</v>
      </c>
      <c r="K2245">
        <v>4.5357333426152897E-2</v>
      </c>
      <c r="L2245">
        <v>631.86309246708299</v>
      </c>
      <c r="M2245">
        <v>12.735488921109599</v>
      </c>
      <c r="N2245">
        <v>49.675116911071399</v>
      </c>
      <c r="O2245">
        <v>48.438789067207097</v>
      </c>
      <c r="P2245">
        <v>-6.5234299703300497E-2</v>
      </c>
      <c r="Q2245">
        <v>7.7283504369573602E-3</v>
      </c>
      <c r="R2245">
        <v>0.89794872098432399</v>
      </c>
      <c r="S2245" t="s">
        <v>8891</v>
      </c>
      <c r="T2245" t="s">
        <v>13290</v>
      </c>
      <c r="U2245" t="s">
        <v>13290</v>
      </c>
      <c r="V2245" t="s">
        <v>13290</v>
      </c>
      <c r="W2245" t="s">
        <v>15498</v>
      </c>
      <c r="X2245">
        <v>10</v>
      </c>
      <c r="Y2245" t="s">
        <v>22051</v>
      </c>
      <c r="Z2245" t="s">
        <v>28575</v>
      </c>
      <c r="AA2245">
        <v>0.35760786333604161</v>
      </c>
      <c r="AB2245" t="str">
        <f>HYPERLINK("Melting_Curves/meltCurve_P18085_ARF4.pdf", "Melting_Curves/meltCurve_P18085_ARF4.pdf")</f>
        <v>Melting_Curves/meltCurve_P18085_ARF4.pdf</v>
      </c>
    </row>
    <row r="2246" spans="1:28" x14ac:dyDescent="0.25">
      <c r="A2246" t="s">
        <v>2250</v>
      </c>
      <c r="B2246">
        <v>0.99252571173614901</v>
      </c>
      <c r="C2246">
        <v>1.0829485470646001</v>
      </c>
      <c r="D2246">
        <v>1.04089327137569</v>
      </c>
      <c r="E2246">
        <v>0.99583425038155904</v>
      </c>
      <c r="F2246">
        <v>0.74149410336529398</v>
      </c>
      <c r="G2246">
        <v>0.59627967868504805</v>
      </c>
      <c r="H2246">
        <v>0.43919573450280402</v>
      </c>
      <c r="I2246">
        <v>0.48947130710502301</v>
      </c>
      <c r="J2246">
        <v>0.66843356940849896</v>
      </c>
      <c r="K2246">
        <v>0.74203877035140797</v>
      </c>
      <c r="L2246">
        <v>3607.4901498430499</v>
      </c>
      <c r="M2246">
        <v>68.318716931173995</v>
      </c>
      <c r="O2246">
        <v>52.758645147823799</v>
      </c>
      <c r="P2246">
        <v>-0.13390426862247101</v>
      </c>
      <c r="Q2246">
        <v>0.58637361012979405</v>
      </c>
      <c r="R2246">
        <v>0.85898342867171695</v>
      </c>
      <c r="S2246" t="s">
        <v>8892</v>
      </c>
      <c r="T2246" t="s">
        <v>13290</v>
      </c>
      <c r="U2246" t="s">
        <v>13290</v>
      </c>
      <c r="V2246" t="s">
        <v>13290</v>
      </c>
      <c r="W2246" t="s">
        <v>15499</v>
      </c>
      <c r="X2246">
        <v>7</v>
      </c>
      <c r="Y2246" t="s">
        <v>22052</v>
      </c>
      <c r="Z2246" t="s">
        <v>28576</v>
      </c>
      <c r="AA2246">
        <v>0.76342174383932404</v>
      </c>
      <c r="AB2246" t="str">
        <f>HYPERLINK("Melting_Curves/meltCurve_P18124_RPL7.pdf", "Melting_Curves/meltCurve_P18124_RPL7.pdf")</f>
        <v>Melting_Curves/meltCurve_P18124_RPL7.pdf</v>
      </c>
    </row>
    <row r="2247" spans="1:28" x14ac:dyDescent="0.25">
      <c r="A2247" t="s">
        <v>2251</v>
      </c>
      <c r="B2247">
        <v>0.99252571173614901</v>
      </c>
      <c r="C2247">
        <v>1.0463650405453699</v>
      </c>
      <c r="D2247">
        <v>0.94556502365009898</v>
      </c>
      <c r="E2247">
        <v>0.94617415532918303</v>
      </c>
      <c r="F2247">
        <v>0.58769313322434003</v>
      </c>
      <c r="G2247">
        <v>0.43326149952621801</v>
      </c>
      <c r="H2247">
        <v>0.395591931340881</v>
      </c>
      <c r="I2247">
        <v>0.39595096509139599</v>
      </c>
      <c r="J2247">
        <v>0.53754394165555597</v>
      </c>
      <c r="K2247">
        <v>0.61691344718693797</v>
      </c>
      <c r="L2247">
        <v>2656.0881232178599</v>
      </c>
      <c r="M2247">
        <v>51.298718553202399</v>
      </c>
      <c r="N2247">
        <v>55.018413127120198</v>
      </c>
      <c r="O2247">
        <v>51.6983876222628</v>
      </c>
      <c r="P2247">
        <v>-0.13007254379090899</v>
      </c>
      <c r="Q2247">
        <v>0.47565663884568499</v>
      </c>
      <c r="R2247">
        <v>0.92985171906882003</v>
      </c>
      <c r="S2247" t="s">
        <v>8893</v>
      </c>
      <c r="T2247" t="s">
        <v>13290</v>
      </c>
      <c r="U2247" t="s">
        <v>13290</v>
      </c>
      <c r="V2247" t="s">
        <v>13290</v>
      </c>
      <c r="W2247" t="s">
        <v>15500</v>
      </c>
      <c r="X2247">
        <v>7</v>
      </c>
      <c r="Y2247" t="s">
        <v>22053</v>
      </c>
      <c r="Z2247" t="s">
        <v>28577</v>
      </c>
      <c r="AA2247">
        <v>0.68263175545575949</v>
      </c>
      <c r="AB2247" t="str">
        <f>HYPERLINK("Melting_Curves/meltCurve_P18146_EGR1.pdf", "Melting_Curves/meltCurve_P18146_EGR1.pdf")</f>
        <v>Melting_Curves/meltCurve_P18146_EGR1.pdf</v>
      </c>
    </row>
    <row r="2248" spans="1:28" x14ac:dyDescent="0.25">
      <c r="A2248" t="s">
        <v>2252</v>
      </c>
      <c r="B2248">
        <v>0.99252571173614901</v>
      </c>
      <c r="C2248">
        <v>0.98374516368809295</v>
      </c>
      <c r="D2248">
        <v>1.0394320850871299</v>
      </c>
      <c r="E2248">
        <v>0.93193488820946901</v>
      </c>
      <c r="F2248">
        <v>1.0041259488249901</v>
      </c>
      <c r="G2248">
        <v>0.87118571039612902</v>
      </c>
      <c r="H2248">
        <v>0.72999886435611505</v>
      </c>
      <c r="I2248">
        <v>0.34344028584403202</v>
      </c>
      <c r="J2248">
        <v>0.18114380298732999</v>
      </c>
      <c r="K2248">
        <v>0.156418157086476</v>
      </c>
      <c r="L2248">
        <v>1798.00900666752</v>
      </c>
      <c r="M2248">
        <v>28.957415584385899</v>
      </c>
      <c r="N2248">
        <v>62.590195875888398</v>
      </c>
      <c r="O2248">
        <v>61.797629542672098</v>
      </c>
      <c r="P2248">
        <v>-0.105078155549973</v>
      </c>
      <c r="Q2248">
        <v>0.10302323576509601</v>
      </c>
      <c r="R2248">
        <v>0.98683727647980601</v>
      </c>
      <c r="S2248" t="s">
        <v>8894</v>
      </c>
      <c r="T2248" t="s">
        <v>13290</v>
      </c>
      <c r="U2248" t="s">
        <v>13290</v>
      </c>
      <c r="V2248" t="s">
        <v>13290</v>
      </c>
      <c r="W2248" t="s">
        <v>15501</v>
      </c>
      <c r="X2248">
        <v>68</v>
      </c>
      <c r="Y2248" t="s">
        <v>22054</v>
      </c>
      <c r="Z2248" t="s">
        <v>28578</v>
      </c>
      <c r="AA2248">
        <v>0.76764335048646481</v>
      </c>
      <c r="AB2248" t="str">
        <f>HYPERLINK("Melting_Curves/meltCurve_P18206_2_VCL.pdf", "Melting_Curves/meltCurve_P18206_2_VCL.pdf")</f>
        <v>Melting_Curves/meltCurve_P18206_2_VCL.pdf</v>
      </c>
    </row>
    <row r="2249" spans="1:28" x14ac:dyDescent="0.25">
      <c r="A2249" t="s">
        <v>2253</v>
      </c>
      <c r="B2249">
        <v>0.99252571173614901</v>
      </c>
      <c r="C2249">
        <v>1.03332247493452</v>
      </c>
      <c r="D2249">
        <v>0.97080161519074104</v>
      </c>
      <c r="E2249">
        <v>0.88022232638744902</v>
      </c>
      <c r="F2249">
        <v>0.84132997791715003</v>
      </c>
      <c r="G2249">
        <v>0.75766517421130197</v>
      </c>
      <c r="H2249">
        <v>0.67794152125148199</v>
      </c>
      <c r="I2249">
        <v>0.75462539848815102</v>
      </c>
      <c r="J2249">
        <v>0.41009358569471199</v>
      </c>
      <c r="K2249">
        <v>0.22227897309716799</v>
      </c>
      <c r="L2249">
        <v>617.00168470506503</v>
      </c>
      <c r="M2249">
        <v>9.4370488077332197</v>
      </c>
      <c r="N2249">
        <v>65.380782766943099</v>
      </c>
      <c r="O2249">
        <v>62.6466966562081</v>
      </c>
      <c r="P2249">
        <v>-3.7682647737525297E-2</v>
      </c>
      <c r="Q2249">
        <v>0</v>
      </c>
      <c r="R2249">
        <v>0.883947734815141</v>
      </c>
      <c r="S2249" t="s">
        <v>8895</v>
      </c>
      <c r="T2249" t="s">
        <v>13290</v>
      </c>
      <c r="U2249" t="s">
        <v>13290</v>
      </c>
      <c r="V2249" t="s">
        <v>13290</v>
      </c>
      <c r="W2249" t="s">
        <v>15502</v>
      </c>
      <c r="X2249">
        <v>18</v>
      </c>
      <c r="Y2249" t="s">
        <v>22055</v>
      </c>
      <c r="Z2249" t="s">
        <v>28579</v>
      </c>
      <c r="AA2249">
        <v>0.7814303614133371</v>
      </c>
      <c r="AB2249" t="str">
        <f>HYPERLINK("Melting_Curves/meltCurve_P18283_GPX2.pdf", "Melting_Curves/meltCurve_P18283_GPX2.pdf")</f>
        <v>Melting_Curves/meltCurve_P18283_GPX2.pdf</v>
      </c>
    </row>
    <row r="2250" spans="1:28" x14ac:dyDescent="0.25">
      <c r="A2250" t="s">
        <v>2254</v>
      </c>
      <c r="B2250">
        <v>0.99252571173614901</v>
      </c>
      <c r="C2250">
        <v>0.95293563665650804</v>
      </c>
      <c r="D2250">
        <v>0.81632072962659197</v>
      </c>
      <c r="E2250">
        <v>0.63136647354864295</v>
      </c>
      <c r="F2250">
        <v>0.40782517241496302</v>
      </c>
      <c r="G2250">
        <v>0.31253056809286101</v>
      </c>
      <c r="H2250">
        <v>0.277871458652175</v>
      </c>
      <c r="I2250">
        <v>0.34914350639004499</v>
      </c>
      <c r="J2250">
        <v>0.53023526090147899</v>
      </c>
      <c r="K2250">
        <v>0.62598797694201203</v>
      </c>
      <c r="L2250">
        <v>1228.90955295291</v>
      </c>
      <c r="M2250">
        <v>25.7326142325376</v>
      </c>
      <c r="N2250">
        <v>51.280849445083497</v>
      </c>
      <c r="O2250">
        <v>47.471271325612598</v>
      </c>
      <c r="P2250">
        <v>-7.93202949645153E-2</v>
      </c>
      <c r="Q2250">
        <v>0.41468986218051102</v>
      </c>
      <c r="R2250">
        <v>0.837882570682699</v>
      </c>
      <c r="S2250" t="s">
        <v>8896</v>
      </c>
      <c r="T2250" t="s">
        <v>13290</v>
      </c>
      <c r="U2250" t="s">
        <v>13290</v>
      </c>
      <c r="V2250" t="s">
        <v>13290</v>
      </c>
      <c r="W2250" t="s">
        <v>15503</v>
      </c>
      <c r="X2250">
        <v>19</v>
      </c>
      <c r="Y2250" t="s">
        <v>22056</v>
      </c>
      <c r="Z2250" t="s">
        <v>28580</v>
      </c>
      <c r="AA2250">
        <v>0.5708973072597755</v>
      </c>
      <c r="AB2250" t="str">
        <f>HYPERLINK("Melting_Curves/meltCurve_P18615_NELFE.pdf", "Melting_Curves/meltCurve_P18615_NELFE.pdf")</f>
        <v>Melting_Curves/meltCurve_P18615_NELFE.pdf</v>
      </c>
    </row>
    <row r="2251" spans="1:28" x14ac:dyDescent="0.25">
      <c r="A2251" t="s">
        <v>2255</v>
      </c>
      <c r="B2251">
        <v>0.99252571173614901</v>
      </c>
      <c r="C2251">
        <v>1.0668963911188301</v>
      </c>
      <c r="D2251">
        <v>0.99055305116971504</v>
      </c>
      <c r="E2251">
        <v>0.92834879964555295</v>
      </c>
      <c r="F2251">
        <v>0.856780980726075</v>
      </c>
      <c r="G2251">
        <v>0.75668988107034296</v>
      </c>
      <c r="H2251">
        <v>0.74081323482872796</v>
      </c>
      <c r="I2251">
        <v>0.89638675258720801</v>
      </c>
      <c r="J2251">
        <v>0.76169260184679599</v>
      </c>
      <c r="K2251">
        <v>0.25454610942977401</v>
      </c>
      <c r="L2251">
        <v>611.11791989076801</v>
      </c>
      <c r="M2251">
        <v>8.7508132435082207</v>
      </c>
      <c r="N2251">
        <v>69.835557992270196</v>
      </c>
      <c r="O2251">
        <v>66.476485534458405</v>
      </c>
      <c r="P2251">
        <v>-3.29360064763023E-2</v>
      </c>
      <c r="Q2251">
        <v>0</v>
      </c>
      <c r="R2251">
        <v>0.65654040018419602</v>
      </c>
      <c r="S2251" t="s">
        <v>8897</v>
      </c>
      <c r="T2251" t="s">
        <v>13290</v>
      </c>
      <c r="U2251" t="s">
        <v>13290</v>
      </c>
      <c r="V2251" t="s">
        <v>13290</v>
      </c>
      <c r="W2251" t="s">
        <v>15504</v>
      </c>
      <c r="X2251">
        <v>33</v>
      </c>
      <c r="Y2251" t="s">
        <v>22057</v>
      </c>
      <c r="Z2251" t="s">
        <v>28581</v>
      </c>
      <c r="AA2251">
        <v>0.85000606972291815</v>
      </c>
      <c r="AB2251" t="str">
        <f>HYPERLINK("Melting_Curves/meltCurve_P18669_PGAM1.pdf", "Melting_Curves/meltCurve_P18669_PGAM1.pdf")</f>
        <v>Melting_Curves/meltCurve_P18669_PGAM1.pdf</v>
      </c>
    </row>
    <row r="2252" spans="1:28" x14ac:dyDescent="0.25">
      <c r="A2252" t="s">
        <v>2256</v>
      </c>
      <c r="B2252">
        <v>0.99252571173614901</v>
      </c>
      <c r="C2252">
        <v>1.0200690181687</v>
      </c>
      <c r="D2252">
        <v>0.84073613283125603</v>
      </c>
      <c r="E2252">
        <v>0.33902965600780699</v>
      </c>
      <c r="F2252">
        <v>0.13171165646321001</v>
      </c>
      <c r="G2252">
        <v>7.9774332339258597E-2</v>
      </c>
      <c r="H2252">
        <v>6.0379734855131303E-2</v>
      </c>
      <c r="I2252">
        <v>7.0081871782556801E-2</v>
      </c>
      <c r="J2252">
        <v>8.7860360250141198E-2</v>
      </c>
      <c r="K2252">
        <v>0.102627542070544</v>
      </c>
      <c r="L2252">
        <v>1608.9450151138799</v>
      </c>
      <c r="M2252">
        <v>33.373020565489803</v>
      </c>
      <c r="N2252">
        <v>48.467182342700902</v>
      </c>
      <c r="O2252">
        <v>48.038818538280502</v>
      </c>
      <c r="P2252">
        <v>-0.15963219473512499</v>
      </c>
      <c r="Q2252">
        <v>8.0872946318227695E-2</v>
      </c>
      <c r="R2252">
        <v>0.99829880635177903</v>
      </c>
      <c r="S2252" t="s">
        <v>8898</v>
      </c>
      <c r="T2252" t="s">
        <v>13290</v>
      </c>
      <c r="U2252" t="s">
        <v>13290</v>
      </c>
      <c r="V2252" t="s">
        <v>13290</v>
      </c>
      <c r="W2252" t="s">
        <v>15505</v>
      </c>
      <c r="X2252">
        <v>16</v>
      </c>
      <c r="Y2252" t="s">
        <v>22058</v>
      </c>
      <c r="Z2252" t="s">
        <v>28582</v>
      </c>
      <c r="AA2252">
        <v>0.33688281537237741</v>
      </c>
      <c r="AB2252" t="str">
        <f>HYPERLINK("Melting_Curves/meltCurve_P18754_RCC1.pdf", "Melting_Curves/meltCurve_P18754_RCC1.pdf")</f>
        <v>Melting_Curves/meltCurve_P18754_RCC1.pdf</v>
      </c>
    </row>
    <row r="2253" spans="1:28" x14ac:dyDescent="0.25">
      <c r="A2253" t="s">
        <v>2257</v>
      </c>
      <c r="B2253">
        <v>0.99252571173614901</v>
      </c>
      <c r="C2253">
        <v>0.94768306048314699</v>
      </c>
      <c r="D2253">
        <v>0.82176195028172605</v>
      </c>
      <c r="E2253">
        <v>0.80312516251668298</v>
      </c>
      <c r="F2253">
        <v>0.73582138332872404</v>
      </c>
      <c r="G2253">
        <v>0.75492669707767102</v>
      </c>
      <c r="H2253">
        <v>0.68069594680938506</v>
      </c>
      <c r="I2253">
        <v>0.95462482185630204</v>
      </c>
      <c r="J2253">
        <v>1.31689187007371</v>
      </c>
      <c r="K2253">
        <v>1.31844693417612</v>
      </c>
      <c r="L2253">
        <v>15000</v>
      </c>
      <c r="M2253">
        <v>227.46650223626301</v>
      </c>
      <c r="O2253">
        <v>65.938678222985601</v>
      </c>
      <c r="P2253">
        <v>0.27661601996108298</v>
      </c>
      <c r="Q2253">
        <v>1.3207451568049</v>
      </c>
      <c r="R2253">
        <v>0.33738172945500899</v>
      </c>
      <c r="S2253" t="s">
        <v>8899</v>
      </c>
      <c r="T2253" t="s">
        <v>13290</v>
      </c>
      <c r="U2253" t="s">
        <v>13290</v>
      </c>
      <c r="V2253" t="s">
        <v>13290</v>
      </c>
      <c r="W2253" t="s">
        <v>15506</v>
      </c>
      <c r="X2253">
        <v>3</v>
      </c>
      <c r="Y2253" t="s">
        <v>22059</v>
      </c>
      <c r="Z2253" t="s">
        <v>28583</v>
      </c>
      <c r="AA2253">
        <v>1.043322309394114</v>
      </c>
      <c r="AB2253" t="str">
        <f>HYPERLINK("Melting_Curves/meltCurve_P18827_SDC1.pdf", "Melting_Curves/meltCurve_P18827_SDC1.pdf")</f>
        <v>Melting_Curves/meltCurve_P18827_SDC1.pdf</v>
      </c>
    </row>
    <row r="2254" spans="1:28" x14ac:dyDescent="0.25">
      <c r="A2254" t="s">
        <v>2258</v>
      </c>
      <c r="B2254">
        <v>0.99252571173614901</v>
      </c>
      <c r="C2254">
        <v>1.0679966558152501</v>
      </c>
      <c r="D2254">
        <v>0.90877383856699301</v>
      </c>
      <c r="E2254">
        <v>0.91007459689933701</v>
      </c>
      <c r="F2254">
        <v>0.720611966021388</v>
      </c>
      <c r="G2254">
        <v>0.64230060172963999</v>
      </c>
      <c r="H2254">
        <v>0.80406016348544596</v>
      </c>
      <c r="I2254">
        <v>1.7093674335912401</v>
      </c>
      <c r="J2254">
        <v>2.9642652711042401</v>
      </c>
      <c r="K2254">
        <v>3.1685204076531099</v>
      </c>
      <c r="L2254">
        <v>7499.2766967184798</v>
      </c>
      <c r="M2254">
        <v>120.302799739227</v>
      </c>
      <c r="O2254">
        <v>62.319433578971697</v>
      </c>
      <c r="P2254">
        <v>0.241302658836375</v>
      </c>
      <c r="Q2254">
        <v>1.5</v>
      </c>
      <c r="R2254">
        <v>0.32761504705810102</v>
      </c>
      <c r="S2254" t="s">
        <v>8900</v>
      </c>
      <c r="T2254" t="s">
        <v>13290</v>
      </c>
      <c r="U2254" t="s">
        <v>13290</v>
      </c>
      <c r="V2254" t="s">
        <v>13290</v>
      </c>
      <c r="W2254" t="s">
        <v>15507</v>
      </c>
      <c r="X2254">
        <v>8</v>
      </c>
      <c r="Y2254" t="s">
        <v>22060</v>
      </c>
      <c r="Z2254" t="s">
        <v>28584</v>
      </c>
      <c r="AA2254">
        <v>1.127485688176868</v>
      </c>
      <c r="AB2254" t="str">
        <f>HYPERLINK("Melting_Curves/meltCurve_P18846_ATF1.pdf", "Melting_Curves/meltCurve_P18846_ATF1.pdf")</f>
        <v>Melting_Curves/meltCurve_P18846_ATF1.pdf</v>
      </c>
    </row>
    <row r="2255" spans="1:28" x14ac:dyDescent="0.25">
      <c r="A2255" t="s">
        <v>2259</v>
      </c>
      <c r="B2255">
        <v>0.99252571173614901</v>
      </c>
      <c r="C2255">
        <v>1.0712673556910199</v>
      </c>
      <c r="D2255">
        <v>0.57730117002509496</v>
      </c>
      <c r="E2255">
        <v>0.401769198772428</v>
      </c>
      <c r="F2255">
        <v>0.109784093931185</v>
      </c>
      <c r="G2255">
        <v>6.2682168365914406E-2</v>
      </c>
      <c r="H2255">
        <v>5.03966213273698E-2</v>
      </c>
      <c r="I2255">
        <v>5.9432055951904803E-2</v>
      </c>
      <c r="J2255">
        <v>7.5488781861616602E-2</v>
      </c>
      <c r="K2255">
        <v>7.5686771470605096E-2</v>
      </c>
      <c r="L2255">
        <v>1072.5164836706599</v>
      </c>
      <c r="M2255">
        <v>22.592924179201699</v>
      </c>
      <c r="N2255">
        <v>47.742701016870399</v>
      </c>
      <c r="O2255">
        <v>47.104105312616802</v>
      </c>
      <c r="P2255">
        <v>-0.112686721481527</v>
      </c>
      <c r="Q2255">
        <v>6.0253900788358801E-2</v>
      </c>
      <c r="R2255">
        <v>0.96952254473431798</v>
      </c>
      <c r="S2255" t="s">
        <v>8901</v>
      </c>
      <c r="T2255" t="s">
        <v>13290</v>
      </c>
      <c r="U2255" t="s">
        <v>13290</v>
      </c>
      <c r="V2255" t="s">
        <v>13290</v>
      </c>
      <c r="W2255" t="s">
        <v>15508</v>
      </c>
      <c r="X2255">
        <v>24</v>
      </c>
      <c r="Y2255" t="s">
        <v>22061</v>
      </c>
      <c r="Z2255" t="s">
        <v>28585</v>
      </c>
      <c r="AA2255">
        <v>0.30467426621731342</v>
      </c>
      <c r="AB2255" t="str">
        <f>HYPERLINK("Melting_Curves/meltCurve_P18858_LIG1.pdf", "Melting_Curves/meltCurve_P18858_LIG1.pdf")</f>
        <v>Melting_Curves/meltCurve_P18858_LIG1.pdf</v>
      </c>
    </row>
    <row r="2256" spans="1:28" x14ac:dyDescent="0.25">
      <c r="A2256" t="s">
        <v>2260</v>
      </c>
      <c r="B2256">
        <v>0.99252571173614901</v>
      </c>
      <c r="C2256">
        <v>0.92796103570065802</v>
      </c>
      <c r="D2256">
        <v>1.0953702818678901</v>
      </c>
      <c r="E2256">
        <v>1.2660354070227999</v>
      </c>
      <c r="F2256">
        <v>1.26887251810306</v>
      </c>
      <c r="G2256">
        <v>1.2257498518734999</v>
      </c>
      <c r="H2256">
        <v>1.7720122025417</v>
      </c>
      <c r="I2256">
        <v>3.2146986921757699</v>
      </c>
      <c r="J2256">
        <v>5.4233218729999697</v>
      </c>
      <c r="K2256">
        <v>5.9237289244293097</v>
      </c>
      <c r="L2256">
        <v>1400.3020547106601</v>
      </c>
      <c r="M2256">
        <v>27.8517443822772</v>
      </c>
      <c r="O2256">
        <v>50.019957817723899</v>
      </c>
      <c r="P2256">
        <v>6.9602200234905903E-2</v>
      </c>
      <c r="Q2256">
        <v>1.5</v>
      </c>
      <c r="R2256">
        <v>-0.178045668598829</v>
      </c>
      <c r="S2256" t="s">
        <v>8902</v>
      </c>
      <c r="T2256" t="s">
        <v>13290</v>
      </c>
      <c r="U2256" t="s">
        <v>13290</v>
      </c>
      <c r="V2256" t="s">
        <v>13290</v>
      </c>
      <c r="W2256" t="s">
        <v>15509</v>
      </c>
      <c r="X2256">
        <v>9</v>
      </c>
      <c r="Y2256" t="s">
        <v>22062</v>
      </c>
      <c r="Z2256" t="s">
        <v>28586</v>
      </c>
      <c r="AA2256">
        <v>1.3251083006127951</v>
      </c>
      <c r="AB2256" t="str">
        <f>HYPERLINK("Melting_Curves/meltCurve_P18859_ATP5J.pdf", "Melting_Curves/meltCurve_P18859_ATP5J.pdf")</f>
        <v>Melting_Curves/meltCurve_P18859_ATP5J.pdf</v>
      </c>
    </row>
    <row r="2257" spans="1:28" x14ac:dyDescent="0.25">
      <c r="A2257" t="s">
        <v>2261</v>
      </c>
      <c r="B2257">
        <v>0.99252571173614901</v>
      </c>
      <c r="C2257">
        <v>0.91993650878345301</v>
      </c>
      <c r="D2257">
        <v>0.87047255191309503</v>
      </c>
      <c r="E2257">
        <v>0.75950011502685599</v>
      </c>
      <c r="F2257">
        <v>0.58750456649380101</v>
      </c>
      <c r="G2257">
        <v>0.49254275928887598</v>
      </c>
      <c r="H2257">
        <v>0.37587580872742798</v>
      </c>
      <c r="I2257">
        <v>0.39299839489441901</v>
      </c>
      <c r="J2257">
        <v>0.44506533719721297</v>
      </c>
      <c r="K2257">
        <v>0.32169131520315403</v>
      </c>
      <c r="L2257">
        <v>653.679425455922</v>
      </c>
      <c r="M2257">
        <v>12.7691244950409</v>
      </c>
      <c r="N2257">
        <v>56.277760317220199</v>
      </c>
      <c r="O2257">
        <v>49.985359162768198</v>
      </c>
      <c r="P2257">
        <v>-4.2011798451486497E-2</v>
      </c>
      <c r="Q2257">
        <v>0.34229547932561</v>
      </c>
      <c r="R2257">
        <v>0.98150581623717503</v>
      </c>
      <c r="S2257" t="s">
        <v>8903</v>
      </c>
      <c r="T2257" t="s">
        <v>13290</v>
      </c>
      <c r="U2257" t="s">
        <v>13290</v>
      </c>
      <c r="V2257" t="s">
        <v>13290</v>
      </c>
      <c r="W2257" t="s">
        <v>15510</v>
      </c>
      <c r="X2257">
        <v>4</v>
      </c>
      <c r="Y2257" t="s">
        <v>22063</v>
      </c>
      <c r="Z2257" t="s">
        <v>28587</v>
      </c>
      <c r="AA2257">
        <v>0.60705642489034561</v>
      </c>
      <c r="AB2257" t="str">
        <f>HYPERLINK("Melting_Curves/meltCurve_P19021_6_PAM.pdf", "Melting_Curves/meltCurve_P19021_6_PAM.pdf")</f>
        <v>Melting_Curves/meltCurve_P19021_6_PAM.pdf</v>
      </c>
    </row>
    <row r="2258" spans="1:28" x14ac:dyDescent="0.25">
      <c r="A2258" t="s">
        <v>2262</v>
      </c>
      <c r="B2258">
        <v>0.99252571173614901</v>
      </c>
      <c r="C2258">
        <v>0.92281667705067905</v>
      </c>
      <c r="D2258">
        <v>0.845019722726572</v>
      </c>
      <c r="E2258">
        <v>0.29722698301929201</v>
      </c>
      <c r="F2258">
        <v>0.171364067829992</v>
      </c>
      <c r="G2258">
        <v>9.7610442634328901E-2</v>
      </c>
      <c r="H2258">
        <v>8.1474662347721299E-2</v>
      </c>
      <c r="I2258">
        <v>8.4490677191976102E-2</v>
      </c>
      <c r="J2258">
        <v>8.3761532327173704E-2</v>
      </c>
      <c r="K2258">
        <v>7.7037402934215904E-2</v>
      </c>
      <c r="L2258">
        <v>1576.3957203980699</v>
      </c>
      <c r="M2258">
        <v>32.863450469240703</v>
      </c>
      <c r="N2258">
        <v>48.258871006512798</v>
      </c>
      <c r="O2258">
        <v>47.7914865089258</v>
      </c>
      <c r="P2258">
        <v>-0.15646817299805499</v>
      </c>
      <c r="Q2258">
        <v>8.98323763569807E-2</v>
      </c>
      <c r="R2258">
        <v>0.99478377238276905</v>
      </c>
      <c r="S2258" t="s">
        <v>8904</v>
      </c>
      <c r="T2258" t="s">
        <v>13290</v>
      </c>
      <c r="U2258" t="s">
        <v>13290</v>
      </c>
      <c r="V2258" t="s">
        <v>13290</v>
      </c>
      <c r="W2258" t="s">
        <v>15511</v>
      </c>
      <c r="X2258">
        <v>5</v>
      </c>
      <c r="Y2258" t="s">
        <v>22064</v>
      </c>
      <c r="Z2258" t="s">
        <v>28588</v>
      </c>
      <c r="AA2258">
        <v>0.33610473612209618</v>
      </c>
      <c r="AB2258" t="str">
        <f>HYPERLINK("Melting_Curves/meltCurve_P19174_PLCG1.pdf", "Melting_Curves/meltCurve_P19174_PLCG1.pdf")</f>
        <v>Melting_Curves/meltCurve_P19174_PLCG1.pdf</v>
      </c>
    </row>
    <row r="2259" spans="1:28" x14ac:dyDescent="0.25">
      <c r="A2259" t="s">
        <v>2263</v>
      </c>
      <c r="B2259">
        <v>0.99252571173614901</v>
      </c>
      <c r="C2259">
        <v>0.940429349825326</v>
      </c>
      <c r="D2259">
        <v>0.80172400093438601</v>
      </c>
      <c r="E2259">
        <v>0.70103197997356004</v>
      </c>
      <c r="F2259">
        <v>0.41797054043388299</v>
      </c>
      <c r="G2259">
        <v>0.22050824703475599</v>
      </c>
      <c r="H2259">
        <v>0.19331639504817999</v>
      </c>
      <c r="I2259">
        <v>0.20822963746600801</v>
      </c>
      <c r="J2259">
        <v>0.244505210871896</v>
      </c>
      <c r="K2259">
        <v>0.371680435446959</v>
      </c>
      <c r="L2259">
        <v>961.50477144005799</v>
      </c>
      <c r="M2259">
        <v>19.298487740280599</v>
      </c>
      <c r="N2259">
        <v>51.501664369839801</v>
      </c>
      <c r="O2259">
        <v>49.297076955279401</v>
      </c>
      <c r="P2259">
        <v>-7.5022478981100302E-2</v>
      </c>
      <c r="Q2259">
        <v>0.23346312700550201</v>
      </c>
      <c r="R2259">
        <v>0.95613983989893703</v>
      </c>
      <c r="S2259" t="s">
        <v>8905</v>
      </c>
      <c r="T2259" t="s">
        <v>13290</v>
      </c>
      <c r="U2259" t="s">
        <v>13290</v>
      </c>
      <c r="V2259" t="s">
        <v>13290</v>
      </c>
      <c r="W2259" t="s">
        <v>15512</v>
      </c>
      <c r="X2259">
        <v>41</v>
      </c>
      <c r="Y2259" t="s">
        <v>22065</v>
      </c>
      <c r="Z2259" t="s">
        <v>28589</v>
      </c>
      <c r="AA2259">
        <v>0.49590005424218109</v>
      </c>
      <c r="AB2259" t="str">
        <f>HYPERLINK("Melting_Curves/meltCurve_P19338_NCL.pdf", "Melting_Curves/meltCurve_P19338_NCL.pdf")</f>
        <v>Melting_Curves/meltCurve_P19338_NCL.pdf</v>
      </c>
    </row>
    <row r="2260" spans="1:28" x14ac:dyDescent="0.25">
      <c r="A2260" t="s">
        <v>2264</v>
      </c>
      <c r="B2260">
        <v>0.99252571173614901</v>
      </c>
      <c r="C2260">
        <v>0.95561949763627396</v>
      </c>
      <c r="D2260">
        <v>0.92626574482982305</v>
      </c>
      <c r="E2260">
        <v>0.80139649940983604</v>
      </c>
      <c r="F2260">
        <v>0.34180855784874598</v>
      </c>
      <c r="G2260">
        <v>0.103329202379682</v>
      </c>
      <c r="H2260">
        <v>6.0067445805952101E-2</v>
      </c>
      <c r="I2260">
        <v>5.87438751473396E-2</v>
      </c>
      <c r="J2260">
        <v>6.3063222104391997E-2</v>
      </c>
      <c r="K2260">
        <v>6.4903547967564298E-2</v>
      </c>
      <c r="L2260">
        <v>1524.2308521257501</v>
      </c>
      <c r="M2260">
        <v>29.483559396085798</v>
      </c>
      <c r="N2260">
        <v>51.902253616280902</v>
      </c>
      <c r="O2260">
        <v>51.4615752406553</v>
      </c>
      <c r="P2260">
        <v>-0.135374178130828</v>
      </c>
      <c r="Q2260">
        <v>5.4860407984343398E-2</v>
      </c>
      <c r="R2260">
        <v>0.99703502087271501</v>
      </c>
      <c r="S2260" t="s">
        <v>8906</v>
      </c>
      <c r="T2260" t="s">
        <v>13290</v>
      </c>
      <c r="U2260" t="s">
        <v>13290</v>
      </c>
      <c r="V2260" t="s">
        <v>13290</v>
      </c>
      <c r="W2260" t="s">
        <v>15513</v>
      </c>
      <c r="X2260">
        <v>59</v>
      </c>
      <c r="Y2260" t="s">
        <v>22066</v>
      </c>
      <c r="Z2260" t="s">
        <v>28590</v>
      </c>
      <c r="AA2260">
        <v>0.42961204165591249</v>
      </c>
      <c r="AB2260" t="str">
        <f>HYPERLINK("Melting_Curves/meltCurve_P19367_HK1.pdf", "Melting_Curves/meltCurve_P19367_HK1.pdf")</f>
        <v>Melting_Curves/meltCurve_P19367_HK1.pdf</v>
      </c>
    </row>
    <row r="2261" spans="1:28" x14ac:dyDescent="0.25">
      <c r="A2261" t="s">
        <v>2265</v>
      </c>
      <c r="B2261">
        <v>0.99252571173614901</v>
      </c>
      <c r="C2261">
        <v>0.88985812564206301</v>
      </c>
      <c r="D2261">
        <v>0.855372872027236</v>
      </c>
      <c r="E2261">
        <v>0.70426435080321803</v>
      </c>
      <c r="F2261">
        <v>0.52612086669579805</v>
      </c>
      <c r="G2261">
        <v>0.32512750130074303</v>
      </c>
      <c r="H2261">
        <v>0.29005506562359201</v>
      </c>
      <c r="I2261">
        <v>0.22464737284643699</v>
      </c>
      <c r="J2261">
        <v>0.23474303385596201</v>
      </c>
      <c r="K2261">
        <v>0.18278242149164001</v>
      </c>
      <c r="L2261">
        <v>636.61548345388803</v>
      </c>
      <c r="M2261">
        <v>12.317190390429399</v>
      </c>
      <c r="N2261">
        <v>53.377723316949002</v>
      </c>
      <c r="O2261">
        <v>50.379407270753298</v>
      </c>
      <c r="P2261">
        <v>-5.1251938905523202E-2</v>
      </c>
      <c r="Q2261">
        <v>0.161665787579621</v>
      </c>
      <c r="R2261">
        <v>0.99291421286880799</v>
      </c>
      <c r="S2261" t="s">
        <v>8907</v>
      </c>
      <c r="T2261" t="s">
        <v>13290</v>
      </c>
      <c r="U2261" t="s">
        <v>13290</v>
      </c>
      <c r="V2261" t="s">
        <v>13290</v>
      </c>
      <c r="W2261" t="s">
        <v>15514</v>
      </c>
      <c r="X2261">
        <v>5</v>
      </c>
      <c r="Y2261" t="s">
        <v>22067</v>
      </c>
      <c r="Z2261" t="s">
        <v>28591</v>
      </c>
      <c r="AA2261">
        <v>0.51348997157442788</v>
      </c>
      <c r="AB2261" t="str">
        <f>HYPERLINK("Melting_Curves/meltCurve_P19387_POLR2C.pdf", "Melting_Curves/meltCurve_P19387_POLR2C.pdf")</f>
        <v>Melting_Curves/meltCurve_P19387_POLR2C.pdf</v>
      </c>
    </row>
    <row r="2262" spans="1:28" x14ac:dyDescent="0.25">
      <c r="A2262" t="s">
        <v>2266</v>
      </c>
      <c r="B2262">
        <v>0.99252571173614901</v>
      </c>
      <c r="C2262">
        <v>0.79263299497409001</v>
      </c>
      <c r="D2262">
        <v>0.90652214766105399</v>
      </c>
      <c r="E2262">
        <v>0.93213002715020898</v>
      </c>
      <c r="F2262">
        <v>0.60883034403980696</v>
      </c>
      <c r="G2262">
        <v>0.37742106628405098</v>
      </c>
      <c r="H2262">
        <v>0.49535927216874098</v>
      </c>
      <c r="I2262">
        <v>0.26195013764766001</v>
      </c>
      <c r="J2262">
        <v>0.21464420449626501</v>
      </c>
      <c r="K2262">
        <v>0.16667517861638301</v>
      </c>
      <c r="L2262">
        <v>491.64455239337701</v>
      </c>
      <c r="M2262">
        <v>8.6370455377643207</v>
      </c>
      <c r="N2262">
        <v>57.041005780261202</v>
      </c>
      <c r="O2262">
        <v>54.118012483061101</v>
      </c>
      <c r="P2262">
        <v>-3.9578766665711598E-2</v>
      </c>
      <c r="Q2262">
        <v>8.8701019556296501E-3</v>
      </c>
      <c r="R2262">
        <v>0.91029044189616903</v>
      </c>
      <c r="S2262" t="s">
        <v>8908</v>
      </c>
      <c r="T2262" t="s">
        <v>13290</v>
      </c>
      <c r="U2262" t="s">
        <v>13290</v>
      </c>
      <c r="V2262" t="s">
        <v>13290</v>
      </c>
      <c r="W2262" t="s">
        <v>15515</v>
      </c>
      <c r="X2262">
        <v>3</v>
      </c>
      <c r="Y2262" t="s">
        <v>22068</v>
      </c>
      <c r="Z2262" t="s">
        <v>28592</v>
      </c>
      <c r="AA2262">
        <v>0.58199648865046905</v>
      </c>
      <c r="AB2262" t="str">
        <f>HYPERLINK("Melting_Curves/meltCurve_P19388_POLR2E.pdf", "Melting_Curves/meltCurve_P19388_POLR2E.pdf")</f>
        <v>Melting_Curves/meltCurve_P19388_POLR2E.pdf</v>
      </c>
    </row>
    <row r="2263" spans="1:28" x14ac:dyDescent="0.25">
      <c r="A2263" t="s">
        <v>2267</v>
      </c>
      <c r="B2263">
        <v>0.99252571173614901</v>
      </c>
      <c r="C2263">
        <v>0.96464547202109197</v>
      </c>
      <c r="D2263">
        <v>0.92460920104350997</v>
      </c>
      <c r="E2263">
        <v>0.54708058107108604</v>
      </c>
      <c r="F2263">
        <v>0.22535648220839999</v>
      </c>
      <c r="G2263">
        <v>8.5743397829937201E-2</v>
      </c>
      <c r="H2263">
        <v>7.1690184162307893E-2</v>
      </c>
      <c r="I2263">
        <v>0.113813712810355</v>
      </c>
      <c r="J2263">
        <v>0.144690732138059</v>
      </c>
      <c r="K2263">
        <v>0.120555206196413</v>
      </c>
      <c r="L2263">
        <v>1480.40590258879</v>
      </c>
      <c r="M2263">
        <v>29.856976644854999</v>
      </c>
      <c r="N2263">
        <v>49.978264721842898</v>
      </c>
      <c r="O2263">
        <v>49.362412404734599</v>
      </c>
      <c r="P2263">
        <v>-0.13532091739357999</v>
      </c>
      <c r="Q2263">
        <v>0.105103958911197</v>
      </c>
      <c r="R2263">
        <v>0.99593606454981198</v>
      </c>
      <c r="S2263" t="s">
        <v>8909</v>
      </c>
      <c r="T2263" t="s">
        <v>13290</v>
      </c>
      <c r="U2263" t="s">
        <v>13290</v>
      </c>
      <c r="V2263" t="s">
        <v>13290</v>
      </c>
      <c r="W2263" t="s">
        <v>15516</v>
      </c>
      <c r="X2263">
        <v>2</v>
      </c>
      <c r="Y2263" t="s">
        <v>22069</v>
      </c>
      <c r="Z2263" t="s">
        <v>28593</v>
      </c>
      <c r="AA2263">
        <v>0.39652311068530721</v>
      </c>
      <c r="AB2263" t="str">
        <f>HYPERLINK("Melting_Curves/meltCurve_P19447_ERCC3.pdf", "Melting_Curves/meltCurve_P19447_ERCC3.pdf")</f>
        <v>Melting_Curves/meltCurve_P19447_ERCC3.pdf</v>
      </c>
    </row>
    <row r="2264" spans="1:28" x14ac:dyDescent="0.25">
      <c r="A2264" t="s">
        <v>2268</v>
      </c>
      <c r="B2264">
        <v>0.99252571173614901</v>
      </c>
      <c r="C2264">
        <v>0.79988371881936904</v>
      </c>
      <c r="D2264">
        <v>0.33806507304004801</v>
      </c>
      <c r="E2264">
        <v>0.196166118851402</v>
      </c>
      <c r="F2264">
        <v>0.11250531313878499</v>
      </c>
      <c r="G2264">
        <v>7.0356667875678597E-2</v>
      </c>
      <c r="H2264">
        <v>6.08440519972906E-2</v>
      </c>
      <c r="I2264">
        <v>6.4108855365771295E-2</v>
      </c>
      <c r="J2264">
        <v>7.4399186906783904E-2</v>
      </c>
      <c r="K2264">
        <v>7.8864583933970306E-2</v>
      </c>
      <c r="L2264">
        <v>1272.63480898595</v>
      </c>
      <c r="M2264">
        <v>28.459622064405799</v>
      </c>
      <c r="N2264">
        <v>44.999050068035601</v>
      </c>
      <c r="O2264">
        <v>44.498168794759899</v>
      </c>
      <c r="P2264">
        <v>-0.146840643390694</v>
      </c>
      <c r="Q2264">
        <v>8.1634022477554399E-2</v>
      </c>
      <c r="R2264">
        <v>0.99339697283942696</v>
      </c>
      <c r="S2264" t="s">
        <v>8910</v>
      </c>
      <c r="T2264" t="s">
        <v>13290</v>
      </c>
      <c r="U2264" t="s">
        <v>13290</v>
      </c>
      <c r="V2264" t="s">
        <v>13290</v>
      </c>
      <c r="W2264" t="s">
        <v>15517</v>
      </c>
      <c r="X2264">
        <v>17</v>
      </c>
      <c r="Y2264" t="s">
        <v>22070</v>
      </c>
      <c r="Z2264" t="s">
        <v>28594</v>
      </c>
      <c r="AA2264">
        <v>0.23293493379629199</v>
      </c>
      <c r="AB2264" t="str">
        <f>HYPERLINK("Melting_Curves/meltCurve_P19525_EIF2AK2.pdf", "Melting_Curves/meltCurve_P19525_EIF2AK2.pdf")</f>
        <v>Melting_Curves/meltCurve_P19525_EIF2AK2.pdf</v>
      </c>
    </row>
    <row r="2265" spans="1:28" x14ac:dyDescent="0.25">
      <c r="A2265" t="s">
        <v>2269</v>
      </c>
      <c r="B2265">
        <v>0.99252571173614901</v>
      </c>
      <c r="C2265">
        <v>0.98352172867302301</v>
      </c>
      <c r="D2265">
        <v>0.55541087468842898</v>
      </c>
      <c r="E2265">
        <v>0.30291058623457601</v>
      </c>
      <c r="F2265">
        <v>0.131382125339537</v>
      </c>
      <c r="G2265">
        <v>6.7997153418182799E-2</v>
      </c>
      <c r="H2265">
        <v>4.72546552622004E-2</v>
      </c>
      <c r="I2265">
        <v>4.8538917423776903E-2</v>
      </c>
      <c r="J2265">
        <v>5.9829950178319498E-2</v>
      </c>
      <c r="K2265">
        <v>5.1436266569624599E-2</v>
      </c>
      <c r="L2265">
        <v>1080.19793041926</v>
      </c>
      <c r="M2265">
        <v>23.069655183455001</v>
      </c>
      <c r="N2265">
        <v>47.069567533144301</v>
      </c>
      <c r="O2265">
        <v>46.475752925985503</v>
      </c>
      <c r="P2265">
        <v>-0.117043089596802</v>
      </c>
      <c r="Q2265">
        <v>5.6845019461864502E-2</v>
      </c>
      <c r="R2265">
        <v>0.988963924700339</v>
      </c>
      <c r="S2265" t="s">
        <v>8911</v>
      </c>
      <c r="T2265" t="s">
        <v>13290</v>
      </c>
      <c r="U2265" t="s">
        <v>13290</v>
      </c>
      <c r="V2265" t="s">
        <v>13290</v>
      </c>
      <c r="W2265" t="s">
        <v>15518</v>
      </c>
      <c r="X2265">
        <v>14</v>
      </c>
      <c r="Y2265" t="s">
        <v>22071</v>
      </c>
      <c r="Z2265" t="s">
        <v>28595</v>
      </c>
      <c r="AA2265">
        <v>0.281472155785436</v>
      </c>
      <c r="AB2265" t="str">
        <f>HYPERLINK("Melting_Curves/meltCurve_P19623_SRM.pdf", "Melting_Curves/meltCurve_P19623_SRM.pdf")</f>
        <v>Melting_Curves/meltCurve_P19623_SRM.pdf</v>
      </c>
    </row>
    <row r="2266" spans="1:28" x14ac:dyDescent="0.25">
      <c r="A2266" t="s">
        <v>2270</v>
      </c>
      <c r="B2266">
        <v>0.99252571173614901</v>
      </c>
      <c r="C2266">
        <v>0.95015313141212898</v>
      </c>
      <c r="D2266">
        <v>0.90815596943315602</v>
      </c>
      <c r="E2266">
        <v>0.77233629662026804</v>
      </c>
      <c r="F2266">
        <v>0.42065722851298598</v>
      </c>
      <c r="G2266">
        <v>0.17910357254664799</v>
      </c>
      <c r="H2266">
        <v>0.106289855104145</v>
      </c>
      <c r="I2266">
        <v>0.10100331378588299</v>
      </c>
      <c r="J2266">
        <v>0.12503677036088501</v>
      </c>
      <c r="K2266">
        <v>0.12065964149427599</v>
      </c>
      <c r="L2266">
        <v>1192.86514797832</v>
      </c>
      <c r="M2266">
        <v>23.0582364244733</v>
      </c>
      <c r="N2266">
        <v>52.233218064449098</v>
      </c>
      <c r="O2266">
        <v>51.348324393377602</v>
      </c>
      <c r="P2266">
        <v>-0.101138050470323</v>
      </c>
      <c r="Q2266">
        <v>9.9120489913601395E-2</v>
      </c>
      <c r="R2266">
        <v>0.99572960251170906</v>
      </c>
      <c r="S2266" t="s">
        <v>8912</v>
      </c>
      <c r="T2266" t="s">
        <v>13290</v>
      </c>
      <c r="U2266" t="s">
        <v>13290</v>
      </c>
      <c r="V2266" t="s">
        <v>13290</v>
      </c>
      <c r="W2266" t="s">
        <v>13794</v>
      </c>
      <c r="X2266">
        <v>16</v>
      </c>
      <c r="Y2266" t="s">
        <v>22072</v>
      </c>
      <c r="Z2266" t="s">
        <v>28596</v>
      </c>
      <c r="AA2266">
        <v>0.46102469690425119</v>
      </c>
      <c r="AB2266" t="str">
        <f>HYPERLINK("Melting_Curves/meltCurve_P19784_CSNK2A2.pdf", "Melting_Curves/meltCurve_P19784_CSNK2A2.pdf")</f>
        <v>Melting_Curves/meltCurve_P19784_CSNK2A2.pdf</v>
      </c>
    </row>
    <row r="2267" spans="1:28" x14ac:dyDescent="0.25">
      <c r="A2267" t="s">
        <v>2271</v>
      </c>
      <c r="B2267">
        <v>0.99252571173614901</v>
      </c>
      <c r="C2267">
        <v>0.88600580812714502</v>
      </c>
      <c r="D2267">
        <v>0.55982914033456199</v>
      </c>
      <c r="E2267">
        <v>0.26020657644754103</v>
      </c>
      <c r="F2267">
        <v>0.141494646993921</v>
      </c>
      <c r="G2267">
        <v>8.1144978700374695E-2</v>
      </c>
      <c r="H2267">
        <v>6.9538600186398403E-2</v>
      </c>
      <c r="I2267">
        <v>7.6774082847194294E-2</v>
      </c>
      <c r="J2267">
        <v>7.2085379123283597E-2</v>
      </c>
      <c r="K2267">
        <v>6.8777290284127005E-2</v>
      </c>
      <c r="L2267">
        <v>1035.00016186985</v>
      </c>
      <c r="M2267">
        <v>22.314067043753301</v>
      </c>
      <c r="N2267">
        <v>46.713652824920999</v>
      </c>
      <c r="O2267">
        <v>46.015611778531998</v>
      </c>
      <c r="P2267">
        <v>-0.112384846794054</v>
      </c>
      <c r="Q2267">
        <v>7.2988903980877803E-2</v>
      </c>
      <c r="R2267">
        <v>0.998659200304857</v>
      </c>
      <c r="S2267" t="s">
        <v>8913</v>
      </c>
      <c r="T2267" t="s">
        <v>13290</v>
      </c>
      <c r="U2267" t="s">
        <v>13290</v>
      </c>
      <c r="V2267" t="s">
        <v>13290</v>
      </c>
      <c r="W2267" t="s">
        <v>15519</v>
      </c>
      <c r="X2267">
        <v>5</v>
      </c>
      <c r="Y2267" t="s">
        <v>22073</v>
      </c>
      <c r="Z2267" t="s">
        <v>28597</v>
      </c>
      <c r="AA2267">
        <v>0.28113920905576772</v>
      </c>
      <c r="AB2267" t="str">
        <f>HYPERLINK("Melting_Curves/meltCurve_P19838_NFKB1.pdf", "Melting_Curves/meltCurve_P19838_NFKB1.pdf")</f>
        <v>Melting_Curves/meltCurve_P19838_NFKB1.pdf</v>
      </c>
    </row>
    <row r="2268" spans="1:28" x14ac:dyDescent="0.25">
      <c r="A2268" t="s">
        <v>2272</v>
      </c>
      <c r="B2268">
        <v>0.99252571173614901</v>
      </c>
      <c r="C2268">
        <v>0.85744262173665298</v>
      </c>
      <c r="D2268">
        <v>0.87306184012045496</v>
      </c>
      <c r="E2268">
        <v>0.919674476667241</v>
      </c>
      <c r="F2268">
        <v>0.60121100755569601</v>
      </c>
      <c r="G2268">
        <v>0.31865801863297899</v>
      </c>
      <c r="H2268">
        <v>9.7133029376180499E-2</v>
      </c>
      <c r="I2268">
        <v>9.7554461276039603E-2</v>
      </c>
      <c r="J2268">
        <v>0.12855779014948401</v>
      </c>
      <c r="K2268">
        <v>0.121295052545893</v>
      </c>
      <c r="L2268">
        <v>1246.91868029224</v>
      </c>
      <c r="M2268">
        <v>23.173783976480099</v>
      </c>
      <c r="N2268">
        <v>54.283917863423497</v>
      </c>
      <c r="O2268">
        <v>53.411421143868502</v>
      </c>
      <c r="P2268">
        <v>-9.8485327389152E-2</v>
      </c>
      <c r="Q2268">
        <v>9.2052338360635297E-2</v>
      </c>
      <c r="R2268">
        <v>0.97181555753096005</v>
      </c>
      <c r="S2268" t="s">
        <v>8914</v>
      </c>
      <c r="T2268" t="s">
        <v>13290</v>
      </c>
      <c r="U2268" t="s">
        <v>13290</v>
      </c>
      <c r="V2268" t="s">
        <v>13290</v>
      </c>
      <c r="W2268" t="s">
        <v>15520</v>
      </c>
      <c r="X2268">
        <v>36</v>
      </c>
      <c r="Y2268" t="s">
        <v>22074</v>
      </c>
      <c r="Z2268" t="s">
        <v>28598</v>
      </c>
      <c r="AA2268">
        <v>0.5195570688340182</v>
      </c>
      <c r="AB2268" t="str">
        <f>HYPERLINK("Melting_Curves/meltCurve_P20020_6_ATP2B1.pdf", "Melting_Curves/meltCurve_P20020_6_ATP2B1.pdf")</f>
        <v>Melting_Curves/meltCurve_P20020_6_ATP2B1.pdf</v>
      </c>
    </row>
    <row r="2269" spans="1:28" x14ac:dyDescent="0.25">
      <c r="A2269" t="s">
        <v>2273</v>
      </c>
      <c r="B2269">
        <v>0.99252571173614901</v>
      </c>
      <c r="C2269">
        <v>1.0198913448068401</v>
      </c>
      <c r="D2269">
        <v>0.97847942709880298</v>
      </c>
      <c r="E2269">
        <v>0.89128393758387003</v>
      </c>
      <c r="F2269">
        <v>0.717320457044894</v>
      </c>
      <c r="G2269">
        <v>0.325907071722635</v>
      </c>
      <c r="H2269">
        <v>0.141643708999972</v>
      </c>
      <c r="I2269">
        <v>0.124100647817208</v>
      </c>
      <c r="J2269">
        <v>0.102551952473778</v>
      </c>
      <c r="K2269">
        <v>9.2832093092893295E-2</v>
      </c>
      <c r="L2269">
        <v>1372.5644335085101</v>
      </c>
      <c r="M2269">
        <v>25.139301306283102</v>
      </c>
      <c r="N2269">
        <v>55.031616509959598</v>
      </c>
      <c r="O2269">
        <v>54.256386516533702</v>
      </c>
      <c r="P2269">
        <v>-0.10543702636670101</v>
      </c>
      <c r="Q2269">
        <v>8.9782690970523799E-2</v>
      </c>
      <c r="R2269">
        <v>0.997629976408968</v>
      </c>
      <c r="S2269" t="s">
        <v>8915</v>
      </c>
      <c r="T2269" t="s">
        <v>13290</v>
      </c>
      <c r="U2269" t="s">
        <v>13290</v>
      </c>
      <c r="V2269" t="s">
        <v>13290</v>
      </c>
      <c r="W2269" t="s">
        <v>15521</v>
      </c>
      <c r="X2269">
        <v>24</v>
      </c>
      <c r="Y2269" t="s">
        <v>22075</v>
      </c>
      <c r="Z2269" t="s">
        <v>28599</v>
      </c>
      <c r="AA2269">
        <v>0.54105027890699009</v>
      </c>
      <c r="AB2269" t="str">
        <f>HYPERLINK("Melting_Curves/meltCurve_P20042_EIF2S2.pdf", "Melting_Curves/meltCurve_P20042_EIF2S2.pdf")</f>
        <v>Melting_Curves/meltCurve_P20042_EIF2S2.pdf</v>
      </c>
    </row>
    <row r="2270" spans="1:28" x14ac:dyDescent="0.25">
      <c r="A2270" t="s">
        <v>2274</v>
      </c>
      <c r="B2270">
        <v>0.99252571173614901</v>
      </c>
      <c r="C2270">
        <v>1.0190095000718999</v>
      </c>
      <c r="D2270">
        <v>0.92422709233798805</v>
      </c>
      <c r="E2270">
        <v>0.93215714504484404</v>
      </c>
      <c r="F2270">
        <v>0.87400209623662795</v>
      </c>
      <c r="G2270">
        <v>0.69001432180394395</v>
      </c>
      <c r="H2270">
        <v>0.63221514822355696</v>
      </c>
      <c r="I2270">
        <v>0.43784361692272</v>
      </c>
      <c r="J2270">
        <v>0.242815080832154</v>
      </c>
      <c r="K2270">
        <v>0.22443259286959</v>
      </c>
      <c r="L2270">
        <v>690.60852989940895</v>
      </c>
      <c r="M2270">
        <v>11.1190476110087</v>
      </c>
      <c r="N2270">
        <v>62.110403182446397</v>
      </c>
      <c r="O2270">
        <v>60.2029442050857</v>
      </c>
      <c r="P2270">
        <v>-4.6188134538972601E-2</v>
      </c>
      <c r="Q2270">
        <v>0</v>
      </c>
      <c r="R2270">
        <v>0.98096979390526695</v>
      </c>
      <c r="S2270" t="s">
        <v>8916</v>
      </c>
      <c r="T2270" t="s">
        <v>13290</v>
      </c>
      <c r="U2270" t="s">
        <v>13290</v>
      </c>
      <c r="V2270" t="s">
        <v>13290</v>
      </c>
      <c r="W2270" t="s">
        <v>15522</v>
      </c>
      <c r="X2270">
        <v>4</v>
      </c>
      <c r="Y2270" t="s">
        <v>22076</v>
      </c>
      <c r="Z2270" t="s">
        <v>28600</v>
      </c>
      <c r="AA2270">
        <v>0.72091491691281429</v>
      </c>
      <c r="AB2270" t="str">
        <f>HYPERLINK("Melting_Curves/meltCurve_P20248_CCNA2.pdf", "Melting_Curves/meltCurve_P20248_CCNA2.pdf")</f>
        <v>Melting_Curves/meltCurve_P20248_CCNA2.pdf</v>
      </c>
    </row>
    <row r="2271" spans="1:28" x14ac:dyDescent="0.25">
      <c r="A2271" t="s">
        <v>2275</v>
      </c>
      <c r="B2271">
        <v>0.99252571173614901</v>
      </c>
      <c r="C2271">
        <v>1.1610513431298899</v>
      </c>
      <c r="D2271">
        <v>1.1726299805930001</v>
      </c>
      <c r="E2271">
        <v>1.17218408949079</v>
      </c>
      <c r="F2271">
        <v>1.0284240176447299</v>
      </c>
      <c r="G2271">
        <v>0.88018451520443797</v>
      </c>
      <c r="H2271">
        <v>0.94156980632784104</v>
      </c>
      <c r="I2271">
        <v>1.1947234026089899</v>
      </c>
      <c r="J2271">
        <v>1.80099934808443</v>
      </c>
      <c r="K2271">
        <v>2.0154048662580499</v>
      </c>
      <c r="L2271">
        <v>15000</v>
      </c>
      <c r="M2271">
        <v>233.925687056279</v>
      </c>
      <c r="O2271">
        <v>64.118258895110003</v>
      </c>
      <c r="P2271">
        <v>0.45604355759502502</v>
      </c>
      <c r="Q2271">
        <v>1.5</v>
      </c>
      <c r="R2271">
        <v>0.63405621796082401</v>
      </c>
      <c r="S2271" t="s">
        <v>8917</v>
      </c>
      <c r="T2271" t="s">
        <v>13290</v>
      </c>
      <c r="U2271" t="s">
        <v>13290</v>
      </c>
      <c r="V2271" t="s">
        <v>13290</v>
      </c>
      <c r="W2271" t="s">
        <v>15523</v>
      </c>
      <c r="X2271">
        <v>16</v>
      </c>
      <c r="Y2271" t="s">
        <v>22077</v>
      </c>
      <c r="Z2271" t="s">
        <v>28601</v>
      </c>
      <c r="AA2271">
        <v>1.097886931240821</v>
      </c>
      <c r="AB2271" t="str">
        <f>HYPERLINK("Melting_Curves/meltCurve_P20290_BTF3.pdf", "Melting_Curves/meltCurve_P20290_BTF3.pdf")</f>
        <v>Melting_Curves/meltCurve_P20290_BTF3.pdf</v>
      </c>
    </row>
    <row r="2272" spans="1:28" x14ac:dyDescent="0.25">
      <c r="A2272" t="s">
        <v>2276</v>
      </c>
      <c r="B2272">
        <v>0.99252571173614901</v>
      </c>
      <c r="C2272">
        <v>1.1431843685206799</v>
      </c>
      <c r="D2272">
        <v>1.05599898259146</v>
      </c>
      <c r="E2272">
        <v>1.1777771263461001</v>
      </c>
      <c r="F2272">
        <v>0.73760460269509198</v>
      </c>
      <c r="G2272">
        <v>0.48680353197611198</v>
      </c>
      <c r="H2272">
        <v>0.48900369732065302</v>
      </c>
      <c r="I2272">
        <v>1.4382750942987901</v>
      </c>
      <c r="J2272">
        <v>2.38105715120096</v>
      </c>
      <c r="K2272">
        <v>2.5557020591125101</v>
      </c>
      <c r="L2272">
        <v>15000</v>
      </c>
      <c r="M2272">
        <v>236.33287051054501</v>
      </c>
      <c r="O2272">
        <v>63.4652555145327</v>
      </c>
      <c r="P2272">
        <v>0.46547687990180098</v>
      </c>
      <c r="Q2272">
        <v>1.5</v>
      </c>
      <c r="R2272">
        <v>0.443609827034602</v>
      </c>
      <c r="S2272" t="s">
        <v>8918</v>
      </c>
      <c r="T2272" t="s">
        <v>13290</v>
      </c>
      <c r="U2272" t="s">
        <v>13290</v>
      </c>
      <c r="V2272" t="s">
        <v>13290</v>
      </c>
      <c r="W2272" t="s">
        <v>15524</v>
      </c>
      <c r="X2272">
        <v>13</v>
      </c>
      <c r="Y2272" t="s">
        <v>22077</v>
      </c>
      <c r="Z2272" t="s">
        <v>28602</v>
      </c>
      <c r="AA2272">
        <v>1.108774344659436</v>
      </c>
      <c r="AB2272" t="str">
        <f>HYPERLINK("Melting_Curves/meltCurve_P20290_2_BTF3.pdf", "Melting_Curves/meltCurve_P20290_2_BTF3.pdf")</f>
        <v>Melting_Curves/meltCurve_P20290_2_BTF3.pdf</v>
      </c>
    </row>
    <row r="2273" spans="1:28" x14ac:dyDescent="0.25">
      <c r="A2273" t="s">
        <v>2277</v>
      </c>
      <c r="B2273">
        <v>0.99252571173614901</v>
      </c>
      <c r="C2273">
        <v>0.90172999520303398</v>
      </c>
      <c r="D2273">
        <v>0.97964520483808404</v>
      </c>
      <c r="E2273">
        <v>1.08314219830393</v>
      </c>
      <c r="F2273">
        <v>0.71397532123274299</v>
      </c>
      <c r="G2273">
        <v>0.49606651416424002</v>
      </c>
      <c r="H2273">
        <v>0.451685700058506</v>
      </c>
      <c r="I2273">
        <v>0.50814076916385498</v>
      </c>
      <c r="J2273">
        <v>0.66204904750156002</v>
      </c>
      <c r="K2273">
        <v>0.372498821341891</v>
      </c>
      <c r="L2273">
        <v>13285.0336600673</v>
      </c>
      <c r="M2273">
        <v>250</v>
      </c>
      <c r="N2273">
        <v>54.350332599277102</v>
      </c>
      <c r="O2273">
        <v>53.1367355036394</v>
      </c>
      <c r="P2273">
        <v>-0.59035412377645102</v>
      </c>
      <c r="Q2273">
        <v>0.49808815969985698</v>
      </c>
      <c r="R2273">
        <v>0.89633043474905705</v>
      </c>
      <c r="S2273" t="s">
        <v>8919</v>
      </c>
      <c r="T2273" t="s">
        <v>13290</v>
      </c>
      <c r="U2273" t="s">
        <v>13290</v>
      </c>
      <c r="V2273" t="s">
        <v>13290</v>
      </c>
      <c r="W2273" t="s">
        <v>15525</v>
      </c>
      <c r="X2273">
        <v>3</v>
      </c>
      <c r="Y2273" t="s">
        <v>22078</v>
      </c>
      <c r="Z2273" t="s">
        <v>28603</v>
      </c>
      <c r="AA2273">
        <v>0.7179746066892233</v>
      </c>
      <c r="AB2273" t="str">
        <f>HYPERLINK("Melting_Curves/meltCurve_P20309_CHRM3.pdf", "Melting_Curves/meltCurve_P20309_CHRM3.pdf")</f>
        <v>Melting_Curves/meltCurve_P20309_CHRM3.pdf</v>
      </c>
    </row>
    <row r="2274" spans="1:28" x14ac:dyDescent="0.25">
      <c r="A2274" t="s">
        <v>2278</v>
      </c>
      <c r="B2274">
        <v>0.99252571173614901</v>
      </c>
      <c r="C2274">
        <v>0.95658126562770696</v>
      </c>
      <c r="D2274">
        <v>0.85439872321713495</v>
      </c>
      <c r="E2274">
        <v>0.79074574878761705</v>
      </c>
      <c r="F2274">
        <v>0.70336217970121295</v>
      </c>
      <c r="G2274">
        <v>0.57758056071824104</v>
      </c>
      <c r="H2274">
        <v>0.435891592050277</v>
      </c>
      <c r="I2274">
        <v>0.33198891638311301</v>
      </c>
      <c r="J2274">
        <v>0.191865011559823</v>
      </c>
      <c r="K2274">
        <v>0.167403979641567</v>
      </c>
      <c r="L2274">
        <v>497.65420787797001</v>
      </c>
      <c r="M2274">
        <v>8.5576545473244696</v>
      </c>
      <c r="N2274">
        <v>58.1531004131445</v>
      </c>
      <c r="O2274">
        <v>55.238647619162499</v>
      </c>
      <c r="P2274">
        <v>-3.8764385469848901E-2</v>
      </c>
      <c r="Q2274">
        <v>0</v>
      </c>
      <c r="R2274">
        <v>0.99007548166855497</v>
      </c>
      <c r="S2274" t="s">
        <v>8920</v>
      </c>
      <c r="T2274" t="s">
        <v>13290</v>
      </c>
      <c r="U2274" t="s">
        <v>13290</v>
      </c>
      <c r="V2274" t="s">
        <v>13290</v>
      </c>
      <c r="W2274" t="s">
        <v>15526</v>
      </c>
      <c r="X2274">
        <v>9</v>
      </c>
      <c r="Y2274" t="s">
        <v>22079</v>
      </c>
      <c r="Z2274" t="s">
        <v>28604</v>
      </c>
      <c r="AA2274">
        <v>0.60970979584247231</v>
      </c>
      <c r="AB2274" t="str">
        <f>HYPERLINK("Melting_Curves/meltCurve_P20336_RAB3A.pdf", "Melting_Curves/meltCurve_P20336_RAB3A.pdf")</f>
        <v>Melting_Curves/meltCurve_P20336_RAB3A.pdf</v>
      </c>
    </row>
    <row r="2275" spans="1:28" x14ac:dyDescent="0.25">
      <c r="A2275" t="s">
        <v>2279</v>
      </c>
      <c r="B2275">
        <v>0.99252571173614901</v>
      </c>
      <c r="C2275">
        <v>0.92990508919331405</v>
      </c>
      <c r="D2275">
        <v>0.90088287500733</v>
      </c>
      <c r="E2275">
        <v>0.67995719859334802</v>
      </c>
      <c r="F2275">
        <v>0.531286724717981</v>
      </c>
      <c r="G2275">
        <v>0.29643552539186102</v>
      </c>
      <c r="H2275">
        <v>0.12514518419260701</v>
      </c>
      <c r="I2275">
        <v>0.135974245485216</v>
      </c>
      <c r="J2275">
        <v>0.15609155054316001</v>
      </c>
      <c r="K2275">
        <v>0.160742505979203</v>
      </c>
      <c r="L2275">
        <v>789.91582451496697</v>
      </c>
      <c r="M2275">
        <v>15.1879680488549</v>
      </c>
      <c r="N2275">
        <v>52.826502684262699</v>
      </c>
      <c r="O2275">
        <v>51.132676669686198</v>
      </c>
      <c r="P2275">
        <v>-6.6489775581346194E-2</v>
      </c>
      <c r="Q2275">
        <v>0.10469310833114399</v>
      </c>
      <c r="R2275">
        <v>0.989425518271147</v>
      </c>
      <c r="S2275" t="s">
        <v>8921</v>
      </c>
      <c r="T2275" t="s">
        <v>13290</v>
      </c>
      <c r="U2275" t="s">
        <v>13290</v>
      </c>
      <c r="V2275" t="s">
        <v>13290</v>
      </c>
      <c r="W2275" t="s">
        <v>15527</v>
      </c>
      <c r="X2275">
        <v>3</v>
      </c>
      <c r="Y2275" t="s">
        <v>22080</v>
      </c>
      <c r="Z2275" t="s">
        <v>28605</v>
      </c>
      <c r="AA2275">
        <v>0.48272489041327288</v>
      </c>
      <c r="AB2275" t="str">
        <f>HYPERLINK("Melting_Curves/meltCurve_P20337_RAB3B.pdf", "Melting_Curves/meltCurve_P20337_RAB3B.pdf")</f>
        <v>Melting_Curves/meltCurve_P20337_RAB3B.pdf</v>
      </c>
    </row>
    <row r="2276" spans="1:28" x14ac:dyDescent="0.25">
      <c r="A2276" t="s">
        <v>2280</v>
      </c>
      <c r="B2276">
        <v>0.99252571173614901</v>
      </c>
      <c r="C2276">
        <v>0.99132839532218997</v>
      </c>
      <c r="D2276">
        <v>0.90915445562234998</v>
      </c>
      <c r="E2276">
        <v>0.83068377787707304</v>
      </c>
      <c r="F2276">
        <v>0.73345996558094095</v>
      </c>
      <c r="G2276">
        <v>0.63630260598794197</v>
      </c>
      <c r="H2276">
        <v>0.50249543788949402</v>
      </c>
      <c r="I2276">
        <v>0.50236555137730698</v>
      </c>
      <c r="J2276">
        <v>0.25709628519623501</v>
      </c>
      <c r="K2276">
        <v>0.151372335683089</v>
      </c>
      <c r="L2276">
        <v>509.49383551719899</v>
      </c>
      <c r="M2276">
        <v>8.4378409040525906</v>
      </c>
      <c r="N2276">
        <v>60.382013751912098</v>
      </c>
      <c r="O2276">
        <v>57.276546248885197</v>
      </c>
      <c r="P2276">
        <v>-3.68635025195721E-2</v>
      </c>
      <c r="Q2276">
        <v>0</v>
      </c>
      <c r="R2276">
        <v>0.96594900861684097</v>
      </c>
      <c r="S2276" t="s">
        <v>8922</v>
      </c>
      <c r="T2276" t="s">
        <v>13290</v>
      </c>
      <c r="U2276" t="s">
        <v>13290</v>
      </c>
      <c r="V2276" t="s">
        <v>13290</v>
      </c>
      <c r="W2276" t="s">
        <v>15528</v>
      </c>
      <c r="X2276">
        <v>9</v>
      </c>
      <c r="Y2276" t="s">
        <v>22081</v>
      </c>
      <c r="Z2276" t="s">
        <v>28606</v>
      </c>
      <c r="AA2276">
        <v>0.66357369248239351</v>
      </c>
      <c r="AB2276" t="str">
        <f>HYPERLINK("Melting_Curves/meltCurve_P20338_RAB4A.pdf", "Melting_Curves/meltCurve_P20338_RAB4A.pdf")</f>
        <v>Melting_Curves/meltCurve_P20338_RAB4A.pdf</v>
      </c>
    </row>
    <row r="2277" spans="1:28" x14ac:dyDescent="0.25">
      <c r="A2277" t="s">
        <v>2281</v>
      </c>
      <c r="B2277">
        <v>0.99252571173614901</v>
      </c>
      <c r="C2277">
        <v>0.91865850803638704</v>
      </c>
      <c r="D2277">
        <v>0.84292049392323698</v>
      </c>
      <c r="E2277">
        <v>0.72736433726690797</v>
      </c>
      <c r="F2277">
        <v>0.64890206084789304</v>
      </c>
      <c r="G2277">
        <v>0.56176900143819397</v>
      </c>
      <c r="H2277">
        <v>0.45309313240514798</v>
      </c>
      <c r="I2277">
        <v>0.51851402452739503</v>
      </c>
      <c r="J2277">
        <v>0.52523484751392202</v>
      </c>
      <c r="K2277">
        <v>0.32895722235865499</v>
      </c>
      <c r="L2277">
        <v>482.352162486834</v>
      </c>
      <c r="M2277">
        <v>9.3637493577133508</v>
      </c>
      <c r="N2277">
        <v>60.550697506728298</v>
      </c>
      <c r="O2277">
        <v>49.3270481643045</v>
      </c>
      <c r="P2277">
        <v>-2.96123669549095E-2</v>
      </c>
      <c r="Q2277">
        <v>0.37641287419191</v>
      </c>
      <c r="R2277">
        <v>0.94499049420821402</v>
      </c>
      <c r="S2277" t="s">
        <v>8923</v>
      </c>
      <c r="T2277" t="s">
        <v>13290</v>
      </c>
      <c r="U2277" t="s">
        <v>13290</v>
      </c>
      <c r="V2277" t="s">
        <v>13290</v>
      </c>
      <c r="W2277" t="s">
        <v>15529</v>
      </c>
      <c r="X2277">
        <v>16</v>
      </c>
      <c r="Y2277" t="s">
        <v>22082</v>
      </c>
      <c r="Z2277" t="s">
        <v>28607</v>
      </c>
      <c r="AA2277">
        <v>0.64240522399815903</v>
      </c>
      <c r="AB2277" t="str">
        <f>HYPERLINK("Melting_Curves/meltCurve_P20340_RAB6A.pdf", "Melting_Curves/meltCurve_P20340_RAB6A.pdf")</f>
        <v>Melting_Curves/meltCurve_P20340_RAB6A.pdf</v>
      </c>
    </row>
    <row r="2278" spans="1:28" x14ac:dyDescent="0.25">
      <c r="A2278" t="s">
        <v>2282</v>
      </c>
      <c r="B2278">
        <v>0.99252571173614901</v>
      </c>
      <c r="C2278">
        <v>1.2030460655644299</v>
      </c>
      <c r="D2278">
        <v>1.11641133402098</v>
      </c>
      <c r="E2278">
        <v>1.4212764278863399</v>
      </c>
      <c r="F2278">
        <v>0.43186520974570602</v>
      </c>
      <c r="G2278">
        <v>0.33619784722877499</v>
      </c>
      <c r="H2278">
        <v>0.24357647321269399</v>
      </c>
      <c r="I2278">
        <v>0.245355527894316</v>
      </c>
      <c r="J2278">
        <v>0.248453400908769</v>
      </c>
      <c r="K2278">
        <v>0.214194144221862</v>
      </c>
      <c r="L2278">
        <v>13237.142935457499</v>
      </c>
      <c r="M2278">
        <v>250</v>
      </c>
      <c r="N2278">
        <v>53.102307647886001</v>
      </c>
      <c r="O2278">
        <v>52.945185074102902</v>
      </c>
      <c r="P2278">
        <v>-0.876430698810308</v>
      </c>
      <c r="Q2278">
        <v>0.257555455702355</v>
      </c>
      <c r="R2278">
        <v>0.88319179184028096</v>
      </c>
      <c r="S2278" t="s">
        <v>8924</v>
      </c>
      <c r="T2278" t="s">
        <v>13290</v>
      </c>
      <c r="U2278" t="s">
        <v>13290</v>
      </c>
      <c r="V2278" t="s">
        <v>13290</v>
      </c>
      <c r="W2278" t="s">
        <v>15530</v>
      </c>
      <c r="X2278">
        <v>16</v>
      </c>
      <c r="Y2278" t="s">
        <v>22082</v>
      </c>
      <c r="Z2278" t="s">
        <v>28608</v>
      </c>
      <c r="AA2278">
        <v>0.57807766143158668</v>
      </c>
      <c r="AB2278" t="str">
        <f>HYPERLINK("Melting_Curves/meltCurve_P20340_2_RAB6A.pdf", "Melting_Curves/meltCurve_P20340_2_RAB6A.pdf")</f>
        <v>Melting_Curves/meltCurve_P20340_2_RAB6A.pdf</v>
      </c>
    </row>
    <row r="2279" spans="1:28" x14ac:dyDescent="0.25">
      <c r="A2279" t="s">
        <v>2283</v>
      </c>
      <c r="B2279">
        <v>0.99252571173614901</v>
      </c>
      <c r="C2279">
        <v>0.89728729250058004</v>
      </c>
      <c r="D2279">
        <v>0.75905872025312904</v>
      </c>
      <c r="E2279">
        <v>0.42097091442054602</v>
      </c>
      <c r="F2279">
        <v>0.177507339012132</v>
      </c>
      <c r="G2279">
        <v>9.5744089674686297E-2</v>
      </c>
      <c r="H2279">
        <v>6.4425917640171707E-2</v>
      </c>
      <c r="I2279">
        <v>6.6079274852074502E-2</v>
      </c>
      <c r="J2279">
        <v>8.9782081759342602E-2</v>
      </c>
      <c r="K2279">
        <v>8.7554625068962499E-2</v>
      </c>
      <c r="L2279">
        <v>979.79808899326497</v>
      </c>
      <c r="M2279">
        <v>20.296477678399199</v>
      </c>
      <c r="N2279">
        <v>48.6166646522421</v>
      </c>
      <c r="O2279">
        <v>47.812996078443</v>
      </c>
      <c r="P2279">
        <v>-9.9060049880466905E-2</v>
      </c>
      <c r="Q2279">
        <v>6.6594228998306595E-2</v>
      </c>
      <c r="R2279">
        <v>0.99774582286886204</v>
      </c>
      <c r="S2279" t="s">
        <v>8925</v>
      </c>
      <c r="T2279" t="s">
        <v>13290</v>
      </c>
      <c r="U2279" t="s">
        <v>13290</v>
      </c>
      <c r="V2279" t="s">
        <v>13290</v>
      </c>
      <c r="W2279" t="s">
        <v>15531</v>
      </c>
      <c r="X2279">
        <v>9</v>
      </c>
      <c r="Y2279" t="s">
        <v>22083</v>
      </c>
      <c r="Z2279" t="s">
        <v>28609</v>
      </c>
      <c r="AA2279">
        <v>0.33683254455051193</v>
      </c>
      <c r="AB2279" t="str">
        <f>HYPERLINK("Melting_Curves/meltCurve_P20585_MSH3.pdf", "Melting_Curves/meltCurve_P20585_MSH3.pdf")</f>
        <v>Melting_Curves/meltCurve_P20585_MSH3.pdf</v>
      </c>
    </row>
    <row r="2280" spans="1:28" x14ac:dyDescent="0.25">
      <c r="A2280" t="s">
        <v>2284</v>
      </c>
      <c r="B2280">
        <v>0.99252571173614901</v>
      </c>
      <c r="C2280">
        <v>0.97404502284671202</v>
      </c>
      <c r="D2280">
        <v>1.0466698992366299</v>
      </c>
      <c r="E2280">
        <v>1.1617374681075301</v>
      </c>
      <c r="F2280">
        <v>1.0509380321000901</v>
      </c>
      <c r="G2280">
        <v>0.96622770349537901</v>
      </c>
      <c r="H2280">
        <v>1.4967457283766199</v>
      </c>
      <c r="I2280">
        <v>2.19839419967002</v>
      </c>
      <c r="J2280">
        <v>3.3885202262254301</v>
      </c>
      <c r="K2280">
        <v>2.0867633185388601</v>
      </c>
      <c r="L2280">
        <v>14894.737739722899</v>
      </c>
      <c r="M2280">
        <v>250</v>
      </c>
      <c r="O2280">
        <v>59.575138126717199</v>
      </c>
      <c r="P2280">
        <v>0.52454767085266796</v>
      </c>
      <c r="Q2280">
        <v>1.5</v>
      </c>
      <c r="R2280">
        <v>0.22610959788034299</v>
      </c>
      <c r="S2280" t="s">
        <v>8926</v>
      </c>
      <c r="T2280" t="s">
        <v>13290</v>
      </c>
      <c r="U2280" t="s">
        <v>13290</v>
      </c>
      <c r="V2280" t="s">
        <v>13290</v>
      </c>
      <c r="W2280" t="s">
        <v>15532</v>
      </c>
      <c r="X2280">
        <v>14</v>
      </c>
      <c r="Y2280" t="s">
        <v>22084</v>
      </c>
      <c r="Z2280" t="s">
        <v>28610</v>
      </c>
      <c r="AA2280">
        <v>1.1736318706193001</v>
      </c>
      <c r="AB2280" t="str">
        <f>HYPERLINK("Melting_Curves/meltCurve_P20618_PSMB1.pdf", "Melting_Curves/meltCurve_P20618_PSMB1.pdf")</f>
        <v>Melting_Curves/meltCurve_P20618_PSMB1.pdf</v>
      </c>
    </row>
    <row r="2281" spans="1:28" x14ac:dyDescent="0.25">
      <c r="A2281" t="s">
        <v>2285</v>
      </c>
      <c r="B2281">
        <v>0.99252571173614901</v>
      </c>
      <c r="C2281">
        <v>0.94427944889676896</v>
      </c>
      <c r="D2281">
        <v>0.87913514702707396</v>
      </c>
      <c r="E2281">
        <v>0.74814400352524901</v>
      </c>
      <c r="F2281">
        <v>0.62053043609838798</v>
      </c>
      <c r="G2281">
        <v>0.511412008931867</v>
      </c>
      <c r="H2281">
        <v>0.41672296790045898</v>
      </c>
      <c r="I2281">
        <v>0.55490172546656402</v>
      </c>
      <c r="J2281">
        <v>0.81962933971733898</v>
      </c>
      <c r="K2281">
        <v>0.67569751263962197</v>
      </c>
      <c r="L2281">
        <v>1160.4473601228499</v>
      </c>
      <c r="M2281">
        <v>24.271069824466998</v>
      </c>
      <c r="O2281">
        <v>47.490932268980202</v>
      </c>
      <c r="P2281">
        <v>-5.1590103320606102E-2</v>
      </c>
      <c r="Q2281">
        <v>0.59622298415071695</v>
      </c>
      <c r="R2281">
        <v>0.69611648508591895</v>
      </c>
      <c r="S2281" t="s">
        <v>8927</v>
      </c>
      <c r="T2281" t="s">
        <v>13290</v>
      </c>
      <c r="U2281" t="s">
        <v>13290</v>
      </c>
      <c r="V2281" t="s">
        <v>13290</v>
      </c>
      <c r="W2281" t="s">
        <v>15533</v>
      </c>
      <c r="X2281">
        <v>10</v>
      </c>
      <c r="Y2281" t="s">
        <v>22085</v>
      </c>
      <c r="Z2281" t="s">
        <v>28611</v>
      </c>
      <c r="AA2281">
        <v>0.70517056574981019</v>
      </c>
      <c r="AB2281" t="str">
        <f>HYPERLINK("Melting_Curves/meltCurve_P20645_M6PR.pdf", "Melting_Curves/meltCurve_P20645_M6PR.pdf")</f>
        <v>Melting_Curves/meltCurve_P20645_M6PR.pdf</v>
      </c>
    </row>
    <row r="2282" spans="1:28" x14ac:dyDescent="0.25">
      <c r="A2282" t="s">
        <v>2286</v>
      </c>
      <c r="B2282">
        <v>0.99252571173614901</v>
      </c>
      <c r="C2282">
        <v>1.05835083517965</v>
      </c>
      <c r="D2282">
        <v>0.98822108600776004</v>
      </c>
      <c r="E2282">
        <v>0.88994025642377095</v>
      </c>
      <c r="F2282">
        <v>0.71787589514739303</v>
      </c>
      <c r="G2282">
        <v>0.58163915118696596</v>
      </c>
      <c r="H2282">
        <v>0.55918059229266404</v>
      </c>
      <c r="I2282">
        <v>0.86171298272774699</v>
      </c>
      <c r="J2282">
        <v>1.48153477058129</v>
      </c>
      <c r="K2282">
        <v>1.3172002142804999</v>
      </c>
      <c r="L2282">
        <v>15000</v>
      </c>
      <c r="M2282">
        <v>228.703048655961</v>
      </c>
      <c r="O2282">
        <v>65.582217300120007</v>
      </c>
      <c r="P2282">
        <v>0.34875718316777599</v>
      </c>
      <c r="Q2282">
        <v>1.4000343581819199</v>
      </c>
      <c r="R2282">
        <v>0.366213321504964</v>
      </c>
      <c r="S2282" t="s">
        <v>8928</v>
      </c>
      <c r="T2282" t="s">
        <v>13290</v>
      </c>
      <c r="U2282" t="s">
        <v>13290</v>
      </c>
      <c r="V2282" t="s">
        <v>13290</v>
      </c>
      <c r="W2282" t="s">
        <v>15534</v>
      </c>
      <c r="X2282">
        <v>8</v>
      </c>
      <c r="Y2282" t="s">
        <v>22086</v>
      </c>
      <c r="Z2282" t="s">
        <v>28612</v>
      </c>
      <c r="AA2282">
        <v>1.0587869346709839</v>
      </c>
      <c r="AB2282" t="str">
        <f>HYPERLINK("Melting_Curves/meltCurve_P20674_COX5A.pdf", "Melting_Curves/meltCurve_P20674_COX5A.pdf")</f>
        <v>Melting_Curves/meltCurve_P20674_COX5A.pdf</v>
      </c>
    </row>
    <row r="2283" spans="1:28" x14ac:dyDescent="0.25">
      <c r="A2283" t="s">
        <v>2287</v>
      </c>
      <c r="B2283">
        <v>0.99252571173614901</v>
      </c>
      <c r="C2283">
        <v>0.89912426187579297</v>
      </c>
      <c r="D2283">
        <v>0.91146789906417103</v>
      </c>
      <c r="E2283">
        <v>1.0479044264567901</v>
      </c>
      <c r="F2283">
        <v>0.55182270101728004</v>
      </c>
      <c r="G2283">
        <v>0.35765241559449801</v>
      </c>
      <c r="H2283">
        <v>0.26433170485477803</v>
      </c>
      <c r="I2283">
        <v>0.293180603273615</v>
      </c>
      <c r="J2283">
        <v>0.387248542977642</v>
      </c>
      <c r="K2283">
        <v>0.39783660667665499</v>
      </c>
      <c r="L2283">
        <v>13260.1172832914</v>
      </c>
      <c r="M2283">
        <v>250</v>
      </c>
      <c r="N2283">
        <v>53.283408380623897</v>
      </c>
      <c r="O2283">
        <v>53.037076149522797</v>
      </c>
      <c r="P2283">
        <v>-0.77769894643003301</v>
      </c>
      <c r="Q2283">
        <v>0.34004996448732999</v>
      </c>
      <c r="R2283">
        <v>0.96178199533740305</v>
      </c>
      <c r="S2283" t="s">
        <v>8929</v>
      </c>
      <c r="T2283" t="s">
        <v>13290</v>
      </c>
      <c r="U2283" t="s">
        <v>13290</v>
      </c>
      <c r="V2283" t="s">
        <v>13290</v>
      </c>
      <c r="W2283" t="s">
        <v>15535</v>
      </c>
      <c r="X2283">
        <v>62</v>
      </c>
      <c r="Y2283" t="s">
        <v>22087</v>
      </c>
      <c r="Z2283" t="s">
        <v>28613</v>
      </c>
      <c r="AA2283">
        <v>0.62697999831809814</v>
      </c>
      <c r="AB2283" t="str">
        <f>HYPERLINK("Melting_Curves/meltCurve_P20700_LMNB1.pdf", "Melting_Curves/meltCurve_P20700_LMNB1.pdf")</f>
        <v>Melting_Curves/meltCurve_P20700_LMNB1.pdf</v>
      </c>
    </row>
    <row r="2284" spans="1:28" x14ac:dyDescent="0.25">
      <c r="A2284" t="s">
        <v>2288</v>
      </c>
      <c r="B2284">
        <v>0.99252571173614901</v>
      </c>
      <c r="C2284">
        <v>1.10982573110409</v>
      </c>
      <c r="D2284">
        <v>0.978791996940505</v>
      </c>
      <c r="E2284">
        <v>0.95891736497712299</v>
      </c>
      <c r="F2284">
        <v>0.88440265403304297</v>
      </c>
      <c r="G2284">
        <v>0.792370575684474</v>
      </c>
      <c r="H2284">
        <v>0.84854899703085196</v>
      </c>
      <c r="I2284">
        <v>1.2347910882233299</v>
      </c>
      <c r="J2284">
        <v>1.7754115911269901</v>
      </c>
      <c r="K2284">
        <v>1.8923690080573199</v>
      </c>
      <c r="L2284">
        <v>15000</v>
      </c>
      <c r="M2284">
        <v>234.25335819166301</v>
      </c>
      <c r="O2284">
        <v>64.028566539356603</v>
      </c>
      <c r="P2284">
        <v>0.45732196439073902</v>
      </c>
      <c r="Q2284">
        <v>1.5</v>
      </c>
      <c r="R2284">
        <v>0.75694660198010599</v>
      </c>
      <c r="S2284" t="s">
        <v>8930</v>
      </c>
      <c r="T2284" t="s">
        <v>13290</v>
      </c>
      <c r="U2284" t="s">
        <v>13290</v>
      </c>
      <c r="V2284" t="s">
        <v>13290</v>
      </c>
      <c r="W2284" t="s">
        <v>15536</v>
      </c>
      <c r="X2284">
        <v>33</v>
      </c>
      <c r="Y2284" t="s">
        <v>22088</v>
      </c>
      <c r="Z2284" t="s">
        <v>28614</v>
      </c>
      <c r="AA2284">
        <v>1.099382108559936</v>
      </c>
      <c r="AB2284" t="str">
        <f>HYPERLINK("Melting_Curves/meltCurve_P20810_5_CAST.pdf", "Melting_Curves/meltCurve_P20810_5_CAST.pdf")</f>
        <v>Melting_Curves/meltCurve_P20810_5_CAST.pdf</v>
      </c>
    </row>
    <row r="2285" spans="1:28" x14ac:dyDescent="0.25">
      <c r="A2285" t="s">
        <v>2289</v>
      </c>
      <c r="B2285">
        <v>0.99252571173614901</v>
      </c>
      <c r="C2285">
        <v>1.03315801096006</v>
      </c>
      <c r="D2285">
        <v>0.85419336891179998</v>
      </c>
      <c r="E2285">
        <v>0.82079963374853604</v>
      </c>
      <c r="F2285">
        <v>0.94488823579403802</v>
      </c>
      <c r="G2285">
        <v>0.72814474323925404</v>
      </c>
      <c r="H2285">
        <v>0.60450398664118299</v>
      </c>
      <c r="I2285">
        <v>0.76763553785253802</v>
      </c>
      <c r="J2285">
        <v>0.687706769896958</v>
      </c>
      <c r="K2285">
        <v>0.57685258899316305</v>
      </c>
      <c r="L2285">
        <v>412.19464232093401</v>
      </c>
      <c r="M2285">
        <v>7.2574398714546504</v>
      </c>
      <c r="O2285">
        <v>52.959866740750499</v>
      </c>
      <c r="P2285">
        <v>-1.6102822864376799E-2</v>
      </c>
      <c r="Q2285">
        <v>0.53073208702363595</v>
      </c>
      <c r="R2285">
        <v>0.75335203879311197</v>
      </c>
      <c r="S2285" t="s">
        <v>8931</v>
      </c>
      <c r="T2285" t="s">
        <v>13290</v>
      </c>
      <c r="U2285" t="s">
        <v>13290</v>
      </c>
      <c r="V2285" t="s">
        <v>13290</v>
      </c>
      <c r="W2285" t="s">
        <v>15537</v>
      </c>
      <c r="X2285">
        <v>7</v>
      </c>
      <c r="Y2285" t="s">
        <v>22089</v>
      </c>
      <c r="Z2285" t="s">
        <v>28615</v>
      </c>
      <c r="AA2285">
        <v>0.79879309647019525</v>
      </c>
      <c r="AB2285" t="str">
        <f>HYPERLINK("Melting_Curves/meltCurve_P20933_AGA.pdf", "Melting_Curves/meltCurve_P20933_AGA.pdf")</f>
        <v>Melting_Curves/meltCurve_P20933_AGA.pdf</v>
      </c>
    </row>
    <row r="2286" spans="1:28" x14ac:dyDescent="0.25">
      <c r="A2286" t="s">
        <v>2290</v>
      </c>
      <c r="B2286">
        <v>0.99252571173614901</v>
      </c>
      <c r="C2286">
        <v>1.1308592465756699</v>
      </c>
      <c r="D2286">
        <v>0.99863659122895398</v>
      </c>
      <c r="E2286">
        <v>0.98284043887510097</v>
      </c>
      <c r="F2286">
        <v>0.85407329128280696</v>
      </c>
      <c r="G2286">
        <v>0.80496569768033499</v>
      </c>
      <c r="H2286">
        <v>0.92348793563339404</v>
      </c>
      <c r="I2286">
        <v>1.3094771586387799</v>
      </c>
      <c r="J2286">
        <v>1.98347431827841</v>
      </c>
      <c r="K2286">
        <v>2.0465556482776002</v>
      </c>
      <c r="L2286">
        <v>15000</v>
      </c>
      <c r="M2286">
        <v>234.860304824032</v>
      </c>
      <c r="O2286">
        <v>63.863116010317697</v>
      </c>
      <c r="P2286">
        <v>0.45969468898282601</v>
      </c>
      <c r="Q2286">
        <v>1.5</v>
      </c>
      <c r="R2286">
        <v>0.66387779763999899</v>
      </c>
      <c r="S2286" t="s">
        <v>8932</v>
      </c>
      <c r="T2286" t="s">
        <v>13290</v>
      </c>
      <c r="U2286" t="s">
        <v>13290</v>
      </c>
      <c r="V2286" t="s">
        <v>13290</v>
      </c>
      <c r="W2286" t="s">
        <v>15538</v>
      </c>
      <c r="X2286">
        <v>7</v>
      </c>
      <c r="Y2286" t="s">
        <v>22090</v>
      </c>
      <c r="Z2286" t="s">
        <v>28616</v>
      </c>
      <c r="AA2286">
        <v>1.102140608654439</v>
      </c>
      <c r="AB2286" t="str">
        <f>HYPERLINK("Melting_Curves/meltCurve_P20962_PTMS.pdf", "Melting_Curves/meltCurve_P20962_PTMS.pdf")</f>
        <v>Melting_Curves/meltCurve_P20962_PTMS.pdf</v>
      </c>
    </row>
    <row r="2287" spans="1:28" x14ac:dyDescent="0.25">
      <c r="A2287" t="s">
        <v>2291</v>
      </c>
      <c r="B2287">
        <v>0.99252571173614901</v>
      </c>
      <c r="C2287">
        <v>0.84943805001245898</v>
      </c>
      <c r="D2287">
        <v>0.64801232395533503</v>
      </c>
      <c r="E2287">
        <v>0.384733828489976</v>
      </c>
      <c r="F2287">
        <v>0.168194923767986</v>
      </c>
      <c r="G2287">
        <v>8.4022752589221095E-2</v>
      </c>
      <c r="H2287">
        <v>6.5222098085966795E-2</v>
      </c>
      <c r="I2287">
        <v>6.8011279237961006E-2</v>
      </c>
      <c r="J2287">
        <v>9.0611167902249296E-2</v>
      </c>
      <c r="K2287">
        <v>9.0908890098375106E-2</v>
      </c>
      <c r="L2287">
        <v>837.29974776363895</v>
      </c>
      <c r="M2287">
        <v>17.670474755528801</v>
      </c>
      <c r="N2287">
        <v>47.753768434824202</v>
      </c>
      <c r="O2287">
        <v>46.789737637586498</v>
      </c>
      <c r="P2287">
        <v>-8.8383948637907203E-2</v>
      </c>
      <c r="Q2287">
        <v>6.3920237486888298E-2</v>
      </c>
      <c r="R2287">
        <v>0.99616113786814697</v>
      </c>
      <c r="S2287" t="s">
        <v>8933</v>
      </c>
      <c r="T2287" t="s">
        <v>13290</v>
      </c>
      <c r="U2287" t="s">
        <v>13290</v>
      </c>
      <c r="V2287" t="s">
        <v>13290</v>
      </c>
      <c r="W2287" t="s">
        <v>15539</v>
      </c>
      <c r="X2287">
        <v>23</v>
      </c>
      <c r="Y2287" t="s">
        <v>22091</v>
      </c>
      <c r="Z2287" t="s">
        <v>28617</v>
      </c>
      <c r="AA2287">
        <v>0.31198332425058312</v>
      </c>
      <c r="AB2287" t="str">
        <f>HYPERLINK("Melting_Curves/meltCurve_P21127_8_CDK11B.pdf", "Melting_Curves/meltCurve_P21127_8_CDK11B.pdf")</f>
        <v>Melting_Curves/meltCurve_P21127_8_CDK11B.pdf</v>
      </c>
    </row>
    <row r="2288" spans="1:28" x14ac:dyDescent="0.25">
      <c r="A2288" t="s">
        <v>2292</v>
      </c>
      <c r="B2288">
        <v>0.99252571173614901</v>
      </c>
      <c r="C2288">
        <v>0.98347455474629497</v>
      </c>
      <c r="D2288">
        <v>0.81540563919086495</v>
      </c>
      <c r="E2288">
        <v>0.430953873294324</v>
      </c>
      <c r="F2288">
        <v>0.24307263569549001</v>
      </c>
      <c r="G2288">
        <v>0.18799609171381201</v>
      </c>
      <c r="H2288">
        <v>0.116675808921025</v>
      </c>
      <c r="I2288">
        <v>7.5481579870383203E-2</v>
      </c>
      <c r="J2288">
        <v>4.27829364562132E-2</v>
      </c>
      <c r="K2288">
        <v>3.0501894572508799E-2</v>
      </c>
      <c r="L2288">
        <v>963.55924789475705</v>
      </c>
      <c r="M2288">
        <v>19.679071286625099</v>
      </c>
      <c r="N2288">
        <v>49.3388940142409</v>
      </c>
      <c r="O2288">
        <v>48.466454893271397</v>
      </c>
      <c r="P2288">
        <v>-9.4456911164652199E-2</v>
      </c>
      <c r="Q2288">
        <v>6.9502277335223503E-2</v>
      </c>
      <c r="R2288">
        <v>0.99190336665310397</v>
      </c>
      <c r="S2288" t="s">
        <v>8934</v>
      </c>
      <c r="T2288" t="s">
        <v>13290</v>
      </c>
      <c r="U2288" t="s">
        <v>13290</v>
      </c>
      <c r="V2288" t="s">
        <v>13290</v>
      </c>
      <c r="W2288" t="s">
        <v>15540</v>
      </c>
      <c r="X2288">
        <v>3</v>
      </c>
      <c r="Y2288" t="s">
        <v>22092</v>
      </c>
      <c r="Z2288" t="s">
        <v>28618</v>
      </c>
      <c r="AA2288">
        <v>0.36099899634791421</v>
      </c>
      <c r="AB2288" t="str">
        <f>HYPERLINK("Melting_Curves/meltCurve_P21266_GSTM3.pdf", "Melting_Curves/meltCurve_P21266_GSTM3.pdf")</f>
        <v>Melting_Curves/meltCurve_P21266_GSTM3.pdf</v>
      </c>
    </row>
    <row r="2289" spans="1:28" x14ac:dyDescent="0.25">
      <c r="A2289" t="s">
        <v>2293</v>
      </c>
      <c r="B2289">
        <v>0.99252571173614901</v>
      </c>
      <c r="C2289">
        <v>0.95804967107296601</v>
      </c>
      <c r="D2289">
        <v>1.0056927179381301</v>
      </c>
      <c r="E2289">
        <v>1.0336701598539999</v>
      </c>
      <c r="F2289">
        <v>1.1109689321106799</v>
      </c>
      <c r="G2289">
        <v>0.93841617820412104</v>
      </c>
      <c r="H2289">
        <v>0.79249069562136198</v>
      </c>
      <c r="I2289">
        <v>0.33882377390012602</v>
      </c>
      <c r="J2289">
        <v>0.22394196764175001</v>
      </c>
      <c r="K2289">
        <v>0.173194036447195</v>
      </c>
      <c r="L2289">
        <v>2890.6664226274902</v>
      </c>
      <c r="M2289">
        <v>46.5185603216934</v>
      </c>
      <c r="N2289">
        <v>62.7432195562318</v>
      </c>
      <c r="O2289">
        <v>62.025556178048298</v>
      </c>
      <c r="P2289">
        <v>-0.15369435598425901</v>
      </c>
      <c r="Q2289">
        <v>0.18028700498581501</v>
      </c>
      <c r="R2289">
        <v>0.98437574760408297</v>
      </c>
      <c r="S2289" t="s">
        <v>8935</v>
      </c>
      <c r="T2289" t="s">
        <v>13290</v>
      </c>
      <c r="U2289" t="s">
        <v>13290</v>
      </c>
      <c r="V2289" t="s">
        <v>13290</v>
      </c>
      <c r="W2289" t="s">
        <v>15541</v>
      </c>
      <c r="X2289">
        <v>28</v>
      </c>
      <c r="Y2289" t="s">
        <v>22093</v>
      </c>
      <c r="Z2289" t="s">
        <v>28619</v>
      </c>
      <c r="AA2289">
        <v>0.78757303535247114</v>
      </c>
      <c r="AB2289" t="str">
        <f>HYPERLINK("Melting_Curves/meltCurve_P21281_ATP6V1B2.pdf", "Melting_Curves/meltCurve_P21281_ATP6V1B2.pdf")</f>
        <v>Melting_Curves/meltCurve_P21281_ATP6V1B2.pdf</v>
      </c>
    </row>
    <row r="2290" spans="1:28" x14ac:dyDescent="0.25">
      <c r="A2290" t="s">
        <v>2294</v>
      </c>
      <c r="B2290">
        <v>0.99252571173614901</v>
      </c>
      <c r="C2290">
        <v>0.94019444343774405</v>
      </c>
      <c r="D2290">
        <v>0.84297392287453399</v>
      </c>
      <c r="E2290">
        <v>0.62957345687227495</v>
      </c>
      <c r="F2290">
        <v>0.39948560150238299</v>
      </c>
      <c r="G2290">
        <v>0.20748397216012701</v>
      </c>
      <c r="H2290">
        <v>8.9300719819588995E-2</v>
      </c>
      <c r="I2290">
        <v>9.1703508824075797E-2</v>
      </c>
      <c r="J2290">
        <v>0.12150299801563599</v>
      </c>
      <c r="K2290">
        <v>0.108887992461915</v>
      </c>
      <c r="L2290">
        <v>819.99710444231005</v>
      </c>
      <c r="M2290">
        <v>16.142898947042401</v>
      </c>
      <c r="N2290">
        <v>51.311412440847398</v>
      </c>
      <c r="O2290">
        <v>50.035825813838102</v>
      </c>
      <c r="P2290">
        <v>-7.4627292883313406E-2</v>
      </c>
      <c r="Q2290">
        <v>7.4824059183919503E-2</v>
      </c>
      <c r="R2290">
        <v>0.99623138292742197</v>
      </c>
      <c r="S2290" t="s">
        <v>8936</v>
      </c>
      <c r="T2290" t="s">
        <v>13290</v>
      </c>
      <c r="U2290" t="s">
        <v>13290</v>
      </c>
      <c r="V2290" t="s">
        <v>13290</v>
      </c>
      <c r="W2290" t="s">
        <v>15542</v>
      </c>
      <c r="X2290">
        <v>9</v>
      </c>
      <c r="Y2290" t="s">
        <v>22094</v>
      </c>
      <c r="Z2290" t="s">
        <v>28620</v>
      </c>
      <c r="AA2290">
        <v>0.426743397940403</v>
      </c>
      <c r="AB2290" t="str">
        <f>HYPERLINK("Melting_Curves/meltCurve_P21283_ATP6V1C1.pdf", "Melting_Curves/meltCurve_P21283_ATP6V1C1.pdf")</f>
        <v>Melting_Curves/meltCurve_P21283_ATP6V1C1.pdf</v>
      </c>
    </row>
    <row r="2291" spans="1:28" x14ac:dyDescent="0.25">
      <c r="A2291" t="s">
        <v>2295</v>
      </c>
      <c r="B2291">
        <v>0.99252571173614901</v>
      </c>
      <c r="C2291">
        <v>1.12070832411726</v>
      </c>
      <c r="D2291">
        <v>1.03054925052616</v>
      </c>
      <c r="E2291">
        <v>0.99735019248449297</v>
      </c>
      <c r="F2291">
        <v>0.87512330419282103</v>
      </c>
      <c r="G2291">
        <v>0.77730289210294101</v>
      </c>
      <c r="H2291">
        <v>0.83116337398836204</v>
      </c>
      <c r="I2291">
        <v>1.00356156869853</v>
      </c>
      <c r="J2291">
        <v>1.3573466319071199</v>
      </c>
      <c r="K2291">
        <v>1.30814865436231</v>
      </c>
      <c r="L2291">
        <v>15000</v>
      </c>
      <c r="M2291">
        <v>230.272965699689</v>
      </c>
      <c r="O2291">
        <v>65.135169691143503</v>
      </c>
      <c r="P2291">
        <v>0.29424121648294999</v>
      </c>
      <c r="Q2291">
        <v>1.3329170902265499</v>
      </c>
      <c r="R2291">
        <v>0.65822529602301605</v>
      </c>
      <c r="S2291" t="s">
        <v>8937</v>
      </c>
      <c r="T2291" t="s">
        <v>13290</v>
      </c>
      <c r="U2291" t="s">
        <v>13290</v>
      </c>
      <c r="V2291" t="s">
        <v>13290</v>
      </c>
      <c r="W2291" t="s">
        <v>15543</v>
      </c>
      <c r="X2291">
        <v>11</v>
      </c>
      <c r="Y2291" t="s">
        <v>22095</v>
      </c>
      <c r="Z2291" t="s">
        <v>28621</v>
      </c>
      <c r="AA2291">
        <v>1.0538867917028201</v>
      </c>
      <c r="AB2291" t="str">
        <f>HYPERLINK("Melting_Curves/meltCurve_P21291_CSRP1.pdf", "Melting_Curves/meltCurve_P21291_CSRP1.pdf")</f>
        <v>Melting_Curves/meltCurve_P21291_CSRP1.pdf</v>
      </c>
    </row>
    <row r="2292" spans="1:28" x14ac:dyDescent="0.25">
      <c r="A2292" t="s">
        <v>2296</v>
      </c>
      <c r="B2292">
        <v>0.99252571173614901</v>
      </c>
      <c r="C2292">
        <v>0.704011162331596</v>
      </c>
      <c r="D2292">
        <v>1.08598811641337</v>
      </c>
      <c r="E2292">
        <v>0.55705818004215402</v>
      </c>
      <c r="F2292">
        <v>0.163306903320588</v>
      </c>
      <c r="G2292">
        <v>0.101629787054515</v>
      </c>
      <c r="H2292">
        <v>7.4571685075756997E-2</v>
      </c>
      <c r="I2292">
        <v>7.8702242917846804E-2</v>
      </c>
      <c r="J2292">
        <v>8.2065008611248894E-2</v>
      </c>
      <c r="K2292">
        <v>8.0494491758612799E-2</v>
      </c>
      <c r="L2292">
        <v>2749.8732741024801</v>
      </c>
      <c r="M2292">
        <v>55.3523551889309</v>
      </c>
      <c r="N2292">
        <v>49.862832902148199</v>
      </c>
      <c r="O2292">
        <v>49.614710666427598</v>
      </c>
      <c r="P2292">
        <v>-0.25322042368306602</v>
      </c>
      <c r="Q2292">
        <v>9.2110854346727902E-2</v>
      </c>
      <c r="R2292">
        <v>0.93302138337699303</v>
      </c>
      <c r="S2292" t="s">
        <v>8938</v>
      </c>
      <c r="T2292" t="s">
        <v>13290</v>
      </c>
      <c r="U2292" t="s">
        <v>13290</v>
      </c>
      <c r="V2292" t="s">
        <v>13290</v>
      </c>
      <c r="W2292" t="s">
        <v>15544</v>
      </c>
      <c r="X2292">
        <v>101</v>
      </c>
      <c r="Y2292" t="s">
        <v>22096</v>
      </c>
      <c r="Z2292" t="s">
        <v>28622</v>
      </c>
      <c r="AA2292">
        <v>0.38666078375989671</v>
      </c>
      <c r="AB2292" t="str">
        <f>HYPERLINK("Melting_Curves/meltCurve_P21333_2_FLNA.pdf", "Melting_Curves/meltCurve_P21333_2_FLNA.pdf")</f>
        <v>Melting_Curves/meltCurve_P21333_2_FLNA.pdf</v>
      </c>
    </row>
    <row r="2293" spans="1:28" x14ac:dyDescent="0.25">
      <c r="A2293" t="s">
        <v>2297</v>
      </c>
      <c r="B2293">
        <v>0.99252571173614901</v>
      </c>
      <c r="C2293">
        <v>0.84221730207128398</v>
      </c>
      <c r="D2293">
        <v>0.985330326587184</v>
      </c>
      <c r="E2293">
        <v>0.72888637247047605</v>
      </c>
      <c r="F2293">
        <v>0.27622216763888202</v>
      </c>
      <c r="G2293">
        <v>0.139597707339676</v>
      </c>
      <c r="H2293">
        <v>0.136041556160856</v>
      </c>
      <c r="I2293">
        <v>0.151874351126049</v>
      </c>
      <c r="J2293">
        <v>0.251790087194941</v>
      </c>
      <c r="K2293">
        <v>0.15684384325039999</v>
      </c>
      <c r="L2293">
        <v>1971.2492621409899</v>
      </c>
      <c r="M2293">
        <v>39.009367455962703</v>
      </c>
      <c r="N2293">
        <v>51.060738527122702</v>
      </c>
      <c r="O2293">
        <v>50.400476601798303</v>
      </c>
      <c r="P2293">
        <v>-0.16138109131534201</v>
      </c>
      <c r="Q2293">
        <v>0.16597843807408799</v>
      </c>
      <c r="R2293">
        <v>0.97216625191705697</v>
      </c>
      <c r="S2293" t="s">
        <v>8939</v>
      </c>
      <c r="T2293" t="s">
        <v>13290</v>
      </c>
      <c r="U2293" t="s">
        <v>13290</v>
      </c>
      <c r="V2293" t="s">
        <v>13290</v>
      </c>
      <c r="W2293" t="s">
        <v>15545</v>
      </c>
      <c r="X2293">
        <v>1</v>
      </c>
      <c r="Y2293" t="s">
        <v>22097</v>
      </c>
      <c r="Z2293" t="s">
        <v>28623</v>
      </c>
      <c r="AA2293">
        <v>0.46186013361235612</v>
      </c>
      <c r="AB2293" t="str">
        <f>HYPERLINK("Melting_Curves/meltCurve_P21359_2_NF1.pdf", "Melting_Curves/meltCurve_P21359_2_NF1.pdf")</f>
        <v>Melting_Curves/meltCurve_P21359_2_NF1.pdf</v>
      </c>
    </row>
    <row r="2294" spans="1:28" x14ac:dyDescent="0.25">
      <c r="A2294" t="s">
        <v>2298</v>
      </c>
      <c r="B2294">
        <v>0.99252571173614901</v>
      </c>
      <c r="C2294">
        <v>0.94821230743164198</v>
      </c>
      <c r="D2294">
        <v>0.854219230550466</v>
      </c>
      <c r="E2294">
        <v>0.80265686425432003</v>
      </c>
      <c r="F2294">
        <v>0.77785613432162604</v>
      </c>
      <c r="G2294">
        <v>0.52779751889314097</v>
      </c>
      <c r="H2294">
        <v>0.36454037826450703</v>
      </c>
      <c r="I2294">
        <v>0.25426659029708698</v>
      </c>
      <c r="J2294">
        <v>0.27841293981731502</v>
      </c>
      <c r="K2294">
        <v>0.246025629335132</v>
      </c>
      <c r="L2294">
        <v>579.39204047763599</v>
      </c>
      <c r="M2294">
        <v>10.292177859649399</v>
      </c>
      <c r="N2294">
        <v>57.716603588031198</v>
      </c>
      <c r="O2294">
        <v>54.2934440444592</v>
      </c>
      <c r="P2294">
        <v>-4.2101796829793398E-2</v>
      </c>
      <c r="Q2294">
        <v>0.11200281983344899</v>
      </c>
      <c r="R2294">
        <v>0.97652977064074398</v>
      </c>
      <c r="S2294" t="s">
        <v>8940</v>
      </c>
      <c r="T2294" t="s">
        <v>13290</v>
      </c>
      <c r="U2294" t="s">
        <v>13290</v>
      </c>
      <c r="V2294" t="s">
        <v>13290</v>
      </c>
      <c r="W2294" t="s">
        <v>15546</v>
      </c>
      <c r="X2294">
        <v>7</v>
      </c>
      <c r="Y2294" t="s">
        <v>22098</v>
      </c>
      <c r="Z2294" t="s">
        <v>28624</v>
      </c>
      <c r="AA2294">
        <v>0.61178744204153801</v>
      </c>
      <c r="AB2294" t="str">
        <f>HYPERLINK("Melting_Curves/meltCurve_P21397_MAOA.pdf", "Melting_Curves/meltCurve_P21397_MAOA.pdf")</f>
        <v>Melting_Curves/meltCurve_P21397_MAOA.pdf</v>
      </c>
    </row>
    <row r="2295" spans="1:28" x14ac:dyDescent="0.25">
      <c r="A2295" t="s">
        <v>2299</v>
      </c>
      <c r="B2295">
        <v>0.99252571173614901</v>
      </c>
      <c r="C2295">
        <v>1.0285103950629499</v>
      </c>
      <c r="D2295">
        <v>0.98888633348597998</v>
      </c>
      <c r="E2295">
        <v>0.88881272187001803</v>
      </c>
      <c r="F2295">
        <v>0.56934585831116802</v>
      </c>
      <c r="G2295">
        <v>0.21062765625263</v>
      </c>
      <c r="H2295">
        <v>0.10344807501993</v>
      </c>
      <c r="I2295">
        <v>0.110604061062655</v>
      </c>
      <c r="J2295">
        <v>0.123265442252152</v>
      </c>
      <c r="K2295">
        <v>0.12439507440917601</v>
      </c>
      <c r="L2295">
        <v>1607.5885275165299</v>
      </c>
      <c r="M2295">
        <v>30.215462237723401</v>
      </c>
      <c r="N2295">
        <v>53.6334726392299</v>
      </c>
      <c r="O2295">
        <v>52.972741806168401</v>
      </c>
      <c r="P2295">
        <v>-0.12728248057188099</v>
      </c>
      <c r="Q2295">
        <v>0.107415839665715</v>
      </c>
      <c r="R2295">
        <v>0.99823865255169397</v>
      </c>
      <c r="S2295" t="s">
        <v>8941</v>
      </c>
      <c r="T2295" t="s">
        <v>13290</v>
      </c>
      <c r="U2295" t="s">
        <v>13290</v>
      </c>
      <c r="V2295" t="s">
        <v>13290</v>
      </c>
      <c r="W2295" t="s">
        <v>15547</v>
      </c>
      <c r="X2295">
        <v>30</v>
      </c>
      <c r="Y2295" t="s">
        <v>22099</v>
      </c>
      <c r="Z2295" t="s">
        <v>28625</v>
      </c>
      <c r="AA2295">
        <v>0.50600097125967236</v>
      </c>
      <c r="AB2295" t="str">
        <f>HYPERLINK("Melting_Curves/meltCurve_P21399_ACO1.pdf", "Melting_Curves/meltCurve_P21399_ACO1.pdf")</f>
        <v>Melting_Curves/meltCurve_P21399_ACO1.pdf</v>
      </c>
    </row>
    <row r="2296" spans="1:28" x14ac:dyDescent="0.25">
      <c r="A2296" t="s">
        <v>2300</v>
      </c>
      <c r="B2296">
        <v>0.99252571173614901</v>
      </c>
      <c r="C2296">
        <v>0.95635429524842797</v>
      </c>
      <c r="D2296">
        <v>0.92827942814840703</v>
      </c>
      <c r="E2296">
        <v>0.74357800989563905</v>
      </c>
      <c r="F2296">
        <v>0.34099798691194599</v>
      </c>
      <c r="G2296">
        <v>0.14236984855718299</v>
      </c>
      <c r="H2296">
        <v>9.1494711916063204E-2</v>
      </c>
      <c r="I2296">
        <v>9.7974707240142497E-2</v>
      </c>
      <c r="J2296">
        <v>0.102130250918838</v>
      </c>
      <c r="K2296">
        <v>0.105031410976642</v>
      </c>
      <c r="L2296">
        <v>1348.12798610598</v>
      </c>
      <c r="M2296">
        <v>26.311672442659901</v>
      </c>
      <c r="N2296">
        <v>51.632444099557297</v>
      </c>
      <c r="O2296">
        <v>50.943662201174</v>
      </c>
      <c r="P2296">
        <v>-0.117336488610969</v>
      </c>
      <c r="Q2296">
        <v>9.1280142308365494E-2</v>
      </c>
      <c r="R2296">
        <v>0.99789172001943105</v>
      </c>
      <c r="S2296" t="s">
        <v>8942</v>
      </c>
      <c r="T2296" t="s">
        <v>13290</v>
      </c>
      <c r="U2296" t="s">
        <v>13290</v>
      </c>
      <c r="V2296" t="s">
        <v>13290</v>
      </c>
      <c r="W2296" t="s">
        <v>15548</v>
      </c>
      <c r="X2296">
        <v>7</v>
      </c>
      <c r="Y2296" t="s">
        <v>22100</v>
      </c>
      <c r="Z2296" t="s">
        <v>28626</v>
      </c>
      <c r="AA2296">
        <v>0.43909618090514529</v>
      </c>
      <c r="AB2296" t="str">
        <f>HYPERLINK("Melting_Curves/meltCurve_P21580_TNFAIP3.pdf", "Melting_Curves/meltCurve_P21580_TNFAIP3.pdf")</f>
        <v>Melting_Curves/meltCurve_P21580_TNFAIP3.pdf</v>
      </c>
    </row>
    <row r="2297" spans="1:28" x14ac:dyDescent="0.25">
      <c r="A2297" t="s">
        <v>2301</v>
      </c>
      <c r="B2297">
        <v>0.99252571173614901</v>
      </c>
      <c r="C2297">
        <v>1.2375300499288899</v>
      </c>
      <c r="D2297">
        <v>1.01427432211851</v>
      </c>
      <c r="E2297">
        <v>0.98179906837922504</v>
      </c>
      <c r="F2297">
        <v>0.90608428022932697</v>
      </c>
      <c r="G2297">
        <v>0.460664504764078</v>
      </c>
      <c r="H2297">
        <v>7.7040158592244598E-2</v>
      </c>
      <c r="I2297">
        <v>8.9145820759373107E-2</v>
      </c>
      <c r="J2297">
        <v>5.4662753710396902E-2</v>
      </c>
      <c r="K2297">
        <v>5.34373250002078E-2</v>
      </c>
      <c r="L2297">
        <v>2225.1666439199198</v>
      </c>
      <c r="M2297">
        <v>39.495691994355099</v>
      </c>
      <c r="N2297">
        <v>56.5058014153051</v>
      </c>
      <c r="O2297">
        <v>56.195622561439798</v>
      </c>
      <c r="P2297">
        <v>-0.16606439653486099</v>
      </c>
      <c r="Q2297">
        <v>5.48769802724706E-2</v>
      </c>
      <c r="R2297">
        <v>0.97241669268930597</v>
      </c>
      <c r="S2297" t="s">
        <v>8943</v>
      </c>
      <c r="T2297" t="s">
        <v>13290</v>
      </c>
      <c r="U2297" t="s">
        <v>13290</v>
      </c>
      <c r="V2297" t="s">
        <v>13290</v>
      </c>
      <c r="W2297" t="s">
        <v>15549</v>
      </c>
      <c r="X2297">
        <v>2</v>
      </c>
      <c r="Y2297" t="s">
        <v>22101</v>
      </c>
      <c r="Z2297" t="s">
        <v>28627</v>
      </c>
      <c r="AA2297">
        <v>0.57338136104122517</v>
      </c>
      <c r="AB2297" t="str">
        <f>HYPERLINK("Melting_Curves/meltCurve_P21695_2_GPD1.pdf", "Melting_Curves/meltCurve_P21695_2_GPD1.pdf")</f>
        <v>Melting_Curves/meltCurve_P21695_2_GPD1.pdf</v>
      </c>
    </row>
    <row r="2298" spans="1:28" x14ac:dyDescent="0.25">
      <c r="A2298" t="s">
        <v>2302</v>
      </c>
      <c r="B2298">
        <v>0.99252571173614901</v>
      </c>
      <c r="C2298">
        <v>0.94435583079548202</v>
      </c>
      <c r="D2298">
        <v>0.91946186715717504</v>
      </c>
      <c r="E2298">
        <v>0.62724836871394096</v>
      </c>
      <c r="F2298">
        <v>0.61705244810183102</v>
      </c>
      <c r="G2298">
        <v>0.51875790411486</v>
      </c>
      <c r="H2298">
        <v>0.44524895763719902</v>
      </c>
      <c r="I2298">
        <v>0.51476476699868701</v>
      </c>
      <c r="J2298">
        <v>0.66765244187721795</v>
      </c>
      <c r="K2298">
        <v>0.68057769706160898</v>
      </c>
      <c r="L2298">
        <v>1919.5092676461099</v>
      </c>
      <c r="M2298">
        <v>40.403811437727697</v>
      </c>
      <c r="O2298">
        <v>47.392188697941698</v>
      </c>
      <c r="P2298">
        <v>-9.1295302634393505E-2</v>
      </c>
      <c r="Q2298">
        <v>0.57165668840660799</v>
      </c>
      <c r="R2298">
        <v>0.85966043505769096</v>
      </c>
      <c r="S2298" t="s">
        <v>8944</v>
      </c>
      <c r="T2298" t="s">
        <v>13290</v>
      </c>
      <c r="U2298" t="s">
        <v>13290</v>
      </c>
      <c r="V2298" t="s">
        <v>13290</v>
      </c>
      <c r="W2298" t="s">
        <v>15550</v>
      </c>
      <c r="X2298">
        <v>23</v>
      </c>
      <c r="Y2298" t="s">
        <v>22102</v>
      </c>
      <c r="Z2298" t="s">
        <v>28628</v>
      </c>
      <c r="AA2298">
        <v>0.68024304098484245</v>
      </c>
      <c r="AB2298" t="str">
        <f>HYPERLINK("Melting_Curves/meltCurve_P21796_VDAC1.pdf", "Melting_Curves/meltCurve_P21796_VDAC1.pdf")</f>
        <v>Melting_Curves/meltCurve_P21796_VDAC1.pdf</v>
      </c>
    </row>
    <row r="2299" spans="1:28" x14ac:dyDescent="0.25">
      <c r="A2299" t="s">
        <v>2303</v>
      </c>
      <c r="B2299">
        <v>0.99252571173614901</v>
      </c>
      <c r="C2299">
        <v>1.0238774442652301</v>
      </c>
      <c r="D2299">
        <v>0.97387623850309402</v>
      </c>
      <c r="E2299">
        <v>0.86513867609344997</v>
      </c>
      <c r="F2299">
        <v>0.52810288008159201</v>
      </c>
      <c r="G2299">
        <v>0.36419746947182902</v>
      </c>
      <c r="H2299">
        <v>0.270716137346179</v>
      </c>
      <c r="I2299">
        <v>0.29281694803240899</v>
      </c>
      <c r="J2299">
        <v>0.29209707806511098</v>
      </c>
      <c r="K2299">
        <v>0.34954124248424601</v>
      </c>
      <c r="L2299">
        <v>1562.63247477136</v>
      </c>
      <c r="M2299">
        <v>30.090828267616999</v>
      </c>
      <c r="N2299">
        <v>53.573160782627298</v>
      </c>
      <c r="O2299">
        <v>51.702787795069497</v>
      </c>
      <c r="P2299">
        <v>-0.101666054826393</v>
      </c>
      <c r="Q2299">
        <v>0.30126421749260801</v>
      </c>
      <c r="R2299">
        <v>0.99474143852582797</v>
      </c>
      <c r="S2299" t="s">
        <v>8945</v>
      </c>
      <c r="T2299" t="s">
        <v>13290</v>
      </c>
      <c r="U2299" t="s">
        <v>13290</v>
      </c>
      <c r="V2299" t="s">
        <v>13290</v>
      </c>
      <c r="W2299" t="s">
        <v>15551</v>
      </c>
      <c r="X2299">
        <v>2</v>
      </c>
      <c r="Y2299" t="s">
        <v>22103</v>
      </c>
      <c r="Z2299" t="s">
        <v>28629</v>
      </c>
      <c r="AA2299">
        <v>0.58357327639804379</v>
      </c>
      <c r="AB2299" t="str">
        <f>HYPERLINK("Melting_Curves/meltCurve_P21860_4_ERBB3.pdf", "Melting_Curves/meltCurve_P21860_4_ERBB3.pdf")</f>
        <v>Melting_Curves/meltCurve_P21860_4_ERBB3.pdf</v>
      </c>
    </row>
    <row r="2300" spans="1:28" x14ac:dyDescent="0.25">
      <c r="A2300" t="s">
        <v>2304</v>
      </c>
      <c r="B2300">
        <v>0.99252571173614901</v>
      </c>
      <c r="C2300">
        <v>0.832675384145391</v>
      </c>
      <c r="D2300">
        <v>0.78326328689231905</v>
      </c>
      <c r="E2300">
        <v>0.73802553907218005</v>
      </c>
      <c r="F2300">
        <v>0.71632873466748603</v>
      </c>
      <c r="G2300">
        <v>0.55640340844163305</v>
      </c>
      <c r="H2300">
        <v>0.356039489913411</v>
      </c>
      <c r="I2300">
        <v>0.12978270150708901</v>
      </c>
      <c r="J2300">
        <v>0.110302601204929</v>
      </c>
      <c r="K2300">
        <v>0.10284574890074601</v>
      </c>
      <c r="L2300">
        <v>530.97012717183202</v>
      </c>
      <c r="M2300">
        <v>9.4835173709211897</v>
      </c>
      <c r="N2300">
        <v>55.988733546572199</v>
      </c>
      <c r="O2300">
        <v>53.668749930564402</v>
      </c>
      <c r="P2300">
        <v>-4.4202471890244503E-2</v>
      </c>
      <c r="Q2300">
        <v>0</v>
      </c>
      <c r="R2300">
        <v>0.94080821481093602</v>
      </c>
      <c r="S2300" t="s">
        <v>8946</v>
      </c>
      <c r="T2300" t="s">
        <v>13290</v>
      </c>
      <c r="U2300" t="s">
        <v>13290</v>
      </c>
      <c r="V2300" t="s">
        <v>13290</v>
      </c>
      <c r="W2300" t="s">
        <v>15552</v>
      </c>
      <c r="X2300">
        <v>26</v>
      </c>
      <c r="Y2300" t="s">
        <v>22104</v>
      </c>
      <c r="Z2300" t="s">
        <v>28630</v>
      </c>
      <c r="AA2300">
        <v>0.55403347635158062</v>
      </c>
      <c r="AB2300" t="str">
        <f>HYPERLINK("Melting_Curves/meltCurve_P21912_SDHB.pdf", "Melting_Curves/meltCurve_P21912_SDHB.pdf")</f>
        <v>Melting_Curves/meltCurve_P21912_SDHB.pdf</v>
      </c>
    </row>
    <row r="2301" spans="1:28" x14ac:dyDescent="0.25">
      <c r="A2301" t="s">
        <v>2305</v>
      </c>
      <c r="B2301">
        <v>0.99252571173614901</v>
      </c>
      <c r="C2301">
        <v>0.86821304804092303</v>
      </c>
      <c r="D2301">
        <v>0.94363948339430603</v>
      </c>
      <c r="E2301">
        <v>0.81132987166083304</v>
      </c>
      <c r="F2301">
        <v>0.52709401435438896</v>
      </c>
      <c r="G2301">
        <v>0.15315453070681001</v>
      </c>
      <c r="H2301">
        <v>7.4515626491199596E-2</v>
      </c>
      <c r="I2301">
        <v>5.48546614771332E-2</v>
      </c>
      <c r="J2301">
        <v>6.3927287522610302E-2</v>
      </c>
      <c r="K2301">
        <v>6.10994821377948E-2</v>
      </c>
      <c r="L2301">
        <v>1224.86176254981</v>
      </c>
      <c r="M2301">
        <v>23.175469229231599</v>
      </c>
      <c r="N2301">
        <v>53.046299019142097</v>
      </c>
      <c r="O2301">
        <v>52.462868388090499</v>
      </c>
      <c r="P2301">
        <v>-0.105937700878224</v>
      </c>
      <c r="Q2301">
        <v>4.0762669136684498E-2</v>
      </c>
      <c r="R2301">
        <v>0.98565087687320196</v>
      </c>
      <c r="S2301" t="s">
        <v>8947</v>
      </c>
      <c r="T2301" t="s">
        <v>13290</v>
      </c>
      <c r="U2301" t="s">
        <v>13290</v>
      </c>
      <c r="V2301" t="s">
        <v>13290</v>
      </c>
      <c r="W2301" t="s">
        <v>15553</v>
      </c>
      <c r="X2301">
        <v>5</v>
      </c>
      <c r="Y2301" t="s">
        <v>22105</v>
      </c>
      <c r="Z2301" t="s">
        <v>28631</v>
      </c>
      <c r="AA2301">
        <v>0.46184803175385991</v>
      </c>
      <c r="AB2301" t="str">
        <f>HYPERLINK("Melting_Curves/meltCurve_P21953_BCKDHB.pdf", "Melting_Curves/meltCurve_P21953_BCKDHB.pdf")</f>
        <v>Melting_Curves/meltCurve_P21953_BCKDHB.pdf</v>
      </c>
    </row>
    <row r="2302" spans="1:28" x14ac:dyDescent="0.25">
      <c r="A2302" t="s">
        <v>2306</v>
      </c>
      <c r="B2302">
        <v>0.99252571173614901</v>
      </c>
      <c r="C2302">
        <v>0.98320137141639896</v>
      </c>
      <c r="D2302">
        <v>0.814942604289284</v>
      </c>
      <c r="E2302">
        <v>0.53388453598302898</v>
      </c>
      <c r="F2302">
        <v>0.26819440820788898</v>
      </c>
      <c r="G2302">
        <v>0.142233405315314</v>
      </c>
      <c r="H2302">
        <v>0.101932378779994</v>
      </c>
      <c r="I2302">
        <v>9.8224574955625504E-2</v>
      </c>
      <c r="J2302">
        <v>0.113228461231414</v>
      </c>
      <c r="K2302">
        <v>9.0675628371786096E-2</v>
      </c>
      <c r="L2302">
        <v>999.12251463428197</v>
      </c>
      <c r="M2302">
        <v>20.2274125991792</v>
      </c>
      <c r="N2302">
        <v>49.890634008836699</v>
      </c>
      <c r="O2302">
        <v>48.9193023851197</v>
      </c>
      <c r="P2302">
        <v>-9.3956262470507701E-2</v>
      </c>
      <c r="Q2302">
        <v>9.1108321601834394E-2</v>
      </c>
      <c r="R2302">
        <v>0.99888475592928105</v>
      </c>
      <c r="S2302" t="s">
        <v>8948</v>
      </c>
      <c r="T2302" t="s">
        <v>13290</v>
      </c>
      <c r="U2302" t="s">
        <v>13290</v>
      </c>
      <c r="V2302" t="s">
        <v>13290</v>
      </c>
      <c r="W2302" t="s">
        <v>15554</v>
      </c>
      <c r="X2302">
        <v>17</v>
      </c>
      <c r="Y2302" t="s">
        <v>22106</v>
      </c>
      <c r="Z2302" t="s">
        <v>28632</v>
      </c>
      <c r="AA2302">
        <v>0.38813502431577201</v>
      </c>
      <c r="AB2302" t="str">
        <f>HYPERLINK("Melting_Curves/meltCurve_P21964_2_COMT.pdf", "Melting_Curves/meltCurve_P21964_2_COMT.pdf")</f>
        <v>Melting_Curves/meltCurve_P21964_2_COMT.pdf</v>
      </c>
    </row>
    <row r="2303" spans="1:28" x14ac:dyDescent="0.25">
      <c r="A2303" t="s">
        <v>2307</v>
      </c>
      <c r="B2303">
        <v>0.99252571173614901</v>
      </c>
      <c r="C2303">
        <v>0.93466114298867997</v>
      </c>
      <c r="D2303">
        <v>1.0243038075320201</v>
      </c>
      <c r="E2303">
        <v>0.97838054672043295</v>
      </c>
      <c r="F2303">
        <v>0.65801030934537896</v>
      </c>
      <c r="G2303">
        <v>0.31992420157830598</v>
      </c>
      <c r="H2303">
        <v>0.16842066149525101</v>
      </c>
      <c r="I2303">
        <v>0.14966166446693099</v>
      </c>
      <c r="J2303">
        <v>0.15453572353053099</v>
      </c>
      <c r="K2303">
        <v>0.11812241718060799</v>
      </c>
      <c r="L2303">
        <v>1625.2280695919401</v>
      </c>
      <c r="M2303">
        <v>30.0437200092138</v>
      </c>
      <c r="N2303">
        <v>54.688363014552301</v>
      </c>
      <c r="O2303">
        <v>53.857453029045402</v>
      </c>
      <c r="P2303">
        <v>-0.12007518720812101</v>
      </c>
      <c r="Q2303">
        <v>0.139000994970404</v>
      </c>
      <c r="R2303">
        <v>0.99502964601708599</v>
      </c>
      <c r="S2303" t="s">
        <v>8949</v>
      </c>
      <c r="T2303" t="s">
        <v>13290</v>
      </c>
      <c r="U2303" t="s">
        <v>13290</v>
      </c>
      <c r="V2303" t="s">
        <v>13290</v>
      </c>
      <c r="W2303" t="s">
        <v>15555</v>
      </c>
      <c r="X2303">
        <v>26</v>
      </c>
      <c r="Y2303" t="s">
        <v>22107</v>
      </c>
      <c r="Z2303" t="s">
        <v>28633</v>
      </c>
      <c r="AA2303">
        <v>0.54918544632309829</v>
      </c>
      <c r="AB2303" t="str">
        <f>HYPERLINK("Melting_Curves/meltCurve_P22033_MUT.pdf", "Melting_Curves/meltCurve_P22033_MUT.pdf")</f>
        <v>Melting_Curves/meltCurve_P22033_MUT.pdf</v>
      </c>
    </row>
    <row r="2304" spans="1:28" x14ac:dyDescent="0.25">
      <c r="A2304" t="s">
        <v>2308</v>
      </c>
      <c r="B2304">
        <v>0.99252571173614901</v>
      </c>
      <c r="C2304">
        <v>0.61931591194600999</v>
      </c>
      <c r="D2304">
        <v>1.1672399857832501</v>
      </c>
      <c r="E2304">
        <v>0.78978027920991201</v>
      </c>
      <c r="F2304">
        <v>0.166893152611642</v>
      </c>
      <c r="G2304">
        <v>0.100491549357638</v>
      </c>
      <c r="H2304">
        <v>6.83588978288074E-2</v>
      </c>
      <c r="I2304">
        <v>6.7757414163618801E-2</v>
      </c>
      <c r="J2304">
        <v>7.6822090535978799E-2</v>
      </c>
      <c r="K2304">
        <v>7.22144289850076E-2</v>
      </c>
      <c r="L2304">
        <v>2645.3182005506101</v>
      </c>
      <c r="M2304">
        <v>52.0605689284791</v>
      </c>
      <c r="N2304">
        <v>50.977354621447603</v>
      </c>
      <c r="O2304">
        <v>50.737511523283601</v>
      </c>
      <c r="P2304">
        <v>-0.23662510408398099</v>
      </c>
      <c r="Q2304">
        <v>7.75544438639168E-2</v>
      </c>
      <c r="R2304">
        <v>0.89796325757894901</v>
      </c>
      <c r="S2304" t="s">
        <v>8950</v>
      </c>
      <c r="T2304" t="s">
        <v>13290</v>
      </c>
      <c r="U2304" t="s">
        <v>13290</v>
      </c>
      <c r="V2304" t="s">
        <v>13290</v>
      </c>
      <c r="W2304" t="s">
        <v>15556</v>
      </c>
      <c r="X2304">
        <v>29</v>
      </c>
      <c r="Y2304" t="s">
        <v>22108</v>
      </c>
      <c r="Z2304" t="s">
        <v>28634</v>
      </c>
      <c r="AA2304">
        <v>0.4119198521603612</v>
      </c>
      <c r="AB2304" t="str">
        <f>HYPERLINK("Melting_Curves/meltCurve_P22059_OSBP.pdf", "Melting_Curves/meltCurve_P22059_OSBP.pdf")</f>
        <v>Melting_Curves/meltCurve_P22059_OSBP.pdf</v>
      </c>
    </row>
    <row r="2305" spans="1:28" x14ac:dyDescent="0.25">
      <c r="A2305" t="s">
        <v>2309</v>
      </c>
      <c r="B2305">
        <v>0.99252571173614901</v>
      </c>
      <c r="C2305">
        <v>0.726315932864665</v>
      </c>
      <c r="D2305">
        <v>0.91073805633627802</v>
      </c>
      <c r="E2305">
        <v>0.784664762890534</v>
      </c>
      <c r="F2305">
        <v>0.57483810082595299</v>
      </c>
      <c r="G2305">
        <v>0.37592723575065101</v>
      </c>
      <c r="H2305">
        <v>9.4631715599343802E-2</v>
      </c>
      <c r="I2305">
        <v>0.105914053333913</v>
      </c>
      <c r="J2305">
        <v>0.12808385754851601</v>
      </c>
      <c r="K2305">
        <v>0.25183777016611197</v>
      </c>
      <c r="L2305">
        <v>755.23366301843896</v>
      </c>
      <c r="M2305">
        <v>14.257438374681399</v>
      </c>
      <c r="N2305">
        <v>53.7606651786569</v>
      </c>
      <c r="O2305">
        <v>51.961789409068999</v>
      </c>
      <c r="P2305">
        <v>-6.2124483091148902E-2</v>
      </c>
      <c r="Q2305">
        <v>9.4451206572639196E-2</v>
      </c>
      <c r="R2305">
        <v>0.90874388286149099</v>
      </c>
      <c r="S2305" t="s">
        <v>8951</v>
      </c>
      <c r="T2305" t="s">
        <v>13290</v>
      </c>
      <c r="U2305" t="s">
        <v>13290</v>
      </c>
      <c r="V2305" t="s">
        <v>13290</v>
      </c>
      <c r="W2305" t="s">
        <v>14515</v>
      </c>
      <c r="X2305">
        <v>1</v>
      </c>
      <c r="Y2305" t="s">
        <v>22109</v>
      </c>
      <c r="Z2305" t="s">
        <v>28635</v>
      </c>
      <c r="AA2305">
        <v>0.50689656106689374</v>
      </c>
      <c r="AB2305" t="str">
        <f>HYPERLINK("Melting_Curves/meltCurve_P22083_FUT4.pdf", "Melting_Curves/meltCurve_P22083_FUT4.pdf")</f>
        <v>Melting_Curves/meltCurve_P22083_FUT4.pdf</v>
      </c>
    </row>
    <row r="2306" spans="1:28" x14ac:dyDescent="0.25">
      <c r="A2306" t="s">
        <v>2310</v>
      </c>
      <c r="B2306">
        <v>0.99252571173614901</v>
      </c>
      <c r="C2306">
        <v>0.90551249335519102</v>
      </c>
      <c r="D2306">
        <v>0.96357408777799702</v>
      </c>
      <c r="E2306">
        <v>0.85896804077252198</v>
      </c>
      <c r="F2306">
        <v>0.27065809488680898</v>
      </c>
      <c r="G2306">
        <v>0.121983958733662</v>
      </c>
      <c r="H2306">
        <v>8.2761977113505095E-2</v>
      </c>
      <c r="I2306">
        <v>9.0662402857038998E-2</v>
      </c>
      <c r="J2306">
        <v>0.124486795897272</v>
      </c>
      <c r="K2306">
        <v>0.128241019012069</v>
      </c>
      <c r="L2306">
        <v>2296.50695108742</v>
      </c>
      <c r="M2306">
        <v>44.649479573815398</v>
      </c>
      <c r="N2306">
        <v>51.711970486513003</v>
      </c>
      <c r="O2306">
        <v>51.331270438070803</v>
      </c>
      <c r="P2306">
        <v>-0.194266771081816</v>
      </c>
      <c r="Q2306">
        <v>0.10664609435717901</v>
      </c>
      <c r="R2306">
        <v>0.99246400002606905</v>
      </c>
      <c r="S2306" t="s">
        <v>8952</v>
      </c>
      <c r="T2306" t="s">
        <v>13290</v>
      </c>
      <c r="U2306" t="s">
        <v>13290</v>
      </c>
      <c r="V2306" t="s">
        <v>13290</v>
      </c>
      <c r="W2306" t="s">
        <v>15557</v>
      </c>
      <c r="X2306">
        <v>10</v>
      </c>
      <c r="Y2306" t="s">
        <v>22110</v>
      </c>
      <c r="Z2306" t="s">
        <v>28636</v>
      </c>
      <c r="AA2306">
        <v>0.44968171162757348</v>
      </c>
      <c r="AB2306" t="str">
        <f>HYPERLINK("Melting_Curves/meltCurve_P22087_FBL.pdf", "Melting_Curves/meltCurve_P22087_FBL.pdf")</f>
        <v>Melting_Curves/meltCurve_P22087_FBL.pdf</v>
      </c>
    </row>
    <row r="2307" spans="1:28" x14ac:dyDescent="0.25">
      <c r="A2307" t="s">
        <v>2311</v>
      </c>
      <c r="B2307">
        <v>0.99252571173614901</v>
      </c>
      <c r="C2307">
        <v>0.97893264977815797</v>
      </c>
      <c r="D2307">
        <v>1.00105241570061</v>
      </c>
      <c r="E2307">
        <v>0.72528252897032996</v>
      </c>
      <c r="F2307">
        <v>0.24360944460234299</v>
      </c>
      <c r="G2307">
        <v>9.4965416695959898E-2</v>
      </c>
      <c r="H2307">
        <v>6.6183597892708002E-2</v>
      </c>
      <c r="I2307">
        <v>7.2610544211665295E-2</v>
      </c>
      <c r="J2307">
        <v>7.8120882477218601E-2</v>
      </c>
      <c r="K2307">
        <v>7.7372595536861502E-2</v>
      </c>
      <c r="L2307">
        <v>1773.9051151471899</v>
      </c>
      <c r="M2307">
        <v>34.869194866851601</v>
      </c>
      <c r="N2307">
        <v>51.104093522249102</v>
      </c>
      <c r="O2307">
        <v>50.706685077477999</v>
      </c>
      <c r="P2307">
        <v>-0.15938526674109599</v>
      </c>
      <c r="Q2307">
        <v>7.2893024924147107E-2</v>
      </c>
      <c r="R2307">
        <v>0.99928865143474099</v>
      </c>
      <c r="S2307" t="s">
        <v>8953</v>
      </c>
      <c r="T2307" t="s">
        <v>13290</v>
      </c>
      <c r="U2307" t="s">
        <v>13290</v>
      </c>
      <c r="V2307" t="s">
        <v>13290</v>
      </c>
      <c r="W2307" t="s">
        <v>15558</v>
      </c>
      <c r="X2307">
        <v>45</v>
      </c>
      <c r="Y2307" t="s">
        <v>22111</v>
      </c>
      <c r="Z2307" t="s">
        <v>28637</v>
      </c>
      <c r="AA2307">
        <v>0.41321039905478912</v>
      </c>
      <c r="AB2307" t="str">
        <f>HYPERLINK("Melting_Curves/meltCurve_P22102_GART.pdf", "Melting_Curves/meltCurve_P22102_GART.pdf")</f>
        <v>Melting_Curves/meltCurve_P22102_GART.pdf</v>
      </c>
    </row>
    <row r="2308" spans="1:28" x14ac:dyDescent="0.25">
      <c r="A2308" t="s">
        <v>2312</v>
      </c>
      <c r="B2308">
        <v>0.99252571173614901</v>
      </c>
      <c r="C2308">
        <v>0.95046709368786098</v>
      </c>
      <c r="D2308">
        <v>1.1767316115187001</v>
      </c>
      <c r="E2308">
        <v>1.2439132104795301</v>
      </c>
      <c r="F2308">
        <v>1.1794187208947799</v>
      </c>
      <c r="G2308">
        <v>0.90562229212463496</v>
      </c>
      <c r="H2308">
        <v>1.1719807135318201</v>
      </c>
      <c r="I2308">
        <v>1.53209889628916</v>
      </c>
      <c r="J2308">
        <v>1.90030450051397</v>
      </c>
      <c r="K2308">
        <v>1.66589783349403</v>
      </c>
      <c r="L2308">
        <v>15000</v>
      </c>
      <c r="M2308">
        <v>246.06484675935801</v>
      </c>
      <c r="O2308">
        <v>60.955491450568303</v>
      </c>
      <c r="P2308">
        <v>0.50459923832980402</v>
      </c>
      <c r="Q2308">
        <v>1.5</v>
      </c>
      <c r="R2308">
        <v>0.66401182434317096</v>
      </c>
      <c r="S2308" t="s">
        <v>8954</v>
      </c>
      <c r="T2308" t="s">
        <v>13290</v>
      </c>
      <c r="U2308" t="s">
        <v>13290</v>
      </c>
      <c r="V2308" t="s">
        <v>13290</v>
      </c>
      <c r="W2308" t="s">
        <v>15559</v>
      </c>
      <c r="X2308">
        <v>33</v>
      </c>
      <c r="Y2308" t="s">
        <v>22112</v>
      </c>
      <c r="Z2308" t="s">
        <v>28638</v>
      </c>
      <c r="AA2308">
        <v>1.1506191079281429</v>
      </c>
      <c r="AB2308" t="str">
        <f>HYPERLINK("Melting_Curves/meltCurve_P22234_PAICS.pdf", "Melting_Curves/meltCurve_P22234_PAICS.pdf")</f>
        <v>Melting_Curves/meltCurve_P22234_PAICS.pdf</v>
      </c>
    </row>
    <row r="2309" spans="1:28" x14ac:dyDescent="0.25">
      <c r="A2309" t="s">
        <v>2313</v>
      </c>
      <c r="B2309">
        <v>0.99252571173614901</v>
      </c>
      <c r="C2309">
        <v>0.48454043106407801</v>
      </c>
      <c r="D2309">
        <v>1.2615009628024101</v>
      </c>
      <c r="E2309">
        <v>1.0546989465799701</v>
      </c>
      <c r="F2309">
        <v>1.2964862092637299</v>
      </c>
      <c r="G2309">
        <v>0.96696475318364705</v>
      </c>
      <c r="H2309">
        <v>0.78231130620920597</v>
      </c>
      <c r="I2309">
        <v>0.29809710089764102</v>
      </c>
      <c r="J2309">
        <v>0</v>
      </c>
      <c r="K2309">
        <v>0</v>
      </c>
      <c r="L2309">
        <v>2809.0081101017099</v>
      </c>
      <c r="M2309">
        <v>44.851864791653703</v>
      </c>
      <c r="N2309">
        <v>62.628573361898702</v>
      </c>
      <c r="O2309">
        <v>62.504450966270902</v>
      </c>
      <c r="P2309">
        <v>-0.17939491907980401</v>
      </c>
      <c r="Q2309">
        <v>0</v>
      </c>
      <c r="R2309">
        <v>0.80026426473575196</v>
      </c>
      <c r="S2309" t="s">
        <v>8955</v>
      </c>
      <c r="T2309" t="s">
        <v>13290</v>
      </c>
      <c r="U2309" t="s">
        <v>13290</v>
      </c>
      <c r="V2309" t="s">
        <v>13290</v>
      </c>
      <c r="W2309" t="s">
        <v>15560</v>
      </c>
      <c r="X2309">
        <v>3</v>
      </c>
      <c r="Y2309" t="s">
        <v>22113</v>
      </c>
      <c r="Z2309" t="s">
        <v>28639</v>
      </c>
      <c r="AA2309">
        <v>0.75718120172140901</v>
      </c>
      <c r="AB2309" t="str">
        <f>HYPERLINK("Melting_Curves/meltCurve_P22304_IDS.pdf", "Melting_Curves/meltCurve_P22304_IDS.pdf")</f>
        <v>Melting_Curves/meltCurve_P22304_IDS.pdf</v>
      </c>
    </row>
    <row r="2310" spans="1:28" x14ac:dyDescent="0.25">
      <c r="A2310" t="s">
        <v>2314</v>
      </c>
      <c r="B2310">
        <v>0.99252571173614901</v>
      </c>
      <c r="C2310">
        <v>1.1370798321195601</v>
      </c>
      <c r="D2310">
        <v>1.0122069054765901</v>
      </c>
      <c r="E2310">
        <v>0.87957543004793404</v>
      </c>
      <c r="F2310">
        <v>0.77242004297218703</v>
      </c>
      <c r="G2310">
        <v>0.50189810620879305</v>
      </c>
      <c r="H2310">
        <v>0.28315310739218202</v>
      </c>
      <c r="I2310">
        <v>0.22797268071701901</v>
      </c>
      <c r="J2310">
        <v>0.24278021448759901</v>
      </c>
      <c r="K2310">
        <v>0.23955845985672999</v>
      </c>
      <c r="L2310">
        <v>1188.0673649351099</v>
      </c>
      <c r="M2310">
        <v>21.533344629549401</v>
      </c>
      <c r="N2310">
        <v>56.626456030500499</v>
      </c>
      <c r="O2310">
        <v>54.704133655605297</v>
      </c>
      <c r="P2310">
        <v>-7.7521660906133397E-2</v>
      </c>
      <c r="Q2310">
        <v>0.212262860655165</v>
      </c>
      <c r="R2310">
        <v>0.97942216702827201</v>
      </c>
      <c r="S2310" t="s">
        <v>8956</v>
      </c>
      <c r="T2310" t="s">
        <v>13290</v>
      </c>
      <c r="U2310" t="s">
        <v>13290</v>
      </c>
      <c r="V2310" t="s">
        <v>13290</v>
      </c>
      <c r="W2310" t="s">
        <v>15561</v>
      </c>
      <c r="X2310">
        <v>18</v>
      </c>
      <c r="Y2310" t="s">
        <v>22114</v>
      </c>
      <c r="Z2310" t="s">
        <v>28640</v>
      </c>
      <c r="AA2310">
        <v>0.62001151269050514</v>
      </c>
      <c r="AB2310" t="str">
        <f>HYPERLINK("Melting_Curves/meltCurve_P22307_6_SCP2.pdf", "Melting_Curves/meltCurve_P22307_6_SCP2.pdf")</f>
        <v>Melting_Curves/meltCurve_P22307_6_SCP2.pdf</v>
      </c>
    </row>
    <row r="2311" spans="1:28" x14ac:dyDescent="0.25">
      <c r="A2311" t="s">
        <v>2315</v>
      </c>
      <c r="B2311">
        <v>0.99252571173614901</v>
      </c>
      <c r="C2311">
        <v>0.98032172503834103</v>
      </c>
      <c r="D2311">
        <v>0.86227319580044903</v>
      </c>
      <c r="E2311">
        <v>0.252825699913238</v>
      </c>
      <c r="F2311">
        <v>0.146013809316862</v>
      </c>
      <c r="G2311">
        <v>8.0901290780950694E-2</v>
      </c>
      <c r="H2311">
        <v>5.9650276503115301E-2</v>
      </c>
      <c r="I2311">
        <v>6.2037825600817699E-2</v>
      </c>
      <c r="J2311">
        <v>6.4620761427857498E-2</v>
      </c>
      <c r="K2311">
        <v>5.7027104745055103E-2</v>
      </c>
      <c r="L2311">
        <v>1914.56083329743</v>
      </c>
      <c r="M2311">
        <v>39.944496427179402</v>
      </c>
      <c r="N2311">
        <v>48.122177226801902</v>
      </c>
      <c r="O2311">
        <v>47.810869448772202</v>
      </c>
      <c r="P2311">
        <v>-0.193508356324714</v>
      </c>
      <c r="Q2311">
        <v>7.3536111205793203E-2</v>
      </c>
      <c r="R2311">
        <v>0.99729148590027406</v>
      </c>
      <c r="S2311" t="s">
        <v>8957</v>
      </c>
      <c r="T2311" t="s">
        <v>13290</v>
      </c>
      <c r="U2311" t="s">
        <v>13290</v>
      </c>
      <c r="V2311" t="s">
        <v>13290</v>
      </c>
      <c r="W2311" t="s">
        <v>15562</v>
      </c>
      <c r="X2311">
        <v>60</v>
      </c>
      <c r="Y2311" t="s">
        <v>22115</v>
      </c>
      <c r="Z2311" t="s">
        <v>28641</v>
      </c>
      <c r="AA2311">
        <v>0.32153541235163191</v>
      </c>
      <c r="AB2311" t="str">
        <f>HYPERLINK("Melting_Curves/meltCurve_P22314_UBA1.pdf", "Melting_Curves/meltCurve_P22314_UBA1.pdf")</f>
        <v>Melting_Curves/meltCurve_P22314_UBA1.pdf</v>
      </c>
    </row>
    <row r="2312" spans="1:28" x14ac:dyDescent="0.25">
      <c r="A2312" t="s">
        <v>2316</v>
      </c>
      <c r="B2312">
        <v>0.99252571173614901</v>
      </c>
      <c r="C2312">
        <v>1.1581022470471001</v>
      </c>
      <c r="D2312">
        <v>0.99214883796007403</v>
      </c>
      <c r="E2312">
        <v>1.0844633612549499</v>
      </c>
      <c r="F2312">
        <v>1.0292865708497501</v>
      </c>
      <c r="G2312">
        <v>0.86482601172448303</v>
      </c>
      <c r="H2312">
        <v>0.93640832427028398</v>
      </c>
      <c r="I2312">
        <v>1.48624955132558</v>
      </c>
      <c r="J2312">
        <v>2.3446969885403499</v>
      </c>
      <c r="K2312">
        <v>2.2429337957566098</v>
      </c>
      <c r="L2312">
        <v>15000</v>
      </c>
      <c r="M2312">
        <v>237.91592300725401</v>
      </c>
      <c r="O2312">
        <v>63.043027730133403</v>
      </c>
      <c r="P2312">
        <v>0.47173321938483198</v>
      </c>
      <c r="Q2312">
        <v>1.5</v>
      </c>
      <c r="R2312">
        <v>0.50421246751682303</v>
      </c>
      <c r="S2312" t="s">
        <v>8958</v>
      </c>
      <c r="T2312" t="s">
        <v>13290</v>
      </c>
      <c r="U2312" t="s">
        <v>13290</v>
      </c>
      <c r="V2312" t="s">
        <v>13290</v>
      </c>
      <c r="W2312" t="s">
        <v>15563</v>
      </c>
      <c r="X2312">
        <v>1</v>
      </c>
      <c r="Y2312" t="s">
        <v>22116</v>
      </c>
      <c r="Z2312" t="s">
        <v>28642</v>
      </c>
      <c r="AA2312">
        <v>1.11581420338921</v>
      </c>
      <c r="AB2312" t="str">
        <f>HYPERLINK("Melting_Curves/meltCurve_P22532_SPRR2D.pdf", "Melting_Curves/meltCurve_P22532_SPRR2D.pdf")</f>
        <v>Melting_Curves/meltCurve_P22532_SPRR2D.pdf</v>
      </c>
    </row>
    <row r="2313" spans="1:28" x14ac:dyDescent="0.25">
      <c r="A2313" t="s">
        <v>2317</v>
      </c>
      <c r="B2313">
        <v>0.99252571173614901</v>
      </c>
      <c r="C2313">
        <v>1.0196248651091699</v>
      </c>
      <c r="D2313">
        <v>0.58306614875017404</v>
      </c>
      <c r="E2313">
        <v>0.47655694816614602</v>
      </c>
      <c r="F2313">
        <v>0.140480492696476</v>
      </c>
      <c r="G2313">
        <v>8.3332561546801506E-2</v>
      </c>
      <c r="H2313">
        <v>5.7692586485144498E-2</v>
      </c>
      <c r="I2313">
        <v>5.1152139432552701E-2</v>
      </c>
      <c r="J2313">
        <v>5.5717429220889902E-2</v>
      </c>
      <c r="K2313">
        <v>4.6257472438026401E-2</v>
      </c>
      <c r="L2313">
        <v>885.59013832791504</v>
      </c>
      <c r="M2313">
        <v>18.431852903590201</v>
      </c>
      <c r="N2313">
        <v>48.269526725460302</v>
      </c>
      <c r="O2313">
        <v>47.491879789410099</v>
      </c>
      <c r="P2313">
        <v>-9.3073534189764107E-2</v>
      </c>
      <c r="Q2313">
        <v>4.0782607025857197E-2</v>
      </c>
      <c r="R2313">
        <v>0.97248129365349001</v>
      </c>
      <c r="S2313" t="s">
        <v>8959</v>
      </c>
      <c r="T2313" t="s">
        <v>13290</v>
      </c>
      <c r="U2313" t="s">
        <v>13290</v>
      </c>
      <c r="V2313" t="s">
        <v>13290</v>
      </c>
      <c r="W2313" t="s">
        <v>15564</v>
      </c>
      <c r="X2313">
        <v>21</v>
      </c>
      <c r="Y2313" t="s">
        <v>22117</v>
      </c>
      <c r="Z2313" t="s">
        <v>28643</v>
      </c>
      <c r="AA2313">
        <v>0.31424182967395597</v>
      </c>
      <c r="AB2313" t="str">
        <f>HYPERLINK("Melting_Curves/meltCurve_P22570_FDXR.pdf", "Melting_Curves/meltCurve_P22570_FDXR.pdf")</f>
        <v>Melting_Curves/meltCurve_P22570_FDXR.pdf</v>
      </c>
    </row>
    <row r="2314" spans="1:28" x14ac:dyDescent="0.25">
      <c r="A2314" t="s">
        <v>2318</v>
      </c>
      <c r="B2314">
        <v>0.99252571173614901</v>
      </c>
      <c r="C2314">
        <v>1.0791260398190701</v>
      </c>
      <c r="D2314">
        <v>0.99011241271308104</v>
      </c>
      <c r="E2314">
        <v>0.68562217495106303</v>
      </c>
      <c r="F2314">
        <v>0.35573759172145297</v>
      </c>
      <c r="G2314">
        <v>0.27379824902862099</v>
      </c>
      <c r="H2314">
        <v>0.233159337679751</v>
      </c>
      <c r="I2314">
        <v>0.26822629053191899</v>
      </c>
      <c r="J2314">
        <v>0.405829345090991</v>
      </c>
      <c r="K2314">
        <v>0.72683238931796001</v>
      </c>
      <c r="L2314">
        <v>12399.0410785449</v>
      </c>
      <c r="M2314">
        <v>250</v>
      </c>
      <c r="N2314">
        <v>49.876385416585798</v>
      </c>
      <c r="O2314">
        <v>49.592990500242301</v>
      </c>
      <c r="P2314">
        <v>-0.78480866381341996</v>
      </c>
      <c r="Q2314">
        <v>0.37726386313166799</v>
      </c>
      <c r="R2314">
        <v>0.82806301678712502</v>
      </c>
      <c r="S2314" t="s">
        <v>8960</v>
      </c>
      <c r="T2314" t="s">
        <v>13290</v>
      </c>
      <c r="U2314" t="s">
        <v>13290</v>
      </c>
      <c r="V2314" t="s">
        <v>13290</v>
      </c>
      <c r="W2314" t="s">
        <v>15565</v>
      </c>
      <c r="X2314">
        <v>24</v>
      </c>
      <c r="Y2314" t="s">
        <v>22118</v>
      </c>
      <c r="Z2314" t="s">
        <v>28644</v>
      </c>
      <c r="AA2314">
        <v>0.57651400951973164</v>
      </c>
      <c r="AB2314" t="str">
        <f>HYPERLINK("Melting_Curves/meltCurve_P22626_HNRNPA2B1.pdf", "Melting_Curves/meltCurve_P22626_HNRNPA2B1.pdf")</f>
        <v>Melting_Curves/meltCurve_P22626_HNRNPA2B1.pdf</v>
      </c>
    </row>
    <row r="2315" spans="1:28" x14ac:dyDescent="0.25">
      <c r="A2315" t="s">
        <v>2319</v>
      </c>
      <c r="B2315">
        <v>0.99252571173614901</v>
      </c>
      <c r="C2315">
        <v>1.0453241384566001</v>
      </c>
      <c r="D2315">
        <v>0.96433790075410997</v>
      </c>
      <c r="E2315">
        <v>0.88469310667574597</v>
      </c>
      <c r="F2315">
        <v>0.68435848758713402</v>
      </c>
      <c r="G2315">
        <v>0.31521653360960999</v>
      </c>
      <c r="H2315">
        <v>0.13047964948371199</v>
      </c>
      <c r="I2315">
        <v>0.132433999506095</v>
      </c>
      <c r="J2315">
        <v>0.128196785833465</v>
      </c>
      <c r="K2315">
        <v>0.111149722951357</v>
      </c>
      <c r="L2315">
        <v>1361.8483332339699</v>
      </c>
      <c r="M2315">
        <v>25.112327792968099</v>
      </c>
      <c r="N2315">
        <v>54.743522529114998</v>
      </c>
      <c r="O2315">
        <v>53.8898650158254</v>
      </c>
      <c r="P2315">
        <v>-0.10428026227014001</v>
      </c>
      <c r="Q2315">
        <v>0.10488945185629001</v>
      </c>
      <c r="R2315">
        <v>0.99592776657514404</v>
      </c>
      <c r="S2315" t="s">
        <v>8961</v>
      </c>
      <c r="T2315" t="s">
        <v>13290</v>
      </c>
      <c r="U2315" t="s">
        <v>13290</v>
      </c>
      <c r="V2315" t="s">
        <v>13290</v>
      </c>
      <c r="W2315" t="s">
        <v>15566</v>
      </c>
      <c r="X2315">
        <v>13</v>
      </c>
      <c r="Y2315" t="s">
        <v>22119</v>
      </c>
      <c r="Z2315" t="s">
        <v>28645</v>
      </c>
      <c r="AA2315">
        <v>0.53769856128539695</v>
      </c>
      <c r="AB2315" t="str">
        <f>HYPERLINK("Melting_Curves/meltCurve_P22681_CBL.pdf", "Melting_Curves/meltCurve_P22681_CBL.pdf")</f>
        <v>Melting_Curves/meltCurve_P22681_CBL.pdf</v>
      </c>
    </row>
    <row r="2316" spans="1:28" x14ac:dyDescent="0.25">
      <c r="A2316" t="s">
        <v>2320</v>
      </c>
      <c r="B2316">
        <v>0.99252571173614901</v>
      </c>
      <c r="C2316">
        <v>0.954714686375156</v>
      </c>
      <c r="D2316">
        <v>0.76656744681293998</v>
      </c>
      <c r="E2316">
        <v>0.76158789868551902</v>
      </c>
      <c r="F2316">
        <v>0.52045189365136602</v>
      </c>
      <c r="G2316">
        <v>0.39412046745124801</v>
      </c>
      <c r="H2316">
        <v>0.26654848477843202</v>
      </c>
      <c r="I2316">
        <v>0.25399642533438699</v>
      </c>
      <c r="J2316">
        <v>0.46327172692026602</v>
      </c>
      <c r="K2316">
        <v>0</v>
      </c>
      <c r="L2316">
        <v>527.12232008960996</v>
      </c>
      <c r="M2316">
        <v>9.9830797859024791</v>
      </c>
      <c r="N2316">
        <v>54.330600183701499</v>
      </c>
      <c r="O2316">
        <v>50.814011229187301</v>
      </c>
      <c r="P2316">
        <v>-4.3121750669743199E-2</v>
      </c>
      <c r="Q2316">
        <v>0.122468411766453</v>
      </c>
      <c r="R2316">
        <v>0.88280839940753497</v>
      </c>
      <c r="S2316" t="s">
        <v>8962</v>
      </c>
      <c r="T2316" t="s">
        <v>13290</v>
      </c>
      <c r="U2316" t="s">
        <v>13290</v>
      </c>
      <c r="V2316" t="s">
        <v>13290</v>
      </c>
      <c r="W2316" t="s">
        <v>15567</v>
      </c>
      <c r="X2316">
        <v>1</v>
      </c>
      <c r="Y2316" t="s">
        <v>22120</v>
      </c>
      <c r="Z2316" t="s">
        <v>28646</v>
      </c>
      <c r="AA2316">
        <v>0.52766476913518778</v>
      </c>
      <c r="AB2316" t="str">
        <f>HYPERLINK("Melting_Curves/meltCurve_P22692_IGFBP4.pdf", "Melting_Curves/meltCurve_P22692_IGFBP4.pdf")</f>
        <v>Melting_Curves/meltCurve_P22692_IGFBP4.pdf</v>
      </c>
    </row>
    <row r="2317" spans="1:28" x14ac:dyDescent="0.25">
      <c r="A2317" t="s">
        <v>2321</v>
      </c>
      <c r="B2317">
        <v>0.99252571173614901</v>
      </c>
      <c r="C2317">
        <v>0.92917575139097697</v>
      </c>
      <c r="D2317">
        <v>0.90351900288525899</v>
      </c>
      <c r="E2317">
        <v>0.61540026764701705</v>
      </c>
      <c r="F2317">
        <v>0.33851466752933801</v>
      </c>
      <c r="G2317">
        <v>0.106258300565331</v>
      </c>
      <c r="H2317">
        <v>6.2615227743955795E-2</v>
      </c>
      <c r="I2317">
        <v>6.6664705438535393E-2</v>
      </c>
      <c r="J2317">
        <v>0.101380946317891</v>
      </c>
      <c r="K2317">
        <v>8.9748459784053602E-2</v>
      </c>
      <c r="L2317">
        <v>1062.3245504997201</v>
      </c>
      <c r="M2317">
        <v>21.024302515083502</v>
      </c>
      <c r="N2317">
        <v>50.863324309307799</v>
      </c>
      <c r="O2317">
        <v>50.077939499522699</v>
      </c>
      <c r="P2317">
        <v>-9.8175951102435502E-2</v>
      </c>
      <c r="Q2317">
        <v>6.4640946648612502E-2</v>
      </c>
      <c r="R2317">
        <v>0.99457777948485004</v>
      </c>
      <c r="S2317" t="s">
        <v>8963</v>
      </c>
      <c r="T2317" t="s">
        <v>13290</v>
      </c>
      <c r="U2317" t="s">
        <v>13290</v>
      </c>
      <c r="V2317" t="s">
        <v>13290</v>
      </c>
      <c r="W2317" t="s">
        <v>15568</v>
      </c>
      <c r="X2317">
        <v>14</v>
      </c>
      <c r="Y2317" t="s">
        <v>22121</v>
      </c>
      <c r="Z2317" t="s">
        <v>28647</v>
      </c>
      <c r="AA2317">
        <v>0.4047128195851567</v>
      </c>
      <c r="AB2317" t="str">
        <f>HYPERLINK("Melting_Curves/meltCurve_P22694_PRKACB.pdf", "Melting_Curves/meltCurve_P22694_PRKACB.pdf")</f>
        <v>Melting_Curves/meltCurve_P22694_PRKACB.pdf</v>
      </c>
    </row>
    <row r="2318" spans="1:28" x14ac:dyDescent="0.25">
      <c r="A2318" t="s">
        <v>2322</v>
      </c>
      <c r="B2318">
        <v>0.99252571173614901</v>
      </c>
      <c r="C2318">
        <v>0.96889315073997095</v>
      </c>
      <c r="D2318">
        <v>0.96166332914485297</v>
      </c>
      <c r="E2318">
        <v>0.80355760433235801</v>
      </c>
      <c r="F2318">
        <v>0.71388246906611497</v>
      </c>
      <c r="G2318">
        <v>0.52106442171905798</v>
      </c>
      <c r="H2318">
        <v>0.354324201449495</v>
      </c>
      <c r="I2318">
        <v>0.22902313730998999</v>
      </c>
      <c r="J2318">
        <v>0.17865481447127701</v>
      </c>
      <c r="K2318">
        <v>0.17359491592312101</v>
      </c>
      <c r="L2318">
        <v>655.97543087589804</v>
      </c>
      <c r="M2318">
        <v>11.614730767319401</v>
      </c>
      <c r="N2318">
        <v>57.127468040772499</v>
      </c>
      <c r="O2318">
        <v>54.8815768912674</v>
      </c>
      <c r="P2318">
        <v>-4.9648976431324703E-2</v>
      </c>
      <c r="Q2318">
        <v>6.18573664637403E-2</v>
      </c>
      <c r="R2318">
        <v>0.99616234374595103</v>
      </c>
      <c r="S2318" t="s">
        <v>8964</v>
      </c>
      <c r="T2318" t="s">
        <v>13290</v>
      </c>
      <c r="U2318" t="s">
        <v>13290</v>
      </c>
      <c r="V2318" t="s">
        <v>13290</v>
      </c>
      <c r="W2318" t="s">
        <v>15569</v>
      </c>
      <c r="X2318">
        <v>18</v>
      </c>
      <c r="Y2318" t="s">
        <v>22122</v>
      </c>
      <c r="Z2318" t="s">
        <v>28648</v>
      </c>
      <c r="AA2318">
        <v>0.59483183382188287</v>
      </c>
      <c r="AB2318" t="str">
        <f>HYPERLINK("Melting_Curves/meltCurve_P22695_UQCRC2.pdf", "Melting_Curves/meltCurve_P22695_UQCRC2.pdf")</f>
        <v>Melting_Curves/meltCurve_P22695_UQCRC2.pdf</v>
      </c>
    </row>
    <row r="2319" spans="1:28" x14ac:dyDescent="0.25">
      <c r="A2319" t="s">
        <v>2323</v>
      </c>
      <c r="B2319">
        <v>0.99252571173614901</v>
      </c>
      <c r="C2319">
        <v>0.97140235712002398</v>
      </c>
      <c r="D2319">
        <v>0.90167265740832803</v>
      </c>
      <c r="E2319">
        <v>0.78300504296451801</v>
      </c>
      <c r="F2319">
        <v>0.361391461756428</v>
      </c>
      <c r="G2319">
        <v>0.17640177638851001</v>
      </c>
      <c r="H2319">
        <v>0.110649780784273</v>
      </c>
      <c r="I2319">
        <v>0.106337909176293</v>
      </c>
      <c r="J2319">
        <v>0.12392097320118201</v>
      </c>
      <c r="K2319">
        <v>0.11703392100573499</v>
      </c>
      <c r="L2319">
        <v>1345.9254638958</v>
      </c>
      <c r="M2319">
        <v>26.157602937755101</v>
      </c>
      <c r="N2319">
        <v>51.934624945086298</v>
      </c>
      <c r="O2319">
        <v>51.156573667750997</v>
      </c>
      <c r="P2319">
        <v>-0.114102222689361</v>
      </c>
      <c r="Q2319">
        <v>0.107408842671339</v>
      </c>
      <c r="R2319">
        <v>0.996068566689985</v>
      </c>
      <c r="S2319" t="s">
        <v>8965</v>
      </c>
      <c r="T2319" t="s">
        <v>13290</v>
      </c>
      <c r="U2319" t="s">
        <v>13290</v>
      </c>
      <c r="V2319" t="s">
        <v>13290</v>
      </c>
      <c r="W2319" t="s">
        <v>15570</v>
      </c>
      <c r="X2319">
        <v>16</v>
      </c>
      <c r="Y2319" t="s">
        <v>22123</v>
      </c>
      <c r="Z2319" t="s">
        <v>28649</v>
      </c>
      <c r="AA2319">
        <v>0.45563062820993588</v>
      </c>
      <c r="AB2319" t="str">
        <f>HYPERLINK("Melting_Curves/meltCurve_P22830_FECH.pdf", "Melting_Curves/meltCurve_P22830_FECH.pdf")</f>
        <v>Melting_Curves/meltCurve_P22830_FECH.pdf</v>
      </c>
    </row>
    <row r="2320" spans="1:28" x14ac:dyDescent="0.25">
      <c r="A2320" t="s">
        <v>2324</v>
      </c>
      <c r="B2320">
        <v>0.99252571173614901</v>
      </c>
      <c r="C2320">
        <v>1.0253939787408199</v>
      </c>
      <c r="D2320">
        <v>0.69763815364764603</v>
      </c>
      <c r="E2320">
        <v>0.32161189500182102</v>
      </c>
      <c r="F2320">
        <v>0.186777015562681</v>
      </c>
      <c r="G2320">
        <v>0.119374959446248</v>
      </c>
      <c r="H2320">
        <v>9.9226867410816294E-2</v>
      </c>
      <c r="I2320">
        <v>0.106518342150665</v>
      </c>
      <c r="J2320">
        <v>0.12239493506956001</v>
      </c>
      <c r="K2320">
        <v>0.121676763987072</v>
      </c>
      <c r="L2320">
        <v>1312.5996478299001</v>
      </c>
      <c r="M2320">
        <v>27.7266713933451</v>
      </c>
      <c r="N2320">
        <v>47.802838677192298</v>
      </c>
      <c r="O2320">
        <v>47.096474302139498</v>
      </c>
      <c r="P2320">
        <v>-0.12987762517437601</v>
      </c>
      <c r="Q2320">
        <v>0.117568126918297</v>
      </c>
      <c r="R2320">
        <v>0.99394267649285295</v>
      </c>
      <c r="S2320" t="s">
        <v>8966</v>
      </c>
      <c r="T2320" t="s">
        <v>13290</v>
      </c>
      <c r="U2320" t="s">
        <v>13290</v>
      </c>
      <c r="V2320" t="s">
        <v>13290</v>
      </c>
      <c r="W2320" t="s">
        <v>15571</v>
      </c>
      <c r="X2320">
        <v>13</v>
      </c>
      <c r="Y2320" t="s">
        <v>22124</v>
      </c>
      <c r="Z2320" t="s">
        <v>28650</v>
      </c>
      <c r="AA2320">
        <v>0.33975330043898239</v>
      </c>
      <c r="AB2320" t="str">
        <f>HYPERLINK("Melting_Curves/meltCurve_P23025_XPA.pdf", "Melting_Curves/meltCurve_P23025_XPA.pdf")</f>
        <v>Melting_Curves/meltCurve_P23025_XPA.pdf</v>
      </c>
    </row>
    <row r="2321" spans="1:28" x14ac:dyDescent="0.25">
      <c r="A2321" t="s">
        <v>2325</v>
      </c>
      <c r="B2321">
        <v>0.99252571173614901</v>
      </c>
      <c r="C2321">
        <v>0.94713858690010799</v>
      </c>
      <c r="D2321">
        <v>0.89601305496830297</v>
      </c>
      <c r="E2321">
        <v>0.67049307249399703</v>
      </c>
      <c r="F2321">
        <v>0.49968073190881501</v>
      </c>
      <c r="G2321">
        <v>0.30682496090660499</v>
      </c>
      <c r="H2321">
        <v>0.220194803762427</v>
      </c>
      <c r="I2321">
        <v>0.20859508772392399</v>
      </c>
      <c r="J2321">
        <v>0.24746320054776899</v>
      </c>
      <c r="K2321">
        <v>0.18612993126275901</v>
      </c>
      <c r="L2321">
        <v>821.75429833274904</v>
      </c>
      <c r="M2321">
        <v>16.0831777870055</v>
      </c>
      <c r="N2321">
        <v>52.629701768748902</v>
      </c>
      <c r="O2321">
        <v>50.323698033608402</v>
      </c>
      <c r="P2321">
        <v>-6.4940383717261796E-2</v>
      </c>
      <c r="Q2321">
        <v>0.18727779153843699</v>
      </c>
      <c r="R2321">
        <v>0.99519377053497404</v>
      </c>
      <c r="S2321" t="s">
        <v>8967</v>
      </c>
      <c r="T2321" t="s">
        <v>13290</v>
      </c>
      <c r="U2321" t="s">
        <v>13290</v>
      </c>
      <c r="V2321" t="s">
        <v>13290</v>
      </c>
      <c r="W2321" t="s">
        <v>15572</v>
      </c>
      <c r="X2321">
        <v>10</v>
      </c>
      <c r="Y2321" t="s">
        <v>22125</v>
      </c>
      <c r="Z2321" t="s">
        <v>28651</v>
      </c>
      <c r="AA2321">
        <v>0.50448285144361782</v>
      </c>
      <c r="AB2321" t="str">
        <f>HYPERLINK("Melting_Curves/meltCurve_P23141_3_CES1.pdf", "Melting_Curves/meltCurve_P23141_3_CES1.pdf")</f>
        <v>Melting_Curves/meltCurve_P23141_3_CES1.pdf</v>
      </c>
    </row>
    <row r="2322" spans="1:28" x14ac:dyDescent="0.25">
      <c r="A2322" t="s">
        <v>2326</v>
      </c>
      <c r="B2322">
        <v>0.99252571173614901</v>
      </c>
      <c r="C2322">
        <v>1.0877612714090099</v>
      </c>
      <c r="D2322">
        <v>0.87180833755737297</v>
      </c>
      <c r="E2322">
        <v>0.896904403571673</v>
      </c>
      <c r="F2322">
        <v>0.52991387880291196</v>
      </c>
      <c r="G2322">
        <v>0.31033761263852899</v>
      </c>
      <c r="H2322">
        <v>0.22781555238985299</v>
      </c>
      <c r="I2322">
        <v>0.24515464254967101</v>
      </c>
      <c r="J2322">
        <v>0.32635580057547797</v>
      </c>
      <c r="K2322">
        <v>0.34746995488342602</v>
      </c>
      <c r="L2322">
        <v>1743.9238910567201</v>
      </c>
      <c r="M2322">
        <v>33.466502771355898</v>
      </c>
      <c r="N2322">
        <v>53.439097751316403</v>
      </c>
      <c r="O2322">
        <v>51.924526633406302</v>
      </c>
      <c r="P2322">
        <v>-0.11560372889132101</v>
      </c>
      <c r="Q2322">
        <v>0.282548988912532</v>
      </c>
      <c r="R2322">
        <v>0.96757219229078595</v>
      </c>
      <c r="S2322" t="s">
        <v>8968</v>
      </c>
      <c r="T2322" t="s">
        <v>13290</v>
      </c>
      <c r="U2322" t="s">
        <v>13290</v>
      </c>
      <c r="V2322" t="s">
        <v>13290</v>
      </c>
      <c r="W2322" t="s">
        <v>15573</v>
      </c>
      <c r="X2322">
        <v>31</v>
      </c>
      <c r="Y2322" t="s">
        <v>22126</v>
      </c>
      <c r="Z2322" t="s">
        <v>28652</v>
      </c>
      <c r="AA2322">
        <v>0.57584264065019275</v>
      </c>
      <c r="AB2322" t="str">
        <f>HYPERLINK("Melting_Curves/meltCurve_P23193_TCEA1.pdf", "Melting_Curves/meltCurve_P23193_TCEA1.pdf")</f>
        <v>Melting_Curves/meltCurve_P23193_TCEA1.pdf</v>
      </c>
    </row>
    <row r="2323" spans="1:28" x14ac:dyDescent="0.25">
      <c r="A2323" t="s">
        <v>2327</v>
      </c>
      <c r="B2323">
        <v>0.99252571173614901</v>
      </c>
      <c r="C2323">
        <v>1.0559751548747101</v>
      </c>
      <c r="D2323">
        <v>0.64837498831089002</v>
      </c>
      <c r="E2323">
        <v>0.39798674174467402</v>
      </c>
      <c r="F2323">
        <v>0.16095808343442899</v>
      </c>
      <c r="G2323">
        <v>9.8953488733513006E-2</v>
      </c>
      <c r="H2323">
        <v>7.8835460941779401E-2</v>
      </c>
      <c r="I2323">
        <v>8.1317357982972405E-2</v>
      </c>
      <c r="J2323">
        <v>9.8673959388003399E-2</v>
      </c>
      <c r="K2323">
        <v>0.11053246471327099</v>
      </c>
      <c r="L2323">
        <v>1110.95968672548</v>
      </c>
      <c r="M2323">
        <v>23.304974961860498</v>
      </c>
      <c r="N2323">
        <v>48.081986262997098</v>
      </c>
      <c r="O2323">
        <v>47.3236581387985</v>
      </c>
      <c r="P2323">
        <v>-0.111986229050329</v>
      </c>
      <c r="Q2323">
        <v>9.0408123101431898E-2</v>
      </c>
      <c r="R2323">
        <v>0.98269959058647005</v>
      </c>
      <c r="S2323" t="s">
        <v>8969</v>
      </c>
      <c r="T2323" t="s">
        <v>13290</v>
      </c>
      <c r="U2323" t="s">
        <v>13290</v>
      </c>
      <c r="V2323" t="s">
        <v>13290</v>
      </c>
      <c r="W2323" t="s">
        <v>15574</v>
      </c>
      <c r="X2323">
        <v>50</v>
      </c>
      <c r="Y2323" t="s">
        <v>22127</v>
      </c>
      <c r="Z2323" t="s">
        <v>28653</v>
      </c>
      <c r="AA2323">
        <v>0.33234107122622641</v>
      </c>
      <c r="AB2323" t="str">
        <f>HYPERLINK("Melting_Curves/meltCurve_P23246_SFPQ.pdf", "Melting_Curves/meltCurve_P23246_SFPQ.pdf")</f>
        <v>Melting_Curves/meltCurve_P23246_SFPQ.pdf</v>
      </c>
    </row>
    <row r="2324" spans="1:28" x14ac:dyDescent="0.25">
      <c r="A2324" t="s">
        <v>2328</v>
      </c>
      <c r="B2324">
        <v>0.99252571173614901</v>
      </c>
      <c r="C2324">
        <v>0.95940753401781498</v>
      </c>
      <c r="D2324">
        <v>0.93642058665664796</v>
      </c>
      <c r="E2324">
        <v>0.80914780560828603</v>
      </c>
      <c r="F2324">
        <v>0.65851055870056296</v>
      </c>
      <c r="G2324">
        <v>0.430165457174355</v>
      </c>
      <c r="H2324">
        <v>0.19531693266404199</v>
      </c>
      <c r="I2324">
        <v>0.11631820818881999</v>
      </c>
      <c r="J2324">
        <v>0.103916622507184</v>
      </c>
      <c r="K2324">
        <v>9.0955022883641101E-2</v>
      </c>
      <c r="L2324">
        <v>784.94775363428596</v>
      </c>
      <c r="M2324">
        <v>14.2419528480865</v>
      </c>
      <c r="N2324">
        <v>55.297301572254703</v>
      </c>
      <c r="O2324">
        <v>54.062687552206498</v>
      </c>
      <c r="P2324">
        <v>-6.4357633931057395E-2</v>
      </c>
      <c r="Q2324">
        <v>2.2910240872135799E-2</v>
      </c>
      <c r="R2324">
        <v>0.99656894139291397</v>
      </c>
      <c r="S2324" t="s">
        <v>8970</v>
      </c>
      <c r="T2324" t="s">
        <v>13290</v>
      </c>
      <c r="U2324" t="s">
        <v>13290</v>
      </c>
      <c r="V2324" t="s">
        <v>13290</v>
      </c>
      <c r="W2324" t="s">
        <v>15575</v>
      </c>
      <c r="X2324">
        <v>16</v>
      </c>
      <c r="Y2324" t="s">
        <v>22128</v>
      </c>
      <c r="Z2324" t="s">
        <v>28654</v>
      </c>
      <c r="AA2324">
        <v>0.53488179255192425</v>
      </c>
      <c r="AB2324" t="str">
        <f>HYPERLINK("Melting_Curves/meltCurve_P23258_TUBG1.pdf", "Melting_Curves/meltCurve_P23258_TUBG1.pdf")</f>
        <v>Melting_Curves/meltCurve_P23258_TUBG1.pdf</v>
      </c>
    </row>
    <row r="2325" spans="1:28" x14ac:dyDescent="0.25">
      <c r="A2325" t="s">
        <v>2329</v>
      </c>
      <c r="B2325">
        <v>0.99252571173614901</v>
      </c>
      <c r="C2325">
        <v>1.02891845872163</v>
      </c>
      <c r="D2325">
        <v>0.89376532769165795</v>
      </c>
      <c r="E2325">
        <v>0.61728502837787202</v>
      </c>
      <c r="F2325">
        <v>0.36657269217880201</v>
      </c>
      <c r="G2325">
        <v>0.172986319623399</v>
      </c>
      <c r="H2325">
        <v>0.10053586772034299</v>
      </c>
      <c r="I2325">
        <v>0.102348600081571</v>
      </c>
      <c r="J2325">
        <v>0.13110336223698901</v>
      </c>
      <c r="K2325">
        <v>0.13326637416888101</v>
      </c>
      <c r="L2325">
        <v>1065.52876268247</v>
      </c>
      <c r="M2325">
        <v>21.104842511954899</v>
      </c>
      <c r="N2325">
        <v>51.0749001399045</v>
      </c>
      <c r="O2325">
        <v>50.040681849644599</v>
      </c>
      <c r="P2325">
        <v>-9.4077853442923506E-2</v>
      </c>
      <c r="Q2325">
        <v>0.107769521689195</v>
      </c>
      <c r="R2325">
        <v>0.99551196589282798</v>
      </c>
      <c r="S2325" t="s">
        <v>8971</v>
      </c>
      <c r="T2325" t="s">
        <v>13290</v>
      </c>
      <c r="U2325" t="s">
        <v>13290</v>
      </c>
      <c r="V2325" t="s">
        <v>13290</v>
      </c>
      <c r="W2325" t="s">
        <v>15576</v>
      </c>
      <c r="X2325">
        <v>8</v>
      </c>
      <c r="Y2325" t="s">
        <v>22129</v>
      </c>
      <c r="Z2325" t="s">
        <v>28655</v>
      </c>
      <c r="AA2325">
        <v>0.43085799202127129</v>
      </c>
      <c r="AB2325" t="str">
        <f>HYPERLINK("Melting_Curves/meltCurve_P23280_CA6.pdf", "Melting_Curves/meltCurve_P23280_CA6.pdf")</f>
        <v>Melting_Curves/meltCurve_P23280_CA6.pdf</v>
      </c>
    </row>
    <row r="2326" spans="1:28" x14ac:dyDescent="0.25">
      <c r="A2326" t="s">
        <v>2330</v>
      </c>
      <c r="B2326">
        <v>0.99252571173614901</v>
      </c>
      <c r="C2326">
        <v>1.0875101653697801</v>
      </c>
      <c r="D2326">
        <v>0.70239606645347596</v>
      </c>
      <c r="E2326">
        <v>0.72235224007175902</v>
      </c>
      <c r="F2326">
        <v>0.22790802528031501</v>
      </c>
      <c r="G2326">
        <v>0.11961965632023</v>
      </c>
      <c r="H2326">
        <v>8.6915377222544901E-2</v>
      </c>
      <c r="I2326">
        <v>8.7830217710019504E-2</v>
      </c>
      <c r="J2326">
        <v>0.12132577802554401</v>
      </c>
      <c r="K2326">
        <v>9.70341842832637E-2</v>
      </c>
      <c r="L2326">
        <v>1048.1932493004799</v>
      </c>
      <c r="M2326">
        <v>20.885619199362999</v>
      </c>
      <c r="N2326">
        <v>50.593056053657598</v>
      </c>
      <c r="O2326">
        <v>49.734018083919999</v>
      </c>
      <c r="P2326">
        <v>-9.6893814302357203E-2</v>
      </c>
      <c r="Q2326">
        <v>7.7109175302343694E-2</v>
      </c>
      <c r="R2326">
        <v>0.95428737142449305</v>
      </c>
      <c r="S2326" t="s">
        <v>8972</v>
      </c>
      <c r="T2326" t="s">
        <v>13290</v>
      </c>
      <c r="U2326" t="s">
        <v>13290</v>
      </c>
      <c r="V2326" t="s">
        <v>13290</v>
      </c>
      <c r="W2326" t="s">
        <v>15577</v>
      </c>
      <c r="X2326">
        <v>27</v>
      </c>
      <c r="Y2326" t="s">
        <v>22130</v>
      </c>
      <c r="Z2326" t="s">
        <v>28656</v>
      </c>
      <c r="AA2326">
        <v>0.40230359162763463</v>
      </c>
      <c r="AB2326" t="str">
        <f>HYPERLINK("Melting_Curves/meltCurve_P23284_PPIB.pdf", "Melting_Curves/meltCurve_P23284_PPIB.pdf")</f>
        <v>Melting_Curves/meltCurve_P23284_PPIB.pdf</v>
      </c>
    </row>
    <row r="2327" spans="1:28" x14ac:dyDescent="0.25">
      <c r="A2327" t="s">
        <v>2331</v>
      </c>
      <c r="B2327">
        <v>0.99252571173614901</v>
      </c>
      <c r="C2327">
        <v>0.94848449510440902</v>
      </c>
      <c r="D2327">
        <v>0.99082632080280697</v>
      </c>
      <c r="E2327">
        <v>0.91882280881119005</v>
      </c>
      <c r="F2327">
        <v>0.66800970089014</v>
      </c>
      <c r="G2327">
        <v>0.28777812955734</v>
      </c>
      <c r="H2327">
        <v>0.13767510602108099</v>
      </c>
      <c r="I2327">
        <v>0.12691135414667401</v>
      </c>
      <c r="J2327">
        <v>9.6344525130531503E-2</v>
      </c>
      <c r="K2327">
        <v>8.3802459538189794E-2</v>
      </c>
      <c r="L2327">
        <v>1457.4651649928401</v>
      </c>
      <c r="M2327">
        <v>26.894372376365599</v>
      </c>
      <c r="N2327">
        <v>54.6100649157883</v>
      </c>
      <c r="O2327">
        <v>53.895242786462198</v>
      </c>
      <c r="P2327">
        <v>-0.113152304531683</v>
      </c>
      <c r="Q2327">
        <v>9.2998456299863697E-2</v>
      </c>
      <c r="R2327">
        <v>0.99773326722182298</v>
      </c>
      <c r="S2327" t="s">
        <v>8973</v>
      </c>
      <c r="T2327" t="s">
        <v>13290</v>
      </c>
      <c r="U2327" t="s">
        <v>13290</v>
      </c>
      <c r="V2327" t="s">
        <v>13290</v>
      </c>
      <c r="W2327" t="s">
        <v>15578</v>
      </c>
      <c r="X2327">
        <v>14</v>
      </c>
      <c r="Y2327" t="s">
        <v>22131</v>
      </c>
      <c r="Z2327" t="s">
        <v>28657</v>
      </c>
      <c r="AA2327">
        <v>0.52941968546491858</v>
      </c>
      <c r="AB2327" t="str">
        <f>HYPERLINK("Melting_Curves/meltCurve_P23368_ME2.pdf", "Melting_Curves/meltCurve_P23368_ME2.pdf")</f>
        <v>Melting_Curves/meltCurve_P23368_ME2.pdf</v>
      </c>
    </row>
    <row r="2328" spans="1:28" x14ac:dyDescent="0.25">
      <c r="A2328" t="s">
        <v>2332</v>
      </c>
      <c r="B2328">
        <v>0.99252571173614901</v>
      </c>
      <c r="C2328">
        <v>0.99997069866642896</v>
      </c>
      <c r="D2328">
        <v>0.96812679714065297</v>
      </c>
      <c r="E2328">
        <v>0.82080337053583896</v>
      </c>
      <c r="F2328">
        <v>0.72958404969115198</v>
      </c>
      <c r="G2328">
        <v>0.50664136587258302</v>
      </c>
      <c r="H2328">
        <v>0.33603737110420101</v>
      </c>
      <c r="I2328">
        <v>0.36010545439520902</v>
      </c>
      <c r="J2328">
        <v>0.45553392929883901</v>
      </c>
      <c r="K2328">
        <v>0.44347211338025</v>
      </c>
      <c r="L2328">
        <v>1084.63351021116</v>
      </c>
      <c r="M2328">
        <v>20.5302798092047</v>
      </c>
      <c r="N2328">
        <v>56.997356509388602</v>
      </c>
      <c r="O2328">
        <v>52.337358768110903</v>
      </c>
      <c r="P2328">
        <v>-5.9968015152839199E-2</v>
      </c>
      <c r="Q2328">
        <v>0.38851802689839998</v>
      </c>
      <c r="R2328">
        <v>0.96579723627421199</v>
      </c>
      <c r="S2328" t="s">
        <v>8974</v>
      </c>
      <c r="T2328" t="s">
        <v>13290</v>
      </c>
      <c r="U2328" t="s">
        <v>13290</v>
      </c>
      <c r="V2328" t="s">
        <v>13290</v>
      </c>
      <c r="W2328" t="s">
        <v>15579</v>
      </c>
      <c r="X2328">
        <v>27</v>
      </c>
      <c r="Y2328" t="s">
        <v>20713</v>
      </c>
      <c r="Z2328" t="s">
        <v>28658</v>
      </c>
      <c r="AA2328">
        <v>0.65809544104496753</v>
      </c>
      <c r="AB2328" t="str">
        <f>HYPERLINK("Melting_Curves/meltCurve_P23381_WARS.pdf", "Melting_Curves/meltCurve_P23381_WARS.pdf")</f>
        <v>Melting_Curves/meltCurve_P23381_WARS.pdf</v>
      </c>
    </row>
    <row r="2329" spans="1:28" x14ac:dyDescent="0.25">
      <c r="A2329" t="s">
        <v>2333</v>
      </c>
      <c r="B2329">
        <v>0.99252571173614901</v>
      </c>
      <c r="C2329">
        <v>0.91376143436093504</v>
      </c>
      <c r="D2329">
        <v>0.72699452465127801</v>
      </c>
      <c r="E2329">
        <v>0.65230714914054599</v>
      </c>
      <c r="F2329">
        <v>0.48109780312248501</v>
      </c>
      <c r="G2329">
        <v>0.243187818451641</v>
      </c>
      <c r="H2329">
        <v>0.122831648052022</v>
      </c>
      <c r="I2329">
        <v>0.11903609878921</v>
      </c>
      <c r="J2329">
        <v>0.12895194959258299</v>
      </c>
      <c r="K2329">
        <v>0.147780588585606</v>
      </c>
      <c r="L2329">
        <v>609.09685519579602</v>
      </c>
      <c r="M2329">
        <v>11.927802976904699</v>
      </c>
      <c r="N2329">
        <v>51.646368149901001</v>
      </c>
      <c r="O2329">
        <v>49.693442332302503</v>
      </c>
      <c r="P2329">
        <v>-5.6252877431960599E-2</v>
      </c>
      <c r="Q2329">
        <v>6.2791613975233196E-2</v>
      </c>
      <c r="R2329">
        <v>0.98207966468987695</v>
      </c>
      <c r="S2329" t="s">
        <v>8975</v>
      </c>
      <c r="T2329" t="s">
        <v>13290</v>
      </c>
      <c r="U2329" t="s">
        <v>13290</v>
      </c>
      <c r="V2329" t="s">
        <v>13290</v>
      </c>
      <c r="W2329" t="s">
        <v>15580</v>
      </c>
      <c r="X2329">
        <v>22</v>
      </c>
      <c r="Y2329" t="s">
        <v>22132</v>
      </c>
      <c r="Z2329" t="s">
        <v>28659</v>
      </c>
      <c r="AA2329">
        <v>0.4391815295349506</v>
      </c>
      <c r="AB2329" t="str">
        <f>HYPERLINK("Melting_Curves/meltCurve_P23396_RPS3.pdf", "Melting_Curves/meltCurve_P23396_RPS3.pdf")</f>
        <v>Melting_Curves/meltCurve_P23396_RPS3.pdf</v>
      </c>
    </row>
    <row r="2330" spans="1:28" x14ac:dyDescent="0.25">
      <c r="A2330" t="s">
        <v>2334</v>
      </c>
      <c r="B2330">
        <v>0.99252571173614901</v>
      </c>
      <c r="C2330">
        <v>1.0219570069230399</v>
      </c>
      <c r="D2330">
        <v>0.98591018828428401</v>
      </c>
      <c r="E2330">
        <v>0.72192332610542198</v>
      </c>
      <c r="F2330">
        <v>0.117925036785199</v>
      </c>
      <c r="G2330">
        <v>5.04896410577685E-2</v>
      </c>
      <c r="H2330">
        <v>2.0792365345317101E-2</v>
      </c>
      <c r="I2330">
        <v>2.09350389706849E-2</v>
      </c>
      <c r="J2330">
        <v>3.5113251221202499E-2</v>
      </c>
      <c r="K2330">
        <v>4.4262409769712102E-2</v>
      </c>
      <c r="L2330">
        <v>2358.2947773764699</v>
      </c>
      <c r="M2330">
        <v>46.641917301411901</v>
      </c>
      <c r="N2330">
        <v>50.635247027600698</v>
      </c>
      <c r="O2330">
        <v>50.469011056648803</v>
      </c>
      <c r="P2330">
        <v>-0.22347590750313601</v>
      </c>
      <c r="Q2330">
        <v>3.27501053393928E-2</v>
      </c>
      <c r="R2330">
        <v>0.99940548400960305</v>
      </c>
      <c r="S2330" t="s">
        <v>8976</v>
      </c>
      <c r="T2330" t="s">
        <v>13290</v>
      </c>
      <c r="U2330" t="s">
        <v>13290</v>
      </c>
      <c r="V2330" t="s">
        <v>13290</v>
      </c>
      <c r="W2330" t="s">
        <v>15581</v>
      </c>
      <c r="X2330">
        <v>1</v>
      </c>
      <c r="Y2330" t="s">
        <v>22133</v>
      </c>
      <c r="Z2330" t="s">
        <v>28660</v>
      </c>
      <c r="AA2330">
        <v>0.37575806744911039</v>
      </c>
      <c r="AB2330" t="str">
        <f>HYPERLINK("Melting_Curves/meltCurve_P23409_MYF6.pdf", "Melting_Curves/meltCurve_P23409_MYF6.pdf")</f>
        <v>Melting_Curves/meltCurve_P23409_MYF6.pdf</v>
      </c>
    </row>
    <row r="2331" spans="1:28" x14ac:dyDescent="0.25">
      <c r="A2331" t="s">
        <v>2335</v>
      </c>
      <c r="B2331">
        <v>0.99252571173614901</v>
      </c>
      <c r="C2331">
        <v>1.0883897329980401</v>
      </c>
      <c r="D2331">
        <v>1.03138939684867</v>
      </c>
      <c r="E2331">
        <v>0.93875051845192103</v>
      </c>
      <c r="F2331">
        <v>0.77254695573978904</v>
      </c>
      <c r="G2331">
        <v>0.748627272754808</v>
      </c>
      <c r="H2331">
        <v>0.67790736392115702</v>
      </c>
      <c r="I2331">
        <v>0.70695029550267496</v>
      </c>
      <c r="J2331">
        <v>0.83157097855081596</v>
      </c>
      <c r="K2331">
        <v>0.79079204465110198</v>
      </c>
      <c r="L2331">
        <v>2729.87036448867</v>
      </c>
      <c r="M2331">
        <v>53.880019250196298</v>
      </c>
      <c r="O2331">
        <v>50.596077407231398</v>
      </c>
      <c r="P2331">
        <v>-6.6139798517445794E-2</v>
      </c>
      <c r="Q2331">
        <v>0.75156562469275501</v>
      </c>
      <c r="R2331">
        <v>0.87033303503874004</v>
      </c>
      <c r="S2331" t="s">
        <v>8977</v>
      </c>
      <c r="T2331" t="s">
        <v>13290</v>
      </c>
      <c r="U2331" t="s">
        <v>13290</v>
      </c>
      <c r="V2331" t="s">
        <v>13290</v>
      </c>
      <c r="W2331" t="s">
        <v>15582</v>
      </c>
      <c r="X2331">
        <v>4</v>
      </c>
      <c r="Y2331" t="s">
        <v>22134</v>
      </c>
      <c r="Z2331" t="s">
        <v>28661</v>
      </c>
      <c r="AA2331">
        <v>0.84036782859782044</v>
      </c>
      <c r="AB2331" t="str">
        <f>HYPERLINK("Melting_Curves/meltCurve_P23434_GCSH.pdf", "Melting_Curves/meltCurve_P23434_GCSH.pdf")</f>
        <v>Melting_Curves/meltCurve_P23434_GCSH.pdf</v>
      </c>
    </row>
    <row r="2332" spans="1:28" x14ac:dyDescent="0.25">
      <c r="A2332" t="s">
        <v>2336</v>
      </c>
      <c r="B2332">
        <v>0.99252571173614901</v>
      </c>
      <c r="C2332">
        <v>0.94333571081207401</v>
      </c>
      <c r="D2332">
        <v>0.82739762270111705</v>
      </c>
      <c r="E2332">
        <v>0.463142446042352</v>
      </c>
      <c r="F2332">
        <v>0.30705865861377302</v>
      </c>
      <c r="G2332">
        <v>0.20463126498615899</v>
      </c>
      <c r="H2332">
        <v>0.16548345941741699</v>
      </c>
      <c r="I2332">
        <v>0.17810906294368301</v>
      </c>
      <c r="J2332">
        <v>0.23062518491214901</v>
      </c>
      <c r="K2332">
        <v>0.24699269832905801</v>
      </c>
      <c r="L2332">
        <v>1165.5676179719701</v>
      </c>
      <c r="M2332">
        <v>24.1474752206462</v>
      </c>
      <c r="N2332">
        <v>49.332810725065102</v>
      </c>
      <c r="O2332">
        <v>47.941354014179304</v>
      </c>
      <c r="P2332">
        <v>-0.10036219341853</v>
      </c>
      <c r="Q2332">
        <v>0.20299356947768099</v>
      </c>
      <c r="R2332">
        <v>0.99299552994691198</v>
      </c>
      <c r="S2332" t="s">
        <v>8978</v>
      </c>
      <c r="T2332" t="s">
        <v>13290</v>
      </c>
      <c r="U2332" t="s">
        <v>13290</v>
      </c>
      <c r="V2332" t="s">
        <v>13290</v>
      </c>
      <c r="W2332" t="s">
        <v>15583</v>
      </c>
      <c r="X2332">
        <v>14</v>
      </c>
      <c r="Y2332" t="s">
        <v>22135</v>
      </c>
      <c r="Z2332" t="s">
        <v>28662</v>
      </c>
      <c r="AA2332">
        <v>0.43024456312766057</v>
      </c>
      <c r="AB2332" t="str">
        <f>HYPERLINK("Melting_Curves/meltCurve_P23469_2_PTPRE.pdf", "Melting_Curves/meltCurve_P23469_2_PTPRE.pdf")</f>
        <v>Melting_Curves/meltCurve_P23469_2_PTPRE.pdf</v>
      </c>
    </row>
    <row r="2333" spans="1:28" x14ac:dyDescent="0.25">
      <c r="A2333" t="s">
        <v>2337</v>
      </c>
      <c r="B2333">
        <v>0.99252571173614901</v>
      </c>
      <c r="C2333">
        <v>1.0530436400241301</v>
      </c>
      <c r="D2333">
        <v>0.76079527938549796</v>
      </c>
      <c r="E2333">
        <v>0.60909099622049501</v>
      </c>
      <c r="F2333">
        <v>0.390651005396211</v>
      </c>
      <c r="G2333">
        <v>0.29311218350297902</v>
      </c>
      <c r="H2333">
        <v>0.25901223680735602</v>
      </c>
      <c r="I2333">
        <v>0.24410425347155101</v>
      </c>
      <c r="J2333">
        <v>0.359762767882917</v>
      </c>
      <c r="K2333">
        <v>0.37472419539503798</v>
      </c>
      <c r="L2333">
        <v>1055.49976700702</v>
      </c>
      <c r="M2333">
        <v>21.779242640686501</v>
      </c>
      <c r="N2333">
        <v>50.609573594111197</v>
      </c>
      <c r="O2333">
        <v>48.060539900270904</v>
      </c>
      <c r="P2333">
        <v>-7.9142338606601498E-2</v>
      </c>
      <c r="Q2333">
        <v>0.30143859548715402</v>
      </c>
      <c r="R2333">
        <v>0.96171844985461397</v>
      </c>
      <c r="S2333" t="s">
        <v>8979</v>
      </c>
      <c r="T2333" t="s">
        <v>13290</v>
      </c>
      <c r="U2333" t="s">
        <v>13290</v>
      </c>
      <c r="V2333" t="s">
        <v>13290</v>
      </c>
      <c r="W2333" t="s">
        <v>15584</v>
      </c>
      <c r="X2333">
        <v>7</v>
      </c>
      <c r="Y2333" t="s">
        <v>22136</v>
      </c>
      <c r="Z2333" t="s">
        <v>28663</v>
      </c>
      <c r="AA2333">
        <v>0.50675884246141945</v>
      </c>
      <c r="AB2333" t="str">
        <f>HYPERLINK("Melting_Curves/meltCurve_P23497_SP100.pdf", "Melting_Curves/meltCurve_P23497_SP100.pdf")</f>
        <v>Melting_Curves/meltCurve_P23497_SP100.pdf</v>
      </c>
    </row>
    <row r="2334" spans="1:28" x14ac:dyDescent="0.25">
      <c r="A2334" t="s">
        <v>2338</v>
      </c>
      <c r="B2334">
        <v>0.99252571173614901</v>
      </c>
      <c r="C2334">
        <v>1.12001003364452</v>
      </c>
      <c r="D2334">
        <v>1.0046694965368499</v>
      </c>
      <c r="E2334">
        <v>1.11762018692551</v>
      </c>
      <c r="F2334">
        <v>0.70835637583442701</v>
      </c>
      <c r="G2334">
        <v>0.646456603463611</v>
      </c>
      <c r="H2334">
        <v>0.61783700328566704</v>
      </c>
      <c r="I2334">
        <v>0.74460030307263303</v>
      </c>
      <c r="J2334">
        <v>1.09462300940779</v>
      </c>
      <c r="K2334">
        <v>1.1645054579137499</v>
      </c>
      <c r="L2334">
        <v>12795.921427196299</v>
      </c>
      <c r="M2334">
        <v>249.26778401655099</v>
      </c>
      <c r="O2334">
        <v>51.330734219108201</v>
      </c>
      <c r="P2334">
        <v>-0.20711521642747499</v>
      </c>
      <c r="Q2334">
        <v>0.82939832123186796</v>
      </c>
      <c r="R2334">
        <v>0.26544777575928302</v>
      </c>
      <c r="S2334" t="s">
        <v>8980</v>
      </c>
      <c r="T2334" t="s">
        <v>13290</v>
      </c>
      <c r="U2334" t="s">
        <v>13290</v>
      </c>
      <c r="V2334" t="s">
        <v>13290</v>
      </c>
      <c r="W2334" t="s">
        <v>15585</v>
      </c>
      <c r="X2334">
        <v>2</v>
      </c>
      <c r="Y2334" t="s">
        <v>22137</v>
      </c>
      <c r="Z2334" t="s">
        <v>28664</v>
      </c>
      <c r="AA2334">
        <v>0.89386730087804722</v>
      </c>
      <c r="AB2334" t="str">
        <f>HYPERLINK("Melting_Curves/meltCurve_P23511_2_NFYA.pdf", "Melting_Curves/meltCurve_P23511_2_NFYA.pdf")</f>
        <v>Melting_Curves/meltCurve_P23511_2_NFYA.pdf</v>
      </c>
    </row>
    <row r="2335" spans="1:28" x14ac:dyDescent="0.25">
      <c r="A2335" t="s">
        <v>2339</v>
      </c>
      <c r="B2335">
        <v>0.99252571173614901</v>
      </c>
      <c r="C2335">
        <v>0.92167584061638197</v>
      </c>
      <c r="D2335">
        <v>1.14661871874293</v>
      </c>
      <c r="E2335">
        <v>1.1118065259499199</v>
      </c>
      <c r="F2335">
        <v>1.15034770354233</v>
      </c>
      <c r="G2335">
        <v>0.93581725407259997</v>
      </c>
      <c r="H2335">
        <v>0.79682790717241403</v>
      </c>
      <c r="I2335">
        <v>0.20123062481494899</v>
      </c>
      <c r="J2335">
        <v>0.13460549990734</v>
      </c>
      <c r="K2335">
        <v>0.118906825954757</v>
      </c>
      <c r="L2335">
        <v>4220.19357205092</v>
      </c>
      <c r="M2335">
        <v>68.225429192640803</v>
      </c>
      <c r="N2335">
        <v>62.1143175644252</v>
      </c>
      <c r="O2335">
        <v>61.8035286287191</v>
      </c>
      <c r="P2335">
        <v>-0.24195892161434701</v>
      </c>
      <c r="Q2335">
        <v>0.12326466816607901</v>
      </c>
      <c r="R2335">
        <v>0.95958687893139305</v>
      </c>
      <c r="S2335" t="s">
        <v>8981</v>
      </c>
      <c r="T2335" t="s">
        <v>13290</v>
      </c>
      <c r="U2335" t="s">
        <v>13290</v>
      </c>
      <c r="V2335" t="s">
        <v>13290</v>
      </c>
      <c r="W2335" t="s">
        <v>15586</v>
      </c>
      <c r="X2335">
        <v>32</v>
      </c>
      <c r="Y2335" t="s">
        <v>22138</v>
      </c>
      <c r="Z2335" t="s">
        <v>28665</v>
      </c>
      <c r="AA2335">
        <v>0.76328227096222634</v>
      </c>
      <c r="AB2335" t="str">
        <f>HYPERLINK("Melting_Curves/meltCurve_P23526_AHCY.pdf", "Melting_Curves/meltCurve_P23526_AHCY.pdf")</f>
        <v>Melting_Curves/meltCurve_P23526_AHCY.pdf</v>
      </c>
    </row>
    <row r="2336" spans="1:28" x14ac:dyDescent="0.25">
      <c r="A2336" t="s">
        <v>2340</v>
      </c>
      <c r="B2336">
        <v>0.99252571173614901</v>
      </c>
      <c r="C2336">
        <v>0.95086643456852005</v>
      </c>
      <c r="D2336">
        <v>1.04446915756698</v>
      </c>
      <c r="E2336">
        <v>0.81294663115047106</v>
      </c>
      <c r="F2336">
        <v>0.46206304134288101</v>
      </c>
      <c r="G2336">
        <v>0.19989994806890901</v>
      </c>
      <c r="H2336">
        <v>0.12073662441913501</v>
      </c>
      <c r="I2336">
        <v>0.10649298935717801</v>
      </c>
      <c r="J2336">
        <v>0.12977164330774099</v>
      </c>
      <c r="K2336">
        <v>0.13685929915505099</v>
      </c>
      <c r="L2336">
        <v>1452.3877497318899</v>
      </c>
      <c r="M2336">
        <v>27.803857670125399</v>
      </c>
      <c r="N2336">
        <v>52.745956026057698</v>
      </c>
      <c r="O2336">
        <v>51.968936342753501</v>
      </c>
      <c r="P2336">
        <v>-0.11801441504553201</v>
      </c>
      <c r="Q2336">
        <v>0.117672169270935</v>
      </c>
      <c r="R2336">
        <v>0.994652237604286</v>
      </c>
      <c r="S2336" t="s">
        <v>8982</v>
      </c>
      <c r="T2336" t="s">
        <v>13290</v>
      </c>
      <c r="U2336" t="s">
        <v>13290</v>
      </c>
      <c r="V2336" t="s">
        <v>13290</v>
      </c>
      <c r="W2336" t="s">
        <v>15587</v>
      </c>
      <c r="X2336">
        <v>24</v>
      </c>
      <c r="Y2336" t="s">
        <v>22139</v>
      </c>
      <c r="Z2336" t="s">
        <v>28666</v>
      </c>
      <c r="AA2336">
        <v>0.48414221695179638</v>
      </c>
      <c r="AB2336" t="str">
        <f>HYPERLINK("Melting_Curves/meltCurve_P23528_CFL1.pdf", "Melting_Curves/meltCurve_P23528_CFL1.pdf")</f>
        <v>Melting_Curves/meltCurve_P23528_CFL1.pdf</v>
      </c>
    </row>
    <row r="2337" spans="1:28" x14ac:dyDescent="0.25">
      <c r="A2337" t="s">
        <v>2341</v>
      </c>
      <c r="B2337">
        <v>0.99252571173614901</v>
      </c>
      <c r="C2337">
        <v>0.90082708076417795</v>
      </c>
      <c r="D2337">
        <v>1.03332183576305</v>
      </c>
      <c r="E2337">
        <v>0.85021948364676503</v>
      </c>
      <c r="F2337">
        <v>0.277290455988769</v>
      </c>
      <c r="G2337">
        <v>0.15841778808922799</v>
      </c>
      <c r="H2337">
        <v>0.153862142293996</v>
      </c>
      <c r="I2337">
        <v>0.17825982062753901</v>
      </c>
      <c r="J2337">
        <v>0.20496623786075199</v>
      </c>
      <c r="K2337">
        <v>0.25558549081973397</v>
      </c>
      <c r="L2337">
        <v>2700.44507188433</v>
      </c>
      <c r="M2337">
        <v>52.9405155840372</v>
      </c>
      <c r="N2337">
        <v>51.474711961777999</v>
      </c>
      <c r="O2337">
        <v>50.936401583895503</v>
      </c>
      <c r="P2337">
        <v>-0.210395617250832</v>
      </c>
      <c r="Q2337">
        <v>0.19027675394389601</v>
      </c>
      <c r="R2337">
        <v>0.98631995286091201</v>
      </c>
      <c r="S2337" t="s">
        <v>8983</v>
      </c>
      <c r="T2337" t="s">
        <v>13290</v>
      </c>
      <c r="U2337" t="s">
        <v>13290</v>
      </c>
      <c r="V2337" t="s">
        <v>13290</v>
      </c>
      <c r="W2337" t="s">
        <v>15588</v>
      </c>
      <c r="X2337">
        <v>4</v>
      </c>
      <c r="Y2337" t="s">
        <v>22140</v>
      </c>
      <c r="Z2337" t="s">
        <v>28667</v>
      </c>
      <c r="AA2337">
        <v>0.48904349563576649</v>
      </c>
      <c r="AB2337" t="str">
        <f>HYPERLINK("Melting_Curves/meltCurve_P23610_F8A1.pdf", "Melting_Curves/meltCurve_P23610_F8A1.pdf")</f>
        <v>Melting_Curves/meltCurve_P23610_F8A1.pdf</v>
      </c>
    </row>
    <row r="2338" spans="1:28" x14ac:dyDescent="0.25">
      <c r="A2338" t="s">
        <v>2342</v>
      </c>
      <c r="B2338">
        <v>0.99252571173614901</v>
      </c>
      <c r="C2338">
        <v>0.94540759301482802</v>
      </c>
      <c r="D2338">
        <v>0.66644066445720895</v>
      </c>
      <c r="E2338">
        <v>0.23420158694704801</v>
      </c>
      <c r="F2338">
        <v>0.12931557164983501</v>
      </c>
      <c r="G2338">
        <v>7.6296753187757096E-2</v>
      </c>
      <c r="H2338">
        <v>6.4355352485941097E-2</v>
      </c>
      <c r="I2338">
        <v>6.4796599651370204E-2</v>
      </c>
      <c r="J2338">
        <v>8.0899149591922195E-2</v>
      </c>
      <c r="K2338">
        <v>7.3981577648426194E-2</v>
      </c>
      <c r="L2338">
        <v>1326.04916967504</v>
      </c>
      <c r="M2338">
        <v>28.249631542761701</v>
      </c>
      <c r="N2338">
        <v>47.207066038495903</v>
      </c>
      <c r="O2338">
        <v>46.707074569372303</v>
      </c>
      <c r="P2338">
        <v>-0.140056611327499</v>
      </c>
      <c r="Q2338">
        <v>7.3746437062002498E-2</v>
      </c>
      <c r="R2338">
        <v>0.99931590485938504</v>
      </c>
      <c r="S2338" t="s">
        <v>8984</v>
      </c>
      <c r="T2338" t="s">
        <v>13290</v>
      </c>
      <c r="U2338" t="s">
        <v>13290</v>
      </c>
      <c r="V2338" t="s">
        <v>13290</v>
      </c>
      <c r="W2338" t="s">
        <v>15589</v>
      </c>
      <c r="X2338">
        <v>26</v>
      </c>
      <c r="Y2338" t="s">
        <v>22141</v>
      </c>
      <c r="Z2338" t="s">
        <v>28668</v>
      </c>
      <c r="AA2338">
        <v>0.29436363679294703</v>
      </c>
      <c r="AB2338" t="str">
        <f>HYPERLINK("Melting_Curves/meltCurve_P23786_CPT2.pdf", "Melting_Curves/meltCurve_P23786_CPT2.pdf")</f>
        <v>Melting_Curves/meltCurve_P23786_CPT2.pdf</v>
      </c>
    </row>
    <row r="2339" spans="1:28" x14ac:dyDescent="0.25">
      <c r="A2339" t="s">
        <v>2343</v>
      </c>
      <c r="B2339">
        <v>0.99252571173614901</v>
      </c>
      <c r="C2339">
        <v>0.99360633947073795</v>
      </c>
      <c r="D2339">
        <v>0.890495711448408</v>
      </c>
      <c r="E2339">
        <v>0.71367833399871705</v>
      </c>
      <c r="F2339">
        <v>0.55834409700797105</v>
      </c>
      <c r="G2339">
        <v>0.23573816676665801</v>
      </c>
      <c r="H2339">
        <v>7.8909190327099102E-2</v>
      </c>
      <c r="I2339">
        <v>7.4416993254665401E-2</v>
      </c>
      <c r="J2339">
        <v>7.8639623530282102E-2</v>
      </c>
      <c r="K2339">
        <v>7.4981458682587196E-2</v>
      </c>
      <c r="L2339">
        <v>859.43623890534604</v>
      </c>
      <c r="M2339">
        <v>16.272174268971799</v>
      </c>
      <c r="N2339">
        <v>53.008469374316299</v>
      </c>
      <c r="O2339">
        <v>52.037967234096001</v>
      </c>
      <c r="P2339">
        <v>-7.5941424889405806E-2</v>
      </c>
      <c r="Q2339">
        <v>2.86371077103411E-2</v>
      </c>
      <c r="R2339">
        <v>0.99148896856538904</v>
      </c>
      <c r="S2339" t="s">
        <v>8985</v>
      </c>
      <c r="T2339" t="s">
        <v>13290</v>
      </c>
      <c r="U2339" t="s">
        <v>13290</v>
      </c>
      <c r="V2339" t="s">
        <v>13290</v>
      </c>
      <c r="W2339" t="s">
        <v>15590</v>
      </c>
      <c r="X2339">
        <v>20</v>
      </c>
      <c r="Y2339" t="s">
        <v>22142</v>
      </c>
      <c r="Z2339" t="s">
        <v>28669</v>
      </c>
      <c r="AA2339">
        <v>0.46230712027733539</v>
      </c>
      <c r="AB2339" t="str">
        <f>HYPERLINK("Melting_Curves/meltCurve_P23919_DTYMK.pdf", "Melting_Curves/meltCurve_P23919_DTYMK.pdf")</f>
        <v>Melting_Curves/meltCurve_P23919_DTYMK.pdf</v>
      </c>
    </row>
    <row r="2340" spans="1:28" x14ac:dyDescent="0.25">
      <c r="A2340" t="s">
        <v>2344</v>
      </c>
      <c r="B2340">
        <v>0.99252571173614901</v>
      </c>
      <c r="C2340">
        <v>1.01652593395104</v>
      </c>
      <c r="D2340">
        <v>1.0008243968292401</v>
      </c>
      <c r="E2340">
        <v>0.84994113087371304</v>
      </c>
      <c r="F2340">
        <v>0.562192485169689</v>
      </c>
      <c r="G2340">
        <v>0.19643119132779899</v>
      </c>
      <c r="H2340">
        <v>9.9088312429661998E-2</v>
      </c>
      <c r="I2340">
        <v>9.1096486936561E-2</v>
      </c>
      <c r="J2340">
        <v>0.1004704752943</v>
      </c>
      <c r="K2340">
        <v>9.5877178615834002E-2</v>
      </c>
      <c r="L2340">
        <v>1435.9654339583001</v>
      </c>
      <c r="M2340">
        <v>27.022275528940199</v>
      </c>
      <c r="N2340">
        <v>53.5010390298117</v>
      </c>
      <c r="O2340">
        <v>52.851604371566197</v>
      </c>
      <c r="P2340">
        <v>-0.117170849371154</v>
      </c>
      <c r="Q2340">
        <v>8.3333265702366405E-2</v>
      </c>
      <c r="R2340">
        <v>0.997824416996</v>
      </c>
      <c r="S2340" t="s">
        <v>8986</v>
      </c>
      <c r="T2340" t="s">
        <v>13290</v>
      </c>
      <c r="U2340" t="s">
        <v>13290</v>
      </c>
      <c r="V2340" t="s">
        <v>13290</v>
      </c>
      <c r="W2340" t="s">
        <v>15591</v>
      </c>
      <c r="X2340">
        <v>29</v>
      </c>
      <c r="Y2340" t="s">
        <v>22143</v>
      </c>
      <c r="Z2340" t="s">
        <v>28670</v>
      </c>
      <c r="AA2340">
        <v>0.49212689830117412</v>
      </c>
      <c r="AB2340" t="str">
        <f>HYPERLINK("Melting_Curves/meltCurve_P23921_RRM1.pdf", "Melting_Curves/meltCurve_P23921_RRM1.pdf")</f>
        <v>Melting_Curves/meltCurve_P23921_RRM1.pdf</v>
      </c>
    </row>
    <row r="2341" spans="1:28" x14ac:dyDescent="0.25">
      <c r="A2341" t="s">
        <v>2345</v>
      </c>
      <c r="B2341">
        <v>0.99252571173614901</v>
      </c>
      <c r="C2341">
        <v>1.0172227854292299</v>
      </c>
      <c r="D2341">
        <v>0.86149476961615101</v>
      </c>
      <c r="E2341">
        <v>0.70544718061834899</v>
      </c>
      <c r="F2341">
        <v>0.40826662381616302</v>
      </c>
      <c r="G2341">
        <v>0.23249284140138199</v>
      </c>
      <c r="H2341">
        <v>0.146163118972573</v>
      </c>
      <c r="I2341">
        <v>0.105222540608313</v>
      </c>
      <c r="J2341">
        <v>0.102944634203647</v>
      </c>
      <c r="K2341">
        <v>9.8902565069640305E-2</v>
      </c>
      <c r="L2341">
        <v>905.89768149513304</v>
      </c>
      <c r="M2341">
        <v>17.606025733378999</v>
      </c>
      <c r="N2341">
        <v>52.010983302430098</v>
      </c>
      <c r="O2341">
        <v>50.803798332444003</v>
      </c>
      <c r="P2341">
        <v>-7.9196155620286507E-2</v>
      </c>
      <c r="Q2341">
        <v>8.5938193742894797E-2</v>
      </c>
      <c r="R2341">
        <v>0.99720099685233299</v>
      </c>
      <c r="S2341" t="s">
        <v>8987</v>
      </c>
      <c r="T2341" t="s">
        <v>13290</v>
      </c>
      <c r="U2341" t="s">
        <v>13290</v>
      </c>
      <c r="V2341" t="s">
        <v>13290</v>
      </c>
      <c r="W2341" t="s">
        <v>15592</v>
      </c>
      <c r="X2341">
        <v>3</v>
      </c>
      <c r="Y2341" t="s">
        <v>22144</v>
      </c>
      <c r="Z2341" t="s">
        <v>28671</v>
      </c>
      <c r="AA2341">
        <v>0.45084594560805069</v>
      </c>
      <c r="AB2341" t="str">
        <f>HYPERLINK("Melting_Curves/meltCurve_P24385_CCND1.pdf", "Melting_Curves/meltCurve_P24385_CCND1.pdf")</f>
        <v>Melting_Curves/meltCurve_P24385_CCND1.pdf</v>
      </c>
    </row>
    <row r="2342" spans="1:28" x14ac:dyDescent="0.25">
      <c r="A2342" t="s">
        <v>2346</v>
      </c>
      <c r="B2342">
        <v>0.99252571173614901</v>
      </c>
      <c r="C2342">
        <v>0.92625899031173198</v>
      </c>
      <c r="D2342">
        <v>0.78098951220997004</v>
      </c>
      <c r="E2342">
        <v>0.58324994329694402</v>
      </c>
      <c r="F2342">
        <v>0.40317243535894798</v>
      </c>
      <c r="G2342">
        <v>0.271913022860715</v>
      </c>
      <c r="H2342">
        <v>0.18589386570907199</v>
      </c>
      <c r="I2342">
        <v>0.12468200317146</v>
      </c>
      <c r="J2342">
        <v>0.14271410774486001</v>
      </c>
      <c r="K2342">
        <v>8.0259395393570396E-2</v>
      </c>
      <c r="L2342">
        <v>631.80092235644599</v>
      </c>
      <c r="M2342">
        <v>12.494304344642099</v>
      </c>
      <c r="N2342">
        <v>51.247043503171</v>
      </c>
      <c r="O2342">
        <v>49.324167579948103</v>
      </c>
      <c r="P2342">
        <v>-5.8502633079168101E-2</v>
      </c>
      <c r="Q2342">
        <v>7.6379554047135395E-2</v>
      </c>
      <c r="R2342">
        <v>0.99747189585839702</v>
      </c>
      <c r="S2342" t="s">
        <v>8988</v>
      </c>
      <c r="T2342" t="s">
        <v>13290</v>
      </c>
      <c r="U2342" t="s">
        <v>13290</v>
      </c>
      <c r="V2342" t="s">
        <v>13290</v>
      </c>
      <c r="W2342" t="s">
        <v>15593</v>
      </c>
      <c r="X2342">
        <v>4</v>
      </c>
      <c r="Y2342" t="s">
        <v>22145</v>
      </c>
      <c r="Z2342" t="s">
        <v>28672</v>
      </c>
      <c r="AA2342">
        <v>0.43080274026071902</v>
      </c>
      <c r="AB2342" t="str">
        <f>HYPERLINK("Melting_Curves/meltCurve_P24468_NR2F2.pdf", "Melting_Curves/meltCurve_P24468_NR2F2.pdf")</f>
        <v>Melting_Curves/meltCurve_P24468_NR2F2.pdf</v>
      </c>
    </row>
    <row r="2343" spans="1:28" x14ac:dyDescent="0.25">
      <c r="A2343" t="s">
        <v>2347</v>
      </c>
      <c r="B2343">
        <v>0.99252571173614901</v>
      </c>
      <c r="C2343">
        <v>0.63448690879014003</v>
      </c>
      <c r="D2343">
        <v>1.2865463350784001</v>
      </c>
      <c r="E2343">
        <v>0.804743336266312</v>
      </c>
      <c r="F2343">
        <v>0.122685121349382</v>
      </c>
      <c r="G2343">
        <v>8.5919221815626903E-2</v>
      </c>
      <c r="H2343">
        <v>6.6451476876505294E-2</v>
      </c>
      <c r="I2343">
        <v>7.83776293727102E-2</v>
      </c>
      <c r="J2343">
        <v>0.22415252620161</v>
      </c>
      <c r="K2343">
        <v>0.29852906828477199</v>
      </c>
      <c r="L2343">
        <v>12460.313098221801</v>
      </c>
      <c r="M2343">
        <v>250</v>
      </c>
      <c r="N2343">
        <v>49.910206475965602</v>
      </c>
      <c r="O2343">
        <v>49.838042884721197</v>
      </c>
      <c r="P2343">
        <v>-1.0709445680209699</v>
      </c>
      <c r="Q2343">
        <v>0.14601915524076201</v>
      </c>
      <c r="R2343">
        <v>0.85148751330903905</v>
      </c>
      <c r="S2343" t="s">
        <v>8989</v>
      </c>
      <c r="T2343" t="s">
        <v>13290</v>
      </c>
      <c r="U2343" t="s">
        <v>13290</v>
      </c>
      <c r="V2343" t="s">
        <v>13290</v>
      </c>
      <c r="W2343" t="s">
        <v>15594</v>
      </c>
      <c r="X2343">
        <v>13</v>
      </c>
      <c r="Y2343" t="s">
        <v>22146</v>
      </c>
      <c r="Z2343" t="s">
        <v>28673</v>
      </c>
      <c r="AA2343">
        <v>0.42623522120886398</v>
      </c>
      <c r="AB2343" t="str">
        <f>HYPERLINK("Melting_Curves/meltCurve_P24534_EEF1B2.pdf", "Melting_Curves/meltCurve_P24534_EEF1B2.pdf")</f>
        <v>Melting_Curves/meltCurve_P24534_EEF1B2.pdf</v>
      </c>
    </row>
    <row r="2344" spans="1:28" x14ac:dyDescent="0.25">
      <c r="A2344" t="s">
        <v>2348</v>
      </c>
      <c r="B2344">
        <v>0.99252571173614901</v>
      </c>
      <c r="C2344">
        <v>1.08073344534964</v>
      </c>
      <c r="D2344">
        <v>1.04247420897933</v>
      </c>
      <c r="E2344">
        <v>1.2116733136042701</v>
      </c>
      <c r="F2344">
        <v>0.81510340604795395</v>
      </c>
      <c r="G2344">
        <v>0.63160534889865805</v>
      </c>
      <c r="H2344">
        <v>0.46733532030625702</v>
      </c>
      <c r="I2344">
        <v>0.49690793438798297</v>
      </c>
      <c r="J2344">
        <v>0.57217920468439099</v>
      </c>
      <c r="K2344">
        <v>0.51473992098841004</v>
      </c>
      <c r="L2344">
        <v>2321.6901718428899</v>
      </c>
      <c r="M2344">
        <v>42.782606567407399</v>
      </c>
      <c r="O2344">
        <v>54.148964273295597</v>
      </c>
      <c r="P2344">
        <v>-9.47852067129656E-2</v>
      </c>
      <c r="Q2344">
        <v>0.52013070436321096</v>
      </c>
      <c r="R2344">
        <v>0.90408937262509803</v>
      </c>
      <c r="S2344" t="s">
        <v>8990</v>
      </c>
      <c r="T2344" t="s">
        <v>13290</v>
      </c>
      <c r="U2344" t="s">
        <v>13290</v>
      </c>
      <c r="V2344" t="s">
        <v>13290</v>
      </c>
      <c r="W2344" t="s">
        <v>15595</v>
      </c>
      <c r="X2344">
        <v>9</v>
      </c>
      <c r="Y2344" t="s">
        <v>22147</v>
      </c>
      <c r="Z2344" t="s">
        <v>28674</v>
      </c>
      <c r="AA2344">
        <v>0.74991275763469001</v>
      </c>
      <c r="AB2344" t="str">
        <f>HYPERLINK("Melting_Curves/meltCurve_P24593_IGFBP5.pdf", "Melting_Curves/meltCurve_P24593_IGFBP5.pdf")</f>
        <v>Melting_Curves/meltCurve_P24593_IGFBP5.pdf</v>
      </c>
    </row>
    <row r="2345" spans="1:28" x14ac:dyDescent="0.25">
      <c r="A2345" t="s">
        <v>2349</v>
      </c>
      <c r="B2345">
        <v>0.99252571173614901</v>
      </c>
      <c r="C2345">
        <v>1.0043075551424701</v>
      </c>
      <c r="D2345">
        <v>0.81572134478773095</v>
      </c>
      <c r="E2345">
        <v>0.495894423692822</v>
      </c>
      <c r="F2345">
        <v>0.23961753694517701</v>
      </c>
      <c r="G2345">
        <v>0.10360562743491999</v>
      </c>
      <c r="H2345">
        <v>5.8755276194603703E-2</v>
      </c>
      <c r="I2345">
        <v>5.5301528323092403E-2</v>
      </c>
      <c r="J2345">
        <v>4.8176990206915599E-2</v>
      </c>
      <c r="K2345">
        <v>4.6064391418468797E-2</v>
      </c>
      <c r="L2345">
        <v>1017.33951073727</v>
      </c>
      <c r="M2345">
        <v>20.589849262919401</v>
      </c>
      <c r="N2345">
        <v>49.636315597470301</v>
      </c>
      <c r="O2345">
        <v>48.950766841176097</v>
      </c>
      <c r="P2345">
        <v>-0.100442706913274</v>
      </c>
      <c r="Q2345">
        <v>4.48487838721527E-2</v>
      </c>
      <c r="R2345">
        <v>0.998309912488895</v>
      </c>
      <c r="S2345" t="s">
        <v>8991</v>
      </c>
      <c r="T2345" t="s">
        <v>13290</v>
      </c>
      <c r="U2345" t="s">
        <v>13290</v>
      </c>
      <c r="V2345" t="s">
        <v>13290</v>
      </c>
      <c r="W2345" t="s">
        <v>15596</v>
      </c>
      <c r="X2345">
        <v>13</v>
      </c>
      <c r="Y2345" t="s">
        <v>22148</v>
      </c>
      <c r="Z2345" t="s">
        <v>28675</v>
      </c>
      <c r="AA2345">
        <v>0.35702245508482972</v>
      </c>
      <c r="AB2345" t="str">
        <f>HYPERLINK("Melting_Curves/meltCurve_P24666_ACP1.pdf", "Melting_Curves/meltCurve_P24666_ACP1.pdf")</f>
        <v>Melting_Curves/meltCurve_P24666_ACP1.pdf</v>
      </c>
    </row>
    <row r="2346" spans="1:28" x14ac:dyDescent="0.25">
      <c r="A2346" t="s">
        <v>2350</v>
      </c>
      <c r="B2346">
        <v>0.99252571173614901</v>
      </c>
      <c r="C2346">
        <v>1.0864151373312101</v>
      </c>
      <c r="D2346">
        <v>1.0352281778618899</v>
      </c>
      <c r="E2346">
        <v>0.799601347566544</v>
      </c>
      <c r="F2346">
        <v>0.39420231738414502</v>
      </c>
      <c r="G2346">
        <v>0.19230758363646</v>
      </c>
      <c r="H2346">
        <v>0.119805991764836</v>
      </c>
      <c r="I2346">
        <v>0.122779922822452</v>
      </c>
      <c r="J2346">
        <v>0.12326629714391101</v>
      </c>
      <c r="K2346">
        <v>0.123030990138657</v>
      </c>
      <c r="L2346">
        <v>1565.998963843</v>
      </c>
      <c r="M2346">
        <v>30.250343911261499</v>
      </c>
      <c r="N2346">
        <v>52.251476267721998</v>
      </c>
      <c r="O2346">
        <v>51.543319642840899</v>
      </c>
      <c r="P2346">
        <v>-0.12881215584202299</v>
      </c>
      <c r="Q2346">
        <v>0.122077515196678</v>
      </c>
      <c r="R2346">
        <v>0.99305482746720197</v>
      </c>
      <c r="S2346" t="s">
        <v>8992</v>
      </c>
      <c r="T2346" t="s">
        <v>13290</v>
      </c>
      <c r="U2346" t="s">
        <v>13290</v>
      </c>
      <c r="V2346" t="s">
        <v>13290</v>
      </c>
      <c r="W2346" t="s">
        <v>15597</v>
      </c>
      <c r="X2346">
        <v>10</v>
      </c>
      <c r="Y2346" t="s">
        <v>22148</v>
      </c>
      <c r="Z2346" t="s">
        <v>28676</v>
      </c>
      <c r="AA2346">
        <v>0.47195373242948258</v>
      </c>
      <c r="AB2346" t="str">
        <f>HYPERLINK("Melting_Curves/meltCurve_P24666_2_ACP1.pdf", "Melting_Curves/meltCurve_P24666_2_ACP1.pdf")</f>
        <v>Melting_Curves/meltCurve_P24666_2_ACP1.pdf</v>
      </c>
    </row>
    <row r="2347" spans="1:28" x14ac:dyDescent="0.25">
      <c r="A2347" t="s">
        <v>2351</v>
      </c>
      <c r="B2347">
        <v>0.99252571173614901</v>
      </c>
      <c r="C2347">
        <v>0.94986793818308501</v>
      </c>
      <c r="D2347">
        <v>1.04941335242884</v>
      </c>
      <c r="E2347">
        <v>1.05009588638953</v>
      </c>
      <c r="F2347">
        <v>0.92502303611964198</v>
      </c>
      <c r="G2347">
        <v>0.495663358645616</v>
      </c>
      <c r="H2347">
        <v>9.5610853318058395E-2</v>
      </c>
      <c r="I2347">
        <v>8.0384154963055607E-2</v>
      </c>
      <c r="J2347">
        <v>7.4776875774722501E-2</v>
      </c>
      <c r="K2347">
        <v>7.3164376928168198E-2</v>
      </c>
      <c r="L2347">
        <v>2428.41115605614</v>
      </c>
      <c r="M2347">
        <v>42.948233745218602</v>
      </c>
      <c r="N2347">
        <v>56.738840264848001</v>
      </c>
      <c r="O2347">
        <v>56.420573607678797</v>
      </c>
      <c r="P2347">
        <v>-0.177178327047846</v>
      </c>
      <c r="Q2347">
        <v>6.8973378520031797E-2</v>
      </c>
      <c r="R2347">
        <v>0.99549714483736795</v>
      </c>
      <c r="S2347" t="s">
        <v>8993</v>
      </c>
      <c r="T2347" t="s">
        <v>13290</v>
      </c>
      <c r="U2347" t="s">
        <v>13290</v>
      </c>
      <c r="V2347" t="s">
        <v>13290</v>
      </c>
      <c r="W2347" t="s">
        <v>15598</v>
      </c>
      <c r="X2347">
        <v>34</v>
      </c>
      <c r="Y2347" t="s">
        <v>20466</v>
      </c>
      <c r="Z2347" t="s">
        <v>28677</v>
      </c>
      <c r="AA2347">
        <v>0.58550096720958367</v>
      </c>
      <c r="AB2347" t="str">
        <f>HYPERLINK("Melting_Curves/meltCurve_P24752_ACAT1.pdf", "Melting_Curves/meltCurve_P24752_ACAT1.pdf")</f>
        <v>Melting_Curves/meltCurve_P24752_ACAT1.pdf</v>
      </c>
    </row>
    <row r="2348" spans="1:28" x14ac:dyDescent="0.25">
      <c r="A2348" t="s">
        <v>2352</v>
      </c>
      <c r="B2348">
        <v>0.99252571173614901</v>
      </c>
      <c r="C2348">
        <v>0.87563578810282705</v>
      </c>
      <c r="D2348">
        <v>1.2475886203819899</v>
      </c>
      <c r="E2348">
        <v>1.5300713981960099</v>
      </c>
      <c r="F2348">
        <v>0.95961469727500304</v>
      </c>
      <c r="G2348">
        <v>0.63635207311119402</v>
      </c>
      <c r="H2348">
        <v>0.77322207925149899</v>
      </c>
      <c r="I2348">
        <v>0.38605031927484401</v>
      </c>
      <c r="J2348">
        <v>0.26826519587472802</v>
      </c>
      <c r="K2348">
        <v>0.27187925513856198</v>
      </c>
      <c r="L2348">
        <v>1154.8772579405199</v>
      </c>
      <c r="M2348">
        <v>18.820307203245999</v>
      </c>
      <c r="N2348">
        <v>62.740307845066901</v>
      </c>
      <c r="O2348">
        <v>60.683157891334901</v>
      </c>
      <c r="P2348">
        <v>-6.4420289631234098E-2</v>
      </c>
      <c r="Q2348">
        <v>0.16918157399026701</v>
      </c>
      <c r="R2348">
        <v>0.71704559135796997</v>
      </c>
      <c r="S2348" t="s">
        <v>8994</v>
      </c>
      <c r="T2348" t="s">
        <v>13290</v>
      </c>
      <c r="U2348" t="s">
        <v>13290</v>
      </c>
      <c r="V2348" t="s">
        <v>13290</v>
      </c>
      <c r="W2348" t="s">
        <v>15599</v>
      </c>
      <c r="X2348">
        <v>22</v>
      </c>
      <c r="Y2348" t="s">
        <v>22149</v>
      </c>
      <c r="Z2348" t="s">
        <v>28678</v>
      </c>
      <c r="AA2348">
        <v>0.76458433212143384</v>
      </c>
      <c r="AB2348" t="str">
        <f>HYPERLINK("Melting_Curves/meltCurve_P24928_POLR2A.pdf", "Melting_Curves/meltCurve_P24928_POLR2A.pdf")</f>
        <v>Melting_Curves/meltCurve_P24928_POLR2A.pdf</v>
      </c>
    </row>
    <row r="2349" spans="1:28" x14ac:dyDescent="0.25">
      <c r="A2349" t="s">
        <v>2353</v>
      </c>
      <c r="B2349">
        <v>0.99252571173614901</v>
      </c>
      <c r="C2349">
        <v>0.950140165630741</v>
      </c>
      <c r="D2349">
        <v>0.62412475869384898</v>
      </c>
      <c r="E2349">
        <v>0.55513929262429995</v>
      </c>
      <c r="F2349">
        <v>2.7160749512853299</v>
      </c>
      <c r="G2349">
        <v>0.36352419875275799</v>
      </c>
      <c r="H2349">
        <v>0.39172285103112597</v>
      </c>
      <c r="I2349">
        <v>0.35124160641129998</v>
      </c>
      <c r="J2349">
        <v>0.17559677598148299</v>
      </c>
      <c r="K2349">
        <v>7.6867843276893E-2</v>
      </c>
      <c r="L2349">
        <v>14102.6523329503</v>
      </c>
      <c r="M2349">
        <v>250</v>
      </c>
      <c r="N2349">
        <v>56.566412310309303</v>
      </c>
      <c r="O2349">
        <v>56.407000250671302</v>
      </c>
      <c r="P2349">
        <v>-0.83228086462100803</v>
      </c>
      <c r="Q2349">
        <v>0.24885654081795899</v>
      </c>
      <c r="R2349">
        <v>0.358835747013386</v>
      </c>
      <c r="S2349" t="s">
        <v>8995</v>
      </c>
      <c r="T2349" t="s">
        <v>13290</v>
      </c>
      <c r="U2349" t="s">
        <v>13290</v>
      </c>
      <c r="V2349" t="s">
        <v>13290</v>
      </c>
      <c r="W2349" t="s">
        <v>15600</v>
      </c>
      <c r="X2349">
        <v>1</v>
      </c>
      <c r="Y2349" t="s">
        <v>22150</v>
      </c>
      <c r="Z2349" t="s">
        <v>28679</v>
      </c>
      <c r="AA2349">
        <v>0.65982163251867287</v>
      </c>
      <c r="AB2349" t="str">
        <f>HYPERLINK("Melting_Curves/meltCurve_P25054_2_APC.pdf", "Melting_Curves/meltCurve_P25054_2_APC.pdf")</f>
        <v>Melting_Curves/meltCurve_P25054_2_APC.pdf</v>
      </c>
    </row>
    <row r="2350" spans="1:28" x14ac:dyDescent="0.25">
      <c r="A2350" t="s">
        <v>2354</v>
      </c>
      <c r="B2350">
        <v>0.99252571173614901</v>
      </c>
      <c r="C2350">
        <v>1.0123332583386699</v>
      </c>
      <c r="D2350">
        <v>0.91997620356483201</v>
      </c>
      <c r="E2350">
        <v>0.73778623145158595</v>
      </c>
      <c r="F2350">
        <v>0.329199517547137</v>
      </c>
      <c r="G2350">
        <v>0.12919373295662201</v>
      </c>
      <c r="H2350">
        <v>0.102061880534922</v>
      </c>
      <c r="I2350">
        <v>9.7859902028412299E-2</v>
      </c>
      <c r="J2350">
        <v>9.9118042012835902E-2</v>
      </c>
      <c r="K2350">
        <v>8.4367163143969498E-2</v>
      </c>
      <c r="L2350">
        <v>1371.1553023844699</v>
      </c>
      <c r="M2350">
        <v>26.797845656359499</v>
      </c>
      <c r="N2350">
        <v>51.536085970929499</v>
      </c>
      <c r="O2350">
        <v>50.884241070098</v>
      </c>
      <c r="P2350">
        <v>-0.12015577143682001</v>
      </c>
      <c r="Q2350">
        <v>8.7393384094173701E-2</v>
      </c>
      <c r="R2350">
        <v>0.99846357427408206</v>
      </c>
      <c r="S2350" t="s">
        <v>8996</v>
      </c>
      <c r="T2350" t="s">
        <v>13290</v>
      </c>
      <c r="U2350" t="s">
        <v>13290</v>
      </c>
      <c r="V2350" t="s">
        <v>13290</v>
      </c>
      <c r="W2350" t="s">
        <v>15601</v>
      </c>
      <c r="X2350">
        <v>22</v>
      </c>
      <c r="Y2350" t="s">
        <v>22151</v>
      </c>
      <c r="Z2350" t="s">
        <v>28680</v>
      </c>
      <c r="AA2350">
        <v>0.43428767939554658</v>
      </c>
      <c r="AB2350" t="str">
        <f>HYPERLINK("Melting_Curves/meltCurve_P25098_ADRBK1.pdf", "Melting_Curves/meltCurve_P25098_ADRBK1.pdf")</f>
        <v>Melting_Curves/meltCurve_P25098_ADRBK1.pdf</v>
      </c>
    </row>
    <row r="2351" spans="1:28" x14ac:dyDescent="0.25">
      <c r="A2351" t="s">
        <v>2355</v>
      </c>
      <c r="B2351">
        <v>0.99252571173614901</v>
      </c>
      <c r="C2351">
        <v>0.83609601765418096</v>
      </c>
      <c r="D2351">
        <v>0.82911500089508505</v>
      </c>
      <c r="E2351">
        <v>0.77664270157684301</v>
      </c>
      <c r="F2351">
        <v>0.56001909580878195</v>
      </c>
      <c r="G2351">
        <v>0.242516267136002</v>
      </c>
      <c r="H2351">
        <v>0.139206579467405</v>
      </c>
      <c r="I2351">
        <v>0.13289265234210201</v>
      </c>
      <c r="J2351">
        <v>0.104588543308892</v>
      </c>
      <c r="K2351">
        <v>9.2843477667474805E-2</v>
      </c>
      <c r="L2351">
        <v>678.16398877161805</v>
      </c>
      <c r="M2351">
        <v>12.804548886824699</v>
      </c>
      <c r="N2351">
        <v>53.187646527615698</v>
      </c>
      <c r="O2351">
        <v>51.720817758218601</v>
      </c>
      <c r="P2351">
        <v>-6.0273026044219601E-2</v>
      </c>
      <c r="Q2351">
        <v>2.6350349962116999E-2</v>
      </c>
      <c r="R2351">
        <v>0.97281147762970099</v>
      </c>
      <c r="S2351" t="s">
        <v>8997</v>
      </c>
      <c r="T2351" t="s">
        <v>13290</v>
      </c>
      <c r="U2351" t="s">
        <v>13290</v>
      </c>
      <c r="V2351" t="s">
        <v>13290</v>
      </c>
      <c r="W2351" t="s">
        <v>15602</v>
      </c>
      <c r="X2351">
        <v>33</v>
      </c>
      <c r="Y2351" t="s">
        <v>22152</v>
      </c>
      <c r="Z2351" t="s">
        <v>28681</v>
      </c>
      <c r="AA2351">
        <v>0.47283593118398992</v>
      </c>
      <c r="AB2351" t="str">
        <f>HYPERLINK("Melting_Curves/meltCurve_P25205_MCM3.pdf", "Melting_Curves/meltCurve_P25205_MCM3.pdf")</f>
        <v>Melting_Curves/meltCurve_P25205_MCM3.pdf</v>
      </c>
    </row>
    <row r="2352" spans="1:28" x14ac:dyDescent="0.25">
      <c r="A2352" t="s">
        <v>2356</v>
      </c>
      <c r="B2352">
        <v>0.99252571173614901</v>
      </c>
      <c r="C2352">
        <v>1.05118646576811</v>
      </c>
      <c r="D2352">
        <v>0.90514876411873302</v>
      </c>
      <c r="E2352">
        <v>0.77931250589345202</v>
      </c>
      <c r="F2352">
        <v>0.79620747593924301</v>
      </c>
      <c r="G2352">
        <v>0.65364406175279399</v>
      </c>
      <c r="H2352">
        <v>0.59074102060723199</v>
      </c>
      <c r="I2352">
        <v>0.68447968185002706</v>
      </c>
      <c r="J2352">
        <v>0.82901606304328501</v>
      </c>
      <c r="K2352">
        <v>0.751421314233363</v>
      </c>
      <c r="L2352">
        <v>1338.8604998025901</v>
      </c>
      <c r="M2352">
        <v>28.075003365149801</v>
      </c>
      <c r="O2352">
        <v>47.448729740229702</v>
      </c>
      <c r="P2352">
        <v>-4.2483989355547903E-2</v>
      </c>
      <c r="Q2352">
        <v>0.71279878478070602</v>
      </c>
      <c r="R2352">
        <v>0.77302857177412598</v>
      </c>
      <c r="S2352" t="s">
        <v>8998</v>
      </c>
      <c r="T2352" t="s">
        <v>13290</v>
      </c>
      <c r="U2352" t="s">
        <v>13290</v>
      </c>
      <c r="V2352" t="s">
        <v>13290</v>
      </c>
      <c r="W2352" t="s">
        <v>15603</v>
      </c>
      <c r="X2352">
        <v>12</v>
      </c>
      <c r="Y2352" t="s">
        <v>22153</v>
      </c>
      <c r="Z2352" t="s">
        <v>28682</v>
      </c>
      <c r="AA2352">
        <v>0.7883897605606871</v>
      </c>
      <c r="AB2352" t="str">
        <f>HYPERLINK("Melting_Curves/meltCurve_P25311_AZGP1.pdf", "Melting_Curves/meltCurve_P25311_AZGP1.pdf")</f>
        <v>Melting_Curves/meltCurve_P25311_AZGP1.pdf</v>
      </c>
    </row>
    <row r="2353" spans="1:28" x14ac:dyDescent="0.25">
      <c r="A2353" t="s">
        <v>2357</v>
      </c>
      <c r="B2353">
        <v>0.99252571173614901</v>
      </c>
      <c r="C2353">
        <v>0.91567027174041804</v>
      </c>
      <c r="D2353">
        <v>0.79115264753724002</v>
      </c>
      <c r="E2353">
        <v>0.74879892875991105</v>
      </c>
      <c r="F2353">
        <v>0.59266828532455995</v>
      </c>
      <c r="G2353">
        <v>0.47757480905095601</v>
      </c>
      <c r="H2353">
        <v>0.30471049791267202</v>
      </c>
      <c r="I2353">
        <v>0.225234706732586</v>
      </c>
      <c r="J2353">
        <v>0.30926379303003498</v>
      </c>
      <c r="K2353">
        <v>0.34914230927068202</v>
      </c>
      <c r="L2353">
        <v>569.92920123119598</v>
      </c>
      <c r="M2353">
        <v>10.973388092044701</v>
      </c>
      <c r="N2353">
        <v>55.0430400813472</v>
      </c>
      <c r="O2353">
        <v>50.301934724686497</v>
      </c>
      <c r="P2353">
        <v>-4.1964786327723401E-2</v>
      </c>
      <c r="Q2353">
        <v>0.230796813177268</v>
      </c>
      <c r="R2353">
        <v>0.96449489738553096</v>
      </c>
      <c r="S2353" t="s">
        <v>8999</v>
      </c>
      <c r="T2353" t="s">
        <v>13290</v>
      </c>
      <c r="U2353" t="s">
        <v>13290</v>
      </c>
      <c r="V2353" t="s">
        <v>13290</v>
      </c>
      <c r="W2353" t="s">
        <v>15604</v>
      </c>
      <c r="X2353">
        <v>10</v>
      </c>
      <c r="Y2353" t="s">
        <v>22154</v>
      </c>
      <c r="Z2353" t="s">
        <v>28683</v>
      </c>
      <c r="AA2353">
        <v>0.56329305145169761</v>
      </c>
      <c r="AB2353" t="str">
        <f>HYPERLINK("Melting_Curves/meltCurve_P25398_RPS12.pdf", "Melting_Curves/meltCurve_P25398_RPS12.pdf")</f>
        <v>Melting_Curves/meltCurve_P25398_RPS12.pdf</v>
      </c>
    </row>
    <row r="2354" spans="1:28" x14ac:dyDescent="0.25">
      <c r="A2354" t="s">
        <v>2358</v>
      </c>
      <c r="B2354">
        <v>0.99252571173614901</v>
      </c>
      <c r="C2354">
        <v>0.85481031106890004</v>
      </c>
      <c r="D2354">
        <v>0.473138765603619</v>
      </c>
      <c r="E2354">
        <v>0.32746950323783902</v>
      </c>
      <c r="F2354">
        <v>0.173003984630203</v>
      </c>
      <c r="G2354">
        <v>0.123921236312792</v>
      </c>
      <c r="H2354">
        <v>0.10764606475645599</v>
      </c>
      <c r="I2354">
        <v>0.13558248891434399</v>
      </c>
      <c r="J2354">
        <v>0.15021940017431101</v>
      </c>
      <c r="K2354">
        <v>0.195047931256562</v>
      </c>
      <c r="L2354">
        <v>1036.95500043128</v>
      </c>
      <c r="M2354">
        <v>22.779815437446398</v>
      </c>
      <c r="N2354">
        <v>46.2235324238274</v>
      </c>
      <c r="O2354">
        <v>45.174335093660297</v>
      </c>
      <c r="P2354">
        <v>-0.107617209659462</v>
      </c>
      <c r="Q2354">
        <v>0.14635983437334599</v>
      </c>
      <c r="R2354">
        <v>0.98540665461298504</v>
      </c>
      <c r="S2354" t="s">
        <v>9000</v>
      </c>
      <c r="T2354" t="s">
        <v>13290</v>
      </c>
      <c r="U2354" t="s">
        <v>13290</v>
      </c>
      <c r="V2354" t="s">
        <v>13290</v>
      </c>
      <c r="W2354" t="s">
        <v>15605</v>
      </c>
      <c r="X2354">
        <v>11</v>
      </c>
      <c r="Y2354" t="s">
        <v>22155</v>
      </c>
      <c r="Z2354" t="s">
        <v>28684</v>
      </c>
      <c r="AA2354">
        <v>0.31356565799205133</v>
      </c>
      <c r="AB2354" t="str">
        <f>HYPERLINK("Melting_Curves/meltCurve_P25490_YY1.pdf", "Melting_Curves/meltCurve_P25490_YY1.pdf")</f>
        <v>Melting_Curves/meltCurve_P25490_YY1.pdf</v>
      </c>
    </row>
    <row r="2355" spans="1:28" x14ac:dyDescent="0.25">
      <c r="A2355" t="s">
        <v>2359</v>
      </c>
      <c r="B2355">
        <v>0.99252571173614901</v>
      </c>
      <c r="C2355">
        <v>0.95441730401705105</v>
      </c>
      <c r="D2355">
        <v>0.80461589227072505</v>
      </c>
      <c r="E2355">
        <v>0.48128251821721402</v>
      </c>
      <c r="F2355">
        <v>0.15560617374841401</v>
      </c>
      <c r="G2355">
        <v>8.8495610045121506E-2</v>
      </c>
      <c r="H2355">
        <v>6.2155835355168401E-2</v>
      </c>
      <c r="I2355">
        <v>6.5688141570106301E-2</v>
      </c>
      <c r="J2355">
        <v>7.8499575088707696E-2</v>
      </c>
      <c r="K2355">
        <v>7.6639281617497501E-2</v>
      </c>
      <c r="L2355">
        <v>1134.82727143071</v>
      </c>
      <c r="M2355">
        <v>23.2141251259903</v>
      </c>
      <c r="N2355">
        <v>49.162630428743299</v>
      </c>
      <c r="O2355">
        <v>48.5267890858809</v>
      </c>
      <c r="P2355">
        <v>-0.112254546627208</v>
      </c>
      <c r="Q2355">
        <v>6.1389914040043403E-2</v>
      </c>
      <c r="R2355">
        <v>0.99807883358866401</v>
      </c>
      <c r="S2355" t="s">
        <v>9001</v>
      </c>
      <c r="T2355" t="s">
        <v>13290</v>
      </c>
      <c r="U2355" t="s">
        <v>13290</v>
      </c>
      <c r="V2355" t="s">
        <v>13290</v>
      </c>
      <c r="W2355" t="s">
        <v>15606</v>
      </c>
      <c r="X2355">
        <v>25</v>
      </c>
      <c r="Y2355" t="s">
        <v>22156</v>
      </c>
      <c r="Z2355" t="s">
        <v>28685</v>
      </c>
      <c r="AA2355">
        <v>0.34906892307467807</v>
      </c>
      <c r="AB2355" t="str">
        <f>HYPERLINK("Melting_Curves/meltCurve_P25685_DNAJB1.pdf", "Melting_Curves/meltCurve_P25685_DNAJB1.pdf")</f>
        <v>Melting_Curves/meltCurve_P25685_DNAJB1.pdf</v>
      </c>
    </row>
    <row r="2356" spans="1:28" x14ac:dyDescent="0.25">
      <c r="A2356" t="s">
        <v>2360</v>
      </c>
      <c r="B2356">
        <v>0.99252571173614901</v>
      </c>
      <c r="C2356">
        <v>0.87294245353641797</v>
      </c>
      <c r="D2356">
        <v>1.0286367499415401</v>
      </c>
      <c r="E2356">
        <v>1.06640259658071</v>
      </c>
      <c r="F2356">
        <v>1.02226399047181</v>
      </c>
      <c r="G2356">
        <v>0.78688723086654599</v>
      </c>
      <c r="H2356">
        <v>0.99393818610969198</v>
      </c>
      <c r="I2356">
        <v>1.1724238292326701</v>
      </c>
      <c r="J2356">
        <v>0.205021560360621</v>
      </c>
      <c r="K2356">
        <v>0.20668237363791001</v>
      </c>
      <c r="L2356">
        <v>15000</v>
      </c>
      <c r="M2356">
        <v>227.45687192574499</v>
      </c>
      <c r="N2356">
        <v>66.093214222081002</v>
      </c>
      <c r="O2356">
        <v>65.941469703934203</v>
      </c>
      <c r="P2356">
        <v>-0.69147376768105995</v>
      </c>
      <c r="Q2356">
        <v>0.19814607442659599</v>
      </c>
      <c r="R2356">
        <v>0.91014420150388098</v>
      </c>
      <c r="S2356" t="s">
        <v>9002</v>
      </c>
      <c r="T2356" t="s">
        <v>13290</v>
      </c>
      <c r="U2356" t="s">
        <v>13290</v>
      </c>
      <c r="V2356" t="s">
        <v>13290</v>
      </c>
      <c r="W2356" t="s">
        <v>15607</v>
      </c>
      <c r="X2356">
        <v>46</v>
      </c>
      <c r="Y2356" t="s">
        <v>22157</v>
      </c>
      <c r="Z2356" t="s">
        <v>28686</v>
      </c>
      <c r="AA2356">
        <v>0.89177007747927717</v>
      </c>
      <c r="AB2356" t="str">
        <f>HYPERLINK("Melting_Curves/meltCurve_P25705_ATP5A1.pdf", "Melting_Curves/meltCurve_P25705_ATP5A1.pdf")</f>
        <v>Melting_Curves/meltCurve_P25705_ATP5A1.pdf</v>
      </c>
    </row>
    <row r="2357" spans="1:28" x14ac:dyDescent="0.25">
      <c r="A2357" t="s">
        <v>2361</v>
      </c>
      <c r="B2357">
        <v>0.99252571173614901</v>
      </c>
      <c r="C2357">
        <v>0.96692217493753596</v>
      </c>
      <c r="D2357">
        <v>1.11654615055283</v>
      </c>
      <c r="E2357">
        <v>1.1116295527289799</v>
      </c>
      <c r="F2357">
        <v>1.0173858200993999</v>
      </c>
      <c r="G2357">
        <v>0.90180405703867705</v>
      </c>
      <c r="H2357">
        <v>1.4811189763645201</v>
      </c>
      <c r="I2357">
        <v>2.3083104885805601</v>
      </c>
      <c r="J2357">
        <v>3.50787971227642</v>
      </c>
      <c r="K2357">
        <v>2.22166872686664</v>
      </c>
      <c r="L2357">
        <v>15000</v>
      </c>
      <c r="M2357">
        <v>249.94858659110099</v>
      </c>
      <c r="O2357">
        <v>60.0085006164337</v>
      </c>
      <c r="P2357">
        <v>0.52065246544454202</v>
      </c>
      <c r="Q2357">
        <v>1.5</v>
      </c>
      <c r="R2357">
        <v>0.20529411773011899</v>
      </c>
      <c r="S2357" t="s">
        <v>9003</v>
      </c>
      <c r="T2357" t="s">
        <v>13290</v>
      </c>
      <c r="U2357" t="s">
        <v>13290</v>
      </c>
      <c r="V2357" t="s">
        <v>13290</v>
      </c>
      <c r="W2357" t="s">
        <v>15608</v>
      </c>
      <c r="X2357">
        <v>18</v>
      </c>
      <c r="Y2357" t="s">
        <v>22158</v>
      </c>
      <c r="Z2357" t="s">
        <v>28687</v>
      </c>
      <c r="AA2357">
        <v>1.1664082886949909</v>
      </c>
      <c r="AB2357" t="str">
        <f>HYPERLINK("Melting_Curves/meltCurve_P25786_PSMA1.pdf", "Melting_Curves/meltCurve_P25786_PSMA1.pdf")</f>
        <v>Melting_Curves/meltCurve_P25786_PSMA1.pdf</v>
      </c>
    </row>
    <row r="2358" spans="1:28" x14ac:dyDescent="0.25">
      <c r="A2358" t="s">
        <v>2362</v>
      </c>
      <c r="B2358">
        <v>0.99252571173614901</v>
      </c>
      <c r="C2358">
        <v>0.90643226712476799</v>
      </c>
      <c r="D2358">
        <v>1.18150288787311</v>
      </c>
      <c r="E2358">
        <v>1.2102168225308101</v>
      </c>
      <c r="F2358">
        <v>1.0805773517902</v>
      </c>
      <c r="G2358">
        <v>1.0202222209143601</v>
      </c>
      <c r="H2358">
        <v>1.61799159594824</v>
      </c>
      <c r="I2358">
        <v>2.3913625759455401</v>
      </c>
      <c r="J2358">
        <v>3.8031745468034099</v>
      </c>
      <c r="K2358">
        <v>2.1837109370535401</v>
      </c>
      <c r="L2358">
        <v>14379.848001579399</v>
      </c>
      <c r="M2358">
        <v>250</v>
      </c>
      <c r="O2358">
        <v>57.515711439107498</v>
      </c>
      <c r="P2358">
        <v>0.54332980351899995</v>
      </c>
      <c r="Q2358">
        <v>1.5</v>
      </c>
      <c r="R2358">
        <v>0.12074284552200901</v>
      </c>
      <c r="S2358" t="s">
        <v>9004</v>
      </c>
      <c r="T2358" t="s">
        <v>13290</v>
      </c>
      <c r="U2358" t="s">
        <v>13290</v>
      </c>
      <c r="V2358" t="s">
        <v>13290</v>
      </c>
      <c r="W2358" t="s">
        <v>15609</v>
      </c>
      <c r="X2358">
        <v>9</v>
      </c>
      <c r="Y2358" t="s">
        <v>22159</v>
      </c>
      <c r="Z2358" t="s">
        <v>28688</v>
      </c>
      <c r="AA2358">
        <v>1.207959660409154</v>
      </c>
      <c r="AB2358" t="str">
        <f>HYPERLINK("Melting_Curves/meltCurve_P25787_PSMA2.pdf", "Melting_Curves/meltCurve_P25787_PSMA2.pdf")</f>
        <v>Melting_Curves/meltCurve_P25787_PSMA2.pdf</v>
      </c>
    </row>
    <row r="2359" spans="1:28" x14ac:dyDescent="0.25">
      <c r="A2359" t="s">
        <v>2363</v>
      </c>
      <c r="B2359">
        <v>0.99252571173614901</v>
      </c>
      <c r="C2359">
        <v>0.96484036611299295</v>
      </c>
      <c r="D2359">
        <v>1.1577466021788101</v>
      </c>
      <c r="E2359">
        <v>1.2494056980927599</v>
      </c>
      <c r="F2359">
        <v>1.0824236611731799</v>
      </c>
      <c r="G2359">
        <v>0.98107017387136597</v>
      </c>
      <c r="H2359">
        <v>1.61599778840929</v>
      </c>
      <c r="I2359">
        <v>2.4356224583539601</v>
      </c>
      <c r="J2359">
        <v>3.6903412040958101</v>
      </c>
      <c r="K2359">
        <v>2.38906580348959</v>
      </c>
      <c r="L2359">
        <v>14632.0686237808</v>
      </c>
      <c r="M2359">
        <v>250</v>
      </c>
      <c r="O2359">
        <v>58.524529184128802</v>
      </c>
      <c r="P2359">
        <v>0.53396414343189202</v>
      </c>
      <c r="Q2359">
        <v>1.5</v>
      </c>
      <c r="R2359">
        <v>0.111994337605968</v>
      </c>
      <c r="S2359" t="s">
        <v>9005</v>
      </c>
      <c r="T2359" t="s">
        <v>13290</v>
      </c>
      <c r="U2359" t="s">
        <v>13290</v>
      </c>
      <c r="V2359" t="s">
        <v>13290</v>
      </c>
      <c r="W2359" t="s">
        <v>15610</v>
      </c>
      <c r="X2359">
        <v>19</v>
      </c>
      <c r="Y2359" t="s">
        <v>22160</v>
      </c>
      <c r="Z2359" t="s">
        <v>28689</v>
      </c>
      <c r="AA2359">
        <v>1.1911440669758651</v>
      </c>
      <c r="AB2359" t="str">
        <f>HYPERLINK("Melting_Curves/meltCurve_P25788_2_PSMA3.pdf", "Melting_Curves/meltCurve_P25788_2_PSMA3.pdf")</f>
        <v>Melting_Curves/meltCurve_P25788_2_PSMA3.pdf</v>
      </c>
    </row>
    <row r="2360" spans="1:28" x14ac:dyDescent="0.25">
      <c r="A2360" t="s">
        <v>2364</v>
      </c>
      <c r="B2360">
        <v>0.99252571173614901</v>
      </c>
      <c r="C2360">
        <v>0.91338434518205502</v>
      </c>
      <c r="D2360">
        <v>1.0528531099015399</v>
      </c>
      <c r="E2360">
        <v>0.85003570018544805</v>
      </c>
      <c r="F2360">
        <v>0.98027794510170696</v>
      </c>
      <c r="G2360">
        <v>0.92010947253678199</v>
      </c>
      <c r="H2360">
        <v>1.5239660744008099</v>
      </c>
      <c r="I2360">
        <v>2.2836706009189101</v>
      </c>
      <c r="J2360">
        <v>3.4754928074530298</v>
      </c>
      <c r="K2360">
        <v>2.1709371794772099</v>
      </c>
      <c r="L2360">
        <v>14720.1384116027</v>
      </c>
      <c r="M2360">
        <v>250</v>
      </c>
      <c r="O2360">
        <v>58.876810371975701</v>
      </c>
      <c r="P2360">
        <v>0.53076946353466503</v>
      </c>
      <c r="Q2360">
        <v>1.5</v>
      </c>
      <c r="R2360">
        <v>0.26314608160511899</v>
      </c>
      <c r="S2360" t="s">
        <v>9006</v>
      </c>
      <c r="T2360" t="s">
        <v>13290</v>
      </c>
      <c r="U2360" t="s">
        <v>13290</v>
      </c>
      <c r="V2360" t="s">
        <v>13290</v>
      </c>
      <c r="W2360" t="s">
        <v>15611</v>
      </c>
      <c r="X2360">
        <v>14</v>
      </c>
      <c r="Y2360" t="s">
        <v>20811</v>
      </c>
      <c r="Z2360" t="s">
        <v>28690</v>
      </c>
      <c r="AA2360">
        <v>1.1852724386655209</v>
      </c>
      <c r="AB2360" t="str">
        <f>HYPERLINK("Melting_Curves/meltCurve_P25789_PSMA4.pdf", "Melting_Curves/meltCurve_P25789_PSMA4.pdf")</f>
        <v>Melting_Curves/meltCurve_P25789_PSMA4.pdf</v>
      </c>
    </row>
    <row r="2361" spans="1:28" x14ac:dyDescent="0.25">
      <c r="A2361" t="s">
        <v>2365</v>
      </c>
      <c r="B2361">
        <v>0.99252571173614901</v>
      </c>
      <c r="C2361">
        <v>1.12858581350219</v>
      </c>
      <c r="D2361">
        <v>0.98822396561852599</v>
      </c>
      <c r="E2361">
        <v>0.73439375086833802</v>
      </c>
      <c r="F2361">
        <v>0.76302649702637604</v>
      </c>
      <c r="G2361">
        <v>0.58975765870382102</v>
      </c>
      <c r="H2361">
        <v>0.390425832731986</v>
      </c>
      <c r="I2361">
        <v>0.294135461282441</v>
      </c>
      <c r="J2361">
        <v>0.27376487291005402</v>
      </c>
      <c r="K2361">
        <v>0.24660669797073201</v>
      </c>
      <c r="L2361">
        <v>687.26502073022698</v>
      </c>
      <c r="M2361">
        <v>12.2281394512157</v>
      </c>
      <c r="N2361">
        <v>58.139210742061998</v>
      </c>
      <c r="O2361">
        <v>54.763834706461601</v>
      </c>
      <c r="P2361">
        <v>-4.64981938239254E-2</v>
      </c>
      <c r="Q2361">
        <v>0.16721627438887801</v>
      </c>
      <c r="R2361">
        <v>0.95556189269305902</v>
      </c>
      <c r="S2361" t="s">
        <v>9007</v>
      </c>
      <c r="T2361" t="s">
        <v>13290</v>
      </c>
      <c r="U2361" t="s">
        <v>13290</v>
      </c>
      <c r="V2361" t="s">
        <v>13290</v>
      </c>
      <c r="W2361" t="s">
        <v>15612</v>
      </c>
      <c r="X2361">
        <v>7</v>
      </c>
      <c r="Y2361" t="s">
        <v>22161</v>
      </c>
      <c r="Z2361" t="s">
        <v>28691</v>
      </c>
      <c r="AA2361">
        <v>0.63332332678149039</v>
      </c>
      <c r="AB2361" t="str">
        <f>HYPERLINK("Melting_Curves/meltCurve_P25815_S100P.pdf", "Melting_Curves/meltCurve_P25815_S100P.pdf")</f>
        <v>Melting_Curves/meltCurve_P25815_S100P.pdf</v>
      </c>
    </row>
    <row r="2362" spans="1:28" x14ac:dyDescent="0.25">
      <c r="A2362" t="s">
        <v>2366</v>
      </c>
      <c r="B2362">
        <v>0.99252571173614901</v>
      </c>
      <c r="C2362">
        <v>1.0638747858195801</v>
      </c>
      <c r="D2362">
        <v>0.90930821158209096</v>
      </c>
      <c r="E2362">
        <v>0.85313268847454304</v>
      </c>
      <c r="F2362">
        <v>0.16147746267332699</v>
      </c>
      <c r="G2362">
        <v>0.105118130692806</v>
      </c>
      <c r="H2362">
        <v>7.1585413479155896E-2</v>
      </c>
      <c r="I2362">
        <v>7.8037134268188105E-2</v>
      </c>
      <c r="J2362">
        <v>9.8099953747601706E-2</v>
      </c>
      <c r="K2362">
        <v>9.6730793085246694E-2</v>
      </c>
      <c r="L2362">
        <v>2949.7528504450502</v>
      </c>
      <c r="M2362">
        <v>57.843920199597697</v>
      </c>
      <c r="N2362">
        <v>51.168084974928497</v>
      </c>
      <c r="O2362">
        <v>50.9342039324018</v>
      </c>
      <c r="P2362">
        <v>-0.25869048619894502</v>
      </c>
      <c r="Q2362">
        <v>8.8845625295538494E-2</v>
      </c>
      <c r="R2362">
        <v>0.99277677884790105</v>
      </c>
      <c r="S2362" t="s">
        <v>9008</v>
      </c>
      <c r="T2362" t="s">
        <v>13290</v>
      </c>
      <c r="U2362" t="s">
        <v>13290</v>
      </c>
      <c r="V2362" t="s">
        <v>13290</v>
      </c>
      <c r="W2362" t="s">
        <v>15613</v>
      </c>
      <c r="X2362">
        <v>65</v>
      </c>
      <c r="Y2362" t="s">
        <v>22162</v>
      </c>
      <c r="Z2362" t="s">
        <v>28692</v>
      </c>
      <c r="AA2362">
        <v>0.42431403570724863</v>
      </c>
      <c r="AB2362" t="str">
        <f>HYPERLINK("Melting_Curves/meltCurve_P26038_MSN.pdf", "Melting_Curves/meltCurve_P26038_MSN.pdf")</f>
        <v>Melting_Curves/meltCurve_P26038_MSN.pdf</v>
      </c>
    </row>
    <row r="2363" spans="1:28" x14ac:dyDescent="0.25">
      <c r="A2363" t="s">
        <v>2367</v>
      </c>
      <c r="B2363">
        <v>0.99252571173614901</v>
      </c>
      <c r="C2363">
        <v>0.75149558507473901</v>
      </c>
      <c r="D2363">
        <v>0.82289315576799704</v>
      </c>
      <c r="E2363">
        <v>0.71848767954924397</v>
      </c>
      <c r="F2363">
        <v>0.30092266594747002</v>
      </c>
      <c r="G2363">
        <v>0.10031550919391601</v>
      </c>
      <c r="H2363">
        <v>7.7855487012870594E-2</v>
      </c>
      <c r="I2363">
        <v>9.4279797682478794E-2</v>
      </c>
      <c r="J2363">
        <v>0.11105620916797899</v>
      </c>
      <c r="K2363">
        <v>0.10124482572129601</v>
      </c>
      <c r="L2363">
        <v>837.94946126665104</v>
      </c>
      <c r="M2363">
        <v>16.604929566748499</v>
      </c>
      <c r="N2363">
        <v>50.8237381224167</v>
      </c>
      <c r="O2363">
        <v>49.749035487931401</v>
      </c>
      <c r="P2363">
        <v>-7.8821144454124095E-2</v>
      </c>
      <c r="Q2363">
        <v>5.5458960215073697E-2</v>
      </c>
      <c r="R2363">
        <v>0.944400061276498</v>
      </c>
      <c r="S2363" t="s">
        <v>9009</v>
      </c>
      <c r="T2363" t="s">
        <v>13290</v>
      </c>
      <c r="U2363" t="s">
        <v>13290</v>
      </c>
      <c r="V2363" t="s">
        <v>13290</v>
      </c>
      <c r="W2363" t="s">
        <v>15614</v>
      </c>
      <c r="X2363">
        <v>19</v>
      </c>
      <c r="Y2363" t="s">
        <v>22163</v>
      </c>
      <c r="Z2363" t="s">
        <v>28693</v>
      </c>
      <c r="AA2363">
        <v>0.40347117152715362</v>
      </c>
      <c r="AB2363" t="str">
        <f>HYPERLINK("Melting_Curves/meltCurve_P26196_DDX6.pdf", "Melting_Curves/meltCurve_P26196_DDX6.pdf")</f>
        <v>Melting_Curves/meltCurve_P26196_DDX6.pdf</v>
      </c>
    </row>
    <row r="2364" spans="1:28" x14ac:dyDescent="0.25">
      <c r="A2364" t="s">
        <v>2368</v>
      </c>
      <c r="B2364">
        <v>0.99252571173614901</v>
      </c>
      <c r="C2364">
        <v>0.86946230635303601</v>
      </c>
      <c r="D2364">
        <v>1.0135464363398901</v>
      </c>
      <c r="E2364">
        <v>1.0233842232485499</v>
      </c>
      <c r="F2364">
        <v>0.46591465989193398</v>
      </c>
      <c r="G2364">
        <v>0.14172417276485499</v>
      </c>
      <c r="H2364">
        <v>0.10098896610368401</v>
      </c>
      <c r="I2364">
        <v>0.11752846897616601</v>
      </c>
      <c r="J2364">
        <v>0.14307847665175899</v>
      </c>
      <c r="K2364">
        <v>0.13515380133209601</v>
      </c>
      <c r="L2364">
        <v>9035.9541816950405</v>
      </c>
      <c r="M2364">
        <v>170.30560764539001</v>
      </c>
      <c r="N2364">
        <v>53.149305545752902</v>
      </c>
      <c r="O2364">
        <v>53.049975440447</v>
      </c>
      <c r="P2364">
        <v>-0.700089397649169</v>
      </c>
      <c r="Q2364">
        <v>0.127692255745842</v>
      </c>
      <c r="R2364">
        <v>0.98813353453362396</v>
      </c>
      <c r="S2364" t="s">
        <v>9010</v>
      </c>
      <c r="T2364" t="s">
        <v>13290</v>
      </c>
      <c r="U2364" t="s">
        <v>13290</v>
      </c>
      <c r="V2364" t="s">
        <v>13290</v>
      </c>
      <c r="W2364" t="s">
        <v>15615</v>
      </c>
      <c r="X2364">
        <v>63</v>
      </c>
      <c r="Y2364" t="s">
        <v>22164</v>
      </c>
      <c r="Z2364" t="s">
        <v>28694</v>
      </c>
      <c r="AA2364">
        <v>0.50753319782134587</v>
      </c>
      <c r="AB2364" t="str">
        <f>HYPERLINK("Melting_Curves/meltCurve_P26358_DNMT1.pdf", "Melting_Curves/meltCurve_P26358_DNMT1.pdf")</f>
        <v>Melting_Curves/meltCurve_P26358_DNMT1.pdf</v>
      </c>
    </row>
    <row r="2365" spans="1:28" x14ac:dyDescent="0.25">
      <c r="A2365" t="s">
        <v>2369</v>
      </c>
      <c r="B2365">
        <v>0.99252571173614901</v>
      </c>
      <c r="C2365">
        <v>1.7026860867815301</v>
      </c>
      <c r="D2365">
        <v>0.15338456995112901</v>
      </c>
      <c r="E2365">
        <v>0.65229626076234803</v>
      </c>
      <c r="F2365">
        <v>0.11851090954462901</v>
      </c>
      <c r="G2365">
        <v>6.13715608459783E-2</v>
      </c>
      <c r="H2365">
        <v>3.0227326771003302E-2</v>
      </c>
      <c r="I2365">
        <v>2.8160384968998801E-2</v>
      </c>
      <c r="J2365">
        <v>3.28323528939546E-2</v>
      </c>
      <c r="K2365">
        <v>3.5495587509820403E-2</v>
      </c>
      <c r="L2365">
        <v>996.80778976133195</v>
      </c>
      <c r="M2365">
        <v>20.769517237122901</v>
      </c>
      <c r="N2365">
        <v>48.1784050177449</v>
      </c>
      <c r="O2365">
        <v>47.555529471647297</v>
      </c>
      <c r="P2365">
        <v>-0.105011762145341</v>
      </c>
      <c r="Q2365">
        <v>3.8254374685282803E-2</v>
      </c>
      <c r="R2365">
        <v>0.65096663414832201</v>
      </c>
      <c r="S2365" t="s">
        <v>9011</v>
      </c>
      <c r="T2365" t="s">
        <v>13290</v>
      </c>
      <c r="U2365" t="s">
        <v>13290</v>
      </c>
      <c r="V2365" t="s">
        <v>13290</v>
      </c>
      <c r="W2365" t="s">
        <v>15616</v>
      </c>
      <c r="X2365">
        <v>12</v>
      </c>
      <c r="Y2365" t="s">
        <v>22165</v>
      </c>
      <c r="Z2365" t="s">
        <v>28695</v>
      </c>
      <c r="AA2365">
        <v>0.30713666523316191</v>
      </c>
      <c r="AB2365" t="str">
        <f>HYPERLINK("Melting_Curves/meltCurve_P26368_2_U2AF2.pdf", "Melting_Curves/meltCurve_P26368_2_U2AF2.pdf")</f>
        <v>Melting_Curves/meltCurve_P26368_2_U2AF2.pdf</v>
      </c>
    </row>
    <row r="2366" spans="1:28" x14ac:dyDescent="0.25">
      <c r="A2366" t="s">
        <v>2370</v>
      </c>
      <c r="B2366">
        <v>0.99252571173614901</v>
      </c>
      <c r="C2366">
        <v>0.99311591082399797</v>
      </c>
      <c r="D2366">
        <v>0.96598491590204605</v>
      </c>
      <c r="E2366">
        <v>0.93808774266475103</v>
      </c>
      <c r="F2366">
        <v>0.53444879439909199</v>
      </c>
      <c r="G2366">
        <v>0.34073887698428401</v>
      </c>
      <c r="H2366">
        <v>0.197274036582959</v>
      </c>
      <c r="I2366">
        <v>0.197412925137364</v>
      </c>
      <c r="J2366">
        <v>0.23298179690795201</v>
      </c>
      <c r="K2366">
        <v>0.25584221348271702</v>
      </c>
      <c r="L2366">
        <v>1708.1898687181699</v>
      </c>
      <c r="M2366">
        <v>32.395828887544504</v>
      </c>
      <c r="N2366">
        <v>53.7228525008113</v>
      </c>
      <c r="O2366">
        <v>52.529017722079303</v>
      </c>
      <c r="P2366">
        <v>-0.119420472388666</v>
      </c>
      <c r="Q2366">
        <v>0.22545492400023401</v>
      </c>
      <c r="R2366">
        <v>0.99362978400657598</v>
      </c>
      <c r="S2366" t="s">
        <v>9012</v>
      </c>
      <c r="T2366" t="s">
        <v>13290</v>
      </c>
      <c r="U2366" t="s">
        <v>13290</v>
      </c>
      <c r="V2366" t="s">
        <v>13290</v>
      </c>
      <c r="W2366" t="s">
        <v>15617</v>
      </c>
      <c r="X2366">
        <v>8</v>
      </c>
      <c r="Y2366" t="s">
        <v>22166</v>
      </c>
      <c r="Z2366" t="s">
        <v>28696</v>
      </c>
      <c r="AA2366">
        <v>0.55838544783905264</v>
      </c>
      <c r="AB2366" t="str">
        <f>HYPERLINK("Melting_Curves/meltCurve_P26373_RPL13.pdf", "Melting_Curves/meltCurve_P26373_RPL13.pdf")</f>
        <v>Melting_Curves/meltCurve_P26373_RPL13.pdf</v>
      </c>
    </row>
    <row r="2367" spans="1:28" x14ac:dyDescent="0.25">
      <c r="A2367" t="s">
        <v>2371</v>
      </c>
      <c r="B2367">
        <v>0.99252571173614901</v>
      </c>
      <c r="C2367">
        <v>1.01561390146619</v>
      </c>
      <c r="D2367">
        <v>0.93587581837505096</v>
      </c>
      <c r="E2367">
        <v>0.837296515740372</v>
      </c>
      <c r="F2367">
        <v>0.65160421841887195</v>
      </c>
      <c r="G2367">
        <v>0.32932960043427001</v>
      </c>
      <c r="H2367">
        <v>0.110142923849607</v>
      </c>
      <c r="I2367">
        <v>7.0808581717510005E-2</v>
      </c>
      <c r="J2367">
        <v>8.4041441133665296E-2</v>
      </c>
      <c r="K2367">
        <v>7.3055344781302503E-2</v>
      </c>
      <c r="L2367">
        <v>1059.99417162499</v>
      </c>
      <c r="M2367">
        <v>19.513838313349002</v>
      </c>
      <c r="N2367">
        <v>54.557458737133999</v>
      </c>
      <c r="O2367">
        <v>53.759313565653102</v>
      </c>
      <c r="P2367">
        <v>-8.7056781865648303E-2</v>
      </c>
      <c r="Q2367">
        <v>4.06920542265524E-2</v>
      </c>
      <c r="R2367">
        <v>0.99574082360619698</v>
      </c>
      <c r="S2367" t="s">
        <v>9013</v>
      </c>
      <c r="T2367" t="s">
        <v>13290</v>
      </c>
      <c r="U2367" t="s">
        <v>13290</v>
      </c>
      <c r="V2367" t="s">
        <v>13290</v>
      </c>
      <c r="W2367" t="s">
        <v>15618</v>
      </c>
      <c r="X2367">
        <v>4</v>
      </c>
      <c r="Y2367" t="s">
        <v>22167</v>
      </c>
      <c r="Z2367" t="s">
        <v>28697</v>
      </c>
      <c r="AA2367">
        <v>0.51208075833932443</v>
      </c>
      <c r="AB2367" t="str">
        <f>HYPERLINK("Melting_Curves/meltCurve_P26374_CHML.pdf", "Melting_Curves/meltCurve_P26374_CHML.pdf")</f>
        <v>Melting_Curves/meltCurve_P26374_CHML.pdf</v>
      </c>
    </row>
    <row r="2368" spans="1:28" x14ac:dyDescent="0.25">
      <c r="A2368" t="s">
        <v>2372</v>
      </c>
      <c r="B2368">
        <v>0.99252571173614901</v>
      </c>
      <c r="C2368">
        <v>0.93944206374310102</v>
      </c>
      <c r="D2368">
        <v>1.0913531621218799</v>
      </c>
      <c r="E2368">
        <v>1.07323200268472</v>
      </c>
      <c r="F2368">
        <v>0.50550678126943405</v>
      </c>
      <c r="G2368">
        <v>0.208217187470814</v>
      </c>
      <c r="H2368">
        <v>0.13605235560479401</v>
      </c>
      <c r="I2368">
        <v>9.35764720274148E-2</v>
      </c>
      <c r="J2368">
        <v>7.1720912293313899E-2</v>
      </c>
      <c r="K2368">
        <v>6.6560166453340702E-2</v>
      </c>
      <c r="L2368">
        <v>3201.0235303448499</v>
      </c>
      <c r="M2368">
        <v>60.344465722505198</v>
      </c>
      <c r="N2368">
        <v>53.266670541211496</v>
      </c>
      <c r="O2368">
        <v>52.987670592768602</v>
      </c>
      <c r="P2368">
        <v>-0.25320331061865098</v>
      </c>
      <c r="Q2368">
        <v>0.110662255247391</v>
      </c>
      <c r="R2368">
        <v>0.98354637842333104</v>
      </c>
      <c r="S2368" t="s">
        <v>9014</v>
      </c>
      <c r="T2368" t="s">
        <v>13290</v>
      </c>
      <c r="U2368" t="s">
        <v>13290</v>
      </c>
      <c r="V2368" t="s">
        <v>13290</v>
      </c>
      <c r="W2368" t="s">
        <v>15619</v>
      </c>
      <c r="X2368">
        <v>15</v>
      </c>
      <c r="Y2368" t="s">
        <v>22168</v>
      </c>
      <c r="Z2368" t="s">
        <v>28698</v>
      </c>
      <c r="AA2368">
        <v>0.49882728560535011</v>
      </c>
      <c r="AB2368" t="str">
        <f>HYPERLINK("Melting_Curves/meltCurve_P26440_IVD.pdf", "Melting_Curves/meltCurve_P26440_IVD.pdf")</f>
        <v>Melting_Curves/meltCurve_P26440_IVD.pdf</v>
      </c>
    </row>
    <row r="2369" spans="1:28" x14ac:dyDescent="0.25">
      <c r="A2369" t="s">
        <v>2373</v>
      </c>
      <c r="B2369">
        <v>0.99252571173614901</v>
      </c>
      <c r="C2369">
        <v>1.13823895093711</v>
      </c>
      <c r="D2369">
        <v>1.01612014339471</v>
      </c>
      <c r="E2369">
        <v>0.97914219570733296</v>
      </c>
      <c r="F2369">
        <v>0.76844003033779196</v>
      </c>
      <c r="G2369">
        <v>0.57105591355393304</v>
      </c>
      <c r="H2369">
        <v>0.34137144149030701</v>
      </c>
      <c r="I2369">
        <v>0.22717421179132199</v>
      </c>
      <c r="J2369">
        <v>0.225187316797783</v>
      </c>
      <c r="K2369">
        <v>0.19850266398306801</v>
      </c>
      <c r="L2369">
        <v>1131.2546127734199</v>
      </c>
      <c r="M2369">
        <v>20.103679901269601</v>
      </c>
      <c r="N2369">
        <v>57.5799374274714</v>
      </c>
      <c r="O2369">
        <v>55.723116201912802</v>
      </c>
      <c r="P2369">
        <v>-7.3654462583633104E-2</v>
      </c>
      <c r="Q2369">
        <v>0.18340814974321601</v>
      </c>
      <c r="R2369">
        <v>0.98158361561331198</v>
      </c>
      <c r="S2369" t="s">
        <v>9015</v>
      </c>
      <c r="T2369" t="s">
        <v>13290</v>
      </c>
      <c r="U2369" t="s">
        <v>13290</v>
      </c>
      <c r="V2369" t="s">
        <v>13290</v>
      </c>
      <c r="W2369" t="s">
        <v>15620</v>
      </c>
      <c r="X2369">
        <v>10</v>
      </c>
      <c r="Y2369" t="s">
        <v>22169</v>
      </c>
      <c r="Z2369" t="s">
        <v>28699</v>
      </c>
      <c r="AA2369">
        <v>0.63662608811844712</v>
      </c>
      <c r="AB2369" t="str">
        <f>HYPERLINK("Melting_Curves/meltCurve_P26447_S100A4.pdf", "Melting_Curves/meltCurve_P26447_S100A4.pdf")</f>
        <v>Melting_Curves/meltCurve_P26447_S100A4.pdf</v>
      </c>
    </row>
    <row r="2370" spans="1:28" x14ac:dyDescent="0.25">
      <c r="A2370" t="s">
        <v>2374</v>
      </c>
      <c r="B2370">
        <v>0.99252571173614901</v>
      </c>
      <c r="C2370">
        <v>0.90698335678362096</v>
      </c>
      <c r="D2370">
        <v>0.839767010846732</v>
      </c>
      <c r="E2370">
        <v>0.78751298225809896</v>
      </c>
      <c r="F2370">
        <v>0.354351420031291</v>
      </c>
      <c r="G2370">
        <v>0.18725843802379</v>
      </c>
      <c r="H2370">
        <v>0.132346509463351</v>
      </c>
      <c r="I2370">
        <v>0.11066936305297501</v>
      </c>
      <c r="J2370">
        <v>9.7510109862099695E-2</v>
      </c>
      <c r="K2370">
        <v>8.5586787648915405E-2</v>
      </c>
      <c r="L2370">
        <v>1033.9543970484899</v>
      </c>
      <c r="M2370">
        <v>20.100054780483799</v>
      </c>
      <c r="N2370">
        <v>51.911388203865101</v>
      </c>
      <c r="O2370">
        <v>50.9393274733646</v>
      </c>
      <c r="P2370">
        <v>-9.0427369674468697E-2</v>
      </c>
      <c r="Q2370">
        <v>8.3353235798108702E-2</v>
      </c>
      <c r="R2370">
        <v>0.983669461606546</v>
      </c>
      <c r="S2370" t="s">
        <v>9016</v>
      </c>
      <c r="T2370" t="s">
        <v>13290</v>
      </c>
      <c r="U2370" t="s">
        <v>13290</v>
      </c>
      <c r="V2370" t="s">
        <v>13290</v>
      </c>
      <c r="W2370" t="s">
        <v>15621</v>
      </c>
      <c r="X2370">
        <v>5</v>
      </c>
      <c r="Y2370" t="s">
        <v>22170</v>
      </c>
      <c r="Z2370" t="s">
        <v>28700</v>
      </c>
      <c r="AA2370">
        <v>0.4455064407471569</v>
      </c>
      <c r="AB2370" t="str">
        <f>HYPERLINK("Melting_Curves/meltCurve_P26572_MGAT1.pdf", "Melting_Curves/meltCurve_P26572_MGAT1.pdf")</f>
        <v>Melting_Curves/meltCurve_P26572_MGAT1.pdf</v>
      </c>
    </row>
    <row r="2371" spans="1:28" x14ac:dyDescent="0.25">
      <c r="A2371" t="s">
        <v>2375</v>
      </c>
      <c r="B2371">
        <v>0.99252571173614901</v>
      </c>
      <c r="C2371">
        <v>1.0707742883678499</v>
      </c>
      <c r="D2371">
        <v>0.97557249980638105</v>
      </c>
      <c r="E2371">
        <v>0.89311492508926904</v>
      </c>
      <c r="F2371">
        <v>0.72750209656213405</v>
      </c>
      <c r="G2371">
        <v>0.57011408488980297</v>
      </c>
      <c r="H2371">
        <v>0.54232969721266899</v>
      </c>
      <c r="I2371">
        <v>0.61990035491925599</v>
      </c>
      <c r="J2371">
        <v>0.80991368949823295</v>
      </c>
      <c r="K2371">
        <v>0.83110693227973798</v>
      </c>
      <c r="L2371">
        <v>2167.7137568478302</v>
      </c>
      <c r="M2371">
        <v>42.976122744465798</v>
      </c>
      <c r="O2371">
        <v>50.331109487892299</v>
      </c>
      <c r="P2371">
        <v>-6.8843848055081397E-2</v>
      </c>
      <c r="Q2371">
        <v>0.67749702493201802</v>
      </c>
      <c r="R2371">
        <v>0.73782104281448602</v>
      </c>
      <c r="S2371" t="s">
        <v>9017</v>
      </c>
      <c r="T2371" t="s">
        <v>13290</v>
      </c>
      <c r="U2371" t="s">
        <v>13290</v>
      </c>
      <c r="V2371" t="s">
        <v>13290</v>
      </c>
      <c r="W2371" t="s">
        <v>15622</v>
      </c>
      <c r="X2371">
        <v>21</v>
      </c>
      <c r="Y2371" t="s">
        <v>22171</v>
      </c>
      <c r="Z2371" t="s">
        <v>28701</v>
      </c>
      <c r="AA2371">
        <v>0.7907007409675807</v>
      </c>
      <c r="AB2371" t="str">
        <f>HYPERLINK("Melting_Curves/meltCurve_P26583_HMGB2.pdf", "Melting_Curves/meltCurve_P26583_HMGB2.pdf")</f>
        <v>Melting_Curves/meltCurve_P26583_HMGB2.pdf</v>
      </c>
    </row>
    <row r="2372" spans="1:28" x14ac:dyDescent="0.25">
      <c r="A2372" t="s">
        <v>2376</v>
      </c>
      <c r="B2372">
        <v>0.99252571173614901</v>
      </c>
      <c r="C2372">
        <v>1.0636664324621301</v>
      </c>
      <c r="D2372">
        <v>0.68878951585172699</v>
      </c>
      <c r="E2372">
        <v>0.311759989881356</v>
      </c>
      <c r="F2372">
        <v>0.15564309584414299</v>
      </c>
      <c r="G2372">
        <v>8.3908553340040395E-2</v>
      </c>
      <c r="H2372">
        <v>6.1679152441552997E-2</v>
      </c>
      <c r="I2372">
        <v>6.2929205895726398E-2</v>
      </c>
      <c r="J2372">
        <v>7.0429792605132394E-2</v>
      </c>
      <c r="K2372">
        <v>6.8428864045412402E-2</v>
      </c>
      <c r="L2372">
        <v>1292.1791833875</v>
      </c>
      <c r="M2372">
        <v>27.183453482686598</v>
      </c>
      <c r="N2372">
        <v>47.814550825412802</v>
      </c>
      <c r="O2372">
        <v>47.280485249586398</v>
      </c>
      <c r="P2372">
        <v>-0.133193207739115</v>
      </c>
      <c r="Q2372">
        <v>7.3351180534136903E-2</v>
      </c>
      <c r="R2372">
        <v>0.98922793376048401</v>
      </c>
      <c r="S2372" t="s">
        <v>9018</v>
      </c>
      <c r="T2372" t="s">
        <v>13290</v>
      </c>
      <c r="U2372" t="s">
        <v>13290</v>
      </c>
      <c r="V2372" t="s">
        <v>13290</v>
      </c>
      <c r="W2372" t="s">
        <v>15623</v>
      </c>
      <c r="X2372">
        <v>23</v>
      </c>
      <c r="Y2372" t="s">
        <v>22172</v>
      </c>
      <c r="Z2372" t="s">
        <v>28702</v>
      </c>
      <c r="AA2372">
        <v>0.31296811452527318</v>
      </c>
      <c r="AB2372" t="str">
        <f>HYPERLINK("Melting_Curves/meltCurve_P26599_PTBP1.pdf", "Melting_Curves/meltCurve_P26599_PTBP1.pdf")</f>
        <v>Melting_Curves/meltCurve_P26599_PTBP1.pdf</v>
      </c>
    </row>
    <row r="2373" spans="1:28" x14ac:dyDescent="0.25">
      <c r="A2373" t="s">
        <v>2377</v>
      </c>
      <c r="B2373">
        <v>0.99252571173614901</v>
      </c>
      <c r="C2373">
        <v>0.60372834039711298</v>
      </c>
      <c r="D2373">
        <v>1.02075987104673</v>
      </c>
      <c r="E2373">
        <v>0.70605681387800101</v>
      </c>
      <c r="F2373">
        <v>0.18450700617537399</v>
      </c>
      <c r="G2373">
        <v>8.36475898555471E-2</v>
      </c>
      <c r="H2373">
        <v>5.6288711293573199E-2</v>
      </c>
      <c r="I2373">
        <v>5.7687025247847502E-2</v>
      </c>
      <c r="J2373">
        <v>5.5741328427472502E-2</v>
      </c>
      <c r="K2373">
        <v>5.6978015239168303E-2</v>
      </c>
      <c r="L2373">
        <v>1937.5216901441399</v>
      </c>
      <c r="M2373">
        <v>38.265579809215303</v>
      </c>
      <c r="N2373">
        <v>50.798230069303301</v>
      </c>
      <c r="O2373">
        <v>50.495848737093702</v>
      </c>
      <c r="P2373">
        <v>-0.17839694454645499</v>
      </c>
      <c r="Q2373">
        <v>5.8340959073003101E-2</v>
      </c>
      <c r="R2373">
        <v>0.89362562219136099</v>
      </c>
      <c r="S2373" t="s">
        <v>9019</v>
      </c>
      <c r="T2373" t="s">
        <v>13290</v>
      </c>
      <c r="U2373" t="s">
        <v>13290</v>
      </c>
      <c r="V2373" t="s">
        <v>13290</v>
      </c>
      <c r="W2373" t="s">
        <v>15624</v>
      </c>
      <c r="X2373">
        <v>53</v>
      </c>
      <c r="Y2373" t="s">
        <v>22173</v>
      </c>
      <c r="Z2373" t="s">
        <v>28703</v>
      </c>
      <c r="AA2373">
        <v>0.39571728634754089</v>
      </c>
      <c r="AB2373" t="str">
        <f>HYPERLINK("Melting_Curves/meltCurve_P26639_TARS.pdf", "Melting_Curves/meltCurve_P26639_TARS.pdf")</f>
        <v>Melting_Curves/meltCurve_P26639_TARS.pdf</v>
      </c>
    </row>
    <row r="2374" spans="1:28" x14ac:dyDescent="0.25">
      <c r="A2374" t="s">
        <v>2378</v>
      </c>
      <c r="B2374">
        <v>0.99252571173614901</v>
      </c>
      <c r="C2374">
        <v>0.74670615447403699</v>
      </c>
      <c r="D2374">
        <v>1.0826010483837001</v>
      </c>
      <c r="E2374">
        <v>0.81198655847514001</v>
      </c>
      <c r="F2374">
        <v>0.119484621699085</v>
      </c>
      <c r="G2374">
        <v>7.67933895184299E-2</v>
      </c>
      <c r="H2374">
        <v>4.6049841239091997E-2</v>
      </c>
      <c r="I2374">
        <v>4.71590202003433E-2</v>
      </c>
      <c r="J2374">
        <v>5.5412048079154903E-2</v>
      </c>
      <c r="K2374">
        <v>5.6299396105197103E-2</v>
      </c>
      <c r="L2374">
        <v>2990.1558085029201</v>
      </c>
      <c r="M2374">
        <v>58.879513066509098</v>
      </c>
      <c r="N2374">
        <v>50.887617468589603</v>
      </c>
      <c r="O2374">
        <v>50.725843024528402</v>
      </c>
      <c r="P2374">
        <v>-0.27384105901252898</v>
      </c>
      <c r="Q2374">
        <v>5.63230499877235E-2</v>
      </c>
      <c r="R2374">
        <v>0.95951896241587498</v>
      </c>
      <c r="S2374" t="s">
        <v>9020</v>
      </c>
      <c r="T2374" t="s">
        <v>13290</v>
      </c>
      <c r="U2374" t="s">
        <v>13290</v>
      </c>
      <c r="V2374" t="s">
        <v>13290</v>
      </c>
      <c r="W2374" t="s">
        <v>15625</v>
      </c>
      <c r="X2374">
        <v>33</v>
      </c>
      <c r="Y2374" t="s">
        <v>22174</v>
      </c>
      <c r="Z2374" t="s">
        <v>28704</v>
      </c>
      <c r="AA2374">
        <v>0.39707543697104442</v>
      </c>
      <c r="AB2374" t="str">
        <f>HYPERLINK("Melting_Curves/meltCurve_P26641_EEF1G.pdf", "Melting_Curves/meltCurve_P26641_EEF1G.pdf")</f>
        <v>Melting_Curves/meltCurve_P26641_EEF1G.pdf</v>
      </c>
    </row>
    <row r="2375" spans="1:28" x14ac:dyDescent="0.25">
      <c r="A2375" t="s">
        <v>2379</v>
      </c>
      <c r="B2375">
        <v>0.99252571173614901</v>
      </c>
      <c r="C2375">
        <v>1.10861998212892</v>
      </c>
      <c r="D2375">
        <v>0.99865011835844797</v>
      </c>
      <c r="E2375">
        <v>0.79206358074084104</v>
      </c>
      <c r="F2375">
        <v>0.52162227706711195</v>
      </c>
      <c r="G2375">
        <v>0.28859533291605799</v>
      </c>
      <c r="H2375">
        <v>0.20582942263729401</v>
      </c>
      <c r="I2375">
        <v>0.18334624216377499</v>
      </c>
      <c r="J2375">
        <v>0.205543696905818</v>
      </c>
      <c r="K2375">
        <v>0.17625360030008999</v>
      </c>
      <c r="L2375">
        <v>1237.1980790244099</v>
      </c>
      <c r="M2375">
        <v>23.673080179143</v>
      </c>
      <c r="N2375">
        <v>53.282870138434198</v>
      </c>
      <c r="O2375">
        <v>51.893148259382301</v>
      </c>
      <c r="P2375">
        <v>-9.3252649699985493E-2</v>
      </c>
      <c r="Q2375">
        <v>0.18234643570457601</v>
      </c>
      <c r="R2375">
        <v>0.98861401178593999</v>
      </c>
      <c r="S2375" t="s">
        <v>9021</v>
      </c>
      <c r="T2375" t="s">
        <v>13290</v>
      </c>
      <c r="U2375" t="s">
        <v>13290</v>
      </c>
      <c r="V2375" t="s">
        <v>13290</v>
      </c>
      <c r="W2375" t="s">
        <v>15626</v>
      </c>
      <c r="X2375">
        <v>9</v>
      </c>
      <c r="Y2375" t="s">
        <v>22175</v>
      </c>
      <c r="Z2375" t="s">
        <v>28705</v>
      </c>
      <c r="AA2375">
        <v>0.52484319102019117</v>
      </c>
      <c r="AB2375" t="str">
        <f>HYPERLINK("Melting_Curves/meltCurve_P26885_FKBP2.pdf", "Melting_Curves/meltCurve_P26885_FKBP2.pdf")</f>
        <v>Melting_Curves/meltCurve_P26885_FKBP2.pdf</v>
      </c>
    </row>
    <row r="2376" spans="1:28" x14ac:dyDescent="0.25">
      <c r="A2376" t="s">
        <v>2380</v>
      </c>
      <c r="B2376">
        <v>0.99252571173614901</v>
      </c>
      <c r="C2376">
        <v>1.0822180606593601</v>
      </c>
      <c r="D2376">
        <v>0.93095365330028701</v>
      </c>
      <c r="E2376">
        <v>1.0102105588686701</v>
      </c>
      <c r="F2376">
        <v>0.55512542885009597</v>
      </c>
      <c r="G2376">
        <v>0.18456094894932801</v>
      </c>
      <c r="H2376">
        <v>7.1501861206700199E-2</v>
      </c>
      <c r="I2376">
        <v>7.5511182817386002E-2</v>
      </c>
      <c r="J2376">
        <v>9.8792848828621202E-2</v>
      </c>
      <c r="K2376">
        <v>0.102661835180369</v>
      </c>
      <c r="L2376">
        <v>2294.1277923330299</v>
      </c>
      <c r="M2376">
        <v>43.022052892615299</v>
      </c>
      <c r="N2376">
        <v>53.5775825248286</v>
      </c>
      <c r="O2376">
        <v>53.209634071111097</v>
      </c>
      <c r="P2376">
        <v>-0.183544654108418</v>
      </c>
      <c r="Q2376">
        <v>9.1969987367525902E-2</v>
      </c>
      <c r="R2376">
        <v>0.99131874726301905</v>
      </c>
      <c r="S2376" t="s">
        <v>9022</v>
      </c>
      <c r="T2376" t="s">
        <v>13290</v>
      </c>
      <c r="U2376" t="s">
        <v>13290</v>
      </c>
      <c r="V2376" t="s">
        <v>13290</v>
      </c>
      <c r="W2376" t="s">
        <v>15627</v>
      </c>
      <c r="X2376">
        <v>14</v>
      </c>
      <c r="Y2376" t="s">
        <v>22176</v>
      </c>
      <c r="Z2376" t="s">
        <v>28706</v>
      </c>
      <c r="AA2376">
        <v>0.49815851240861708</v>
      </c>
      <c r="AB2376" t="str">
        <f>HYPERLINK("Melting_Curves/meltCurve_P27144_AK4.pdf", "Melting_Curves/meltCurve_P27144_AK4.pdf")</f>
        <v>Melting_Curves/meltCurve_P27144_AK4.pdf</v>
      </c>
    </row>
    <row r="2377" spans="1:28" x14ac:dyDescent="0.25">
      <c r="A2377" t="s">
        <v>2381</v>
      </c>
      <c r="B2377">
        <v>0.99252571173614901</v>
      </c>
      <c r="C2377">
        <v>0.89937937808693902</v>
      </c>
      <c r="D2377">
        <v>0.85851405204258502</v>
      </c>
      <c r="E2377">
        <v>0.78519312169621602</v>
      </c>
      <c r="F2377">
        <v>0.72802791083971896</v>
      </c>
      <c r="G2377">
        <v>0.56300788998672902</v>
      </c>
      <c r="H2377">
        <v>0.49405944711691402</v>
      </c>
      <c r="I2377">
        <v>0.59548537205899599</v>
      </c>
      <c r="J2377">
        <v>0.47818141582793899</v>
      </c>
      <c r="K2377">
        <v>0.33300937875388698</v>
      </c>
      <c r="L2377">
        <v>353.93916600620099</v>
      </c>
      <c r="M2377">
        <v>6.1263449504870904</v>
      </c>
      <c r="N2377">
        <v>63.056357212939297</v>
      </c>
      <c r="O2377">
        <v>52.525900365174103</v>
      </c>
      <c r="P2377">
        <v>-2.3375525372078099E-2</v>
      </c>
      <c r="Q2377">
        <v>0.20073665618228401</v>
      </c>
      <c r="R2377">
        <v>0.93359879195619999</v>
      </c>
      <c r="S2377" t="s">
        <v>9023</v>
      </c>
      <c r="T2377" t="s">
        <v>13290</v>
      </c>
      <c r="U2377" t="s">
        <v>13290</v>
      </c>
      <c r="V2377" t="s">
        <v>13290</v>
      </c>
      <c r="W2377" t="s">
        <v>15628</v>
      </c>
      <c r="X2377">
        <v>27</v>
      </c>
      <c r="Y2377" t="s">
        <v>22177</v>
      </c>
      <c r="Z2377" t="s">
        <v>28707</v>
      </c>
      <c r="AA2377">
        <v>0.67036324185388441</v>
      </c>
      <c r="AB2377" t="str">
        <f>HYPERLINK("Melting_Curves/meltCurve_P27338_MAOB.pdf", "Melting_Curves/meltCurve_P27338_MAOB.pdf")</f>
        <v>Melting_Curves/meltCurve_P27338_MAOB.pdf</v>
      </c>
    </row>
    <row r="2378" spans="1:28" x14ac:dyDescent="0.25">
      <c r="A2378" t="s">
        <v>2382</v>
      </c>
      <c r="B2378">
        <v>0.99252571173614901</v>
      </c>
      <c r="C2378">
        <v>0.95519456258278701</v>
      </c>
      <c r="D2378">
        <v>0.98494794100822802</v>
      </c>
      <c r="E2378">
        <v>0.85714555848904295</v>
      </c>
      <c r="F2378">
        <v>0.40434652176103703</v>
      </c>
      <c r="G2378">
        <v>0.14603830859747499</v>
      </c>
      <c r="H2378">
        <v>7.0136501118960901E-2</v>
      </c>
      <c r="I2378">
        <v>6.8147871362163298E-2</v>
      </c>
      <c r="J2378">
        <v>7.6071850110919104E-2</v>
      </c>
      <c r="K2378">
        <v>7.4912195117022698E-2</v>
      </c>
      <c r="L2378">
        <v>1644.7246850562501</v>
      </c>
      <c r="M2378">
        <v>31.478910044081299</v>
      </c>
      <c r="N2378">
        <v>52.499439495149097</v>
      </c>
      <c r="O2378">
        <v>52.038965632287002</v>
      </c>
      <c r="P2378">
        <v>-0.140664367370156</v>
      </c>
      <c r="Q2378">
        <v>6.9854904904110907E-2</v>
      </c>
      <c r="R2378">
        <v>0.99865650013336704</v>
      </c>
      <c r="S2378" t="s">
        <v>9024</v>
      </c>
      <c r="T2378" t="s">
        <v>13290</v>
      </c>
      <c r="U2378" t="s">
        <v>13290</v>
      </c>
      <c r="V2378" t="s">
        <v>13290</v>
      </c>
      <c r="W2378" t="s">
        <v>15629</v>
      </c>
      <c r="X2378">
        <v>26</v>
      </c>
      <c r="Y2378" t="s">
        <v>22178</v>
      </c>
      <c r="Z2378" t="s">
        <v>28708</v>
      </c>
      <c r="AA2378">
        <v>0.45503954252996348</v>
      </c>
      <c r="AB2378" t="str">
        <f>HYPERLINK("Melting_Curves/meltCurve_P27348_YWHAQ.pdf", "Melting_Curves/meltCurve_P27348_YWHAQ.pdf")</f>
        <v>Melting_Curves/meltCurve_P27348_YWHAQ.pdf</v>
      </c>
    </row>
    <row r="2379" spans="1:28" x14ac:dyDescent="0.25">
      <c r="A2379" t="s">
        <v>2383</v>
      </c>
      <c r="B2379">
        <v>0.99252571173614901</v>
      </c>
      <c r="C2379">
        <v>1.01282953973312</v>
      </c>
      <c r="D2379">
        <v>0.89875915795549399</v>
      </c>
      <c r="E2379">
        <v>0.58549909952315105</v>
      </c>
      <c r="F2379">
        <v>0.19287978801332101</v>
      </c>
      <c r="G2379">
        <v>0.119660369047736</v>
      </c>
      <c r="H2379">
        <v>0.111036076750421</v>
      </c>
      <c r="I2379">
        <v>0.117114238591033</v>
      </c>
      <c r="J2379">
        <v>0.123810240835107</v>
      </c>
      <c r="K2379">
        <v>0.112093023457009</v>
      </c>
      <c r="L2379">
        <v>1533.6116139328501</v>
      </c>
      <c r="M2379">
        <v>30.8611940612365</v>
      </c>
      <c r="N2379">
        <v>50.096796601460703</v>
      </c>
      <c r="O2379">
        <v>49.486594968615798</v>
      </c>
      <c r="P2379">
        <v>-0.13877218430962199</v>
      </c>
      <c r="Q2379">
        <v>0.10990834760852</v>
      </c>
      <c r="R2379">
        <v>0.99827891554741599</v>
      </c>
      <c r="S2379" t="s">
        <v>9025</v>
      </c>
      <c r="T2379" t="s">
        <v>13290</v>
      </c>
      <c r="U2379" t="s">
        <v>13290</v>
      </c>
      <c r="V2379" t="s">
        <v>13290</v>
      </c>
      <c r="W2379" t="s">
        <v>15630</v>
      </c>
      <c r="X2379">
        <v>14</v>
      </c>
      <c r="Y2379" t="s">
        <v>22179</v>
      </c>
      <c r="Z2379" t="s">
        <v>28709</v>
      </c>
      <c r="AA2379">
        <v>0.40269471133185508</v>
      </c>
      <c r="AB2379" t="str">
        <f>HYPERLINK("Melting_Curves/meltCurve_P27361_MAPK3.pdf", "Melting_Curves/meltCurve_P27361_MAPK3.pdf")</f>
        <v>Melting_Curves/meltCurve_P27361_MAPK3.pdf</v>
      </c>
    </row>
    <row r="2380" spans="1:28" x14ac:dyDescent="0.25">
      <c r="A2380" t="s">
        <v>2384</v>
      </c>
      <c r="B2380">
        <v>0.99252571173614901</v>
      </c>
      <c r="C2380">
        <v>0.96171672428393495</v>
      </c>
      <c r="D2380">
        <v>0.95973953412266699</v>
      </c>
      <c r="E2380">
        <v>0.82941912549036501</v>
      </c>
      <c r="F2380">
        <v>0.89103220985984899</v>
      </c>
      <c r="G2380">
        <v>0.69823174627227502</v>
      </c>
      <c r="H2380">
        <v>0.60505368890447597</v>
      </c>
      <c r="I2380">
        <v>0.77000815328796102</v>
      </c>
      <c r="J2380">
        <v>1.73665930521492</v>
      </c>
      <c r="K2380">
        <v>1.95539033165124</v>
      </c>
      <c r="L2380">
        <v>7270.4111853159302</v>
      </c>
      <c r="M2380">
        <v>110.99524813315401</v>
      </c>
      <c r="O2380">
        <v>65.4807489926025</v>
      </c>
      <c r="P2380">
        <v>0.211885276521486</v>
      </c>
      <c r="Q2380">
        <v>1.5</v>
      </c>
      <c r="R2380">
        <v>0.64019797194070405</v>
      </c>
      <c r="S2380" t="s">
        <v>9026</v>
      </c>
      <c r="T2380" t="s">
        <v>13290</v>
      </c>
      <c r="U2380" t="s">
        <v>13290</v>
      </c>
      <c r="V2380" t="s">
        <v>13290</v>
      </c>
      <c r="W2380" t="s">
        <v>15631</v>
      </c>
      <c r="X2380">
        <v>1</v>
      </c>
      <c r="Y2380" t="s">
        <v>22180</v>
      </c>
      <c r="Z2380" t="s">
        <v>28710</v>
      </c>
      <c r="AA2380">
        <v>1.0746838979524651</v>
      </c>
      <c r="AB2380" t="str">
        <f>HYPERLINK("Melting_Curves/meltCurve_P27449_ATP6V0C.pdf", "Melting_Curves/meltCurve_P27449_ATP6V0C.pdf")</f>
        <v>Melting_Curves/meltCurve_P27449_ATP6V0C.pdf</v>
      </c>
    </row>
    <row r="2381" spans="1:28" x14ac:dyDescent="0.25">
      <c r="A2381" t="s">
        <v>2385</v>
      </c>
      <c r="B2381">
        <v>0.99252571173614901</v>
      </c>
      <c r="C2381">
        <v>1.07132472150882</v>
      </c>
      <c r="D2381">
        <v>0.95424463178813401</v>
      </c>
      <c r="E2381">
        <v>0.84278249811565897</v>
      </c>
      <c r="F2381">
        <v>0.81583329870975296</v>
      </c>
      <c r="G2381">
        <v>0.69844190352430302</v>
      </c>
      <c r="H2381">
        <v>0.70658947307031905</v>
      </c>
      <c r="I2381">
        <v>0.94340270141628602</v>
      </c>
      <c r="J2381">
        <v>1.35771870371758</v>
      </c>
      <c r="K2381">
        <v>1.41985057463706</v>
      </c>
      <c r="L2381">
        <v>15000</v>
      </c>
      <c r="M2381">
        <v>225.29575847311199</v>
      </c>
      <c r="O2381">
        <v>66.573903493766906</v>
      </c>
      <c r="P2381">
        <v>0.35524610653706801</v>
      </c>
      <c r="Q2381">
        <v>1.41989463309303</v>
      </c>
      <c r="R2381">
        <v>0.54962289713578305</v>
      </c>
      <c r="S2381" t="s">
        <v>9027</v>
      </c>
      <c r="T2381" t="s">
        <v>13290</v>
      </c>
      <c r="U2381" t="s">
        <v>13290</v>
      </c>
      <c r="V2381" t="s">
        <v>13290</v>
      </c>
      <c r="W2381" t="s">
        <v>15632</v>
      </c>
      <c r="X2381">
        <v>16</v>
      </c>
      <c r="Y2381" t="s">
        <v>22181</v>
      </c>
      <c r="Z2381" t="s">
        <v>28711</v>
      </c>
      <c r="AA2381">
        <v>1.0478195521194611</v>
      </c>
      <c r="AB2381" t="str">
        <f>HYPERLINK("Melting_Curves/meltCurve_P27482_CALML3.pdf", "Melting_Curves/meltCurve_P27482_CALML3.pdf")</f>
        <v>Melting_Curves/meltCurve_P27482_CALML3.pdf</v>
      </c>
    </row>
    <row r="2382" spans="1:28" x14ac:dyDescent="0.25">
      <c r="A2382" t="s">
        <v>2386</v>
      </c>
      <c r="B2382">
        <v>0.99252571173614901</v>
      </c>
      <c r="C2382">
        <v>0.96618834769407302</v>
      </c>
      <c r="D2382">
        <v>0.74119106924711498</v>
      </c>
      <c r="E2382">
        <v>0.525975112867339</v>
      </c>
      <c r="F2382">
        <v>0.210189145571756</v>
      </c>
      <c r="G2382">
        <v>0.10178326645715199</v>
      </c>
      <c r="H2382">
        <v>8.3778442083399698E-2</v>
      </c>
      <c r="I2382">
        <v>9.0478461700854301E-2</v>
      </c>
      <c r="J2382">
        <v>0.13402124642650001</v>
      </c>
      <c r="K2382">
        <v>0.150708699024342</v>
      </c>
      <c r="L2382">
        <v>995.60228729637197</v>
      </c>
      <c r="M2382">
        <v>20.432451201766099</v>
      </c>
      <c r="N2382">
        <v>49.253413809445199</v>
      </c>
      <c r="O2382">
        <v>48.2670055519988</v>
      </c>
      <c r="P2382">
        <v>-9.5443926772343396E-2</v>
      </c>
      <c r="Q2382">
        <v>9.8169326471057999E-2</v>
      </c>
      <c r="R2382">
        <v>0.98922321222421705</v>
      </c>
      <c r="S2382" t="s">
        <v>9028</v>
      </c>
      <c r="T2382" t="s">
        <v>13290</v>
      </c>
      <c r="U2382" t="s">
        <v>13290</v>
      </c>
      <c r="V2382" t="s">
        <v>13290</v>
      </c>
      <c r="W2382" t="s">
        <v>15633</v>
      </c>
      <c r="X2382">
        <v>9</v>
      </c>
      <c r="Y2382" t="s">
        <v>22182</v>
      </c>
      <c r="Z2382" t="s">
        <v>28712</v>
      </c>
      <c r="AA2382">
        <v>0.37262060854319817</v>
      </c>
      <c r="AB2382" t="str">
        <f>HYPERLINK("Melting_Curves/meltCurve_P27540_2_ARNT.pdf", "Melting_Curves/meltCurve_P27540_2_ARNT.pdf")</f>
        <v>Melting_Curves/meltCurve_P27540_2_ARNT.pdf</v>
      </c>
    </row>
    <row r="2383" spans="1:28" x14ac:dyDescent="0.25">
      <c r="A2383" t="s">
        <v>2387</v>
      </c>
      <c r="B2383">
        <v>0.99252571173614901</v>
      </c>
      <c r="C2383">
        <v>1.00209774427063</v>
      </c>
      <c r="D2383">
        <v>0.99285556402892206</v>
      </c>
      <c r="E2383">
        <v>1.00796168975324</v>
      </c>
      <c r="F2383">
        <v>0.669448640818332</v>
      </c>
      <c r="G2383">
        <v>0.482806856059462</v>
      </c>
      <c r="H2383">
        <v>0.211061046005947</v>
      </c>
      <c r="I2383">
        <v>0.14381163549369599</v>
      </c>
      <c r="J2383">
        <v>0.14214122604896001</v>
      </c>
      <c r="K2383">
        <v>0.13525029868314201</v>
      </c>
      <c r="L2383">
        <v>1199.8392687268399</v>
      </c>
      <c r="M2383">
        <v>21.698959004500502</v>
      </c>
      <c r="N2383">
        <v>55.986782182368302</v>
      </c>
      <c r="O2383">
        <v>54.831580331245299</v>
      </c>
      <c r="P2383">
        <v>-8.7299865291442097E-2</v>
      </c>
      <c r="Q2383">
        <v>0.11762095518268501</v>
      </c>
      <c r="R2383">
        <v>0.99082158983228696</v>
      </c>
      <c r="S2383" t="s">
        <v>9029</v>
      </c>
      <c r="T2383" t="s">
        <v>13290</v>
      </c>
      <c r="U2383" t="s">
        <v>13290</v>
      </c>
      <c r="V2383" t="s">
        <v>13290</v>
      </c>
      <c r="W2383" t="s">
        <v>15634</v>
      </c>
      <c r="X2383">
        <v>13</v>
      </c>
      <c r="Y2383" t="s">
        <v>22183</v>
      </c>
      <c r="Z2383" t="s">
        <v>28713</v>
      </c>
      <c r="AA2383">
        <v>0.57777955233131661</v>
      </c>
      <c r="AB2383" t="str">
        <f>HYPERLINK("Melting_Curves/meltCurve_P27635_RPL10.pdf", "Melting_Curves/meltCurve_P27635_RPL10.pdf")</f>
        <v>Melting_Curves/meltCurve_P27635_RPL10.pdf</v>
      </c>
    </row>
    <row r="2384" spans="1:28" x14ac:dyDescent="0.25">
      <c r="A2384" t="s">
        <v>2388</v>
      </c>
      <c r="B2384">
        <v>0.99252571173614901</v>
      </c>
      <c r="C2384">
        <v>0.94854312193506396</v>
      </c>
      <c r="D2384">
        <v>1.0082220634542001</v>
      </c>
      <c r="E2384">
        <v>0.68640985193145998</v>
      </c>
      <c r="F2384">
        <v>0.32199958364456099</v>
      </c>
      <c r="G2384">
        <v>0.162468113479731</v>
      </c>
      <c r="H2384">
        <v>8.7438239217809702E-2</v>
      </c>
      <c r="I2384">
        <v>9.3321764449487393E-2</v>
      </c>
      <c r="J2384">
        <v>9.4802518973998495E-2</v>
      </c>
      <c r="K2384">
        <v>8.9313558617648295E-2</v>
      </c>
      <c r="L2384">
        <v>1364.5309255591101</v>
      </c>
      <c r="M2384">
        <v>26.767208953223999</v>
      </c>
      <c r="N2384">
        <v>51.363213115433801</v>
      </c>
      <c r="O2384">
        <v>50.695728214817699</v>
      </c>
      <c r="P2384">
        <v>-0.11998818660664699</v>
      </c>
      <c r="Q2384">
        <v>9.1003320266992094E-2</v>
      </c>
      <c r="R2384">
        <v>0.99590500454904096</v>
      </c>
      <c r="S2384" t="s">
        <v>9030</v>
      </c>
      <c r="T2384" t="s">
        <v>13290</v>
      </c>
      <c r="U2384" t="s">
        <v>13290</v>
      </c>
      <c r="V2384" t="s">
        <v>13290</v>
      </c>
      <c r="W2384" t="s">
        <v>15635</v>
      </c>
      <c r="X2384">
        <v>22</v>
      </c>
      <c r="Y2384" t="s">
        <v>22184</v>
      </c>
      <c r="Z2384" t="s">
        <v>28714</v>
      </c>
      <c r="AA2384">
        <v>0.43079929283853641</v>
      </c>
      <c r="AB2384" t="str">
        <f>HYPERLINK("Melting_Curves/meltCurve_P27694_RPA1.pdf", "Melting_Curves/meltCurve_P27694_RPA1.pdf")</f>
        <v>Melting_Curves/meltCurve_P27694_RPA1.pdf</v>
      </c>
    </row>
    <row r="2385" spans="1:28" x14ac:dyDescent="0.25">
      <c r="A2385" t="s">
        <v>2389</v>
      </c>
      <c r="B2385">
        <v>0.99252571173614901</v>
      </c>
      <c r="C2385">
        <v>1.06692140887755</v>
      </c>
      <c r="D2385">
        <v>0.87186004111483795</v>
      </c>
      <c r="E2385">
        <v>0.454152018031798</v>
      </c>
      <c r="F2385">
        <v>0.129180043802717</v>
      </c>
      <c r="G2385">
        <v>8.4455936790925196E-2</v>
      </c>
      <c r="H2385">
        <v>6.3144701403137202E-2</v>
      </c>
      <c r="I2385">
        <v>6.5652801963079696E-2</v>
      </c>
      <c r="J2385">
        <v>6.3886789939762004E-2</v>
      </c>
      <c r="K2385">
        <v>6.2039726063092798E-2</v>
      </c>
      <c r="L2385">
        <v>1529.6509040717399</v>
      </c>
      <c r="M2385">
        <v>31.206747138064401</v>
      </c>
      <c r="N2385">
        <v>49.231346614040497</v>
      </c>
      <c r="O2385">
        <v>48.816710751571797</v>
      </c>
      <c r="P2385">
        <v>-0.14965073606333401</v>
      </c>
      <c r="Q2385">
        <v>6.3610702159383303E-2</v>
      </c>
      <c r="R2385">
        <v>0.99590714115298395</v>
      </c>
      <c r="S2385" t="s">
        <v>9031</v>
      </c>
      <c r="T2385" t="s">
        <v>13290</v>
      </c>
      <c r="U2385" t="s">
        <v>13290</v>
      </c>
      <c r="V2385" t="s">
        <v>13290</v>
      </c>
      <c r="W2385" t="s">
        <v>15636</v>
      </c>
      <c r="X2385">
        <v>26</v>
      </c>
      <c r="Y2385" t="s">
        <v>22185</v>
      </c>
      <c r="Z2385" t="s">
        <v>28715</v>
      </c>
      <c r="AA2385">
        <v>0.35030994510467789</v>
      </c>
      <c r="AB2385" t="str">
        <f>HYPERLINK("Melting_Curves/meltCurve_P27695_APEX1.pdf", "Melting_Curves/meltCurve_P27695_APEX1.pdf")</f>
        <v>Melting_Curves/meltCurve_P27695_APEX1.pdf</v>
      </c>
    </row>
    <row r="2386" spans="1:28" x14ac:dyDescent="0.25">
      <c r="A2386" t="s">
        <v>2390</v>
      </c>
      <c r="B2386">
        <v>0.99252571173614901</v>
      </c>
      <c r="C2386">
        <v>1.1198376290245</v>
      </c>
      <c r="D2386">
        <v>0.73053698169134096</v>
      </c>
      <c r="E2386">
        <v>0.50782175738684299</v>
      </c>
      <c r="F2386">
        <v>0.22511071901798199</v>
      </c>
      <c r="G2386">
        <v>0.13363629330292801</v>
      </c>
      <c r="H2386">
        <v>0.10837024217958</v>
      </c>
      <c r="I2386">
        <v>0.11836920567444</v>
      </c>
      <c r="J2386">
        <v>0.17538642764729001</v>
      </c>
      <c r="K2386">
        <v>0.14348668467204501</v>
      </c>
      <c r="L2386">
        <v>1144.0261324063099</v>
      </c>
      <c r="M2386">
        <v>23.5293640701091</v>
      </c>
      <c r="N2386">
        <v>49.2489804201239</v>
      </c>
      <c r="O2386">
        <v>48.274102563806302</v>
      </c>
      <c r="P2386">
        <v>-0.106067066898251</v>
      </c>
      <c r="Q2386">
        <v>0.12956359738034401</v>
      </c>
      <c r="R2386">
        <v>0.97227025585788496</v>
      </c>
      <c r="S2386" t="s">
        <v>9032</v>
      </c>
      <c r="T2386" t="s">
        <v>13290</v>
      </c>
      <c r="U2386" t="s">
        <v>13290</v>
      </c>
      <c r="V2386" t="s">
        <v>13290</v>
      </c>
      <c r="W2386" t="s">
        <v>15637</v>
      </c>
      <c r="X2386">
        <v>31</v>
      </c>
      <c r="Y2386" t="s">
        <v>21076</v>
      </c>
      <c r="Z2386" t="s">
        <v>28716</v>
      </c>
      <c r="AA2386">
        <v>0.388438800468275</v>
      </c>
      <c r="AB2386" t="str">
        <f>HYPERLINK("Melting_Curves/meltCurve_P27797_CALR.pdf", "Melting_Curves/meltCurve_P27797_CALR.pdf")</f>
        <v>Melting_Curves/meltCurve_P27797_CALR.pdf</v>
      </c>
    </row>
    <row r="2387" spans="1:28" x14ac:dyDescent="0.25">
      <c r="A2387" t="s">
        <v>2391</v>
      </c>
      <c r="B2387">
        <v>0.99252571173614901</v>
      </c>
      <c r="C2387">
        <v>1.00881778262226</v>
      </c>
      <c r="D2387">
        <v>0.79996208313242501</v>
      </c>
      <c r="E2387">
        <v>0.89536462298737496</v>
      </c>
      <c r="F2387">
        <v>0.73973592640624497</v>
      </c>
      <c r="G2387">
        <v>0.50432846662179598</v>
      </c>
      <c r="H2387">
        <v>0.44322006100734601</v>
      </c>
      <c r="I2387">
        <v>0.55508455300431803</v>
      </c>
      <c r="J2387">
        <v>0.91300260009150702</v>
      </c>
      <c r="K2387">
        <v>0.84219575861478302</v>
      </c>
      <c r="L2387">
        <v>950.26125543048704</v>
      </c>
      <c r="M2387">
        <v>19.742977113655702</v>
      </c>
      <c r="O2387">
        <v>47.645964339863703</v>
      </c>
      <c r="P2387">
        <v>-3.4886725391618002E-2</v>
      </c>
      <c r="Q2387">
        <v>0.66324131989419999</v>
      </c>
      <c r="R2387">
        <v>0.430252584109585</v>
      </c>
      <c r="S2387" t="s">
        <v>9033</v>
      </c>
      <c r="T2387" t="s">
        <v>13290</v>
      </c>
      <c r="U2387" t="s">
        <v>13290</v>
      </c>
      <c r="V2387" t="s">
        <v>13290</v>
      </c>
      <c r="W2387" t="s">
        <v>15638</v>
      </c>
      <c r="X2387">
        <v>41</v>
      </c>
      <c r="Y2387" t="s">
        <v>20388</v>
      </c>
      <c r="Z2387" t="s">
        <v>28717</v>
      </c>
      <c r="AA2387">
        <v>0.75942627412723263</v>
      </c>
      <c r="AB2387" t="str">
        <f>HYPERLINK("Melting_Curves/meltCurve_P27816_5_MAP4.pdf", "Melting_Curves/meltCurve_P27816_5_MAP4.pdf")</f>
        <v>Melting_Curves/meltCurve_P27816_5_MAP4.pdf</v>
      </c>
    </row>
    <row r="2388" spans="1:28" x14ac:dyDescent="0.25">
      <c r="A2388" t="s">
        <v>2392</v>
      </c>
      <c r="B2388">
        <v>0.99252571173614901</v>
      </c>
      <c r="C2388">
        <v>0.84262468827565395</v>
      </c>
      <c r="D2388">
        <v>0.59269190325012899</v>
      </c>
      <c r="E2388">
        <v>0.42230578028314097</v>
      </c>
      <c r="F2388">
        <v>0.18468010471435301</v>
      </c>
      <c r="G2388">
        <v>0.109149354702939</v>
      </c>
      <c r="H2388">
        <v>7.5560691910616498E-2</v>
      </c>
      <c r="I2388">
        <v>8.6218598869256896E-2</v>
      </c>
      <c r="J2388">
        <v>0.114203994749079</v>
      </c>
      <c r="K2388">
        <v>9.0746075308195298E-2</v>
      </c>
      <c r="L2388">
        <v>762.57518250799797</v>
      </c>
      <c r="M2388">
        <v>16.1599009193237</v>
      </c>
      <c r="N2388">
        <v>47.675129284061697</v>
      </c>
      <c r="O2388">
        <v>46.484435885464102</v>
      </c>
      <c r="P2388">
        <v>-8.03190313373289E-2</v>
      </c>
      <c r="Q2388">
        <v>7.5908886177190396E-2</v>
      </c>
      <c r="R2388">
        <v>0.99150949585773596</v>
      </c>
      <c r="S2388" t="s">
        <v>9034</v>
      </c>
      <c r="T2388" t="s">
        <v>13290</v>
      </c>
      <c r="U2388" t="s">
        <v>13290</v>
      </c>
      <c r="V2388" t="s">
        <v>13290</v>
      </c>
      <c r="W2388" t="s">
        <v>15639</v>
      </c>
      <c r="X2388">
        <v>24</v>
      </c>
      <c r="Y2388" t="s">
        <v>22186</v>
      </c>
      <c r="Z2388" t="s">
        <v>28718</v>
      </c>
      <c r="AA2388">
        <v>0.3186304673427196</v>
      </c>
      <c r="AB2388" t="str">
        <f>HYPERLINK("Melting_Curves/meltCurve_P27824_CANX.pdf", "Melting_Curves/meltCurve_P27824_CANX.pdf")</f>
        <v>Melting_Curves/meltCurve_P27824_CANX.pdf</v>
      </c>
    </row>
    <row r="2389" spans="1:28" x14ac:dyDescent="0.25">
      <c r="A2389" t="s">
        <v>2393</v>
      </c>
      <c r="B2389">
        <v>0.99252571173614901</v>
      </c>
      <c r="C2389">
        <v>0.93817269943441906</v>
      </c>
      <c r="D2389">
        <v>0.97487447182300901</v>
      </c>
      <c r="E2389">
        <v>0.76426044029344098</v>
      </c>
      <c r="F2389">
        <v>0.22246442792896801</v>
      </c>
      <c r="G2389">
        <v>0.175048991069927</v>
      </c>
      <c r="H2389">
        <v>0.121133465132891</v>
      </c>
      <c r="I2389">
        <v>0.16439914098660699</v>
      </c>
      <c r="J2389">
        <v>0.18706384657589201</v>
      </c>
      <c r="K2389">
        <v>0.187558299619309</v>
      </c>
      <c r="L2389">
        <v>2557.8753699584099</v>
      </c>
      <c r="M2389">
        <v>50.647890119639499</v>
      </c>
      <c r="N2389">
        <v>50.908400677550901</v>
      </c>
      <c r="O2389">
        <v>50.424551497188702</v>
      </c>
      <c r="P2389">
        <v>-0.20944366632756001</v>
      </c>
      <c r="Q2389">
        <v>0.16592028841081299</v>
      </c>
      <c r="R2389">
        <v>0.99467609709666804</v>
      </c>
      <c r="S2389" t="s">
        <v>9035</v>
      </c>
      <c r="T2389" t="s">
        <v>13290</v>
      </c>
      <c r="U2389" t="s">
        <v>13290</v>
      </c>
      <c r="V2389" t="s">
        <v>13290</v>
      </c>
      <c r="W2389" t="s">
        <v>15640</v>
      </c>
      <c r="X2389">
        <v>5</v>
      </c>
      <c r="Y2389" t="s">
        <v>22187</v>
      </c>
      <c r="Z2389" t="s">
        <v>28719</v>
      </c>
      <c r="AA2389">
        <v>0.4597449109343254</v>
      </c>
      <c r="AB2389" t="str">
        <f>HYPERLINK("Melting_Curves/meltCurve_P27986_PIK3R1.pdf", "Melting_Curves/meltCurve_P27986_PIK3R1.pdf")</f>
        <v>Melting_Curves/meltCurve_P27986_PIK3R1.pdf</v>
      </c>
    </row>
    <row r="2390" spans="1:28" x14ac:dyDescent="0.25">
      <c r="A2390" t="s">
        <v>2394</v>
      </c>
      <c r="B2390">
        <v>0.99252571173614901</v>
      </c>
      <c r="C2390">
        <v>0.69961923408341098</v>
      </c>
      <c r="D2390">
        <v>0.33094631002063801</v>
      </c>
      <c r="E2390">
        <v>0.312777007099103</v>
      </c>
      <c r="F2390">
        <v>0.20494935992642899</v>
      </c>
      <c r="G2390">
        <v>0.154451629580551</v>
      </c>
      <c r="H2390">
        <v>0.158616203813782</v>
      </c>
      <c r="I2390">
        <v>0.211803877668894</v>
      </c>
      <c r="J2390">
        <v>0.42456671239085297</v>
      </c>
      <c r="K2390">
        <v>0.479176386875108</v>
      </c>
      <c r="L2390">
        <v>1884.8237575012399</v>
      </c>
      <c r="M2390">
        <v>43.5805053675031</v>
      </c>
      <c r="N2390">
        <v>44.070091275045797</v>
      </c>
      <c r="O2390">
        <v>43.158473067974803</v>
      </c>
      <c r="P2390">
        <v>-0.182277614382891</v>
      </c>
      <c r="Q2390">
        <v>0.27795129874947</v>
      </c>
      <c r="R2390">
        <v>0.84289561075728103</v>
      </c>
      <c r="S2390" t="s">
        <v>9036</v>
      </c>
      <c r="T2390" t="s">
        <v>13290</v>
      </c>
      <c r="U2390" t="s">
        <v>13290</v>
      </c>
      <c r="V2390" t="s">
        <v>13290</v>
      </c>
      <c r="W2390" t="s">
        <v>15641</v>
      </c>
      <c r="X2390">
        <v>4</v>
      </c>
      <c r="Y2390" t="s">
        <v>22188</v>
      </c>
      <c r="Z2390" t="s">
        <v>28720</v>
      </c>
      <c r="AA2390">
        <v>0.35853217459849263</v>
      </c>
      <c r="AB2390" t="str">
        <f>HYPERLINK("Melting_Curves/meltCurve_P27987_ITPKB.pdf", "Melting_Curves/meltCurve_P27987_ITPKB.pdf")</f>
        <v>Melting_Curves/meltCurve_P27987_ITPKB.pdf</v>
      </c>
    </row>
    <row r="2391" spans="1:28" x14ac:dyDescent="0.25">
      <c r="A2391" t="s">
        <v>2395</v>
      </c>
      <c r="B2391">
        <v>0.99252571173614901</v>
      </c>
      <c r="C2391">
        <v>1.0142449233539701</v>
      </c>
      <c r="D2391">
        <v>0.978956148703093</v>
      </c>
      <c r="E2391">
        <v>0.92785507283894697</v>
      </c>
      <c r="F2391">
        <v>0.75435810652203905</v>
      </c>
      <c r="G2391">
        <v>0.65484320578154398</v>
      </c>
      <c r="H2391">
        <v>0.92162827839498196</v>
      </c>
      <c r="I2391">
        <v>1.3856623212227099</v>
      </c>
      <c r="J2391">
        <v>2.16225366730461</v>
      </c>
      <c r="K2391">
        <v>1.39920390029172</v>
      </c>
      <c r="L2391">
        <v>15000</v>
      </c>
      <c r="M2391">
        <v>235.590981670536</v>
      </c>
      <c r="O2391">
        <v>63.665082229974402</v>
      </c>
      <c r="P2391">
        <v>0.462559254569681</v>
      </c>
      <c r="Q2391">
        <v>1.5</v>
      </c>
      <c r="R2391">
        <v>0.62524192641985699</v>
      </c>
      <c r="S2391" t="s">
        <v>9037</v>
      </c>
      <c r="T2391" t="s">
        <v>13290</v>
      </c>
      <c r="U2391" t="s">
        <v>13290</v>
      </c>
      <c r="V2391" t="s">
        <v>13290</v>
      </c>
      <c r="W2391" t="s">
        <v>15642</v>
      </c>
      <c r="X2391">
        <v>4</v>
      </c>
      <c r="Y2391" t="s">
        <v>22189</v>
      </c>
      <c r="Z2391" t="s">
        <v>28721</v>
      </c>
      <c r="AA2391">
        <v>1.105442589612202</v>
      </c>
      <c r="AB2391" t="str">
        <f>HYPERLINK("Melting_Curves/meltCurve_P28062_2_PSMB8.pdf", "Melting_Curves/meltCurve_P28062_2_PSMB8.pdf")</f>
        <v>Melting_Curves/meltCurve_P28062_2_PSMB8.pdf</v>
      </c>
    </row>
    <row r="2392" spans="1:28" x14ac:dyDescent="0.25">
      <c r="A2392" t="s">
        <v>2396</v>
      </c>
      <c r="B2392">
        <v>0.99252571173614901</v>
      </c>
      <c r="C2392">
        <v>0.95164552366963295</v>
      </c>
      <c r="D2392">
        <v>1.1310304621459599</v>
      </c>
      <c r="E2392">
        <v>1.12630217292646</v>
      </c>
      <c r="F2392">
        <v>1.0296187255828799</v>
      </c>
      <c r="G2392">
        <v>0.878949414047695</v>
      </c>
      <c r="H2392">
        <v>1.3755686362209301</v>
      </c>
      <c r="I2392">
        <v>2.0045269153565899</v>
      </c>
      <c r="J2392">
        <v>3.0417391040739101</v>
      </c>
      <c r="K2392">
        <v>1.8363560310122899</v>
      </c>
      <c r="L2392">
        <v>15000</v>
      </c>
      <c r="M2392">
        <v>247.81525472085801</v>
      </c>
      <c r="O2392">
        <v>60.525020544964697</v>
      </c>
      <c r="P2392">
        <v>0.51180333654333898</v>
      </c>
      <c r="Q2392">
        <v>1.5</v>
      </c>
      <c r="R2392">
        <v>0.32815161544315902</v>
      </c>
      <c r="S2392" t="s">
        <v>9038</v>
      </c>
      <c r="T2392" t="s">
        <v>13290</v>
      </c>
      <c r="U2392" t="s">
        <v>13290</v>
      </c>
      <c r="V2392" t="s">
        <v>13290</v>
      </c>
      <c r="W2392" t="s">
        <v>15643</v>
      </c>
      <c r="X2392">
        <v>13</v>
      </c>
      <c r="Y2392" t="s">
        <v>22190</v>
      </c>
      <c r="Z2392" t="s">
        <v>28722</v>
      </c>
      <c r="AA2392">
        <v>1.1577965879454459</v>
      </c>
      <c r="AB2392" t="str">
        <f>HYPERLINK("Melting_Curves/meltCurve_P28066_PSMA5.pdf", "Melting_Curves/meltCurve_P28066_PSMA5.pdf")</f>
        <v>Melting_Curves/meltCurve_P28066_PSMA5.pdf</v>
      </c>
    </row>
    <row r="2393" spans="1:28" x14ac:dyDescent="0.25">
      <c r="A2393" t="s">
        <v>2397</v>
      </c>
      <c r="B2393">
        <v>0.99252571173614901</v>
      </c>
      <c r="C2393">
        <v>0.974191777278275</v>
      </c>
      <c r="D2393">
        <v>1.0523987505824299</v>
      </c>
      <c r="E2393">
        <v>1.0672497743576199</v>
      </c>
      <c r="F2393">
        <v>1.2588472425070201</v>
      </c>
      <c r="G2393">
        <v>1.10079331675568</v>
      </c>
      <c r="H2393">
        <v>1.7920175077764799</v>
      </c>
      <c r="I2393">
        <v>2.5030883180316699</v>
      </c>
      <c r="J2393">
        <v>4.0042954418684698</v>
      </c>
      <c r="K2393">
        <v>2.45408010687534</v>
      </c>
      <c r="L2393">
        <v>14278.179607010399</v>
      </c>
      <c r="M2393">
        <v>250</v>
      </c>
      <c r="O2393">
        <v>57.109072311938199</v>
      </c>
      <c r="P2393">
        <v>0.54719860665286402</v>
      </c>
      <c r="Q2393">
        <v>1.5</v>
      </c>
      <c r="R2393">
        <v>6.5002156555462695E-2</v>
      </c>
      <c r="S2393" t="s">
        <v>9039</v>
      </c>
      <c r="T2393" t="s">
        <v>13290</v>
      </c>
      <c r="U2393" t="s">
        <v>13290</v>
      </c>
      <c r="V2393" t="s">
        <v>13290</v>
      </c>
      <c r="W2393" t="s">
        <v>15644</v>
      </c>
      <c r="X2393">
        <v>8</v>
      </c>
      <c r="Y2393" t="s">
        <v>22191</v>
      </c>
      <c r="Z2393" t="s">
        <v>28723</v>
      </c>
      <c r="AA2393">
        <v>1.2147379102333209</v>
      </c>
      <c r="AB2393" t="str">
        <f>HYPERLINK("Melting_Curves/meltCurve_P28070_PSMB4.pdf", "Melting_Curves/meltCurve_P28070_PSMB4.pdf")</f>
        <v>Melting_Curves/meltCurve_P28070_PSMB4.pdf</v>
      </c>
    </row>
    <row r="2394" spans="1:28" x14ac:dyDescent="0.25">
      <c r="A2394" t="s">
        <v>2398</v>
      </c>
      <c r="B2394">
        <v>0.99252571173614901</v>
      </c>
      <c r="C2394">
        <v>0.96538367735052699</v>
      </c>
      <c r="D2394">
        <v>1.0343827197514499</v>
      </c>
      <c r="E2394">
        <v>1.00756659955865</v>
      </c>
      <c r="F2394">
        <v>0.97697646665413596</v>
      </c>
      <c r="G2394">
        <v>0.87674303093654804</v>
      </c>
      <c r="H2394">
        <v>1.4631845584407499</v>
      </c>
      <c r="I2394">
        <v>2.3089916085711</v>
      </c>
      <c r="J2394">
        <v>3.58598908014427</v>
      </c>
      <c r="K2394">
        <v>2.23114479699893</v>
      </c>
      <c r="L2394">
        <v>15000</v>
      </c>
      <c r="M2394">
        <v>249.24283698779001</v>
      </c>
      <c r="O2394">
        <v>60.1783964809716</v>
      </c>
      <c r="P2394">
        <v>0.51771659753230004</v>
      </c>
      <c r="Q2394">
        <v>1.5</v>
      </c>
      <c r="R2394">
        <v>0.22654991602407301</v>
      </c>
      <c r="S2394" t="s">
        <v>9040</v>
      </c>
      <c r="T2394" t="s">
        <v>13290</v>
      </c>
      <c r="U2394" t="s">
        <v>13290</v>
      </c>
      <c r="V2394" t="s">
        <v>13290</v>
      </c>
      <c r="W2394" t="s">
        <v>15645</v>
      </c>
      <c r="X2394">
        <v>13</v>
      </c>
      <c r="Y2394" t="s">
        <v>22192</v>
      </c>
      <c r="Z2394" t="s">
        <v>28724</v>
      </c>
      <c r="AA2394">
        <v>1.1635756831308719</v>
      </c>
      <c r="AB2394" t="str">
        <f>HYPERLINK("Melting_Curves/meltCurve_P28072_PSMB6.pdf", "Melting_Curves/meltCurve_P28072_PSMB6.pdf")</f>
        <v>Melting_Curves/meltCurve_P28072_PSMB6.pdf</v>
      </c>
    </row>
    <row r="2395" spans="1:28" x14ac:dyDescent="0.25">
      <c r="A2395" t="s">
        <v>2399</v>
      </c>
      <c r="B2395">
        <v>0.99252571173614901</v>
      </c>
      <c r="C2395">
        <v>0.98912791222423302</v>
      </c>
      <c r="D2395">
        <v>1.0199421212147499</v>
      </c>
      <c r="E2395">
        <v>1.04539743473038</v>
      </c>
      <c r="F2395">
        <v>1.0258874486024101</v>
      </c>
      <c r="G2395">
        <v>0.97021280553829004</v>
      </c>
      <c r="H2395">
        <v>1.59799450574976</v>
      </c>
      <c r="I2395">
        <v>2.4814922546710201</v>
      </c>
      <c r="J2395">
        <v>3.8579934648683198</v>
      </c>
      <c r="K2395">
        <v>2.41716153076786</v>
      </c>
      <c r="L2395">
        <v>14650.3692148954</v>
      </c>
      <c r="M2395">
        <v>250</v>
      </c>
      <c r="O2395">
        <v>58.597726944135601</v>
      </c>
      <c r="P2395">
        <v>0.53329713911846999</v>
      </c>
      <c r="Q2395">
        <v>1.5</v>
      </c>
      <c r="R2395">
        <v>0.14600936636122899</v>
      </c>
      <c r="S2395" t="s">
        <v>9041</v>
      </c>
      <c r="T2395" t="s">
        <v>13290</v>
      </c>
      <c r="U2395" t="s">
        <v>13290</v>
      </c>
      <c r="V2395" t="s">
        <v>13290</v>
      </c>
      <c r="W2395" t="s">
        <v>15646</v>
      </c>
      <c r="X2395">
        <v>15</v>
      </c>
      <c r="Y2395" t="s">
        <v>22193</v>
      </c>
      <c r="Z2395" t="s">
        <v>28725</v>
      </c>
      <c r="AA2395">
        <v>1.189923963333716</v>
      </c>
      <c r="AB2395" t="str">
        <f>HYPERLINK("Melting_Curves/meltCurve_P28074_PSMB5.pdf", "Melting_Curves/meltCurve_P28074_PSMB5.pdf")</f>
        <v>Melting_Curves/meltCurve_P28074_PSMB5.pdf</v>
      </c>
    </row>
    <row r="2396" spans="1:28" x14ac:dyDescent="0.25">
      <c r="A2396" t="s">
        <v>2400</v>
      </c>
      <c r="B2396">
        <v>0.99252571173614901</v>
      </c>
      <c r="C2396">
        <v>0.90492548593670896</v>
      </c>
      <c r="D2396">
        <v>0.91838319089342701</v>
      </c>
      <c r="E2396">
        <v>0.91814761233398701</v>
      </c>
      <c r="F2396">
        <v>0.45259134101743798</v>
      </c>
      <c r="G2396">
        <v>0.137494276078131</v>
      </c>
      <c r="H2396">
        <v>9.7790007139576696E-2</v>
      </c>
      <c r="I2396">
        <v>9.5988042465264198E-2</v>
      </c>
      <c r="J2396">
        <v>9.8921663000589799E-2</v>
      </c>
      <c r="K2396">
        <v>9.5462126226730004E-2</v>
      </c>
      <c r="L2396">
        <v>1964.7109721033401</v>
      </c>
      <c r="M2396">
        <v>37.3616252541769</v>
      </c>
      <c r="N2396">
        <v>52.878894079160702</v>
      </c>
      <c r="O2396">
        <v>52.436361893544202</v>
      </c>
      <c r="P2396">
        <v>-0.161497042325182</v>
      </c>
      <c r="Q2396">
        <v>9.3369799174572998E-2</v>
      </c>
      <c r="R2396">
        <v>0.99008383615887297</v>
      </c>
      <c r="S2396" t="s">
        <v>9042</v>
      </c>
      <c r="T2396" t="s">
        <v>13290</v>
      </c>
      <c r="U2396" t="s">
        <v>13290</v>
      </c>
      <c r="V2396" t="s">
        <v>13290</v>
      </c>
      <c r="W2396" t="s">
        <v>15647</v>
      </c>
      <c r="X2396">
        <v>31</v>
      </c>
      <c r="Y2396" t="s">
        <v>22194</v>
      </c>
      <c r="Z2396" t="s">
        <v>28726</v>
      </c>
      <c r="AA2396">
        <v>0.47751767010007362</v>
      </c>
      <c r="AB2396" t="str">
        <f>HYPERLINK("Melting_Curves/meltCurve_P28331_4_NDUFS1.pdf", "Melting_Curves/meltCurve_P28331_4_NDUFS1.pdf")</f>
        <v>Melting_Curves/meltCurve_P28331_4_NDUFS1.pdf</v>
      </c>
    </row>
    <row r="2397" spans="1:28" x14ac:dyDescent="0.25">
      <c r="A2397" t="s">
        <v>2401</v>
      </c>
      <c r="B2397">
        <v>0.99252571173614901</v>
      </c>
      <c r="C2397">
        <v>1.0513702346576099</v>
      </c>
      <c r="D2397">
        <v>1.00366900100756</v>
      </c>
      <c r="E2397">
        <v>0.95864546516321703</v>
      </c>
      <c r="F2397">
        <v>0.76704209554726699</v>
      </c>
      <c r="G2397">
        <v>0.52098645174124802</v>
      </c>
      <c r="H2397">
        <v>0.16260384114394699</v>
      </c>
      <c r="I2397">
        <v>0.110657422050378</v>
      </c>
      <c r="J2397">
        <v>0.109812372198201</v>
      </c>
      <c r="K2397">
        <v>0.108845881205583</v>
      </c>
      <c r="L2397">
        <v>1318.1214336728499</v>
      </c>
      <c r="M2397">
        <v>23.488646660480001</v>
      </c>
      <c r="N2397">
        <v>56.525282284659497</v>
      </c>
      <c r="O2397">
        <v>55.715401777386397</v>
      </c>
      <c r="P2397">
        <v>-9.7181207876252701E-2</v>
      </c>
      <c r="Q2397">
        <v>7.7955488990755106E-2</v>
      </c>
      <c r="R2397">
        <v>0.99429049652675106</v>
      </c>
      <c r="S2397" t="s">
        <v>9043</v>
      </c>
      <c r="T2397" t="s">
        <v>13290</v>
      </c>
      <c r="U2397" t="s">
        <v>13290</v>
      </c>
      <c r="V2397" t="s">
        <v>13290</v>
      </c>
      <c r="W2397" t="s">
        <v>15648</v>
      </c>
      <c r="X2397">
        <v>18</v>
      </c>
      <c r="Y2397" t="s">
        <v>22195</v>
      </c>
      <c r="Z2397" t="s">
        <v>28727</v>
      </c>
      <c r="AA2397">
        <v>0.58266489722393056</v>
      </c>
      <c r="AB2397" t="str">
        <f>HYPERLINK("Melting_Curves/meltCurve_P28482_MAPK1.pdf", "Melting_Curves/meltCurve_P28482_MAPK1.pdf")</f>
        <v>Melting_Curves/meltCurve_P28482_MAPK1.pdf</v>
      </c>
    </row>
    <row r="2398" spans="1:28" x14ac:dyDescent="0.25">
      <c r="A2398" t="s">
        <v>2402</v>
      </c>
      <c r="B2398">
        <v>0.99252571173614901</v>
      </c>
      <c r="C2398">
        <v>0.96087074956370699</v>
      </c>
      <c r="D2398">
        <v>0.43408149310658201</v>
      </c>
      <c r="E2398">
        <v>0.22384111018295599</v>
      </c>
      <c r="F2398">
        <v>0.14812386739000599</v>
      </c>
      <c r="G2398">
        <v>8.8505869492792905E-2</v>
      </c>
      <c r="H2398">
        <v>7.4764354408545203E-2</v>
      </c>
      <c r="I2398">
        <v>8.0574960747024096E-2</v>
      </c>
      <c r="J2398">
        <v>8.6626764978560297E-2</v>
      </c>
      <c r="K2398">
        <v>8.2872262641140199E-2</v>
      </c>
      <c r="L2398">
        <v>1696.98635410254</v>
      </c>
      <c r="M2398">
        <v>37.283886765328397</v>
      </c>
      <c r="N2398">
        <v>45.799514373334297</v>
      </c>
      <c r="O2398">
        <v>45.384928790964601</v>
      </c>
      <c r="P2398">
        <v>-0.184165746662413</v>
      </c>
      <c r="Q2398">
        <v>0.103277358293467</v>
      </c>
      <c r="R2398">
        <v>0.98881398396384101</v>
      </c>
      <c r="S2398" t="s">
        <v>9044</v>
      </c>
      <c r="T2398" t="s">
        <v>13290</v>
      </c>
      <c r="U2398" t="s">
        <v>13290</v>
      </c>
      <c r="V2398" t="s">
        <v>13290</v>
      </c>
      <c r="W2398" t="s">
        <v>15649</v>
      </c>
      <c r="X2398">
        <v>10</v>
      </c>
      <c r="Y2398" t="s">
        <v>22196</v>
      </c>
      <c r="Z2398" t="s">
        <v>28728</v>
      </c>
      <c r="AA2398">
        <v>0.27154265965018881</v>
      </c>
      <c r="AB2398" t="str">
        <f>HYPERLINK("Melting_Curves/meltCurve_P28702_RXRB.pdf", "Melting_Curves/meltCurve_P28702_RXRB.pdf")</f>
        <v>Melting_Curves/meltCurve_P28702_RXRB.pdf</v>
      </c>
    </row>
    <row r="2399" spans="1:28" x14ac:dyDescent="0.25">
      <c r="A2399" t="s">
        <v>2403</v>
      </c>
      <c r="B2399">
        <v>0.99252571173614901</v>
      </c>
      <c r="C2399">
        <v>0.97421348783113204</v>
      </c>
      <c r="D2399">
        <v>0.80604652828028001</v>
      </c>
      <c r="E2399">
        <v>0.60474708450411896</v>
      </c>
      <c r="F2399">
        <v>0.18589374041228701</v>
      </c>
      <c r="G2399">
        <v>0.10037402176183299</v>
      </c>
      <c r="H2399">
        <v>9.8813048153875704E-2</v>
      </c>
      <c r="I2399">
        <v>0.12469097489516701</v>
      </c>
      <c r="J2399">
        <v>0.188914401396549</v>
      </c>
      <c r="K2399">
        <v>0.19273001925829999</v>
      </c>
      <c r="L2399">
        <v>1266.25764120026</v>
      </c>
      <c r="M2399">
        <v>25.675623022637598</v>
      </c>
      <c r="N2399">
        <v>49.897818356114399</v>
      </c>
      <c r="O2399">
        <v>49.021260968212701</v>
      </c>
      <c r="P2399">
        <v>-0.114041835867118</v>
      </c>
      <c r="Q2399">
        <v>0.129071747273694</v>
      </c>
      <c r="R2399">
        <v>0.97900082855399995</v>
      </c>
      <c r="S2399" t="s">
        <v>9045</v>
      </c>
      <c r="T2399" t="s">
        <v>13290</v>
      </c>
      <c r="U2399" t="s">
        <v>13290</v>
      </c>
      <c r="V2399" t="s">
        <v>13290</v>
      </c>
      <c r="W2399" t="s">
        <v>15650</v>
      </c>
      <c r="X2399">
        <v>15</v>
      </c>
      <c r="Y2399" t="s">
        <v>22197</v>
      </c>
      <c r="Z2399" t="s">
        <v>28729</v>
      </c>
      <c r="AA2399">
        <v>0.40689271860290538</v>
      </c>
      <c r="AB2399" t="str">
        <f>HYPERLINK("Melting_Curves/meltCurve_P28715_ERCC5.pdf", "Melting_Curves/meltCurve_P28715_ERCC5.pdf")</f>
        <v>Melting_Curves/meltCurve_P28715_ERCC5.pdf</v>
      </c>
    </row>
    <row r="2400" spans="1:28" x14ac:dyDescent="0.25">
      <c r="A2400" t="s">
        <v>2404</v>
      </c>
      <c r="B2400">
        <v>0.99252571173614901</v>
      </c>
      <c r="C2400">
        <v>0.94074638673000099</v>
      </c>
      <c r="D2400">
        <v>0.70200225628825097</v>
      </c>
      <c r="E2400">
        <v>0.59129787409935897</v>
      </c>
      <c r="F2400">
        <v>0.50259417623911695</v>
      </c>
      <c r="G2400">
        <v>0.41086422969099501</v>
      </c>
      <c r="H2400">
        <v>0.38606073256366602</v>
      </c>
      <c r="I2400">
        <v>0.50874269666414695</v>
      </c>
      <c r="J2400">
        <v>0.84108967088281805</v>
      </c>
      <c r="K2400">
        <v>0.90860395067502098</v>
      </c>
      <c r="L2400">
        <v>1844.46853926981</v>
      </c>
      <c r="M2400">
        <v>41.145828229586101</v>
      </c>
      <c r="O2400">
        <v>44.722113545215798</v>
      </c>
      <c r="P2400">
        <v>-9.3851115825724696E-2</v>
      </c>
      <c r="Q2400">
        <v>0.591967295909132</v>
      </c>
      <c r="R2400">
        <v>0.464444715140647</v>
      </c>
      <c r="S2400" t="s">
        <v>9046</v>
      </c>
      <c r="T2400" t="s">
        <v>13290</v>
      </c>
      <c r="U2400" t="s">
        <v>13290</v>
      </c>
      <c r="V2400" t="s">
        <v>13290</v>
      </c>
      <c r="W2400" t="s">
        <v>15651</v>
      </c>
      <c r="X2400">
        <v>10</v>
      </c>
      <c r="Y2400" t="s">
        <v>22198</v>
      </c>
      <c r="Z2400" t="s">
        <v>28730</v>
      </c>
      <c r="AA2400">
        <v>0.65890112078915264</v>
      </c>
      <c r="AB2400" t="str">
        <f>HYPERLINK("Melting_Curves/meltCurve_P28799_GRN.pdf", "Melting_Curves/meltCurve_P28799_GRN.pdf")</f>
        <v>Melting_Curves/meltCurve_P28799_GRN.pdf</v>
      </c>
    </row>
    <row r="2401" spans="1:28" x14ac:dyDescent="0.25">
      <c r="A2401" t="s">
        <v>2405</v>
      </c>
      <c r="B2401">
        <v>0.99252571173614901</v>
      </c>
      <c r="C2401">
        <v>0.90712120807422003</v>
      </c>
      <c r="D2401">
        <v>0.93023397022325305</v>
      </c>
      <c r="E2401">
        <v>0.80573111022550303</v>
      </c>
      <c r="F2401">
        <v>0.634828674109159</v>
      </c>
      <c r="G2401">
        <v>0.41808444500132103</v>
      </c>
      <c r="H2401">
        <v>0.42920409723721598</v>
      </c>
      <c r="I2401">
        <v>0.44819763910500898</v>
      </c>
      <c r="J2401">
        <v>0.53038264847635797</v>
      </c>
      <c r="K2401">
        <v>0.467729868060689</v>
      </c>
      <c r="L2401">
        <v>1146.5170483295601</v>
      </c>
      <c r="M2401">
        <v>22.590336175115201</v>
      </c>
      <c r="N2401">
        <v>56.667111059116998</v>
      </c>
      <c r="O2401">
        <v>50.359864443380999</v>
      </c>
      <c r="P2401">
        <v>-6.1379314079993898E-2</v>
      </c>
      <c r="Q2401">
        <v>0.45268784624496999</v>
      </c>
      <c r="R2401">
        <v>0.95198520301289002</v>
      </c>
      <c r="S2401" t="s">
        <v>9047</v>
      </c>
      <c r="T2401" t="s">
        <v>13290</v>
      </c>
      <c r="U2401" t="s">
        <v>13290</v>
      </c>
      <c r="V2401" t="s">
        <v>13290</v>
      </c>
      <c r="W2401" t="s">
        <v>15652</v>
      </c>
      <c r="X2401">
        <v>35</v>
      </c>
      <c r="Y2401" t="s">
        <v>22199</v>
      </c>
      <c r="Z2401" t="s">
        <v>28731</v>
      </c>
      <c r="AA2401">
        <v>0.65487113435825484</v>
      </c>
      <c r="AB2401" t="str">
        <f>HYPERLINK("Melting_Curves/meltCurve_P28838_2_LAP3.pdf", "Melting_Curves/meltCurve_P28838_2_LAP3.pdf")</f>
        <v>Melting_Curves/meltCurve_P28838_2_LAP3.pdf</v>
      </c>
    </row>
    <row r="2402" spans="1:28" x14ac:dyDescent="0.25">
      <c r="A2402" t="s">
        <v>2406</v>
      </c>
      <c r="B2402">
        <v>0.99252571173614901</v>
      </c>
      <c r="C2402">
        <v>1.1434244179853399</v>
      </c>
      <c r="D2402">
        <v>1.03556920726422</v>
      </c>
      <c r="E2402">
        <v>0.91020900454811904</v>
      </c>
      <c r="F2402">
        <v>0.68275567194445497</v>
      </c>
      <c r="G2402">
        <v>0.44424502151503897</v>
      </c>
      <c r="H2402">
        <v>0.26082949278246498</v>
      </c>
      <c r="I2402">
        <v>0.20306752289633101</v>
      </c>
      <c r="J2402">
        <v>0.221315091000818</v>
      </c>
      <c r="K2402">
        <v>0.195832311279898</v>
      </c>
      <c r="L2402">
        <v>1209.7823444727801</v>
      </c>
      <c r="M2402">
        <v>22.217180194227399</v>
      </c>
      <c r="N2402">
        <v>55.675988234784498</v>
      </c>
      <c r="O2402">
        <v>54.017183992233598</v>
      </c>
      <c r="P2402">
        <v>-8.2967460294362999E-2</v>
      </c>
      <c r="Q2402">
        <v>0.193134222275894</v>
      </c>
      <c r="R2402">
        <v>0.98140372071736504</v>
      </c>
      <c r="S2402" t="s">
        <v>9048</v>
      </c>
      <c r="T2402" t="s">
        <v>13290</v>
      </c>
      <c r="U2402" t="s">
        <v>13290</v>
      </c>
      <c r="V2402" t="s">
        <v>13290</v>
      </c>
      <c r="W2402" t="s">
        <v>15653</v>
      </c>
      <c r="X2402">
        <v>4</v>
      </c>
      <c r="Y2402" t="s">
        <v>22200</v>
      </c>
      <c r="Z2402" t="s">
        <v>28732</v>
      </c>
      <c r="AA2402">
        <v>0.59101603576197326</v>
      </c>
      <c r="AB2402" t="str">
        <f>HYPERLINK("Melting_Curves/meltCurve_P29034_S100A2.pdf", "Melting_Curves/meltCurve_P29034_S100A2.pdf")</f>
        <v>Melting_Curves/meltCurve_P29034_S100A2.pdf</v>
      </c>
    </row>
    <row r="2403" spans="1:28" x14ac:dyDescent="0.25">
      <c r="A2403" t="s">
        <v>2407</v>
      </c>
      <c r="B2403">
        <v>0.99252571173614901</v>
      </c>
      <c r="C2403">
        <v>1.01328058190403</v>
      </c>
      <c r="D2403">
        <v>0.85500386645544202</v>
      </c>
      <c r="E2403">
        <v>0.46564066965283302</v>
      </c>
      <c r="F2403">
        <v>0.23378214046054099</v>
      </c>
      <c r="G2403">
        <v>0.15699702330351401</v>
      </c>
      <c r="H2403">
        <v>0.13229504601559999</v>
      </c>
      <c r="I2403">
        <v>0.1739557080669</v>
      </c>
      <c r="J2403">
        <v>0.24242411605984299</v>
      </c>
      <c r="K2403">
        <v>0.24756937346337901</v>
      </c>
      <c r="L2403">
        <v>1501.53817001022</v>
      </c>
      <c r="M2403">
        <v>30.9873104980447</v>
      </c>
      <c r="N2403">
        <v>49.210505411078501</v>
      </c>
      <c r="O2403">
        <v>48.256083272995902</v>
      </c>
      <c r="P2403">
        <v>-0.130198153145726</v>
      </c>
      <c r="Q2403">
        <v>0.188981962834986</v>
      </c>
      <c r="R2403">
        <v>0.98917014567439998</v>
      </c>
      <c r="S2403" t="s">
        <v>9049</v>
      </c>
      <c r="T2403" t="s">
        <v>13290</v>
      </c>
      <c r="U2403" t="s">
        <v>13290</v>
      </c>
      <c r="V2403" t="s">
        <v>13290</v>
      </c>
      <c r="W2403" t="s">
        <v>15654</v>
      </c>
      <c r="X2403">
        <v>14</v>
      </c>
      <c r="Y2403" t="s">
        <v>22201</v>
      </c>
      <c r="Z2403" t="s">
        <v>28733</v>
      </c>
      <c r="AA2403">
        <v>0.42218284129562222</v>
      </c>
      <c r="AB2403" t="str">
        <f>HYPERLINK("Melting_Curves/meltCurve_P29083_GTF2E1.pdf", "Melting_Curves/meltCurve_P29083_GTF2E1.pdf")</f>
        <v>Melting_Curves/meltCurve_P29083_GTF2E1.pdf</v>
      </c>
    </row>
    <row r="2404" spans="1:28" x14ac:dyDescent="0.25">
      <c r="A2404" t="s">
        <v>2408</v>
      </c>
      <c r="B2404">
        <v>0.99252571173614901</v>
      </c>
      <c r="C2404">
        <v>1.0834120593235601</v>
      </c>
      <c r="D2404">
        <v>0.34179393347966902</v>
      </c>
      <c r="E2404">
        <v>0.53627249198028304</v>
      </c>
      <c r="F2404">
        <v>0.17431286056088499</v>
      </c>
      <c r="G2404">
        <v>9.4873343286153794E-2</v>
      </c>
      <c r="H2404">
        <v>6.0885375061127497E-2</v>
      </c>
      <c r="I2404">
        <v>6.3713985524118902E-2</v>
      </c>
      <c r="J2404">
        <v>7.9115136211015694E-2</v>
      </c>
      <c r="K2404">
        <v>8.1841822221302096E-2</v>
      </c>
      <c r="L2404">
        <v>809.24900139923602</v>
      </c>
      <c r="M2404">
        <v>17.177942059242699</v>
      </c>
      <c r="N2404">
        <v>47.522344421403602</v>
      </c>
      <c r="O2404">
        <v>46.485230528585902</v>
      </c>
      <c r="P2404">
        <v>-8.5989417312336794E-2</v>
      </c>
      <c r="Q2404">
        <v>6.9271170981754907E-2</v>
      </c>
      <c r="R2404">
        <v>0.87465524606573897</v>
      </c>
      <c r="S2404" t="s">
        <v>9050</v>
      </c>
      <c r="T2404" t="s">
        <v>13290</v>
      </c>
      <c r="U2404" t="s">
        <v>13290</v>
      </c>
      <c r="V2404" t="s">
        <v>13290</v>
      </c>
      <c r="W2404" t="s">
        <v>15655</v>
      </c>
      <c r="X2404">
        <v>8</v>
      </c>
      <c r="Y2404" t="s">
        <v>22202</v>
      </c>
      <c r="Z2404" t="s">
        <v>28734</v>
      </c>
      <c r="AA2404">
        <v>0.30873978508465239</v>
      </c>
      <c r="AB2404" t="str">
        <f>HYPERLINK("Melting_Curves/meltCurve_P29084_GTF2E2.pdf", "Melting_Curves/meltCurve_P29084_GTF2E2.pdf")</f>
        <v>Melting_Curves/meltCurve_P29084_GTF2E2.pdf</v>
      </c>
    </row>
    <row r="2405" spans="1:28" x14ac:dyDescent="0.25">
      <c r="A2405" t="s">
        <v>2409</v>
      </c>
      <c r="B2405">
        <v>0.99252571173614901</v>
      </c>
      <c r="C2405">
        <v>0.84137535287620202</v>
      </c>
      <c r="D2405">
        <v>1.0419557095098999</v>
      </c>
      <c r="E2405">
        <v>0.94498565979552596</v>
      </c>
      <c r="F2405">
        <v>1.31821223419328</v>
      </c>
      <c r="G2405">
        <v>0.96621172174538505</v>
      </c>
      <c r="H2405">
        <v>0.12030409630906801</v>
      </c>
      <c r="I2405">
        <v>0.127173517390579</v>
      </c>
      <c r="J2405">
        <v>0.11985059435716799</v>
      </c>
      <c r="K2405">
        <v>0.123882529625575</v>
      </c>
      <c r="L2405">
        <v>14382.7446899359</v>
      </c>
      <c r="M2405">
        <v>250</v>
      </c>
      <c r="N2405">
        <v>57.595908943224202</v>
      </c>
      <c r="O2405">
        <v>57.5272975590144</v>
      </c>
      <c r="P2405">
        <v>-0.95302325697397505</v>
      </c>
      <c r="Q2405">
        <v>0.12280236737810001</v>
      </c>
      <c r="R2405">
        <v>0.93601250541399095</v>
      </c>
      <c r="S2405" t="s">
        <v>9051</v>
      </c>
      <c r="T2405" t="s">
        <v>13290</v>
      </c>
      <c r="U2405" t="s">
        <v>13290</v>
      </c>
      <c r="V2405" t="s">
        <v>13290</v>
      </c>
      <c r="W2405" t="s">
        <v>15656</v>
      </c>
      <c r="X2405">
        <v>58</v>
      </c>
      <c r="Y2405" t="s">
        <v>22203</v>
      </c>
      <c r="Z2405" t="s">
        <v>28735</v>
      </c>
      <c r="AA2405">
        <v>0.63549537000974499</v>
      </c>
      <c r="AB2405" t="str">
        <f>HYPERLINK("Melting_Curves/meltCurve_P29144_TPP2.pdf", "Melting_Curves/meltCurve_P29144_TPP2.pdf")</f>
        <v>Melting_Curves/meltCurve_P29144_TPP2.pdf</v>
      </c>
    </row>
    <row r="2406" spans="1:28" x14ac:dyDescent="0.25">
      <c r="A2406" t="s">
        <v>2410</v>
      </c>
      <c r="B2406">
        <v>0.99252571173614901</v>
      </c>
      <c r="C2406">
        <v>1.0791921487026299</v>
      </c>
      <c r="D2406">
        <v>1.00865570106511</v>
      </c>
      <c r="E2406">
        <v>0.97542812589001604</v>
      </c>
      <c r="F2406">
        <v>0.89190419870215298</v>
      </c>
      <c r="G2406">
        <v>0.77205581738098095</v>
      </c>
      <c r="H2406">
        <v>0.77538345360487204</v>
      </c>
      <c r="I2406">
        <v>1.0239275270228201</v>
      </c>
      <c r="J2406">
        <v>1.41873045878889</v>
      </c>
      <c r="K2406">
        <v>1.40643541659965</v>
      </c>
      <c r="L2406">
        <v>15000</v>
      </c>
      <c r="M2406">
        <v>231.588741409454</v>
      </c>
      <c r="O2406">
        <v>64.765158019526297</v>
      </c>
      <c r="P2406">
        <v>0.368888377175288</v>
      </c>
      <c r="Q2406">
        <v>1.4126472443897899</v>
      </c>
      <c r="R2406">
        <v>0.73092199247890299</v>
      </c>
      <c r="S2406" t="s">
        <v>9052</v>
      </c>
      <c r="T2406" t="s">
        <v>13290</v>
      </c>
      <c r="U2406" t="s">
        <v>13290</v>
      </c>
      <c r="V2406" t="s">
        <v>13290</v>
      </c>
      <c r="W2406" t="s">
        <v>15657</v>
      </c>
      <c r="X2406">
        <v>20</v>
      </c>
      <c r="Y2406" t="s">
        <v>20318</v>
      </c>
      <c r="Z2406" t="s">
        <v>28736</v>
      </c>
      <c r="AA2406">
        <v>1.07188367272984</v>
      </c>
      <c r="AB2406" t="str">
        <f>HYPERLINK("Melting_Curves/meltCurve_P29218_IMPA1.pdf", "Melting_Curves/meltCurve_P29218_IMPA1.pdf")</f>
        <v>Melting_Curves/meltCurve_P29218_IMPA1.pdf</v>
      </c>
    </row>
    <row r="2407" spans="1:28" x14ac:dyDescent="0.25">
      <c r="A2407" t="s">
        <v>2411</v>
      </c>
      <c r="B2407">
        <v>0.99252571173614901</v>
      </c>
      <c r="C2407">
        <v>0.88817257245903702</v>
      </c>
      <c r="D2407">
        <v>0.77066174290328204</v>
      </c>
      <c r="E2407">
        <v>0.52870887209079498</v>
      </c>
      <c r="F2407">
        <v>0.25709071480773998</v>
      </c>
      <c r="G2407">
        <v>0.15234847725891501</v>
      </c>
      <c r="H2407">
        <v>0.11638398205599899</v>
      </c>
      <c r="I2407">
        <v>0.124461536869324</v>
      </c>
      <c r="J2407">
        <v>0.16440336808339001</v>
      </c>
      <c r="K2407">
        <v>0.147563410149469</v>
      </c>
      <c r="L2407">
        <v>881.98257336713004</v>
      </c>
      <c r="M2407">
        <v>18.101715326850599</v>
      </c>
      <c r="N2407">
        <v>49.475915767936101</v>
      </c>
      <c r="O2407">
        <v>48.140737602921497</v>
      </c>
      <c r="P2407">
        <v>-8.26999568413819E-2</v>
      </c>
      <c r="Q2407">
        <v>0.12029441887987399</v>
      </c>
      <c r="R2407">
        <v>0.99314888873432605</v>
      </c>
      <c r="S2407" t="s">
        <v>9053</v>
      </c>
      <c r="T2407" t="s">
        <v>13290</v>
      </c>
      <c r="U2407" t="s">
        <v>13290</v>
      </c>
      <c r="V2407" t="s">
        <v>13290</v>
      </c>
      <c r="W2407" t="s">
        <v>15658</v>
      </c>
      <c r="X2407">
        <v>16</v>
      </c>
      <c r="Y2407" t="s">
        <v>22204</v>
      </c>
      <c r="Z2407" t="s">
        <v>28737</v>
      </c>
      <c r="AA2407">
        <v>0.39125251073100897</v>
      </c>
      <c r="AB2407" t="str">
        <f>HYPERLINK("Melting_Curves/meltCurve_P29317_EPHA2.pdf", "Melting_Curves/meltCurve_P29317_EPHA2.pdf")</f>
        <v>Melting_Curves/meltCurve_P29317_EPHA2.pdf</v>
      </c>
    </row>
    <row r="2408" spans="1:28" x14ac:dyDescent="0.25">
      <c r="A2408" t="s">
        <v>2412</v>
      </c>
      <c r="B2408">
        <v>0.99252571173614901</v>
      </c>
      <c r="C2408">
        <v>0.93036138508848698</v>
      </c>
      <c r="D2408">
        <v>0.88818918723835305</v>
      </c>
      <c r="E2408">
        <v>0.71208551712067303</v>
      </c>
      <c r="F2408">
        <v>0.29239833761683698</v>
      </c>
      <c r="G2408">
        <v>0.119099753267959</v>
      </c>
      <c r="H2408">
        <v>7.2094716188365701E-2</v>
      </c>
      <c r="I2408">
        <v>6.63315269560147E-2</v>
      </c>
      <c r="J2408">
        <v>8.0896887362156999E-2</v>
      </c>
      <c r="K2408">
        <v>7.5573686652036495E-2</v>
      </c>
      <c r="L2408">
        <v>1237.1032324477601</v>
      </c>
      <c r="M2408">
        <v>24.293249274675699</v>
      </c>
      <c r="N2408">
        <v>51.205960144040397</v>
      </c>
      <c r="O2408">
        <v>50.582462119920898</v>
      </c>
      <c r="P2408">
        <v>-0.112546298001532</v>
      </c>
      <c r="Q2408">
        <v>6.2656319197654506E-2</v>
      </c>
      <c r="R2408">
        <v>0.99469293988846097</v>
      </c>
      <c r="S2408" t="s">
        <v>9054</v>
      </c>
      <c r="T2408" t="s">
        <v>13290</v>
      </c>
      <c r="U2408" t="s">
        <v>13290</v>
      </c>
      <c r="V2408" t="s">
        <v>13290</v>
      </c>
      <c r="W2408" t="s">
        <v>15659</v>
      </c>
      <c r="X2408">
        <v>10</v>
      </c>
      <c r="Y2408" t="s">
        <v>22205</v>
      </c>
      <c r="Z2408" t="s">
        <v>28738</v>
      </c>
      <c r="AA2408">
        <v>0.41291819253018108</v>
      </c>
      <c r="AB2408" t="str">
        <f>HYPERLINK("Melting_Curves/meltCurve_P29323_2_EPHB2.pdf", "Melting_Curves/meltCurve_P29323_2_EPHB2.pdf")</f>
        <v>Melting_Curves/meltCurve_P29323_2_EPHB2.pdf</v>
      </c>
    </row>
    <row r="2409" spans="1:28" x14ac:dyDescent="0.25">
      <c r="A2409" t="s">
        <v>2413</v>
      </c>
      <c r="B2409">
        <v>0.99252571173614901</v>
      </c>
      <c r="C2409">
        <v>1.05030086333909</v>
      </c>
      <c r="D2409">
        <v>0.60739368040151098</v>
      </c>
      <c r="E2409">
        <v>0.18737116602064</v>
      </c>
      <c r="F2409">
        <v>0.121671598400044</v>
      </c>
      <c r="G2409">
        <v>6.3940978134586504E-2</v>
      </c>
      <c r="H2409">
        <v>5.09996827254049E-2</v>
      </c>
      <c r="I2409">
        <v>5.2667584508146799E-2</v>
      </c>
      <c r="J2409">
        <v>5.8608171570448502E-2</v>
      </c>
      <c r="K2409">
        <v>5.3721579072536899E-2</v>
      </c>
      <c r="L2409">
        <v>1724.17971751136</v>
      </c>
      <c r="M2409">
        <v>37.042651459707201</v>
      </c>
      <c r="N2409">
        <v>46.7325740145574</v>
      </c>
      <c r="O2409">
        <v>46.410745603032197</v>
      </c>
      <c r="P2409">
        <v>-0.18580677975388599</v>
      </c>
      <c r="Q2409">
        <v>6.8812806632256501E-2</v>
      </c>
      <c r="R2409">
        <v>0.991469063981118</v>
      </c>
      <c r="S2409" t="s">
        <v>9055</v>
      </c>
      <c r="T2409" t="s">
        <v>13290</v>
      </c>
      <c r="U2409" t="s">
        <v>13290</v>
      </c>
      <c r="V2409" t="s">
        <v>13290</v>
      </c>
      <c r="W2409" t="s">
        <v>15660</v>
      </c>
      <c r="X2409">
        <v>29</v>
      </c>
      <c r="Y2409" t="s">
        <v>22206</v>
      </c>
      <c r="Z2409" t="s">
        <v>28739</v>
      </c>
      <c r="AA2409">
        <v>0.27555492029186651</v>
      </c>
      <c r="AB2409" t="str">
        <f>HYPERLINK("Melting_Curves/meltCurve_P29350_PTPN6.pdf", "Melting_Curves/meltCurve_P29350_PTPN6.pdf")</f>
        <v>Melting_Curves/meltCurve_P29350_PTPN6.pdf</v>
      </c>
    </row>
    <row r="2410" spans="1:28" x14ac:dyDescent="0.25">
      <c r="A2410" t="s">
        <v>2414</v>
      </c>
      <c r="B2410">
        <v>0.99252571173614901</v>
      </c>
      <c r="C2410">
        <v>1.0349413760658299</v>
      </c>
      <c r="D2410">
        <v>0.90849573082622204</v>
      </c>
      <c r="E2410">
        <v>0.81046294323443602</v>
      </c>
      <c r="F2410">
        <v>0.54142369101412502</v>
      </c>
      <c r="G2410">
        <v>0.35804725984262398</v>
      </c>
      <c r="H2410">
        <v>0.22846096108637801</v>
      </c>
      <c r="I2410">
        <v>0.14623340588370401</v>
      </c>
      <c r="J2410">
        <v>0.14829446162660001</v>
      </c>
      <c r="K2410">
        <v>0.13468490842539901</v>
      </c>
      <c r="L2410">
        <v>873.77921377048096</v>
      </c>
      <c r="M2410">
        <v>16.420159932551599</v>
      </c>
      <c r="N2410">
        <v>54.076282508273898</v>
      </c>
      <c r="O2410">
        <v>52.443349388513603</v>
      </c>
      <c r="P2410">
        <v>-6.9263136195681294E-2</v>
      </c>
      <c r="Q2410">
        <v>0.11520177574566801</v>
      </c>
      <c r="R2410">
        <v>0.99617752174751595</v>
      </c>
      <c r="S2410" t="s">
        <v>9056</v>
      </c>
      <c r="T2410" t="s">
        <v>13290</v>
      </c>
      <c r="U2410" t="s">
        <v>13290</v>
      </c>
      <c r="V2410" t="s">
        <v>13290</v>
      </c>
      <c r="W2410" t="s">
        <v>15661</v>
      </c>
      <c r="X2410">
        <v>9</v>
      </c>
      <c r="Y2410" t="s">
        <v>22207</v>
      </c>
      <c r="Z2410" t="s">
        <v>28740</v>
      </c>
      <c r="AA2410">
        <v>0.52151589360968686</v>
      </c>
      <c r="AB2410" t="str">
        <f>HYPERLINK("Melting_Curves/meltCurve_P29353_2_SHC1.pdf", "Melting_Curves/meltCurve_P29353_2_SHC1.pdf")</f>
        <v>Melting_Curves/meltCurve_P29353_2_SHC1.pdf</v>
      </c>
    </row>
    <row r="2411" spans="1:28" x14ac:dyDescent="0.25">
      <c r="A2411" t="s">
        <v>2415</v>
      </c>
      <c r="B2411">
        <v>0.99252571173614901</v>
      </c>
      <c r="C2411">
        <v>1.0033939267098599</v>
      </c>
      <c r="D2411">
        <v>0.85425926788501305</v>
      </c>
      <c r="E2411">
        <v>0.74022990883369399</v>
      </c>
      <c r="F2411">
        <v>0.27949114642439699</v>
      </c>
      <c r="G2411">
        <v>0.13636430441799599</v>
      </c>
      <c r="H2411">
        <v>0.103971719261925</v>
      </c>
      <c r="I2411">
        <v>0.113039367623104</v>
      </c>
      <c r="J2411">
        <v>0.13415175336148899</v>
      </c>
      <c r="K2411">
        <v>0.122300151531832</v>
      </c>
      <c r="L2411">
        <v>1427.2248779440599</v>
      </c>
      <c r="M2411">
        <v>28.109974995196499</v>
      </c>
      <c r="N2411">
        <v>51.222351953754298</v>
      </c>
      <c r="O2411">
        <v>50.518010401929303</v>
      </c>
      <c r="P2411">
        <v>-0.123906155371934</v>
      </c>
      <c r="Q2411">
        <v>0.10929253530978</v>
      </c>
      <c r="R2411">
        <v>0.9903468483026</v>
      </c>
      <c r="S2411" t="s">
        <v>9057</v>
      </c>
      <c r="T2411" t="s">
        <v>13290</v>
      </c>
      <c r="U2411" t="s">
        <v>13290</v>
      </c>
      <c r="V2411" t="s">
        <v>13290</v>
      </c>
      <c r="W2411" t="s">
        <v>15662</v>
      </c>
      <c r="X2411">
        <v>10</v>
      </c>
      <c r="Y2411" t="s">
        <v>22208</v>
      </c>
      <c r="Z2411" t="s">
        <v>28741</v>
      </c>
      <c r="AA2411">
        <v>0.43549909252864277</v>
      </c>
      <c r="AB2411" t="str">
        <f>HYPERLINK("Melting_Curves/meltCurve_P29372_5_MPG.pdf", "Melting_Curves/meltCurve_P29372_5_MPG.pdf")</f>
        <v>Melting_Curves/meltCurve_P29372_5_MPG.pdf</v>
      </c>
    </row>
    <row r="2412" spans="1:28" x14ac:dyDescent="0.25">
      <c r="A2412" t="s">
        <v>2416</v>
      </c>
      <c r="B2412">
        <v>0.99252571173614901</v>
      </c>
      <c r="C2412">
        <v>1.0785624199637001</v>
      </c>
      <c r="D2412">
        <v>0.769597797812134</v>
      </c>
      <c r="E2412">
        <v>0.56363613630142795</v>
      </c>
      <c r="F2412">
        <v>0.12969039639131</v>
      </c>
      <c r="G2412">
        <v>6.8559041136314003E-2</v>
      </c>
      <c r="H2412">
        <v>4.1937407810283399E-2</v>
      </c>
      <c r="I2412">
        <v>4.0960281434998101E-2</v>
      </c>
      <c r="J2412">
        <v>5.0701954602028199E-2</v>
      </c>
      <c r="K2412">
        <v>4.7163224523709101E-2</v>
      </c>
      <c r="L2412">
        <v>1187.8204936448401</v>
      </c>
      <c r="M2412">
        <v>24.022399824564101</v>
      </c>
      <c r="N2412">
        <v>49.590223629997197</v>
      </c>
      <c r="O2412">
        <v>49.107541005459098</v>
      </c>
      <c r="P2412">
        <v>-0.118180755533211</v>
      </c>
      <c r="Q2412">
        <v>3.3656101291137601E-2</v>
      </c>
      <c r="R2412">
        <v>0.98381586222322603</v>
      </c>
      <c r="S2412" t="s">
        <v>9058</v>
      </c>
      <c r="T2412" t="s">
        <v>13290</v>
      </c>
      <c r="U2412" t="s">
        <v>13290</v>
      </c>
      <c r="V2412" t="s">
        <v>13290</v>
      </c>
      <c r="W2412" t="s">
        <v>15663</v>
      </c>
      <c r="X2412">
        <v>11</v>
      </c>
      <c r="Y2412" t="s">
        <v>22209</v>
      </c>
      <c r="Z2412" t="s">
        <v>28742</v>
      </c>
      <c r="AA2412">
        <v>0.34725637511870172</v>
      </c>
      <c r="AB2412" t="str">
        <f>HYPERLINK("Melting_Curves/meltCurve_P29373_CRABP2.pdf", "Melting_Curves/meltCurve_P29373_CRABP2.pdf")</f>
        <v>Melting_Curves/meltCurve_P29373_CRABP2.pdf</v>
      </c>
    </row>
    <row r="2413" spans="1:28" x14ac:dyDescent="0.25">
      <c r="A2413" t="s">
        <v>2417</v>
      </c>
      <c r="B2413">
        <v>0.99252571173614901</v>
      </c>
      <c r="C2413">
        <v>0.95167886756411901</v>
      </c>
      <c r="D2413">
        <v>0.97233905451627201</v>
      </c>
      <c r="E2413">
        <v>0.930026609141413</v>
      </c>
      <c r="F2413">
        <v>0.47711019624739698</v>
      </c>
      <c r="G2413">
        <v>0.277515906083873</v>
      </c>
      <c r="H2413">
        <v>0.21287773568163901</v>
      </c>
      <c r="I2413">
        <v>0.22027088664253899</v>
      </c>
      <c r="J2413">
        <v>0.33443276510019299</v>
      </c>
      <c r="K2413">
        <v>0.328550597156682</v>
      </c>
      <c r="L2413">
        <v>2373.7963433893301</v>
      </c>
      <c r="M2413">
        <v>45.5750295452263</v>
      </c>
      <c r="N2413">
        <v>52.996975414337903</v>
      </c>
      <c r="O2413">
        <v>51.985475002592302</v>
      </c>
      <c r="P2413">
        <v>-0.1596277343451</v>
      </c>
      <c r="Q2413">
        <v>0.271678946716926</v>
      </c>
      <c r="R2413">
        <v>0.98454475511869199</v>
      </c>
      <c r="S2413" t="s">
        <v>9059</v>
      </c>
      <c r="T2413" t="s">
        <v>13290</v>
      </c>
      <c r="U2413" t="s">
        <v>13290</v>
      </c>
      <c r="V2413" t="s">
        <v>13290</v>
      </c>
      <c r="W2413" t="s">
        <v>15664</v>
      </c>
      <c r="X2413">
        <v>3</v>
      </c>
      <c r="Y2413" t="s">
        <v>22210</v>
      </c>
      <c r="Z2413" t="s">
        <v>28743</v>
      </c>
      <c r="AA2413">
        <v>0.56709800380585318</v>
      </c>
      <c r="AB2413" t="str">
        <f>HYPERLINK("Melting_Curves/meltCurve_P29400_COL4A5.pdf", "Melting_Curves/meltCurve_P29400_COL4A5.pdf")</f>
        <v>Melting_Curves/meltCurve_P29400_COL4A5.pdf</v>
      </c>
    </row>
    <row r="2414" spans="1:28" x14ac:dyDescent="0.25">
      <c r="A2414" t="s">
        <v>2418</v>
      </c>
      <c r="B2414">
        <v>0.99252571173614901</v>
      </c>
      <c r="C2414">
        <v>0.97929580400674199</v>
      </c>
      <c r="D2414">
        <v>1.0465917360170101</v>
      </c>
      <c r="E2414">
        <v>1.0141391865464999</v>
      </c>
      <c r="F2414">
        <v>0.92252173284846795</v>
      </c>
      <c r="G2414">
        <v>0.66809853240553296</v>
      </c>
      <c r="H2414">
        <v>0.65628309120063399</v>
      </c>
      <c r="I2414">
        <v>0.73836166518935498</v>
      </c>
      <c r="J2414">
        <v>0.70174772762925297</v>
      </c>
      <c r="K2414">
        <v>0.32566866473231199</v>
      </c>
      <c r="L2414">
        <v>501.36016208994198</v>
      </c>
      <c r="M2414">
        <v>7.2889924983183896</v>
      </c>
      <c r="N2414">
        <v>68.7831908457823</v>
      </c>
      <c r="O2414">
        <v>64.173013370834497</v>
      </c>
      <c r="P2414">
        <v>-2.8441222176303901E-2</v>
      </c>
      <c r="Q2414">
        <v>0</v>
      </c>
      <c r="R2414">
        <v>0.79568456197954296</v>
      </c>
      <c r="S2414" t="s">
        <v>9060</v>
      </c>
      <c r="T2414" t="s">
        <v>13290</v>
      </c>
      <c r="U2414" t="s">
        <v>13290</v>
      </c>
      <c r="V2414" t="s">
        <v>13290</v>
      </c>
      <c r="W2414" t="s">
        <v>15665</v>
      </c>
      <c r="X2414">
        <v>50</v>
      </c>
      <c r="Y2414" t="s">
        <v>22211</v>
      </c>
      <c r="Z2414" t="s">
        <v>28744</v>
      </c>
      <c r="AA2414">
        <v>0.81164445487157422</v>
      </c>
      <c r="AB2414" t="str">
        <f>HYPERLINK("Melting_Curves/meltCurve_P29401_TKT.pdf", "Melting_Curves/meltCurve_P29401_TKT.pdf")</f>
        <v>Melting_Curves/meltCurve_P29401_TKT.pdf</v>
      </c>
    </row>
    <row r="2415" spans="1:28" x14ac:dyDescent="0.25">
      <c r="A2415" t="s">
        <v>2419</v>
      </c>
      <c r="B2415">
        <v>0.99252571173614901</v>
      </c>
      <c r="C2415">
        <v>1.0176928057013099</v>
      </c>
      <c r="D2415">
        <v>0.69096251162400302</v>
      </c>
      <c r="E2415">
        <v>0.49733756768383103</v>
      </c>
      <c r="F2415">
        <v>0.23942683796257699</v>
      </c>
      <c r="G2415">
        <v>0.17762539834473401</v>
      </c>
      <c r="H2415">
        <v>0.115297410223687</v>
      </c>
      <c r="I2415">
        <v>0.155200812962135</v>
      </c>
      <c r="J2415">
        <v>0.19840716097386901</v>
      </c>
      <c r="K2415">
        <v>0.19102672654005701</v>
      </c>
      <c r="L2415">
        <v>1010.71496118374</v>
      </c>
      <c r="M2415">
        <v>21.037469785823799</v>
      </c>
      <c r="N2415">
        <v>48.933372201509698</v>
      </c>
      <c r="O2415">
        <v>47.615769664576902</v>
      </c>
      <c r="P2415">
        <v>-9.2901294099325599E-2</v>
      </c>
      <c r="Q2415">
        <v>0.15893898042625701</v>
      </c>
      <c r="R2415">
        <v>0.98210192794761897</v>
      </c>
      <c r="S2415" t="s">
        <v>9061</v>
      </c>
      <c r="T2415" t="s">
        <v>13290</v>
      </c>
      <c r="U2415" t="s">
        <v>13290</v>
      </c>
      <c r="V2415" t="s">
        <v>13290</v>
      </c>
      <c r="W2415" t="s">
        <v>15666</v>
      </c>
      <c r="X2415">
        <v>5</v>
      </c>
      <c r="Y2415" t="s">
        <v>22212</v>
      </c>
      <c r="Z2415" t="s">
        <v>28745</v>
      </c>
      <c r="AA2415">
        <v>0.39517062675214121</v>
      </c>
      <c r="AB2415" t="str">
        <f>HYPERLINK("Melting_Curves/meltCurve_P29590_11_PML.pdf", "Melting_Curves/meltCurve_P29590_11_PML.pdf")</f>
        <v>Melting_Curves/meltCurve_P29590_11_PML.pdf</v>
      </c>
    </row>
    <row r="2416" spans="1:28" x14ac:dyDescent="0.25">
      <c r="A2416" t="s">
        <v>2420</v>
      </c>
      <c r="B2416">
        <v>0.99252571173614901</v>
      </c>
      <c r="C2416">
        <v>0.98030994011762196</v>
      </c>
      <c r="D2416">
        <v>0.92171881440289005</v>
      </c>
      <c r="E2416">
        <v>0.80576469778298299</v>
      </c>
      <c r="F2416">
        <v>0.83532154405206904</v>
      </c>
      <c r="G2416">
        <v>0.73919578112690099</v>
      </c>
      <c r="H2416">
        <v>0.81690745070091797</v>
      </c>
      <c r="I2416">
        <v>1.15324728626316</v>
      </c>
      <c r="J2416">
        <v>2.1850653506933901</v>
      </c>
      <c r="K2416">
        <v>2.0931719122464401</v>
      </c>
      <c r="L2416">
        <v>15000</v>
      </c>
      <c r="M2416">
        <v>233.559783453107</v>
      </c>
      <c r="O2416">
        <v>64.218671024125001</v>
      </c>
      <c r="P2416">
        <v>0.45461810285864601</v>
      </c>
      <c r="Q2416">
        <v>1.5</v>
      </c>
      <c r="R2416">
        <v>0.61223659085938298</v>
      </c>
      <c r="S2416" t="s">
        <v>9062</v>
      </c>
      <c r="T2416" t="s">
        <v>13290</v>
      </c>
      <c r="U2416" t="s">
        <v>13290</v>
      </c>
      <c r="V2416" t="s">
        <v>13290</v>
      </c>
      <c r="W2416" t="s">
        <v>15667</v>
      </c>
      <c r="X2416">
        <v>12</v>
      </c>
      <c r="Y2416" t="s">
        <v>22213</v>
      </c>
      <c r="Z2416" t="s">
        <v>28746</v>
      </c>
      <c r="AA2416">
        <v>1.096212338539027</v>
      </c>
      <c r="AB2416" t="str">
        <f>HYPERLINK("Melting_Curves/meltCurve_P29966_MARCKS.pdf", "Melting_Curves/meltCurve_P29966_MARCKS.pdf")</f>
        <v>Melting_Curves/meltCurve_P29966_MARCKS.pdf</v>
      </c>
    </row>
    <row r="2417" spans="1:28" x14ac:dyDescent="0.25">
      <c r="A2417" t="s">
        <v>2421</v>
      </c>
      <c r="B2417">
        <v>0.99252571173614901</v>
      </c>
      <c r="C2417">
        <v>0.88513143332072197</v>
      </c>
      <c r="D2417">
        <v>0.73318984561739897</v>
      </c>
      <c r="E2417">
        <v>0.58690809517265596</v>
      </c>
      <c r="F2417">
        <v>0.150587399902192</v>
      </c>
      <c r="G2417">
        <v>8.0140821029000595E-2</v>
      </c>
      <c r="H2417">
        <v>5.5275045888218202E-2</v>
      </c>
      <c r="I2417">
        <v>7.1184865959667804E-2</v>
      </c>
      <c r="J2417">
        <v>6.5806750394124605E-2</v>
      </c>
      <c r="K2417">
        <v>6.15918390722981E-2</v>
      </c>
      <c r="L2417">
        <v>884.196843354409</v>
      </c>
      <c r="M2417">
        <v>17.991617901527999</v>
      </c>
      <c r="N2417">
        <v>49.351853509293797</v>
      </c>
      <c r="O2417">
        <v>48.549857652207201</v>
      </c>
      <c r="P2417">
        <v>-8.9283688496787306E-2</v>
      </c>
      <c r="Q2417">
        <v>3.6329897141604998E-2</v>
      </c>
      <c r="R2417">
        <v>0.98074852552444902</v>
      </c>
      <c r="S2417" t="s">
        <v>9063</v>
      </c>
      <c r="T2417" t="s">
        <v>13290</v>
      </c>
      <c r="U2417" t="s">
        <v>13290</v>
      </c>
      <c r="V2417" t="s">
        <v>13290</v>
      </c>
      <c r="W2417" t="s">
        <v>15668</v>
      </c>
      <c r="X2417">
        <v>11</v>
      </c>
      <c r="Y2417" t="s">
        <v>22214</v>
      </c>
      <c r="Z2417" t="s">
        <v>28747</v>
      </c>
      <c r="AA2417">
        <v>0.34674925737949241</v>
      </c>
      <c r="AB2417" t="str">
        <f>HYPERLINK("Melting_Curves/meltCurve_P29992_GNA11.pdf", "Melting_Curves/meltCurve_P29992_GNA11.pdf")</f>
        <v>Melting_Curves/meltCurve_P29992_GNA11.pdf</v>
      </c>
    </row>
    <row r="2418" spans="1:28" x14ac:dyDescent="0.25">
      <c r="A2418" t="s">
        <v>2422</v>
      </c>
      <c r="B2418">
        <v>0.99252571173614901</v>
      </c>
      <c r="C2418">
        <v>0.96531882494591104</v>
      </c>
      <c r="D2418">
        <v>0.89928843435790595</v>
      </c>
      <c r="E2418">
        <v>0.72225418874645897</v>
      </c>
      <c r="F2418">
        <v>0.280371630545241</v>
      </c>
      <c r="G2418">
        <v>8.2656662733869499E-2</v>
      </c>
      <c r="H2418">
        <v>5.4746043541486399E-2</v>
      </c>
      <c r="I2418">
        <v>5.8137625952124197E-2</v>
      </c>
      <c r="J2418">
        <v>7.1784479662191494E-2</v>
      </c>
      <c r="K2418">
        <v>7.0912398815806105E-2</v>
      </c>
      <c r="L2418">
        <v>1399.35357564793</v>
      </c>
      <c r="M2418">
        <v>27.4437131045845</v>
      </c>
      <c r="N2418">
        <v>51.204146185731098</v>
      </c>
      <c r="O2418">
        <v>50.721518206775201</v>
      </c>
      <c r="P2418">
        <v>-0.12793261276979701</v>
      </c>
      <c r="Q2418">
        <v>5.42276917934022E-2</v>
      </c>
      <c r="R2418">
        <v>0.99641590769126798</v>
      </c>
      <c r="S2418" t="s">
        <v>9064</v>
      </c>
      <c r="T2418" t="s">
        <v>13290</v>
      </c>
      <c r="U2418" t="s">
        <v>13290</v>
      </c>
      <c r="V2418" t="s">
        <v>13290</v>
      </c>
      <c r="W2418" t="s">
        <v>15669</v>
      </c>
      <c r="X2418">
        <v>19</v>
      </c>
      <c r="Y2418" t="s">
        <v>22215</v>
      </c>
      <c r="Z2418" t="s">
        <v>28748</v>
      </c>
      <c r="AA2418">
        <v>0.40779691696915932</v>
      </c>
      <c r="AB2418" t="str">
        <f>HYPERLINK("Melting_Curves/meltCurve_P30038_ALDH4A1.pdf", "Melting_Curves/meltCurve_P30038_ALDH4A1.pdf")</f>
        <v>Melting_Curves/meltCurve_P30038_ALDH4A1.pdf</v>
      </c>
    </row>
    <row r="2419" spans="1:28" x14ac:dyDescent="0.25">
      <c r="A2419" t="s">
        <v>2423</v>
      </c>
      <c r="B2419">
        <v>0.99252571173614901</v>
      </c>
      <c r="C2419">
        <v>1.03120098421838</v>
      </c>
      <c r="D2419">
        <v>1.00533819430024</v>
      </c>
      <c r="E2419">
        <v>0.91780008303989802</v>
      </c>
      <c r="F2419">
        <v>0.55432163481698904</v>
      </c>
      <c r="G2419">
        <v>0.31766308736155002</v>
      </c>
      <c r="H2419">
        <v>0.235552675519794</v>
      </c>
      <c r="I2419">
        <v>0.26329906319615998</v>
      </c>
      <c r="J2419">
        <v>0.36214660364048701</v>
      </c>
      <c r="K2419">
        <v>0.36182111687253599</v>
      </c>
      <c r="L2419">
        <v>2074.1528780103099</v>
      </c>
      <c r="M2419">
        <v>39.614524517219301</v>
      </c>
      <c r="N2419">
        <v>53.615388088022698</v>
      </c>
      <c r="O2419">
        <v>52.225504072332299</v>
      </c>
      <c r="P2419">
        <v>-0.13227346134128901</v>
      </c>
      <c r="Q2419">
        <v>0.30247471897278899</v>
      </c>
      <c r="R2419">
        <v>0.98559027040416503</v>
      </c>
      <c r="S2419" t="s">
        <v>9065</v>
      </c>
      <c r="T2419" t="s">
        <v>13290</v>
      </c>
      <c r="U2419" t="s">
        <v>13290</v>
      </c>
      <c r="V2419" t="s">
        <v>13290</v>
      </c>
      <c r="W2419" t="s">
        <v>15670</v>
      </c>
      <c r="X2419">
        <v>16</v>
      </c>
      <c r="Y2419" t="s">
        <v>22216</v>
      </c>
      <c r="Z2419" t="s">
        <v>28749</v>
      </c>
      <c r="AA2419">
        <v>0.59239016559373947</v>
      </c>
      <c r="AB2419" t="str">
        <f>HYPERLINK("Melting_Curves/meltCurve_P30040_ERP29.pdf", "Melting_Curves/meltCurve_P30040_ERP29.pdf")</f>
        <v>Melting_Curves/meltCurve_P30040_ERP29.pdf</v>
      </c>
    </row>
    <row r="2420" spans="1:28" x14ac:dyDescent="0.25">
      <c r="A2420" t="s">
        <v>2424</v>
      </c>
      <c r="B2420">
        <v>0.99252571173614901</v>
      </c>
      <c r="C2420">
        <v>1.0887218402896801</v>
      </c>
      <c r="D2420">
        <v>1.0176570509415499</v>
      </c>
      <c r="E2420">
        <v>0.85995960569626295</v>
      </c>
      <c r="F2420">
        <v>0.72555901655897403</v>
      </c>
      <c r="G2420">
        <v>0.246619956333996</v>
      </c>
      <c r="H2420">
        <v>9.1840896484866902E-2</v>
      </c>
      <c r="I2420">
        <v>8.3540210974077406E-2</v>
      </c>
      <c r="J2420">
        <v>7.0652106354031505E-2</v>
      </c>
      <c r="K2420">
        <v>6.1535680933820697E-2</v>
      </c>
      <c r="L2420">
        <v>1603.4562227220499</v>
      </c>
      <c r="M2420">
        <v>29.4581304904675</v>
      </c>
      <c r="N2420">
        <v>54.668255191578297</v>
      </c>
      <c r="O2420">
        <v>54.182714457939397</v>
      </c>
      <c r="P2420">
        <v>-0.12778795402315399</v>
      </c>
      <c r="Q2420">
        <v>5.98385583553162E-2</v>
      </c>
      <c r="R2420">
        <v>0.98942724769363899</v>
      </c>
      <c r="S2420" t="s">
        <v>9066</v>
      </c>
      <c r="T2420" t="s">
        <v>13290</v>
      </c>
      <c r="U2420" t="s">
        <v>13290</v>
      </c>
      <c r="V2420" t="s">
        <v>13290</v>
      </c>
      <c r="W2420" t="s">
        <v>15671</v>
      </c>
      <c r="X2420">
        <v>23</v>
      </c>
      <c r="Y2420" t="s">
        <v>22217</v>
      </c>
      <c r="Z2420" t="s">
        <v>28750</v>
      </c>
      <c r="AA2420">
        <v>0.51853374688156573</v>
      </c>
      <c r="AB2420" t="str">
        <f>HYPERLINK("Melting_Curves/meltCurve_P30041_PRDX6.pdf", "Melting_Curves/meltCurve_P30041_PRDX6.pdf")</f>
        <v>Melting_Curves/meltCurve_P30041_PRDX6.pdf</v>
      </c>
    </row>
    <row r="2421" spans="1:28" x14ac:dyDescent="0.25">
      <c r="A2421" t="s">
        <v>2425</v>
      </c>
      <c r="B2421">
        <v>0.99252571173614901</v>
      </c>
      <c r="C2421">
        <v>1.08114277159655</v>
      </c>
      <c r="D2421">
        <v>0.99184952822141503</v>
      </c>
      <c r="E2421">
        <v>0.95496296820397897</v>
      </c>
      <c r="F2421">
        <v>0.89067396641505203</v>
      </c>
      <c r="G2421">
        <v>0.78253556907837596</v>
      </c>
      <c r="H2421">
        <v>0.74113528225640302</v>
      </c>
      <c r="I2421">
        <v>0.93866142799305596</v>
      </c>
      <c r="J2421">
        <v>1.1591340158577801</v>
      </c>
      <c r="K2421">
        <v>1.0185506794018</v>
      </c>
      <c r="L2421">
        <v>15000</v>
      </c>
      <c r="M2421">
        <v>229.02933230788699</v>
      </c>
      <c r="O2421">
        <v>65.488800690309205</v>
      </c>
      <c r="P2421">
        <v>7.7579925460974003E-2</v>
      </c>
      <c r="Q2421">
        <v>1.08873302323233</v>
      </c>
      <c r="R2421">
        <v>-3.0930594241287201E-2</v>
      </c>
      <c r="S2421" t="s">
        <v>9067</v>
      </c>
      <c r="T2421" t="s">
        <v>13290</v>
      </c>
      <c r="U2421" t="s">
        <v>13290</v>
      </c>
      <c r="V2421" t="s">
        <v>13290</v>
      </c>
      <c r="W2421" t="s">
        <v>15672</v>
      </c>
      <c r="X2421">
        <v>20</v>
      </c>
      <c r="Y2421" t="s">
        <v>22218</v>
      </c>
      <c r="Z2421" t="s">
        <v>28751</v>
      </c>
      <c r="AA2421">
        <v>1.0133161558549411</v>
      </c>
      <c r="AB2421" t="str">
        <f>HYPERLINK("Melting_Curves/meltCurve_P30042_C21orf33.pdf", "Melting_Curves/meltCurve_P30042_C21orf33.pdf")</f>
        <v>Melting_Curves/meltCurve_P30042_C21orf33.pdf</v>
      </c>
    </row>
    <row r="2422" spans="1:28" x14ac:dyDescent="0.25">
      <c r="A2422" t="s">
        <v>2426</v>
      </c>
      <c r="B2422">
        <v>0.99252571173614901</v>
      </c>
      <c r="C2422">
        <v>1.08328192409257</v>
      </c>
      <c r="D2422">
        <v>0.898994678643672</v>
      </c>
      <c r="E2422">
        <v>0.59905619017380496</v>
      </c>
      <c r="F2422">
        <v>0.206942419187222</v>
      </c>
      <c r="G2422">
        <v>0.12827678178056201</v>
      </c>
      <c r="H2422">
        <v>0.100670030399463</v>
      </c>
      <c r="I2422">
        <v>9.2784887159292201E-2</v>
      </c>
      <c r="J2422">
        <v>0.12027757497229399</v>
      </c>
      <c r="K2422">
        <v>0.103785514323503</v>
      </c>
      <c r="L2422">
        <v>1508.63055493449</v>
      </c>
      <c r="M2422">
        <v>30.257084678895101</v>
      </c>
      <c r="N2422">
        <v>50.240569378381203</v>
      </c>
      <c r="O2422">
        <v>49.644131372371497</v>
      </c>
      <c r="P2422">
        <v>-0.136780779598109</v>
      </c>
      <c r="Q2422">
        <v>0.10231671595291</v>
      </c>
      <c r="R2422">
        <v>0.99348380231781197</v>
      </c>
      <c r="S2422" t="s">
        <v>9068</v>
      </c>
      <c r="T2422" t="s">
        <v>13290</v>
      </c>
      <c r="U2422" t="s">
        <v>13290</v>
      </c>
      <c r="V2422" t="s">
        <v>13290</v>
      </c>
      <c r="W2422" t="s">
        <v>15673</v>
      </c>
      <c r="X2422">
        <v>5</v>
      </c>
      <c r="Y2422" t="s">
        <v>22219</v>
      </c>
      <c r="Z2422" t="s">
        <v>28752</v>
      </c>
      <c r="AA2422">
        <v>0.40281231139750268</v>
      </c>
      <c r="AB2422" t="str">
        <f>HYPERLINK("Melting_Curves/meltCurve_P30043_BLVRB.pdf", "Melting_Curves/meltCurve_P30043_BLVRB.pdf")</f>
        <v>Melting_Curves/meltCurve_P30043_BLVRB.pdf</v>
      </c>
    </row>
    <row r="2423" spans="1:28" x14ac:dyDescent="0.25">
      <c r="A2423" t="s">
        <v>2427</v>
      </c>
      <c r="B2423">
        <v>0.99252571173614901</v>
      </c>
      <c r="C2423">
        <v>1.0999812181533499</v>
      </c>
      <c r="D2423">
        <v>0.99342560185209405</v>
      </c>
      <c r="E2423">
        <v>0.82114032866897302</v>
      </c>
      <c r="F2423">
        <v>0.79847180729189504</v>
      </c>
      <c r="G2423">
        <v>0.64827488853906801</v>
      </c>
      <c r="H2423">
        <v>0.44192043879811699</v>
      </c>
      <c r="I2423">
        <v>0.174299587360291</v>
      </c>
      <c r="J2423">
        <v>0.14408532413066499</v>
      </c>
      <c r="K2423">
        <v>0.12712830251011001</v>
      </c>
      <c r="L2423">
        <v>783.31104213622302</v>
      </c>
      <c r="M2423">
        <v>13.332593921663101</v>
      </c>
      <c r="N2423">
        <v>58.751586378365801</v>
      </c>
      <c r="O2423">
        <v>57.477063774111897</v>
      </c>
      <c r="P2423">
        <v>-5.8000216795225497E-2</v>
      </c>
      <c r="Q2423">
        <v>0</v>
      </c>
      <c r="R2423">
        <v>0.97463382039574398</v>
      </c>
      <c r="S2423" t="s">
        <v>9069</v>
      </c>
      <c r="T2423" t="s">
        <v>13290</v>
      </c>
      <c r="U2423" t="s">
        <v>13290</v>
      </c>
      <c r="V2423" t="s">
        <v>13290</v>
      </c>
      <c r="W2423" t="s">
        <v>15674</v>
      </c>
      <c r="X2423">
        <v>10</v>
      </c>
      <c r="Y2423" t="s">
        <v>22220</v>
      </c>
      <c r="Z2423" t="s">
        <v>28753</v>
      </c>
      <c r="AA2423">
        <v>0.63558923838614223</v>
      </c>
      <c r="AB2423" t="str">
        <f>HYPERLINK("Melting_Curves/meltCurve_P30044_PRDX5.pdf", "Melting_Curves/meltCurve_P30044_PRDX5.pdf")</f>
        <v>Melting_Curves/meltCurve_P30044_PRDX5.pdf</v>
      </c>
    </row>
    <row r="2424" spans="1:28" x14ac:dyDescent="0.25">
      <c r="A2424" t="s">
        <v>2428</v>
      </c>
      <c r="B2424">
        <v>0.99252571173614901</v>
      </c>
      <c r="C2424">
        <v>1.08750660332284</v>
      </c>
      <c r="D2424">
        <v>1.05307793036556</v>
      </c>
      <c r="E2424">
        <v>1.02628566524507</v>
      </c>
      <c r="F2424">
        <v>1.05348172473623</v>
      </c>
      <c r="G2424">
        <v>0.94234590759623804</v>
      </c>
      <c r="H2424">
        <v>0.90390368755122896</v>
      </c>
      <c r="I2424">
        <v>1.0368133431828399</v>
      </c>
      <c r="J2424">
        <v>1.3457163744040599</v>
      </c>
      <c r="K2424">
        <v>1.42415731716879</v>
      </c>
      <c r="L2424">
        <v>5413.45189723966</v>
      </c>
      <c r="M2424">
        <v>82.134995103151695</v>
      </c>
      <c r="O2424">
        <v>65.870162100420202</v>
      </c>
      <c r="P2424">
        <v>0.13315468505295</v>
      </c>
      <c r="Q2424">
        <v>1.4271465222964601</v>
      </c>
      <c r="R2424">
        <v>0.89411365677979004</v>
      </c>
      <c r="S2424" t="s">
        <v>9070</v>
      </c>
      <c r="T2424" t="s">
        <v>13290</v>
      </c>
      <c r="U2424" t="s">
        <v>13290</v>
      </c>
      <c r="V2424" t="s">
        <v>13290</v>
      </c>
      <c r="W2424" t="s">
        <v>15675</v>
      </c>
      <c r="X2424">
        <v>11</v>
      </c>
      <c r="Y2424" t="s">
        <v>22221</v>
      </c>
      <c r="Z2424" t="s">
        <v>28754</v>
      </c>
      <c r="AA2424">
        <v>1.057895586766938</v>
      </c>
      <c r="AB2424" t="str">
        <f>HYPERLINK("Melting_Curves/meltCurve_P30046_DDT.pdf", "Melting_Curves/meltCurve_P30046_DDT.pdf")</f>
        <v>Melting_Curves/meltCurve_P30046_DDT.pdf</v>
      </c>
    </row>
    <row r="2425" spans="1:28" x14ac:dyDescent="0.25">
      <c r="A2425" t="s">
        <v>2429</v>
      </c>
      <c r="B2425">
        <v>0.99252571173614901</v>
      </c>
      <c r="C2425">
        <v>1.1044564344450001</v>
      </c>
      <c r="D2425">
        <v>1.0277010619445901</v>
      </c>
      <c r="E2425">
        <v>0.865263585796193</v>
      </c>
      <c r="F2425">
        <v>0.87217670168267902</v>
      </c>
      <c r="G2425">
        <v>0.70088357800412404</v>
      </c>
      <c r="H2425">
        <v>0.62716139790317305</v>
      </c>
      <c r="I2425">
        <v>0.80151975365059103</v>
      </c>
      <c r="J2425">
        <v>1.1980130532354401</v>
      </c>
      <c r="K2425">
        <v>1.2372300188451799</v>
      </c>
      <c r="L2425">
        <v>15000</v>
      </c>
      <c r="M2425">
        <v>225.15919883490801</v>
      </c>
      <c r="O2425">
        <v>66.614265128068098</v>
      </c>
      <c r="P2425">
        <v>0.20054943487224</v>
      </c>
      <c r="Q2425">
        <v>1.2373334977549999</v>
      </c>
      <c r="R2425">
        <v>0.16625757964367999</v>
      </c>
      <c r="S2425" t="s">
        <v>9071</v>
      </c>
      <c r="T2425" t="s">
        <v>13290</v>
      </c>
      <c r="U2425" t="s">
        <v>13290</v>
      </c>
      <c r="V2425" t="s">
        <v>13290</v>
      </c>
      <c r="W2425" t="s">
        <v>15676</v>
      </c>
      <c r="X2425">
        <v>8</v>
      </c>
      <c r="Y2425" t="s">
        <v>22222</v>
      </c>
      <c r="Z2425" t="s">
        <v>28755</v>
      </c>
      <c r="AA2425">
        <v>1.0267091315070911</v>
      </c>
      <c r="AB2425" t="str">
        <f>HYPERLINK("Melting_Curves/meltCurve_P30047_GCHFR.pdf", "Melting_Curves/meltCurve_P30047_GCHFR.pdf")</f>
        <v>Melting_Curves/meltCurve_P30047_GCHFR.pdf</v>
      </c>
    </row>
    <row r="2426" spans="1:28" x14ac:dyDescent="0.25">
      <c r="A2426" t="s">
        <v>2430</v>
      </c>
      <c r="B2426">
        <v>0.99252571173614901</v>
      </c>
      <c r="C2426">
        <v>0.97872718252104796</v>
      </c>
      <c r="D2426">
        <v>0.96701732598563805</v>
      </c>
      <c r="E2426">
        <v>0.93540584718471997</v>
      </c>
      <c r="F2426">
        <v>0.78592014394231702</v>
      </c>
      <c r="G2426">
        <v>0.67221648140701995</v>
      </c>
      <c r="H2426">
        <v>0.87499337465271498</v>
      </c>
      <c r="I2426">
        <v>1.3045336063894299</v>
      </c>
      <c r="J2426">
        <v>1.1908621643977</v>
      </c>
      <c r="K2426">
        <v>1.0056337391076</v>
      </c>
      <c r="L2426">
        <v>3707.7106274468601</v>
      </c>
      <c r="M2426">
        <v>59.527004053065198</v>
      </c>
      <c r="O2426">
        <v>62.216003981165798</v>
      </c>
      <c r="P2426">
        <v>3.7460913443103899E-2</v>
      </c>
      <c r="Q2426">
        <v>1.15661247297809</v>
      </c>
      <c r="R2426">
        <v>0.19501472229124001</v>
      </c>
      <c r="S2426" t="s">
        <v>9072</v>
      </c>
      <c r="T2426" t="s">
        <v>13290</v>
      </c>
      <c r="U2426" t="s">
        <v>13290</v>
      </c>
      <c r="V2426" t="s">
        <v>13290</v>
      </c>
      <c r="W2426" t="s">
        <v>15677</v>
      </c>
      <c r="X2426">
        <v>4</v>
      </c>
      <c r="Y2426" t="s">
        <v>22223</v>
      </c>
      <c r="Z2426" t="s">
        <v>28756</v>
      </c>
      <c r="AA2426">
        <v>1.0399763442943739</v>
      </c>
      <c r="AB2426" t="str">
        <f>HYPERLINK("Melting_Curves/meltCurve_P30049_ATP5D.pdf", "Melting_Curves/meltCurve_P30049_ATP5D.pdf")</f>
        <v>Melting_Curves/meltCurve_P30049_ATP5D.pdf</v>
      </c>
    </row>
    <row r="2427" spans="1:28" x14ac:dyDescent="0.25">
      <c r="A2427" t="s">
        <v>2431</v>
      </c>
      <c r="B2427">
        <v>0.99252571173614901</v>
      </c>
      <c r="C2427">
        <v>1.03523787158326</v>
      </c>
      <c r="D2427">
        <v>0.70587224509261004</v>
      </c>
      <c r="E2427">
        <v>0.49727918976588298</v>
      </c>
      <c r="F2427">
        <v>0.44099433058245002</v>
      </c>
      <c r="G2427">
        <v>0.27283531312971998</v>
      </c>
      <c r="H2427">
        <v>0.26037263251056902</v>
      </c>
      <c r="I2427">
        <v>0.20855192023602601</v>
      </c>
      <c r="J2427">
        <v>0.23039008749334799</v>
      </c>
      <c r="K2427">
        <v>0.2307596725719</v>
      </c>
      <c r="L2427">
        <v>838.49901286680597</v>
      </c>
      <c r="M2427">
        <v>17.363625230197801</v>
      </c>
      <c r="N2427">
        <v>50.069268754377497</v>
      </c>
      <c r="O2427">
        <v>47.6636852057201</v>
      </c>
      <c r="P2427">
        <v>-7.0114495745351293E-2</v>
      </c>
      <c r="Q2427">
        <v>0.230177984024173</v>
      </c>
      <c r="R2427">
        <v>0.97119119414737398</v>
      </c>
      <c r="S2427" t="s">
        <v>9073</v>
      </c>
      <c r="T2427" t="s">
        <v>13290</v>
      </c>
      <c r="U2427" t="s">
        <v>13290</v>
      </c>
      <c r="V2427" t="s">
        <v>13290</v>
      </c>
      <c r="W2427" t="s">
        <v>15678</v>
      </c>
      <c r="X2427">
        <v>8</v>
      </c>
      <c r="Y2427" t="s">
        <v>22224</v>
      </c>
      <c r="Z2427" t="s">
        <v>28757</v>
      </c>
      <c r="AA2427">
        <v>0.45750553442054948</v>
      </c>
      <c r="AB2427" t="str">
        <f>HYPERLINK("Melting_Curves/meltCurve_P30050_RPL12.pdf", "Melting_Curves/meltCurve_P30050_RPL12.pdf")</f>
        <v>Melting_Curves/meltCurve_P30050_RPL12.pdf</v>
      </c>
    </row>
    <row r="2428" spans="1:28" x14ac:dyDescent="0.25">
      <c r="A2428" t="s">
        <v>2432</v>
      </c>
      <c r="B2428">
        <v>0.99252571173614901</v>
      </c>
      <c r="C2428">
        <v>0.71952309496163003</v>
      </c>
      <c r="D2428">
        <v>1.1503616785519699</v>
      </c>
      <c r="E2428">
        <v>1.1172569666788299</v>
      </c>
      <c r="F2428">
        <v>0.43733848821393001</v>
      </c>
      <c r="G2428">
        <v>9.2322855684766905E-2</v>
      </c>
      <c r="H2428">
        <v>5.3392704466749999E-2</v>
      </c>
      <c r="I2428">
        <v>5.0713920178082399E-2</v>
      </c>
      <c r="J2428">
        <v>6.5015696521180194E-2</v>
      </c>
      <c r="K2428">
        <v>6.5132022255277505E-2</v>
      </c>
      <c r="L2428">
        <v>13277.989974751101</v>
      </c>
      <c r="M2428">
        <v>250</v>
      </c>
      <c r="N2428">
        <v>53.141720091953701</v>
      </c>
      <c r="O2428">
        <v>53.108557280482103</v>
      </c>
      <c r="P2428">
        <v>-1.0999692881187</v>
      </c>
      <c r="Q2428">
        <v>6.5315422930330103E-2</v>
      </c>
      <c r="R2428">
        <v>0.94299833424750801</v>
      </c>
      <c r="S2428" t="s">
        <v>9074</v>
      </c>
      <c r="T2428" t="s">
        <v>13290</v>
      </c>
      <c r="U2428" t="s">
        <v>13290</v>
      </c>
      <c r="V2428" t="s">
        <v>13290</v>
      </c>
      <c r="W2428" t="s">
        <v>15679</v>
      </c>
      <c r="X2428">
        <v>17</v>
      </c>
      <c r="Y2428" t="s">
        <v>22225</v>
      </c>
      <c r="Z2428" t="s">
        <v>28758</v>
      </c>
      <c r="AA2428">
        <v>0.47392076859131821</v>
      </c>
      <c r="AB2428" t="str">
        <f>HYPERLINK("Melting_Curves/meltCurve_P30084_ECHS1.pdf", "Melting_Curves/meltCurve_P30084_ECHS1.pdf")</f>
        <v>Melting_Curves/meltCurve_P30084_ECHS1.pdf</v>
      </c>
    </row>
    <row r="2429" spans="1:28" x14ac:dyDescent="0.25">
      <c r="A2429" t="s">
        <v>2433</v>
      </c>
      <c r="B2429">
        <v>0.99252571173614901</v>
      </c>
      <c r="C2429">
        <v>1.3265695892942999</v>
      </c>
      <c r="D2429">
        <v>0.70695121325822896</v>
      </c>
      <c r="E2429">
        <v>0.73566096339645903</v>
      </c>
      <c r="F2429">
        <v>0.23352457033725901</v>
      </c>
      <c r="G2429">
        <v>0.106792262925377</v>
      </c>
      <c r="H2429">
        <v>7.0527838600436293E-2</v>
      </c>
      <c r="I2429">
        <v>7.1526261195528698E-2</v>
      </c>
      <c r="J2429">
        <v>8.3157511036274098E-2</v>
      </c>
      <c r="K2429">
        <v>8.7690408306390896E-2</v>
      </c>
      <c r="L2429">
        <v>1268.2170013611201</v>
      </c>
      <c r="M2429">
        <v>25.065064072180501</v>
      </c>
      <c r="N2429">
        <v>50.882760307151997</v>
      </c>
      <c r="O2429">
        <v>50.278233513793801</v>
      </c>
      <c r="P2429">
        <v>-0.116450711359619</v>
      </c>
      <c r="Q2429">
        <v>6.5654391598867906E-2</v>
      </c>
      <c r="R2429">
        <v>0.90990636898821198</v>
      </c>
      <c r="S2429" t="s">
        <v>9075</v>
      </c>
      <c r="T2429" t="s">
        <v>13290</v>
      </c>
      <c r="U2429" t="s">
        <v>13290</v>
      </c>
      <c r="V2429" t="s">
        <v>13290</v>
      </c>
      <c r="W2429" t="s">
        <v>15680</v>
      </c>
      <c r="X2429">
        <v>16</v>
      </c>
      <c r="Y2429" t="s">
        <v>22226</v>
      </c>
      <c r="Z2429" t="s">
        <v>28759</v>
      </c>
      <c r="AA2429">
        <v>0.40405690608193029</v>
      </c>
      <c r="AB2429" t="str">
        <f>HYPERLINK("Melting_Curves/meltCurve_P30085_CMPK1.pdf", "Melting_Curves/meltCurve_P30085_CMPK1.pdf")</f>
        <v>Melting_Curves/meltCurve_P30085_CMPK1.pdf</v>
      </c>
    </row>
    <row r="2430" spans="1:28" x14ac:dyDescent="0.25">
      <c r="A2430" t="s">
        <v>2434</v>
      </c>
      <c r="B2430">
        <v>0.99252571173614901</v>
      </c>
      <c r="C2430">
        <v>0.96324820919029797</v>
      </c>
      <c r="D2430">
        <v>1.09617073587352</v>
      </c>
      <c r="E2430">
        <v>0.80683981349085698</v>
      </c>
      <c r="F2430">
        <v>0.77515755989544199</v>
      </c>
      <c r="G2430">
        <v>0.67395735694540204</v>
      </c>
      <c r="H2430">
        <v>0.47230639682220898</v>
      </c>
      <c r="I2430">
        <v>0.21672394343252399</v>
      </c>
      <c r="J2430">
        <v>0.18964769392439301</v>
      </c>
      <c r="K2430">
        <v>0.182291964609584</v>
      </c>
      <c r="L2430">
        <v>700.43741430569003</v>
      </c>
      <c r="M2430">
        <v>11.820063206523701</v>
      </c>
      <c r="N2430">
        <v>59.294192710423602</v>
      </c>
      <c r="O2430">
        <v>57.638535479915397</v>
      </c>
      <c r="P2430">
        <v>-5.1098598535894497E-2</v>
      </c>
      <c r="Q2430">
        <v>3.5600518559728601E-3</v>
      </c>
      <c r="R2430">
        <v>0.96346881097015002</v>
      </c>
      <c r="S2430" t="s">
        <v>9076</v>
      </c>
      <c r="T2430" t="s">
        <v>13290</v>
      </c>
      <c r="U2430" t="s">
        <v>13290</v>
      </c>
      <c r="V2430" t="s">
        <v>13290</v>
      </c>
      <c r="W2430" t="s">
        <v>15681</v>
      </c>
      <c r="X2430">
        <v>19</v>
      </c>
      <c r="Y2430" t="s">
        <v>22227</v>
      </c>
      <c r="Z2430" t="s">
        <v>28760</v>
      </c>
      <c r="AA2430">
        <v>0.64942806325730007</v>
      </c>
      <c r="AB2430" t="str">
        <f>HYPERLINK("Melting_Curves/meltCurve_P30086_PEBP1.pdf", "Melting_Curves/meltCurve_P30086_PEBP1.pdf")</f>
        <v>Melting_Curves/meltCurve_P30086_PEBP1.pdf</v>
      </c>
    </row>
    <row r="2431" spans="1:28" x14ac:dyDescent="0.25">
      <c r="A2431" t="s">
        <v>2435</v>
      </c>
      <c r="B2431">
        <v>0.99252571173614901</v>
      </c>
      <c r="C2431">
        <v>1.0031596202847699</v>
      </c>
      <c r="D2431">
        <v>0.83370712373644196</v>
      </c>
      <c r="E2431">
        <v>0.49153246453946597</v>
      </c>
      <c r="F2431">
        <v>0.18587650115243201</v>
      </c>
      <c r="G2431">
        <v>0.105152346685668</v>
      </c>
      <c r="H2431">
        <v>7.9687886822531195E-2</v>
      </c>
      <c r="I2431">
        <v>8.8701298391845707E-2</v>
      </c>
      <c r="J2431">
        <v>0.118644669902498</v>
      </c>
      <c r="K2431">
        <v>0.102473341847795</v>
      </c>
      <c r="L2431">
        <v>1256.9677842173101</v>
      </c>
      <c r="M2431">
        <v>25.6536797277397</v>
      </c>
      <c r="N2431">
        <v>49.385171991941299</v>
      </c>
      <c r="O2431">
        <v>48.702724929359199</v>
      </c>
      <c r="P2431">
        <v>-0.119678708055283</v>
      </c>
      <c r="Q2431">
        <v>9.1185351061888104E-2</v>
      </c>
      <c r="R2431">
        <v>0.997938806162044</v>
      </c>
      <c r="S2431" t="s">
        <v>9077</v>
      </c>
      <c r="T2431" t="s">
        <v>13290</v>
      </c>
      <c r="U2431" t="s">
        <v>13290</v>
      </c>
      <c r="V2431" t="s">
        <v>13290</v>
      </c>
      <c r="W2431" t="s">
        <v>15682</v>
      </c>
      <c r="X2431">
        <v>52</v>
      </c>
      <c r="Y2431" t="s">
        <v>20884</v>
      </c>
      <c r="Z2431" t="s">
        <v>28761</v>
      </c>
      <c r="AA2431">
        <v>0.37139204548690002</v>
      </c>
      <c r="AB2431" t="str">
        <f>HYPERLINK("Melting_Curves/meltCurve_P30101_PDIA3.pdf", "Melting_Curves/meltCurve_P30101_PDIA3.pdf")</f>
        <v>Melting_Curves/meltCurve_P30101_PDIA3.pdf</v>
      </c>
    </row>
    <row r="2432" spans="1:28" x14ac:dyDescent="0.25">
      <c r="A2432" t="s">
        <v>2436</v>
      </c>
      <c r="B2432">
        <v>0.99252571173614901</v>
      </c>
      <c r="C2432">
        <v>0.80946018206090697</v>
      </c>
      <c r="D2432">
        <v>1.00392203249943</v>
      </c>
      <c r="E2432">
        <v>0.97404481641160001</v>
      </c>
      <c r="F2432">
        <v>0.41158259980668999</v>
      </c>
      <c r="G2432">
        <v>0.13003543249080199</v>
      </c>
      <c r="H2432">
        <v>8.0462964237856094E-2</v>
      </c>
      <c r="I2432">
        <v>8.6079595117216606E-2</v>
      </c>
      <c r="J2432">
        <v>9.8119557270005597E-2</v>
      </c>
      <c r="K2432">
        <v>0.103003244787205</v>
      </c>
      <c r="L2432">
        <v>2842.2254094590598</v>
      </c>
      <c r="M2432">
        <v>54.035719308871997</v>
      </c>
      <c r="N2432">
        <v>52.806893865461497</v>
      </c>
      <c r="O2432">
        <v>52.527123147752398</v>
      </c>
      <c r="P2432">
        <v>-0.23253969710055</v>
      </c>
      <c r="Q2432">
        <v>9.5810493200991095E-2</v>
      </c>
      <c r="R2432">
        <v>0.97703723323306901</v>
      </c>
      <c r="S2432" t="s">
        <v>9078</v>
      </c>
      <c r="T2432" t="s">
        <v>13290</v>
      </c>
      <c r="U2432" t="s">
        <v>13290</v>
      </c>
      <c r="V2432" t="s">
        <v>13290</v>
      </c>
      <c r="W2432" t="s">
        <v>15683</v>
      </c>
      <c r="X2432">
        <v>32</v>
      </c>
      <c r="Y2432" t="s">
        <v>22228</v>
      </c>
      <c r="Z2432" t="s">
        <v>28762</v>
      </c>
      <c r="AA2432">
        <v>0.47733496127040209</v>
      </c>
      <c r="AB2432" t="str">
        <f>HYPERLINK("Melting_Curves/meltCurve_P30153_PPP2R1A.pdf", "Melting_Curves/meltCurve_P30153_PPP2R1A.pdf")</f>
        <v>Melting_Curves/meltCurve_P30153_PPP2R1A.pdf</v>
      </c>
    </row>
    <row r="2433" spans="1:28" x14ac:dyDescent="0.25">
      <c r="A2433" t="s">
        <v>2437</v>
      </c>
      <c r="B2433">
        <v>0.99252571173614901</v>
      </c>
      <c r="C2433">
        <v>0.88685573272971696</v>
      </c>
      <c r="D2433">
        <v>0.55362280559879296</v>
      </c>
      <c r="E2433">
        <v>0.25815878230027201</v>
      </c>
      <c r="F2433">
        <v>0.14128512388605</v>
      </c>
      <c r="G2433">
        <v>7.0662064086245605E-2</v>
      </c>
      <c r="H2433">
        <v>5.1265131647432002E-2</v>
      </c>
      <c r="I2433">
        <v>5.6625119387526603E-2</v>
      </c>
      <c r="J2433">
        <v>7.9231954756572701E-2</v>
      </c>
      <c r="K2433">
        <v>7.8257725199270906E-2</v>
      </c>
      <c r="L2433">
        <v>1032.56400501503</v>
      </c>
      <c r="M2433">
        <v>22.2642360825594</v>
      </c>
      <c r="N2433">
        <v>46.682047595089898</v>
      </c>
      <c r="O2433">
        <v>46.008422703355102</v>
      </c>
      <c r="P2433">
        <v>-0.11280880084031999</v>
      </c>
      <c r="Q2433">
        <v>6.7555131566071097E-2</v>
      </c>
      <c r="R2433">
        <v>0.99756945346998904</v>
      </c>
      <c r="S2433" t="s">
        <v>9079</v>
      </c>
      <c r="T2433" t="s">
        <v>13290</v>
      </c>
      <c r="U2433" t="s">
        <v>13290</v>
      </c>
      <c r="V2433" t="s">
        <v>13290</v>
      </c>
      <c r="W2433" t="s">
        <v>15684</v>
      </c>
      <c r="X2433">
        <v>14</v>
      </c>
      <c r="Y2433" t="s">
        <v>22229</v>
      </c>
      <c r="Z2433" t="s">
        <v>28763</v>
      </c>
      <c r="AA2433">
        <v>0.27681024871374083</v>
      </c>
      <c r="AB2433" t="str">
        <f>HYPERLINK("Melting_Curves/meltCurve_P30154_PPP2R1B.pdf", "Melting_Curves/meltCurve_P30154_PPP2R1B.pdf")</f>
        <v>Melting_Curves/meltCurve_P30154_PPP2R1B.pdf</v>
      </c>
    </row>
    <row r="2434" spans="1:28" x14ac:dyDescent="0.25">
      <c r="A2434" t="s">
        <v>2438</v>
      </c>
      <c r="B2434">
        <v>0.99252571173614901</v>
      </c>
      <c r="C2434">
        <v>0.86411680059826301</v>
      </c>
      <c r="D2434">
        <v>1.09219152668466</v>
      </c>
      <c r="E2434">
        <v>0.88231287390908597</v>
      </c>
      <c r="F2434">
        <v>0.77087312344789405</v>
      </c>
      <c r="G2434">
        <v>0.300710468554576</v>
      </c>
      <c r="H2434">
        <v>0.16323208913839601</v>
      </c>
      <c r="I2434">
        <v>0.14072547550953701</v>
      </c>
      <c r="J2434">
        <v>9.6163488873679204E-2</v>
      </c>
      <c r="K2434">
        <v>7.6911818836566295E-2</v>
      </c>
      <c r="L2434">
        <v>1633.2045104382901</v>
      </c>
      <c r="M2434">
        <v>29.8226085978893</v>
      </c>
      <c r="N2434">
        <v>55.176655890154599</v>
      </c>
      <c r="O2434">
        <v>54.519503249324501</v>
      </c>
      <c r="P2434">
        <v>-0.12308257940619199</v>
      </c>
      <c r="Q2434">
        <v>9.9963869673380806E-2</v>
      </c>
      <c r="R2434">
        <v>0.97574202182630199</v>
      </c>
      <c r="S2434" t="s">
        <v>9080</v>
      </c>
      <c r="T2434" t="s">
        <v>13290</v>
      </c>
      <c r="U2434" t="s">
        <v>13290</v>
      </c>
      <c r="V2434" t="s">
        <v>13290</v>
      </c>
      <c r="W2434" t="s">
        <v>15685</v>
      </c>
      <c r="X2434">
        <v>2</v>
      </c>
      <c r="Y2434" t="s">
        <v>22230</v>
      </c>
      <c r="Z2434" t="s">
        <v>28764</v>
      </c>
      <c r="AA2434">
        <v>0.54892672772119788</v>
      </c>
      <c r="AB2434" t="str">
        <f>HYPERLINK("Melting_Curves/meltCurve_P30260_CDC27.pdf", "Melting_Curves/meltCurve_P30260_CDC27.pdf")</f>
        <v>Melting_Curves/meltCurve_P30260_CDC27.pdf</v>
      </c>
    </row>
    <row r="2435" spans="1:28" x14ac:dyDescent="0.25">
      <c r="A2435" t="s">
        <v>2439</v>
      </c>
      <c r="B2435">
        <v>0.99252571173614901</v>
      </c>
      <c r="C2435">
        <v>0.996930233204528</v>
      </c>
      <c r="D2435">
        <v>0.91074139581190405</v>
      </c>
      <c r="E2435">
        <v>0.76519162171004595</v>
      </c>
      <c r="F2435">
        <v>0.57168981759635495</v>
      </c>
      <c r="G2435">
        <v>0.40021072077509101</v>
      </c>
      <c r="H2435">
        <v>0.29838368037584401</v>
      </c>
      <c r="I2435">
        <v>0.23966380074319399</v>
      </c>
      <c r="J2435">
        <v>0.20102330169491001</v>
      </c>
      <c r="K2435">
        <v>0.170247422333732</v>
      </c>
      <c r="L2435">
        <v>725.61594500222304</v>
      </c>
      <c r="M2435">
        <v>13.6421046634165</v>
      </c>
      <c r="N2435">
        <v>54.666494904189797</v>
      </c>
      <c r="O2435">
        <v>52.085574324693098</v>
      </c>
      <c r="P2435">
        <v>-5.5393835632361402E-2</v>
      </c>
      <c r="Q2435">
        <v>0.15414887849702399</v>
      </c>
      <c r="R2435">
        <v>0.99868028272683496</v>
      </c>
      <c r="S2435" t="s">
        <v>9081</v>
      </c>
      <c r="T2435" t="s">
        <v>13290</v>
      </c>
      <c r="U2435" t="s">
        <v>13290</v>
      </c>
      <c r="V2435" t="s">
        <v>13290</v>
      </c>
      <c r="W2435" t="s">
        <v>15686</v>
      </c>
      <c r="X2435">
        <v>2</v>
      </c>
      <c r="Y2435" t="s">
        <v>22231</v>
      </c>
      <c r="Z2435" t="s">
        <v>28765</v>
      </c>
      <c r="AA2435">
        <v>0.54645904102901133</v>
      </c>
      <c r="AB2435" t="str">
        <f>HYPERLINK("Melting_Curves/meltCurve_P30281_3_CCND3.pdf", "Melting_Curves/meltCurve_P30281_3_CCND3.pdf")</f>
        <v>Melting_Curves/meltCurve_P30281_3_CCND3.pdf</v>
      </c>
    </row>
    <row r="2436" spans="1:28" x14ac:dyDescent="0.25">
      <c r="A2436" t="s">
        <v>2440</v>
      </c>
      <c r="B2436">
        <v>0.99252571173614901</v>
      </c>
      <c r="C2436">
        <v>0.83553881971330102</v>
      </c>
      <c r="D2436">
        <v>0.65280376061276801</v>
      </c>
      <c r="E2436">
        <v>0.39168100129542699</v>
      </c>
      <c r="F2436">
        <v>0.47713038008032299</v>
      </c>
      <c r="G2436">
        <v>0.239771377894791</v>
      </c>
      <c r="H2436">
        <v>5.3860648132044497E-2</v>
      </c>
      <c r="I2436">
        <v>3.7387117937468899E-2</v>
      </c>
      <c r="J2436">
        <v>3.69082944987262E-2</v>
      </c>
      <c r="K2436">
        <v>3.8894074948705802E-2</v>
      </c>
      <c r="L2436">
        <v>523.14270432459</v>
      </c>
      <c r="M2436">
        <v>10.5788790794583</v>
      </c>
      <c r="N2436">
        <v>49.451620701077601</v>
      </c>
      <c r="O2436">
        <v>47.782670800523697</v>
      </c>
      <c r="P2436">
        <v>-5.5370630958860599E-2</v>
      </c>
      <c r="Q2436">
        <v>0</v>
      </c>
      <c r="R2436">
        <v>0.95743451274585101</v>
      </c>
      <c r="S2436" t="s">
        <v>9082</v>
      </c>
      <c r="T2436" t="s">
        <v>13290</v>
      </c>
      <c r="U2436" t="s">
        <v>13290</v>
      </c>
      <c r="V2436" t="s">
        <v>13290</v>
      </c>
      <c r="W2436" t="s">
        <v>15687</v>
      </c>
      <c r="X2436">
        <v>5</v>
      </c>
      <c r="Y2436" t="s">
        <v>22232</v>
      </c>
      <c r="Z2436" t="s">
        <v>28766</v>
      </c>
      <c r="AA2436">
        <v>0.35856752363124811</v>
      </c>
      <c r="AB2436" t="str">
        <f>HYPERLINK("Melting_Curves/meltCurve_P30291_WEE1.pdf", "Melting_Curves/meltCurve_P30291_WEE1.pdf")</f>
        <v>Melting_Curves/meltCurve_P30291_WEE1.pdf</v>
      </c>
    </row>
    <row r="2437" spans="1:28" x14ac:dyDescent="0.25">
      <c r="A2437" t="s">
        <v>2441</v>
      </c>
      <c r="B2437">
        <v>0.99252571173614901</v>
      </c>
      <c r="C2437">
        <v>1.0596872860473601</v>
      </c>
      <c r="D2437">
        <v>0.84394587906477303</v>
      </c>
      <c r="E2437">
        <v>0.81216546835151504</v>
      </c>
      <c r="F2437">
        <v>0.32198682330827</v>
      </c>
      <c r="G2437">
        <v>0.144582950734261</v>
      </c>
      <c r="H2437">
        <v>9.9097968119364499E-2</v>
      </c>
      <c r="I2437">
        <v>9.6437682714454506E-2</v>
      </c>
      <c r="J2437">
        <v>0.107956817306401</v>
      </c>
      <c r="K2437">
        <v>0.105272767056188</v>
      </c>
      <c r="L2437">
        <v>1540.9015615257799</v>
      </c>
      <c r="M2437">
        <v>29.965965913316101</v>
      </c>
      <c r="N2437">
        <v>51.793811621416701</v>
      </c>
      <c r="O2437">
        <v>51.194347503124597</v>
      </c>
      <c r="P2437">
        <v>-0.132164030103153</v>
      </c>
      <c r="Q2437">
        <v>9.6841125789352903E-2</v>
      </c>
      <c r="R2437">
        <v>0.98521380136361403</v>
      </c>
      <c r="S2437" t="s">
        <v>9083</v>
      </c>
      <c r="T2437" t="s">
        <v>13290</v>
      </c>
      <c r="U2437" t="s">
        <v>13290</v>
      </c>
      <c r="V2437" t="s">
        <v>13290</v>
      </c>
      <c r="W2437" t="s">
        <v>15688</v>
      </c>
      <c r="X2437">
        <v>15</v>
      </c>
      <c r="Y2437" t="s">
        <v>22233</v>
      </c>
      <c r="Z2437" t="s">
        <v>28767</v>
      </c>
      <c r="AA2437">
        <v>0.4464261302843609</v>
      </c>
      <c r="AB2437" t="str">
        <f>HYPERLINK("Melting_Curves/meltCurve_P30405_PPIF.pdf", "Melting_Curves/meltCurve_P30405_PPIF.pdf")</f>
        <v>Melting_Curves/meltCurve_P30405_PPIF.pdf</v>
      </c>
    </row>
    <row r="2438" spans="1:28" x14ac:dyDescent="0.25">
      <c r="A2438" t="s">
        <v>2442</v>
      </c>
      <c r="B2438">
        <v>0.99252571173614901</v>
      </c>
      <c r="C2438">
        <v>1.2544819961098299</v>
      </c>
      <c r="D2438">
        <v>1.44448923914636</v>
      </c>
      <c r="E2438">
        <v>6.8810168102993199</v>
      </c>
      <c r="F2438">
        <v>0.104840537244724</v>
      </c>
      <c r="G2438">
        <v>0.42353649541815602</v>
      </c>
      <c r="H2438">
        <v>0.22303371463927499</v>
      </c>
      <c r="I2438">
        <v>0.31745144777874301</v>
      </c>
      <c r="J2438">
        <v>0.45113239026147001</v>
      </c>
      <c r="K2438">
        <v>0.66543204312553905</v>
      </c>
      <c r="L2438">
        <v>4551.5950353687904</v>
      </c>
      <c r="M2438">
        <v>87.2107487763775</v>
      </c>
      <c r="N2438">
        <v>53.1887896198755</v>
      </c>
      <c r="O2438">
        <v>52.163342109772103</v>
      </c>
      <c r="P2438">
        <v>-0.24966911994966201</v>
      </c>
      <c r="Q2438">
        <v>0.40266205709820402</v>
      </c>
      <c r="R2438">
        <v>4.1310216727113797E-2</v>
      </c>
      <c r="S2438" t="s">
        <v>9084</v>
      </c>
      <c r="T2438" t="s">
        <v>13290</v>
      </c>
      <c r="U2438" t="s">
        <v>13290</v>
      </c>
      <c r="V2438" t="s">
        <v>13290</v>
      </c>
      <c r="W2438" t="s">
        <v>15689</v>
      </c>
      <c r="X2438">
        <v>3</v>
      </c>
      <c r="Y2438" t="s">
        <v>22234</v>
      </c>
      <c r="Z2438" t="s">
        <v>28768</v>
      </c>
      <c r="AA2438">
        <v>0.64584577735444593</v>
      </c>
      <c r="AB2438" t="str">
        <f>HYPERLINK("Melting_Curves/meltCurve_P30414_NKTR.pdf", "Melting_Curves/meltCurve_P30414_NKTR.pdf")</f>
        <v>Melting_Curves/meltCurve_P30414_NKTR.pdf</v>
      </c>
    </row>
    <row r="2439" spans="1:28" x14ac:dyDescent="0.25">
      <c r="A2439" t="s">
        <v>2443</v>
      </c>
      <c r="B2439">
        <v>0.99252571173614901</v>
      </c>
      <c r="C2439">
        <v>1.1299533411511</v>
      </c>
      <c r="D2439">
        <v>0.99399513917001903</v>
      </c>
      <c r="E2439">
        <v>1.00083452167398</v>
      </c>
      <c r="F2439">
        <v>0.40379088395505902</v>
      </c>
      <c r="G2439">
        <v>0.100537414852668</v>
      </c>
      <c r="H2439">
        <v>6.8671860242364297E-2</v>
      </c>
      <c r="I2439">
        <v>7.0135374111696E-2</v>
      </c>
      <c r="J2439">
        <v>8.1267681878583395E-2</v>
      </c>
      <c r="K2439">
        <v>8.2614283773860805E-2</v>
      </c>
      <c r="L2439">
        <v>3957.0302812975001</v>
      </c>
      <c r="M2439">
        <v>74.986624205631998</v>
      </c>
      <c r="N2439">
        <v>52.8922159905417</v>
      </c>
      <c r="O2439">
        <v>52.732337023684003</v>
      </c>
      <c r="P2439">
        <v>-0.327188391460487</v>
      </c>
      <c r="Q2439">
        <v>7.9654512024586496E-2</v>
      </c>
      <c r="R2439">
        <v>0.99132766008252804</v>
      </c>
      <c r="S2439" t="s">
        <v>9085</v>
      </c>
      <c r="T2439" t="s">
        <v>13290</v>
      </c>
      <c r="U2439" t="s">
        <v>13290</v>
      </c>
      <c r="V2439" t="s">
        <v>13290</v>
      </c>
      <c r="W2439" t="s">
        <v>15690</v>
      </c>
      <c r="X2439">
        <v>20</v>
      </c>
      <c r="Y2439" t="s">
        <v>22235</v>
      </c>
      <c r="Z2439" t="s">
        <v>28769</v>
      </c>
      <c r="AA2439">
        <v>0.4723587364889737</v>
      </c>
      <c r="AB2439" t="str">
        <f>HYPERLINK("Melting_Curves/meltCurve_P30419_NMT1.pdf", "Melting_Curves/meltCurve_P30419_NMT1.pdf")</f>
        <v>Melting_Curves/meltCurve_P30419_NMT1.pdf</v>
      </c>
    </row>
    <row r="2440" spans="1:28" x14ac:dyDescent="0.25">
      <c r="A2440" t="s">
        <v>2444</v>
      </c>
      <c r="B2440">
        <v>0.99252571173614901</v>
      </c>
      <c r="C2440">
        <v>0.880105671141866</v>
      </c>
      <c r="D2440">
        <v>0.826221633266635</v>
      </c>
      <c r="E2440">
        <v>0.63445283982057998</v>
      </c>
      <c r="F2440">
        <v>0.37563825403998902</v>
      </c>
      <c r="G2440">
        <v>0.24998328664404201</v>
      </c>
      <c r="H2440">
        <v>0.18471872299977801</v>
      </c>
      <c r="I2440">
        <v>0.176971932110632</v>
      </c>
      <c r="J2440">
        <v>0.23615644117155399</v>
      </c>
      <c r="K2440">
        <v>0.17556302184476</v>
      </c>
      <c r="L2440">
        <v>794.95061272214002</v>
      </c>
      <c r="M2440">
        <v>15.961619785726301</v>
      </c>
      <c r="N2440">
        <v>51.1153391532673</v>
      </c>
      <c r="O2440">
        <v>49.0418108992016</v>
      </c>
      <c r="P2440">
        <v>-6.77017239840665E-2</v>
      </c>
      <c r="Q2440">
        <v>0.16801618019519199</v>
      </c>
      <c r="R2440">
        <v>0.98996133242441797</v>
      </c>
      <c r="S2440" t="s">
        <v>9086</v>
      </c>
      <c r="T2440" t="s">
        <v>13290</v>
      </c>
      <c r="U2440" t="s">
        <v>13290</v>
      </c>
      <c r="V2440" t="s">
        <v>13290</v>
      </c>
      <c r="W2440" t="s">
        <v>15691</v>
      </c>
      <c r="X2440">
        <v>22</v>
      </c>
      <c r="Y2440" t="s">
        <v>22017</v>
      </c>
      <c r="Z2440" t="s">
        <v>28770</v>
      </c>
      <c r="AA2440">
        <v>0.4577395385329624</v>
      </c>
      <c r="AB2440" t="str">
        <f>HYPERLINK("Melting_Curves/meltCurve_P30443_HLA_A.pdf", "Melting_Curves/meltCurve_P30443_HLA_A.pdf")</f>
        <v>Melting_Curves/meltCurve_P30443_HLA_A.pdf</v>
      </c>
    </row>
    <row r="2441" spans="1:28" x14ac:dyDescent="0.25">
      <c r="A2441" t="s">
        <v>2445</v>
      </c>
      <c r="B2441">
        <v>0.99252571173614901</v>
      </c>
      <c r="C2441">
        <v>1.00373385226398</v>
      </c>
      <c r="D2441">
        <v>0.90408178657372795</v>
      </c>
      <c r="E2441">
        <v>0.72184388355735696</v>
      </c>
      <c r="F2441">
        <v>0.52969172949648102</v>
      </c>
      <c r="G2441">
        <v>0.40606890221733</v>
      </c>
      <c r="H2441">
        <v>0.33699337029846399</v>
      </c>
      <c r="I2441">
        <v>0.43146982669144401</v>
      </c>
      <c r="J2441">
        <v>0.58009998196104395</v>
      </c>
      <c r="K2441">
        <v>0.53248257038242897</v>
      </c>
      <c r="L2441">
        <v>1371.1662102881201</v>
      </c>
      <c r="M2441">
        <v>27.8184541719564</v>
      </c>
      <c r="N2441">
        <v>54.071090318592802</v>
      </c>
      <c r="O2441">
        <v>49.037231858308203</v>
      </c>
      <c r="P2441">
        <v>-7.6971371410110595E-2</v>
      </c>
      <c r="Q2441">
        <v>0.45727711603543197</v>
      </c>
      <c r="R2441">
        <v>0.92332965654730004</v>
      </c>
      <c r="S2441" t="s">
        <v>9087</v>
      </c>
      <c r="T2441" t="s">
        <v>13290</v>
      </c>
      <c r="U2441" t="s">
        <v>13290</v>
      </c>
      <c r="V2441" t="s">
        <v>13290</v>
      </c>
      <c r="W2441" t="s">
        <v>15692</v>
      </c>
      <c r="X2441">
        <v>9</v>
      </c>
      <c r="Y2441" t="s">
        <v>22236</v>
      </c>
      <c r="Z2441" t="s">
        <v>28771</v>
      </c>
      <c r="AA2441">
        <v>0.62921008165155612</v>
      </c>
      <c r="AB2441" t="str">
        <f>HYPERLINK("Melting_Curves/meltCurve_P30492_HLA_B.pdf", "Melting_Curves/meltCurve_P30492_HLA_B.pdf")</f>
        <v>Melting_Curves/meltCurve_P30492_HLA_B.pdf</v>
      </c>
    </row>
    <row r="2442" spans="1:28" x14ac:dyDescent="0.25">
      <c r="A2442" t="s">
        <v>2446</v>
      </c>
      <c r="B2442">
        <v>0.99252571173614901</v>
      </c>
      <c r="C2442">
        <v>0.91384904466948302</v>
      </c>
      <c r="D2442">
        <v>0.87529259714370899</v>
      </c>
      <c r="E2442">
        <v>0.65087539365362501</v>
      </c>
      <c r="F2442">
        <v>0.27037100638599598</v>
      </c>
      <c r="G2442">
        <v>0.14048167389278901</v>
      </c>
      <c r="H2442">
        <v>0.10254814924434</v>
      </c>
      <c r="I2442">
        <v>9.9831659321578198E-2</v>
      </c>
      <c r="J2442">
        <v>0.16881013543269499</v>
      </c>
      <c r="K2442">
        <v>0.14645141455667399</v>
      </c>
      <c r="L2442">
        <v>1218.7854082610099</v>
      </c>
      <c r="M2442">
        <v>24.321747408191101</v>
      </c>
      <c r="N2442">
        <v>50.669819599171099</v>
      </c>
      <c r="O2442">
        <v>49.775853615758798</v>
      </c>
      <c r="P2442">
        <v>-0.10778686655874101</v>
      </c>
      <c r="Q2442">
        <v>0.117645153621609</v>
      </c>
      <c r="R2442">
        <v>0.98962383612882698</v>
      </c>
      <c r="S2442" t="s">
        <v>9088</v>
      </c>
      <c r="T2442" t="s">
        <v>13290</v>
      </c>
      <c r="U2442" t="s">
        <v>13290</v>
      </c>
      <c r="V2442" t="s">
        <v>13290</v>
      </c>
      <c r="W2442" t="s">
        <v>15693</v>
      </c>
      <c r="X2442">
        <v>11</v>
      </c>
      <c r="Y2442" t="s">
        <v>19892</v>
      </c>
      <c r="Z2442" t="s">
        <v>28772</v>
      </c>
      <c r="AA2442">
        <v>0.42336863256195978</v>
      </c>
      <c r="AB2442" t="str">
        <f>HYPERLINK("Melting_Curves/meltCurve_P30504_HLA_C.pdf", "Melting_Curves/meltCurve_P30504_HLA_C.pdf")</f>
        <v>Melting_Curves/meltCurve_P30504_HLA_C.pdf</v>
      </c>
    </row>
    <row r="2443" spans="1:28" x14ac:dyDescent="0.25">
      <c r="A2443" t="s">
        <v>2447</v>
      </c>
      <c r="B2443">
        <v>0.99252571173614901</v>
      </c>
      <c r="C2443">
        <v>0.93211213268781701</v>
      </c>
      <c r="D2443">
        <v>0.88825353457390299</v>
      </c>
      <c r="E2443">
        <v>0.75775089308195698</v>
      </c>
      <c r="F2443">
        <v>0.37269366768853102</v>
      </c>
      <c r="G2443">
        <v>0.21231693745534699</v>
      </c>
      <c r="H2443">
        <v>0.15550772580657499</v>
      </c>
      <c r="I2443">
        <v>0.17814107046291699</v>
      </c>
      <c r="J2443">
        <v>0.24780822048120299</v>
      </c>
      <c r="K2443">
        <v>0.25934685842813399</v>
      </c>
      <c r="L2443">
        <v>1406.16286947349</v>
      </c>
      <c r="M2443">
        <v>27.689067060224701</v>
      </c>
      <c r="N2443">
        <v>51.744391616820103</v>
      </c>
      <c r="O2443">
        <v>50.521361083380299</v>
      </c>
      <c r="P2443">
        <v>-0.109488508936294</v>
      </c>
      <c r="Q2443">
        <v>0.200917781544172</v>
      </c>
      <c r="R2443">
        <v>0.982027022267279</v>
      </c>
      <c r="S2443" t="s">
        <v>9089</v>
      </c>
      <c r="T2443" t="s">
        <v>13290</v>
      </c>
      <c r="U2443" t="s">
        <v>13290</v>
      </c>
      <c r="V2443" t="s">
        <v>13290</v>
      </c>
      <c r="W2443" t="s">
        <v>15694</v>
      </c>
      <c r="X2443">
        <v>11</v>
      </c>
      <c r="Y2443" t="s">
        <v>19892</v>
      </c>
      <c r="Z2443" t="s">
        <v>28773</v>
      </c>
      <c r="AA2443">
        <v>0.4940406525802431</v>
      </c>
      <c r="AB2443" t="str">
        <f>HYPERLINK("Melting_Curves/meltCurve_P30508_HLA_C.pdf", "Melting_Curves/meltCurve_P30508_HLA_C.pdf")</f>
        <v>Melting_Curves/meltCurve_P30508_HLA_C.pdf</v>
      </c>
    </row>
    <row r="2444" spans="1:28" x14ac:dyDescent="0.25">
      <c r="A2444" t="s">
        <v>2448</v>
      </c>
      <c r="B2444">
        <v>0.99252571173614901</v>
      </c>
      <c r="C2444">
        <v>0.947210454135054</v>
      </c>
      <c r="D2444">
        <v>0.84374388975641801</v>
      </c>
      <c r="E2444">
        <v>0.50913522791817001</v>
      </c>
      <c r="F2444">
        <v>0.19489410997107701</v>
      </c>
      <c r="G2444">
        <v>0.12527053080821901</v>
      </c>
      <c r="H2444">
        <v>8.7765430069399297E-2</v>
      </c>
      <c r="I2444">
        <v>8.9151590628558999E-2</v>
      </c>
      <c r="J2444">
        <v>0.108296896846271</v>
      </c>
      <c r="K2444">
        <v>0.104367098380459</v>
      </c>
      <c r="L2444">
        <v>1175.79798624719</v>
      </c>
      <c r="M2444">
        <v>23.941403040108298</v>
      </c>
      <c r="N2444">
        <v>49.527846044417302</v>
      </c>
      <c r="O2444">
        <v>48.772692920335899</v>
      </c>
      <c r="P2444">
        <v>-0.111535089790049</v>
      </c>
      <c r="Q2444">
        <v>9.1150896853935306E-2</v>
      </c>
      <c r="R2444">
        <v>0.99851728289933395</v>
      </c>
      <c r="S2444" t="s">
        <v>9090</v>
      </c>
      <c r="T2444" t="s">
        <v>13290</v>
      </c>
      <c r="U2444" t="s">
        <v>13290</v>
      </c>
      <c r="V2444" t="s">
        <v>13290</v>
      </c>
      <c r="W2444" t="s">
        <v>15695</v>
      </c>
      <c r="X2444">
        <v>25</v>
      </c>
      <c r="Y2444" t="s">
        <v>22237</v>
      </c>
      <c r="Z2444" t="s">
        <v>28774</v>
      </c>
      <c r="AA2444">
        <v>0.37599198867892097</v>
      </c>
      <c r="AB2444" t="str">
        <f>HYPERLINK("Melting_Curves/meltCurve_P30519_HMOX2.pdf", "Melting_Curves/meltCurve_P30519_HMOX2.pdf")</f>
        <v>Melting_Curves/meltCurve_P30519_HMOX2.pdf</v>
      </c>
    </row>
    <row r="2445" spans="1:28" x14ac:dyDescent="0.25">
      <c r="A2445" t="s">
        <v>2449</v>
      </c>
      <c r="B2445">
        <v>0.99252571173614901</v>
      </c>
      <c r="C2445">
        <v>1.0542987012570799</v>
      </c>
      <c r="D2445">
        <v>1.0270328564672</v>
      </c>
      <c r="E2445">
        <v>1.0278191826527401</v>
      </c>
      <c r="F2445">
        <v>0.92081237597003496</v>
      </c>
      <c r="G2445">
        <v>0.73329301688025605</v>
      </c>
      <c r="H2445">
        <v>0.39680040851742099</v>
      </c>
      <c r="I2445">
        <v>0.150876344177126</v>
      </c>
      <c r="J2445">
        <v>0.13614733865952999</v>
      </c>
      <c r="K2445">
        <v>0.12290687439716701</v>
      </c>
      <c r="L2445">
        <v>1486.04189905516</v>
      </c>
      <c r="M2445">
        <v>25.257877100266001</v>
      </c>
      <c r="N2445">
        <v>59.304010635116001</v>
      </c>
      <c r="O2445">
        <v>58.469716708154401</v>
      </c>
      <c r="P2445">
        <v>-9.82156282420555E-2</v>
      </c>
      <c r="Q2445">
        <v>9.0570475452298599E-2</v>
      </c>
      <c r="R2445">
        <v>0.99428460185656098</v>
      </c>
      <c r="S2445" t="s">
        <v>9091</v>
      </c>
      <c r="T2445" t="s">
        <v>13290</v>
      </c>
      <c r="U2445" t="s">
        <v>13290</v>
      </c>
      <c r="V2445" t="s">
        <v>13290</v>
      </c>
      <c r="W2445" t="s">
        <v>15696</v>
      </c>
      <c r="X2445">
        <v>26</v>
      </c>
      <c r="Y2445" t="s">
        <v>22238</v>
      </c>
      <c r="Z2445" t="s">
        <v>28775</v>
      </c>
      <c r="AA2445">
        <v>0.66898213046534194</v>
      </c>
      <c r="AB2445" t="str">
        <f>HYPERLINK("Melting_Curves/meltCurve_P30520_ADSS.pdf", "Melting_Curves/meltCurve_P30520_ADSS.pdf")</f>
        <v>Melting_Curves/meltCurve_P30520_ADSS.pdf</v>
      </c>
    </row>
    <row r="2446" spans="1:28" x14ac:dyDescent="0.25">
      <c r="A2446" t="s">
        <v>2450</v>
      </c>
      <c r="B2446">
        <v>0.99252571173614901</v>
      </c>
      <c r="C2446">
        <v>1.1244141770684599</v>
      </c>
      <c r="D2446">
        <v>1.0053394587140601</v>
      </c>
      <c r="E2446">
        <v>0.915649731117957</v>
      </c>
      <c r="F2446">
        <v>0.78205323252930703</v>
      </c>
      <c r="G2446">
        <v>0.61238056217970105</v>
      </c>
      <c r="H2446">
        <v>0.53243606688757605</v>
      </c>
      <c r="I2446">
        <v>0.72490526540659705</v>
      </c>
      <c r="J2446">
        <v>1.0759086078281901</v>
      </c>
      <c r="K2446">
        <v>1.1866291891590299</v>
      </c>
      <c r="L2446">
        <v>12406.724545512699</v>
      </c>
      <c r="M2446">
        <v>250</v>
      </c>
      <c r="O2446">
        <v>49.623722384950298</v>
      </c>
      <c r="P2446">
        <v>-0.22789988110247</v>
      </c>
      <c r="Q2446">
        <v>0.81905215329237302</v>
      </c>
      <c r="R2446">
        <v>0.210507047695984</v>
      </c>
      <c r="S2446" t="s">
        <v>9092</v>
      </c>
      <c r="T2446" t="s">
        <v>13290</v>
      </c>
      <c r="U2446" t="s">
        <v>13290</v>
      </c>
      <c r="V2446" t="s">
        <v>13290</v>
      </c>
      <c r="W2446" t="s">
        <v>15697</v>
      </c>
      <c r="X2446">
        <v>27</v>
      </c>
      <c r="Y2446" t="s">
        <v>22239</v>
      </c>
      <c r="Z2446" t="s">
        <v>28776</v>
      </c>
      <c r="AA2446">
        <v>0.87713346272650983</v>
      </c>
      <c r="AB2446" t="str">
        <f>HYPERLINK("Melting_Curves/meltCurve_P30533_LRPAP1.pdf", "Melting_Curves/meltCurve_P30533_LRPAP1.pdf")</f>
        <v>Melting_Curves/meltCurve_P30533_LRPAP1.pdf</v>
      </c>
    </row>
    <row r="2447" spans="1:28" x14ac:dyDescent="0.25">
      <c r="A2447" t="s">
        <v>2451</v>
      </c>
      <c r="B2447">
        <v>0.99252571173614901</v>
      </c>
      <c r="C2447">
        <v>0.943866976509391</v>
      </c>
      <c r="D2447">
        <v>1.1542829992432899</v>
      </c>
      <c r="E2447">
        <v>1.29019089805794</v>
      </c>
      <c r="F2447">
        <v>1.2988964936998699</v>
      </c>
      <c r="G2447">
        <v>1.1153113666472101</v>
      </c>
      <c r="H2447">
        <v>1.1269769547841499</v>
      </c>
      <c r="I2447">
        <v>0.13411077589694001</v>
      </c>
      <c r="J2447">
        <v>0.13890002378145799</v>
      </c>
      <c r="K2447">
        <v>0.102016589974184</v>
      </c>
      <c r="L2447">
        <v>15000</v>
      </c>
      <c r="M2447">
        <v>238.35670839886501</v>
      </c>
      <c r="N2447">
        <v>63.003190407766802</v>
      </c>
      <c r="O2447">
        <v>62.926464786205401</v>
      </c>
      <c r="P2447">
        <v>-0.83365572880977701</v>
      </c>
      <c r="Q2447">
        <v>0.11965549904032199</v>
      </c>
      <c r="R2447">
        <v>0.89689180166276805</v>
      </c>
      <c r="S2447" t="s">
        <v>9093</v>
      </c>
      <c r="T2447" t="s">
        <v>13290</v>
      </c>
      <c r="U2447" t="s">
        <v>13290</v>
      </c>
      <c r="V2447" t="s">
        <v>13290</v>
      </c>
      <c r="W2447" t="s">
        <v>15698</v>
      </c>
      <c r="X2447">
        <v>23</v>
      </c>
      <c r="Y2447" t="s">
        <v>22240</v>
      </c>
      <c r="Z2447" t="s">
        <v>28777</v>
      </c>
      <c r="AA2447">
        <v>0.79266524862698795</v>
      </c>
      <c r="AB2447" t="str">
        <f>HYPERLINK("Melting_Curves/meltCurve_P30566_ADSL.pdf", "Melting_Curves/meltCurve_P30566_ADSL.pdf")</f>
        <v>Melting_Curves/meltCurve_P30566_ADSL.pdf</v>
      </c>
    </row>
    <row r="2448" spans="1:28" x14ac:dyDescent="0.25">
      <c r="A2448" t="s">
        <v>2452</v>
      </c>
      <c r="B2448">
        <v>0.99252571173614901</v>
      </c>
      <c r="C2448">
        <v>1.05343015767118</v>
      </c>
      <c r="D2448">
        <v>1.4689437821578599</v>
      </c>
      <c r="E2448">
        <v>4.4427981794641802</v>
      </c>
      <c r="F2448">
        <v>3.82477990779583</v>
      </c>
      <c r="G2448">
        <v>3.4548546154892299</v>
      </c>
      <c r="H2448">
        <v>4.73720868628648</v>
      </c>
      <c r="I2448">
        <v>0.44220175669998102</v>
      </c>
      <c r="J2448">
        <v>0.364051943320986</v>
      </c>
      <c r="K2448">
        <v>0.35316212936983399</v>
      </c>
      <c r="L2448">
        <v>15000</v>
      </c>
      <c r="M2448">
        <v>236.25598709227299</v>
      </c>
      <c r="N2448">
        <v>63.831029940776801</v>
      </c>
      <c r="O2448">
        <v>63.485905038118702</v>
      </c>
      <c r="P2448">
        <v>-0.59704841256296304</v>
      </c>
      <c r="Q2448">
        <v>0.35825272773440298</v>
      </c>
      <c r="R2448">
        <v>-0.39126308266771098</v>
      </c>
      <c r="S2448" t="s">
        <v>9094</v>
      </c>
      <c r="T2448" t="s">
        <v>13290</v>
      </c>
      <c r="U2448" t="s">
        <v>13290</v>
      </c>
      <c r="V2448" t="s">
        <v>13290</v>
      </c>
      <c r="W2448" t="s">
        <v>15699</v>
      </c>
      <c r="X2448">
        <v>3</v>
      </c>
      <c r="Y2448" t="s">
        <v>22241</v>
      </c>
      <c r="Z2448" t="s">
        <v>28778</v>
      </c>
      <c r="AA2448">
        <v>0.86083063482215794</v>
      </c>
      <c r="AB2448" t="str">
        <f>HYPERLINK("Melting_Curves/meltCurve_P30613_2_PKLR.pdf", "Melting_Curves/meltCurve_P30613_2_PKLR.pdf")</f>
        <v>Melting_Curves/meltCurve_P30613_2_PKLR.pdf</v>
      </c>
    </row>
    <row r="2449" spans="1:28" x14ac:dyDescent="0.25">
      <c r="A2449" t="s">
        <v>2453</v>
      </c>
      <c r="B2449">
        <v>0.99252571173614901</v>
      </c>
      <c r="C2449">
        <v>1.0655391773868601</v>
      </c>
      <c r="D2449">
        <v>0.89279013951848596</v>
      </c>
      <c r="E2449">
        <v>0.78798505629384996</v>
      </c>
      <c r="F2449">
        <v>0.50957067144595902</v>
      </c>
      <c r="G2449">
        <v>0.33627868626642798</v>
      </c>
      <c r="H2449">
        <v>0.25068777270681197</v>
      </c>
      <c r="I2449">
        <v>0.35167265879523901</v>
      </c>
      <c r="J2449">
        <v>0.55467809395791101</v>
      </c>
      <c r="K2449">
        <v>0.68691624430489495</v>
      </c>
      <c r="L2449">
        <v>1764.6485546705401</v>
      </c>
      <c r="M2449">
        <v>35.2079400164546</v>
      </c>
      <c r="N2449">
        <v>53.244845984193603</v>
      </c>
      <c r="O2449">
        <v>49.959890914943301</v>
      </c>
      <c r="P2449">
        <v>-9.9253383679780996E-2</v>
      </c>
      <c r="Q2449">
        <v>0.43664175343571998</v>
      </c>
      <c r="R2449">
        <v>0.80824589093504096</v>
      </c>
      <c r="S2449" t="s">
        <v>9095</v>
      </c>
      <c r="T2449" t="s">
        <v>13290</v>
      </c>
      <c r="U2449" t="s">
        <v>13290</v>
      </c>
      <c r="V2449" t="s">
        <v>13290</v>
      </c>
      <c r="W2449" t="s">
        <v>15700</v>
      </c>
      <c r="X2449">
        <v>37</v>
      </c>
      <c r="Y2449" t="s">
        <v>22242</v>
      </c>
      <c r="Z2449" t="s">
        <v>28779</v>
      </c>
      <c r="AA2449">
        <v>0.62922157433666848</v>
      </c>
      <c r="AB2449" t="str">
        <f>HYPERLINK("Melting_Curves/meltCurve_P30622_2_CLIP1.pdf", "Melting_Curves/meltCurve_P30622_2_CLIP1.pdf")</f>
        <v>Melting_Curves/meltCurve_P30622_2_CLIP1.pdf</v>
      </c>
    </row>
    <row r="2450" spans="1:28" x14ac:dyDescent="0.25">
      <c r="A2450" t="s">
        <v>2454</v>
      </c>
      <c r="B2450">
        <v>0.99252571173614901</v>
      </c>
      <c r="C2450">
        <v>1.0669117581706</v>
      </c>
      <c r="D2450">
        <v>0.97148526162017701</v>
      </c>
      <c r="E2450">
        <v>0.85258511339994103</v>
      </c>
      <c r="F2450">
        <v>0.778998622810811</v>
      </c>
      <c r="G2450">
        <v>0.68853008345057898</v>
      </c>
      <c r="H2450">
        <v>0.67048623765816295</v>
      </c>
      <c r="I2450">
        <v>0.84528860645873305</v>
      </c>
      <c r="J2450">
        <v>1.0996261778915299</v>
      </c>
      <c r="K2450">
        <v>0.825460923735723</v>
      </c>
      <c r="L2450">
        <v>2383.0913056752502</v>
      </c>
      <c r="M2450">
        <v>49.789928220521503</v>
      </c>
      <c r="O2450">
        <v>47.785904609963197</v>
      </c>
      <c r="P2450">
        <v>-4.7207976861998402E-2</v>
      </c>
      <c r="Q2450">
        <v>0.81876867936964803</v>
      </c>
      <c r="R2450">
        <v>0.37470649887815399</v>
      </c>
      <c r="S2450" t="s">
        <v>9096</v>
      </c>
      <c r="T2450" t="s">
        <v>13290</v>
      </c>
      <c r="U2450" t="s">
        <v>13290</v>
      </c>
      <c r="V2450" t="s">
        <v>13290</v>
      </c>
      <c r="W2450" t="s">
        <v>15701</v>
      </c>
      <c r="X2450">
        <v>10</v>
      </c>
      <c r="Y2450" t="s">
        <v>22243</v>
      </c>
      <c r="Z2450" t="s">
        <v>28780</v>
      </c>
      <c r="AA2450">
        <v>0.86665501767862585</v>
      </c>
      <c r="AB2450" t="str">
        <f>HYPERLINK("Melting_Curves/meltCurve_P30711_GSTT1.pdf", "Melting_Curves/meltCurve_P30711_GSTT1.pdf")</f>
        <v>Melting_Curves/meltCurve_P30711_GSTT1.pdf</v>
      </c>
    </row>
    <row r="2451" spans="1:28" x14ac:dyDescent="0.25">
      <c r="A2451" t="s">
        <v>2455</v>
      </c>
      <c r="B2451">
        <v>0.99252571173614901</v>
      </c>
      <c r="C2451">
        <v>1.0966124500758501</v>
      </c>
      <c r="D2451">
        <v>0.61224962587841103</v>
      </c>
      <c r="E2451">
        <v>0.75751962791596195</v>
      </c>
      <c r="F2451">
        <v>0.38128265809253098</v>
      </c>
      <c r="G2451">
        <v>0.120752242227568</v>
      </c>
      <c r="H2451">
        <v>7.8588010402100894E-2</v>
      </c>
      <c r="I2451">
        <v>6.6041954813976594E-2</v>
      </c>
      <c r="J2451">
        <v>6.7246014511527896E-2</v>
      </c>
      <c r="K2451">
        <v>6.6375524277536499E-2</v>
      </c>
      <c r="L2451">
        <v>772.58698348678001</v>
      </c>
      <c r="M2451">
        <v>15.1171203983547</v>
      </c>
      <c r="N2451">
        <v>51.247586182719203</v>
      </c>
      <c r="O2451">
        <v>50.237464383093702</v>
      </c>
      <c r="P2451">
        <v>-7.3704975556609806E-2</v>
      </c>
      <c r="Q2451">
        <v>2.0345630405510198E-2</v>
      </c>
      <c r="R2451">
        <v>0.93213967347358895</v>
      </c>
      <c r="S2451" t="s">
        <v>9097</v>
      </c>
      <c r="T2451" t="s">
        <v>13290</v>
      </c>
      <c r="U2451" t="s">
        <v>13290</v>
      </c>
      <c r="V2451" t="s">
        <v>13290</v>
      </c>
      <c r="W2451" t="s">
        <v>15702</v>
      </c>
      <c r="X2451">
        <v>17</v>
      </c>
      <c r="Y2451" t="s">
        <v>22244</v>
      </c>
      <c r="Z2451" t="s">
        <v>28781</v>
      </c>
      <c r="AA2451">
        <v>0.40531005643052592</v>
      </c>
      <c r="AB2451" t="str">
        <f>HYPERLINK("Melting_Curves/meltCurve_P30740_SERPINB1.pdf", "Melting_Curves/meltCurve_P30740_SERPINB1.pdf")</f>
        <v>Melting_Curves/meltCurve_P30740_SERPINB1.pdf</v>
      </c>
    </row>
    <row r="2452" spans="1:28" x14ac:dyDescent="0.25">
      <c r="A2452" t="s">
        <v>2456</v>
      </c>
      <c r="B2452">
        <v>0.99252571173614901</v>
      </c>
      <c r="C2452">
        <v>1.00602382819731</v>
      </c>
      <c r="D2452">
        <v>0.93256685668242001</v>
      </c>
      <c r="E2452">
        <v>0.92698839255929499</v>
      </c>
      <c r="F2452">
        <v>0.76829436643051596</v>
      </c>
      <c r="G2452">
        <v>0.48901980769993603</v>
      </c>
      <c r="H2452">
        <v>0.60057413273138605</v>
      </c>
      <c r="I2452">
        <v>0.74592881408966505</v>
      </c>
      <c r="J2452">
        <v>1.1879735513634599</v>
      </c>
      <c r="K2452">
        <v>1.2472819154550501</v>
      </c>
      <c r="L2452">
        <v>1571.67092980763</v>
      </c>
      <c r="M2452">
        <v>33.264067588710098</v>
      </c>
      <c r="O2452">
        <v>47.078540712255297</v>
      </c>
      <c r="P2452">
        <v>-2.7173772854514701E-2</v>
      </c>
      <c r="Q2452">
        <v>0.84616485210615699</v>
      </c>
      <c r="R2452">
        <v>7.1225169721610901E-2</v>
      </c>
      <c r="S2452" t="s">
        <v>9098</v>
      </c>
      <c r="T2452" t="s">
        <v>13290</v>
      </c>
      <c r="U2452" t="s">
        <v>13290</v>
      </c>
      <c r="V2452" t="s">
        <v>13290</v>
      </c>
      <c r="W2452" t="s">
        <v>15703</v>
      </c>
      <c r="X2452">
        <v>1</v>
      </c>
      <c r="Y2452" t="s">
        <v>22245</v>
      </c>
      <c r="Z2452" t="s">
        <v>28782</v>
      </c>
      <c r="AA2452">
        <v>0.88407424704783288</v>
      </c>
      <c r="AB2452" t="str">
        <f>HYPERLINK("Melting_Curves/meltCurve_P30793_GCH1.pdf", "Melting_Curves/meltCurve_P30793_GCH1.pdf")</f>
        <v>Melting_Curves/meltCurve_P30793_GCH1.pdf</v>
      </c>
    </row>
    <row r="2453" spans="1:28" x14ac:dyDescent="0.25">
      <c r="A2453" t="s">
        <v>2457</v>
      </c>
      <c r="B2453">
        <v>0.99252571173614901</v>
      </c>
      <c r="C2453">
        <v>0.91857841978997901</v>
      </c>
      <c r="D2453">
        <v>0.88481201120877195</v>
      </c>
      <c r="E2453">
        <v>0.928897450878301</v>
      </c>
      <c r="F2453">
        <v>0.83487060897575704</v>
      </c>
      <c r="G2453">
        <v>0.750996397573922</v>
      </c>
      <c r="H2453">
        <v>0.61697907348740599</v>
      </c>
      <c r="I2453">
        <v>0.83698657520397002</v>
      </c>
      <c r="J2453">
        <v>1.00516581514449</v>
      </c>
      <c r="K2453">
        <v>0.44919370234567702</v>
      </c>
      <c r="L2453">
        <v>210.70584592086499</v>
      </c>
      <c r="M2453">
        <v>2.2715244556907699</v>
      </c>
      <c r="O2453">
        <v>59.387239823832701</v>
      </c>
      <c r="P2453">
        <v>-1.0189910922826799E-2</v>
      </c>
      <c r="Q2453">
        <v>0</v>
      </c>
      <c r="R2453">
        <v>0.32956857838849701</v>
      </c>
      <c r="S2453" t="s">
        <v>9099</v>
      </c>
      <c r="T2453" t="s">
        <v>13290</v>
      </c>
      <c r="U2453" t="s">
        <v>13290</v>
      </c>
      <c r="V2453" t="s">
        <v>13290</v>
      </c>
      <c r="W2453" t="s">
        <v>15704</v>
      </c>
      <c r="X2453">
        <v>8</v>
      </c>
      <c r="Y2453" t="s">
        <v>22246</v>
      </c>
      <c r="Z2453" t="s">
        <v>28783</v>
      </c>
      <c r="AA2453">
        <v>0.8225472767353923</v>
      </c>
      <c r="AB2453" t="str">
        <f>HYPERLINK("Melting_Curves/meltCurve_P30825_SLC7A1.pdf", "Melting_Curves/meltCurve_P30825_SLC7A1.pdf")</f>
        <v>Melting_Curves/meltCurve_P30825_SLC7A1.pdf</v>
      </c>
    </row>
    <row r="2454" spans="1:28" x14ac:dyDescent="0.25">
      <c r="A2454" t="s">
        <v>2458</v>
      </c>
      <c r="B2454">
        <v>0.99252571173614901</v>
      </c>
      <c r="C2454">
        <v>0.91568421679399603</v>
      </c>
      <c r="D2454">
        <v>1.03713986024914</v>
      </c>
      <c r="E2454">
        <v>0.99265142387407201</v>
      </c>
      <c r="F2454">
        <v>0.64543865336258699</v>
      </c>
      <c r="G2454">
        <v>0.20234676273384999</v>
      </c>
      <c r="H2454">
        <v>0.110832773662301</v>
      </c>
      <c r="I2454">
        <v>0.106777508327693</v>
      </c>
      <c r="J2454">
        <v>0.10736677953842</v>
      </c>
      <c r="K2454">
        <v>0.102421078662879</v>
      </c>
      <c r="L2454">
        <v>2234.50822228773</v>
      </c>
      <c r="M2454">
        <v>41.557190649749202</v>
      </c>
      <c r="N2454">
        <v>54.080153338830797</v>
      </c>
      <c r="O2454">
        <v>53.645393277598302</v>
      </c>
      <c r="P2454">
        <v>-0.173102351066133</v>
      </c>
      <c r="Q2454">
        <v>0.10618302997741599</v>
      </c>
      <c r="R2454">
        <v>0.994560459199473</v>
      </c>
      <c r="S2454" t="s">
        <v>9100</v>
      </c>
      <c r="T2454" t="s">
        <v>13290</v>
      </c>
      <c r="U2454" t="s">
        <v>13290</v>
      </c>
      <c r="V2454" t="s">
        <v>13290</v>
      </c>
      <c r="W2454" t="s">
        <v>15705</v>
      </c>
      <c r="X2454">
        <v>26</v>
      </c>
      <c r="Y2454" t="s">
        <v>22247</v>
      </c>
      <c r="Z2454" t="s">
        <v>28784</v>
      </c>
      <c r="AA2454">
        <v>0.51950137628912252</v>
      </c>
      <c r="AB2454" t="str">
        <f>HYPERLINK("Melting_Curves/meltCurve_P30837_ALDH1B1.pdf", "Melting_Curves/meltCurve_P30837_ALDH1B1.pdf")</f>
        <v>Melting_Curves/meltCurve_P30837_ALDH1B1.pdf</v>
      </c>
    </row>
    <row r="2455" spans="1:28" x14ac:dyDescent="0.25">
      <c r="A2455" t="s">
        <v>2459</v>
      </c>
      <c r="B2455">
        <v>0.99252571173614901</v>
      </c>
      <c r="C2455">
        <v>0.97341080370454203</v>
      </c>
      <c r="D2455">
        <v>0.83912663246020902</v>
      </c>
      <c r="E2455">
        <v>0.48529377010403002</v>
      </c>
      <c r="F2455">
        <v>0.173230014273522</v>
      </c>
      <c r="G2455">
        <v>9.5171256688021205E-2</v>
      </c>
      <c r="H2455">
        <v>7.1434839725928304E-2</v>
      </c>
      <c r="I2455">
        <v>6.37749625777983E-2</v>
      </c>
      <c r="J2455">
        <v>6.3759797776721194E-2</v>
      </c>
      <c r="K2455">
        <v>6.1487310282588997E-2</v>
      </c>
      <c r="L2455">
        <v>1191.9763263071</v>
      </c>
      <c r="M2455">
        <v>24.268891037482099</v>
      </c>
      <c r="N2455">
        <v>49.376060136528302</v>
      </c>
      <c r="O2455">
        <v>48.785549700659899</v>
      </c>
      <c r="P2455">
        <v>-0.11688950914066699</v>
      </c>
      <c r="Q2455">
        <v>6.0124414124816401E-2</v>
      </c>
      <c r="R2455">
        <v>0.99973535179486195</v>
      </c>
      <c r="S2455" t="s">
        <v>9101</v>
      </c>
      <c r="T2455" t="s">
        <v>13290</v>
      </c>
      <c r="U2455" t="s">
        <v>13290</v>
      </c>
      <c r="V2455" t="s">
        <v>13290</v>
      </c>
      <c r="W2455" t="s">
        <v>15706</v>
      </c>
      <c r="X2455">
        <v>14</v>
      </c>
      <c r="Y2455" t="s">
        <v>22248</v>
      </c>
      <c r="Z2455" t="s">
        <v>28785</v>
      </c>
      <c r="AA2455">
        <v>0.35456156117487753</v>
      </c>
      <c r="AB2455" t="str">
        <f>HYPERLINK("Melting_Curves/meltCurve_P30838_ALDH3A1.pdf", "Melting_Curves/meltCurve_P30838_ALDH3A1.pdf")</f>
        <v>Melting_Curves/meltCurve_P30838_ALDH3A1.pdf</v>
      </c>
    </row>
    <row r="2456" spans="1:28" x14ac:dyDescent="0.25">
      <c r="A2456" t="s">
        <v>2460</v>
      </c>
      <c r="B2456">
        <v>0.99252571173614901</v>
      </c>
      <c r="C2456">
        <v>0.91821041211274501</v>
      </c>
      <c r="D2456">
        <v>0.88754932308759704</v>
      </c>
      <c r="E2456">
        <v>1.0342849562023799</v>
      </c>
      <c r="F2456">
        <v>0.84101591658097796</v>
      </c>
      <c r="G2456">
        <v>0.64563677162383704</v>
      </c>
      <c r="H2456">
        <v>0.42273813848715203</v>
      </c>
      <c r="I2456">
        <v>0.16039937048733599</v>
      </c>
      <c r="J2456">
        <v>0.12989083288796599</v>
      </c>
      <c r="K2456">
        <v>0.11676243105215101</v>
      </c>
      <c r="L2456">
        <v>1043.5469817027999</v>
      </c>
      <c r="M2456">
        <v>17.799458835875399</v>
      </c>
      <c r="N2456">
        <v>58.918941535095897</v>
      </c>
      <c r="O2456">
        <v>57.903021217105</v>
      </c>
      <c r="P2456">
        <v>-7.3621159691430099E-2</v>
      </c>
      <c r="Q2456">
        <v>4.2068019476351901E-2</v>
      </c>
      <c r="R2456">
        <v>0.97661887741959597</v>
      </c>
      <c r="S2456" t="s">
        <v>9102</v>
      </c>
      <c r="T2456" t="s">
        <v>13290</v>
      </c>
      <c r="U2456" t="s">
        <v>13290</v>
      </c>
      <c r="V2456" t="s">
        <v>13290</v>
      </c>
      <c r="W2456" t="s">
        <v>15707</v>
      </c>
      <c r="X2456">
        <v>30</v>
      </c>
      <c r="Y2456" t="s">
        <v>22249</v>
      </c>
      <c r="Z2456" t="s">
        <v>28786</v>
      </c>
      <c r="AA2456">
        <v>0.64776693451157819</v>
      </c>
      <c r="AB2456" t="str">
        <f>HYPERLINK("Melting_Curves/meltCurve_P31040_SDHA.pdf", "Melting_Curves/meltCurve_P31040_SDHA.pdf")</f>
        <v>Melting_Curves/meltCurve_P31040_SDHA.pdf</v>
      </c>
    </row>
    <row r="2457" spans="1:28" x14ac:dyDescent="0.25">
      <c r="A2457" t="s">
        <v>2461</v>
      </c>
      <c r="B2457">
        <v>0.99252571173614901</v>
      </c>
      <c r="C2457">
        <v>0.95761193150093904</v>
      </c>
      <c r="D2457">
        <v>0.85791787846109202</v>
      </c>
      <c r="E2457">
        <v>0.296425262571611</v>
      </c>
      <c r="F2457">
        <v>0.110909071004906</v>
      </c>
      <c r="G2457">
        <v>6.0618967658716397E-2</v>
      </c>
      <c r="H2457">
        <v>4.4028032584309797E-2</v>
      </c>
      <c r="I2457">
        <v>5.16252624972178E-2</v>
      </c>
      <c r="J2457">
        <v>6.3102622400873706E-2</v>
      </c>
      <c r="K2457">
        <v>6.5634472453627302E-2</v>
      </c>
      <c r="L2457">
        <v>1704.55252351594</v>
      </c>
      <c r="M2457">
        <v>35.407149623602798</v>
      </c>
      <c r="N2457">
        <v>48.312816847565898</v>
      </c>
      <c r="O2457">
        <v>47.988671294080397</v>
      </c>
      <c r="P2457">
        <v>-0.17357290224188601</v>
      </c>
      <c r="Q2457">
        <v>5.9002730415937003E-2</v>
      </c>
      <c r="R2457">
        <v>0.99875775964663105</v>
      </c>
      <c r="S2457" t="s">
        <v>9103</v>
      </c>
      <c r="T2457" t="s">
        <v>13290</v>
      </c>
      <c r="U2457" t="s">
        <v>13290</v>
      </c>
      <c r="V2457" t="s">
        <v>13290</v>
      </c>
      <c r="W2457" t="s">
        <v>15708</v>
      </c>
      <c r="X2457">
        <v>19</v>
      </c>
      <c r="Y2457" t="s">
        <v>22250</v>
      </c>
      <c r="Z2457" t="s">
        <v>28787</v>
      </c>
      <c r="AA2457">
        <v>0.3183997763662712</v>
      </c>
      <c r="AB2457" t="str">
        <f>HYPERLINK("Melting_Curves/meltCurve_P31146_CORO1A.pdf", "Melting_Curves/meltCurve_P31146_CORO1A.pdf")</f>
        <v>Melting_Curves/meltCurve_P31146_CORO1A.pdf</v>
      </c>
    </row>
    <row r="2458" spans="1:28" x14ac:dyDescent="0.25">
      <c r="A2458" t="s">
        <v>2462</v>
      </c>
      <c r="B2458">
        <v>0.99252571173614901</v>
      </c>
      <c r="C2458">
        <v>1.0464077562599301</v>
      </c>
      <c r="D2458">
        <v>0.97237442860524603</v>
      </c>
      <c r="E2458">
        <v>0.84114483034505605</v>
      </c>
      <c r="F2458">
        <v>0.54526834990732698</v>
      </c>
      <c r="G2458">
        <v>0.16326725301106701</v>
      </c>
      <c r="H2458">
        <v>8.3023400957176294E-2</v>
      </c>
      <c r="I2458">
        <v>8.6019613912494797E-2</v>
      </c>
      <c r="J2458">
        <v>9.7505475167672703E-2</v>
      </c>
      <c r="K2458">
        <v>9.1991340424092904E-2</v>
      </c>
      <c r="L2458">
        <v>1462.10523054651</v>
      </c>
      <c r="M2458">
        <v>27.606729937105001</v>
      </c>
      <c r="N2458">
        <v>53.280201953423798</v>
      </c>
      <c r="O2458">
        <v>52.686352969891203</v>
      </c>
      <c r="P2458">
        <v>-0.121038606210973</v>
      </c>
      <c r="Q2458">
        <v>7.6018793704056897E-2</v>
      </c>
      <c r="R2458">
        <v>0.99560374499495696</v>
      </c>
      <c r="S2458" t="s">
        <v>9104</v>
      </c>
      <c r="T2458" t="s">
        <v>13290</v>
      </c>
      <c r="U2458" t="s">
        <v>13290</v>
      </c>
      <c r="V2458" t="s">
        <v>13290</v>
      </c>
      <c r="W2458" t="s">
        <v>15709</v>
      </c>
      <c r="X2458">
        <v>35</v>
      </c>
      <c r="Y2458" t="s">
        <v>22251</v>
      </c>
      <c r="Z2458" t="s">
        <v>28788</v>
      </c>
      <c r="AA2458">
        <v>0.48227781201576547</v>
      </c>
      <c r="AB2458" t="str">
        <f>HYPERLINK("Melting_Curves/meltCurve_P31150_GDI1.pdf", "Melting_Curves/meltCurve_P31150_GDI1.pdf")</f>
        <v>Melting_Curves/meltCurve_P31150_GDI1.pdf</v>
      </c>
    </row>
    <row r="2459" spans="1:28" x14ac:dyDescent="0.25">
      <c r="A2459" t="s">
        <v>2463</v>
      </c>
      <c r="B2459">
        <v>0.99252571173614901</v>
      </c>
      <c r="C2459">
        <v>1.00395313286441</v>
      </c>
      <c r="D2459">
        <v>1.08626729300264</v>
      </c>
      <c r="E2459">
        <v>1.12922355211803</v>
      </c>
      <c r="F2459">
        <v>1.0023737975226601</v>
      </c>
      <c r="G2459">
        <v>0.80660773044207401</v>
      </c>
      <c r="H2459">
        <v>0.63428118066946504</v>
      </c>
      <c r="I2459">
        <v>0.203514272834142</v>
      </c>
      <c r="J2459">
        <v>0.187018227028214</v>
      </c>
      <c r="K2459">
        <v>0.175338755983211</v>
      </c>
      <c r="L2459">
        <v>1703.42008817543</v>
      </c>
      <c r="M2459">
        <v>28.063165514036399</v>
      </c>
      <c r="N2459">
        <v>61.317980307345898</v>
      </c>
      <c r="O2459">
        <v>60.393764125460002</v>
      </c>
      <c r="P2459">
        <v>-0.101849287094377</v>
      </c>
      <c r="Q2459">
        <v>0.123261889002876</v>
      </c>
      <c r="R2459">
        <v>0.96628685106662604</v>
      </c>
      <c r="S2459" t="s">
        <v>9105</v>
      </c>
      <c r="T2459" t="s">
        <v>13290</v>
      </c>
      <c r="U2459" t="s">
        <v>13290</v>
      </c>
      <c r="V2459" t="s">
        <v>13290</v>
      </c>
      <c r="W2459" t="s">
        <v>15710</v>
      </c>
      <c r="X2459">
        <v>23</v>
      </c>
      <c r="Y2459" t="s">
        <v>22252</v>
      </c>
      <c r="Z2459" t="s">
        <v>28789</v>
      </c>
      <c r="AA2459">
        <v>0.73355683335384869</v>
      </c>
      <c r="AB2459" t="str">
        <f>HYPERLINK("Melting_Curves/meltCurve_P31153_MAT2A.pdf", "Melting_Curves/meltCurve_P31153_MAT2A.pdf")</f>
        <v>Melting_Curves/meltCurve_P31153_MAT2A.pdf</v>
      </c>
    </row>
    <row r="2460" spans="1:28" x14ac:dyDescent="0.25">
      <c r="A2460" t="s">
        <v>2464</v>
      </c>
      <c r="B2460">
        <v>0.99252571173614901</v>
      </c>
      <c r="C2460">
        <v>1.1402065426013399</v>
      </c>
      <c r="D2460">
        <v>1.04323834034256</v>
      </c>
      <c r="E2460">
        <v>1.01016124032021</v>
      </c>
      <c r="F2460">
        <v>0.84509515658345602</v>
      </c>
      <c r="G2460">
        <v>0.64466702532077802</v>
      </c>
      <c r="H2460">
        <v>0.55035348952221197</v>
      </c>
      <c r="I2460">
        <v>0.59392561675467104</v>
      </c>
      <c r="J2460">
        <v>0.85182613484325598</v>
      </c>
      <c r="K2460">
        <v>0.86679265780695802</v>
      </c>
      <c r="L2460">
        <v>13295.9619158556</v>
      </c>
      <c r="M2460">
        <v>250</v>
      </c>
      <c r="O2460">
        <v>53.180429222816301</v>
      </c>
      <c r="P2460">
        <v>-0.35079508859842901</v>
      </c>
      <c r="Q2460">
        <v>0.70151298153918196</v>
      </c>
      <c r="R2460">
        <v>0.70084599635235401</v>
      </c>
      <c r="S2460" t="s">
        <v>9106</v>
      </c>
      <c r="T2460" t="s">
        <v>13290</v>
      </c>
      <c r="U2460" t="s">
        <v>13290</v>
      </c>
      <c r="V2460" t="s">
        <v>13290</v>
      </c>
      <c r="W2460" t="s">
        <v>15711</v>
      </c>
      <c r="X2460">
        <v>3</v>
      </c>
      <c r="Y2460" t="s">
        <v>22253</v>
      </c>
      <c r="Z2460" t="s">
        <v>28790</v>
      </c>
      <c r="AA2460">
        <v>0.83271442073298585</v>
      </c>
      <c r="AB2460" t="str">
        <f>HYPERLINK("Melting_Curves/meltCurve_P31323_PRKAR2B.pdf", "Melting_Curves/meltCurve_P31323_PRKAR2B.pdf")</f>
        <v>Melting_Curves/meltCurve_P31323_PRKAR2B.pdf</v>
      </c>
    </row>
    <row r="2461" spans="1:28" x14ac:dyDescent="0.25">
      <c r="A2461" t="s">
        <v>2465</v>
      </c>
      <c r="B2461">
        <v>0.99252571173614901</v>
      </c>
      <c r="C2461">
        <v>1.0087406092875899</v>
      </c>
      <c r="D2461">
        <v>0.920058121402065</v>
      </c>
      <c r="E2461">
        <v>0.82249655006705802</v>
      </c>
      <c r="F2461">
        <v>0.76979445025098803</v>
      </c>
      <c r="G2461">
        <v>0.64477179595886702</v>
      </c>
      <c r="H2461">
        <v>0.58688504070873804</v>
      </c>
      <c r="I2461">
        <v>0.62134487051827203</v>
      </c>
      <c r="J2461">
        <v>0.49611178566897501</v>
      </c>
      <c r="K2461">
        <v>0.29700493691385998</v>
      </c>
      <c r="L2461">
        <v>379.87815679161002</v>
      </c>
      <c r="M2461">
        <v>5.8669485330396602</v>
      </c>
      <c r="N2461">
        <v>64.748847657944296</v>
      </c>
      <c r="O2461">
        <v>58.418897879232198</v>
      </c>
      <c r="P2461">
        <v>-2.5195301193737599E-2</v>
      </c>
      <c r="Q2461">
        <v>0</v>
      </c>
      <c r="R2461">
        <v>0.93760820088339603</v>
      </c>
      <c r="S2461" t="s">
        <v>9107</v>
      </c>
      <c r="T2461" t="s">
        <v>13290</v>
      </c>
      <c r="U2461" t="s">
        <v>13290</v>
      </c>
      <c r="V2461" t="s">
        <v>13290</v>
      </c>
      <c r="W2461" t="s">
        <v>15712</v>
      </c>
      <c r="X2461">
        <v>24</v>
      </c>
      <c r="Y2461" t="s">
        <v>22254</v>
      </c>
      <c r="Z2461" t="s">
        <v>28791</v>
      </c>
      <c r="AA2461">
        <v>0.7190157672344516</v>
      </c>
      <c r="AB2461" t="str">
        <f>HYPERLINK("Melting_Curves/meltCurve_P31350_RRM2.pdf", "Melting_Curves/meltCurve_P31350_RRM2.pdf")</f>
        <v>Melting_Curves/meltCurve_P31350_RRM2.pdf</v>
      </c>
    </row>
    <row r="2462" spans="1:28" x14ac:dyDescent="0.25">
      <c r="A2462" t="s">
        <v>2466</v>
      </c>
      <c r="B2462">
        <v>0.99252571173614901</v>
      </c>
      <c r="C2462">
        <v>0.790185017547132</v>
      </c>
      <c r="D2462">
        <v>0.74850530672818005</v>
      </c>
      <c r="E2462">
        <v>0.55529003940022004</v>
      </c>
      <c r="F2462">
        <v>0.64798778018713998</v>
      </c>
      <c r="G2462">
        <v>0.38456876838202603</v>
      </c>
      <c r="H2462">
        <v>0.37758980940028702</v>
      </c>
      <c r="I2462">
        <v>0.334237739801024</v>
      </c>
      <c r="J2462">
        <v>0.22002824053779499</v>
      </c>
      <c r="K2462">
        <v>0.1839719298228</v>
      </c>
      <c r="L2462">
        <v>329.44374247073301</v>
      </c>
      <c r="M2462">
        <v>6.0386033949343298</v>
      </c>
      <c r="N2462">
        <v>54.556280773599099</v>
      </c>
      <c r="O2462">
        <v>49.477481011204397</v>
      </c>
      <c r="P2462">
        <v>-3.06084378371741E-2</v>
      </c>
      <c r="Q2462">
        <v>0</v>
      </c>
      <c r="R2462">
        <v>0.94055375941548502</v>
      </c>
      <c r="S2462" t="s">
        <v>9108</v>
      </c>
      <c r="T2462" t="s">
        <v>13290</v>
      </c>
      <c r="U2462" t="s">
        <v>13290</v>
      </c>
      <c r="V2462" t="s">
        <v>13290</v>
      </c>
      <c r="W2462" t="s">
        <v>15713</v>
      </c>
      <c r="X2462">
        <v>1</v>
      </c>
      <c r="Y2462" t="s">
        <v>22255</v>
      </c>
      <c r="Z2462" t="s">
        <v>28792</v>
      </c>
      <c r="AA2462">
        <v>0.51622739192073175</v>
      </c>
      <c r="AB2462" t="str">
        <f>HYPERLINK("Melting_Curves/meltCurve_P31641_SLC6A6.pdf", "Melting_Curves/meltCurve_P31641_SLC6A6.pdf")</f>
        <v>Melting_Curves/meltCurve_P31641_SLC6A6.pdf</v>
      </c>
    </row>
    <row r="2463" spans="1:28" x14ac:dyDescent="0.25">
      <c r="A2463" t="s">
        <v>2467</v>
      </c>
      <c r="B2463">
        <v>0.99252571173614901</v>
      </c>
      <c r="C2463">
        <v>0.914231021954241</v>
      </c>
      <c r="D2463">
        <v>0.97914687210525497</v>
      </c>
      <c r="E2463">
        <v>0.86269585687792305</v>
      </c>
      <c r="F2463">
        <v>0.60955090913856902</v>
      </c>
      <c r="G2463">
        <v>0.36652843075117802</v>
      </c>
      <c r="H2463">
        <v>0.15737724348973101</v>
      </c>
      <c r="I2463">
        <v>0.15129798178902201</v>
      </c>
      <c r="J2463">
        <v>0.18890344062328501</v>
      </c>
      <c r="K2463">
        <v>0.191698276363613</v>
      </c>
      <c r="L2463">
        <v>1169.2944973502999</v>
      </c>
      <c r="M2463">
        <v>21.8437967842336</v>
      </c>
      <c r="N2463">
        <v>54.449041873341699</v>
      </c>
      <c r="O2463">
        <v>53.087245278351098</v>
      </c>
      <c r="P2463">
        <v>-8.7006527545639506E-2</v>
      </c>
      <c r="Q2463">
        <v>0.15420733174882001</v>
      </c>
      <c r="R2463">
        <v>0.98945470406151603</v>
      </c>
      <c r="S2463" t="s">
        <v>9109</v>
      </c>
      <c r="T2463" t="s">
        <v>13290</v>
      </c>
      <c r="U2463" t="s">
        <v>13290</v>
      </c>
      <c r="V2463" t="s">
        <v>13290</v>
      </c>
      <c r="W2463" t="s">
        <v>15714</v>
      </c>
      <c r="X2463">
        <v>21</v>
      </c>
      <c r="Y2463" t="s">
        <v>22256</v>
      </c>
      <c r="Z2463" t="s">
        <v>28793</v>
      </c>
      <c r="AA2463">
        <v>0.54561323966385844</v>
      </c>
      <c r="AB2463" t="str">
        <f>HYPERLINK("Melting_Curves/meltCurve_P31689_DNAJA1.pdf", "Melting_Curves/meltCurve_P31689_DNAJA1.pdf")</f>
        <v>Melting_Curves/meltCurve_P31689_DNAJA1.pdf</v>
      </c>
    </row>
    <row r="2464" spans="1:28" x14ac:dyDescent="0.25">
      <c r="A2464" t="s">
        <v>2468</v>
      </c>
      <c r="B2464">
        <v>0.99252571173614901</v>
      </c>
      <c r="C2464">
        <v>0.93030648879268596</v>
      </c>
      <c r="D2464">
        <v>0.59607577262681399</v>
      </c>
      <c r="E2464">
        <v>0.24350019475516499</v>
      </c>
      <c r="F2464">
        <v>0.124783037109129</v>
      </c>
      <c r="G2464">
        <v>7.8201697789439001E-2</v>
      </c>
      <c r="H2464">
        <v>5.8241462565029399E-2</v>
      </c>
      <c r="I2464">
        <v>6.1862287409881603E-2</v>
      </c>
      <c r="J2464">
        <v>5.6814649086608403E-2</v>
      </c>
      <c r="K2464">
        <v>4.85348373045702E-2</v>
      </c>
      <c r="L2464">
        <v>1155.5419814816901</v>
      </c>
      <c r="M2464">
        <v>24.7618984529649</v>
      </c>
      <c r="N2464">
        <v>46.914647796934403</v>
      </c>
      <c r="O2464">
        <v>46.3649650396559</v>
      </c>
      <c r="P2464">
        <v>-0.12531138735231001</v>
      </c>
      <c r="Q2464">
        <v>6.1465024790908901E-2</v>
      </c>
      <c r="R2464">
        <v>0.99860748158079704</v>
      </c>
      <c r="S2464" t="s">
        <v>9110</v>
      </c>
      <c r="T2464" t="s">
        <v>13290</v>
      </c>
      <c r="U2464" t="s">
        <v>13290</v>
      </c>
      <c r="V2464" t="s">
        <v>13290</v>
      </c>
      <c r="W2464" t="s">
        <v>15715</v>
      </c>
      <c r="X2464">
        <v>7</v>
      </c>
      <c r="Y2464" t="s">
        <v>22257</v>
      </c>
      <c r="Z2464" t="s">
        <v>28794</v>
      </c>
      <c r="AA2464">
        <v>0.27864123892871079</v>
      </c>
      <c r="AB2464" t="str">
        <f>HYPERLINK("Melting_Curves/meltCurve_P31749_AKT1.pdf", "Melting_Curves/meltCurve_P31749_AKT1.pdf")</f>
        <v>Melting_Curves/meltCurve_P31749_AKT1.pdf</v>
      </c>
    </row>
    <row r="2465" spans="1:28" x14ac:dyDescent="0.25">
      <c r="A2465" t="s">
        <v>2469</v>
      </c>
      <c r="B2465">
        <v>0.99252571173614901</v>
      </c>
      <c r="C2465">
        <v>1.05478230283785</v>
      </c>
      <c r="D2465">
        <v>0.76583733545187005</v>
      </c>
      <c r="E2465">
        <v>0.48097606447261299</v>
      </c>
      <c r="F2465">
        <v>0.19363867018509301</v>
      </c>
      <c r="G2465">
        <v>0.106786341763263</v>
      </c>
      <c r="H2465">
        <v>7.6578422374950897E-2</v>
      </c>
      <c r="I2465">
        <v>7.9039651438532699E-2</v>
      </c>
      <c r="J2465">
        <v>0.13346091795078399</v>
      </c>
      <c r="K2465">
        <v>0.13922560238915499</v>
      </c>
      <c r="L2465">
        <v>1170.22799512354</v>
      </c>
      <c r="M2465">
        <v>24.045209412203501</v>
      </c>
      <c r="N2465">
        <v>49.123105341756698</v>
      </c>
      <c r="O2465">
        <v>48.334934257704198</v>
      </c>
      <c r="P2465">
        <v>-0.11194694328709601</v>
      </c>
      <c r="Q2465">
        <v>9.9884678801987994E-2</v>
      </c>
      <c r="R2465">
        <v>0.98816630553032103</v>
      </c>
      <c r="S2465" t="s">
        <v>9111</v>
      </c>
      <c r="T2465" t="s">
        <v>13290</v>
      </c>
      <c r="U2465" t="s">
        <v>13290</v>
      </c>
      <c r="V2465" t="s">
        <v>13290</v>
      </c>
      <c r="W2465" t="s">
        <v>15716</v>
      </c>
      <c r="X2465">
        <v>5</v>
      </c>
      <c r="Y2465" t="s">
        <v>22258</v>
      </c>
      <c r="Z2465" t="s">
        <v>28795</v>
      </c>
      <c r="AA2465">
        <v>0.36858670672401439</v>
      </c>
      <c r="AB2465" t="str">
        <f>HYPERLINK("Melting_Curves/meltCurve_P31751_AKT2.pdf", "Melting_Curves/meltCurve_P31751_AKT2.pdf")</f>
        <v>Melting_Curves/meltCurve_P31751_AKT2.pdf</v>
      </c>
    </row>
    <row r="2466" spans="1:28" x14ac:dyDescent="0.25">
      <c r="A2466" t="s">
        <v>2470</v>
      </c>
      <c r="B2466">
        <v>0.99252571173614901</v>
      </c>
      <c r="C2466">
        <v>0.95543460448164297</v>
      </c>
      <c r="D2466">
        <v>0.90591064426754597</v>
      </c>
      <c r="E2466">
        <v>0.76596318567767396</v>
      </c>
      <c r="F2466">
        <v>0.646645476634364</v>
      </c>
      <c r="G2466">
        <v>0.47525440424966098</v>
      </c>
      <c r="H2466">
        <v>0.34295821532135601</v>
      </c>
      <c r="I2466">
        <v>0.21542531374776899</v>
      </c>
      <c r="J2466">
        <v>0.18060340124893801</v>
      </c>
      <c r="K2466">
        <v>0.16357975638726499</v>
      </c>
      <c r="L2466">
        <v>567.99393859186</v>
      </c>
      <c r="M2466">
        <v>10.1988424742196</v>
      </c>
      <c r="N2466">
        <v>56.177005243071399</v>
      </c>
      <c r="O2466">
        <v>53.6782082888529</v>
      </c>
      <c r="P2466">
        <v>-4.5518641969260899E-2</v>
      </c>
      <c r="Q2466">
        <v>4.2143297385765902E-2</v>
      </c>
      <c r="R2466">
        <v>0.99792446140662405</v>
      </c>
      <c r="S2466" t="s">
        <v>9112</v>
      </c>
      <c r="T2466" t="s">
        <v>13290</v>
      </c>
      <c r="U2466" t="s">
        <v>13290</v>
      </c>
      <c r="V2466" t="s">
        <v>13290</v>
      </c>
      <c r="W2466" t="s">
        <v>15717</v>
      </c>
      <c r="X2466">
        <v>24</v>
      </c>
      <c r="Y2466" t="s">
        <v>22259</v>
      </c>
      <c r="Z2466" t="s">
        <v>28796</v>
      </c>
      <c r="AA2466">
        <v>0.56477049177147398</v>
      </c>
      <c r="AB2466" t="str">
        <f>HYPERLINK("Melting_Curves/meltCurve_P31930_UQCRC1.pdf", "Melting_Curves/meltCurve_P31930_UQCRC1.pdf")</f>
        <v>Melting_Curves/meltCurve_P31930_UQCRC1.pdf</v>
      </c>
    </row>
    <row r="2467" spans="1:28" x14ac:dyDescent="0.25">
      <c r="A2467" t="s">
        <v>2471</v>
      </c>
      <c r="B2467">
        <v>0.99252571173614901</v>
      </c>
      <c r="C2467">
        <v>0.98328841014290602</v>
      </c>
      <c r="D2467">
        <v>0.92823910717997504</v>
      </c>
      <c r="E2467">
        <v>0.81954133157368403</v>
      </c>
      <c r="F2467">
        <v>0.907907146057638</v>
      </c>
      <c r="G2467">
        <v>0.71197155252348598</v>
      </c>
      <c r="H2467">
        <v>0.53739835946896397</v>
      </c>
      <c r="I2467">
        <v>0.169765625489772</v>
      </c>
      <c r="J2467">
        <v>0.130578777146688</v>
      </c>
      <c r="K2467">
        <v>0.216196937117835</v>
      </c>
      <c r="L2467">
        <v>968.81315714066795</v>
      </c>
      <c r="M2467">
        <v>16.271180227151401</v>
      </c>
      <c r="N2467">
        <v>59.9557302473427</v>
      </c>
      <c r="O2467">
        <v>58.664092421630798</v>
      </c>
      <c r="P2467">
        <v>-6.5660261743097095E-2</v>
      </c>
      <c r="Q2467">
        <v>5.3143809032666502E-2</v>
      </c>
      <c r="R2467">
        <v>0.94779939791023005</v>
      </c>
      <c r="S2467" t="s">
        <v>9113</v>
      </c>
      <c r="T2467" t="s">
        <v>13290</v>
      </c>
      <c r="U2467" t="s">
        <v>13290</v>
      </c>
      <c r="V2467" t="s">
        <v>13290</v>
      </c>
      <c r="W2467" t="s">
        <v>15718</v>
      </c>
      <c r="X2467">
        <v>9</v>
      </c>
      <c r="Y2467" t="s">
        <v>22260</v>
      </c>
      <c r="Z2467" t="s">
        <v>28797</v>
      </c>
      <c r="AA2467">
        <v>0.67860113639910258</v>
      </c>
      <c r="AB2467" t="str">
        <f>HYPERLINK("Melting_Curves/meltCurve_P31937_HIBADH.pdf", "Melting_Curves/meltCurve_P31937_HIBADH.pdf")</f>
        <v>Melting_Curves/meltCurve_P31937_HIBADH.pdf</v>
      </c>
    </row>
    <row r="2468" spans="1:28" x14ac:dyDescent="0.25">
      <c r="A2468" t="s">
        <v>2472</v>
      </c>
      <c r="B2468">
        <v>0.99252571173614901</v>
      </c>
      <c r="C2468">
        <v>0.97455686649267204</v>
      </c>
      <c r="D2468">
        <v>0.99170715632359197</v>
      </c>
      <c r="E2468">
        <v>0.89840404561934895</v>
      </c>
      <c r="F2468">
        <v>0.75499599490922997</v>
      </c>
      <c r="G2468">
        <v>0.49593132500528803</v>
      </c>
      <c r="H2468">
        <v>0.152882225957751</v>
      </c>
      <c r="I2468">
        <v>8.6963854560379805E-2</v>
      </c>
      <c r="J2468">
        <v>8.6161814351129407E-2</v>
      </c>
      <c r="K2468">
        <v>7.4133867728711306E-2</v>
      </c>
      <c r="L2468">
        <v>1153.34643386832</v>
      </c>
      <c r="M2468">
        <v>20.575537806490001</v>
      </c>
      <c r="N2468">
        <v>56.2683938411813</v>
      </c>
      <c r="O2468">
        <v>55.5327994141009</v>
      </c>
      <c r="P2468">
        <v>-8.9142209336194406E-2</v>
      </c>
      <c r="Q2468">
        <v>3.7658283245418402E-2</v>
      </c>
      <c r="R2468">
        <v>0.99537765920210197</v>
      </c>
      <c r="S2468" t="s">
        <v>9114</v>
      </c>
      <c r="T2468" t="s">
        <v>13290</v>
      </c>
      <c r="U2468" t="s">
        <v>13290</v>
      </c>
      <c r="V2468" t="s">
        <v>13290</v>
      </c>
      <c r="W2468" t="s">
        <v>15719</v>
      </c>
      <c r="X2468">
        <v>50</v>
      </c>
      <c r="Y2468" t="s">
        <v>22261</v>
      </c>
      <c r="Z2468" t="s">
        <v>28798</v>
      </c>
      <c r="AA2468">
        <v>0.56454370895727846</v>
      </c>
      <c r="AB2468" t="str">
        <f>HYPERLINK("Melting_Curves/meltCurve_P31939_ATIC.pdf", "Melting_Curves/meltCurve_P31939_ATIC.pdf")</f>
        <v>Melting_Curves/meltCurve_P31939_ATIC.pdf</v>
      </c>
    </row>
    <row r="2469" spans="1:28" x14ac:dyDescent="0.25">
      <c r="A2469" t="s">
        <v>2473</v>
      </c>
      <c r="B2469">
        <v>0.99252571173614901</v>
      </c>
      <c r="C2469">
        <v>0.82812704598006104</v>
      </c>
      <c r="D2469">
        <v>0.42161651773888098</v>
      </c>
      <c r="E2469">
        <v>0.186998550738353</v>
      </c>
      <c r="F2469">
        <v>0.111455125689602</v>
      </c>
      <c r="G2469">
        <v>6.7062631780695797E-2</v>
      </c>
      <c r="H2469">
        <v>6.3018544407273794E-2</v>
      </c>
      <c r="I2469">
        <v>7.6354360504453295E-2</v>
      </c>
      <c r="J2469">
        <v>0.12381905305566</v>
      </c>
      <c r="K2469">
        <v>0.220685237937784</v>
      </c>
      <c r="L2469">
        <v>1300.52291947454</v>
      </c>
      <c r="M2469">
        <v>28.872365257719899</v>
      </c>
      <c r="N2469">
        <v>45.437045415537199</v>
      </c>
      <c r="O2469">
        <v>44.829414787696997</v>
      </c>
      <c r="P2469">
        <v>-0.143215446700868</v>
      </c>
      <c r="Q2469">
        <v>0.11053777987600701</v>
      </c>
      <c r="R2469">
        <v>0.98179501480211395</v>
      </c>
      <c r="S2469" t="s">
        <v>9115</v>
      </c>
      <c r="T2469" t="s">
        <v>13290</v>
      </c>
      <c r="U2469" t="s">
        <v>13290</v>
      </c>
      <c r="V2469" t="s">
        <v>13290</v>
      </c>
      <c r="W2469" t="s">
        <v>15720</v>
      </c>
      <c r="X2469">
        <v>5</v>
      </c>
      <c r="Y2469" t="s">
        <v>22262</v>
      </c>
      <c r="Z2469" t="s">
        <v>28799</v>
      </c>
      <c r="AA2469">
        <v>0.26633009942749281</v>
      </c>
      <c r="AB2469" t="str">
        <f>HYPERLINK("Melting_Curves/meltCurve_P31942_2_HNRNPH3.pdf", "Melting_Curves/meltCurve_P31942_2_HNRNPH3.pdf")</f>
        <v>Melting_Curves/meltCurve_P31942_2_HNRNPH3.pdf</v>
      </c>
    </row>
    <row r="2470" spans="1:28" x14ac:dyDescent="0.25">
      <c r="A2470" t="s">
        <v>2474</v>
      </c>
      <c r="B2470">
        <v>0.99252571173614901</v>
      </c>
      <c r="C2470">
        <v>0.90393006843756796</v>
      </c>
      <c r="D2470">
        <v>1.0199209095784401</v>
      </c>
      <c r="E2470">
        <v>0.94334083301089</v>
      </c>
      <c r="F2470">
        <v>0.68450785170768103</v>
      </c>
      <c r="G2470">
        <v>0.25579681386552799</v>
      </c>
      <c r="H2470">
        <v>9.4371971354774001E-2</v>
      </c>
      <c r="I2470">
        <v>9.8451966163571103E-2</v>
      </c>
      <c r="J2470">
        <v>8.6615625499210494E-2</v>
      </c>
      <c r="K2470">
        <v>7.3920952196265696E-2</v>
      </c>
      <c r="L2470">
        <v>1735.15466880741</v>
      </c>
      <c r="M2470">
        <v>31.982643557036699</v>
      </c>
      <c r="N2470">
        <v>54.546207804309098</v>
      </c>
      <c r="O2470">
        <v>54.042228443819198</v>
      </c>
      <c r="P2470">
        <v>-0.13626831758562</v>
      </c>
      <c r="Q2470">
        <v>7.8974690153237798E-2</v>
      </c>
      <c r="R2470">
        <v>0.99369862411713406</v>
      </c>
      <c r="S2470" t="s">
        <v>9116</v>
      </c>
      <c r="T2470" t="s">
        <v>13290</v>
      </c>
      <c r="U2470" t="s">
        <v>13290</v>
      </c>
      <c r="V2470" t="s">
        <v>13290</v>
      </c>
      <c r="W2470" t="s">
        <v>15721</v>
      </c>
      <c r="X2470">
        <v>23</v>
      </c>
      <c r="Y2470" t="s">
        <v>22263</v>
      </c>
      <c r="Z2470" t="s">
        <v>28800</v>
      </c>
      <c r="AA2470">
        <v>0.52191508981945989</v>
      </c>
      <c r="AB2470" t="str">
        <f>HYPERLINK("Melting_Curves/meltCurve_P31946_YWHAB.pdf", "Melting_Curves/meltCurve_P31946_YWHAB.pdf")</f>
        <v>Melting_Curves/meltCurve_P31946_YWHAB.pdf</v>
      </c>
    </row>
    <row r="2471" spans="1:28" x14ac:dyDescent="0.25">
      <c r="A2471" t="s">
        <v>2475</v>
      </c>
      <c r="B2471">
        <v>0.99252571173614901</v>
      </c>
      <c r="C2471">
        <v>0.922854400071903</v>
      </c>
      <c r="D2471">
        <v>0.98636851129791503</v>
      </c>
      <c r="E2471">
        <v>1.04942036883013</v>
      </c>
      <c r="F2471">
        <v>0.63385350954507502</v>
      </c>
      <c r="G2471">
        <v>0.26472145671396702</v>
      </c>
      <c r="H2471">
        <v>0.12404617964032399</v>
      </c>
      <c r="I2471">
        <v>0.107784052504936</v>
      </c>
      <c r="J2471">
        <v>0.108509116964864</v>
      </c>
      <c r="K2471">
        <v>0.102774840797085</v>
      </c>
      <c r="L2471">
        <v>1964.0374629517801</v>
      </c>
      <c r="M2471">
        <v>36.422417592942097</v>
      </c>
      <c r="N2471">
        <v>54.299094264585001</v>
      </c>
      <c r="O2471">
        <v>53.762088365218403</v>
      </c>
      <c r="P2471">
        <v>-0.150524799915978</v>
      </c>
      <c r="Q2471">
        <v>0.11126138035387501</v>
      </c>
      <c r="R2471">
        <v>0.99054564068985296</v>
      </c>
      <c r="S2471" t="s">
        <v>9117</v>
      </c>
      <c r="T2471" t="s">
        <v>13290</v>
      </c>
      <c r="U2471" t="s">
        <v>13290</v>
      </c>
      <c r="V2471" t="s">
        <v>13290</v>
      </c>
      <c r="W2471" t="s">
        <v>15722</v>
      </c>
      <c r="X2471">
        <v>26</v>
      </c>
      <c r="Y2471" t="s">
        <v>22264</v>
      </c>
      <c r="Z2471" t="s">
        <v>28801</v>
      </c>
      <c r="AA2471">
        <v>0.5277359385390662</v>
      </c>
      <c r="AB2471" t="str">
        <f>HYPERLINK("Melting_Curves/meltCurve_P31947_SFN.pdf", "Melting_Curves/meltCurve_P31947_SFN.pdf")</f>
        <v>Melting_Curves/meltCurve_P31947_SFN.pdf</v>
      </c>
    </row>
    <row r="2472" spans="1:28" x14ac:dyDescent="0.25">
      <c r="A2472" t="s">
        <v>2476</v>
      </c>
      <c r="B2472">
        <v>0.99252571173614901</v>
      </c>
      <c r="C2472">
        <v>0.96428198408905796</v>
      </c>
      <c r="D2472">
        <v>1.0423533710163799</v>
      </c>
      <c r="E2472">
        <v>0.99002275549080698</v>
      </c>
      <c r="F2472">
        <v>0.83300704306150997</v>
      </c>
      <c r="G2472">
        <v>0.52642418008820102</v>
      </c>
      <c r="H2472">
        <v>0.25577997386455198</v>
      </c>
      <c r="I2472">
        <v>0.25001472305400702</v>
      </c>
      <c r="J2472">
        <v>0.343459483730368</v>
      </c>
      <c r="K2472">
        <v>0.39809223684669798</v>
      </c>
      <c r="L2472">
        <v>1954.51167862804</v>
      </c>
      <c r="M2472">
        <v>35.4266617097257</v>
      </c>
      <c r="N2472">
        <v>56.7173696632968</v>
      </c>
      <c r="O2472">
        <v>54.995743409361303</v>
      </c>
      <c r="P2472">
        <v>-0.11116492733547501</v>
      </c>
      <c r="Q2472">
        <v>0.30972030559282798</v>
      </c>
      <c r="R2472">
        <v>0.97619799296576404</v>
      </c>
      <c r="S2472" t="s">
        <v>9118</v>
      </c>
      <c r="T2472" t="s">
        <v>13290</v>
      </c>
      <c r="U2472" t="s">
        <v>13290</v>
      </c>
      <c r="V2472" t="s">
        <v>13290</v>
      </c>
      <c r="W2472" t="s">
        <v>15723</v>
      </c>
      <c r="X2472">
        <v>68</v>
      </c>
      <c r="Y2472" t="s">
        <v>22265</v>
      </c>
      <c r="Z2472" t="s">
        <v>28802</v>
      </c>
      <c r="AA2472">
        <v>0.66211742768579274</v>
      </c>
      <c r="AB2472" t="str">
        <f>HYPERLINK("Melting_Curves/meltCurve_P31948_STIP1.pdf", "Melting_Curves/meltCurve_P31948_STIP1.pdf")</f>
        <v>Melting_Curves/meltCurve_P31948_STIP1.pdf</v>
      </c>
    </row>
    <row r="2473" spans="1:28" x14ac:dyDescent="0.25">
      <c r="A2473" t="s">
        <v>2477</v>
      </c>
      <c r="B2473">
        <v>0.99252571173614901</v>
      </c>
      <c r="C2473">
        <v>0.87195116050907495</v>
      </c>
      <c r="D2473">
        <v>1.01110232508445</v>
      </c>
      <c r="E2473">
        <v>0.87845320017023398</v>
      </c>
      <c r="F2473">
        <v>0.77047126915696196</v>
      </c>
      <c r="G2473">
        <v>0.65100688961697495</v>
      </c>
      <c r="H2473">
        <v>0.40834234206078601</v>
      </c>
      <c r="I2473">
        <v>0.225706944463133</v>
      </c>
      <c r="J2473">
        <v>0.206379664921649</v>
      </c>
      <c r="K2473">
        <v>0.192948979565877</v>
      </c>
      <c r="L2473">
        <v>746.40029752791395</v>
      </c>
      <c r="M2473">
        <v>12.8360466214605</v>
      </c>
      <c r="N2473">
        <v>58.781506406799402</v>
      </c>
      <c r="O2473">
        <v>56.791665739314503</v>
      </c>
      <c r="P2473">
        <v>-5.2868908720544401E-2</v>
      </c>
      <c r="Q2473">
        <v>6.4523122757495804E-2</v>
      </c>
      <c r="R2473">
        <v>0.976242286795444</v>
      </c>
      <c r="S2473" t="s">
        <v>9119</v>
      </c>
      <c r="T2473" t="s">
        <v>13290</v>
      </c>
      <c r="U2473" t="s">
        <v>13290</v>
      </c>
      <c r="V2473" t="s">
        <v>13290</v>
      </c>
      <c r="W2473" t="s">
        <v>15724</v>
      </c>
      <c r="X2473">
        <v>7</v>
      </c>
      <c r="Y2473" t="s">
        <v>22266</v>
      </c>
      <c r="Z2473" t="s">
        <v>28803</v>
      </c>
      <c r="AA2473">
        <v>0.64226253450159398</v>
      </c>
      <c r="AB2473" t="str">
        <f>HYPERLINK("Melting_Curves/meltCurve_P31949_S100A11.pdf", "Melting_Curves/meltCurve_P31949_S100A11.pdf")</f>
        <v>Melting_Curves/meltCurve_P31949_S100A11.pdf</v>
      </c>
    </row>
    <row r="2474" spans="1:28" x14ac:dyDescent="0.25">
      <c r="A2474" t="s">
        <v>2478</v>
      </c>
      <c r="B2474">
        <v>0.99252571173614901</v>
      </c>
      <c r="C2474">
        <v>1.0268673469757701</v>
      </c>
      <c r="D2474">
        <v>0.75149087784340796</v>
      </c>
      <c r="E2474">
        <v>0.35710551965521697</v>
      </c>
      <c r="F2474">
        <v>0.14795476633368801</v>
      </c>
      <c r="G2474">
        <v>8.2399274691730001E-2</v>
      </c>
      <c r="H2474">
        <v>6.6457920381677804E-2</v>
      </c>
      <c r="I2474">
        <v>8.0266174586763495E-2</v>
      </c>
      <c r="J2474">
        <v>0.119352678562609</v>
      </c>
      <c r="K2474">
        <v>9.4037375600517406E-2</v>
      </c>
      <c r="L2474">
        <v>1313.86346776545</v>
      </c>
      <c r="M2474">
        <v>27.425603202621001</v>
      </c>
      <c r="N2474">
        <v>48.243602192202601</v>
      </c>
      <c r="O2474">
        <v>47.653928131838299</v>
      </c>
      <c r="P2474">
        <v>-0.13133306082883101</v>
      </c>
      <c r="Q2474">
        <v>8.7206560968644306E-2</v>
      </c>
      <c r="R2474">
        <v>0.995187766899569</v>
      </c>
      <c r="S2474" t="s">
        <v>9120</v>
      </c>
      <c r="T2474" t="s">
        <v>13290</v>
      </c>
      <c r="U2474" t="s">
        <v>13290</v>
      </c>
      <c r="V2474" t="s">
        <v>13290</v>
      </c>
      <c r="W2474" t="s">
        <v>15725</v>
      </c>
      <c r="X2474">
        <v>2</v>
      </c>
      <c r="Y2474" t="s">
        <v>22267</v>
      </c>
      <c r="Z2474" t="s">
        <v>28804</v>
      </c>
      <c r="AA2474">
        <v>0.33440187935409349</v>
      </c>
      <c r="AB2474" t="str">
        <f>HYPERLINK("Melting_Curves/meltCurve_P32019_3_INPP5B.pdf", "Melting_Curves/meltCurve_P32019_3_INPP5B.pdf")</f>
        <v>Melting_Curves/meltCurve_P32019_3_INPP5B.pdf</v>
      </c>
    </row>
    <row r="2475" spans="1:28" x14ac:dyDescent="0.25">
      <c r="A2475" t="s">
        <v>2479</v>
      </c>
      <c r="B2475">
        <v>0.99252571173614901</v>
      </c>
      <c r="C2475">
        <v>0.95984771848337502</v>
      </c>
      <c r="D2475">
        <v>1.1379966733854401</v>
      </c>
      <c r="E2475">
        <v>1.1589021014108001</v>
      </c>
      <c r="F2475">
        <v>1.06331823497982</v>
      </c>
      <c r="G2475">
        <v>0.92813914967512701</v>
      </c>
      <c r="H2475">
        <v>0.40637434676564099</v>
      </c>
      <c r="I2475">
        <v>0.20331507769188201</v>
      </c>
      <c r="J2475">
        <v>0.205578389250239</v>
      </c>
      <c r="K2475">
        <v>0.18607679614788</v>
      </c>
      <c r="L2475">
        <v>2994.1859082003798</v>
      </c>
      <c r="M2475">
        <v>50.275276397551401</v>
      </c>
      <c r="N2475">
        <v>60.127440184888201</v>
      </c>
      <c r="O2475">
        <v>59.461817729331798</v>
      </c>
      <c r="P2475">
        <v>-0.17122069509729401</v>
      </c>
      <c r="Q2475">
        <v>0.18997262281501301</v>
      </c>
      <c r="R2475">
        <v>0.96788432490534304</v>
      </c>
      <c r="S2475" t="s">
        <v>9121</v>
      </c>
      <c r="T2475" t="s">
        <v>13290</v>
      </c>
      <c r="U2475" t="s">
        <v>13290</v>
      </c>
      <c r="V2475" t="s">
        <v>13290</v>
      </c>
      <c r="W2475" t="s">
        <v>15726</v>
      </c>
      <c r="X2475">
        <v>19</v>
      </c>
      <c r="Y2475" t="s">
        <v>22268</v>
      </c>
      <c r="Z2475" t="s">
        <v>28805</v>
      </c>
      <c r="AA2475">
        <v>0.72007689734831026</v>
      </c>
      <c r="AB2475" t="str">
        <f>HYPERLINK("Melting_Curves/meltCurve_P32119_PRDX2.pdf", "Melting_Curves/meltCurve_P32119_PRDX2.pdf")</f>
        <v>Melting_Curves/meltCurve_P32119_PRDX2.pdf</v>
      </c>
    </row>
    <row r="2476" spans="1:28" x14ac:dyDescent="0.25">
      <c r="A2476" t="s">
        <v>2480</v>
      </c>
      <c r="B2476">
        <v>0.99252571173614901</v>
      </c>
      <c r="C2476">
        <v>1.0176292428738301</v>
      </c>
      <c r="D2476">
        <v>0.82303439549148605</v>
      </c>
      <c r="E2476">
        <v>0.53434553067759705</v>
      </c>
      <c r="F2476">
        <v>0.21283682610940699</v>
      </c>
      <c r="G2476">
        <v>0.129831768281643</v>
      </c>
      <c r="H2476">
        <v>0.114403397630625</v>
      </c>
      <c r="I2476">
        <v>0.14395332663080601</v>
      </c>
      <c r="J2476">
        <v>0.17178680164250101</v>
      </c>
      <c r="K2476">
        <v>0.123205515424788</v>
      </c>
      <c r="L2476">
        <v>1240.92029685236</v>
      </c>
      <c r="M2476">
        <v>25.295779851202301</v>
      </c>
      <c r="N2476">
        <v>49.636392969743198</v>
      </c>
      <c r="O2476">
        <v>48.752934574645501</v>
      </c>
      <c r="P2476">
        <v>-0.113119426624974</v>
      </c>
      <c r="Q2476">
        <v>0.127944561812848</v>
      </c>
      <c r="R2476">
        <v>0.99409192295936399</v>
      </c>
      <c r="S2476" t="s">
        <v>9122</v>
      </c>
      <c r="T2476" t="s">
        <v>13290</v>
      </c>
      <c r="U2476" t="s">
        <v>13290</v>
      </c>
      <c r="V2476" t="s">
        <v>13290</v>
      </c>
      <c r="W2476" t="s">
        <v>15727</v>
      </c>
      <c r="X2476">
        <v>8</v>
      </c>
      <c r="Y2476" t="s">
        <v>22269</v>
      </c>
      <c r="Z2476" t="s">
        <v>28806</v>
      </c>
      <c r="AA2476">
        <v>0.398746797995085</v>
      </c>
      <c r="AB2476" t="str">
        <f>HYPERLINK("Melting_Curves/meltCurve_P32121_5_ARRB2.pdf", "Melting_Curves/meltCurve_P32121_5_ARRB2.pdf")</f>
        <v>Melting_Curves/meltCurve_P32121_5_ARRB2.pdf</v>
      </c>
    </row>
    <row r="2477" spans="1:28" x14ac:dyDescent="0.25">
      <c r="A2477" t="s">
        <v>2481</v>
      </c>
      <c r="B2477">
        <v>0.99252571173614901</v>
      </c>
      <c r="C2477">
        <v>0.95864787851171795</v>
      </c>
      <c r="D2477">
        <v>1.0316528537407801</v>
      </c>
      <c r="E2477">
        <v>0.99967402580183495</v>
      </c>
      <c r="F2477">
        <v>0.99752016921200404</v>
      </c>
      <c r="G2477">
        <v>0.86839094213495605</v>
      </c>
      <c r="H2477">
        <v>0.754873744647648</v>
      </c>
      <c r="I2477">
        <v>0.92303881269419596</v>
      </c>
      <c r="J2477">
        <v>1.13951357274124</v>
      </c>
      <c r="K2477">
        <v>0.69622241467770996</v>
      </c>
      <c r="L2477">
        <v>13506.8278632244</v>
      </c>
      <c r="M2477">
        <v>250</v>
      </c>
      <c r="O2477">
        <v>54.023869648262497</v>
      </c>
      <c r="P2477">
        <v>-0.14298337848298401</v>
      </c>
      <c r="Q2477">
        <v>0.876407789222027</v>
      </c>
      <c r="R2477">
        <v>0.227068208358635</v>
      </c>
      <c r="S2477" t="s">
        <v>9123</v>
      </c>
      <c r="T2477" t="s">
        <v>13290</v>
      </c>
      <c r="U2477" t="s">
        <v>13290</v>
      </c>
      <c r="V2477" t="s">
        <v>13290</v>
      </c>
      <c r="W2477" t="s">
        <v>15728</v>
      </c>
      <c r="X2477">
        <v>3</v>
      </c>
      <c r="Y2477" t="s">
        <v>22270</v>
      </c>
      <c r="Z2477" t="s">
        <v>28807</v>
      </c>
      <c r="AA2477">
        <v>0.93420838900038528</v>
      </c>
      <c r="AB2477" t="str">
        <f>HYPERLINK("Melting_Curves/meltCurve_P32189_1_GK.pdf", "Melting_Curves/meltCurve_P32189_1_GK.pdf")</f>
        <v>Melting_Curves/meltCurve_P32189_1_GK.pdf</v>
      </c>
    </row>
    <row r="2478" spans="1:28" x14ac:dyDescent="0.25">
      <c r="A2478" t="s">
        <v>2482</v>
      </c>
      <c r="B2478">
        <v>0.99252571173614901</v>
      </c>
      <c r="C2478">
        <v>1.10534929407452</v>
      </c>
      <c r="D2478">
        <v>0.95269739254847097</v>
      </c>
      <c r="E2478">
        <v>0.935238861827002</v>
      </c>
      <c r="F2478">
        <v>0.83259139758105505</v>
      </c>
      <c r="G2478">
        <v>0.54715736399691195</v>
      </c>
      <c r="H2478">
        <v>0.49868933010266298</v>
      </c>
      <c r="I2478">
        <v>0.61963839234573703</v>
      </c>
      <c r="J2478">
        <v>0.92153845836760695</v>
      </c>
      <c r="K2478">
        <v>0.97867595355876702</v>
      </c>
      <c r="L2478">
        <v>13282.043503475001</v>
      </c>
      <c r="M2478">
        <v>250</v>
      </c>
      <c r="O2478">
        <v>53.124773369970697</v>
      </c>
      <c r="P2478">
        <v>-0.33748389998737699</v>
      </c>
      <c r="Q2478">
        <v>0.71313990480673395</v>
      </c>
      <c r="R2478">
        <v>0.45480153407614998</v>
      </c>
      <c r="S2478" t="s">
        <v>9124</v>
      </c>
      <c r="T2478" t="s">
        <v>13290</v>
      </c>
      <c r="U2478" t="s">
        <v>13290</v>
      </c>
      <c r="V2478" t="s">
        <v>13290</v>
      </c>
      <c r="W2478" t="s">
        <v>15729</v>
      </c>
      <c r="X2478">
        <v>2</v>
      </c>
      <c r="Y2478" t="s">
        <v>22271</v>
      </c>
      <c r="Z2478" t="s">
        <v>28808</v>
      </c>
      <c r="AA2478">
        <v>0.83869829296719045</v>
      </c>
      <c r="AB2478" t="str">
        <f>HYPERLINK("Melting_Curves/meltCurve_P32320_CDA.pdf", "Melting_Curves/meltCurve_P32320_CDA.pdf")</f>
        <v>Melting_Curves/meltCurve_P32320_CDA.pdf</v>
      </c>
    </row>
    <row r="2479" spans="1:28" x14ac:dyDescent="0.25">
      <c r="A2479" t="s">
        <v>2483</v>
      </c>
      <c r="B2479">
        <v>0.99252571173614901</v>
      </c>
      <c r="C2479">
        <v>1.0280936912618699</v>
      </c>
      <c r="D2479">
        <v>1.07190171638773</v>
      </c>
      <c r="E2479">
        <v>1.12566895740064</v>
      </c>
      <c r="F2479">
        <v>1.07344543056563</v>
      </c>
      <c r="G2479">
        <v>0.97172224465787704</v>
      </c>
      <c r="H2479">
        <v>0.80332885172755397</v>
      </c>
      <c r="I2479">
        <v>0.43139159866243798</v>
      </c>
      <c r="J2479">
        <v>0.13805565623493199</v>
      </c>
      <c r="K2479">
        <v>9.6538104470331093E-2</v>
      </c>
      <c r="L2479">
        <v>2248.3564944264199</v>
      </c>
      <c r="M2479">
        <v>35.597905037932897</v>
      </c>
      <c r="N2479">
        <v>63.367813991148303</v>
      </c>
      <c r="O2479">
        <v>62.961496174661498</v>
      </c>
      <c r="P2479">
        <v>-0.13355352744004201</v>
      </c>
      <c r="Q2479">
        <v>5.51467277842057E-2</v>
      </c>
      <c r="R2479">
        <v>0.98025880658476905</v>
      </c>
      <c r="S2479" t="s">
        <v>9125</v>
      </c>
      <c r="T2479" t="s">
        <v>13290</v>
      </c>
      <c r="U2479" t="s">
        <v>13290</v>
      </c>
      <c r="V2479" t="s">
        <v>13290</v>
      </c>
      <c r="W2479" t="s">
        <v>15730</v>
      </c>
      <c r="X2479">
        <v>10</v>
      </c>
      <c r="Y2479" t="s">
        <v>22272</v>
      </c>
      <c r="Z2479" t="s">
        <v>28809</v>
      </c>
      <c r="AA2479">
        <v>0.78755851375568775</v>
      </c>
      <c r="AB2479" t="str">
        <f>HYPERLINK("Melting_Curves/meltCurve_P32321_2_DCTD.pdf", "Melting_Curves/meltCurve_P32321_2_DCTD.pdf")</f>
        <v>Melting_Curves/meltCurve_P32321_2_DCTD.pdf</v>
      </c>
    </row>
    <row r="2480" spans="1:28" x14ac:dyDescent="0.25">
      <c r="A2480" t="s">
        <v>2484</v>
      </c>
      <c r="B2480">
        <v>0.99252571173614901</v>
      </c>
      <c r="C2480">
        <v>0.94599316920385701</v>
      </c>
      <c r="D2480">
        <v>1.1005657251637799</v>
      </c>
      <c r="E2480">
        <v>0.99949576049546396</v>
      </c>
      <c r="F2480">
        <v>0.98188645450045298</v>
      </c>
      <c r="G2480">
        <v>0.72841490608415704</v>
      </c>
      <c r="H2480">
        <v>0.76822172483289597</v>
      </c>
      <c r="I2480">
        <v>0.85090731002408004</v>
      </c>
      <c r="J2480">
        <v>0.913836054486038</v>
      </c>
      <c r="K2480">
        <v>0.35892532361039797</v>
      </c>
      <c r="L2480">
        <v>630.87179536780104</v>
      </c>
      <c r="M2480">
        <v>8.7293845277206099</v>
      </c>
      <c r="O2480">
        <v>68.777997695135298</v>
      </c>
      <c r="P2480">
        <v>-3.1756156155617901E-2</v>
      </c>
      <c r="Q2480">
        <v>0</v>
      </c>
      <c r="R2480">
        <v>0.56637964458780299</v>
      </c>
      <c r="S2480" t="s">
        <v>9126</v>
      </c>
      <c r="T2480" t="s">
        <v>13290</v>
      </c>
      <c r="U2480" t="s">
        <v>13290</v>
      </c>
      <c r="V2480" t="s">
        <v>13290</v>
      </c>
      <c r="W2480" t="s">
        <v>15731</v>
      </c>
      <c r="X2480">
        <v>18</v>
      </c>
      <c r="Y2480" t="s">
        <v>22273</v>
      </c>
      <c r="Z2480" t="s">
        <v>28810</v>
      </c>
      <c r="AA2480">
        <v>0.88246522087624057</v>
      </c>
      <c r="AB2480" t="str">
        <f>HYPERLINK("Melting_Curves/meltCurve_P32322_PYCR1.pdf", "Melting_Curves/meltCurve_P32322_PYCR1.pdf")</f>
        <v>Melting_Curves/meltCurve_P32322_PYCR1.pdf</v>
      </c>
    </row>
    <row r="2481" spans="1:28" x14ac:dyDescent="0.25">
      <c r="A2481" t="s">
        <v>2485</v>
      </c>
      <c r="B2481">
        <v>0.99252571173614901</v>
      </c>
      <c r="C2481">
        <v>0.54735666482051204</v>
      </c>
      <c r="D2481">
        <v>0.26400196188431002</v>
      </c>
      <c r="E2481">
        <v>0.15147999635738801</v>
      </c>
      <c r="F2481">
        <v>6.2791171727357306E-2</v>
      </c>
      <c r="G2481">
        <v>3.8118277064088497E-2</v>
      </c>
      <c r="H2481">
        <v>2.9516590653219699E-2</v>
      </c>
      <c r="I2481">
        <v>3.7020307275701901E-2</v>
      </c>
      <c r="J2481">
        <v>4.9990771137879197E-2</v>
      </c>
      <c r="K2481">
        <v>6.1481247450972901E-2</v>
      </c>
      <c r="L2481">
        <v>1113.79214747333</v>
      </c>
      <c r="M2481">
        <v>25.634714690899798</v>
      </c>
      <c r="N2481">
        <v>43.646299862987803</v>
      </c>
      <c r="O2481">
        <v>43.186771199568298</v>
      </c>
      <c r="P2481">
        <v>-0.14026176230812901</v>
      </c>
      <c r="Q2481">
        <v>5.4816318472460199E-2</v>
      </c>
      <c r="R2481">
        <v>0.981883104601187</v>
      </c>
      <c r="S2481" t="s">
        <v>9127</v>
      </c>
      <c r="T2481" t="s">
        <v>13290</v>
      </c>
      <c r="U2481" t="s">
        <v>13290</v>
      </c>
      <c r="V2481" t="s">
        <v>13290</v>
      </c>
      <c r="W2481" t="s">
        <v>15732</v>
      </c>
      <c r="X2481">
        <v>3</v>
      </c>
      <c r="Y2481" t="s">
        <v>22274</v>
      </c>
      <c r="Z2481" t="s">
        <v>28811</v>
      </c>
      <c r="AA2481">
        <v>0.1748598214076276</v>
      </c>
      <c r="AB2481" t="str">
        <f>HYPERLINK("Melting_Curves/meltCurve_P32519_2_ELF1.pdf", "Melting_Curves/meltCurve_P32519_2_ELF1.pdf")</f>
        <v>Melting_Curves/meltCurve_P32519_2_ELF1.pdf</v>
      </c>
    </row>
    <row r="2482" spans="1:28" x14ac:dyDescent="0.25">
      <c r="A2482" t="s">
        <v>2486</v>
      </c>
      <c r="B2482">
        <v>0.99252571173614901</v>
      </c>
      <c r="C2482">
        <v>0.93317891163831901</v>
      </c>
      <c r="D2482">
        <v>1.0216975297453501</v>
      </c>
      <c r="E2482">
        <v>0.93165415011903097</v>
      </c>
      <c r="F2482">
        <v>1.0483511323746699</v>
      </c>
      <c r="G2482">
        <v>0.93192648995923599</v>
      </c>
      <c r="H2482">
        <v>0.95732338101305903</v>
      </c>
      <c r="I2482">
        <v>1.2732945000029801</v>
      </c>
      <c r="J2482">
        <v>1.6688477103388699</v>
      </c>
      <c r="K2482">
        <v>1.57346001848728</v>
      </c>
      <c r="L2482">
        <v>15000</v>
      </c>
      <c r="M2482">
        <v>234.56198125401801</v>
      </c>
      <c r="O2482">
        <v>63.944348611869998</v>
      </c>
      <c r="P2482">
        <v>0.458527690931678</v>
      </c>
      <c r="Q2482">
        <v>1.5</v>
      </c>
      <c r="R2482">
        <v>0.92431371467543999</v>
      </c>
      <c r="S2482" t="s">
        <v>9128</v>
      </c>
      <c r="T2482" t="s">
        <v>13290</v>
      </c>
      <c r="U2482" t="s">
        <v>13290</v>
      </c>
      <c r="V2482" t="s">
        <v>13290</v>
      </c>
      <c r="W2482" t="s">
        <v>15733</v>
      </c>
      <c r="X2482">
        <v>16</v>
      </c>
      <c r="Y2482" t="s">
        <v>22275</v>
      </c>
      <c r="Z2482" t="s">
        <v>28812</v>
      </c>
      <c r="AA2482">
        <v>1.100786547851867</v>
      </c>
      <c r="AB2482" t="str">
        <f>HYPERLINK("Melting_Curves/meltCurve_P32929_CTH.pdf", "Melting_Curves/meltCurve_P32929_CTH.pdf")</f>
        <v>Melting_Curves/meltCurve_P32929_CTH.pdf</v>
      </c>
    </row>
    <row r="2483" spans="1:28" x14ac:dyDescent="0.25">
      <c r="A2483" t="s">
        <v>2487</v>
      </c>
      <c r="B2483">
        <v>0.99252571173614901</v>
      </c>
      <c r="C2483">
        <v>1.05831579322638</v>
      </c>
      <c r="D2483">
        <v>0.89008155143190004</v>
      </c>
      <c r="E2483">
        <v>0.97390191279709304</v>
      </c>
      <c r="F2483">
        <v>0.75759546511986697</v>
      </c>
      <c r="G2483">
        <v>0.60030139981745501</v>
      </c>
      <c r="H2483">
        <v>0.16446131552589399</v>
      </c>
      <c r="I2483">
        <v>0.13368667292227601</v>
      </c>
      <c r="J2483">
        <v>0.14503854095590299</v>
      </c>
      <c r="K2483">
        <v>0.148271683773572</v>
      </c>
      <c r="L2483">
        <v>1286.4004807925801</v>
      </c>
      <c r="M2483">
        <v>22.808401908800501</v>
      </c>
      <c r="N2483">
        <v>56.964647948453297</v>
      </c>
      <c r="O2483">
        <v>55.9720817358563</v>
      </c>
      <c r="P2483">
        <v>-9.1573496466898205E-2</v>
      </c>
      <c r="Q2483">
        <v>0.101127357839363</v>
      </c>
      <c r="R2483">
        <v>0.97577330003176799</v>
      </c>
      <c r="S2483" t="s">
        <v>9129</v>
      </c>
      <c r="T2483" t="s">
        <v>13290</v>
      </c>
      <c r="U2483" t="s">
        <v>13290</v>
      </c>
      <c r="V2483" t="s">
        <v>13290</v>
      </c>
      <c r="W2483" t="s">
        <v>15734</v>
      </c>
      <c r="X2483">
        <v>11</v>
      </c>
      <c r="Y2483" t="s">
        <v>22276</v>
      </c>
      <c r="Z2483" t="s">
        <v>28813</v>
      </c>
      <c r="AA2483">
        <v>0.60198376163558731</v>
      </c>
      <c r="AB2483" t="str">
        <f>HYPERLINK("Melting_Curves/meltCurve_P32969_RPL9.pdf", "Melting_Curves/meltCurve_P32969_RPL9.pdf")</f>
        <v>Melting_Curves/meltCurve_P32969_RPL9.pdf</v>
      </c>
    </row>
    <row r="2484" spans="1:28" x14ac:dyDescent="0.25">
      <c r="A2484" t="s">
        <v>2488</v>
      </c>
      <c r="B2484">
        <v>0.99252571173614901</v>
      </c>
      <c r="C2484">
        <v>0.95649614974377195</v>
      </c>
      <c r="D2484">
        <v>0.89523212714042499</v>
      </c>
      <c r="E2484">
        <v>0.77930301003573299</v>
      </c>
      <c r="F2484">
        <v>0.199678037351082</v>
      </c>
      <c r="G2484">
        <v>0.104068707913651</v>
      </c>
      <c r="H2484">
        <v>6.9348637038059005E-2</v>
      </c>
      <c r="I2484">
        <v>7.5028345846773203E-2</v>
      </c>
      <c r="J2484">
        <v>8.60502277398488E-2</v>
      </c>
      <c r="K2484">
        <v>9.2549251980595507E-2</v>
      </c>
      <c r="L2484">
        <v>2095.2726570897598</v>
      </c>
      <c r="M2484">
        <v>41.172179197408298</v>
      </c>
      <c r="N2484">
        <v>51.1094572476877</v>
      </c>
      <c r="O2484">
        <v>50.7709002825856</v>
      </c>
      <c r="P2484">
        <v>-0.18634352244164001</v>
      </c>
      <c r="Q2484">
        <v>8.0854333476940904E-2</v>
      </c>
      <c r="R2484">
        <v>0.99274275870113105</v>
      </c>
      <c r="S2484" t="s">
        <v>9130</v>
      </c>
      <c r="T2484" t="s">
        <v>13290</v>
      </c>
      <c r="U2484" t="s">
        <v>13290</v>
      </c>
      <c r="V2484" t="s">
        <v>13290</v>
      </c>
      <c r="W2484" t="s">
        <v>15735</v>
      </c>
      <c r="X2484">
        <v>27</v>
      </c>
      <c r="Y2484" t="s">
        <v>22277</v>
      </c>
      <c r="Z2484" t="s">
        <v>28814</v>
      </c>
      <c r="AA2484">
        <v>0.41756987483241909</v>
      </c>
      <c r="AB2484" t="str">
        <f>HYPERLINK("Melting_Curves/meltCurve_P33121_ACSL1.pdf", "Melting_Curves/meltCurve_P33121_ACSL1.pdf")</f>
        <v>Melting_Curves/meltCurve_P33121_ACSL1.pdf</v>
      </c>
    </row>
    <row r="2485" spans="1:28" x14ac:dyDescent="0.25">
      <c r="A2485" t="s">
        <v>2489</v>
      </c>
      <c r="B2485">
        <v>0.99252571173614901</v>
      </c>
      <c r="C2485">
        <v>0.84065804993993098</v>
      </c>
      <c r="D2485">
        <v>1.12706798519839</v>
      </c>
      <c r="E2485">
        <v>1.25368888025022</v>
      </c>
      <c r="F2485">
        <v>0.179424693843765</v>
      </c>
      <c r="G2485">
        <v>0.117560290942578</v>
      </c>
      <c r="H2485">
        <v>8.3685269725399594E-2</v>
      </c>
      <c r="I2485">
        <v>9.7683648506148593E-2</v>
      </c>
      <c r="J2485">
        <v>0.126509748532593</v>
      </c>
      <c r="K2485">
        <v>0.13248903825239999</v>
      </c>
      <c r="L2485">
        <v>13167.380202881601</v>
      </c>
      <c r="M2485">
        <v>250</v>
      </c>
      <c r="N2485">
        <v>52.7227806206322</v>
      </c>
      <c r="O2485">
        <v>52.666141443459303</v>
      </c>
      <c r="P2485">
        <v>-1.05429973513624</v>
      </c>
      <c r="Q2485">
        <v>0.111585467461115</v>
      </c>
      <c r="R2485">
        <v>0.95059845553075994</v>
      </c>
      <c r="S2485" t="s">
        <v>9131</v>
      </c>
      <c r="T2485" t="s">
        <v>13290</v>
      </c>
      <c r="U2485" t="s">
        <v>13290</v>
      </c>
      <c r="V2485" t="s">
        <v>13290</v>
      </c>
      <c r="W2485" t="s">
        <v>15736</v>
      </c>
      <c r="X2485">
        <v>75</v>
      </c>
      <c r="Y2485" t="s">
        <v>22278</v>
      </c>
      <c r="Z2485" t="s">
        <v>28815</v>
      </c>
      <c r="AA2485">
        <v>0.48686046764699409</v>
      </c>
      <c r="AB2485" t="str">
        <f>HYPERLINK("Melting_Curves/meltCurve_P33176_KIF5B.pdf", "Melting_Curves/meltCurve_P33176_KIF5B.pdf")</f>
        <v>Melting_Curves/meltCurve_P33176_KIF5B.pdf</v>
      </c>
    </row>
    <row r="2486" spans="1:28" x14ac:dyDescent="0.25">
      <c r="A2486" t="s">
        <v>2490</v>
      </c>
      <c r="B2486">
        <v>0.99252571173614901</v>
      </c>
      <c r="C2486">
        <v>0.93625611083845695</v>
      </c>
      <c r="D2486">
        <v>0.90705967743567295</v>
      </c>
      <c r="E2486">
        <v>0.89896758838658197</v>
      </c>
      <c r="F2486">
        <v>0.58904548338570095</v>
      </c>
      <c r="G2486">
        <v>0.373653579040022</v>
      </c>
      <c r="H2486">
        <v>0.29017224229238098</v>
      </c>
      <c r="I2486">
        <v>0.32773405637288899</v>
      </c>
      <c r="J2486">
        <v>0.430833558841202</v>
      </c>
      <c r="K2486">
        <v>0.45109412440287799</v>
      </c>
      <c r="L2486">
        <v>1769.9290649355501</v>
      </c>
      <c r="M2486">
        <v>34.0048409200758</v>
      </c>
      <c r="N2486">
        <v>54.181522108576999</v>
      </c>
      <c r="O2486">
        <v>51.8703080096994</v>
      </c>
      <c r="P2486">
        <v>-0.103443561917221</v>
      </c>
      <c r="Q2486">
        <v>0.36883949609967998</v>
      </c>
      <c r="R2486">
        <v>0.95570864378456</v>
      </c>
      <c r="S2486" t="s">
        <v>9132</v>
      </c>
      <c r="T2486" t="s">
        <v>13290</v>
      </c>
      <c r="U2486" t="s">
        <v>13290</v>
      </c>
      <c r="V2486" t="s">
        <v>13290</v>
      </c>
      <c r="W2486" t="s">
        <v>15737</v>
      </c>
      <c r="X2486">
        <v>14</v>
      </c>
      <c r="Y2486" t="s">
        <v>22279</v>
      </c>
      <c r="Z2486" t="s">
        <v>28816</v>
      </c>
      <c r="AA2486">
        <v>0.62548554927232136</v>
      </c>
      <c r="AB2486" t="str">
        <f>HYPERLINK("Melting_Curves/meltCurve_P33240_2_CSTF2.pdf", "Melting_Curves/meltCurve_P33240_2_CSTF2.pdf")</f>
        <v>Melting_Curves/meltCurve_P33240_2_CSTF2.pdf</v>
      </c>
    </row>
    <row r="2487" spans="1:28" x14ac:dyDescent="0.25">
      <c r="A2487" t="s">
        <v>2491</v>
      </c>
      <c r="B2487">
        <v>0.99252571173614901</v>
      </c>
      <c r="C2487">
        <v>1.1413049574568801</v>
      </c>
      <c r="D2487">
        <v>0.92478410305900904</v>
      </c>
      <c r="E2487">
        <v>0.98809828025781399</v>
      </c>
      <c r="F2487">
        <v>0.63081992249696595</v>
      </c>
      <c r="G2487">
        <v>0.32366092088502602</v>
      </c>
      <c r="H2487">
        <v>0.20245664225820001</v>
      </c>
      <c r="I2487">
        <v>0.21100908400617799</v>
      </c>
      <c r="J2487">
        <v>0.29860301710071702</v>
      </c>
      <c r="K2487">
        <v>0.325333133720204</v>
      </c>
      <c r="L2487">
        <v>2369.23437930605</v>
      </c>
      <c r="M2487">
        <v>44.510055785653996</v>
      </c>
      <c r="N2487">
        <v>54.134706153366302</v>
      </c>
      <c r="O2487">
        <v>53.122084081479201</v>
      </c>
      <c r="P2487">
        <v>-0.15448095148125199</v>
      </c>
      <c r="Q2487">
        <v>0.26251822581003298</v>
      </c>
      <c r="R2487">
        <v>0.96966739447220895</v>
      </c>
      <c r="S2487" t="s">
        <v>9133</v>
      </c>
      <c r="T2487" t="s">
        <v>13290</v>
      </c>
      <c r="U2487" t="s">
        <v>13290</v>
      </c>
      <c r="V2487" t="s">
        <v>13290</v>
      </c>
      <c r="W2487" t="s">
        <v>15738</v>
      </c>
      <c r="X2487">
        <v>14</v>
      </c>
      <c r="Y2487" t="s">
        <v>22280</v>
      </c>
      <c r="Z2487" t="s">
        <v>28817</v>
      </c>
      <c r="AA2487">
        <v>0.58991491991370526</v>
      </c>
      <c r="AB2487" t="str">
        <f>HYPERLINK("Melting_Curves/meltCurve_P33316_DUT.pdf", "Melting_Curves/meltCurve_P33316_DUT.pdf")</f>
        <v>Melting_Curves/meltCurve_P33316_DUT.pdf</v>
      </c>
    </row>
    <row r="2488" spans="1:28" x14ac:dyDescent="0.25">
      <c r="A2488" t="s">
        <v>2492</v>
      </c>
      <c r="B2488">
        <v>0.99252571173614901</v>
      </c>
      <c r="C2488">
        <v>1.16473922605201</v>
      </c>
      <c r="D2488">
        <v>0.77130138513655599</v>
      </c>
      <c r="E2488">
        <v>0.86319535089044697</v>
      </c>
      <c r="F2488">
        <v>0.61963502701119699</v>
      </c>
      <c r="G2488">
        <v>0.36469672275061099</v>
      </c>
      <c r="H2488">
        <v>0.180252103178449</v>
      </c>
      <c r="I2488">
        <v>0.145089920090477</v>
      </c>
      <c r="J2488">
        <v>0.16415370995401801</v>
      </c>
      <c r="K2488">
        <v>0.198107036764952</v>
      </c>
      <c r="L2488">
        <v>958.67044608616902</v>
      </c>
      <c r="M2488">
        <v>17.898627543416399</v>
      </c>
      <c r="N2488">
        <v>54.5062222273909</v>
      </c>
      <c r="O2488">
        <v>52.905947553318597</v>
      </c>
      <c r="P2488">
        <v>-7.3298159247915301E-2</v>
      </c>
      <c r="Q2488">
        <v>0.13340554094174201</v>
      </c>
      <c r="R2488">
        <v>0.94568673574009599</v>
      </c>
      <c r="S2488" t="s">
        <v>9134</v>
      </c>
      <c r="T2488" t="s">
        <v>13290</v>
      </c>
      <c r="U2488" t="s">
        <v>13290</v>
      </c>
      <c r="V2488" t="s">
        <v>13290</v>
      </c>
      <c r="W2488" t="s">
        <v>15739</v>
      </c>
      <c r="X2488">
        <v>15</v>
      </c>
      <c r="Y2488" t="s">
        <v>22280</v>
      </c>
      <c r="Z2488" t="s">
        <v>28818</v>
      </c>
      <c r="AA2488">
        <v>0.53928221224341288</v>
      </c>
      <c r="AB2488" t="str">
        <f>HYPERLINK("Melting_Curves/meltCurve_P33316_2_DUT.pdf", "Melting_Curves/meltCurve_P33316_2_DUT.pdf")</f>
        <v>Melting_Curves/meltCurve_P33316_2_DUT.pdf</v>
      </c>
    </row>
    <row r="2489" spans="1:28" x14ac:dyDescent="0.25">
      <c r="A2489" t="s">
        <v>2493</v>
      </c>
      <c r="B2489">
        <v>0.99252571173614901</v>
      </c>
      <c r="C2489">
        <v>1.02985504333893</v>
      </c>
      <c r="D2489">
        <v>0.79096582623704204</v>
      </c>
      <c r="E2489">
        <v>0.70503221343009004</v>
      </c>
      <c r="F2489">
        <v>0.367791657487822</v>
      </c>
      <c r="G2489">
        <v>0.240628872649985</v>
      </c>
      <c r="H2489">
        <v>0.21072828892724901</v>
      </c>
      <c r="I2489">
        <v>0.253261417500458</v>
      </c>
      <c r="J2489">
        <v>0.29140477273035897</v>
      </c>
      <c r="K2489">
        <v>0.284262304079129</v>
      </c>
      <c r="L2489">
        <v>1077.7975519731899</v>
      </c>
      <c r="M2489">
        <v>21.669446020326099</v>
      </c>
      <c r="N2489">
        <v>51.313563623930399</v>
      </c>
      <c r="O2489">
        <v>49.320345439133199</v>
      </c>
      <c r="P2489">
        <v>-8.3157612688094101E-2</v>
      </c>
      <c r="Q2489">
        <v>0.24294050425181399</v>
      </c>
      <c r="R2489">
        <v>0.97248767553040005</v>
      </c>
      <c r="S2489" t="s">
        <v>9135</v>
      </c>
      <c r="T2489" t="s">
        <v>13290</v>
      </c>
      <c r="U2489" t="s">
        <v>13290</v>
      </c>
      <c r="V2489" t="s">
        <v>13290</v>
      </c>
      <c r="W2489" t="s">
        <v>15740</v>
      </c>
      <c r="X2489">
        <v>4</v>
      </c>
      <c r="Y2489" t="s">
        <v>22281</v>
      </c>
      <c r="Z2489" t="s">
        <v>28819</v>
      </c>
      <c r="AA2489">
        <v>0.49768371453200461</v>
      </c>
      <c r="AB2489" t="str">
        <f>HYPERLINK("Melting_Curves/meltCurve_P33552_CKS2.pdf", "Melting_Curves/meltCurve_P33552_CKS2.pdf")</f>
        <v>Melting_Curves/meltCurve_P33552_CKS2.pdf</v>
      </c>
    </row>
    <row r="2490" spans="1:28" x14ac:dyDescent="0.25">
      <c r="A2490" t="s">
        <v>2494</v>
      </c>
      <c r="B2490">
        <v>0.99252571173614901</v>
      </c>
      <c r="C2490">
        <v>1.08248040160391</v>
      </c>
      <c r="D2490">
        <v>0.99770540483143499</v>
      </c>
      <c r="E2490">
        <v>0.78500861930681198</v>
      </c>
      <c r="F2490">
        <v>0.66704798876806004</v>
      </c>
      <c r="G2490">
        <v>0.51243254481459699</v>
      </c>
      <c r="H2490">
        <v>0.314583670154645</v>
      </c>
      <c r="I2490">
        <v>0.20378155926917499</v>
      </c>
      <c r="J2490">
        <v>0.22092032863337299</v>
      </c>
      <c r="K2490">
        <v>0.18464761348998099</v>
      </c>
      <c r="L2490">
        <v>783.79430990042999</v>
      </c>
      <c r="M2490">
        <v>14.2560413790182</v>
      </c>
      <c r="N2490">
        <v>56.296097073151699</v>
      </c>
      <c r="O2490">
        <v>53.931917537854702</v>
      </c>
      <c r="P2490">
        <v>-5.6724407187136103E-2</v>
      </c>
      <c r="Q2490">
        <v>0.141731268914946</v>
      </c>
      <c r="R2490">
        <v>0.98312681834603599</v>
      </c>
      <c r="S2490" t="s">
        <v>9136</v>
      </c>
      <c r="T2490" t="s">
        <v>13290</v>
      </c>
      <c r="U2490" t="s">
        <v>13290</v>
      </c>
      <c r="V2490" t="s">
        <v>13290</v>
      </c>
      <c r="W2490" t="s">
        <v>15741</v>
      </c>
      <c r="X2490">
        <v>6</v>
      </c>
      <c r="Y2490" t="s">
        <v>22282</v>
      </c>
      <c r="Z2490" t="s">
        <v>28820</v>
      </c>
      <c r="AA2490">
        <v>0.58774833041867347</v>
      </c>
      <c r="AB2490" t="str">
        <f>HYPERLINK("Melting_Curves/meltCurve_P33764_S100A3.pdf", "Melting_Curves/meltCurve_P33764_S100A3.pdf")</f>
        <v>Melting_Curves/meltCurve_P33764_S100A3.pdf</v>
      </c>
    </row>
    <row r="2491" spans="1:28" x14ac:dyDescent="0.25">
      <c r="A2491" t="s">
        <v>2495</v>
      </c>
      <c r="B2491">
        <v>0.99252571173614901</v>
      </c>
      <c r="C2491">
        <v>0.94171853461311905</v>
      </c>
      <c r="D2491">
        <v>0.93229826501969004</v>
      </c>
      <c r="E2491">
        <v>1.01657718714163</v>
      </c>
      <c r="F2491">
        <v>0.66770815852753995</v>
      </c>
      <c r="G2491">
        <v>0.34857671458128697</v>
      </c>
      <c r="H2491">
        <v>0.112935566383115</v>
      </c>
      <c r="I2491">
        <v>0.123480380286112</v>
      </c>
      <c r="J2491">
        <v>0.128381791601925</v>
      </c>
      <c r="K2491">
        <v>0.11569250565882699</v>
      </c>
      <c r="L2491">
        <v>1591.3288545739399</v>
      </c>
      <c r="M2491">
        <v>29.231180862769001</v>
      </c>
      <c r="N2491">
        <v>54.911475490998498</v>
      </c>
      <c r="O2491">
        <v>54.1865545129737</v>
      </c>
      <c r="P2491">
        <v>-0.119881169271379</v>
      </c>
      <c r="Q2491">
        <v>0.111099815052213</v>
      </c>
      <c r="R2491">
        <v>0.98962122254163998</v>
      </c>
      <c r="S2491" t="s">
        <v>9137</v>
      </c>
      <c r="T2491" t="s">
        <v>13290</v>
      </c>
      <c r="U2491" t="s">
        <v>13290</v>
      </c>
      <c r="V2491" t="s">
        <v>13290</v>
      </c>
      <c r="W2491" t="s">
        <v>15742</v>
      </c>
      <c r="X2491">
        <v>12</v>
      </c>
      <c r="Y2491" t="s">
        <v>22283</v>
      </c>
      <c r="Z2491" t="s">
        <v>28821</v>
      </c>
      <c r="AA2491">
        <v>0.54510452422051658</v>
      </c>
      <c r="AB2491" t="str">
        <f>HYPERLINK("Melting_Curves/meltCurve_P33908_MAN1A1.pdf", "Melting_Curves/meltCurve_P33908_MAN1A1.pdf")</f>
        <v>Melting_Curves/meltCurve_P33908_MAN1A1.pdf</v>
      </c>
    </row>
    <row r="2492" spans="1:28" x14ac:dyDescent="0.25">
      <c r="A2492" t="s">
        <v>2496</v>
      </c>
      <c r="B2492">
        <v>0.99252571173614901</v>
      </c>
      <c r="C2492">
        <v>0.81424727598429503</v>
      </c>
      <c r="D2492">
        <v>0.39262539523224699</v>
      </c>
      <c r="E2492">
        <v>0.21110288132129801</v>
      </c>
      <c r="F2492">
        <v>0.13950225003108499</v>
      </c>
      <c r="G2492">
        <v>7.3683589556777299E-2</v>
      </c>
      <c r="H2492">
        <v>0.117152905527309</v>
      </c>
      <c r="I2492">
        <v>7.1417505415509105E-2</v>
      </c>
      <c r="J2492">
        <v>8.0772188125600206E-2</v>
      </c>
      <c r="K2492">
        <v>7.8169381126788395E-2</v>
      </c>
      <c r="L2492">
        <v>1174.7765735227799</v>
      </c>
      <c r="M2492">
        <v>26.108191434831699</v>
      </c>
      <c r="N2492">
        <v>45.358149608803302</v>
      </c>
      <c r="O2492">
        <v>44.734979171120401</v>
      </c>
      <c r="P2492">
        <v>-0.13219565285246301</v>
      </c>
      <c r="Q2492">
        <v>9.3969744986470399E-2</v>
      </c>
      <c r="R2492">
        <v>0.99368873210487996</v>
      </c>
      <c r="S2492" t="s">
        <v>9138</v>
      </c>
      <c r="T2492" t="s">
        <v>13290</v>
      </c>
      <c r="U2492" t="s">
        <v>13290</v>
      </c>
      <c r="V2492" t="s">
        <v>13290</v>
      </c>
      <c r="W2492" t="s">
        <v>15743</v>
      </c>
      <c r="X2492">
        <v>9</v>
      </c>
      <c r="Y2492" t="s">
        <v>22284</v>
      </c>
      <c r="Z2492" t="s">
        <v>28822</v>
      </c>
      <c r="AA2492">
        <v>0.25300473000961182</v>
      </c>
      <c r="AB2492" t="str">
        <f>HYPERLINK("Melting_Curves/meltCurve_P33981_2_TTK.pdf", "Melting_Curves/meltCurve_P33981_2_TTK.pdf")</f>
        <v>Melting_Curves/meltCurve_P33981_2_TTK.pdf</v>
      </c>
    </row>
    <row r="2493" spans="1:28" x14ac:dyDescent="0.25">
      <c r="A2493" t="s">
        <v>2497</v>
      </c>
      <c r="B2493">
        <v>0.99252571173614901</v>
      </c>
      <c r="C2493">
        <v>0.84700573898250897</v>
      </c>
      <c r="D2493">
        <v>1.1088545791023201</v>
      </c>
      <c r="E2493">
        <v>0.89698252618724905</v>
      </c>
      <c r="F2493">
        <v>0.23401753359591199</v>
      </c>
      <c r="G2493">
        <v>0.120652383286749</v>
      </c>
      <c r="H2493">
        <v>8.2465157534276606E-2</v>
      </c>
      <c r="I2493">
        <v>8.1370758445318297E-2</v>
      </c>
      <c r="J2493">
        <v>7.6787162629407296E-2</v>
      </c>
      <c r="K2493">
        <v>7.6495692866743903E-2</v>
      </c>
      <c r="L2493">
        <v>2725.8686718693398</v>
      </c>
      <c r="M2493">
        <v>52.870174765725999</v>
      </c>
      <c r="N2493">
        <v>51.742107811977597</v>
      </c>
      <c r="O2493">
        <v>51.484155320404398</v>
      </c>
      <c r="P2493">
        <v>-0.23469415852975001</v>
      </c>
      <c r="Q2493">
        <v>8.5834191197186799E-2</v>
      </c>
      <c r="R2493">
        <v>0.97954348062293195</v>
      </c>
      <c r="S2493" t="s">
        <v>9139</v>
      </c>
      <c r="T2493" t="s">
        <v>13290</v>
      </c>
      <c r="U2493" t="s">
        <v>13290</v>
      </c>
      <c r="V2493" t="s">
        <v>13290</v>
      </c>
      <c r="W2493" t="s">
        <v>15744</v>
      </c>
      <c r="X2493">
        <v>29</v>
      </c>
      <c r="Y2493" t="s">
        <v>22285</v>
      </c>
      <c r="Z2493" t="s">
        <v>28823</v>
      </c>
      <c r="AA2493">
        <v>0.43988327839526692</v>
      </c>
      <c r="AB2493" t="str">
        <f>HYPERLINK("Melting_Curves/meltCurve_P33991_MCM4.pdf", "Melting_Curves/meltCurve_P33991_MCM4.pdf")</f>
        <v>Melting_Curves/meltCurve_P33991_MCM4.pdf</v>
      </c>
    </row>
    <row r="2494" spans="1:28" x14ac:dyDescent="0.25">
      <c r="A2494" t="s">
        <v>2498</v>
      </c>
      <c r="B2494">
        <v>0.99252571173614901</v>
      </c>
      <c r="C2494">
        <v>0.94782858769349798</v>
      </c>
      <c r="D2494">
        <v>1.1076167594080499</v>
      </c>
      <c r="E2494">
        <v>1.06553895809149</v>
      </c>
      <c r="F2494">
        <v>0.70757745729513899</v>
      </c>
      <c r="G2494">
        <v>0.23074691128598801</v>
      </c>
      <c r="H2494">
        <v>0.124373179066531</v>
      </c>
      <c r="I2494">
        <v>0.128877171536951</v>
      </c>
      <c r="J2494">
        <v>0.129942223989821</v>
      </c>
      <c r="K2494">
        <v>0.121272880306628</v>
      </c>
      <c r="L2494">
        <v>2495.8763837735401</v>
      </c>
      <c r="M2494">
        <v>46.165309451319402</v>
      </c>
      <c r="N2494">
        <v>54.412178988188103</v>
      </c>
      <c r="O2494">
        <v>53.962740598906699</v>
      </c>
      <c r="P2494">
        <v>-0.186517165204551</v>
      </c>
      <c r="Q2494">
        <v>0.127919580824915</v>
      </c>
      <c r="R2494">
        <v>0.988032532093432</v>
      </c>
      <c r="S2494" t="s">
        <v>9140</v>
      </c>
      <c r="T2494" t="s">
        <v>13290</v>
      </c>
      <c r="U2494" t="s">
        <v>13290</v>
      </c>
      <c r="V2494" t="s">
        <v>13290</v>
      </c>
      <c r="W2494" t="s">
        <v>15745</v>
      </c>
      <c r="X2494">
        <v>28</v>
      </c>
      <c r="Y2494" t="s">
        <v>22286</v>
      </c>
      <c r="Z2494" t="s">
        <v>28824</v>
      </c>
      <c r="AA2494">
        <v>0.53918810045525822</v>
      </c>
      <c r="AB2494" t="str">
        <f>HYPERLINK("Melting_Curves/meltCurve_P33992_MCM5.pdf", "Melting_Curves/meltCurve_P33992_MCM5.pdf")</f>
        <v>Melting_Curves/meltCurve_P33992_MCM5.pdf</v>
      </c>
    </row>
    <row r="2495" spans="1:28" x14ac:dyDescent="0.25">
      <c r="A2495" t="s">
        <v>2499</v>
      </c>
      <c r="B2495">
        <v>0.99252571173614901</v>
      </c>
      <c r="C2495">
        <v>0.78813483782966898</v>
      </c>
      <c r="D2495">
        <v>1.0144664567923301</v>
      </c>
      <c r="E2495">
        <v>0.80077155021691804</v>
      </c>
      <c r="F2495">
        <v>0.18741869494768801</v>
      </c>
      <c r="G2495">
        <v>0.11725294942941</v>
      </c>
      <c r="H2495">
        <v>8.6267844471356797E-2</v>
      </c>
      <c r="I2495">
        <v>8.5879635811449001E-2</v>
      </c>
      <c r="J2495">
        <v>9.3978066354634807E-2</v>
      </c>
      <c r="K2495">
        <v>9.2071322165100902E-2</v>
      </c>
      <c r="L2495">
        <v>2501.7664566430299</v>
      </c>
      <c r="M2495">
        <v>49.169852549505599</v>
      </c>
      <c r="N2495">
        <v>51.095699561351999</v>
      </c>
      <c r="O2495">
        <v>50.796140125775999</v>
      </c>
      <c r="P2495">
        <v>-0.219323069589413</v>
      </c>
      <c r="Q2495">
        <v>9.3692203114891098E-2</v>
      </c>
      <c r="R2495">
        <v>0.97037844519189498</v>
      </c>
      <c r="S2495" t="s">
        <v>9141</v>
      </c>
      <c r="T2495" t="s">
        <v>13290</v>
      </c>
      <c r="U2495" t="s">
        <v>13290</v>
      </c>
      <c r="V2495" t="s">
        <v>13290</v>
      </c>
      <c r="W2495" t="s">
        <v>15746</v>
      </c>
      <c r="X2495">
        <v>20</v>
      </c>
      <c r="Y2495" t="s">
        <v>22287</v>
      </c>
      <c r="Z2495" t="s">
        <v>28825</v>
      </c>
      <c r="AA2495">
        <v>0.42448617889603119</v>
      </c>
      <c r="AB2495" t="str">
        <f>HYPERLINK("Melting_Curves/meltCurve_P33993_MCM7.pdf", "Melting_Curves/meltCurve_P33993_MCM7.pdf")</f>
        <v>Melting_Curves/meltCurve_P33993_MCM7.pdf</v>
      </c>
    </row>
    <row r="2496" spans="1:28" x14ac:dyDescent="0.25">
      <c r="A2496" t="s">
        <v>2500</v>
      </c>
      <c r="B2496">
        <v>0.99252571173614901</v>
      </c>
      <c r="C2496">
        <v>0.92791972107034704</v>
      </c>
      <c r="D2496">
        <v>0.94179922166177898</v>
      </c>
      <c r="E2496">
        <v>0.82688235858966797</v>
      </c>
      <c r="F2496">
        <v>0.92755181875613901</v>
      </c>
      <c r="G2496">
        <v>0.79733696516318997</v>
      </c>
      <c r="H2496">
        <v>0.82643404032814505</v>
      </c>
      <c r="I2496">
        <v>1.0692707007818301</v>
      </c>
      <c r="J2496">
        <v>1.56396801405701</v>
      </c>
      <c r="K2496">
        <v>1.5967619618105899</v>
      </c>
      <c r="L2496">
        <v>15000</v>
      </c>
      <c r="M2496">
        <v>232.548631215271</v>
      </c>
      <c r="O2496">
        <v>64.497865176339204</v>
      </c>
      <c r="P2496">
        <v>0.45069054817505499</v>
      </c>
      <c r="Q2496">
        <v>1.5</v>
      </c>
      <c r="R2496">
        <v>0.83350621946305403</v>
      </c>
      <c r="S2496" t="s">
        <v>9142</v>
      </c>
      <c r="T2496" t="s">
        <v>13290</v>
      </c>
      <c r="U2496" t="s">
        <v>13290</v>
      </c>
      <c r="V2496" t="s">
        <v>13290</v>
      </c>
      <c r="W2496" t="s">
        <v>15747</v>
      </c>
      <c r="X2496">
        <v>10</v>
      </c>
      <c r="Y2496" t="s">
        <v>22288</v>
      </c>
      <c r="Z2496" t="s">
        <v>28826</v>
      </c>
      <c r="AA2496">
        <v>1.0915572960989479</v>
      </c>
      <c r="AB2496" t="str">
        <f>HYPERLINK("Melting_Curves/meltCurve_P34059_GALNS.pdf", "Melting_Curves/meltCurve_P34059_GALNS.pdf")</f>
        <v>Melting_Curves/meltCurve_P34059_GALNS.pdf</v>
      </c>
    </row>
    <row r="2497" spans="1:28" x14ac:dyDescent="0.25">
      <c r="A2497" t="s">
        <v>2501</v>
      </c>
      <c r="B2497">
        <v>0.99252571173614901</v>
      </c>
      <c r="C2497">
        <v>0.927924276896407</v>
      </c>
      <c r="D2497">
        <v>1.0829551285046399</v>
      </c>
      <c r="E2497">
        <v>1.14811777288317</v>
      </c>
      <c r="F2497">
        <v>1.1544222462575</v>
      </c>
      <c r="G2497">
        <v>0.98880016646045399</v>
      </c>
      <c r="H2497">
        <v>0.97995892849476196</v>
      </c>
      <c r="I2497">
        <v>0.61557096995761496</v>
      </c>
      <c r="J2497">
        <v>0.24708739176814301</v>
      </c>
      <c r="K2497">
        <v>0.173992982849098</v>
      </c>
      <c r="L2497">
        <v>3668.3468292098401</v>
      </c>
      <c r="M2497">
        <v>57.158173994393103</v>
      </c>
      <c r="N2497">
        <v>64.663593993691507</v>
      </c>
      <c r="O2497">
        <v>64.100443550904799</v>
      </c>
      <c r="P2497">
        <v>-0.18408000391306101</v>
      </c>
      <c r="Q2497">
        <v>0.17424897792967201</v>
      </c>
      <c r="R2497">
        <v>0.95012311036877495</v>
      </c>
      <c r="S2497" t="s">
        <v>9143</v>
      </c>
      <c r="T2497" t="s">
        <v>13290</v>
      </c>
      <c r="U2497" t="s">
        <v>13290</v>
      </c>
      <c r="V2497" t="s">
        <v>13290</v>
      </c>
      <c r="W2497" t="s">
        <v>15748</v>
      </c>
      <c r="X2497">
        <v>25</v>
      </c>
      <c r="Y2497" t="s">
        <v>22289</v>
      </c>
      <c r="Z2497" t="s">
        <v>28827</v>
      </c>
      <c r="AA2497">
        <v>0.84123102663942362</v>
      </c>
      <c r="AB2497" t="str">
        <f>HYPERLINK("Melting_Curves/meltCurve_P34896_2_SHMT1.pdf", "Melting_Curves/meltCurve_P34896_2_SHMT1.pdf")</f>
        <v>Melting_Curves/meltCurve_P34896_2_SHMT1.pdf</v>
      </c>
    </row>
    <row r="2498" spans="1:28" x14ac:dyDescent="0.25">
      <c r="A2498" t="s">
        <v>2502</v>
      </c>
      <c r="B2498">
        <v>0.99252571173614901</v>
      </c>
      <c r="C2498">
        <v>0.94385217299003699</v>
      </c>
      <c r="D2498">
        <v>1.11198235307405</v>
      </c>
      <c r="E2498">
        <v>1.1840409153843301</v>
      </c>
      <c r="F2498">
        <v>1.07668596260757</v>
      </c>
      <c r="G2498">
        <v>0.82897626583707895</v>
      </c>
      <c r="H2498">
        <v>0.61592848989550397</v>
      </c>
      <c r="I2498">
        <v>0.21634873436061</v>
      </c>
      <c r="J2498">
        <v>0.112905475647799</v>
      </c>
      <c r="K2498">
        <v>9.5994322445411298E-2</v>
      </c>
      <c r="L2498">
        <v>1799.75869260422</v>
      </c>
      <c r="M2498">
        <v>29.429169752497199</v>
      </c>
      <c r="N2498">
        <v>61.391245589851202</v>
      </c>
      <c r="O2498">
        <v>60.875286844170098</v>
      </c>
      <c r="P2498">
        <v>-0.114404969903074</v>
      </c>
      <c r="Q2498">
        <v>5.3403239746204201E-2</v>
      </c>
      <c r="R2498">
        <v>0.958507139346364</v>
      </c>
      <c r="S2498" t="s">
        <v>9144</v>
      </c>
      <c r="T2498" t="s">
        <v>13290</v>
      </c>
      <c r="U2498" t="s">
        <v>13290</v>
      </c>
      <c r="V2498" t="s">
        <v>13290</v>
      </c>
      <c r="W2498" t="s">
        <v>15749</v>
      </c>
      <c r="X2498">
        <v>48</v>
      </c>
      <c r="Y2498" t="s">
        <v>22290</v>
      </c>
      <c r="Z2498" t="s">
        <v>28828</v>
      </c>
      <c r="AA2498">
        <v>0.72613803900248919</v>
      </c>
      <c r="AB2498" t="str">
        <f>HYPERLINK("Melting_Curves/meltCurve_P34897_3_SHMT2.pdf", "Melting_Curves/meltCurve_P34897_3_SHMT2.pdf")</f>
        <v>Melting_Curves/meltCurve_P34897_3_SHMT2.pdf</v>
      </c>
    </row>
    <row r="2499" spans="1:28" x14ac:dyDescent="0.25">
      <c r="A2499" t="s">
        <v>2503</v>
      </c>
      <c r="B2499">
        <v>0.99252571173614901</v>
      </c>
      <c r="C2499">
        <v>1.07615118604191</v>
      </c>
      <c r="D2499">
        <v>0.80592796699028602</v>
      </c>
      <c r="E2499">
        <v>0.88698259854827499</v>
      </c>
      <c r="F2499">
        <v>0.15383097055794301</v>
      </c>
      <c r="G2499">
        <v>9.7468012024533104E-2</v>
      </c>
      <c r="H2499">
        <v>6.5988718308284802E-2</v>
      </c>
      <c r="I2499">
        <v>7.2968781508773298E-2</v>
      </c>
      <c r="J2499">
        <v>7.8620858534951293E-2</v>
      </c>
      <c r="K2499">
        <v>7.7548353310071497E-2</v>
      </c>
      <c r="L2499">
        <v>3136.7425631931101</v>
      </c>
      <c r="M2499">
        <v>61.313129017948299</v>
      </c>
      <c r="N2499">
        <v>51.300213072613403</v>
      </c>
      <c r="O2499">
        <v>51.1050559868645</v>
      </c>
      <c r="P2499">
        <v>-0.27670628785062001</v>
      </c>
      <c r="Q2499">
        <v>7.7451422067583597E-2</v>
      </c>
      <c r="R2499">
        <v>0.975453104802955</v>
      </c>
      <c r="S2499" t="s">
        <v>9145</v>
      </c>
      <c r="T2499" t="s">
        <v>13290</v>
      </c>
      <c r="U2499" t="s">
        <v>13290</v>
      </c>
      <c r="V2499" t="s">
        <v>13290</v>
      </c>
      <c r="W2499" t="s">
        <v>15750</v>
      </c>
      <c r="X2499">
        <v>79</v>
      </c>
      <c r="Y2499" t="s">
        <v>22291</v>
      </c>
      <c r="Z2499" t="s">
        <v>28829</v>
      </c>
      <c r="AA2499">
        <v>0.42200275822454941</v>
      </c>
      <c r="AB2499" t="str">
        <f>HYPERLINK("Melting_Curves/meltCurve_P34932_HSPA4.pdf", "Melting_Curves/meltCurve_P34932_HSPA4.pdf")</f>
        <v>Melting_Curves/meltCurve_P34932_HSPA4.pdf</v>
      </c>
    </row>
    <row r="2500" spans="1:28" x14ac:dyDescent="0.25">
      <c r="A2500" t="s">
        <v>2504</v>
      </c>
      <c r="B2500">
        <v>0.99252571173614901</v>
      </c>
      <c r="C2500">
        <v>1.06796846080299</v>
      </c>
      <c r="D2500">
        <v>0.66254736364456401</v>
      </c>
      <c r="E2500">
        <v>0.53071125553310705</v>
      </c>
      <c r="F2500">
        <v>0.22352344808845601</v>
      </c>
      <c r="G2500">
        <v>0.109771012037247</v>
      </c>
      <c r="H2500">
        <v>7.7550964248522397E-2</v>
      </c>
      <c r="I2500">
        <v>7.0365834383729495E-2</v>
      </c>
      <c r="J2500">
        <v>7.8738603792613895E-2</v>
      </c>
      <c r="K2500">
        <v>7.2368891893740905E-2</v>
      </c>
      <c r="L2500">
        <v>907.01842754201198</v>
      </c>
      <c r="M2500">
        <v>18.5458409083211</v>
      </c>
      <c r="N2500">
        <v>49.254479230852098</v>
      </c>
      <c r="O2500">
        <v>48.348854885314303</v>
      </c>
      <c r="P2500">
        <v>-9.0017058246024198E-2</v>
      </c>
      <c r="Q2500">
        <v>6.1346304581293497E-2</v>
      </c>
      <c r="R2500">
        <v>0.97506630734129396</v>
      </c>
      <c r="S2500" t="s">
        <v>9146</v>
      </c>
      <c r="T2500" t="s">
        <v>13290</v>
      </c>
      <c r="U2500" t="s">
        <v>13290</v>
      </c>
      <c r="V2500" t="s">
        <v>13290</v>
      </c>
      <c r="W2500" t="s">
        <v>15751</v>
      </c>
      <c r="X2500">
        <v>12</v>
      </c>
      <c r="Y2500" t="s">
        <v>22292</v>
      </c>
      <c r="Z2500" t="s">
        <v>28830</v>
      </c>
      <c r="AA2500">
        <v>0.35536602516975752</v>
      </c>
      <c r="AB2500" t="str">
        <f>HYPERLINK("Melting_Curves/meltCurve_P34949_MPI.pdf", "Melting_Curves/meltCurve_P34949_MPI.pdf")</f>
        <v>Melting_Curves/meltCurve_P34949_MPI.pdf</v>
      </c>
    </row>
    <row r="2501" spans="1:28" x14ac:dyDescent="0.25">
      <c r="A2501" t="s">
        <v>2505</v>
      </c>
      <c r="B2501">
        <v>0.99252571173614901</v>
      </c>
      <c r="C2501">
        <v>1.0766967828844101</v>
      </c>
      <c r="D2501">
        <v>0.69462672317979801</v>
      </c>
      <c r="E2501">
        <v>0.52699774321150705</v>
      </c>
      <c r="F2501">
        <v>0.18797169720006099</v>
      </c>
      <c r="G2501">
        <v>0.104125524128828</v>
      </c>
      <c r="H2501">
        <v>6.6415470415967501E-2</v>
      </c>
      <c r="I2501">
        <v>5.7634651234818E-2</v>
      </c>
      <c r="J2501">
        <v>5.7686668271155803E-2</v>
      </c>
      <c r="K2501">
        <v>5.6386677643668101E-2</v>
      </c>
      <c r="L2501">
        <v>974.06667001535698</v>
      </c>
      <c r="M2501">
        <v>19.8717733720203</v>
      </c>
      <c r="N2501">
        <v>49.272747154084598</v>
      </c>
      <c r="O2501">
        <v>48.5293055552685</v>
      </c>
      <c r="P2501">
        <v>-9.7368188202349507E-2</v>
      </c>
      <c r="Q2501">
        <v>4.88916392232377E-2</v>
      </c>
      <c r="R2501">
        <v>0.97920073484051195</v>
      </c>
      <c r="S2501" t="s">
        <v>9147</v>
      </c>
      <c r="T2501" t="s">
        <v>13290</v>
      </c>
      <c r="U2501" t="s">
        <v>13290</v>
      </c>
      <c r="V2501" t="s">
        <v>13290</v>
      </c>
      <c r="W2501" t="s">
        <v>15752</v>
      </c>
      <c r="X2501">
        <v>16</v>
      </c>
      <c r="Y2501" t="s">
        <v>22293</v>
      </c>
      <c r="Z2501" t="s">
        <v>28831</v>
      </c>
      <c r="AA2501">
        <v>0.34827796996077359</v>
      </c>
      <c r="AB2501" t="str">
        <f>HYPERLINK("Melting_Curves/meltCurve_P35219_CA8.pdf", "Melting_Curves/meltCurve_P35219_CA8.pdf")</f>
        <v>Melting_Curves/meltCurve_P35219_CA8.pdf</v>
      </c>
    </row>
    <row r="2502" spans="1:28" x14ac:dyDescent="0.25">
      <c r="A2502" t="s">
        <v>2506</v>
      </c>
      <c r="B2502">
        <v>0.99252571173614901</v>
      </c>
      <c r="C2502">
        <v>0.94837036498351901</v>
      </c>
      <c r="D2502">
        <v>1.0503039190952801</v>
      </c>
      <c r="E2502">
        <v>1.08643393639995</v>
      </c>
      <c r="F2502">
        <v>0.63059406132474904</v>
      </c>
      <c r="G2502">
        <v>0.26156928572969301</v>
      </c>
      <c r="H2502">
        <v>0.112419590792098</v>
      </c>
      <c r="I2502">
        <v>9.8190717300817798E-2</v>
      </c>
      <c r="J2502">
        <v>9.5421351802451801E-2</v>
      </c>
      <c r="K2502">
        <v>9.3320192970140298E-2</v>
      </c>
      <c r="L2502">
        <v>2048.7082591409498</v>
      </c>
      <c r="M2502">
        <v>37.9771167582849</v>
      </c>
      <c r="N2502">
        <v>54.275250117099702</v>
      </c>
      <c r="O2502">
        <v>53.796934244469199</v>
      </c>
      <c r="P2502">
        <v>-0.158319016408517</v>
      </c>
      <c r="Q2502">
        <v>0.10292757954109499</v>
      </c>
      <c r="R2502">
        <v>0.98736242369225502</v>
      </c>
      <c r="S2502" t="s">
        <v>9148</v>
      </c>
      <c r="T2502" t="s">
        <v>13290</v>
      </c>
      <c r="U2502" t="s">
        <v>13290</v>
      </c>
      <c r="V2502" t="s">
        <v>13290</v>
      </c>
      <c r="W2502" t="s">
        <v>15753</v>
      </c>
      <c r="X2502">
        <v>58</v>
      </c>
      <c r="Y2502" t="s">
        <v>22294</v>
      </c>
      <c r="Z2502" t="s">
        <v>28832</v>
      </c>
      <c r="AA2502">
        <v>0.52364546048686833</v>
      </c>
      <c r="AB2502" t="str">
        <f>HYPERLINK("Melting_Curves/meltCurve_P35221_CTNNA1.pdf", "Melting_Curves/meltCurve_P35221_CTNNA1.pdf")</f>
        <v>Melting_Curves/meltCurve_P35221_CTNNA1.pdf</v>
      </c>
    </row>
    <row r="2503" spans="1:28" x14ac:dyDescent="0.25">
      <c r="A2503" t="s">
        <v>2507</v>
      </c>
      <c r="B2503">
        <v>0.99252571173614901</v>
      </c>
      <c r="C2503">
        <v>1.0066569066371001</v>
      </c>
      <c r="D2503">
        <v>0.847244906134617</v>
      </c>
      <c r="E2503">
        <v>0.57890046521833505</v>
      </c>
      <c r="F2503">
        <v>0.25416683356814901</v>
      </c>
      <c r="G2503">
        <v>0.16603496618661701</v>
      </c>
      <c r="H2503">
        <v>0.116268972675298</v>
      </c>
      <c r="I2503">
        <v>0.132725947495833</v>
      </c>
      <c r="J2503">
        <v>0.15687480129603701</v>
      </c>
      <c r="K2503">
        <v>0.163749005990384</v>
      </c>
      <c r="L2503">
        <v>1199.93644289295</v>
      </c>
      <c r="M2503">
        <v>24.252343716623901</v>
      </c>
      <c r="N2503">
        <v>50.133344989438598</v>
      </c>
      <c r="O2503">
        <v>49.144419705624699</v>
      </c>
      <c r="P2503">
        <v>-0.106596541386428</v>
      </c>
      <c r="Q2503">
        <v>0.13599349164059599</v>
      </c>
      <c r="R2503">
        <v>0.99628554654968005</v>
      </c>
      <c r="S2503" t="s">
        <v>9149</v>
      </c>
      <c r="T2503" t="s">
        <v>13290</v>
      </c>
      <c r="U2503" t="s">
        <v>13290</v>
      </c>
      <c r="V2503" t="s">
        <v>13290</v>
      </c>
      <c r="W2503" t="s">
        <v>15754</v>
      </c>
      <c r="X2503">
        <v>2</v>
      </c>
      <c r="Y2503" t="s">
        <v>22295</v>
      </c>
      <c r="Z2503" t="s">
        <v>28833</v>
      </c>
      <c r="AA2503">
        <v>0.41711078083331071</v>
      </c>
      <c r="AB2503" t="str">
        <f>HYPERLINK("Melting_Curves/meltCurve_P35227_PCGF2.pdf", "Melting_Curves/meltCurve_P35227_PCGF2.pdf")</f>
        <v>Melting_Curves/meltCurve_P35227_PCGF2.pdf</v>
      </c>
    </row>
    <row r="2504" spans="1:28" x14ac:dyDescent="0.25">
      <c r="A2504" t="s">
        <v>2508</v>
      </c>
      <c r="B2504">
        <v>0.99252571173614901</v>
      </c>
      <c r="C2504">
        <v>0.90322111420178297</v>
      </c>
      <c r="D2504">
        <v>0.94566627563174699</v>
      </c>
      <c r="E2504">
        <v>0.88165919750033095</v>
      </c>
      <c r="F2504">
        <v>0.72617062391554099</v>
      </c>
      <c r="G2504">
        <v>0.41566564631159197</v>
      </c>
      <c r="H2504">
        <v>0.272953205347575</v>
      </c>
      <c r="I2504">
        <v>0.29856740650330998</v>
      </c>
      <c r="J2504">
        <v>0.453187191177232</v>
      </c>
      <c r="K2504">
        <v>0.33355787546668803</v>
      </c>
      <c r="L2504">
        <v>1533.24160756693</v>
      </c>
      <c r="M2504">
        <v>28.700756963167201</v>
      </c>
      <c r="N2504">
        <v>55.5355127461048</v>
      </c>
      <c r="O2504">
        <v>53.164300745420803</v>
      </c>
      <c r="P2504">
        <v>-9.0114804663376097E-2</v>
      </c>
      <c r="Q2504">
        <v>0.33230272407384198</v>
      </c>
      <c r="R2504">
        <v>0.95088352655798802</v>
      </c>
      <c r="S2504" t="s">
        <v>9150</v>
      </c>
      <c r="T2504" t="s">
        <v>13290</v>
      </c>
      <c r="U2504" t="s">
        <v>13290</v>
      </c>
      <c r="V2504" t="s">
        <v>13290</v>
      </c>
      <c r="W2504" t="s">
        <v>15755</v>
      </c>
      <c r="X2504">
        <v>20</v>
      </c>
      <c r="Y2504" t="s">
        <v>22296</v>
      </c>
      <c r="Z2504" t="s">
        <v>28834</v>
      </c>
      <c r="AA2504">
        <v>0.63576765614591746</v>
      </c>
      <c r="AB2504" t="str">
        <f>HYPERLINK("Melting_Curves/meltCurve_P35232_PHB.pdf", "Melting_Curves/meltCurve_P35232_PHB.pdf")</f>
        <v>Melting_Curves/meltCurve_P35232_PHB.pdf</v>
      </c>
    </row>
    <row r="2505" spans="1:28" x14ac:dyDescent="0.25">
      <c r="A2505" t="s">
        <v>2509</v>
      </c>
      <c r="B2505">
        <v>0.99252571173614901</v>
      </c>
      <c r="C2505">
        <v>1.09182654333039</v>
      </c>
      <c r="D2505">
        <v>0.97652162108832197</v>
      </c>
      <c r="E2505">
        <v>0.89982637537787302</v>
      </c>
      <c r="F2505">
        <v>0.80951161268596095</v>
      </c>
      <c r="G2505">
        <v>0.59152664438706104</v>
      </c>
      <c r="H2505">
        <v>0.20108261750770501</v>
      </c>
      <c r="I2505">
        <v>0.10591402027577899</v>
      </c>
      <c r="J2505">
        <v>9.5832041380866401E-2</v>
      </c>
      <c r="K2505">
        <v>9.7714148405877901E-2</v>
      </c>
      <c r="L2505">
        <v>1225.9179730226499</v>
      </c>
      <c r="M2505">
        <v>21.531227251825801</v>
      </c>
      <c r="N2505">
        <v>57.225321485350101</v>
      </c>
      <c r="O2505">
        <v>56.452429327334102</v>
      </c>
      <c r="P2505">
        <v>-9.04479800361149E-2</v>
      </c>
      <c r="Q2505">
        <v>5.1445787689773599E-2</v>
      </c>
      <c r="R2505">
        <v>0.98760862229928803</v>
      </c>
      <c r="S2505" t="s">
        <v>9151</v>
      </c>
      <c r="T2505" t="s">
        <v>13290</v>
      </c>
      <c r="U2505" t="s">
        <v>13290</v>
      </c>
      <c r="V2505" t="s">
        <v>13290</v>
      </c>
      <c r="W2505" t="s">
        <v>15756</v>
      </c>
      <c r="X2505">
        <v>22</v>
      </c>
      <c r="Y2505" t="s">
        <v>22297</v>
      </c>
      <c r="Z2505" t="s">
        <v>28835</v>
      </c>
      <c r="AA2505">
        <v>0.59757926940909001</v>
      </c>
      <c r="AB2505" t="str">
        <f>HYPERLINK("Melting_Curves/meltCurve_P35237_SERPINB6.pdf", "Melting_Curves/meltCurve_P35237_SERPINB6.pdf")</f>
        <v>Melting_Curves/meltCurve_P35237_SERPINB6.pdf</v>
      </c>
    </row>
    <row r="2506" spans="1:28" x14ac:dyDescent="0.25">
      <c r="A2506" t="s">
        <v>2510</v>
      </c>
      <c r="B2506">
        <v>0.99252571173614901</v>
      </c>
      <c r="C2506">
        <v>1.0939603102162601</v>
      </c>
      <c r="D2506">
        <v>1.0899877498889099</v>
      </c>
      <c r="E2506">
        <v>0.83211408239904905</v>
      </c>
      <c r="F2506">
        <v>0.217341653524037</v>
      </c>
      <c r="G2506">
        <v>0.13864714936130901</v>
      </c>
      <c r="H2506">
        <v>8.6038892003751796E-2</v>
      </c>
      <c r="I2506">
        <v>9.5956524677042299E-2</v>
      </c>
      <c r="J2506">
        <v>0.116126774220369</v>
      </c>
      <c r="K2506">
        <v>9.5006004090372104E-2</v>
      </c>
      <c r="L2506">
        <v>2532.0696412198499</v>
      </c>
      <c r="M2506">
        <v>49.549572933047898</v>
      </c>
      <c r="N2506">
        <v>51.346316999555398</v>
      </c>
      <c r="O2506">
        <v>51.018714339015602</v>
      </c>
      <c r="P2506">
        <v>-0.21727705109444201</v>
      </c>
      <c r="Q2506">
        <v>0.105123586820971</v>
      </c>
      <c r="R2506">
        <v>0.98995787114769995</v>
      </c>
      <c r="S2506" t="s">
        <v>9152</v>
      </c>
      <c r="T2506" t="s">
        <v>13290</v>
      </c>
      <c r="U2506" t="s">
        <v>13290</v>
      </c>
      <c r="V2506" t="s">
        <v>13290</v>
      </c>
      <c r="W2506" t="s">
        <v>15757</v>
      </c>
      <c r="X2506">
        <v>2</v>
      </c>
      <c r="Y2506" t="s">
        <v>22298</v>
      </c>
      <c r="Z2506" t="s">
        <v>28836</v>
      </c>
      <c r="AA2506">
        <v>0.43833404800017328</v>
      </c>
      <c r="AB2506" t="str">
        <f>HYPERLINK("Melting_Curves/meltCurve_P35240_4_NF2.pdf", "Melting_Curves/meltCurve_P35240_4_NF2.pdf")</f>
        <v>Melting_Curves/meltCurve_P35240_4_NF2.pdf</v>
      </c>
    </row>
    <row r="2507" spans="1:28" x14ac:dyDescent="0.25">
      <c r="A2507" t="s">
        <v>2511</v>
      </c>
      <c r="B2507">
        <v>0.99252571173614901</v>
      </c>
      <c r="C2507">
        <v>1.0547172004743299</v>
      </c>
      <c r="D2507">
        <v>1.0020128509192401</v>
      </c>
      <c r="E2507">
        <v>0.94768103701537298</v>
      </c>
      <c r="F2507">
        <v>0.83838261694154803</v>
      </c>
      <c r="G2507">
        <v>0.73601986968188904</v>
      </c>
      <c r="H2507">
        <v>0.13666995592102599</v>
      </c>
      <c r="I2507">
        <v>0.12571501258777301</v>
      </c>
      <c r="J2507">
        <v>0.14954385412577101</v>
      </c>
      <c r="K2507">
        <v>0.14090797712727901</v>
      </c>
      <c r="L2507">
        <v>3223.3793662932499</v>
      </c>
      <c r="M2507">
        <v>55.991027740765503</v>
      </c>
      <c r="N2507">
        <v>57.874977593395698</v>
      </c>
      <c r="O2507">
        <v>57.496271519075201</v>
      </c>
      <c r="P2507">
        <v>-0.21231540926086101</v>
      </c>
      <c r="Q2507">
        <v>0.127907577011073</v>
      </c>
      <c r="R2507">
        <v>0.98016601889615895</v>
      </c>
      <c r="S2507" t="s">
        <v>9153</v>
      </c>
      <c r="T2507" t="s">
        <v>13290</v>
      </c>
      <c r="U2507" t="s">
        <v>13290</v>
      </c>
      <c r="V2507" t="s">
        <v>13290</v>
      </c>
      <c r="W2507" t="s">
        <v>15758</v>
      </c>
      <c r="X2507">
        <v>54</v>
      </c>
      <c r="Y2507" t="s">
        <v>22299</v>
      </c>
      <c r="Z2507" t="s">
        <v>28837</v>
      </c>
      <c r="AA2507">
        <v>0.64041232997117536</v>
      </c>
      <c r="AB2507" t="str">
        <f>HYPERLINK("Melting_Curves/meltCurve_P35241_RDX.pdf", "Melting_Curves/meltCurve_P35241_RDX.pdf")</f>
        <v>Melting_Curves/meltCurve_P35241_RDX.pdf</v>
      </c>
    </row>
    <row r="2508" spans="1:28" x14ac:dyDescent="0.25">
      <c r="A2508" t="s">
        <v>2512</v>
      </c>
      <c r="B2508">
        <v>0.99252571173614901</v>
      </c>
      <c r="C2508">
        <v>0.954322209569608</v>
      </c>
      <c r="D2508">
        <v>1.0293829172139899</v>
      </c>
      <c r="E2508">
        <v>0.90486983370155405</v>
      </c>
      <c r="F2508">
        <v>1.11048910613749</v>
      </c>
      <c r="G2508">
        <v>1.2220935811449001</v>
      </c>
      <c r="H2508">
        <v>0.48994227266833701</v>
      </c>
      <c r="I2508">
        <v>0.181831114897367</v>
      </c>
      <c r="J2508">
        <v>0.14248145471443099</v>
      </c>
      <c r="K2508">
        <v>0.11132832974290501</v>
      </c>
      <c r="L2508">
        <v>8738.7386464760693</v>
      </c>
      <c r="M2508">
        <v>144.11987155564501</v>
      </c>
      <c r="N2508">
        <v>60.779694951948798</v>
      </c>
      <c r="O2508">
        <v>60.623536352461002</v>
      </c>
      <c r="P2508">
        <v>-0.50812285231186105</v>
      </c>
      <c r="Q2508">
        <v>0.14503937567427999</v>
      </c>
      <c r="R2508">
        <v>0.95550703755127298</v>
      </c>
      <c r="S2508" t="s">
        <v>9154</v>
      </c>
      <c r="T2508" t="s">
        <v>13290</v>
      </c>
      <c r="U2508" t="s">
        <v>13290</v>
      </c>
      <c r="V2508" t="s">
        <v>13290</v>
      </c>
      <c r="W2508" t="s">
        <v>15759</v>
      </c>
      <c r="X2508">
        <v>6</v>
      </c>
      <c r="Y2508" t="s">
        <v>22300</v>
      </c>
      <c r="Z2508" t="s">
        <v>28838</v>
      </c>
      <c r="AA2508">
        <v>0.73338965635107789</v>
      </c>
      <c r="AB2508" t="str">
        <f>HYPERLINK("Melting_Curves/meltCurve_P35244_RPA3.pdf", "Melting_Curves/meltCurve_P35244_RPA3.pdf")</f>
        <v>Melting_Curves/meltCurve_P35244_RPA3.pdf</v>
      </c>
    </row>
    <row r="2509" spans="1:28" x14ac:dyDescent="0.25">
      <c r="A2509" t="s">
        <v>2513</v>
      </c>
      <c r="B2509">
        <v>0.99252571173614901</v>
      </c>
      <c r="C2509">
        <v>0.99661900861235597</v>
      </c>
      <c r="D2509">
        <v>1.0862221776662799</v>
      </c>
      <c r="E2509">
        <v>0.92922857469291198</v>
      </c>
      <c r="F2509">
        <v>0.192207699369596</v>
      </c>
      <c r="G2509">
        <v>0.107249086425798</v>
      </c>
      <c r="H2509">
        <v>6.5532204374886494E-2</v>
      </c>
      <c r="I2509">
        <v>6.8798515448774494E-2</v>
      </c>
      <c r="J2509">
        <v>7.0559051890677599E-2</v>
      </c>
      <c r="K2509">
        <v>6.7874781863777905E-2</v>
      </c>
      <c r="L2509">
        <v>3236.92974316748</v>
      </c>
      <c r="M2509">
        <v>62.766657946889197</v>
      </c>
      <c r="N2509">
        <v>51.705159026777402</v>
      </c>
      <c r="O2509">
        <v>51.518576949548198</v>
      </c>
      <c r="P2509">
        <v>-0.28167099928044298</v>
      </c>
      <c r="Q2509">
        <v>7.5223436663499996E-2</v>
      </c>
      <c r="R2509">
        <v>0.99566407472041296</v>
      </c>
      <c r="S2509" t="s">
        <v>9155</v>
      </c>
      <c r="T2509" t="s">
        <v>13290</v>
      </c>
      <c r="U2509" t="s">
        <v>13290</v>
      </c>
      <c r="V2509" t="s">
        <v>13290</v>
      </c>
      <c r="W2509" t="s">
        <v>15760</v>
      </c>
      <c r="X2509">
        <v>12</v>
      </c>
      <c r="Y2509" t="s">
        <v>22301</v>
      </c>
      <c r="Z2509" t="s">
        <v>28839</v>
      </c>
      <c r="AA2509">
        <v>0.43323726328066359</v>
      </c>
      <c r="AB2509" t="str">
        <f>HYPERLINK("Melting_Curves/meltCurve_P35250_RFC2.pdf", "Melting_Curves/meltCurve_P35250_RFC2.pdf")</f>
        <v>Melting_Curves/meltCurve_P35250_RFC2.pdf</v>
      </c>
    </row>
    <row r="2510" spans="1:28" x14ac:dyDescent="0.25">
      <c r="A2510" t="s">
        <v>2514</v>
      </c>
      <c r="B2510">
        <v>0.99252571173614901</v>
      </c>
      <c r="C2510">
        <v>0.85904381123595597</v>
      </c>
      <c r="D2510">
        <v>0.70107602173818895</v>
      </c>
      <c r="E2510">
        <v>0.32019589494643702</v>
      </c>
      <c r="F2510">
        <v>0.245154032816397</v>
      </c>
      <c r="G2510">
        <v>0.10961343446885</v>
      </c>
      <c r="H2510">
        <v>8.2195588610989995E-2</v>
      </c>
      <c r="I2510">
        <v>8.9337983448784103E-2</v>
      </c>
      <c r="J2510">
        <v>8.8414656932461796E-2</v>
      </c>
      <c r="K2510">
        <v>0.119174533800806</v>
      </c>
      <c r="L2510">
        <v>896.92350502384897</v>
      </c>
      <c r="M2510">
        <v>18.9364643132702</v>
      </c>
      <c r="N2510">
        <v>47.870088006807599</v>
      </c>
      <c r="O2510">
        <v>46.846156154019901</v>
      </c>
      <c r="P2510">
        <v>-9.1907554148021001E-2</v>
      </c>
      <c r="Q2510">
        <v>9.0571111302815796E-2</v>
      </c>
      <c r="R2510">
        <v>0.99245949140093204</v>
      </c>
      <c r="S2510" t="s">
        <v>9156</v>
      </c>
      <c r="T2510" t="s">
        <v>13290</v>
      </c>
      <c r="U2510" t="s">
        <v>13290</v>
      </c>
      <c r="V2510" t="s">
        <v>13290</v>
      </c>
      <c r="W2510" t="s">
        <v>15761</v>
      </c>
      <c r="X2510">
        <v>1</v>
      </c>
      <c r="Y2510" t="s">
        <v>22302</v>
      </c>
      <c r="Z2510" t="s">
        <v>28840</v>
      </c>
      <c r="AA2510">
        <v>0.32862769478233189</v>
      </c>
      <c r="AB2510" t="str">
        <f>HYPERLINK("Melting_Curves/meltCurve_P35251_2_RFC1.pdf", "Melting_Curves/meltCurve_P35251_2_RFC1.pdf")</f>
        <v>Melting_Curves/meltCurve_P35251_2_RFC1.pdf</v>
      </c>
    </row>
    <row r="2511" spans="1:28" x14ac:dyDescent="0.25">
      <c r="A2511" t="s">
        <v>2515</v>
      </c>
      <c r="B2511">
        <v>0.99252571173614901</v>
      </c>
      <c r="C2511">
        <v>0.99122805866541097</v>
      </c>
      <c r="D2511">
        <v>0.87189459831520599</v>
      </c>
      <c r="E2511">
        <v>0.68930995709242804</v>
      </c>
      <c r="F2511">
        <v>0.52298188942482804</v>
      </c>
      <c r="G2511">
        <v>0.30505414009646398</v>
      </c>
      <c r="H2511">
        <v>0.13168464479033301</v>
      </c>
      <c r="I2511">
        <v>0.100297583341296</v>
      </c>
      <c r="J2511">
        <v>9.5538348814358603E-2</v>
      </c>
      <c r="K2511">
        <v>9.5146008485793604E-2</v>
      </c>
      <c r="L2511">
        <v>737.19902909825601</v>
      </c>
      <c r="M2511">
        <v>13.9990083258387</v>
      </c>
      <c r="N2511">
        <v>52.9962854929625</v>
      </c>
      <c r="O2511">
        <v>51.621130849619497</v>
      </c>
      <c r="P2511">
        <v>-6.4930736135895104E-2</v>
      </c>
      <c r="Q2511">
        <v>4.2402337224019697E-2</v>
      </c>
      <c r="R2511">
        <v>0.99576998857489996</v>
      </c>
      <c r="S2511" t="s">
        <v>9157</v>
      </c>
      <c r="T2511" t="s">
        <v>13290</v>
      </c>
      <c r="U2511" t="s">
        <v>13290</v>
      </c>
      <c r="V2511" t="s">
        <v>13290</v>
      </c>
      <c r="W2511" t="s">
        <v>15762</v>
      </c>
      <c r="X2511">
        <v>9</v>
      </c>
      <c r="Y2511" t="s">
        <v>22303</v>
      </c>
      <c r="Z2511" t="s">
        <v>28841</v>
      </c>
      <c r="AA2511">
        <v>0.46954674097048282</v>
      </c>
      <c r="AB2511" t="str">
        <f>HYPERLINK("Melting_Curves/meltCurve_P35268_RPL22.pdf", "Melting_Curves/meltCurve_P35268_RPL22.pdf")</f>
        <v>Melting_Curves/meltCurve_P35268_RPL22.pdf</v>
      </c>
    </row>
    <row r="2512" spans="1:28" x14ac:dyDescent="0.25">
      <c r="A2512" t="s">
        <v>2516</v>
      </c>
      <c r="B2512">
        <v>0.99252571173614901</v>
      </c>
      <c r="C2512">
        <v>1.0890772109029401</v>
      </c>
      <c r="D2512">
        <v>0.97690021589833498</v>
      </c>
      <c r="E2512">
        <v>0.95210505693593595</v>
      </c>
      <c r="F2512">
        <v>0.67343833638130102</v>
      </c>
      <c r="G2512">
        <v>0.43136784676567302</v>
      </c>
      <c r="H2512">
        <v>0.29831833232073002</v>
      </c>
      <c r="I2512">
        <v>0.34651335284798102</v>
      </c>
      <c r="J2512">
        <v>0.535772281076066</v>
      </c>
      <c r="K2512">
        <v>0.75502262705210199</v>
      </c>
      <c r="L2512">
        <v>2896.3394831977098</v>
      </c>
      <c r="M2512">
        <v>54.997525683812</v>
      </c>
      <c r="N2512">
        <v>55.5960527087191</v>
      </c>
      <c r="O2512">
        <v>52.5935924109653</v>
      </c>
      <c r="P2512">
        <v>-0.13789572646436299</v>
      </c>
      <c r="Q2512">
        <v>0.47252695981493498</v>
      </c>
      <c r="R2512">
        <v>0.81431261378884801</v>
      </c>
      <c r="S2512" t="s">
        <v>9158</v>
      </c>
      <c r="T2512" t="s">
        <v>13290</v>
      </c>
      <c r="U2512" t="s">
        <v>13290</v>
      </c>
      <c r="V2512" t="s">
        <v>13290</v>
      </c>
      <c r="W2512" t="s">
        <v>15763</v>
      </c>
      <c r="X2512">
        <v>25</v>
      </c>
      <c r="Y2512" t="s">
        <v>22304</v>
      </c>
      <c r="Z2512" t="s">
        <v>28842</v>
      </c>
      <c r="AA2512">
        <v>0.69618658351705032</v>
      </c>
      <c r="AB2512" t="str">
        <f>HYPERLINK("Melting_Curves/meltCurve_P35269_GTF2F1.pdf", "Melting_Curves/meltCurve_P35269_GTF2F1.pdf")</f>
        <v>Melting_Curves/meltCurve_P35269_GTF2F1.pdf</v>
      </c>
    </row>
    <row r="2513" spans="1:28" x14ac:dyDescent="0.25">
      <c r="A2513" t="s">
        <v>2517</v>
      </c>
      <c r="B2513">
        <v>0.99252571173614901</v>
      </c>
      <c r="C2513">
        <v>1.05828903585732</v>
      </c>
      <c r="D2513">
        <v>0.94415477984068197</v>
      </c>
      <c r="E2513">
        <v>0.79793019558349199</v>
      </c>
      <c r="F2513">
        <v>0.37094419194776201</v>
      </c>
      <c r="G2513">
        <v>0.12989590242710899</v>
      </c>
      <c r="H2513">
        <v>8.3756502948892406E-2</v>
      </c>
      <c r="I2513">
        <v>8.6970138955354395E-2</v>
      </c>
      <c r="J2513">
        <v>8.5653308307379106E-2</v>
      </c>
      <c r="K2513">
        <v>8.5234566121247302E-2</v>
      </c>
      <c r="L2513">
        <v>1503.16677964307</v>
      </c>
      <c r="M2513">
        <v>29.050831962339799</v>
      </c>
      <c r="N2513">
        <v>52.050408898384099</v>
      </c>
      <c r="O2513">
        <v>51.499320518865503</v>
      </c>
      <c r="P2513">
        <v>-0.12989722154144501</v>
      </c>
      <c r="Q2513">
        <v>7.89153027088242E-2</v>
      </c>
      <c r="R2513">
        <v>0.99694087442919099</v>
      </c>
      <c r="S2513" t="s">
        <v>9159</v>
      </c>
      <c r="T2513" t="s">
        <v>13290</v>
      </c>
      <c r="U2513" t="s">
        <v>13290</v>
      </c>
      <c r="V2513" t="s">
        <v>13290</v>
      </c>
      <c r="W2513" t="s">
        <v>15764</v>
      </c>
      <c r="X2513">
        <v>12</v>
      </c>
      <c r="Y2513" t="s">
        <v>22305</v>
      </c>
      <c r="Z2513" t="s">
        <v>28843</v>
      </c>
      <c r="AA2513">
        <v>0.44569508766752158</v>
      </c>
      <c r="AB2513" t="str">
        <f>HYPERLINK("Melting_Curves/meltCurve_P35270_SPR.pdf", "Melting_Curves/meltCurve_P35270_SPR.pdf")</f>
        <v>Melting_Curves/meltCurve_P35270_SPR.pdf</v>
      </c>
    </row>
    <row r="2514" spans="1:28" x14ac:dyDescent="0.25">
      <c r="A2514" t="s">
        <v>2518</v>
      </c>
      <c r="B2514">
        <v>0.99252571173614901</v>
      </c>
      <c r="C2514">
        <v>0.98766862536815503</v>
      </c>
      <c r="D2514">
        <v>0.89831671018520898</v>
      </c>
      <c r="E2514">
        <v>0.82234046674475803</v>
      </c>
      <c r="F2514">
        <v>0.56463555406858801</v>
      </c>
      <c r="G2514">
        <v>0.545575291150728</v>
      </c>
      <c r="H2514">
        <v>0.58326592903733698</v>
      </c>
      <c r="I2514">
        <v>0.815214254280614</v>
      </c>
      <c r="J2514">
        <v>1.2708893168867199</v>
      </c>
      <c r="K2514">
        <v>1.4213192333645599</v>
      </c>
      <c r="L2514">
        <v>15000</v>
      </c>
      <c r="M2514">
        <v>224.134634023084</v>
      </c>
      <c r="O2514">
        <v>66.918734952532404</v>
      </c>
      <c r="P2514">
        <v>0.35281555534329401</v>
      </c>
      <c r="Q2514">
        <v>1.42135335514323</v>
      </c>
      <c r="R2514">
        <v>0.16782147994857699</v>
      </c>
      <c r="S2514" t="s">
        <v>9160</v>
      </c>
      <c r="T2514" t="s">
        <v>13290</v>
      </c>
      <c r="U2514" t="s">
        <v>13290</v>
      </c>
      <c r="V2514" t="s">
        <v>13290</v>
      </c>
      <c r="W2514" t="s">
        <v>15765</v>
      </c>
      <c r="X2514">
        <v>5</v>
      </c>
      <c r="Y2514" t="s">
        <v>15765</v>
      </c>
      <c r="Z2514" t="s">
        <v>28844</v>
      </c>
      <c r="AA2514">
        <v>1.0431405741705799</v>
      </c>
      <c r="AB2514" t="str">
        <f>HYPERLINK("Melting_Curves/meltCurve_P35318_ADM.pdf", "Melting_Curves/meltCurve_P35318_ADM.pdf")</f>
        <v>Melting_Curves/meltCurve_P35318_ADM.pdf</v>
      </c>
    </row>
    <row r="2515" spans="1:28" x14ac:dyDescent="0.25">
      <c r="A2515" t="s">
        <v>2519</v>
      </c>
      <c r="B2515">
        <v>0.99252571173614901</v>
      </c>
      <c r="C2515">
        <v>1.0694791884564701</v>
      </c>
      <c r="D2515">
        <v>1.00636300736067</v>
      </c>
      <c r="E2515">
        <v>1.07565819461759</v>
      </c>
      <c r="F2515">
        <v>0.88588681315178197</v>
      </c>
      <c r="G2515">
        <v>0.64156156913234996</v>
      </c>
      <c r="H2515">
        <v>0.48119500430450701</v>
      </c>
      <c r="I2515">
        <v>0.320244637206336</v>
      </c>
      <c r="J2515">
        <v>0.40665668519285503</v>
      </c>
      <c r="K2515">
        <v>0.36446610258788298</v>
      </c>
      <c r="L2515">
        <v>1605.67344796977</v>
      </c>
      <c r="M2515">
        <v>28.4730238558843</v>
      </c>
      <c r="N2515">
        <v>59.119971601739998</v>
      </c>
      <c r="O2515">
        <v>56.116808581773597</v>
      </c>
      <c r="P2515">
        <v>-8.0478132930017099E-2</v>
      </c>
      <c r="Q2515">
        <v>0.36555511148109499</v>
      </c>
      <c r="R2515">
        <v>0.97656194120391404</v>
      </c>
      <c r="S2515" t="s">
        <v>9161</v>
      </c>
      <c r="T2515" t="s">
        <v>13290</v>
      </c>
      <c r="U2515" t="s">
        <v>13290</v>
      </c>
      <c r="V2515" t="s">
        <v>13290</v>
      </c>
      <c r="W2515" t="s">
        <v>15766</v>
      </c>
      <c r="X2515">
        <v>6</v>
      </c>
      <c r="Y2515" t="s">
        <v>22306</v>
      </c>
      <c r="Z2515" t="s">
        <v>28845</v>
      </c>
      <c r="AA2515">
        <v>0.71687834180296262</v>
      </c>
      <c r="AB2515" t="str">
        <f>HYPERLINK("Melting_Curves/meltCurve_P35475_IDUA.pdf", "Melting_Curves/meltCurve_P35475_IDUA.pdf")</f>
        <v>Melting_Curves/meltCurve_P35475_IDUA.pdf</v>
      </c>
    </row>
    <row r="2516" spans="1:28" x14ac:dyDescent="0.25">
      <c r="A2516" t="s">
        <v>2520</v>
      </c>
      <c r="B2516">
        <v>0.99252571173614901</v>
      </c>
      <c r="C2516">
        <v>0.82451619793562803</v>
      </c>
      <c r="D2516">
        <v>1.1284948852408001</v>
      </c>
      <c r="E2516">
        <v>0.93197454534885105</v>
      </c>
      <c r="F2516">
        <v>0.18529409276893799</v>
      </c>
      <c r="G2516">
        <v>0.115452468734564</v>
      </c>
      <c r="H2516">
        <v>7.8746744346693695E-2</v>
      </c>
      <c r="I2516">
        <v>8.2587201328019597E-2</v>
      </c>
      <c r="J2516">
        <v>9.3683475490588697E-2</v>
      </c>
      <c r="K2516">
        <v>9.2928550249299302E-2</v>
      </c>
      <c r="L2516">
        <v>3441.0030976897201</v>
      </c>
      <c r="M2516">
        <v>66.8474833551643</v>
      </c>
      <c r="N2516">
        <v>51.6330066710876</v>
      </c>
      <c r="O2516">
        <v>51.429423390498698</v>
      </c>
      <c r="P2516">
        <v>-0.29496441424344599</v>
      </c>
      <c r="Q2516">
        <v>9.2271248302158701E-2</v>
      </c>
      <c r="R2516">
        <v>0.97376246208088002</v>
      </c>
      <c r="S2516" t="s">
        <v>9162</v>
      </c>
      <c r="T2516" t="s">
        <v>13290</v>
      </c>
      <c r="U2516" t="s">
        <v>13290</v>
      </c>
      <c r="V2516" t="s">
        <v>13290</v>
      </c>
      <c r="W2516" t="s">
        <v>15767</v>
      </c>
      <c r="X2516">
        <v>34</v>
      </c>
      <c r="Y2516" t="s">
        <v>22307</v>
      </c>
      <c r="Z2516" t="s">
        <v>28846</v>
      </c>
      <c r="AA2516">
        <v>0.44064082586941422</v>
      </c>
      <c r="AB2516" t="str">
        <f>HYPERLINK("Melting_Curves/meltCurve_P35573_AGL.pdf", "Melting_Curves/meltCurve_P35573_AGL.pdf")</f>
        <v>Melting_Curves/meltCurve_P35573_AGL.pdf</v>
      </c>
    </row>
    <row r="2517" spans="1:28" x14ac:dyDescent="0.25">
      <c r="A2517" t="s">
        <v>2521</v>
      </c>
      <c r="B2517">
        <v>0.99252571173614901</v>
      </c>
      <c r="C2517">
        <v>1.0079622229753999</v>
      </c>
      <c r="D2517">
        <v>0.79413724888648296</v>
      </c>
      <c r="E2517">
        <v>0.96921302691725597</v>
      </c>
      <c r="F2517">
        <v>0.316598876730325</v>
      </c>
      <c r="G2517">
        <v>0.19981861347749799</v>
      </c>
      <c r="H2517">
        <v>0.17527001617714799</v>
      </c>
      <c r="I2517">
        <v>0.23239857060077401</v>
      </c>
      <c r="J2517">
        <v>0.33521099461364201</v>
      </c>
      <c r="K2517">
        <v>0.37855327564103702</v>
      </c>
      <c r="L2517">
        <v>4192.6775428423998</v>
      </c>
      <c r="M2517">
        <v>81.395779919391302</v>
      </c>
      <c r="N2517">
        <v>51.990191902652803</v>
      </c>
      <c r="O2517">
        <v>51.478717494258902</v>
      </c>
      <c r="P2517">
        <v>-0.29080671405101799</v>
      </c>
      <c r="Q2517">
        <v>0.26431816602978198</v>
      </c>
      <c r="R2517">
        <v>0.93498771556396199</v>
      </c>
      <c r="S2517" t="s">
        <v>9163</v>
      </c>
      <c r="T2517" t="s">
        <v>13290</v>
      </c>
      <c r="U2517" t="s">
        <v>13290</v>
      </c>
      <c r="V2517" t="s">
        <v>13290</v>
      </c>
      <c r="W2517" t="s">
        <v>15768</v>
      </c>
      <c r="X2517">
        <v>167</v>
      </c>
      <c r="Y2517" t="s">
        <v>22308</v>
      </c>
      <c r="Z2517" t="s">
        <v>28847</v>
      </c>
      <c r="AA2517">
        <v>0.54719756774443484</v>
      </c>
      <c r="AB2517" t="str">
        <f>HYPERLINK("Melting_Curves/meltCurve_P35579_MYH9.pdf", "Melting_Curves/meltCurve_P35579_MYH9.pdf")</f>
        <v>Melting_Curves/meltCurve_P35579_MYH9.pdf</v>
      </c>
    </row>
    <row r="2518" spans="1:28" x14ac:dyDescent="0.25">
      <c r="A2518" t="s">
        <v>2522</v>
      </c>
      <c r="B2518">
        <v>0.99252571173614901</v>
      </c>
      <c r="C2518">
        <v>1.01257762541231</v>
      </c>
      <c r="D2518">
        <v>0.92288944760953695</v>
      </c>
      <c r="E2518">
        <v>0.94716144441938899</v>
      </c>
      <c r="F2518">
        <v>0.46608584056768598</v>
      </c>
      <c r="G2518">
        <v>0.37977847758613498</v>
      </c>
      <c r="H2518">
        <v>0.36020371549625202</v>
      </c>
      <c r="I2518">
        <v>0.492078865957498</v>
      </c>
      <c r="J2518">
        <v>0.70018085156334897</v>
      </c>
      <c r="K2518">
        <v>0.71204950973845704</v>
      </c>
      <c r="L2518">
        <v>12503.845787182599</v>
      </c>
      <c r="M2518">
        <v>250</v>
      </c>
      <c r="O2518">
        <v>50.012199522377998</v>
      </c>
      <c r="P2518">
        <v>-0.60185811895379204</v>
      </c>
      <c r="Q2518">
        <v>0.51839619038459095</v>
      </c>
      <c r="R2518">
        <v>0.79614460949010601</v>
      </c>
      <c r="S2518" t="s">
        <v>9164</v>
      </c>
      <c r="T2518" t="s">
        <v>13290</v>
      </c>
      <c r="U2518" t="s">
        <v>13290</v>
      </c>
      <c r="V2518" t="s">
        <v>13290</v>
      </c>
      <c r="W2518" t="s">
        <v>15769</v>
      </c>
      <c r="X2518">
        <v>71</v>
      </c>
      <c r="Y2518" t="s">
        <v>22309</v>
      </c>
      <c r="Z2518" t="s">
        <v>28848</v>
      </c>
      <c r="AA2518">
        <v>0.6792200197189463</v>
      </c>
      <c r="AB2518" t="str">
        <f>HYPERLINK("Melting_Curves/meltCurve_P35580_MYH10.pdf", "Melting_Curves/meltCurve_P35580_MYH10.pdf")</f>
        <v>Melting_Curves/meltCurve_P35580_MYH10.pdf</v>
      </c>
    </row>
    <row r="2519" spans="1:28" x14ac:dyDescent="0.25">
      <c r="A2519" t="s">
        <v>2523</v>
      </c>
      <c r="B2519">
        <v>0.99252571173614901</v>
      </c>
      <c r="C2519">
        <v>0.83281854661773402</v>
      </c>
      <c r="D2519">
        <v>1.21881452766056</v>
      </c>
      <c r="E2519">
        <v>1.15277609942</v>
      </c>
      <c r="F2519">
        <v>0.65835136465534105</v>
      </c>
      <c r="G2519">
        <v>0.243410404263148</v>
      </c>
      <c r="H2519">
        <v>0.114233099052457</v>
      </c>
      <c r="I2519">
        <v>9.6994375883938902E-2</v>
      </c>
      <c r="J2519">
        <v>9.8899925830297497E-2</v>
      </c>
      <c r="K2519">
        <v>9.6167282196586504E-2</v>
      </c>
      <c r="L2519">
        <v>2379.6381608636102</v>
      </c>
      <c r="M2519">
        <v>44.090531754221999</v>
      </c>
      <c r="N2519">
        <v>54.271398969868102</v>
      </c>
      <c r="O2519">
        <v>53.860971273733099</v>
      </c>
      <c r="P2519">
        <v>-0.182533157522277</v>
      </c>
      <c r="Q2519">
        <v>0.108071757252511</v>
      </c>
      <c r="R2519">
        <v>0.94549535848241395</v>
      </c>
      <c r="S2519" t="s">
        <v>9165</v>
      </c>
      <c r="T2519" t="s">
        <v>13290</v>
      </c>
      <c r="U2519" t="s">
        <v>13290</v>
      </c>
      <c r="V2519" t="s">
        <v>13290</v>
      </c>
      <c r="W2519" t="s">
        <v>15770</v>
      </c>
      <c r="X2519">
        <v>40</v>
      </c>
      <c r="Y2519" t="s">
        <v>22310</v>
      </c>
      <c r="Z2519" t="s">
        <v>28849</v>
      </c>
      <c r="AA2519">
        <v>0.52619418173767507</v>
      </c>
      <c r="AB2519" t="str">
        <f>HYPERLINK("Melting_Curves/meltCurve_P35606_COPB2.pdf", "Melting_Curves/meltCurve_P35606_COPB2.pdf")</f>
        <v>Melting_Curves/meltCurve_P35606_COPB2.pdf</v>
      </c>
    </row>
    <row r="2520" spans="1:28" x14ac:dyDescent="0.25">
      <c r="A2520" t="s">
        <v>2524</v>
      </c>
      <c r="B2520">
        <v>0.99252571173614901</v>
      </c>
      <c r="C2520">
        <v>0.97024867917317004</v>
      </c>
      <c r="D2520">
        <v>0.91386010698295095</v>
      </c>
      <c r="E2520">
        <v>0.67870331974405795</v>
      </c>
      <c r="F2520">
        <v>0.36106870254644402</v>
      </c>
      <c r="G2520">
        <v>0.19323648325364801</v>
      </c>
      <c r="H2520">
        <v>0.13243313860192299</v>
      </c>
      <c r="I2520">
        <v>8.3621857942954805E-2</v>
      </c>
      <c r="J2520">
        <v>0.128299276498273</v>
      </c>
      <c r="K2520">
        <v>0.11136293770740199</v>
      </c>
      <c r="L2520">
        <v>1074.3270123812499</v>
      </c>
      <c r="M2520">
        <v>21.090666277888399</v>
      </c>
      <c r="N2520">
        <v>51.4942238052544</v>
      </c>
      <c r="O2520">
        <v>50.4871797461103</v>
      </c>
      <c r="P2520">
        <v>-9.3808583671083995E-2</v>
      </c>
      <c r="Q2520">
        <v>0.101781457432583</v>
      </c>
      <c r="R2520">
        <v>0.99882402544548599</v>
      </c>
      <c r="S2520" t="s">
        <v>9166</v>
      </c>
      <c r="T2520" t="s">
        <v>13290</v>
      </c>
      <c r="U2520" t="s">
        <v>13290</v>
      </c>
      <c r="V2520" t="s">
        <v>13290</v>
      </c>
      <c r="W2520" t="s">
        <v>15771</v>
      </c>
      <c r="X2520">
        <v>2</v>
      </c>
      <c r="Y2520" t="s">
        <v>22311</v>
      </c>
      <c r="Z2520" t="s">
        <v>28850</v>
      </c>
      <c r="AA2520">
        <v>0.44056623429971609</v>
      </c>
      <c r="AB2520" t="str">
        <f>HYPERLINK("Melting_Curves/meltCurve_P35610_SOAT1.pdf", "Melting_Curves/meltCurve_P35610_SOAT1.pdf")</f>
        <v>Melting_Curves/meltCurve_P35610_SOAT1.pdf</v>
      </c>
    </row>
    <row r="2521" spans="1:28" x14ac:dyDescent="0.25">
      <c r="A2521" t="s">
        <v>2525</v>
      </c>
      <c r="B2521">
        <v>0.99252571173614901</v>
      </c>
      <c r="C2521">
        <v>1.0359491290217799</v>
      </c>
      <c r="D2521">
        <v>0.995251745707043</v>
      </c>
      <c r="E2521">
        <v>1.04906129662515</v>
      </c>
      <c r="F2521">
        <v>0.85603827278912603</v>
      </c>
      <c r="G2521">
        <v>0.67275581425683795</v>
      </c>
      <c r="H2521">
        <v>0.67529351169526097</v>
      </c>
      <c r="I2521">
        <v>0.91031440914592698</v>
      </c>
      <c r="J2521">
        <v>1.3381493711167101</v>
      </c>
      <c r="K2521">
        <v>0.74525492610130395</v>
      </c>
      <c r="L2521">
        <v>6983.8230710886701</v>
      </c>
      <c r="M2521">
        <v>135.28971025352601</v>
      </c>
      <c r="O2521">
        <v>51.609966286733801</v>
      </c>
      <c r="P2521">
        <v>-8.7832460670739604E-2</v>
      </c>
      <c r="Q2521">
        <v>0.86597560885930303</v>
      </c>
      <c r="R2521">
        <v>0.14535555432118499</v>
      </c>
      <c r="S2521" t="s">
        <v>9167</v>
      </c>
      <c r="T2521" t="s">
        <v>13290</v>
      </c>
      <c r="U2521" t="s">
        <v>13290</v>
      </c>
      <c r="V2521" t="s">
        <v>13290</v>
      </c>
      <c r="W2521" t="s">
        <v>15772</v>
      </c>
      <c r="X2521">
        <v>31</v>
      </c>
      <c r="Y2521" t="s">
        <v>22312</v>
      </c>
      <c r="Z2521" t="s">
        <v>28851</v>
      </c>
      <c r="AA2521">
        <v>0.9179347609978965</v>
      </c>
      <c r="AB2521" t="str">
        <f>HYPERLINK("Melting_Curves/meltCurve_P35611_ADD1.pdf", "Melting_Curves/meltCurve_P35611_ADD1.pdf")</f>
        <v>Melting_Curves/meltCurve_P35611_ADD1.pdf</v>
      </c>
    </row>
    <row r="2522" spans="1:28" x14ac:dyDescent="0.25">
      <c r="A2522" t="s">
        <v>2526</v>
      </c>
      <c r="B2522">
        <v>0.99252571173614901</v>
      </c>
      <c r="C2522">
        <v>0.92231601991613699</v>
      </c>
      <c r="D2522">
        <v>0.84836558557045805</v>
      </c>
      <c r="E2522">
        <v>0.83743296843090698</v>
      </c>
      <c r="F2522">
        <v>0.64264617842673799</v>
      </c>
      <c r="G2522">
        <v>0.49992045035773103</v>
      </c>
      <c r="H2522">
        <v>0.44880867202858898</v>
      </c>
      <c r="I2522">
        <v>0.59002908340188498</v>
      </c>
      <c r="J2522">
        <v>0.95762528223881904</v>
      </c>
      <c r="K2522">
        <v>0.76790514163508805</v>
      </c>
      <c r="L2522">
        <v>981.17878542024903</v>
      </c>
      <c r="M2522">
        <v>20.830117079669801</v>
      </c>
      <c r="O2522">
        <v>46.676166508649899</v>
      </c>
      <c r="P2522">
        <v>-3.8516650446555299E-2</v>
      </c>
      <c r="Q2522">
        <v>0.65477682927808101</v>
      </c>
      <c r="R2522">
        <v>0.43642601730258701</v>
      </c>
      <c r="S2522" t="s">
        <v>9168</v>
      </c>
      <c r="T2522" t="s">
        <v>13290</v>
      </c>
      <c r="U2522" t="s">
        <v>13290</v>
      </c>
      <c r="V2522" t="s">
        <v>13290</v>
      </c>
      <c r="W2522" t="s">
        <v>15773</v>
      </c>
      <c r="X2522">
        <v>7</v>
      </c>
      <c r="Y2522" t="s">
        <v>22313</v>
      </c>
      <c r="Z2522" t="s">
        <v>28852</v>
      </c>
      <c r="AA2522">
        <v>0.74112575577056716</v>
      </c>
      <c r="AB2522" t="str">
        <f>HYPERLINK("Melting_Curves/meltCurve_P35613_2_BSG.pdf", "Melting_Curves/meltCurve_P35613_2_BSG.pdf")</f>
        <v>Melting_Curves/meltCurve_P35613_2_BSG.pdf</v>
      </c>
    </row>
    <row r="2523" spans="1:28" x14ac:dyDescent="0.25">
      <c r="A2523" t="s">
        <v>2527</v>
      </c>
      <c r="B2523">
        <v>0.99252571173614901</v>
      </c>
      <c r="C2523">
        <v>1.11684396329498</v>
      </c>
      <c r="D2523">
        <v>1.2458799089498001</v>
      </c>
      <c r="E2523">
        <v>3.0960255584901102</v>
      </c>
      <c r="F2523">
        <v>0.73814844477248098</v>
      </c>
      <c r="G2523">
        <v>0.35516997582819998</v>
      </c>
      <c r="H2523">
        <v>0.30912457636823898</v>
      </c>
      <c r="I2523">
        <v>0.51640691115126502</v>
      </c>
      <c r="J2523">
        <v>0.90089646148797897</v>
      </c>
      <c r="K2523">
        <v>0.41414209191204998</v>
      </c>
      <c r="L2523">
        <v>13295.142213641901</v>
      </c>
      <c r="M2523">
        <v>250</v>
      </c>
      <c r="N2523">
        <v>54.572105996371697</v>
      </c>
      <c r="O2523">
        <v>53.177152626222203</v>
      </c>
      <c r="P2523">
        <v>-0.58865963204277805</v>
      </c>
      <c r="Q2523">
        <v>0.49914798787460601</v>
      </c>
      <c r="R2523">
        <v>0.21859479901516901</v>
      </c>
      <c r="S2523" t="s">
        <v>9169</v>
      </c>
      <c r="T2523" t="s">
        <v>13290</v>
      </c>
      <c r="U2523" t="s">
        <v>13290</v>
      </c>
      <c r="V2523" t="s">
        <v>13290</v>
      </c>
      <c r="W2523" t="s">
        <v>15774</v>
      </c>
      <c r="X2523">
        <v>6</v>
      </c>
      <c r="Y2523" t="s">
        <v>22314</v>
      </c>
      <c r="Z2523" t="s">
        <v>28853</v>
      </c>
      <c r="AA2523">
        <v>0.71924521398805974</v>
      </c>
      <c r="AB2523" t="str">
        <f>HYPERLINK("Melting_Curves/meltCurve_P35626_ADRBK2.pdf", "Melting_Curves/meltCurve_P35626_ADRBK2.pdf")</f>
        <v>Melting_Curves/meltCurve_P35626_ADRBK2.pdf</v>
      </c>
    </row>
    <row r="2524" spans="1:28" x14ac:dyDescent="0.25">
      <c r="A2524" t="s">
        <v>2528</v>
      </c>
      <c r="B2524">
        <v>0.99252571173614901</v>
      </c>
      <c r="C2524">
        <v>1.0093591388688301</v>
      </c>
      <c r="D2524">
        <v>0.98667503658345201</v>
      </c>
      <c r="E2524">
        <v>0.841890065579178</v>
      </c>
      <c r="F2524">
        <v>0.66982216403054196</v>
      </c>
      <c r="G2524">
        <v>0.54781379703738897</v>
      </c>
      <c r="H2524">
        <v>0.48931126940641501</v>
      </c>
      <c r="I2524">
        <v>0.60325000972787801</v>
      </c>
      <c r="J2524">
        <v>0.82147822957876904</v>
      </c>
      <c r="K2524">
        <v>0.92776287843122696</v>
      </c>
      <c r="L2524">
        <v>12402.2108856502</v>
      </c>
      <c r="M2524">
        <v>250</v>
      </c>
      <c r="O2524">
        <v>49.605668920324803</v>
      </c>
      <c r="P2524">
        <v>-0.40749745926922298</v>
      </c>
      <c r="Q2524">
        <v>0.67657305566857795</v>
      </c>
      <c r="R2524">
        <v>0.59443619483382404</v>
      </c>
      <c r="S2524" t="s">
        <v>9170</v>
      </c>
      <c r="T2524" t="s">
        <v>13290</v>
      </c>
      <c r="U2524" t="s">
        <v>13290</v>
      </c>
      <c r="V2524" t="s">
        <v>13290</v>
      </c>
      <c r="W2524" t="s">
        <v>15775</v>
      </c>
      <c r="X2524">
        <v>20</v>
      </c>
      <c r="Y2524" t="s">
        <v>22315</v>
      </c>
      <c r="Z2524" t="s">
        <v>28854</v>
      </c>
      <c r="AA2524">
        <v>0.78019317762530371</v>
      </c>
      <c r="AB2524" t="str">
        <f>HYPERLINK("Melting_Curves/meltCurve_P35637_2_FUS.pdf", "Melting_Curves/meltCurve_P35637_2_FUS.pdf")</f>
        <v>Melting_Curves/meltCurve_P35637_2_FUS.pdf</v>
      </c>
    </row>
    <row r="2525" spans="1:28" x14ac:dyDescent="0.25">
      <c r="A2525" t="s">
        <v>2529</v>
      </c>
      <c r="B2525">
        <v>0.99252571173614901</v>
      </c>
      <c r="C2525">
        <v>0.842847894679987</v>
      </c>
      <c r="D2525">
        <v>0.90935410104911096</v>
      </c>
      <c r="E2525">
        <v>0.70240374619629897</v>
      </c>
      <c r="F2525">
        <v>0.24750774130891801</v>
      </c>
      <c r="G2525">
        <v>0.149648174497166</v>
      </c>
      <c r="H2525">
        <v>0.124893928878265</v>
      </c>
      <c r="I2525">
        <v>0.146314646936338</v>
      </c>
      <c r="J2525">
        <v>0.184632247462437</v>
      </c>
      <c r="K2525">
        <v>0.17900692230944401</v>
      </c>
      <c r="L2525">
        <v>1689.54400993693</v>
      </c>
      <c r="M2525">
        <v>33.569930231995897</v>
      </c>
      <c r="N2525">
        <v>50.870376843129399</v>
      </c>
      <c r="O2525">
        <v>50.1514990306407</v>
      </c>
      <c r="P2525">
        <v>-0.14221104878489799</v>
      </c>
      <c r="Q2525">
        <v>0.150183808253123</v>
      </c>
      <c r="R2525">
        <v>0.97380464647591802</v>
      </c>
      <c r="S2525" t="s">
        <v>9171</v>
      </c>
      <c r="T2525" t="s">
        <v>13290</v>
      </c>
      <c r="U2525" t="s">
        <v>13290</v>
      </c>
      <c r="V2525" t="s">
        <v>13290</v>
      </c>
      <c r="W2525" t="s">
        <v>15776</v>
      </c>
      <c r="X2525">
        <v>19</v>
      </c>
      <c r="Y2525" t="s">
        <v>22316</v>
      </c>
      <c r="Z2525" t="s">
        <v>28855</v>
      </c>
      <c r="AA2525">
        <v>0.44698976137273599</v>
      </c>
      <c r="AB2525" t="str">
        <f>HYPERLINK("Melting_Curves/meltCurve_P35658_2_NUP214.pdf", "Melting_Curves/meltCurve_P35658_2_NUP214.pdf")</f>
        <v>Melting_Curves/meltCurve_P35658_2_NUP214.pdf</v>
      </c>
    </row>
    <row r="2526" spans="1:28" x14ac:dyDescent="0.25">
      <c r="A2526" t="s">
        <v>2530</v>
      </c>
      <c r="B2526">
        <v>0.99252571173614901</v>
      </c>
      <c r="C2526">
        <v>1.0367156872908301</v>
      </c>
      <c r="D2526">
        <v>0.81879552028942804</v>
      </c>
      <c r="E2526">
        <v>0.46403248624046201</v>
      </c>
      <c r="F2526">
        <v>0.23839609267730499</v>
      </c>
      <c r="G2526">
        <v>0.161519073890871</v>
      </c>
      <c r="H2526">
        <v>0.12519331627135499</v>
      </c>
      <c r="I2526">
        <v>0.12633153709064401</v>
      </c>
      <c r="J2526">
        <v>0.153212795424021</v>
      </c>
      <c r="K2526">
        <v>0.16836834973454801</v>
      </c>
      <c r="L2526">
        <v>1261.7130699511099</v>
      </c>
      <c r="M2526">
        <v>25.960822418759701</v>
      </c>
      <c r="N2526">
        <v>49.243203539867501</v>
      </c>
      <c r="O2526">
        <v>48.315029457902597</v>
      </c>
      <c r="P2526">
        <v>-0.11503314976621901</v>
      </c>
      <c r="Q2526">
        <v>0.143668712017885</v>
      </c>
      <c r="R2526">
        <v>0.99516696647591996</v>
      </c>
      <c r="S2526" t="s">
        <v>9172</v>
      </c>
      <c r="T2526" t="s">
        <v>13290</v>
      </c>
      <c r="U2526" t="s">
        <v>13290</v>
      </c>
      <c r="V2526" t="s">
        <v>13290</v>
      </c>
      <c r="W2526" t="s">
        <v>15777</v>
      </c>
      <c r="X2526">
        <v>24</v>
      </c>
      <c r="Y2526" t="s">
        <v>22317</v>
      </c>
      <c r="Z2526" t="s">
        <v>28856</v>
      </c>
      <c r="AA2526">
        <v>0.39616998991155861</v>
      </c>
      <c r="AB2526" t="str">
        <f>HYPERLINK("Melting_Curves/meltCurve_P35659_DEK.pdf", "Melting_Curves/meltCurve_P35659_DEK.pdf")</f>
        <v>Melting_Curves/meltCurve_P35659_DEK.pdf</v>
      </c>
    </row>
    <row r="2527" spans="1:28" x14ac:dyDescent="0.25">
      <c r="A2527" t="s">
        <v>2531</v>
      </c>
      <c r="B2527">
        <v>0.99252571173614901</v>
      </c>
      <c r="C2527">
        <v>1.1242747841168099</v>
      </c>
      <c r="D2527">
        <v>1.0417779256349899</v>
      </c>
      <c r="E2527">
        <v>0.87255941742413801</v>
      </c>
      <c r="F2527">
        <v>0.83688200332104001</v>
      </c>
      <c r="G2527">
        <v>0.78641301231508998</v>
      </c>
      <c r="H2527">
        <v>0.82599430474223401</v>
      </c>
      <c r="I2527">
        <v>1.0514381536553199</v>
      </c>
      <c r="J2527">
        <v>1.4291289697145</v>
      </c>
      <c r="K2527">
        <v>1.2985917706044301</v>
      </c>
      <c r="L2527">
        <v>15000</v>
      </c>
      <c r="M2527">
        <v>232.57242093474699</v>
      </c>
      <c r="O2527">
        <v>64.491271339270895</v>
      </c>
      <c r="P2527">
        <v>0.32805603936281003</v>
      </c>
      <c r="Q2527">
        <v>1.36387376626752</v>
      </c>
      <c r="R2527">
        <v>0.64335009168616497</v>
      </c>
      <c r="S2527" t="s">
        <v>9173</v>
      </c>
      <c r="T2527" t="s">
        <v>13290</v>
      </c>
      <c r="U2527" t="s">
        <v>13290</v>
      </c>
      <c r="V2527" t="s">
        <v>13290</v>
      </c>
      <c r="W2527" t="s">
        <v>15778</v>
      </c>
      <c r="X2527">
        <v>6</v>
      </c>
      <c r="Y2527" t="s">
        <v>22318</v>
      </c>
      <c r="Z2527" t="s">
        <v>28857</v>
      </c>
      <c r="AA2527">
        <v>1.06671063821306</v>
      </c>
      <c r="AB2527" t="str">
        <f>HYPERLINK("Melting_Curves/meltCurve_P35754_GLRX.pdf", "Melting_Curves/meltCurve_P35754_GLRX.pdf")</f>
        <v>Melting_Curves/meltCurve_P35754_GLRX.pdf</v>
      </c>
    </row>
    <row r="2528" spans="1:28" x14ac:dyDescent="0.25">
      <c r="A2528" t="s">
        <v>2532</v>
      </c>
      <c r="B2528">
        <v>0.99252571173614901</v>
      </c>
      <c r="C2528">
        <v>1.01634454193485</v>
      </c>
      <c r="D2528">
        <v>0.93232993079590698</v>
      </c>
      <c r="E2528">
        <v>0.85951551604658305</v>
      </c>
      <c r="F2528">
        <v>0.72984054285792599</v>
      </c>
      <c r="G2528">
        <v>0.52941297985687197</v>
      </c>
      <c r="H2528">
        <v>0.34568030963235002</v>
      </c>
      <c r="I2528">
        <v>0.31114393042570199</v>
      </c>
      <c r="J2528">
        <v>0.16820747725683699</v>
      </c>
      <c r="K2528">
        <v>0.117580815329169</v>
      </c>
      <c r="L2528">
        <v>636.19223722583604</v>
      </c>
      <c r="M2528">
        <v>11.0234308177429</v>
      </c>
      <c r="N2528">
        <v>57.7704326052894</v>
      </c>
      <c r="O2528">
        <v>55.911021921188798</v>
      </c>
      <c r="P2528">
        <v>-4.9036566693557097E-2</v>
      </c>
      <c r="Q2528">
        <v>5.4757007552924701E-3</v>
      </c>
      <c r="R2528">
        <v>0.99480321736670996</v>
      </c>
      <c r="S2528" t="s">
        <v>9174</v>
      </c>
      <c r="T2528" t="s">
        <v>13290</v>
      </c>
      <c r="U2528" t="s">
        <v>13290</v>
      </c>
      <c r="V2528" t="s">
        <v>13290</v>
      </c>
      <c r="W2528" t="s">
        <v>15779</v>
      </c>
      <c r="X2528">
        <v>9</v>
      </c>
      <c r="Y2528" t="s">
        <v>22319</v>
      </c>
      <c r="Z2528" t="s">
        <v>28858</v>
      </c>
      <c r="AA2528">
        <v>0.60574241447215449</v>
      </c>
      <c r="AB2528" t="str">
        <f>HYPERLINK("Melting_Curves/meltCurve_P35790_CHKA.pdf", "Melting_Curves/meltCurve_P35790_CHKA.pdf")</f>
        <v>Melting_Curves/meltCurve_P35790_CHKA.pdf</v>
      </c>
    </row>
    <row r="2529" spans="1:28" x14ac:dyDescent="0.25">
      <c r="A2529" t="s">
        <v>2533</v>
      </c>
      <c r="B2529">
        <v>0.99252571173614901</v>
      </c>
      <c r="C2529">
        <v>1.0362161969933801</v>
      </c>
      <c r="D2529">
        <v>0.94030458794396898</v>
      </c>
      <c r="E2529">
        <v>0.76740369392188701</v>
      </c>
      <c r="F2529">
        <v>0.24794811682699</v>
      </c>
      <c r="G2529">
        <v>0.14500996927061</v>
      </c>
      <c r="H2529">
        <v>0.121491766914415</v>
      </c>
      <c r="I2529">
        <v>0.15124322019929101</v>
      </c>
      <c r="J2529">
        <v>0.235099261754843</v>
      </c>
      <c r="K2529">
        <v>0.26794656691927299</v>
      </c>
      <c r="L2529">
        <v>2444.8956062116399</v>
      </c>
      <c r="M2529">
        <v>48.392833776762302</v>
      </c>
      <c r="N2529">
        <v>51.003132844948098</v>
      </c>
      <c r="O2529">
        <v>50.435807142229002</v>
      </c>
      <c r="P2529">
        <v>-0.19590510772032199</v>
      </c>
      <c r="Q2529">
        <v>0.183298743508468</v>
      </c>
      <c r="R2529">
        <v>0.98494140916746198</v>
      </c>
      <c r="S2529" t="s">
        <v>9175</v>
      </c>
      <c r="T2529" t="s">
        <v>13290</v>
      </c>
      <c r="U2529" t="s">
        <v>13290</v>
      </c>
      <c r="V2529" t="s">
        <v>13290</v>
      </c>
      <c r="W2529" t="s">
        <v>15780</v>
      </c>
      <c r="X2529">
        <v>17</v>
      </c>
      <c r="Y2529" t="s">
        <v>22320</v>
      </c>
      <c r="Z2529" t="s">
        <v>28859</v>
      </c>
      <c r="AA2529">
        <v>0.47168274016672718</v>
      </c>
      <c r="AB2529" t="str">
        <f>HYPERLINK("Melting_Curves/meltCurve_P35813_PPM1A.pdf", "Melting_Curves/meltCurve_P35813_PPM1A.pdf")</f>
        <v>Melting_Curves/meltCurve_P35813_PPM1A.pdf</v>
      </c>
    </row>
    <row r="2530" spans="1:28" x14ac:dyDescent="0.25">
      <c r="A2530" t="s">
        <v>2534</v>
      </c>
      <c r="B2530">
        <v>0.99252571173614901</v>
      </c>
      <c r="C2530">
        <v>0.86323158317370896</v>
      </c>
      <c r="D2530">
        <v>1.21091840917175</v>
      </c>
      <c r="E2530">
        <v>1.1273202824300499</v>
      </c>
      <c r="F2530">
        <v>0.92316276432885203</v>
      </c>
      <c r="G2530">
        <v>0.33519084714860298</v>
      </c>
      <c r="H2530">
        <v>0.116946958336555</v>
      </c>
      <c r="I2530">
        <v>0.13309294845424199</v>
      </c>
      <c r="J2530">
        <v>0.16777281829183899</v>
      </c>
      <c r="K2530">
        <v>0.17466121113713701</v>
      </c>
      <c r="L2530">
        <v>3129.68624389355</v>
      </c>
      <c r="M2530">
        <v>56.392575943472501</v>
      </c>
      <c r="N2530">
        <v>55.843556813536999</v>
      </c>
      <c r="O2530">
        <v>55.4285358329075</v>
      </c>
      <c r="P2530">
        <v>-0.21690470939412801</v>
      </c>
      <c r="Q2530">
        <v>0.14721369378910101</v>
      </c>
      <c r="R2530">
        <v>0.955821172395663</v>
      </c>
      <c r="S2530" t="s">
        <v>9176</v>
      </c>
      <c r="T2530" t="s">
        <v>13290</v>
      </c>
      <c r="U2530" t="s">
        <v>13290</v>
      </c>
      <c r="V2530" t="s">
        <v>13290</v>
      </c>
      <c r="W2530" t="s">
        <v>15781</v>
      </c>
      <c r="X2530">
        <v>24</v>
      </c>
      <c r="Y2530" t="s">
        <v>22321</v>
      </c>
      <c r="Z2530" t="s">
        <v>28860</v>
      </c>
      <c r="AA2530">
        <v>0.58940749147408578</v>
      </c>
      <c r="AB2530" t="str">
        <f>HYPERLINK("Melting_Curves/meltCurve_P35998_PSMC2.pdf", "Melting_Curves/meltCurve_P35998_PSMC2.pdf")</f>
        <v>Melting_Curves/meltCurve_P35998_PSMC2.pdf</v>
      </c>
    </row>
    <row r="2531" spans="1:28" x14ac:dyDescent="0.25">
      <c r="A2531" t="s">
        <v>2535</v>
      </c>
      <c r="B2531">
        <v>0.99252571173614901</v>
      </c>
      <c r="C2531">
        <v>0.99809557106678004</v>
      </c>
      <c r="D2531">
        <v>0.93755117463420401</v>
      </c>
      <c r="E2531">
        <v>0.70938060793253499</v>
      </c>
      <c r="F2531">
        <v>0.61530158715058503</v>
      </c>
      <c r="G2531">
        <v>0.26907892738018202</v>
      </c>
      <c r="H2531">
        <v>0.139401886645837</v>
      </c>
      <c r="I2531">
        <v>0.13213005124739799</v>
      </c>
      <c r="J2531">
        <v>0.108778027916081</v>
      </c>
      <c r="K2531">
        <v>0.104776088545424</v>
      </c>
      <c r="L2531">
        <v>863.31191021013501</v>
      </c>
      <c r="M2531">
        <v>16.2545120094445</v>
      </c>
      <c r="N2531">
        <v>53.604741669788297</v>
      </c>
      <c r="O2531">
        <v>52.3277645149306</v>
      </c>
      <c r="P2531">
        <v>-7.2274943499450503E-2</v>
      </c>
      <c r="Q2531">
        <v>6.9376566358128305E-2</v>
      </c>
      <c r="R2531">
        <v>0.98848683355476596</v>
      </c>
      <c r="S2531" t="s">
        <v>9177</v>
      </c>
      <c r="T2531" t="s">
        <v>13290</v>
      </c>
      <c r="U2531" t="s">
        <v>13290</v>
      </c>
      <c r="V2531" t="s">
        <v>13290</v>
      </c>
      <c r="W2531" t="s">
        <v>15782</v>
      </c>
      <c r="X2531">
        <v>10</v>
      </c>
      <c r="Y2531" t="s">
        <v>22322</v>
      </c>
      <c r="Z2531" t="s">
        <v>28861</v>
      </c>
      <c r="AA2531">
        <v>0.49390079010199422</v>
      </c>
      <c r="AB2531" t="str">
        <f>HYPERLINK("Melting_Curves/meltCurve_P36404_ARL2.pdf", "Melting_Curves/meltCurve_P36404_ARL2.pdf")</f>
        <v>Melting_Curves/meltCurve_P36404_ARL2.pdf</v>
      </c>
    </row>
    <row r="2532" spans="1:28" x14ac:dyDescent="0.25">
      <c r="A2532" t="s">
        <v>2536</v>
      </c>
      <c r="B2532">
        <v>0.99252571173614901</v>
      </c>
      <c r="C2532">
        <v>1.0928007585938799</v>
      </c>
      <c r="D2532">
        <v>1.0673695537011501</v>
      </c>
      <c r="E2532">
        <v>1.10521710349892</v>
      </c>
      <c r="F2532">
        <v>0.76695752301855502</v>
      </c>
      <c r="G2532">
        <v>0.50883498948813299</v>
      </c>
      <c r="H2532">
        <v>0.292703047846397</v>
      </c>
      <c r="I2532">
        <v>0.26480968853199799</v>
      </c>
      <c r="J2532">
        <v>0.32218449661588</v>
      </c>
      <c r="K2532">
        <v>0.30383222881266903</v>
      </c>
      <c r="L2532">
        <v>1791.5351091529201</v>
      </c>
      <c r="M2532">
        <v>32.621555481071297</v>
      </c>
      <c r="N2532">
        <v>56.431266537859699</v>
      </c>
      <c r="O2532">
        <v>54.7136066978927</v>
      </c>
      <c r="P2532">
        <v>-0.10561620285222099</v>
      </c>
      <c r="Q2532">
        <v>0.29143582472482898</v>
      </c>
      <c r="R2532">
        <v>0.97061586286398405</v>
      </c>
      <c r="S2532" t="s">
        <v>9178</v>
      </c>
      <c r="T2532" t="s">
        <v>13290</v>
      </c>
      <c r="U2532" t="s">
        <v>13290</v>
      </c>
      <c r="V2532" t="s">
        <v>13290</v>
      </c>
      <c r="W2532" t="s">
        <v>15783</v>
      </c>
      <c r="X2532">
        <v>14</v>
      </c>
      <c r="Y2532" t="s">
        <v>22323</v>
      </c>
      <c r="Z2532" t="s">
        <v>28862</v>
      </c>
      <c r="AA2532">
        <v>0.64780040159254715</v>
      </c>
      <c r="AB2532" t="str">
        <f>HYPERLINK("Melting_Curves/meltCurve_P36405_ARL3.pdf", "Melting_Curves/meltCurve_P36405_ARL3.pdf")</f>
        <v>Melting_Curves/meltCurve_P36405_ARL3.pdf</v>
      </c>
    </row>
    <row r="2533" spans="1:28" x14ac:dyDescent="0.25">
      <c r="A2533" t="s">
        <v>2537</v>
      </c>
      <c r="B2533">
        <v>0.99252571173614901</v>
      </c>
      <c r="C2533">
        <v>1.0554336853344799</v>
      </c>
      <c r="D2533">
        <v>0.95575199187728999</v>
      </c>
      <c r="E2533">
        <v>0.75477230476664203</v>
      </c>
      <c r="F2533">
        <v>0.23749027645170701</v>
      </c>
      <c r="G2533">
        <v>0.108222632280848</v>
      </c>
      <c r="H2533">
        <v>6.6074423971794097E-2</v>
      </c>
      <c r="I2533">
        <v>6.3148294263382296E-2</v>
      </c>
      <c r="J2533">
        <v>7.4594881209622696E-2</v>
      </c>
      <c r="K2533">
        <v>7.5055005311865805E-2</v>
      </c>
      <c r="L2533">
        <v>1810.49577378102</v>
      </c>
      <c r="M2533">
        <v>35.507195551040098</v>
      </c>
      <c r="N2533">
        <v>51.2102683958245</v>
      </c>
      <c r="O2533">
        <v>50.828622424227802</v>
      </c>
      <c r="P2533">
        <v>-0.16225099053994599</v>
      </c>
      <c r="Q2533">
        <v>7.0952610477197503E-2</v>
      </c>
      <c r="R2533">
        <v>0.99754707203079396</v>
      </c>
      <c r="S2533" t="s">
        <v>9179</v>
      </c>
      <c r="T2533" t="s">
        <v>13290</v>
      </c>
      <c r="U2533" t="s">
        <v>13290</v>
      </c>
      <c r="V2533" t="s">
        <v>13290</v>
      </c>
      <c r="W2533" t="s">
        <v>15784</v>
      </c>
      <c r="X2533">
        <v>17</v>
      </c>
      <c r="Y2533" t="s">
        <v>22324</v>
      </c>
      <c r="Z2533" t="s">
        <v>28863</v>
      </c>
      <c r="AA2533">
        <v>0.41544194658979178</v>
      </c>
      <c r="AB2533" t="str">
        <f>HYPERLINK("Melting_Curves/meltCurve_P36507_MAP2K2.pdf", "Melting_Curves/meltCurve_P36507_MAP2K2.pdf")</f>
        <v>Melting_Curves/meltCurve_P36507_MAP2K2.pdf</v>
      </c>
    </row>
    <row r="2534" spans="1:28" x14ac:dyDescent="0.25">
      <c r="A2534" t="s">
        <v>2538</v>
      </c>
      <c r="B2534">
        <v>0.99252571173614901</v>
      </c>
      <c r="C2534">
        <v>0.85200091486155105</v>
      </c>
      <c r="D2534">
        <v>1.01251156524288</v>
      </c>
      <c r="E2534">
        <v>1.0035337359708001</v>
      </c>
      <c r="F2534">
        <v>0.94413442457878305</v>
      </c>
      <c r="G2534">
        <v>0.69920492273353596</v>
      </c>
      <c r="H2534">
        <v>0.72101683779780601</v>
      </c>
      <c r="I2534">
        <v>0.40854058749291999</v>
      </c>
      <c r="J2534">
        <v>0.117746176144423</v>
      </c>
      <c r="K2534">
        <v>0.10661261126822601</v>
      </c>
      <c r="L2534">
        <v>1098.58394187205</v>
      </c>
      <c r="M2534">
        <v>17.670751617182201</v>
      </c>
      <c r="N2534">
        <v>62.169622769463103</v>
      </c>
      <c r="O2534">
        <v>61.389813487311599</v>
      </c>
      <c r="P2534">
        <v>-7.1965060706968897E-2</v>
      </c>
      <c r="Q2534">
        <v>0</v>
      </c>
      <c r="R2534">
        <v>0.93967589170933896</v>
      </c>
      <c r="S2534" t="s">
        <v>9180</v>
      </c>
      <c r="T2534" t="s">
        <v>13290</v>
      </c>
      <c r="U2534" t="s">
        <v>13290</v>
      </c>
      <c r="V2534" t="s">
        <v>13290</v>
      </c>
      <c r="W2534" t="s">
        <v>15785</v>
      </c>
      <c r="X2534">
        <v>13</v>
      </c>
      <c r="Y2534" t="s">
        <v>22325</v>
      </c>
      <c r="Z2534" t="s">
        <v>28864</v>
      </c>
      <c r="AA2534">
        <v>0.73939278324224822</v>
      </c>
      <c r="AB2534" t="str">
        <f>HYPERLINK("Melting_Curves/meltCurve_P36542_ATP5C1.pdf", "Melting_Curves/meltCurve_P36542_ATP5C1.pdf")</f>
        <v>Melting_Curves/meltCurve_P36542_ATP5C1.pdf</v>
      </c>
    </row>
    <row r="2535" spans="1:28" x14ac:dyDescent="0.25">
      <c r="A2535" t="s">
        <v>2539</v>
      </c>
      <c r="B2535">
        <v>0.99252571173614901</v>
      </c>
      <c r="C2535">
        <v>0.94590285766211402</v>
      </c>
      <c r="D2535">
        <v>0.96597209797872996</v>
      </c>
      <c r="E2535">
        <v>0.93721258649556805</v>
      </c>
      <c r="F2535">
        <v>0.66187871296876</v>
      </c>
      <c r="G2535">
        <v>0.28795270253162097</v>
      </c>
      <c r="H2535">
        <v>0.15423634805168901</v>
      </c>
      <c r="I2535">
        <v>0.14586742701927799</v>
      </c>
      <c r="J2535">
        <v>0.171687697316046</v>
      </c>
      <c r="K2535">
        <v>0.165919181445734</v>
      </c>
      <c r="L2535">
        <v>1712.94400338224</v>
      </c>
      <c r="M2535">
        <v>31.815409819135301</v>
      </c>
      <c r="N2535">
        <v>54.4633212838161</v>
      </c>
      <c r="O2535">
        <v>53.628705607350199</v>
      </c>
      <c r="P2535">
        <v>-0.12568416925249501</v>
      </c>
      <c r="Q2535">
        <v>0.152581169201504</v>
      </c>
      <c r="R2535">
        <v>0.996321373796478</v>
      </c>
      <c r="S2535" t="s">
        <v>9181</v>
      </c>
      <c r="T2535" t="s">
        <v>13290</v>
      </c>
      <c r="U2535" t="s">
        <v>13290</v>
      </c>
      <c r="V2535" t="s">
        <v>13290</v>
      </c>
      <c r="W2535" t="s">
        <v>15786</v>
      </c>
      <c r="X2535">
        <v>10</v>
      </c>
      <c r="Y2535" t="s">
        <v>22326</v>
      </c>
      <c r="Z2535" t="s">
        <v>28865</v>
      </c>
      <c r="AA2535">
        <v>0.54848177254216546</v>
      </c>
      <c r="AB2535" t="str">
        <f>HYPERLINK("Melting_Curves/meltCurve_P36543_ATP6V1E1.pdf", "Melting_Curves/meltCurve_P36543_ATP6V1E1.pdf")</f>
        <v>Melting_Curves/meltCurve_P36543_ATP6V1E1.pdf</v>
      </c>
    </row>
    <row r="2536" spans="1:28" x14ac:dyDescent="0.25">
      <c r="A2536" t="s">
        <v>2540</v>
      </c>
      <c r="B2536">
        <v>0.99252571173614901</v>
      </c>
      <c r="C2536">
        <v>1.05294873053925</v>
      </c>
      <c r="D2536">
        <v>0.98736477862426297</v>
      </c>
      <c r="E2536">
        <v>0.88230227378999604</v>
      </c>
      <c r="F2536">
        <v>0.83237232744607204</v>
      </c>
      <c r="G2536">
        <v>0.63106988777523099</v>
      </c>
      <c r="H2536">
        <v>0.41080742843273299</v>
      </c>
      <c r="I2536">
        <v>0.23281044854583399</v>
      </c>
      <c r="J2536">
        <v>0.208076340058128</v>
      </c>
      <c r="K2536">
        <v>0.21050648610783601</v>
      </c>
      <c r="L2536">
        <v>920.72698868054795</v>
      </c>
      <c r="M2536">
        <v>15.973262074171901</v>
      </c>
      <c r="N2536">
        <v>58.766884423019199</v>
      </c>
      <c r="O2536">
        <v>56.761016054251797</v>
      </c>
      <c r="P2536">
        <v>-6.1089627957676702E-2</v>
      </c>
      <c r="Q2536">
        <v>0.131740127770305</v>
      </c>
      <c r="R2536">
        <v>0.99072508652951996</v>
      </c>
      <c r="S2536" t="s">
        <v>9182</v>
      </c>
      <c r="T2536" t="s">
        <v>13290</v>
      </c>
      <c r="U2536" t="s">
        <v>13290</v>
      </c>
      <c r="V2536" t="s">
        <v>13290</v>
      </c>
      <c r="W2536" t="s">
        <v>15787</v>
      </c>
      <c r="X2536">
        <v>26</v>
      </c>
      <c r="Y2536" t="s">
        <v>22327</v>
      </c>
      <c r="Z2536" t="s">
        <v>28866</v>
      </c>
      <c r="AA2536">
        <v>0.65445543360619818</v>
      </c>
      <c r="AB2536" t="str">
        <f>HYPERLINK("Melting_Curves/meltCurve_P36551_CPOX.pdf", "Melting_Curves/meltCurve_P36551_CPOX.pdf")</f>
        <v>Melting_Curves/meltCurve_P36551_CPOX.pdf</v>
      </c>
    </row>
    <row r="2537" spans="1:28" x14ac:dyDescent="0.25">
      <c r="A2537" t="s">
        <v>2541</v>
      </c>
      <c r="B2537">
        <v>0.99252571173614901</v>
      </c>
      <c r="C2537">
        <v>1.0230492948563299</v>
      </c>
      <c r="D2537">
        <v>0.95547004428755999</v>
      </c>
      <c r="E2537">
        <v>0.83203181916802904</v>
      </c>
      <c r="F2537">
        <v>0.496933610683291</v>
      </c>
      <c r="G2537">
        <v>0.32040587022068201</v>
      </c>
      <c r="H2537">
        <v>0.19523046608084599</v>
      </c>
      <c r="I2537">
        <v>0.23281944829463599</v>
      </c>
      <c r="J2537">
        <v>0.275409139842339</v>
      </c>
      <c r="K2537">
        <v>0.29167001305474699</v>
      </c>
      <c r="L2537">
        <v>1436.5933858629801</v>
      </c>
      <c r="M2537">
        <v>27.7222961713851</v>
      </c>
      <c r="N2537">
        <v>53.131196619816201</v>
      </c>
      <c r="O2537">
        <v>51.5534673354883</v>
      </c>
      <c r="P2537">
        <v>-0.101146091604285</v>
      </c>
      <c r="Q2537">
        <v>0.247625794279517</v>
      </c>
      <c r="R2537">
        <v>0.99218727941001705</v>
      </c>
      <c r="S2537" t="s">
        <v>9183</v>
      </c>
      <c r="T2537" t="s">
        <v>13290</v>
      </c>
      <c r="U2537" t="s">
        <v>13290</v>
      </c>
      <c r="V2537" t="s">
        <v>13290</v>
      </c>
      <c r="W2537" t="s">
        <v>15788</v>
      </c>
      <c r="X2537">
        <v>10</v>
      </c>
      <c r="Y2537" t="s">
        <v>22328</v>
      </c>
      <c r="Z2537" t="s">
        <v>28867</v>
      </c>
      <c r="AA2537">
        <v>0.54968681903433558</v>
      </c>
      <c r="AB2537" t="str">
        <f>HYPERLINK("Melting_Curves/meltCurve_P36578_RPL4.pdf", "Melting_Curves/meltCurve_P36578_RPL4.pdf")</f>
        <v>Melting_Curves/meltCurve_P36578_RPL4.pdf</v>
      </c>
    </row>
    <row r="2538" spans="1:28" x14ac:dyDescent="0.25">
      <c r="A2538" t="s">
        <v>2542</v>
      </c>
      <c r="B2538">
        <v>0.99252571173614901</v>
      </c>
      <c r="C2538">
        <v>1.0545135680798801</v>
      </c>
      <c r="D2538">
        <v>0.90100771836716897</v>
      </c>
      <c r="E2538">
        <v>0.68181781662071805</v>
      </c>
      <c r="F2538">
        <v>0.51042513891973196</v>
      </c>
      <c r="G2538">
        <v>0.29213327973942699</v>
      </c>
      <c r="H2538">
        <v>0.159108885537144</v>
      </c>
      <c r="I2538">
        <v>0.12850483093050499</v>
      </c>
      <c r="J2538">
        <v>0.117853785972798</v>
      </c>
      <c r="K2538">
        <v>9.9429662353655607E-2</v>
      </c>
      <c r="L2538">
        <v>820.86773095886701</v>
      </c>
      <c r="M2538">
        <v>15.698791244065101</v>
      </c>
      <c r="N2538">
        <v>52.897956064116102</v>
      </c>
      <c r="O2538">
        <v>51.462199083181801</v>
      </c>
      <c r="P2538">
        <v>-6.9961324907864303E-2</v>
      </c>
      <c r="Q2538">
        <v>8.2716822116063404E-2</v>
      </c>
      <c r="R2538">
        <v>0.992525407417443</v>
      </c>
      <c r="S2538" t="s">
        <v>9184</v>
      </c>
      <c r="T2538" t="s">
        <v>13290</v>
      </c>
      <c r="U2538" t="s">
        <v>13290</v>
      </c>
      <c r="V2538" t="s">
        <v>13290</v>
      </c>
      <c r="W2538" t="s">
        <v>15789</v>
      </c>
      <c r="X2538">
        <v>6</v>
      </c>
      <c r="Y2538" t="s">
        <v>22329</v>
      </c>
      <c r="Z2538" t="s">
        <v>28868</v>
      </c>
      <c r="AA2538">
        <v>0.47739851527335769</v>
      </c>
      <c r="AB2538" t="str">
        <f>HYPERLINK("Melting_Curves/meltCurve_P36639_4_NUDT1.pdf", "Melting_Curves/meltCurve_P36639_4_NUDT1.pdf")</f>
        <v>Melting_Curves/meltCurve_P36639_4_NUDT1.pdf</v>
      </c>
    </row>
    <row r="2539" spans="1:28" x14ac:dyDescent="0.25">
      <c r="A2539" t="s">
        <v>2543</v>
      </c>
      <c r="B2539">
        <v>0.99252571173614901</v>
      </c>
      <c r="C2539">
        <v>1.0543908945699001</v>
      </c>
      <c r="D2539">
        <v>0.95613897179725604</v>
      </c>
      <c r="E2539">
        <v>0.80696037498674</v>
      </c>
      <c r="F2539">
        <v>0.78429548757290801</v>
      </c>
      <c r="G2539">
        <v>0.66945936799389505</v>
      </c>
      <c r="H2539">
        <v>0.43323113842307798</v>
      </c>
      <c r="I2539">
        <v>9.6812956332210306E-2</v>
      </c>
      <c r="J2539">
        <v>8.7053508999940896E-2</v>
      </c>
      <c r="K2539">
        <v>7.4491856539681503E-2</v>
      </c>
      <c r="L2539">
        <v>882.94793932165101</v>
      </c>
      <c r="M2539">
        <v>15.1299249163898</v>
      </c>
      <c r="N2539">
        <v>58.357721448223103</v>
      </c>
      <c r="O2539">
        <v>57.366727624565499</v>
      </c>
      <c r="P2539">
        <v>-6.5941545158488796E-2</v>
      </c>
      <c r="Q2539">
        <v>0</v>
      </c>
      <c r="R2539">
        <v>0.96672198763898898</v>
      </c>
      <c r="S2539" t="s">
        <v>9185</v>
      </c>
      <c r="T2539" t="s">
        <v>13290</v>
      </c>
      <c r="U2539" t="s">
        <v>13290</v>
      </c>
      <c r="V2539" t="s">
        <v>13290</v>
      </c>
      <c r="W2539" t="s">
        <v>15790</v>
      </c>
      <c r="X2539">
        <v>33</v>
      </c>
      <c r="Y2539" t="s">
        <v>22330</v>
      </c>
      <c r="Z2539" t="s">
        <v>28869</v>
      </c>
      <c r="AA2539">
        <v>0.62437005257307276</v>
      </c>
      <c r="AB2539" t="str">
        <f>HYPERLINK("Melting_Curves/meltCurve_P36871_PGM1.pdf", "Melting_Curves/meltCurve_P36871_PGM1.pdf")</f>
        <v>Melting_Curves/meltCurve_P36871_PGM1.pdf</v>
      </c>
    </row>
    <row r="2540" spans="1:28" x14ac:dyDescent="0.25">
      <c r="A2540" t="s">
        <v>2544</v>
      </c>
      <c r="B2540">
        <v>0.99252571173614901</v>
      </c>
      <c r="C2540">
        <v>1.0574137872929701</v>
      </c>
      <c r="D2540">
        <v>0.97311772344071401</v>
      </c>
      <c r="E2540">
        <v>0.85338290616569501</v>
      </c>
      <c r="F2540">
        <v>0.59285405731985996</v>
      </c>
      <c r="G2540">
        <v>0.30693275352384802</v>
      </c>
      <c r="H2540">
        <v>0.15802601707380601</v>
      </c>
      <c r="I2540">
        <v>0.11344971203154799</v>
      </c>
      <c r="J2540">
        <v>0.14466324685418899</v>
      </c>
      <c r="K2540">
        <v>0.12042083189993399</v>
      </c>
      <c r="L2540">
        <v>1185.93516418524</v>
      </c>
      <c r="M2540">
        <v>22.164202143679599</v>
      </c>
      <c r="N2540">
        <v>54.123288157561902</v>
      </c>
      <c r="O2540">
        <v>53.076928169684102</v>
      </c>
      <c r="P2540">
        <v>-9.2751894400947194E-2</v>
      </c>
      <c r="Q2540">
        <v>0.111562170109925</v>
      </c>
      <c r="R2540">
        <v>0.99645605053791897</v>
      </c>
      <c r="S2540" t="s">
        <v>9186</v>
      </c>
      <c r="T2540" t="s">
        <v>13290</v>
      </c>
      <c r="U2540" t="s">
        <v>13290</v>
      </c>
      <c r="V2540" t="s">
        <v>13290</v>
      </c>
      <c r="W2540" t="s">
        <v>15791</v>
      </c>
      <c r="X2540">
        <v>21</v>
      </c>
      <c r="Y2540" t="s">
        <v>22331</v>
      </c>
      <c r="Z2540" t="s">
        <v>28870</v>
      </c>
      <c r="AA2540">
        <v>0.52175831952408525</v>
      </c>
      <c r="AB2540" t="str">
        <f>HYPERLINK("Melting_Curves/meltCurve_P36873_2_PPP1CC.pdf", "Melting_Curves/meltCurve_P36873_2_PPP1CC.pdf")</f>
        <v>Melting_Curves/meltCurve_P36873_2_PPP1CC.pdf</v>
      </c>
    </row>
    <row r="2541" spans="1:28" x14ac:dyDescent="0.25">
      <c r="A2541" t="s">
        <v>2545</v>
      </c>
      <c r="B2541">
        <v>0.99252571173614901</v>
      </c>
      <c r="C2541">
        <v>1.0311752205164</v>
      </c>
      <c r="D2541">
        <v>0.72823624521047403</v>
      </c>
      <c r="E2541">
        <v>0.57449137688379703</v>
      </c>
      <c r="F2541">
        <v>0.140326136474555</v>
      </c>
      <c r="G2541">
        <v>7.5561449342559803E-2</v>
      </c>
      <c r="H2541">
        <v>5.1256156844145702E-2</v>
      </c>
      <c r="I2541">
        <v>5.8196749829736501E-2</v>
      </c>
      <c r="J2541">
        <v>6.6533061519522402E-2</v>
      </c>
      <c r="K2541">
        <v>6.1658531221623798E-2</v>
      </c>
      <c r="L2541">
        <v>1054.49733755597</v>
      </c>
      <c r="M2541">
        <v>21.408777356988601</v>
      </c>
      <c r="N2541">
        <v>49.460647722982998</v>
      </c>
      <c r="O2541">
        <v>48.831684018706</v>
      </c>
      <c r="P2541">
        <v>-0.104948382898812</v>
      </c>
      <c r="Q2541">
        <v>4.2509280594540302E-2</v>
      </c>
      <c r="R2541">
        <v>0.98155193522980799</v>
      </c>
      <c r="S2541" t="s">
        <v>9187</v>
      </c>
      <c r="T2541" t="s">
        <v>13290</v>
      </c>
      <c r="U2541" t="s">
        <v>13290</v>
      </c>
      <c r="V2541" t="s">
        <v>13290</v>
      </c>
      <c r="W2541" t="s">
        <v>15792</v>
      </c>
      <c r="X2541">
        <v>20</v>
      </c>
      <c r="Y2541" t="s">
        <v>22332</v>
      </c>
      <c r="Z2541" t="s">
        <v>28871</v>
      </c>
      <c r="AA2541">
        <v>0.3495707463441376</v>
      </c>
      <c r="AB2541" t="str">
        <f>HYPERLINK("Melting_Curves/meltCurve_P36915_GNL1.pdf", "Melting_Curves/meltCurve_P36915_GNL1.pdf")</f>
        <v>Melting_Curves/meltCurve_P36915_GNL1.pdf</v>
      </c>
    </row>
    <row r="2542" spans="1:28" x14ac:dyDescent="0.25">
      <c r="A2542" t="s">
        <v>2546</v>
      </c>
      <c r="B2542">
        <v>0.99252571173614901</v>
      </c>
      <c r="C2542">
        <v>1.04647476504024</v>
      </c>
      <c r="D2542">
        <v>0.96942100573437295</v>
      </c>
      <c r="E2542">
        <v>0.61013236618523203</v>
      </c>
      <c r="F2542">
        <v>0.178066486805113</v>
      </c>
      <c r="G2542">
        <v>0.10240627005821799</v>
      </c>
      <c r="H2542">
        <v>7.1307736570118893E-2</v>
      </c>
      <c r="I2542">
        <v>6.8039725148461794E-2</v>
      </c>
      <c r="J2542">
        <v>7.7707464356999503E-2</v>
      </c>
      <c r="K2542">
        <v>7.5421563417030102E-2</v>
      </c>
      <c r="L2542">
        <v>1797.1692130768599</v>
      </c>
      <c r="M2542">
        <v>35.903614254000701</v>
      </c>
      <c r="N2542">
        <v>50.287247369564902</v>
      </c>
      <c r="O2542">
        <v>49.900870745627401</v>
      </c>
      <c r="P2542">
        <v>-0.16615458453533699</v>
      </c>
      <c r="Q2542">
        <v>7.6279033630716503E-2</v>
      </c>
      <c r="R2542">
        <v>0.99835270285620203</v>
      </c>
      <c r="S2542" t="s">
        <v>9188</v>
      </c>
      <c r="T2542" t="s">
        <v>13290</v>
      </c>
      <c r="U2542" t="s">
        <v>13290</v>
      </c>
      <c r="V2542" t="s">
        <v>13290</v>
      </c>
      <c r="W2542" t="s">
        <v>15793</v>
      </c>
      <c r="X2542">
        <v>20</v>
      </c>
      <c r="Y2542" t="s">
        <v>22333</v>
      </c>
      <c r="Z2542" t="s">
        <v>28872</v>
      </c>
      <c r="AA2542">
        <v>0.38986788011460588</v>
      </c>
      <c r="AB2542" t="str">
        <f>HYPERLINK("Melting_Curves/meltCurve_P36952_SERPINB5.pdf", "Melting_Curves/meltCurve_P36952_SERPINB5.pdf")</f>
        <v>Melting_Curves/meltCurve_P36952_SERPINB5.pdf</v>
      </c>
    </row>
    <row r="2543" spans="1:28" x14ac:dyDescent="0.25">
      <c r="A2543" t="s">
        <v>2547</v>
      </c>
      <c r="B2543">
        <v>0.99252571173614901</v>
      </c>
      <c r="C2543">
        <v>1.0958004898962901</v>
      </c>
      <c r="D2543">
        <v>1.08030662058865</v>
      </c>
      <c r="E2543">
        <v>1.30113271444724</v>
      </c>
      <c r="F2543">
        <v>1.3193244720105299</v>
      </c>
      <c r="G2543">
        <v>1.1168902962426599</v>
      </c>
      <c r="H2543">
        <v>1.0274230377900899</v>
      </c>
      <c r="I2543">
        <v>0.82827650133354402</v>
      </c>
      <c r="J2543">
        <v>0.81668054170380699</v>
      </c>
      <c r="K2543">
        <v>0.85379596942701796</v>
      </c>
      <c r="L2543">
        <v>7047.0354885748102</v>
      </c>
      <c r="M2543">
        <v>112.56071956399001</v>
      </c>
      <c r="O2543">
        <v>62.586770006407598</v>
      </c>
      <c r="P2543">
        <v>-7.6838999807698094E-2</v>
      </c>
      <c r="Q2543">
        <v>0.82910185167734696</v>
      </c>
      <c r="R2543">
        <v>0.22342534269546799</v>
      </c>
      <c r="S2543" t="s">
        <v>9189</v>
      </c>
      <c r="T2543" t="s">
        <v>13290</v>
      </c>
      <c r="U2543" t="s">
        <v>13290</v>
      </c>
      <c r="V2543" t="s">
        <v>13290</v>
      </c>
      <c r="W2543" t="s">
        <v>15794</v>
      </c>
      <c r="X2543">
        <v>7</v>
      </c>
      <c r="Y2543" t="s">
        <v>22334</v>
      </c>
      <c r="Z2543" t="s">
        <v>28873</v>
      </c>
      <c r="AA2543">
        <v>0.95797497278366528</v>
      </c>
      <c r="AB2543" t="str">
        <f>HYPERLINK("Melting_Curves/meltCurve_P36954_POLR2I.pdf", "Melting_Curves/meltCurve_P36954_POLR2I.pdf")</f>
        <v>Melting_Curves/meltCurve_P36954_POLR2I.pdf</v>
      </c>
    </row>
    <row r="2544" spans="1:28" x14ac:dyDescent="0.25">
      <c r="A2544" t="s">
        <v>2548</v>
      </c>
      <c r="B2544">
        <v>0.99252571173614901</v>
      </c>
      <c r="C2544">
        <v>1.0515463037902799</v>
      </c>
      <c r="D2544">
        <v>0.98623855955393303</v>
      </c>
      <c r="E2544">
        <v>0.86089426077097198</v>
      </c>
      <c r="F2544">
        <v>0.72276868989109799</v>
      </c>
      <c r="G2544">
        <v>0.56593538146133104</v>
      </c>
      <c r="H2544">
        <v>0.27773561482151499</v>
      </c>
      <c r="I2544">
        <v>0.120975757806322</v>
      </c>
      <c r="J2544">
        <v>0.13760932705537901</v>
      </c>
      <c r="K2544">
        <v>0.10646943771504901</v>
      </c>
      <c r="L2544">
        <v>858.82718785338102</v>
      </c>
      <c r="M2544">
        <v>15.139430184064301</v>
      </c>
      <c r="N2544">
        <v>56.980817587019601</v>
      </c>
      <c r="O2544">
        <v>55.765700535812101</v>
      </c>
      <c r="P2544">
        <v>-6.5670981671221998E-2</v>
      </c>
      <c r="Q2544">
        <v>3.2504796959646899E-2</v>
      </c>
      <c r="R2544">
        <v>0.99053790279013298</v>
      </c>
      <c r="S2544" t="s">
        <v>9190</v>
      </c>
      <c r="T2544" t="s">
        <v>13290</v>
      </c>
      <c r="U2544" t="s">
        <v>13290</v>
      </c>
      <c r="V2544" t="s">
        <v>13290</v>
      </c>
      <c r="W2544" t="s">
        <v>15795</v>
      </c>
      <c r="X2544">
        <v>11</v>
      </c>
      <c r="Y2544" t="s">
        <v>22335</v>
      </c>
      <c r="Z2544" t="s">
        <v>28874</v>
      </c>
      <c r="AA2544">
        <v>0.58773062475915172</v>
      </c>
      <c r="AB2544" t="str">
        <f>HYPERLINK("Melting_Curves/meltCurve_P36955_SERPINF1.pdf", "Melting_Curves/meltCurve_P36955_SERPINF1.pdf")</f>
        <v>Melting_Curves/meltCurve_P36955_SERPINF1.pdf</v>
      </c>
    </row>
    <row r="2545" spans="1:28" x14ac:dyDescent="0.25">
      <c r="A2545" t="s">
        <v>2549</v>
      </c>
      <c r="B2545">
        <v>0.99252571173614901</v>
      </c>
      <c r="C2545">
        <v>0.99574926357413696</v>
      </c>
      <c r="D2545">
        <v>0.92200549359720496</v>
      </c>
      <c r="E2545">
        <v>1.0812201305612901</v>
      </c>
      <c r="F2545">
        <v>1.6957010580288301</v>
      </c>
      <c r="G2545">
        <v>1.3649946452205901</v>
      </c>
      <c r="H2545">
        <v>1.5811513465906799</v>
      </c>
      <c r="I2545">
        <v>1.7809884639442</v>
      </c>
      <c r="J2545">
        <v>2.9021341746617599</v>
      </c>
      <c r="K2545">
        <v>2.0825121592296099</v>
      </c>
      <c r="L2545">
        <v>12481.352838557799</v>
      </c>
      <c r="M2545">
        <v>250</v>
      </c>
      <c r="O2545">
        <v>49.922236074706198</v>
      </c>
      <c r="P2545">
        <v>0.62597380841334105</v>
      </c>
      <c r="Q2545">
        <v>1.5</v>
      </c>
      <c r="R2545">
        <v>0.28939010328253401</v>
      </c>
      <c r="S2545" t="s">
        <v>9191</v>
      </c>
      <c r="T2545" t="s">
        <v>13290</v>
      </c>
      <c r="U2545" t="s">
        <v>13290</v>
      </c>
      <c r="V2545" t="s">
        <v>13290</v>
      </c>
      <c r="W2545" t="s">
        <v>15796</v>
      </c>
      <c r="X2545">
        <v>25</v>
      </c>
      <c r="Y2545" t="s">
        <v>22336</v>
      </c>
      <c r="Z2545" t="s">
        <v>28875</v>
      </c>
      <c r="AA2545">
        <v>1.334532668269522</v>
      </c>
      <c r="AB2545" t="str">
        <f>HYPERLINK("Melting_Curves/meltCurve_P36957_DLST.pdf", "Melting_Curves/meltCurve_P36957_DLST.pdf")</f>
        <v>Melting_Curves/meltCurve_P36957_DLST.pdf</v>
      </c>
    </row>
    <row r="2546" spans="1:28" x14ac:dyDescent="0.25">
      <c r="A2546" t="s">
        <v>2550</v>
      </c>
      <c r="B2546">
        <v>0.99252571173614901</v>
      </c>
      <c r="C2546">
        <v>0.97425892469828701</v>
      </c>
      <c r="D2546">
        <v>1.0018578062244201</v>
      </c>
      <c r="E2546">
        <v>0.94860667871101101</v>
      </c>
      <c r="F2546">
        <v>0.97283214671943796</v>
      </c>
      <c r="G2546">
        <v>0.81758816606282603</v>
      </c>
      <c r="H2546">
        <v>0.94316329124062404</v>
      </c>
      <c r="I2546">
        <v>1.2604834885279099</v>
      </c>
      <c r="J2546">
        <v>1.7887635355504601</v>
      </c>
      <c r="K2546">
        <v>1.81023454290862</v>
      </c>
      <c r="L2546">
        <v>15000</v>
      </c>
      <c r="M2546">
        <v>234.459077511087</v>
      </c>
      <c r="O2546">
        <v>63.972391664532203</v>
      </c>
      <c r="P2546">
        <v>0.45812549107191602</v>
      </c>
      <c r="Q2546">
        <v>1.5</v>
      </c>
      <c r="R2546">
        <v>0.809969902531394</v>
      </c>
      <c r="S2546" t="s">
        <v>9192</v>
      </c>
      <c r="T2546" t="s">
        <v>13290</v>
      </c>
      <c r="U2546" t="s">
        <v>13290</v>
      </c>
      <c r="V2546" t="s">
        <v>13290</v>
      </c>
      <c r="W2546" t="s">
        <v>15797</v>
      </c>
      <c r="X2546">
        <v>12</v>
      </c>
      <c r="Y2546" t="s">
        <v>22337</v>
      </c>
      <c r="Z2546" t="s">
        <v>28876</v>
      </c>
      <c r="AA2546">
        <v>1.1003186786352479</v>
      </c>
      <c r="AB2546" t="str">
        <f>HYPERLINK("Melting_Curves/meltCurve_P36959_GMPR.pdf", "Melting_Curves/meltCurve_P36959_GMPR.pdf")</f>
        <v>Melting_Curves/meltCurve_P36959_GMPR.pdf</v>
      </c>
    </row>
    <row r="2547" spans="1:28" x14ac:dyDescent="0.25">
      <c r="A2547" t="s">
        <v>2551</v>
      </c>
      <c r="B2547">
        <v>0.99252571173614901</v>
      </c>
      <c r="C2547">
        <v>1.08921103357277</v>
      </c>
      <c r="D2547">
        <v>0.99023013383443104</v>
      </c>
      <c r="E2547">
        <v>0.83759051796487105</v>
      </c>
      <c r="F2547">
        <v>0.77036002767780498</v>
      </c>
      <c r="G2547">
        <v>0.68990308457591198</v>
      </c>
      <c r="H2547">
        <v>0.47646062149259899</v>
      </c>
      <c r="I2547">
        <v>0.11781540633537201</v>
      </c>
      <c r="J2547">
        <v>0.10310331134449</v>
      </c>
      <c r="K2547">
        <v>8.3179507537304007E-2</v>
      </c>
      <c r="L2547">
        <v>882.92112143599002</v>
      </c>
      <c r="M2547">
        <v>15.0135158274452</v>
      </c>
      <c r="N2547">
        <v>58.808418788408503</v>
      </c>
      <c r="O2547">
        <v>57.794658073150202</v>
      </c>
      <c r="P2547">
        <v>-6.4949881041776195E-2</v>
      </c>
      <c r="Q2547">
        <v>0</v>
      </c>
      <c r="R2547">
        <v>0.96467771875778296</v>
      </c>
      <c r="S2547" t="s">
        <v>9193</v>
      </c>
      <c r="T2547" t="s">
        <v>13290</v>
      </c>
      <c r="U2547" t="s">
        <v>13290</v>
      </c>
      <c r="V2547" t="s">
        <v>13290</v>
      </c>
      <c r="W2547" t="s">
        <v>15798</v>
      </c>
      <c r="X2547">
        <v>17</v>
      </c>
      <c r="Y2547" t="s">
        <v>22338</v>
      </c>
      <c r="Z2547" t="s">
        <v>28877</v>
      </c>
      <c r="AA2547">
        <v>0.63804675065409244</v>
      </c>
      <c r="AB2547" t="str">
        <f>HYPERLINK("Melting_Curves/meltCurve_P36969_2_GPX4.pdf", "Melting_Curves/meltCurve_P36969_2_GPX4.pdf")</f>
        <v>Melting_Curves/meltCurve_P36969_2_GPX4.pdf</v>
      </c>
    </row>
    <row r="2548" spans="1:28" x14ac:dyDescent="0.25">
      <c r="A2548" t="s">
        <v>2552</v>
      </c>
      <c r="B2548">
        <v>0.99252571173614901</v>
      </c>
      <c r="C2548">
        <v>1.0761103731999599</v>
      </c>
      <c r="D2548">
        <v>0.99453074398527397</v>
      </c>
      <c r="E2548">
        <v>0.91471679241979198</v>
      </c>
      <c r="F2548">
        <v>0.76888407081738597</v>
      </c>
      <c r="G2548">
        <v>0.68145093858970696</v>
      </c>
      <c r="H2548">
        <v>0.58786901550269099</v>
      </c>
      <c r="I2548">
        <v>0.50406169568948</v>
      </c>
      <c r="J2548">
        <v>0.28580197553096598</v>
      </c>
      <c r="K2548">
        <v>0.27311817170300001</v>
      </c>
      <c r="L2548">
        <v>563.03828428750398</v>
      </c>
      <c r="M2548">
        <v>9.0329891360508192</v>
      </c>
      <c r="N2548">
        <v>62.331325905812399</v>
      </c>
      <c r="O2548">
        <v>59.503989796514801</v>
      </c>
      <c r="P2548">
        <v>-3.79783729407712E-2</v>
      </c>
      <c r="Q2548">
        <v>0</v>
      </c>
      <c r="R2548">
        <v>0.97155278030671999</v>
      </c>
      <c r="S2548" t="s">
        <v>9194</v>
      </c>
      <c r="T2548" t="s">
        <v>13290</v>
      </c>
      <c r="U2548" t="s">
        <v>13290</v>
      </c>
      <c r="V2548" t="s">
        <v>13290</v>
      </c>
      <c r="W2548" t="s">
        <v>15799</v>
      </c>
      <c r="X2548">
        <v>12</v>
      </c>
      <c r="Y2548" t="s">
        <v>22339</v>
      </c>
      <c r="Z2548" t="s">
        <v>28878</v>
      </c>
      <c r="AA2548">
        <v>0.7130108024909444</v>
      </c>
      <c r="AB2548" t="str">
        <f>HYPERLINK("Melting_Curves/meltCurve_P37108_SRP14.pdf", "Melting_Curves/meltCurve_P37108_SRP14.pdf")</f>
        <v>Melting_Curves/meltCurve_P37108_SRP14.pdf</v>
      </c>
    </row>
    <row r="2549" spans="1:28" x14ac:dyDescent="0.25">
      <c r="A2549" t="s">
        <v>2553</v>
      </c>
      <c r="B2549">
        <v>0.99252571173614901</v>
      </c>
      <c r="C2549">
        <v>0.89914598790579803</v>
      </c>
      <c r="D2549">
        <v>0.94142947413244704</v>
      </c>
      <c r="E2549">
        <v>0.84552156717172</v>
      </c>
      <c r="F2549">
        <v>0.46083322218893402</v>
      </c>
      <c r="G2549">
        <v>0.34965811135922298</v>
      </c>
      <c r="H2549">
        <v>0.34561279079442297</v>
      </c>
      <c r="I2549">
        <v>0.488686779964213</v>
      </c>
      <c r="J2549">
        <v>0.78626234287471897</v>
      </c>
      <c r="K2549">
        <v>0.95717204184739502</v>
      </c>
      <c r="L2549">
        <v>12429.6434223221</v>
      </c>
      <c r="M2549">
        <v>250</v>
      </c>
      <c r="O2549">
        <v>49.715392306711401</v>
      </c>
      <c r="P2549">
        <v>-0.54723468204321501</v>
      </c>
      <c r="Q2549">
        <v>0.56470421250392699</v>
      </c>
      <c r="R2549">
        <v>0.47836775067047699</v>
      </c>
      <c r="S2549" t="s">
        <v>9195</v>
      </c>
      <c r="T2549" t="s">
        <v>13290</v>
      </c>
      <c r="U2549" t="s">
        <v>13290</v>
      </c>
      <c r="V2549" t="s">
        <v>13290</v>
      </c>
      <c r="W2549" t="s">
        <v>15800</v>
      </c>
      <c r="X2549">
        <v>8</v>
      </c>
      <c r="Y2549" t="s">
        <v>22340</v>
      </c>
      <c r="Z2549" t="s">
        <v>28879</v>
      </c>
      <c r="AA2549">
        <v>0.70575733395906004</v>
      </c>
      <c r="AB2549" t="str">
        <f>HYPERLINK("Melting_Curves/meltCurve_P37198_NUP62.pdf", "Melting_Curves/meltCurve_P37198_NUP62.pdf")</f>
        <v>Melting_Curves/meltCurve_P37198_NUP62.pdf</v>
      </c>
    </row>
    <row r="2550" spans="1:28" x14ac:dyDescent="0.25">
      <c r="A2550" t="s">
        <v>2554</v>
      </c>
      <c r="B2550">
        <v>0.99252571173614901</v>
      </c>
      <c r="C2550">
        <v>1.0146534253277399</v>
      </c>
      <c r="D2550">
        <v>0.93493662231257602</v>
      </c>
      <c r="E2550">
        <v>0.88732940781372405</v>
      </c>
      <c r="F2550">
        <v>0.584605731123509</v>
      </c>
      <c r="G2550">
        <v>0.37860989941265799</v>
      </c>
      <c r="H2550">
        <v>0.27938852015784599</v>
      </c>
      <c r="I2550">
        <v>0.355985136986122</v>
      </c>
      <c r="J2550">
        <v>0.38727504659150902</v>
      </c>
      <c r="K2550">
        <v>0.31746321764565799</v>
      </c>
      <c r="L2550">
        <v>1559.38168496973</v>
      </c>
      <c r="M2550">
        <v>29.860264305843302</v>
      </c>
      <c r="N2550">
        <v>54.1931135199737</v>
      </c>
      <c r="O2550">
        <v>51.990092066360504</v>
      </c>
      <c r="P2550">
        <v>-9.6035163809512505E-2</v>
      </c>
      <c r="Q2550">
        <v>0.33117215792469601</v>
      </c>
      <c r="R2550">
        <v>0.98735543392588099</v>
      </c>
      <c r="S2550" t="s">
        <v>9196</v>
      </c>
      <c r="T2550" t="s">
        <v>13290</v>
      </c>
      <c r="U2550" t="s">
        <v>13290</v>
      </c>
      <c r="V2550" t="s">
        <v>13290</v>
      </c>
      <c r="W2550" t="s">
        <v>15801</v>
      </c>
      <c r="X2550">
        <v>5</v>
      </c>
      <c r="Y2550" t="s">
        <v>22341</v>
      </c>
      <c r="Z2550" t="s">
        <v>28880</v>
      </c>
      <c r="AA2550">
        <v>0.60799464024708338</v>
      </c>
      <c r="AB2550" t="str">
        <f>HYPERLINK("Melting_Curves/meltCurve_P37235_HPCAL1.pdf", "Melting_Curves/meltCurve_P37235_HPCAL1.pdf")</f>
        <v>Melting_Curves/meltCurve_P37235_HPCAL1.pdf</v>
      </c>
    </row>
    <row r="2551" spans="1:28" x14ac:dyDescent="0.25">
      <c r="A2551" t="s">
        <v>2555</v>
      </c>
      <c r="B2551">
        <v>0.99252571173614901</v>
      </c>
      <c r="C2551">
        <v>0.936179255302934</v>
      </c>
      <c r="D2551">
        <v>0.87178620522301298</v>
      </c>
      <c r="E2551">
        <v>0.71687626057577303</v>
      </c>
      <c r="F2551">
        <v>0.254265744169687</v>
      </c>
      <c r="G2551">
        <v>8.7170455465255897E-2</v>
      </c>
      <c r="H2551">
        <v>5.65125303383784E-2</v>
      </c>
      <c r="I2551">
        <v>5.6438715928503698E-2</v>
      </c>
      <c r="J2551">
        <v>5.1509358098314702E-2</v>
      </c>
      <c r="K2551">
        <v>4.3355816835533502E-2</v>
      </c>
      <c r="L2551">
        <v>1306.87957599079</v>
      </c>
      <c r="M2551">
        <v>25.683535586990399</v>
      </c>
      <c r="N2551">
        <v>51.053583414948903</v>
      </c>
      <c r="O2551">
        <v>50.578473566894097</v>
      </c>
      <c r="P2551">
        <v>-0.12175821363075701</v>
      </c>
      <c r="Q2551">
        <v>4.0899957289169203E-2</v>
      </c>
      <c r="R2551">
        <v>0.99313495751483605</v>
      </c>
      <c r="S2551" t="s">
        <v>9197</v>
      </c>
      <c r="T2551" t="s">
        <v>13290</v>
      </c>
      <c r="U2551" t="s">
        <v>13290</v>
      </c>
      <c r="V2551" t="s">
        <v>13290</v>
      </c>
      <c r="W2551" t="s">
        <v>15802</v>
      </c>
      <c r="X2551">
        <v>23</v>
      </c>
      <c r="Y2551" t="s">
        <v>22342</v>
      </c>
      <c r="Z2551" t="s">
        <v>28881</v>
      </c>
      <c r="AA2551">
        <v>0.39706399343796772</v>
      </c>
      <c r="AB2551" t="str">
        <f>HYPERLINK("Melting_Curves/meltCurve_P37268_FDFT1.pdf", "Melting_Curves/meltCurve_P37268_FDFT1.pdf")</f>
        <v>Melting_Curves/meltCurve_P37268_FDFT1.pdf</v>
      </c>
    </row>
    <row r="2552" spans="1:28" x14ac:dyDescent="0.25">
      <c r="A2552" t="s">
        <v>2556</v>
      </c>
      <c r="B2552">
        <v>0.99252571173614901</v>
      </c>
      <c r="C2552">
        <v>0.83553297981074304</v>
      </c>
      <c r="D2552">
        <v>0.70843002924836596</v>
      </c>
      <c r="E2552">
        <v>0.72090147948467398</v>
      </c>
      <c r="F2552">
        <v>0.388952219036233</v>
      </c>
      <c r="G2552">
        <v>0.18314771073857899</v>
      </c>
      <c r="H2552">
        <v>7.2640510275216202E-2</v>
      </c>
      <c r="I2552">
        <v>5.4840666972899299E-2</v>
      </c>
      <c r="J2552">
        <v>9.9831717906002204E-2</v>
      </c>
      <c r="K2552">
        <v>4.7949330639891201E-2</v>
      </c>
      <c r="L2552">
        <v>615.95261118948895</v>
      </c>
      <c r="M2552">
        <v>12.051656224162199</v>
      </c>
      <c r="N2552">
        <v>51.1093745272278</v>
      </c>
      <c r="O2552">
        <v>49.763189837147102</v>
      </c>
      <c r="P2552">
        <v>-6.0559392149915001E-2</v>
      </c>
      <c r="Q2552">
        <v>0</v>
      </c>
      <c r="R2552">
        <v>0.96868654789025299</v>
      </c>
      <c r="S2552" t="s">
        <v>9198</v>
      </c>
      <c r="T2552" t="s">
        <v>13290</v>
      </c>
      <c r="U2552" t="s">
        <v>13290</v>
      </c>
      <c r="V2552" t="s">
        <v>13290</v>
      </c>
      <c r="W2552" t="s">
        <v>15803</v>
      </c>
      <c r="X2552">
        <v>1</v>
      </c>
      <c r="Y2552" t="s">
        <v>22343</v>
      </c>
      <c r="Z2552" t="s">
        <v>28882</v>
      </c>
      <c r="AA2552">
        <v>0.40251298392066709</v>
      </c>
      <c r="AB2552" t="str">
        <f>HYPERLINK("Melting_Curves/meltCurve_P37287_3_PIGA.pdf", "Melting_Curves/meltCurve_P37287_3_PIGA.pdf")</f>
        <v>Melting_Curves/meltCurve_P37287_3_PIGA.pdf</v>
      </c>
    </row>
    <row r="2553" spans="1:28" x14ac:dyDescent="0.25">
      <c r="A2553" t="s">
        <v>2557</v>
      </c>
      <c r="B2553">
        <v>0.99252571173614901</v>
      </c>
      <c r="C2553">
        <v>1.1495596112739399</v>
      </c>
      <c r="D2553">
        <v>0.76725498849263496</v>
      </c>
      <c r="E2553">
        <v>0.56458138953578196</v>
      </c>
      <c r="F2553">
        <v>0.23480229156610499</v>
      </c>
      <c r="G2553">
        <v>0.131706611249398</v>
      </c>
      <c r="H2553">
        <v>9.3217460206347497E-2</v>
      </c>
      <c r="I2553">
        <v>8.6456049338645494E-2</v>
      </c>
      <c r="J2553">
        <v>0.106309870198557</v>
      </c>
      <c r="K2553">
        <v>0.114069587463723</v>
      </c>
      <c r="L2553">
        <v>1129.8707741532601</v>
      </c>
      <c r="M2553">
        <v>22.856739677008498</v>
      </c>
      <c r="N2553">
        <v>49.886032985519499</v>
      </c>
      <c r="O2553">
        <v>49.058977662491699</v>
      </c>
      <c r="P2553">
        <v>-0.105555450564237</v>
      </c>
      <c r="Q2553">
        <v>9.3773636129610399E-2</v>
      </c>
      <c r="R2553">
        <v>0.97246824676328303</v>
      </c>
      <c r="S2553" t="s">
        <v>9199</v>
      </c>
      <c r="T2553" t="s">
        <v>13290</v>
      </c>
      <c r="U2553" t="s">
        <v>13290</v>
      </c>
      <c r="V2553" t="s">
        <v>13290</v>
      </c>
      <c r="W2553" t="s">
        <v>15804</v>
      </c>
      <c r="X2553">
        <v>19</v>
      </c>
      <c r="Y2553" t="s">
        <v>22344</v>
      </c>
      <c r="Z2553" t="s">
        <v>28883</v>
      </c>
      <c r="AA2553">
        <v>0.38838059620677839</v>
      </c>
      <c r="AB2553" t="str">
        <f>HYPERLINK("Melting_Curves/meltCurve_P37802_TAGLN2.pdf", "Melting_Curves/meltCurve_P37802_TAGLN2.pdf")</f>
        <v>Melting_Curves/meltCurve_P37802_TAGLN2.pdf</v>
      </c>
    </row>
    <row r="2554" spans="1:28" x14ac:dyDescent="0.25">
      <c r="A2554" t="s">
        <v>2558</v>
      </c>
      <c r="B2554">
        <v>0.99252571173614901</v>
      </c>
      <c r="C2554">
        <v>1.1250611273919999</v>
      </c>
      <c r="D2554">
        <v>0.87641457400549805</v>
      </c>
      <c r="E2554">
        <v>0.70872119165291703</v>
      </c>
      <c r="F2554">
        <v>0.319487304130191</v>
      </c>
      <c r="G2554">
        <v>0.20580938054533199</v>
      </c>
      <c r="H2554">
        <v>0.188629329394779</v>
      </c>
      <c r="I2554">
        <v>0.19809172616982501</v>
      </c>
      <c r="J2554">
        <v>0.21703001488059001</v>
      </c>
      <c r="K2554">
        <v>0.17223963440322901</v>
      </c>
      <c r="L2554">
        <v>1441.94435733047</v>
      </c>
      <c r="M2554">
        <v>28.620500698931</v>
      </c>
      <c r="N2554">
        <v>51.222272674973503</v>
      </c>
      <c r="O2554">
        <v>50.137487370127097</v>
      </c>
      <c r="P2554">
        <v>-0.115963320202432</v>
      </c>
      <c r="Q2554">
        <v>0.18742678063203</v>
      </c>
      <c r="R2554">
        <v>0.981213902534398</v>
      </c>
      <c r="S2554" t="s">
        <v>9200</v>
      </c>
      <c r="T2554" t="s">
        <v>13290</v>
      </c>
      <c r="U2554" t="s">
        <v>13290</v>
      </c>
      <c r="V2554" t="s">
        <v>13290</v>
      </c>
      <c r="W2554" t="s">
        <v>15805</v>
      </c>
      <c r="X2554">
        <v>34</v>
      </c>
      <c r="Y2554" t="s">
        <v>22345</v>
      </c>
      <c r="Z2554" t="s">
        <v>28884</v>
      </c>
      <c r="AA2554">
        <v>0.47417851383768889</v>
      </c>
      <c r="AB2554" t="str">
        <f>HYPERLINK("Melting_Curves/meltCurve_P37837_TALDO1.pdf", "Melting_Curves/meltCurve_P37837_TALDO1.pdf")</f>
        <v>Melting_Curves/meltCurve_P37837_TALDO1.pdf</v>
      </c>
    </row>
    <row r="2555" spans="1:28" x14ac:dyDescent="0.25">
      <c r="A2555" t="s">
        <v>2559</v>
      </c>
      <c r="B2555">
        <v>0.99252571173614901</v>
      </c>
      <c r="C2555">
        <v>1.0955053447523799</v>
      </c>
      <c r="D2555">
        <v>1.0000732415572799</v>
      </c>
      <c r="E2555">
        <v>0.88805452491327197</v>
      </c>
      <c r="F2555">
        <v>0.66995614457367703</v>
      </c>
      <c r="G2555">
        <v>0.40581946375018502</v>
      </c>
      <c r="H2555">
        <v>0.38354011994399001</v>
      </c>
      <c r="I2555">
        <v>0.147271663771704</v>
      </c>
      <c r="J2555">
        <v>0.104783066183689</v>
      </c>
      <c r="K2555">
        <v>9.6576838650340599E-2</v>
      </c>
      <c r="L2555">
        <v>837.742885150397</v>
      </c>
      <c r="M2555">
        <v>15.031627024723299</v>
      </c>
      <c r="N2555">
        <v>56.209883672136499</v>
      </c>
      <c r="O2555">
        <v>54.7735303601007</v>
      </c>
      <c r="P2555">
        <v>-6.4499247224323694E-2</v>
      </c>
      <c r="Q2555">
        <v>5.9982393627730397E-2</v>
      </c>
      <c r="R2555">
        <v>0.97807006346127501</v>
      </c>
      <c r="S2555" t="s">
        <v>9201</v>
      </c>
      <c r="T2555" t="s">
        <v>13290</v>
      </c>
      <c r="U2555" t="s">
        <v>13290</v>
      </c>
      <c r="V2555" t="s">
        <v>13290</v>
      </c>
      <c r="W2555" t="s">
        <v>15806</v>
      </c>
      <c r="X2555">
        <v>26</v>
      </c>
      <c r="Y2555" t="s">
        <v>22346</v>
      </c>
      <c r="Z2555" t="s">
        <v>28885</v>
      </c>
      <c r="AA2555">
        <v>0.56999343906087818</v>
      </c>
      <c r="AB2555" t="str">
        <f>HYPERLINK("Melting_Curves/meltCurve_P38117_ETFB.pdf", "Melting_Curves/meltCurve_P38117_ETFB.pdf")</f>
        <v>Melting_Curves/meltCurve_P38117_ETFB.pdf</v>
      </c>
    </row>
    <row r="2556" spans="1:28" x14ac:dyDescent="0.25">
      <c r="A2556" t="s">
        <v>2560</v>
      </c>
      <c r="B2556">
        <v>0.99252571173614901</v>
      </c>
      <c r="C2556">
        <v>1.00912772740481</v>
      </c>
      <c r="D2556">
        <v>0.98512664506446601</v>
      </c>
      <c r="E2556">
        <v>0.97070423188073596</v>
      </c>
      <c r="F2556">
        <v>0.84024331310843903</v>
      </c>
      <c r="G2556">
        <v>0.60273964812696601</v>
      </c>
      <c r="H2556">
        <v>0.63149758159160596</v>
      </c>
      <c r="I2556">
        <v>0.82238642262181705</v>
      </c>
      <c r="J2556">
        <v>1.2315911792985099</v>
      </c>
      <c r="K2556">
        <v>1.26355824726976</v>
      </c>
      <c r="L2556">
        <v>15000</v>
      </c>
      <c r="M2556">
        <v>225.513238358645</v>
      </c>
      <c r="O2556">
        <v>66.509705911920193</v>
      </c>
      <c r="P2556">
        <v>0.22356595649896499</v>
      </c>
      <c r="Q2556">
        <v>1.2637416283423699</v>
      </c>
      <c r="R2556">
        <v>0.186671855675559</v>
      </c>
      <c r="S2556" t="s">
        <v>9202</v>
      </c>
      <c r="T2556" t="s">
        <v>13290</v>
      </c>
      <c r="U2556" t="s">
        <v>13290</v>
      </c>
      <c r="V2556" t="s">
        <v>13290</v>
      </c>
      <c r="W2556" t="s">
        <v>15807</v>
      </c>
      <c r="X2556">
        <v>24</v>
      </c>
      <c r="Y2556" t="s">
        <v>22346</v>
      </c>
      <c r="Z2556" t="s">
        <v>28886</v>
      </c>
      <c r="AA2556">
        <v>1.030600695027589</v>
      </c>
      <c r="AB2556" t="str">
        <f>HYPERLINK("Melting_Curves/meltCurve_P38117_2_ETFB.pdf", "Melting_Curves/meltCurve_P38117_2_ETFB.pdf")</f>
        <v>Melting_Curves/meltCurve_P38117_2_ETFB.pdf</v>
      </c>
    </row>
    <row r="2557" spans="1:28" x14ac:dyDescent="0.25">
      <c r="A2557" t="s">
        <v>2561</v>
      </c>
      <c r="B2557">
        <v>0.99252571173614901</v>
      </c>
      <c r="C2557">
        <v>1.07778415420435</v>
      </c>
      <c r="D2557">
        <v>0.96703085643338105</v>
      </c>
      <c r="E2557">
        <v>0.82793210368040604</v>
      </c>
      <c r="F2557">
        <v>0.57968169757389598</v>
      </c>
      <c r="G2557">
        <v>0.46238607329268999</v>
      </c>
      <c r="H2557">
        <v>0.39783535679910798</v>
      </c>
      <c r="I2557">
        <v>0.45526908425992202</v>
      </c>
      <c r="J2557">
        <v>0.62472782065824894</v>
      </c>
      <c r="K2557">
        <v>0.87585999726665598</v>
      </c>
      <c r="L2557">
        <v>2723.5122917568301</v>
      </c>
      <c r="M2557">
        <v>54.494252281941897</v>
      </c>
      <c r="O2557">
        <v>49.9108067644041</v>
      </c>
      <c r="P2557">
        <v>-0.119188226576715</v>
      </c>
      <c r="Q2557">
        <v>0.56334647962819095</v>
      </c>
      <c r="R2557">
        <v>0.72212292642558795</v>
      </c>
      <c r="S2557" t="s">
        <v>9203</v>
      </c>
      <c r="T2557" t="s">
        <v>13290</v>
      </c>
      <c r="U2557" t="s">
        <v>13290</v>
      </c>
      <c r="V2557" t="s">
        <v>13290</v>
      </c>
      <c r="W2557" t="s">
        <v>15808</v>
      </c>
      <c r="X2557">
        <v>22</v>
      </c>
      <c r="Y2557" t="s">
        <v>22347</v>
      </c>
      <c r="Z2557" t="s">
        <v>28887</v>
      </c>
      <c r="AA2557">
        <v>0.70938673110548234</v>
      </c>
      <c r="AB2557" t="str">
        <f>HYPERLINK("Melting_Curves/meltCurve_P38159_RBMX.pdf", "Melting_Curves/meltCurve_P38159_RBMX.pdf")</f>
        <v>Melting_Curves/meltCurve_P38159_RBMX.pdf</v>
      </c>
    </row>
    <row r="2558" spans="1:28" x14ac:dyDescent="0.25">
      <c r="A2558" t="s">
        <v>2562</v>
      </c>
      <c r="B2558">
        <v>0.99252571173614901</v>
      </c>
      <c r="C2558">
        <v>0.95950994425015501</v>
      </c>
      <c r="D2558">
        <v>0.63073751847082604</v>
      </c>
      <c r="E2558">
        <v>0.39355310703132201</v>
      </c>
      <c r="F2558">
        <v>0.248305590964711</v>
      </c>
      <c r="G2558">
        <v>0.17035270353676299</v>
      </c>
      <c r="H2558">
        <v>0.154770881019097</v>
      </c>
      <c r="I2558">
        <v>0.217028552733918</v>
      </c>
      <c r="J2558">
        <v>0.29378885490676099</v>
      </c>
      <c r="K2558">
        <v>0.31747768567908702</v>
      </c>
      <c r="L2558">
        <v>1239.8714783978901</v>
      </c>
      <c r="M2558">
        <v>26.707412838050299</v>
      </c>
      <c r="N2558">
        <v>47.538746239220799</v>
      </c>
      <c r="O2558">
        <v>46.166316738718301</v>
      </c>
      <c r="P2558">
        <v>-0.11097664806832699</v>
      </c>
      <c r="Q2558">
        <v>0.23267302261506101</v>
      </c>
      <c r="R2558">
        <v>0.97031519519798304</v>
      </c>
      <c r="S2558" t="s">
        <v>9204</v>
      </c>
      <c r="T2558" t="s">
        <v>13290</v>
      </c>
      <c r="U2558" t="s">
        <v>13290</v>
      </c>
      <c r="V2558" t="s">
        <v>13290</v>
      </c>
      <c r="W2558" t="s">
        <v>15809</v>
      </c>
      <c r="X2558">
        <v>8</v>
      </c>
      <c r="Y2558" t="s">
        <v>22348</v>
      </c>
      <c r="Z2558" t="s">
        <v>28888</v>
      </c>
      <c r="AA2558">
        <v>0.40298612883015678</v>
      </c>
      <c r="AB2558" t="str">
        <f>HYPERLINK("Melting_Curves/meltCurve_P38432_COIL.pdf", "Melting_Curves/meltCurve_P38432_COIL.pdf")</f>
        <v>Melting_Curves/meltCurve_P38432_COIL.pdf</v>
      </c>
    </row>
    <row r="2559" spans="1:28" x14ac:dyDescent="0.25">
      <c r="A2559" t="s">
        <v>2563</v>
      </c>
      <c r="B2559">
        <v>0.99252571173614901</v>
      </c>
      <c r="C2559">
        <v>0.834059634027841</v>
      </c>
      <c r="D2559">
        <v>0.82982989830504705</v>
      </c>
      <c r="E2559">
        <v>0.54667961886576899</v>
      </c>
      <c r="F2559">
        <v>0.152761305421658</v>
      </c>
      <c r="G2559">
        <v>4.3404311815248502E-2</v>
      </c>
      <c r="H2559">
        <v>2.9772733956753901E-2</v>
      </c>
      <c r="I2559">
        <v>2.42300693363426E-2</v>
      </c>
      <c r="J2559">
        <v>2.7525366901753098E-2</v>
      </c>
      <c r="K2559">
        <v>2.3120416163277601E-2</v>
      </c>
      <c r="L2559">
        <v>996.279028392707</v>
      </c>
      <c r="M2559">
        <v>20.1267301329258</v>
      </c>
      <c r="N2559">
        <v>49.523587034136199</v>
      </c>
      <c r="O2559">
        <v>49.0193966430909</v>
      </c>
      <c r="P2559">
        <v>-0.102166892533082</v>
      </c>
      <c r="Q2559">
        <v>4.7065619591495902E-3</v>
      </c>
      <c r="R2559">
        <v>0.98494538016564803</v>
      </c>
      <c r="S2559" t="s">
        <v>9205</v>
      </c>
      <c r="T2559" t="s">
        <v>13290</v>
      </c>
      <c r="U2559" t="s">
        <v>13290</v>
      </c>
      <c r="V2559" t="s">
        <v>13290</v>
      </c>
      <c r="W2559" t="s">
        <v>15810</v>
      </c>
      <c r="X2559">
        <v>4</v>
      </c>
      <c r="Y2559" t="s">
        <v>22349</v>
      </c>
      <c r="Z2559" t="s">
        <v>28889</v>
      </c>
      <c r="AA2559">
        <v>0.33360804751159739</v>
      </c>
      <c r="AB2559" t="str">
        <f>HYPERLINK("Melting_Curves/meltCurve_P38435_GGCX.pdf", "Melting_Curves/meltCurve_P38435_GGCX.pdf")</f>
        <v>Melting_Curves/meltCurve_P38435_GGCX.pdf</v>
      </c>
    </row>
    <row r="2560" spans="1:28" x14ac:dyDescent="0.25">
      <c r="A2560" t="s">
        <v>2564</v>
      </c>
      <c r="B2560">
        <v>0.99252571173614901</v>
      </c>
      <c r="C2560">
        <v>0.99614847357147995</v>
      </c>
      <c r="D2560">
        <v>0.96426415495210305</v>
      </c>
      <c r="E2560">
        <v>1.2162635014827701</v>
      </c>
      <c r="F2560">
        <v>1.3945222103507999</v>
      </c>
      <c r="G2560">
        <v>0.53093878564055497</v>
      </c>
      <c r="H2560">
        <v>0.313899088464968</v>
      </c>
      <c r="I2560">
        <v>0.30365475863800101</v>
      </c>
      <c r="J2560">
        <v>0.47416895847912399</v>
      </c>
      <c r="K2560">
        <v>0.33809199344367402</v>
      </c>
      <c r="L2560">
        <v>14143.5044912087</v>
      </c>
      <c r="M2560">
        <v>250</v>
      </c>
      <c r="N2560">
        <v>56.859441676096203</v>
      </c>
      <c r="O2560">
        <v>56.570397609316103</v>
      </c>
      <c r="P2560">
        <v>-0.70989684197885305</v>
      </c>
      <c r="Q2560">
        <v>0.35745365502819898</v>
      </c>
      <c r="R2560">
        <v>0.84974886065071498</v>
      </c>
      <c r="S2560" t="s">
        <v>9206</v>
      </c>
      <c r="T2560" t="s">
        <v>13290</v>
      </c>
      <c r="U2560" t="s">
        <v>13290</v>
      </c>
      <c r="V2560" t="s">
        <v>13290</v>
      </c>
      <c r="W2560" t="s">
        <v>15811</v>
      </c>
      <c r="X2560">
        <v>1</v>
      </c>
      <c r="Y2560" t="s">
        <v>22350</v>
      </c>
      <c r="Z2560" t="s">
        <v>28890</v>
      </c>
      <c r="AA2560">
        <v>0.71250327337945185</v>
      </c>
      <c r="AB2560" t="str">
        <f>HYPERLINK("Melting_Curves/meltCurve_P38570_ITGAE.pdf", "Melting_Curves/meltCurve_P38570_ITGAE.pdf")</f>
        <v>Melting_Curves/meltCurve_P38570_ITGAE.pdf</v>
      </c>
    </row>
    <row r="2561" spans="1:28" x14ac:dyDescent="0.25">
      <c r="A2561" t="s">
        <v>2565</v>
      </c>
      <c r="B2561">
        <v>0.99252571173614901</v>
      </c>
      <c r="C2561">
        <v>0.93729729934277695</v>
      </c>
      <c r="D2561">
        <v>0.81685385292541002</v>
      </c>
      <c r="E2561">
        <v>0.70413239388846804</v>
      </c>
      <c r="F2561">
        <v>0.67941984931841903</v>
      </c>
      <c r="G2561">
        <v>0.58492899855035696</v>
      </c>
      <c r="H2561">
        <v>0.497117943305878</v>
      </c>
      <c r="I2561">
        <v>0.216056410332436</v>
      </c>
      <c r="J2561">
        <v>0.162719016152193</v>
      </c>
      <c r="K2561">
        <v>0.13059948949101099</v>
      </c>
      <c r="L2561">
        <v>475.84693412265398</v>
      </c>
      <c r="M2561">
        <v>8.3263934143349196</v>
      </c>
      <c r="N2561">
        <v>57.149242171499601</v>
      </c>
      <c r="O2561">
        <v>54.137590266867697</v>
      </c>
      <c r="P2561">
        <v>-3.8487587990017197E-2</v>
      </c>
      <c r="Q2561">
        <v>0</v>
      </c>
      <c r="R2561">
        <v>0.95223952662938505</v>
      </c>
      <c r="S2561" t="s">
        <v>9207</v>
      </c>
      <c r="T2561" t="s">
        <v>13290</v>
      </c>
      <c r="U2561" t="s">
        <v>13290</v>
      </c>
      <c r="V2561" t="s">
        <v>13290</v>
      </c>
      <c r="W2561" t="s">
        <v>15812</v>
      </c>
      <c r="X2561">
        <v>32</v>
      </c>
      <c r="Y2561" t="s">
        <v>22351</v>
      </c>
      <c r="Z2561" t="s">
        <v>28891</v>
      </c>
      <c r="AA2561">
        <v>0.58336725888664243</v>
      </c>
      <c r="AB2561" t="str">
        <f>HYPERLINK("Melting_Curves/meltCurve_P38606_ATP6V1A.pdf", "Melting_Curves/meltCurve_P38606_ATP6V1A.pdf")</f>
        <v>Melting_Curves/meltCurve_P38606_ATP6V1A.pdf</v>
      </c>
    </row>
    <row r="2562" spans="1:28" x14ac:dyDescent="0.25">
      <c r="A2562" t="s">
        <v>2566</v>
      </c>
      <c r="B2562">
        <v>0.99252571173614901</v>
      </c>
      <c r="C2562">
        <v>0.88309535314918997</v>
      </c>
      <c r="D2562">
        <v>0.88942583614741599</v>
      </c>
      <c r="E2562">
        <v>0.85797920257767202</v>
      </c>
      <c r="F2562">
        <v>0.74530002389213801</v>
      </c>
      <c r="G2562">
        <v>0.55723267428547896</v>
      </c>
      <c r="H2562">
        <v>0.23366973892787299</v>
      </c>
      <c r="I2562">
        <v>7.6885781000168102E-2</v>
      </c>
      <c r="J2562">
        <v>7.9148996504028096E-2</v>
      </c>
      <c r="K2562">
        <v>7.5694577281606307E-2</v>
      </c>
      <c r="L2562">
        <v>871.16275909586398</v>
      </c>
      <c r="M2562">
        <v>15.3760850420704</v>
      </c>
      <c r="N2562">
        <v>56.656994084923802</v>
      </c>
      <c r="O2562">
        <v>55.724599323328498</v>
      </c>
      <c r="P2562">
        <v>-6.8988796008447498E-2</v>
      </c>
      <c r="Q2562">
        <v>0</v>
      </c>
      <c r="R2562">
        <v>0.97623273775181796</v>
      </c>
      <c r="S2562" t="s">
        <v>9208</v>
      </c>
      <c r="T2562" t="s">
        <v>13290</v>
      </c>
      <c r="U2562" t="s">
        <v>13290</v>
      </c>
      <c r="V2562" t="s">
        <v>13290</v>
      </c>
      <c r="W2562" t="s">
        <v>15813</v>
      </c>
      <c r="X2562">
        <v>71</v>
      </c>
      <c r="Y2562" t="s">
        <v>22352</v>
      </c>
      <c r="Z2562" t="s">
        <v>28892</v>
      </c>
      <c r="AA2562">
        <v>0.5714753754447095</v>
      </c>
      <c r="AB2562" t="str">
        <f>HYPERLINK("Melting_Curves/meltCurve_P38646_HSPA9.pdf", "Melting_Curves/meltCurve_P38646_HSPA9.pdf")</f>
        <v>Melting_Curves/meltCurve_P38646_HSPA9.pdf</v>
      </c>
    </row>
    <row r="2563" spans="1:28" x14ac:dyDescent="0.25">
      <c r="A2563" t="s">
        <v>2567</v>
      </c>
      <c r="B2563">
        <v>0.99252571173614901</v>
      </c>
      <c r="C2563">
        <v>1.03423504935621</v>
      </c>
      <c r="D2563">
        <v>1.0042500083410699</v>
      </c>
      <c r="E2563">
        <v>0.92368949168743097</v>
      </c>
      <c r="F2563">
        <v>0.58310397374494605</v>
      </c>
      <c r="G2563">
        <v>0.258538392885452</v>
      </c>
      <c r="H2563">
        <v>0.115373243141372</v>
      </c>
      <c r="I2563">
        <v>9.6663464944081498E-2</v>
      </c>
      <c r="J2563">
        <v>9.7304386746616997E-2</v>
      </c>
      <c r="K2563">
        <v>0.111107850416913</v>
      </c>
      <c r="L2563">
        <v>1532.3098308639501</v>
      </c>
      <c r="M2563">
        <v>28.608976735104299</v>
      </c>
      <c r="N2563">
        <v>53.967153031872797</v>
      </c>
      <c r="O2563">
        <v>53.300833508152898</v>
      </c>
      <c r="P2563">
        <v>-0.12117526603846</v>
      </c>
      <c r="Q2563">
        <v>9.6970284482347499E-2</v>
      </c>
      <c r="R2563">
        <v>0.99871281800816203</v>
      </c>
      <c r="S2563" t="s">
        <v>9209</v>
      </c>
      <c r="T2563" t="s">
        <v>13290</v>
      </c>
      <c r="U2563" t="s">
        <v>13290</v>
      </c>
      <c r="V2563" t="s">
        <v>13290</v>
      </c>
      <c r="W2563" t="s">
        <v>15814</v>
      </c>
      <c r="X2563">
        <v>28</v>
      </c>
      <c r="Y2563" t="s">
        <v>22353</v>
      </c>
      <c r="Z2563" t="s">
        <v>28893</v>
      </c>
      <c r="AA2563">
        <v>0.51162089528483889</v>
      </c>
      <c r="AB2563" t="str">
        <f>HYPERLINK("Melting_Curves/meltCurve_P38919_EIF4A3.pdf", "Melting_Curves/meltCurve_P38919_EIF4A3.pdf")</f>
        <v>Melting_Curves/meltCurve_P38919_EIF4A3.pdf</v>
      </c>
    </row>
    <row r="2564" spans="1:28" x14ac:dyDescent="0.25">
      <c r="A2564" t="s">
        <v>2568</v>
      </c>
      <c r="B2564">
        <v>0.99252571173614901</v>
      </c>
      <c r="C2564">
        <v>0.95334410130767899</v>
      </c>
      <c r="D2564">
        <v>0.85127920889004205</v>
      </c>
      <c r="E2564">
        <v>0.28064184799681902</v>
      </c>
      <c r="F2564">
        <v>0.211046072312466</v>
      </c>
      <c r="G2564">
        <v>8.5262205521335996E-2</v>
      </c>
      <c r="H2564">
        <v>5.7304272515022299E-2</v>
      </c>
      <c r="I2564">
        <v>6.4960910424193705E-2</v>
      </c>
      <c r="J2564">
        <v>6.9362229162773806E-2</v>
      </c>
      <c r="K2564">
        <v>6.6204058768692398E-2</v>
      </c>
      <c r="L2564">
        <v>1592.59217377102</v>
      </c>
      <c r="M2564">
        <v>33.1731455591122</v>
      </c>
      <c r="N2564">
        <v>48.266102035090299</v>
      </c>
      <c r="O2564">
        <v>47.835011062153598</v>
      </c>
      <c r="P2564">
        <v>-0.159306716832468</v>
      </c>
      <c r="Q2564">
        <v>8.1135420342502804E-2</v>
      </c>
      <c r="R2564">
        <v>0.99088342604872104</v>
      </c>
      <c r="S2564" t="s">
        <v>9210</v>
      </c>
      <c r="T2564" t="s">
        <v>13290</v>
      </c>
      <c r="U2564" t="s">
        <v>13290</v>
      </c>
      <c r="V2564" t="s">
        <v>13290</v>
      </c>
      <c r="W2564" t="s">
        <v>15815</v>
      </c>
      <c r="X2564">
        <v>2</v>
      </c>
      <c r="Y2564" t="s">
        <v>22354</v>
      </c>
      <c r="Z2564" t="s">
        <v>28894</v>
      </c>
      <c r="AA2564">
        <v>0.3309135571655748</v>
      </c>
      <c r="AB2564" t="str">
        <f>HYPERLINK("Melting_Curves/meltCurve_P38935_IGHMBP2.pdf", "Melting_Curves/meltCurve_P38935_IGHMBP2.pdf")</f>
        <v>Melting_Curves/meltCurve_P38935_IGHMBP2.pdf</v>
      </c>
    </row>
    <row r="2565" spans="1:28" x14ac:dyDescent="0.25">
      <c r="A2565" t="s">
        <v>2569</v>
      </c>
      <c r="B2565">
        <v>0.99252571173614901</v>
      </c>
      <c r="C2565">
        <v>1.0667790114486799</v>
      </c>
      <c r="D2565">
        <v>0.89513584759409404</v>
      </c>
      <c r="E2565">
        <v>0.92042520528772198</v>
      </c>
      <c r="F2565">
        <v>0.74105012132862003</v>
      </c>
      <c r="G2565">
        <v>0.60726805586940802</v>
      </c>
      <c r="H2565">
        <v>0.46663384173956302</v>
      </c>
      <c r="I2565">
        <v>0.53374670506604005</v>
      </c>
      <c r="J2565">
        <v>0.752453935307699</v>
      </c>
      <c r="K2565">
        <v>1.0305612694314801</v>
      </c>
      <c r="L2565">
        <v>1993.0327381509201</v>
      </c>
      <c r="M2565">
        <v>39.192924730601199</v>
      </c>
      <c r="O2565">
        <v>50.720018807053101</v>
      </c>
      <c r="P2565">
        <v>-6.1892487746268002E-2</v>
      </c>
      <c r="Q2565">
        <v>0.67961767406638496</v>
      </c>
      <c r="R2565">
        <v>0.47273221600201298</v>
      </c>
      <c r="S2565" t="s">
        <v>9211</v>
      </c>
      <c r="T2565" t="s">
        <v>13290</v>
      </c>
      <c r="U2565" t="s">
        <v>13290</v>
      </c>
      <c r="V2565" t="s">
        <v>13290</v>
      </c>
      <c r="W2565" t="s">
        <v>15816</v>
      </c>
      <c r="X2565">
        <v>13</v>
      </c>
      <c r="Y2565" t="s">
        <v>22355</v>
      </c>
      <c r="Z2565" t="s">
        <v>28895</v>
      </c>
      <c r="AA2565">
        <v>0.79668239845422673</v>
      </c>
      <c r="AB2565" t="str">
        <f>HYPERLINK("Melting_Curves/meltCurve_P39019_RPS19.pdf", "Melting_Curves/meltCurve_P39019_RPS19.pdf")</f>
        <v>Melting_Curves/meltCurve_P39019_RPS19.pdf</v>
      </c>
    </row>
    <row r="2566" spans="1:28" x14ac:dyDescent="0.25">
      <c r="A2566" t="s">
        <v>2570</v>
      </c>
      <c r="B2566">
        <v>0.99252571173614901</v>
      </c>
      <c r="C2566">
        <v>1.00817354132512</v>
      </c>
      <c r="D2566">
        <v>0.85517389853634795</v>
      </c>
      <c r="E2566">
        <v>0.84048839153989396</v>
      </c>
      <c r="F2566">
        <v>0.51919764927204004</v>
      </c>
      <c r="G2566">
        <v>0.31345877029432301</v>
      </c>
      <c r="H2566">
        <v>0.182455273953258</v>
      </c>
      <c r="I2566">
        <v>0.204916263720231</v>
      </c>
      <c r="J2566">
        <v>0.31003620305042801</v>
      </c>
      <c r="K2566">
        <v>0.25866762445189101</v>
      </c>
      <c r="L2566">
        <v>1218.2836672433</v>
      </c>
      <c r="M2566">
        <v>23.452998730869801</v>
      </c>
      <c r="N2566">
        <v>53.347244475974499</v>
      </c>
      <c r="O2566">
        <v>51.572528395697198</v>
      </c>
      <c r="P2566">
        <v>-8.7544231336180903E-2</v>
      </c>
      <c r="Q2566">
        <v>0.22998374585494499</v>
      </c>
      <c r="R2566">
        <v>0.974723202051482</v>
      </c>
      <c r="S2566" t="s">
        <v>9212</v>
      </c>
      <c r="T2566" t="s">
        <v>13290</v>
      </c>
      <c r="U2566" t="s">
        <v>13290</v>
      </c>
      <c r="V2566" t="s">
        <v>13290</v>
      </c>
      <c r="W2566" t="s">
        <v>15817</v>
      </c>
      <c r="X2566">
        <v>8</v>
      </c>
      <c r="Y2566" t="s">
        <v>22356</v>
      </c>
      <c r="Z2566" t="s">
        <v>28896</v>
      </c>
      <c r="AA2566">
        <v>0.5445365700754089</v>
      </c>
      <c r="AB2566" t="str">
        <f>HYPERLINK("Melting_Curves/meltCurve_P39023_RPL3.pdf", "Melting_Curves/meltCurve_P39023_RPL3.pdf")</f>
        <v>Melting_Curves/meltCurve_P39023_RPL3.pdf</v>
      </c>
    </row>
    <row r="2567" spans="1:28" x14ac:dyDescent="0.25">
      <c r="A2567" t="s">
        <v>2571</v>
      </c>
      <c r="B2567">
        <v>0.99252571173614901</v>
      </c>
      <c r="C2567">
        <v>0.81612863135067704</v>
      </c>
      <c r="D2567">
        <v>0.82575720156432497</v>
      </c>
      <c r="E2567">
        <v>0.68674253508840499</v>
      </c>
      <c r="F2567">
        <v>0.26462086070587099</v>
      </c>
      <c r="G2567">
        <v>7.9517900495276198E-2</v>
      </c>
      <c r="H2567">
        <v>4.6909478761165399E-2</v>
      </c>
      <c r="I2567">
        <v>4.4861538080330603E-2</v>
      </c>
      <c r="J2567">
        <v>6.0166510910802599E-2</v>
      </c>
      <c r="K2567">
        <v>5.2075739058158099E-2</v>
      </c>
      <c r="L2567">
        <v>928.58947480645099</v>
      </c>
      <c r="M2567">
        <v>18.374057133994501</v>
      </c>
      <c r="N2567">
        <v>50.650640678277199</v>
      </c>
      <c r="O2567">
        <v>49.950856789316603</v>
      </c>
      <c r="P2567">
        <v>-9.0125011951487796E-2</v>
      </c>
      <c r="Q2567">
        <v>2.00059740888235E-2</v>
      </c>
      <c r="R2567">
        <v>0.97286396259752805</v>
      </c>
      <c r="S2567" t="s">
        <v>9213</v>
      </c>
      <c r="T2567" t="s">
        <v>13290</v>
      </c>
      <c r="U2567" t="s">
        <v>13290</v>
      </c>
      <c r="V2567" t="s">
        <v>13290</v>
      </c>
      <c r="W2567" t="s">
        <v>15818</v>
      </c>
      <c r="X2567">
        <v>12</v>
      </c>
      <c r="Y2567" t="s">
        <v>22357</v>
      </c>
      <c r="Z2567" t="s">
        <v>28897</v>
      </c>
      <c r="AA2567">
        <v>0.3802280528506653</v>
      </c>
      <c r="AB2567" t="str">
        <f>HYPERLINK("Melting_Curves/meltCurve_P39656_DDOST.pdf", "Melting_Curves/meltCurve_P39656_DDOST.pdf")</f>
        <v>Melting_Curves/meltCurve_P39656_DDOST.pdf</v>
      </c>
    </row>
    <row r="2568" spans="1:28" x14ac:dyDescent="0.25">
      <c r="A2568" t="s">
        <v>2572</v>
      </c>
      <c r="B2568">
        <v>0.99252571173614901</v>
      </c>
      <c r="C2568">
        <v>1.1279311094284099</v>
      </c>
      <c r="D2568">
        <v>0.98449015034607301</v>
      </c>
      <c r="E2568">
        <v>0.82889166037550599</v>
      </c>
      <c r="F2568">
        <v>0.77558962470511394</v>
      </c>
      <c r="G2568">
        <v>0.47568562427813998</v>
      </c>
      <c r="H2568">
        <v>0.29792803631547599</v>
      </c>
      <c r="I2568">
        <v>0.32660770067508699</v>
      </c>
      <c r="J2568">
        <v>0.421724560666072</v>
      </c>
      <c r="K2568">
        <v>0.45781178206596101</v>
      </c>
      <c r="L2568">
        <v>1357.16614407064</v>
      </c>
      <c r="M2568">
        <v>25.350592060120501</v>
      </c>
      <c r="N2568">
        <v>56.513103914449502</v>
      </c>
      <c r="O2568">
        <v>53.206080270993098</v>
      </c>
      <c r="P2568">
        <v>-7.5223471947996001E-2</v>
      </c>
      <c r="Q2568">
        <v>0.36848896691768801</v>
      </c>
      <c r="R2568">
        <v>0.93720179676804705</v>
      </c>
      <c r="S2568" t="s">
        <v>9214</v>
      </c>
      <c r="T2568" t="s">
        <v>13290</v>
      </c>
      <c r="U2568" t="s">
        <v>13290</v>
      </c>
      <c r="V2568" t="s">
        <v>13290</v>
      </c>
      <c r="W2568" t="s">
        <v>15819</v>
      </c>
      <c r="X2568">
        <v>15</v>
      </c>
      <c r="Y2568" t="s">
        <v>22358</v>
      </c>
      <c r="Z2568" t="s">
        <v>28898</v>
      </c>
      <c r="AA2568">
        <v>0.65910880291341967</v>
      </c>
      <c r="AB2568" t="str">
        <f>HYPERLINK("Melting_Curves/meltCurve_P39687_ANP32A.pdf", "Melting_Curves/meltCurve_P39687_ANP32A.pdf")</f>
        <v>Melting_Curves/meltCurve_P39687_ANP32A.pdf</v>
      </c>
    </row>
    <row r="2569" spans="1:28" x14ac:dyDescent="0.25">
      <c r="A2569" t="s">
        <v>2573</v>
      </c>
      <c r="B2569">
        <v>0.99252571173614901</v>
      </c>
      <c r="C2569">
        <v>1.05981302261944</v>
      </c>
      <c r="D2569">
        <v>0.55449500719245803</v>
      </c>
      <c r="E2569">
        <v>0.37596978608974402</v>
      </c>
      <c r="F2569">
        <v>0.11719148288008099</v>
      </c>
      <c r="G2569">
        <v>6.7425810730443694E-2</v>
      </c>
      <c r="H2569">
        <v>4.5469574766742897E-2</v>
      </c>
      <c r="I2569">
        <v>4.5830871790950599E-2</v>
      </c>
      <c r="J2569">
        <v>4.9245956503020903E-2</v>
      </c>
      <c r="K2569">
        <v>4.5612389719678903E-2</v>
      </c>
      <c r="L2569">
        <v>1042.73753060782</v>
      </c>
      <c r="M2569">
        <v>22.029489543727099</v>
      </c>
      <c r="N2569">
        <v>47.549882792702299</v>
      </c>
      <c r="O2569">
        <v>46.948847732245902</v>
      </c>
      <c r="P2569">
        <v>-0.111718944474284</v>
      </c>
      <c r="Q2569">
        <v>4.7647611467655497E-2</v>
      </c>
      <c r="R2569">
        <v>0.971731486345079</v>
      </c>
      <c r="S2569" t="s">
        <v>9215</v>
      </c>
      <c r="T2569" t="s">
        <v>13290</v>
      </c>
      <c r="U2569" t="s">
        <v>13290</v>
      </c>
      <c r="V2569" t="s">
        <v>13290</v>
      </c>
      <c r="W2569" t="s">
        <v>15820</v>
      </c>
      <c r="X2569">
        <v>30</v>
      </c>
      <c r="Y2569" t="s">
        <v>22359</v>
      </c>
      <c r="Z2569" t="s">
        <v>28899</v>
      </c>
      <c r="AA2569">
        <v>0.29160669021988211</v>
      </c>
      <c r="AB2569" t="str">
        <f>HYPERLINK("Melting_Curves/meltCurve_P39748_FEN1.pdf", "Melting_Curves/meltCurve_P39748_FEN1.pdf")</f>
        <v>Melting_Curves/meltCurve_P39748_FEN1.pdf</v>
      </c>
    </row>
    <row r="2570" spans="1:28" x14ac:dyDescent="0.25">
      <c r="A2570" t="s">
        <v>2574</v>
      </c>
      <c r="B2570">
        <v>0.99252571173614901</v>
      </c>
      <c r="C2570">
        <v>0.91881079205157801</v>
      </c>
      <c r="D2570">
        <v>0.770824710755736</v>
      </c>
      <c r="E2570">
        <v>0.63369628884565599</v>
      </c>
      <c r="F2570">
        <v>0.20308162809429101</v>
      </c>
      <c r="G2570">
        <v>0.129177910541031</v>
      </c>
      <c r="H2570">
        <v>0.119506437376192</v>
      </c>
      <c r="I2570">
        <v>0.16939175977343601</v>
      </c>
      <c r="J2570">
        <v>0.246798301984993</v>
      </c>
      <c r="K2570">
        <v>0.25494028197336599</v>
      </c>
      <c r="L2570">
        <v>1103.9537055637099</v>
      </c>
      <c r="M2570">
        <v>22.547294174792899</v>
      </c>
      <c r="N2570">
        <v>49.874841213882299</v>
      </c>
      <c r="O2570">
        <v>48.581439212881001</v>
      </c>
      <c r="P2570">
        <v>-9.6409031485218594E-2</v>
      </c>
      <c r="Q2570">
        <v>0.16910755435227101</v>
      </c>
      <c r="R2570">
        <v>0.95502496865083697</v>
      </c>
      <c r="S2570" t="s">
        <v>9216</v>
      </c>
      <c r="T2570" t="s">
        <v>13290</v>
      </c>
      <c r="U2570" t="s">
        <v>13290</v>
      </c>
      <c r="V2570" t="s">
        <v>13290</v>
      </c>
      <c r="W2570" t="s">
        <v>15821</v>
      </c>
      <c r="X2570">
        <v>14</v>
      </c>
      <c r="Y2570" t="s">
        <v>22360</v>
      </c>
      <c r="Z2570" t="s">
        <v>28900</v>
      </c>
      <c r="AA2570">
        <v>0.42642166083294453</v>
      </c>
      <c r="AB2570" t="str">
        <f>HYPERLINK("Melting_Curves/meltCurve_P39880_3_CUX1.pdf", "Melting_Curves/meltCurve_P39880_3_CUX1.pdf")</f>
        <v>Melting_Curves/meltCurve_P39880_3_CUX1.pdf</v>
      </c>
    </row>
    <row r="2571" spans="1:28" x14ac:dyDescent="0.25">
      <c r="A2571" t="s">
        <v>2575</v>
      </c>
      <c r="B2571">
        <v>0.99252571173614901</v>
      </c>
      <c r="C2571">
        <v>1.0611156550382901</v>
      </c>
      <c r="D2571">
        <v>0.78470700233493695</v>
      </c>
      <c r="E2571">
        <v>0.27094407370019002</v>
      </c>
      <c r="F2571">
        <v>0.105560811375717</v>
      </c>
      <c r="G2571">
        <v>6.64365217081688E-2</v>
      </c>
      <c r="H2571">
        <v>6.3057594232396402E-2</v>
      </c>
      <c r="I2571">
        <v>6.6863287611195005E-2</v>
      </c>
      <c r="J2571">
        <v>0.100710462268132</v>
      </c>
      <c r="K2571">
        <v>8.9879625373057895E-2</v>
      </c>
      <c r="L2571">
        <v>1699.4355118967401</v>
      </c>
      <c r="M2571">
        <v>35.651712666767502</v>
      </c>
      <c r="N2571">
        <v>47.897426524390603</v>
      </c>
      <c r="O2571">
        <v>47.518482980690798</v>
      </c>
      <c r="P2571">
        <v>-0.1728299372132</v>
      </c>
      <c r="Q2571">
        <v>7.8575629235020802E-2</v>
      </c>
      <c r="R2571">
        <v>0.99495753850401503</v>
      </c>
      <c r="S2571" t="s">
        <v>9217</v>
      </c>
      <c r="T2571" t="s">
        <v>13290</v>
      </c>
      <c r="U2571" t="s">
        <v>13290</v>
      </c>
      <c r="V2571" t="s">
        <v>13290</v>
      </c>
      <c r="W2571" t="s">
        <v>15822</v>
      </c>
      <c r="X2571">
        <v>2</v>
      </c>
      <c r="Y2571" t="s">
        <v>22361</v>
      </c>
      <c r="Z2571" t="s">
        <v>28901</v>
      </c>
      <c r="AA2571">
        <v>0.31794316834253589</v>
      </c>
      <c r="AB2571" t="str">
        <f>HYPERLINK("Melting_Curves/meltCurve_P40121_2_CAPG.pdf", "Melting_Curves/meltCurve_P40121_2_CAPG.pdf")</f>
        <v>Melting_Curves/meltCurve_P40121_2_CAPG.pdf</v>
      </c>
    </row>
    <row r="2572" spans="1:28" x14ac:dyDescent="0.25">
      <c r="A2572" t="s">
        <v>2576</v>
      </c>
      <c r="B2572">
        <v>0.99252571173614901</v>
      </c>
      <c r="C2572">
        <v>0.97919481284842003</v>
      </c>
      <c r="D2572">
        <v>0.84560604333451295</v>
      </c>
      <c r="E2572">
        <v>1.0121023538068199</v>
      </c>
      <c r="F2572">
        <v>0.73649744186950805</v>
      </c>
      <c r="G2572">
        <v>0.41417315988242798</v>
      </c>
      <c r="H2572">
        <v>0.319468502583176</v>
      </c>
      <c r="I2572">
        <v>0.30908782573644</v>
      </c>
      <c r="J2572">
        <v>0.45588389181003502</v>
      </c>
      <c r="K2572">
        <v>0.462733646878071</v>
      </c>
      <c r="L2572">
        <v>3280.18243038523</v>
      </c>
      <c r="M2572">
        <v>61.3715011750662</v>
      </c>
      <c r="N2572">
        <v>54.7907022277452</v>
      </c>
      <c r="O2572">
        <v>53.391312786578602</v>
      </c>
      <c r="P2572">
        <v>-0.175615400062932</v>
      </c>
      <c r="Q2572">
        <v>0.38888030726595701</v>
      </c>
      <c r="R2572">
        <v>0.93932592588602104</v>
      </c>
      <c r="S2572" t="s">
        <v>9218</v>
      </c>
      <c r="T2572" t="s">
        <v>13290</v>
      </c>
      <c r="U2572" t="s">
        <v>13290</v>
      </c>
      <c r="V2572" t="s">
        <v>13290</v>
      </c>
      <c r="W2572" t="s">
        <v>15823</v>
      </c>
      <c r="X2572">
        <v>1</v>
      </c>
      <c r="Y2572" t="s">
        <v>22362</v>
      </c>
      <c r="Z2572" t="s">
        <v>28902</v>
      </c>
      <c r="AA2572">
        <v>0.66377887956022474</v>
      </c>
      <c r="AB2572" t="str">
        <f>HYPERLINK("Melting_Curves/meltCurve_P40189_3_IL6ST.pdf", "Melting_Curves/meltCurve_P40189_3_IL6ST.pdf")</f>
        <v>Melting_Curves/meltCurve_P40189_3_IL6ST.pdf</v>
      </c>
    </row>
    <row r="2573" spans="1:28" x14ac:dyDescent="0.25">
      <c r="A2573" t="s">
        <v>2577</v>
      </c>
      <c r="B2573">
        <v>0.99252571173614901</v>
      </c>
      <c r="C2573">
        <v>0.851467211084866</v>
      </c>
      <c r="D2573">
        <v>1.02437941459249</v>
      </c>
      <c r="E2573">
        <v>0.95337174533505897</v>
      </c>
      <c r="F2573">
        <v>0.42360799390585202</v>
      </c>
      <c r="G2573">
        <v>0.21844554732832699</v>
      </c>
      <c r="H2573">
        <v>0.16485688534731299</v>
      </c>
      <c r="I2573">
        <v>0.19855489348446601</v>
      </c>
      <c r="J2573">
        <v>0.303306089253011</v>
      </c>
      <c r="K2573">
        <v>0.404472605166734</v>
      </c>
      <c r="L2573">
        <v>3039.1709481320199</v>
      </c>
      <c r="M2573">
        <v>58.402282465419901</v>
      </c>
      <c r="N2573">
        <v>52.691094192572798</v>
      </c>
      <c r="O2573">
        <v>51.977650762949303</v>
      </c>
      <c r="P2573">
        <v>-0.20859282503700499</v>
      </c>
      <c r="Q2573">
        <v>0.25741524415938799</v>
      </c>
      <c r="R2573">
        <v>0.94752281401388605</v>
      </c>
      <c r="S2573" t="s">
        <v>9219</v>
      </c>
      <c r="T2573" t="s">
        <v>13290</v>
      </c>
      <c r="U2573" t="s">
        <v>13290</v>
      </c>
      <c r="V2573" t="s">
        <v>13290</v>
      </c>
      <c r="W2573" t="s">
        <v>15824</v>
      </c>
      <c r="X2573">
        <v>30</v>
      </c>
      <c r="Y2573" t="s">
        <v>22363</v>
      </c>
      <c r="Z2573" t="s">
        <v>28903</v>
      </c>
      <c r="AA2573">
        <v>0.55665121768447368</v>
      </c>
      <c r="AB2573" t="str">
        <f>HYPERLINK("Melting_Curves/meltCurve_P40222_TXLNA.pdf", "Melting_Curves/meltCurve_P40222_TXLNA.pdf")</f>
        <v>Melting_Curves/meltCurve_P40222_TXLNA.pdf</v>
      </c>
    </row>
    <row r="2574" spans="1:28" x14ac:dyDescent="0.25">
      <c r="A2574" t="s">
        <v>2578</v>
      </c>
      <c r="B2574">
        <v>0.99252571173614901</v>
      </c>
      <c r="C2574">
        <v>1.0770639461087399</v>
      </c>
      <c r="D2574">
        <v>1.0444633281051301</v>
      </c>
      <c r="E2574">
        <v>0.993610562586553</v>
      </c>
      <c r="F2574">
        <v>1.2901094929166299</v>
      </c>
      <c r="G2574">
        <v>1.3879438994279301</v>
      </c>
      <c r="H2574">
        <v>0.82173724741667098</v>
      </c>
      <c r="I2574">
        <v>0.225913311388662</v>
      </c>
      <c r="J2574">
        <v>0.140396093259506</v>
      </c>
      <c r="K2574">
        <v>0.10958217835758501</v>
      </c>
      <c r="L2574">
        <v>4341.86802529138</v>
      </c>
      <c r="M2574">
        <v>69.983826791381205</v>
      </c>
      <c r="N2574">
        <v>62.298845083011102</v>
      </c>
      <c r="O2574">
        <v>61.9904202857768</v>
      </c>
      <c r="P2574">
        <v>-0.24675108525028799</v>
      </c>
      <c r="Q2574">
        <v>0.12572942947142199</v>
      </c>
      <c r="R2574">
        <v>0.88014394596063905</v>
      </c>
      <c r="S2574" t="s">
        <v>9220</v>
      </c>
      <c r="T2574" t="s">
        <v>13290</v>
      </c>
      <c r="U2574" t="s">
        <v>13290</v>
      </c>
      <c r="V2574" t="s">
        <v>13290</v>
      </c>
      <c r="W2574" t="s">
        <v>15825</v>
      </c>
      <c r="X2574">
        <v>36</v>
      </c>
      <c r="Y2574" t="s">
        <v>22364</v>
      </c>
      <c r="Z2574" t="s">
        <v>28904</v>
      </c>
      <c r="AA2574">
        <v>0.76926262546619861</v>
      </c>
      <c r="AB2574" t="str">
        <f>HYPERLINK("Melting_Curves/meltCurve_P40227_CCT6A.pdf", "Melting_Curves/meltCurve_P40227_CCT6A.pdf")</f>
        <v>Melting_Curves/meltCurve_P40227_CCT6A.pdf</v>
      </c>
    </row>
    <row r="2575" spans="1:28" x14ac:dyDescent="0.25">
      <c r="A2575" t="s">
        <v>2579</v>
      </c>
      <c r="B2575">
        <v>0.99252571173614901</v>
      </c>
      <c r="C2575">
        <v>0.95366581828830799</v>
      </c>
      <c r="D2575">
        <v>0.89719402323741704</v>
      </c>
      <c r="E2575">
        <v>0.91005343116651904</v>
      </c>
      <c r="F2575">
        <v>0.33049790904570597</v>
      </c>
      <c r="G2575">
        <v>0.15713705240471099</v>
      </c>
      <c r="H2575">
        <v>8.7943708560928702E-2</v>
      </c>
      <c r="I2575">
        <v>0.189463538905289</v>
      </c>
      <c r="J2575">
        <v>0.52027054046759602</v>
      </c>
      <c r="K2575">
        <v>0.24800063563643299</v>
      </c>
      <c r="L2575">
        <v>2993.6798439641202</v>
      </c>
      <c r="M2575">
        <v>58.3455921398836</v>
      </c>
      <c r="N2575">
        <v>51.894125550760599</v>
      </c>
      <c r="O2575">
        <v>51.249272689085799</v>
      </c>
      <c r="P2575">
        <v>-0.216054411564091</v>
      </c>
      <c r="Q2575">
        <v>0.24089373557061899</v>
      </c>
      <c r="R2575">
        <v>0.90000103067049697</v>
      </c>
      <c r="S2575" t="s">
        <v>9221</v>
      </c>
      <c r="T2575" t="s">
        <v>13290</v>
      </c>
      <c r="U2575" t="s">
        <v>13290</v>
      </c>
      <c r="V2575" t="s">
        <v>13290</v>
      </c>
      <c r="W2575" t="s">
        <v>15826</v>
      </c>
      <c r="X2575">
        <v>2</v>
      </c>
      <c r="Y2575" t="s">
        <v>22365</v>
      </c>
      <c r="Z2575" t="s">
        <v>28905</v>
      </c>
      <c r="AA2575">
        <v>0.52832254433159276</v>
      </c>
      <c r="AB2575" t="str">
        <f>HYPERLINK("Melting_Curves/meltCurve_P40306_PSMB10.pdf", "Melting_Curves/meltCurve_P40306_PSMB10.pdf")</f>
        <v>Melting_Curves/meltCurve_P40306_PSMB10.pdf</v>
      </c>
    </row>
    <row r="2576" spans="1:28" x14ac:dyDescent="0.25">
      <c r="A2576" t="s">
        <v>2580</v>
      </c>
      <c r="B2576">
        <v>0.99252571173614901</v>
      </c>
      <c r="C2576">
        <v>0.957699288652062</v>
      </c>
      <c r="D2576">
        <v>0.73358862765224697</v>
      </c>
      <c r="E2576">
        <v>0.49229008763394999</v>
      </c>
      <c r="F2576">
        <v>0.31692320249380401</v>
      </c>
      <c r="G2576">
        <v>0.21734906148969099</v>
      </c>
      <c r="H2576">
        <v>0.202777287085224</v>
      </c>
      <c r="I2576">
        <v>0.197706613404137</v>
      </c>
      <c r="J2576">
        <v>0.220015981401148</v>
      </c>
      <c r="K2576">
        <v>0.17617061239437401</v>
      </c>
      <c r="L2576">
        <v>912.88731829194899</v>
      </c>
      <c r="M2576">
        <v>18.9777840062231</v>
      </c>
      <c r="N2576">
        <v>49.357374645229399</v>
      </c>
      <c r="O2576">
        <v>47.578383702043801</v>
      </c>
      <c r="P2576">
        <v>-8.0642707442652894E-2</v>
      </c>
      <c r="Q2576">
        <v>0.19132897225791501</v>
      </c>
      <c r="R2576">
        <v>0.99661332505533395</v>
      </c>
      <c r="S2576" t="s">
        <v>9222</v>
      </c>
      <c r="T2576" t="s">
        <v>13290</v>
      </c>
      <c r="U2576" t="s">
        <v>13290</v>
      </c>
      <c r="V2576" t="s">
        <v>13290</v>
      </c>
      <c r="W2576" t="s">
        <v>15827</v>
      </c>
      <c r="X2576">
        <v>1</v>
      </c>
      <c r="Y2576" t="s">
        <v>22366</v>
      </c>
      <c r="Z2576" t="s">
        <v>28906</v>
      </c>
      <c r="AA2576">
        <v>0.42255746378956532</v>
      </c>
      <c r="AB2576" t="str">
        <f>HYPERLINK("Melting_Curves/meltCurve_P40337_3_VHL.pdf", "Melting_Curves/meltCurve_P40337_3_VHL.pdf")</f>
        <v>Melting_Curves/meltCurve_P40337_3_VHL.pdf</v>
      </c>
    </row>
    <row r="2577" spans="1:28" x14ac:dyDescent="0.25">
      <c r="A2577" t="s">
        <v>2581</v>
      </c>
      <c r="B2577">
        <v>0.99252571173614901</v>
      </c>
      <c r="C2577">
        <v>0.70215873199026502</v>
      </c>
      <c r="D2577">
        <v>0.36313651037442901</v>
      </c>
      <c r="E2577">
        <v>0.180342432656803</v>
      </c>
      <c r="F2577">
        <v>8.6048237758907006E-2</v>
      </c>
      <c r="G2577">
        <v>5.6169739303344998E-2</v>
      </c>
      <c r="H2577">
        <v>4.6831626813919003E-2</v>
      </c>
      <c r="I2577">
        <v>5.3709168237290002E-2</v>
      </c>
      <c r="J2577">
        <v>8.0460394375017993E-2</v>
      </c>
      <c r="K2577">
        <v>7.3624926098392204E-2</v>
      </c>
      <c r="L2577">
        <v>1029.73641811275</v>
      </c>
      <c r="M2577">
        <v>23.120975179585201</v>
      </c>
      <c r="N2577">
        <v>44.8075608278007</v>
      </c>
      <c r="O2577">
        <v>44.207745125603097</v>
      </c>
      <c r="P2577">
        <v>-0.12223166728429299</v>
      </c>
      <c r="Q2577">
        <v>6.5180076662188197E-2</v>
      </c>
      <c r="R2577">
        <v>0.993846504750586</v>
      </c>
      <c r="S2577" t="s">
        <v>9223</v>
      </c>
      <c r="T2577" t="s">
        <v>13290</v>
      </c>
      <c r="U2577" t="s">
        <v>13290</v>
      </c>
      <c r="V2577" t="s">
        <v>13290</v>
      </c>
      <c r="W2577" t="s">
        <v>15828</v>
      </c>
      <c r="X2577">
        <v>6</v>
      </c>
      <c r="Y2577" t="s">
        <v>22367</v>
      </c>
      <c r="Z2577" t="s">
        <v>28907</v>
      </c>
      <c r="AA2577">
        <v>0.21844347673796041</v>
      </c>
      <c r="AB2577" t="str">
        <f>HYPERLINK("Melting_Curves/meltCurve_P40692_MLH1.pdf", "Melting_Curves/meltCurve_P40692_MLH1.pdf")</f>
        <v>Melting_Curves/meltCurve_P40692_MLH1.pdf</v>
      </c>
    </row>
    <row r="2578" spans="1:28" x14ac:dyDescent="0.25">
      <c r="A2578" t="s">
        <v>2582</v>
      </c>
      <c r="B2578">
        <v>0.99252571173614901</v>
      </c>
      <c r="C2578">
        <v>0.89575120022786103</v>
      </c>
      <c r="D2578">
        <v>0.53312626898323501</v>
      </c>
      <c r="E2578">
        <v>0.20197502596499201</v>
      </c>
      <c r="F2578">
        <v>0.109913889939003</v>
      </c>
      <c r="G2578">
        <v>6.7151679501570902E-2</v>
      </c>
      <c r="H2578">
        <v>5.30364011345133E-2</v>
      </c>
      <c r="I2578">
        <v>6.1344528943461402E-2</v>
      </c>
      <c r="J2578">
        <v>6.71716940567815E-2</v>
      </c>
      <c r="K2578">
        <v>6.8709619792915497E-2</v>
      </c>
      <c r="L2578">
        <v>1203.3646128770099</v>
      </c>
      <c r="M2578">
        <v>26.1065002599086</v>
      </c>
      <c r="N2578">
        <v>46.343887464411203</v>
      </c>
      <c r="O2578">
        <v>45.8265334899328</v>
      </c>
      <c r="P2578">
        <v>-0.13308724702397701</v>
      </c>
      <c r="Q2578">
        <v>6.5541831655891003E-2</v>
      </c>
      <c r="R2578">
        <v>0.99915691095699299</v>
      </c>
      <c r="S2578" t="s">
        <v>9224</v>
      </c>
      <c r="T2578" t="s">
        <v>13290</v>
      </c>
      <c r="U2578" t="s">
        <v>13290</v>
      </c>
      <c r="V2578" t="s">
        <v>13290</v>
      </c>
      <c r="W2578" t="s">
        <v>15829</v>
      </c>
      <c r="X2578">
        <v>21</v>
      </c>
      <c r="Y2578" t="s">
        <v>22368</v>
      </c>
      <c r="Z2578" t="s">
        <v>28908</v>
      </c>
      <c r="AA2578">
        <v>0.26315567262522749</v>
      </c>
      <c r="AB2578" t="str">
        <f>HYPERLINK("Melting_Curves/meltCurve_P40763_STAT3.pdf", "Melting_Curves/meltCurve_P40763_STAT3.pdf")</f>
        <v>Melting_Curves/meltCurve_P40763_STAT3.pdf</v>
      </c>
    </row>
    <row r="2579" spans="1:28" x14ac:dyDescent="0.25">
      <c r="A2579" t="s">
        <v>2583</v>
      </c>
      <c r="B2579">
        <v>0.99252571173614901</v>
      </c>
      <c r="C2579">
        <v>0.95867927814088305</v>
      </c>
      <c r="D2579">
        <v>0.69875337439527896</v>
      </c>
      <c r="E2579">
        <v>0.497642563914936</v>
      </c>
      <c r="F2579">
        <v>0.47953358866073598</v>
      </c>
      <c r="G2579">
        <v>0.282144782550033</v>
      </c>
      <c r="H2579">
        <v>0.17268828048505599</v>
      </c>
      <c r="I2579">
        <v>0.22503846870333999</v>
      </c>
      <c r="J2579">
        <v>0.29350895423180501</v>
      </c>
      <c r="K2579">
        <v>0.245118304364905</v>
      </c>
      <c r="L2579">
        <v>739.62601999487902</v>
      </c>
      <c r="M2579">
        <v>15.345761623202501</v>
      </c>
      <c r="N2579">
        <v>50.2005280627641</v>
      </c>
      <c r="O2579">
        <v>47.401210648144698</v>
      </c>
      <c r="P2579">
        <v>-6.2410537641544098E-2</v>
      </c>
      <c r="Q2579">
        <v>0.22895697067352699</v>
      </c>
      <c r="R2579">
        <v>0.96390845684333903</v>
      </c>
      <c r="S2579" t="s">
        <v>9225</v>
      </c>
      <c r="T2579" t="s">
        <v>13290</v>
      </c>
      <c r="U2579" t="s">
        <v>13290</v>
      </c>
      <c r="V2579" t="s">
        <v>13290</v>
      </c>
      <c r="W2579" t="s">
        <v>15830</v>
      </c>
      <c r="X2579">
        <v>21</v>
      </c>
      <c r="Y2579" t="s">
        <v>22368</v>
      </c>
      <c r="Z2579" t="s">
        <v>28909</v>
      </c>
      <c r="AA2579">
        <v>0.45844161390241989</v>
      </c>
      <c r="AB2579" t="str">
        <f>HYPERLINK("Melting_Curves/meltCurve_P40763_2_STAT3.pdf", "Melting_Curves/meltCurve_P40763_2_STAT3.pdf")</f>
        <v>Melting_Curves/meltCurve_P40763_2_STAT3.pdf</v>
      </c>
    </row>
    <row r="2580" spans="1:28" x14ac:dyDescent="0.25">
      <c r="A2580" t="s">
        <v>2584</v>
      </c>
      <c r="B2580">
        <v>0.99252571173614901</v>
      </c>
      <c r="C2580">
        <v>1.0210285829037</v>
      </c>
      <c r="D2580">
        <v>0.81711677813721895</v>
      </c>
      <c r="E2580">
        <v>0.443088446869976</v>
      </c>
      <c r="F2580">
        <v>0.32755683046235101</v>
      </c>
      <c r="G2580">
        <v>0.23934734014470399</v>
      </c>
      <c r="H2580">
        <v>0.14464832004602299</v>
      </c>
      <c r="I2580">
        <v>9.4055657200322995E-2</v>
      </c>
      <c r="J2580">
        <v>0.103441228434289</v>
      </c>
      <c r="K2580">
        <v>0.11075142337072399</v>
      </c>
      <c r="L2580">
        <v>937.942298047039</v>
      </c>
      <c r="M2580">
        <v>19.131991459044698</v>
      </c>
      <c r="N2580">
        <v>49.735816077969197</v>
      </c>
      <c r="O2580">
        <v>48.498628261557101</v>
      </c>
      <c r="P2580">
        <v>-8.6825133978482197E-2</v>
      </c>
      <c r="Q2580">
        <v>0.11964489911316301</v>
      </c>
      <c r="R2580">
        <v>0.98568883340442004</v>
      </c>
      <c r="S2580" t="s">
        <v>9226</v>
      </c>
      <c r="T2580" t="s">
        <v>13290</v>
      </c>
      <c r="U2580" t="s">
        <v>13290</v>
      </c>
      <c r="V2580" t="s">
        <v>13290</v>
      </c>
      <c r="W2580" t="s">
        <v>15831</v>
      </c>
      <c r="X2580">
        <v>12</v>
      </c>
      <c r="Y2580" t="s">
        <v>22369</v>
      </c>
      <c r="Z2580" t="s">
        <v>28910</v>
      </c>
      <c r="AA2580">
        <v>0.3979669100889936</v>
      </c>
      <c r="AB2580" t="str">
        <f>HYPERLINK("Melting_Curves/meltCurve_P40818_USP8.pdf", "Melting_Curves/meltCurve_P40818_USP8.pdf")</f>
        <v>Melting_Curves/meltCurve_P40818_USP8.pdf</v>
      </c>
    </row>
    <row r="2581" spans="1:28" x14ac:dyDescent="0.25">
      <c r="A2581" t="s">
        <v>2585</v>
      </c>
      <c r="B2581">
        <v>0.99252571173614901</v>
      </c>
      <c r="C2581">
        <v>1.0525101103958201</v>
      </c>
      <c r="D2581">
        <v>0.99800209607724999</v>
      </c>
      <c r="E2581">
        <v>0.917026124365384</v>
      </c>
      <c r="F2581">
        <v>0.84645256164086902</v>
      </c>
      <c r="G2581">
        <v>0.632197377581588</v>
      </c>
      <c r="H2581">
        <v>0.18097555682618099</v>
      </c>
      <c r="I2581">
        <v>8.5443660737560101E-2</v>
      </c>
      <c r="J2581">
        <v>9.1557508464326198E-2</v>
      </c>
      <c r="K2581">
        <v>8.2250944950409396E-2</v>
      </c>
      <c r="L2581">
        <v>1513.4718423874799</v>
      </c>
      <c r="M2581">
        <v>26.411930158292598</v>
      </c>
      <c r="N2581">
        <v>57.545615979259203</v>
      </c>
      <c r="O2581">
        <v>56.977128431307499</v>
      </c>
      <c r="P2581">
        <v>-0.10977344784257199</v>
      </c>
      <c r="Q2581">
        <v>5.2775509786029198E-2</v>
      </c>
      <c r="R2581">
        <v>0.99084164082248305</v>
      </c>
      <c r="S2581" t="s">
        <v>9227</v>
      </c>
      <c r="T2581" t="s">
        <v>13290</v>
      </c>
      <c r="U2581" t="s">
        <v>13290</v>
      </c>
      <c r="V2581" t="s">
        <v>13290</v>
      </c>
      <c r="W2581" t="s">
        <v>15832</v>
      </c>
      <c r="X2581">
        <v>24</v>
      </c>
      <c r="Y2581" t="s">
        <v>22370</v>
      </c>
      <c r="Z2581" t="s">
        <v>28911</v>
      </c>
      <c r="AA2581">
        <v>0.60686277422516477</v>
      </c>
      <c r="AB2581" t="str">
        <f>HYPERLINK("Melting_Curves/meltCurve_P40925_MDH1.pdf", "Melting_Curves/meltCurve_P40925_MDH1.pdf")</f>
        <v>Melting_Curves/meltCurve_P40925_MDH1.pdf</v>
      </c>
    </row>
    <row r="2582" spans="1:28" x14ac:dyDescent="0.25">
      <c r="A2582" t="s">
        <v>2586</v>
      </c>
      <c r="B2582">
        <v>0.99252571173614901</v>
      </c>
      <c r="C2582">
        <v>1.06017138030904</v>
      </c>
      <c r="D2582">
        <v>1.01889882776435</v>
      </c>
      <c r="E2582">
        <v>0.94732305182785004</v>
      </c>
      <c r="F2582">
        <v>0.93679564355878098</v>
      </c>
      <c r="G2582">
        <v>0.81526942640699196</v>
      </c>
      <c r="H2582">
        <v>0.54803512312357905</v>
      </c>
      <c r="I2582">
        <v>0.122923401931569</v>
      </c>
      <c r="J2582">
        <v>8.9877533896761799E-2</v>
      </c>
      <c r="K2582">
        <v>7.3743789380648794E-2</v>
      </c>
      <c r="L2582">
        <v>1595.13651098375</v>
      </c>
      <c r="M2582">
        <v>26.353867192275001</v>
      </c>
      <c r="N2582">
        <v>60.5973518041598</v>
      </c>
      <c r="O2582">
        <v>60.182335789166203</v>
      </c>
      <c r="P2582">
        <v>-0.107840917694228</v>
      </c>
      <c r="Q2582">
        <v>1.49383959041509E-2</v>
      </c>
      <c r="R2582">
        <v>0.98588612829672295</v>
      </c>
      <c r="S2582" t="s">
        <v>9228</v>
      </c>
      <c r="T2582" t="s">
        <v>13290</v>
      </c>
      <c r="U2582" t="s">
        <v>13290</v>
      </c>
      <c r="V2582" t="s">
        <v>13290</v>
      </c>
      <c r="W2582" t="s">
        <v>15833</v>
      </c>
      <c r="X2582">
        <v>33</v>
      </c>
      <c r="Y2582" t="s">
        <v>22371</v>
      </c>
      <c r="Z2582" t="s">
        <v>28912</v>
      </c>
      <c r="AA2582">
        <v>0.69548108431610733</v>
      </c>
      <c r="AB2582" t="str">
        <f>HYPERLINK("Melting_Curves/meltCurve_P40926_MDH2.pdf", "Melting_Curves/meltCurve_P40926_MDH2.pdf")</f>
        <v>Melting_Curves/meltCurve_P40926_MDH2.pdf</v>
      </c>
    </row>
    <row r="2583" spans="1:28" x14ac:dyDescent="0.25">
      <c r="A2583" t="s">
        <v>2587</v>
      </c>
      <c r="B2583">
        <v>0.99252571173614901</v>
      </c>
      <c r="C2583">
        <v>0.94005719302455004</v>
      </c>
      <c r="D2583">
        <v>1.00315477289649</v>
      </c>
      <c r="E2583">
        <v>0.87596707690911402</v>
      </c>
      <c r="F2583">
        <v>0.19547276932458299</v>
      </c>
      <c r="G2583">
        <v>0.10638414355674</v>
      </c>
      <c r="H2583">
        <v>7.5107664658434603E-2</v>
      </c>
      <c r="I2583">
        <v>8.9953144478298802E-2</v>
      </c>
      <c r="J2583">
        <v>6.6358732144243301E-2</v>
      </c>
      <c r="K2583">
        <v>5.1988281975000702E-2</v>
      </c>
      <c r="L2583">
        <v>2744.8940843369701</v>
      </c>
      <c r="M2583">
        <v>53.485523907649302</v>
      </c>
      <c r="N2583">
        <v>51.480080897217803</v>
      </c>
      <c r="O2583">
        <v>51.248725537460501</v>
      </c>
      <c r="P2583">
        <v>-0.240960887712416</v>
      </c>
      <c r="Q2583">
        <v>7.6465595310149403E-2</v>
      </c>
      <c r="R2583">
        <v>0.99709477359596799</v>
      </c>
      <c r="S2583" t="s">
        <v>9229</v>
      </c>
      <c r="T2583" t="s">
        <v>13290</v>
      </c>
      <c r="U2583" t="s">
        <v>13290</v>
      </c>
      <c r="V2583" t="s">
        <v>13290</v>
      </c>
      <c r="W2583" t="s">
        <v>15834</v>
      </c>
      <c r="X2583">
        <v>9</v>
      </c>
      <c r="Y2583" t="s">
        <v>22372</v>
      </c>
      <c r="Z2583" t="s">
        <v>28913</v>
      </c>
      <c r="AA2583">
        <v>0.42678141895942118</v>
      </c>
      <c r="AB2583" t="str">
        <f>HYPERLINK("Melting_Curves/meltCurve_P40937_RFC5.pdf", "Melting_Curves/meltCurve_P40937_RFC5.pdf")</f>
        <v>Melting_Curves/meltCurve_P40937_RFC5.pdf</v>
      </c>
    </row>
    <row r="2584" spans="1:28" x14ac:dyDescent="0.25">
      <c r="A2584" t="s">
        <v>2588</v>
      </c>
      <c r="B2584">
        <v>0.99252571173614901</v>
      </c>
      <c r="C2584">
        <v>0.929959610191335</v>
      </c>
      <c r="D2584">
        <v>1.12514538700682</v>
      </c>
      <c r="E2584">
        <v>0.93579220318858602</v>
      </c>
      <c r="F2584">
        <v>0.26825713652155903</v>
      </c>
      <c r="G2584">
        <v>0.199240988066231</v>
      </c>
      <c r="H2584">
        <v>0.10906952004987799</v>
      </c>
      <c r="I2584">
        <v>7.24643029326906E-2</v>
      </c>
      <c r="J2584">
        <v>8.3711566242914495E-2</v>
      </c>
      <c r="K2584">
        <v>7.7226075695232002E-2</v>
      </c>
      <c r="L2584">
        <v>2886.61162846242</v>
      </c>
      <c r="M2584">
        <v>55.712739757058301</v>
      </c>
      <c r="N2584">
        <v>52.034426180234199</v>
      </c>
      <c r="O2584">
        <v>51.745788268028697</v>
      </c>
      <c r="P2584">
        <v>-0.240691836502648</v>
      </c>
      <c r="Q2584">
        <v>0.10578571680957501</v>
      </c>
      <c r="R2584">
        <v>0.98319696239551502</v>
      </c>
      <c r="S2584" t="s">
        <v>9230</v>
      </c>
      <c r="T2584" t="s">
        <v>13290</v>
      </c>
      <c r="U2584" t="s">
        <v>13290</v>
      </c>
      <c r="V2584" t="s">
        <v>13290</v>
      </c>
      <c r="W2584" t="s">
        <v>15835</v>
      </c>
      <c r="X2584">
        <v>8</v>
      </c>
      <c r="Y2584" t="s">
        <v>22373</v>
      </c>
      <c r="Z2584" t="s">
        <v>28914</v>
      </c>
      <c r="AA2584">
        <v>0.45952431697764712</v>
      </c>
      <c r="AB2584" t="str">
        <f>HYPERLINK("Melting_Curves/meltCurve_P40938_2_RFC3.pdf", "Melting_Curves/meltCurve_P40938_2_RFC3.pdf")</f>
        <v>Melting_Curves/meltCurve_P40938_2_RFC3.pdf</v>
      </c>
    </row>
    <row r="2585" spans="1:28" x14ac:dyDescent="0.25">
      <c r="A2585" t="s">
        <v>2589</v>
      </c>
      <c r="B2585">
        <v>0.99252571173614901</v>
      </c>
      <c r="C2585">
        <v>0.84347692039938804</v>
      </c>
      <c r="D2585">
        <v>1.02493038310947</v>
      </c>
      <c r="E2585">
        <v>0.86457221178525501</v>
      </c>
      <c r="F2585">
        <v>0.18417306909567899</v>
      </c>
      <c r="G2585">
        <v>0.105261135177105</v>
      </c>
      <c r="H2585">
        <v>7.1265564372533993E-2</v>
      </c>
      <c r="I2585">
        <v>7.9804001809817698E-2</v>
      </c>
      <c r="J2585">
        <v>8.7256066188547296E-2</v>
      </c>
      <c r="K2585">
        <v>8.7761926952172498E-2</v>
      </c>
      <c r="L2585">
        <v>2826.5110189667798</v>
      </c>
      <c r="M2585">
        <v>55.232899234394303</v>
      </c>
      <c r="N2585">
        <v>51.348393467874502</v>
      </c>
      <c r="O2585">
        <v>51.107456900102797</v>
      </c>
      <c r="P2585">
        <v>-0.247124716831335</v>
      </c>
      <c r="Q2585">
        <v>8.5334373625347806E-2</v>
      </c>
      <c r="R2585">
        <v>0.98467952766622402</v>
      </c>
      <c r="S2585" t="s">
        <v>9231</v>
      </c>
      <c r="T2585" t="s">
        <v>13290</v>
      </c>
      <c r="U2585" t="s">
        <v>13290</v>
      </c>
      <c r="V2585" t="s">
        <v>13290</v>
      </c>
      <c r="W2585" t="s">
        <v>15836</v>
      </c>
      <c r="X2585">
        <v>30</v>
      </c>
      <c r="Y2585" t="s">
        <v>22374</v>
      </c>
      <c r="Z2585" t="s">
        <v>28915</v>
      </c>
      <c r="AA2585">
        <v>0.42771959249843922</v>
      </c>
      <c r="AB2585" t="str">
        <f>HYPERLINK("Melting_Curves/meltCurve_P40939_HADHA.pdf", "Melting_Curves/meltCurve_P40939_HADHA.pdf")</f>
        <v>Melting_Curves/meltCurve_P40939_HADHA.pdf</v>
      </c>
    </row>
    <row r="2586" spans="1:28" x14ac:dyDescent="0.25">
      <c r="A2586" t="s">
        <v>2590</v>
      </c>
      <c r="B2586">
        <v>0.99252571173614901</v>
      </c>
      <c r="C2586">
        <v>0.99462352227078998</v>
      </c>
      <c r="D2586">
        <v>0.983180254114012</v>
      </c>
      <c r="E2586">
        <v>0.98018415444167195</v>
      </c>
      <c r="F2586">
        <v>0.70913449007291196</v>
      </c>
      <c r="G2586">
        <v>0.33897463134901901</v>
      </c>
      <c r="H2586">
        <v>0.12539947448293201</v>
      </c>
      <c r="I2586">
        <v>0.104653252863864</v>
      </c>
      <c r="J2586">
        <v>0.10811357747080901</v>
      </c>
      <c r="K2586">
        <v>9.91818182075489E-2</v>
      </c>
      <c r="L2586">
        <v>1588.9777152639101</v>
      </c>
      <c r="M2586">
        <v>29.051280709251699</v>
      </c>
      <c r="N2586">
        <v>55.095472972262598</v>
      </c>
      <c r="O2586">
        <v>54.438418536747697</v>
      </c>
      <c r="P2586">
        <v>-0.120733681684303</v>
      </c>
      <c r="Q2586">
        <v>9.5048231557442103E-2</v>
      </c>
      <c r="R2586">
        <v>0.99903957440022695</v>
      </c>
      <c r="S2586" t="s">
        <v>9232</v>
      </c>
      <c r="T2586" t="s">
        <v>13290</v>
      </c>
      <c r="U2586" t="s">
        <v>13290</v>
      </c>
      <c r="V2586" t="s">
        <v>13290</v>
      </c>
      <c r="W2586" t="s">
        <v>15837</v>
      </c>
      <c r="X2586">
        <v>29</v>
      </c>
      <c r="Y2586" t="s">
        <v>22375</v>
      </c>
      <c r="Z2586" t="s">
        <v>28916</v>
      </c>
      <c r="AA2586">
        <v>0.54470522272078592</v>
      </c>
      <c r="AB2586" t="str">
        <f>HYPERLINK("Melting_Curves/meltCurve_P41091_EIF2S3.pdf", "Melting_Curves/meltCurve_P41091_EIF2S3.pdf")</f>
        <v>Melting_Curves/meltCurve_P41091_EIF2S3.pdf</v>
      </c>
    </row>
    <row r="2587" spans="1:28" x14ac:dyDescent="0.25">
      <c r="A2587" t="s">
        <v>2591</v>
      </c>
      <c r="B2587">
        <v>0.99252571173614901</v>
      </c>
      <c r="C2587">
        <v>0.97946310418632099</v>
      </c>
      <c r="D2587">
        <v>0.63796513440783598</v>
      </c>
      <c r="E2587">
        <v>0.41270385418880001</v>
      </c>
      <c r="F2587">
        <v>0.200527579092936</v>
      </c>
      <c r="G2587">
        <v>0.14214042487964301</v>
      </c>
      <c r="H2587">
        <v>0.11225127931637301</v>
      </c>
      <c r="I2587">
        <v>0.15630938033188599</v>
      </c>
      <c r="J2587">
        <v>0.29924930178884901</v>
      </c>
      <c r="K2587">
        <v>0.46367079127712801</v>
      </c>
      <c r="L2587">
        <v>1304.9964875840701</v>
      </c>
      <c r="M2587">
        <v>28.046068492699298</v>
      </c>
      <c r="N2587">
        <v>47.587535300192897</v>
      </c>
      <c r="O2587">
        <v>46.295825736134198</v>
      </c>
      <c r="P2587">
        <v>-0.116340199173795</v>
      </c>
      <c r="Q2587">
        <v>0.23183247984081301</v>
      </c>
      <c r="R2587">
        <v>0.90081575951616699</v>
      </c>
      <c r="S2587" t="s">
        <v>9233</v>
      </c>
      <c r="T2587" t="s">
        <v>13290</v>
      </c>
      <c r="U2587" t="s">
        <v>13290</v>
      </c>
      <c r="V2587" t="s">
        <v>13290</v>
      </c>
      <c r="W2587" t="s">
        <v>15838</v>
      </c>
      <c r="X2587">
        <v>4</v>
      </c>
      <c r="Y2587" t="s">
        <v>22376</v>
      </c>
      <c r="Z2587" t="s">
        <v>28917</v>
      </c>
      <c r="AA2587">
        <v>0.40441684272688577</v>
      </c>
      <c r="AB2587" t="str">
        <f>HYPERLINK("Melting_Curves/meltCurve_P41134_ID1.pdf", "Melting_Curves/meltCurve_P41134_ID1.pdf")</f>
        <v>Melting_Curves/meltCurve_P41134_ID1.pdf</v>
      </c>
    </row>
    <row r="2588" spans="1:28" x14ac:dyDescent="0.25">
      <c r="A2588" t="s">
        <v>2592</v>
      </c>
      <c r="B2588">
        <v>0.99252571173614901</v>
      </c>
      <c r="C2588">
        <v>0.90437486620706897</v>
      </c>
      <c r="D2588">
        <v>0.797662075966179</v>
      </c>
      <c r="E2588">
        <v>0.80021341819055003</v>
      </c>
      <c r="F2588">
        <v>0.38423436559870999</v>
      </c>
      <c r="G2588">
        <v>0.20909055034980101</v>
      </c>
      <c r="H2588">
        <v>0.12893697749765901</v>
      </c>
      <c r="I2588">
        <v>0.158829393462701</v>
      </c>
      <c r="J2588">
        <v>0.41167945849292797</v>
      </c>
      <c r="K2588">
        <v>0.679284570948398</v>
      </c>
      <c r="L2588">
        <v>1905.4670879349801</v>
      </c>
      <c r="M2588">
        <v>37.776495262739097</v>
      </c>
      <c r="N2588">
        <v>51.801289824598697</v>
      </c>
      <c r="O2588">
        <v>50.299822432292999</v>
      </c>
      <c r="P2588">
        <v>-0.12868018539954201</v>
      </c>
      <c r="Q2588">
        <v>0.31464542228833398</v>
      </c>
      <c r="R2588">
        <v>0.728069426917891</v>
      </c>
      <c r="S2588" t="s">
        <v>9234</v>
      </c>
      <c r="T2588" t="s">
        <v>13290</v>
      </c>
      <c r="U2588" t="s">
        <v>13290</v>
      </c>
      <c r="V2588" t="s">
        <v>13290</v>
      </c>
      <c r="W2588" t="s">
        <v>15839</v>
      </c>
      <c r="X2588">
        <v>1</v>
      </c>
      <c r="Y2588" t="s">
        <v>22377</v>
      </c>
      <c r="Z2588" t="s">
        <v>28918</v>
      </c>
      <c r="AA2588">
        <v>0.55584342112642038</v>
      </c>
      <c r="AB2588" t="str">
        <f>HYPERLINK("Melting_Curves/meltCurve_P41182_2_BCL6.pdf", "Melting_Curves/meltCurve_P41182_2_BCL6.pdf")</f>
        <v>Melting_Curves/meltCurve_P41182_2_BCL6.pdf</v>
      </c>
    </row>
    <row r="2589" spans="1:28" x14ac:dyDescent="0.25">
      <c r="A2589" t="s">
        <v>2593</v>
      </c>
      <c r="B2589">
        <v>0.99252571173614901</v>
      </c>
      <c r="C2589">
        <v>1.0297653660696799</v>
      </c>
      <c r="D2589">
        <v>0.99063342247205</v>
      </c>
      <c r="E2589">
        <v>0.99179821372381605</v>
      </c>
      <c r="F2589">
        <v>1.0555764243259</v>
      </c>
      <c r="G2589">
        <v>1.01408416028101</v>
      </c>
      <c r="H2589">
        <v>1.19509912590186</v>
      </c>
      <c r="I2589">
        <v>1.69303203795093</v>
      </c>
      <c r="J2589">
        <v>2.9900323689698198</v>
      </c>
      <c r="K2589">
        <v>3.3254872718287598</v>
      </c>
      <c r="L2589">
        <v>15000</v>
      </c>
      <c r="M2589">
        <v>246.26409418744899</v>
      </c>
      <c r="O2589">
        <v>60.9062024294224</v>
      </c>
      <c r="P2589">
        <v>0.50541669998357497</v>
      </c>
      <c r="Q2589">
        <v>1.5</v>
      </c>
      <c r="R2589">
        <v>0.21264308267821</v>
      </c>
      <c r="S2589" t="s">
        <v>9235</v>
      </c>
      <c r="T2589" t="s">
        <v>13290</v>
      </c>
      <c r="U2589" t="s">
        <v>13290</v>
      </c>
      <c r="V2589" t="s">
        <v>13290</v>
      </c>
      <c r="W2589" t="s">
        <v>15840</v>
      </c>
      <c r="X2589">
        <v>7</v>
      </c>
      <c r="Y2589" t="s">
        <v>22378</v>
      </c>
      <c r="Z2589" t="s">
        <v>28919</v>
      </c>
      <c r="AA2589">
        <v>1.151441261256557</v>
      </c>
      <c r="AB2589" t="str">
        <f>HYPERLINK("Melting_Curves/meltCurve_P41208_CETN2.pdf", "Melting_Curves/meltCurve_P41208_CETN2.pdf")</f>
        <v>Melting_Curves/meltCurve_P41208_CETN2.pdf</v>
      </c>
    </row>
    <row r="2590" spans="1:28" x14ac:dyDescent="0.25">
      <c r="A2590" t="s">
        <v>2594</v>
      </c>
      <c r="B2590">
        <v>0.99252571173614901</v>
      </c>
      <c r="C2590">
        <v>0.67325137979625205</v>
      </c>
      <c r="D2590">
        <v>0.42907259910706103</v>
      </c>
      <c r="E2590">
        <v>0.309729956568221</v>
      </c>
      <c r="F2590">
        <v>0.13272054247915999</v>
      </c>
      <c r="G2590">
        <v>8.4623244626794103E-2</v>
      </c>
      <c r="H2590">
        <v>0.10697322313659299</v>
      </c>
      <c r="I2590">
        <v>8.9011785630990506E-2</v>
      </c>
      <c r="J2590">
        <v>0.105867014379306</v>
      </c>
      <c r="K2590">
        <v>8.7610827603829697E-2</v>
      </c>
      <c r="L2590">
        <v>786.83275021517795</v>
      </c>
      <c r="M2590">
        <v>17.519000337805501</v>
      </c>
      <c r="N2590">
        <v>45.440011162041301</v>
      </c>
      <c r="O2590">
        <v>44.340164144044202</v>
      </c>
      <c r="P2590">
        <v>-8.9701284237876294E-2</v>
      </c>
      <c r="Q2590">
        <v>9.1922770076536306E-2</v>
      </c>
      <c r="R2590">
        <v>0.98032541252082595</v>
      </c>
      <c r="S2590" t="s">
        <v>9236</v>
      </c>
      <c r="T2590" t="s">
        <v>13290</v>
      </c>
      <c r="U2590" t="s">
        <v>13290</v>
      </c>
      <c r="V2590" t="s">
        <v>13290</v>
      </c>
      <c r="W2590" t="s">
        <v>15841</v>
      </c>
      <c r="X2590">
        <v>1</v>
      </c>
      <c r="Y2590" t="s">
        <v>22379</v>
      </c>
      <c r="Z2590" t="s">
        <v>28920</v>
      </c>
      <c r="AA2590">
        <v>0.26166192023473561</v>
      </c>
      <c r="AB2590" t="str">
        <f>HYPERLINK("Melting_Curves/meltCurve_P41212_ETV6.pdf", "Melting_Curves/meltCurve_P41212_ETV6.pdf")</f>
        <v>Melting_Curves/meltCurve_P41212_ETV6.pdf</v>
      </c>
    </row>
    <row r="2591" spans="1:28" x14ac:dyDescent="0.25">
      <c r="A2591" t="s">
        <v>2595</v>
      </c>
      <c r="B2591">
        <v>0.99252571173614901</v>
      </c>
      <c r="C2591">
        <v>1.00140129651706</v>
      </c>
      <c r="D2591">
        <v>0.77382204030325297</v>
      </c>
      <c r="E2591">
        <v>0.38635871859512499</v>
      </c>
      <c r="F2591">
        <v>0.21716882426207501</v>
      </c>
      <c r="G2591">
        <v>0.12576962924421001</v>
      </c>
      <c r="H2591">
        <v>0.10282517314751401</v>
      </c>
      <c r="I2591">
        <v>0.113201802040146</v>
      </c>
      <c r="J2591">
        <v>0.131662185246643</v>
      </c>
      <c r="K2591">
        <v>0.13278872142171599</v>
      </c>
      <c r="L2591">
        <v>1230.8904856510901</v>
      </c>
      <c r="M2591">
        <v>25.6250188821368</v>
      </c>
      <c r="N2591">
        <v>48.559937155618698</v>
      </c>
      <c r="O2591">
        <v>47.745050493986497</v>
      </c>
      <c r="P2591">
        <v>-0.117938037812115</v>
      </c>
      <c r="Q2591">
        <v>0.121032753086876</v>
      </c>
      <c r="R2591">
        <v>0.99717622331169098</v>
      </c>
      <c r="S2591" t="s">
        <v>9237</v>
      </c>
      <c r="T2591" t="s">
        <v>13290</v>
      </c>
      <c r="U2591" t="s">
        <v>13290</v>
      </c>
      <c r="V2591" t="s">
        <v>13290</v>
      </c>
      <c r="W2591" t="s">
        <v>15842</v>
      </c>
      <c r="X2591">
        <v>9</v>
      </c>
      <c r="Y2591" t="s">
        <v>22380</v>
      </c>
      <c r="Z2591" t="s">
        <v>28921</v>
      </c>
      <c r="AA2591">
        <v>0.36381329299622739</v>
      </c>
      <c r="AB2591" t="str">
        <f>HYPERLINK("Melting_Curves/meltCurve_P41214_EIF2D.pdf", "Melting_Curves/meltCurve_P41214_EIF2D.pdf")</f>
        <v>Melting_Curves/meltCurve_P41214_EIF2D.pdf</v>
      </c>
    </row>
    <row r="2592" spans="1:28" x14ac:dyDescent="0.25">
      <c r="A2592" t="s">
        <v>2596</v>
      </c>
      <c r="B2592">
        <v>0.99252571173614901</v>
      </c>
      <c r="C2592">
        <v>1.0698914201068901</v>
      </c>
      <c r="D2592">
        <v>1.0241520126955901</v>
      </c>
      <c r="E2592">
        <v>0.78746804045042096</v>
      </c>
      <c r="F2592">
        <v>0.32734768659753799</v>
      </c>
      <c r="G2592">
        <v>0.14256542635282801</v>
      </c>
      <c r="H2592">
        <v>9.3270965171187298E-2</v>
      </c>
      <c r="I2592">
        <v>8.0532031610224306E-2</v>
      </c>
      <c r="J2592">
        <v>9.1714741246104098E-2</v>
      </c>
      <c r="K2592">
        <v>8.9887623814873197E-2</v>
      </c>
      <c r="L2592">
        <v>1685.29010347024</v>
      </c>
      <c r="M2592">
        <v>32.727655344466001</v>
      </c>
      <c r="N2592">
        <v>51.807223415115701</v>
      </c>
      <c r="O2592">
        <v>51.303248166303902</v>
      </c>
      <c r="P2592">
        <v>-0.14518217595167901</v>
      </c>
      <c r="Q2592">
        <v>8.9664799542775897E-2</v>
      </c>
      <c r="R2592">
        <v>0.99585322717249003</v>
      </c>
      <c r="S2592" t="s">
        <v>9238</v>
      </c>
      <c r="T2592" t="s">
        <v>13290</v>
      </c>
      <c r="U2592" t="s">
        <v>13290</v>
      </c>
      <c r="V2592" t="s">
        <v>13290</v>
      </c>
      <c r="W2592" t="s">
        <v>15843</v>
      </c>
      <c r="X2592">
        <v>8</v>
      </c>
      <c r="Y2592" t="s">
        <v>22381</v>
      </c>
      <c r="Z2592" t="s">
        <v>28922</v>
      </c>
      <c r="AA2592">
        <v>0.44330450457241738</v>
      </c>
      <c r="AB2592" t="str">
        <f>HYPERLINK("Melting_Curves/meltCurve_P41223_BUD31.pdf", "Melting_Curves/meltCurve_P41223_BUD31.pdf")</f>
        <v>Melting_Curves/meltCurve_P41223_BUD31.pdf</v>
      </c>
    </row>
    <row r="2593" spans="1:28" x14ac:dyDescent="0.25">
      <c r="A2593" t="s">
        <v>2597</v>
      </c>
      <c r="B2593">
        <v>0.99252571173614901</v>
      </c>
      <c r="C2593">
        <v>0.99690893687620297</v>
      </c>
      <c r="D2593">
        <v>0.99613963234144198</v>
      </c>
      <c r="E2593">
        <v>0.91523057056489099</v>
      </c>
      <c r="F2593">
        <v>0.41081096748368001</v>
      </c>
      <c r="G2593">
        <v>8.9632114909013197E-2</v>
      </c>
      <c r="H2593">
        <v>5.6632807755679797E-2</v>
      </c>
      <c r="I2593">
        <v>5.9773478474289897E-2</v>
      </c>
      <c r="J2593">
        <v>6.9330295013661905E-2</v>
      </c>
      <c r="K2593">
        <v>8.2441576094357899E-2</v>
      </c>
      <c r="L2593">
        <v>2162.0018760176999</v>
      </c>
      <c r="M2593">
        <v>41.189261116839198</v>
      </c>
      <c r="N2593">
        <v>52.6630358642918</v>
      </c>
      <c r="O2593">
        <v>52.366188744736696</v>
      </c>
      <c r="P2593">
        <v>-0.18415911718021799</v>
      </c>
      <c r="Q2593">
        <v>6.3475073467073401E-2</v>
      </c>
      <c r="R2593">
        <v>0.99954844486761796</v>
      </c>
      <c r="S2593" t="s">
        <v>9239</v>
      </c>
      <c r="T2593" t="s">
        <v>13290</v>
      </c>
      <c r="U2593" t="s">
        <v>13290</v>
      </c>
      <c r="V2593" t="s">
        <v>13290</v>
      </c>
      <c r="W2593" t="s">
        <v>15844</v>
      </c>
      <c r="X2593">
        <v>11</v>
      </c>
      <c r="Y2593" t="s">
        <v>22382</v>
      </c>
      <c r="Z2593" t="s">
        <v>28923</v>
      </c>
      <c r="AA2593">
        <v>0.45656596205048222</v>
      </c>
      <c r="AB2593" t="str">
        <f>HYPERLINK("Melting_Curves/meltCurve_P41227_NAA10.pdf", "Melting_Curves/meltCurve_P41227_NAA10.pdf")</f>
        <v>Melting_Curves/meltCurve_P41227_NAA10.pdf</v>
      </c>
    </row>
    <row r="2594" spans="1:28" x14ac:dyDescent="0.25">
      <c r="A2594" t="s">
        <v>2598</v>
      </c>
      <c r="B2594">
        <v>0.99252571173614901</v>
      </c>
      <c r="C2594">
        <v>0.93208262828615196</v>
      </c>
      <c r="D2594">
        <v>0.70871141457819398</v>
      </c>
      <c r="E2594">
        <v>0.29549874784184399</v>
      </c>
      <c r="F2594">
        <v>0.141587467682388</v>
      </c>
      <c r="G2594">
        <v>7.6283701539643395E-2</v>
      </c>
      <c r="H2594">
        <v>5.4555828859097703E-2</v>
      </c>
      <c r="I2594">
        <v>5.2754926147795499E-2</v>
      </c>
      <c r="J2594">
        <v>6.49771107600077E-2</v>
      </c>
      <c r="K2594">
        <v>5.2709640058028501E-2</v>
      </c>
      <c r="L2594">
        <v>1143.3444785797701</v>
      </c>
      <c r="M2594">
        <v>24.074038878157801</v>
      </c>
      <c r="N2594">
        <v>47.733455901525403</v>
      </c>
      <c r="O2594">
        <v>47.168775582120396</v>
      </c>
      <c r="P2594">
        <v>-0.120306368024058</v>
      </c>
      <c r="Q2594">
        <v>5.71394428018887E-2</v>
      </c>
      <c r="R2594">
        <v>0.99951405051093201</v>
      </c>
      <c r="S2594" t="s">
        <v>9240</v>
      </c>
      <c r="T2594" t="s">
        <v>13290</v>
      </c>
      <c r="U2594" t="s">
        <v>13290</v>
      </c>
      <c r="V2594" t="s">
        <v>13290</v>
      </c>
      <c r="W2594" t="s">
        <v>15845</v>
      </c>
      <c r="X2594">
        <v>14</v>
      </c>
      <c r="Y2594" t="s">
        <v>22383</v>
      </c>
      <c r="Z2594" t="s">
        <v>28924</v>
      </c>
      <c r="AA2594">
        <v>0.30169979724357437</v>
      </c>
      <c r="AB2594" t="str">
        <f>HYPERLINK("Melting_Curves/meltCurve_P41229_3_KDM5C.pdf", "Melting_Curves/meltCurve_P41229_3_KDM5C.pdf")</f>
        <v>Melting_Curves/meltCurve_P41229_3_KDM5C.pdf</v>
      </c>
    </row>
    <row r="2595" spans="1:28" x14ac:dyDescent="0.25">
      <c r="A2595" t="s">
        <v>2599</v>
      </c>
      <c r="B2595">
        <v>0.99252571173614901</v>
      </c>
      <c r="C2595">
        <v>1.0267089670926699</v>
      </c>
      <c r="D2595">
        <v>0.87607047581415098</v>
      </c>
      <c r="E2595">
        <v>0.45136518043533702</v>
      </c>
      <c r="F2595">
        <v>0.12984640005162901</v>
      </c>
      <c r="G2595">
        <v>7.6839230577259998E-2</v>
      </c>
      <c r="H2595">
        <v>5.45490853904591E-2</v>
      </c>
      <c r="I2595">
        <v>5.8204918227308701E-2</v>
      </c>
      <c r="J2595">
        <v>6.5453291240830505E-2</v>
      </c>
      <c r="K2595">
        <v>6.3320486091390502E-2</v>
      </c>
      <c r="L2595">
        <v>1502.9027789589099</v>
      </c>
      <c r="M2595">
        <v>30.661286838556698</v>
      </c>
      <c r="N2595">
        <v>49.219198107253597</v>
      </c>
      <c r="O2595">
        <v>48.8092105871333</v>
      </c>
      <c r="P2595">
        <v>-0.14772422496674301</v>
      </c>
      <c r="Q2595">
        <v>5.9366324606314198E-2</v>
      </c>
      <c r="R2595">
        <v>0.99882819021682301</v>
      </c>
      <c r="S2595" t="s">
        <v>9241</v>
      </c>
      <c r="T2595" t="s">
        <v>13290</v>
      </c>
      <c r="U2595" t="s">
        <v>13290</v>
      </c>
      <c r="V2595" t="s">
        <v>13290</v>
      </c>
      <c r="W2595" t="s">
        <v>15846</v>
      </c>
      <c r="X2595">
        <v>22</v>
      </c>
      <c r="Y2595" t="s">
        <v>22384</v>
      </c>
      <c r="Z2595" t="s">
        <v>28925</v>
      </c>
      <c r="AA2595">
        <v>0.34754754815786371</v>
      </c>
      <c r="AB2595" t="str">
        <f>HYPERLINK("Melting_Curves/meltCurve_P41240_CSK.pdf", "Melting_Curves/meltCurve_P41240_CSK.pdf")</f>
        <v>Melting_Curves/meltCurve_P41240_CSK.pdf</v>
      </c>
    </row>
    <row r="2596" spans="1:28" x14ac:dyDescent="0.25">
      <c r="A2596" t="s">
        <v>2600</v>
      </c>
      <c r="B2596">
        <v>0.99252571173614901</v>
      </c>
      <c r="C2596">
        <v>1.0797057808998201</v>
      </c>
      <c r="D2596">
        <v>1.0088458347624401</v>
      </c>
      <c r="E2596">
        <v>0.73244562321190798</v>
      </c>
      <c r="F2596">
        <v>0.36665550875212499</v>
      </c>
      <c r="G2596">
        <v>0.161943285854286</v>
      </c>
      <c r="H2596">
        <v>9.5794629771268403E-2</v>
      </c>
      <c r="I2596">
        <v>0.101742623278156</v>
      </c>
      <c r="J2596">
        <v>4.71380990141625E-2</v>
      </c>
      <c r="K2596">
        <v>3.75397661379323E-2</v>
      </c>
      <c r="L2596">
        <v>1312.3477395688799</v>
      </c>
      <c r="M2596">
        <v>25.422968223345599</v>
      </c>
      <c r="N2596">
        <v>51.906646252431102</v>
      </c>
      <c r="O2596">
        <v>51.304345833322003</v>
      </c>
      <c r="P2596">
        <v>-0.115786183943708</v>
      </c>
      <c r="Q2596">
        <v>6.5371251907321307E-2</v>
      </c>
      <c r="R2596">
        <v>0.99279331594390496</v>
      </c>
      <c r="S2596" t="s">
        <v>9242</v>
      </c>
      <c r="T2596" t="s">
        <v>13290</v>
      </c>
      <c r="U2596" t="s">
        <v>13290</v>
      </c>
      <c r="V2596" t="s">
        <v>13290</v>
      </c>
      <c r="W2596" t="s">
        <v>15847</v>
      </c>
      <c r="X2596">
        <v>2</v>
      </c>
      <c r="Y2596" t="s">
        <v>22385</v>
      </c>
      <c r="Z2596" t="s">
        <v>28926</v>
      </c>
      <c r="AA2596">
        <v>0.43562827135558119</v>
      </c>
      <c r="AB2596" t="str">
        <f>HYPERLINK("Melting_Curves/meltCurve_P41247_PNPLA4.pdf", "Melting_Curves/meltCurve_P41247_PNPLA4.pdf")</f>
        <v>Melting_Curves/meltCurve_P41247_PNPLA4.pdf</v>
      </c>
    </row>
    <row r="2597" spans="1:28" x14ac:dyDescent="0.25">
      <c r="A2597" t="s">
        <v>2601</v>
      </c>
      <c r="B2597">
        <v>0.99252571173614901</v>
      </c>
      <c r="C2597">
        <v>0.96638432464891699</v>
      </c>
      <c r="D2597">
        <v>1.02786921095426</v>
      </c>
      <c r="E2597">
        <v>0.95258131211228003</v>
      </c>
      <c r="F2597">
        <v>1.0387338957518599</v>
      </c>
      <c r="G2597">
        <v>0.88201870430346596</v>
      </c>
      <c r="H2597">
        <v>0.85179225411309401</v>
      </c>
      <c r="I2597">
        <v>0.80146165157958205</v>
      </c>
      <c r="J2597">
        <v>0.181246049801151</v>
      </c>
      <c r="K2597">
        <v>0.16754255829807399</v>
      </c>
      <c r="L2597">
        <v>5969.0225441415396</v>
      </c>
      <c r="M2597">
        <v>92.115403369416597</v>
      </c>
      <c r="N2597">
        <v>65.066203821121107</v>
      </c>
      <c r="O2597">
        <v>64.768881377266993</v>
      </c>
      <c r="P2597">
        <v>-0.29962913824317899</v>
      </c>
      <c r="Q2597">
        <v>0.15729011059324399</v>
      </c>
      <c r="R2597">
        <v>0.95824077833657495</v>
      </c>
      <c r="S2597" t="s">
        <v>9243</v>
      </c>
      <c r="T2597" t="s">
        <v>13290</v>
      </c>
      <c r="U2597" t="s">
        <v>13290</v>
      </c>
      <c r="V2597" t="s">
        <v>13290</v>
      </c>
      <c r="W2597" t="s">
        <v>15848</v>
      </c>
      <c r="X2597">
        <v>50</v>
      </c>
      <c r="Y2597" t="s">
        <v>22386</v>
      </c>
      <c r="Z2597" t="s">
        <v>28927</v>
      </c>
      <c r="AA2597">
        <v>0.85459505044738904</v>
      </c>
      <c r="AB2597" t="str">
        <f>HYPERLINK("Melting_Curves/meltCurve_P41250_GARS.pdf", "Melting_Curves/meltCurve_P41250_GARS.pdf")</f>
        <v>Melting_Curves/meltCurve_P41250_GARS.pdf</v>
      </c>
    </row>
    <row r="2598" spans="1:28" x14ac:dyDescent="0.25">
      <c r="A2598" t="s">
        <v>2602</v>
      </c>
      <c r="B2598">
        <v>0.99252571173614901</v>
      </c>
      <c r="C2598">
        <v>0.86645268347271298</v>
      </c>
      <c r="D2598">
        <v>0.85236498969414498</v>
      </c>
      <c r="E2598">
        <v>0.51844794923564996</v>
      </c>
      <c r="F2598">
        <v>0.37025478813822099</v>
      </c>
      <c r="G2598">
        <v>0.25249808816035901</v>
      </c>
      <c r="H2598">
        <v>0.19493933756659601</v>
      </c>
      <c r="I2598">
        <v>0.19905247529501899</v>
      </c>
      <c r="J2598">
        <v>0.27550689627626501</v>
      </c>
      <c r="K2598">
        <v>0.29320805978445902</v>
      </c>
      <c r="L2598">
        <v>956.09290578560899</v>
      </c>
      <c r="M2598">
        <v>19.699761053039701</v>
      </c>
      <c r="N2598">
        <v>50.127849473372699</v>
      </c>
      <c r="O2598">
        <v>48.041408395097797</v>
      </c>
      <c r="P2598">
        <v>-7.8650127501936798E-2</v>
      </c>
      <c r="Q2598">
        <v>0.232816564407859</v>
      </c>
      <c r="R2598">
        <v>0.97761510655582895</v>
      </c>
      <c r="S2598" t="s">
        <v>9244</v>
      </c>
      <c r="T2598" t="s">
        <v>13290</v>
      </c>
      <c r="U2598" t="s">
        <v>13290</v>
      </c>
      <c r="V2598" t="s">
        <v>13290</v>
      </c>
      <c r="W2598" t="s">
        <v>15849</v>
      </c>
      <c r="X2598">
        <v>14</v>
      </c>
      <c r="Y2598" t="s">
        <v>22387</v>
      </c>
      <c r="Z2598" t="s">
        <v>28928</v>
      </c>
      <c r="AA2598">
        <v>0.46218270636226327</v>
      </c>
      <c r="AB2598" t="str">
        <f>HYPERLINK("Melting_Curves/meltCurve_P41252_IARS.pdf", "Melting_Curves/meltCurve_P41252_IARS.pdf")</f>
        <v>Melting_Curves/meltCurve_P41252_IARS.pdf</v>
      </c>
    </row>
    <row r="2599" spans="1:28" x14ac:dyDescent="0.25">
      <c r="A2599" t="s">
        <v>2603</v>
      </c>
      <c r="B2599">
        <v>0.99252571173614901</v>
      </c>
      <c r="C2599">
        <v>0.97631456513429704</v>
      </c>
      <c r="D2599">
        <v>1.01016924911641</v>
      </c>
      <c r="E2599">
        <v>1.0203237077237799</v>
      </c>
      <c r="F2599">
        <v>0.77750066984549404</v>
      </c>
      <c r="G2599">
        <v>0.537505900209025</v>
      </c>
      <c r="H2599">
        <v>0.440445932779439</v>
      </c>
      <c r="I2599">
        <v>0.46823759155065697</v>
      </c>
      <c r="J2599">
        <v>0.56948361992820495</v>
      </c>
      <c r="K2599">
        <v>0.40774519263965098</v>
      </c>
      <c r="L2599">
        <v>2337.5345689925998</v>
      </c>
      <c r="M2599">
        <v>43.5578205768117</v>
      </c>
      <c r="N2599">
        <v>57.594760719395502</v>
      </c>
      <c r="O2599">
        <v>53.552366319424898</v>
      </c>
      <c r="P2599">
        <v>-0.106877278188656</v>
      </c>
      <c r="Q2599">
        <v>0.47439785768267001</v>
      </c>
      <c r="R2599">
        <v>0.97177995612434998</v>
      </c>
      <c r="S2599" t="s">
        <v>9245</v>
      </c>
      <c r="T2599" t="s">
        <v>13290</v>
      </c>
      <c r="U2599" t="s">
        <v>13290</v>
      </c>
      <c r="V2599" t="s">
        <v>13290</v>
      </c>
      <c r="W2599" t="s">
        <v>15850</v>
      </c>
      <c r="X2599">
        <v>7</v>
      </c>
      <c r="Y2599" t="s">
        <v>22388</v>
      </c>
      <c r="Z2599" t="s">
        <v>28929</v>
      </c>
      <c r="AA2599">
        <v>0.71545218888610118</v>
      </c>
      <c r="AB2599" t="str">
        <f>HYPERLINK("Melting_Curves/meltCurve_P41440_2_SLC19A1.pdf", "Melting_Curves/meltCurve_P41440_2_SLC19A1.pdf")</f>
        <v>Melting_Curves/meltCurve_P41440_2_SLC19A1.pdf</v>
      </c>
    </row>
    <row r="2600" spans="1:28" x14ac:dyDescent="0.25">
      <c r="A2600" t="s">
        <v>2604</v>
      </c>
      <c r="B2600">
        <v>0.99252571173614901</v>
      </c>
      <c r="C2600">
        <v>1.0542017968012201</v>
      </c>
      <c r="D2600">
        <v>0.96453146464705397</v>
      </c>
      <c r="E2600">
        <v>0.86981620164984697</v>
      </c>
      <c r="F2600">
        <v>0.77244227651046604</v>
      </c>
      <c r="G2600">
        <v>0.63311824730941502</v>
      </c>
      <c r="H2600">
        <v>0.51986210256295395</v>
      </c>
      <c r="I2600">
        <v>0.44508351821011699</v>
      </c>
      <c r="J2600">
        <v>0.46473693237372998</v>
      </c>
      <c r="K2600">
        <v>0.38505838648985902</v>
      </c>
      <c r="L2600">
        <v>754.077841975208</v>
      </c>
      <c r="M2600">
        <v>13.6470145258314</v>
      </c>
      <c r="N2600">
        <v>61.570599391889601</v>
      </c>
      <c r="O2600">
        <v>54.109925536899503</v>
      </c>
      <c r="P2600">
        <v>-3.9308887386080203E-2</v>
      </c>
      <c r="Q2600">
        <v>0.37665779052683901</v>
      </c>
      <c r="R2600">
        <v>0.987558032097273</v>
      </c>
      <c r="S2600" t="s">
        <v>9246</v>
      </c>
      <c r="T2600" t="s">
        <v>13290</v>
      </c>
      <c r="U2600" t="s">
        <v>13290</v>
      </c>
      <c r="V2600" t="s">
        <v>13290</v>
      </c>
      <c r="W2600" t="s">
        <v>15851</v>
      </c>
      <c r="X2600">
        <v>13</v>
      </c>
      <c r="Y2600" t="s">
        <v>22389</v>
      </c>
      <c r="Z2600" t="s">
        <v>28930</v>
      </c>
      <c r="AA2600">
        <v>0.70652417073890961</v>
      </c>
      <c r="AB2600" t="str">
        <f>HYPERLINK("Melting_Curves/meltCurve_P41567_EIF1.pdf", "Melting_Curves/meltCurve_P41567_EIF1.pdf")</f>
        <v>Melting_Curves/meltCurve_P41567_EIF1.pdf</v>
      </c>
    </row>
    <row r="2601" spans="1:28" x14ac:dyDescent="0.25">
      <c r="A2601" t="s">
        <v>2605</v>
      </c>
      <c r="B2601">
        <v>0.99252571173614901</v>
      </c>
      <c r="C2601">
        <v>1.01410936287493</v>
      </c>
      <c r="D2601">
        <v>0.93505987572901905</v>
      </c>
      <c r="E2601">
        <v>0.64560860866541603</v>
      </c>
      <c r="F2601">
        <v>0.240053213128683</v>
      </c>
      <c r="G2601">
        <v>0.119560723391628</v>
      </c>
      <c r="H2601">
        <v>8.2232218471947893E-2</v>
      </c>
      <c r="I2601">
        <v>8.1616108926235706E-2</v>
      </c>
      <c r="J2601">
        <v>9.9346484832357695E-2</v>
      </c>
      <c r="K2601">
        <v>9.8349832146329003E-2</v>
      </c>
      <c r="L2601">
        <v>1486.5097894527801</v>
      </c>
      <c r="M2601">
        <v>29.534860234836302</v>
      </c>
      <c r="N2601">
        <v>50.664115131970703</v>
      </c>
      <c r="O2601">
        <v>50.1016576024982</v>
      </c>
      <c r="P2601">
        <v>-0.13435897652164699</v>
      </c>
      <c r="Q2601">
        <v>8.8323617529665596E-2</v>
      </c>
      <c r="R2601">
        <v>0.99935532741077304</v>
      </c>
      <c r="S2601" t="s">
        <v>9247</v>
      </c>
      <c r="T2601" t="s">
        <v>13290</v>
      </c>
      <c r="U2601" t="s">
        <v>13290</v>
      </c>
      <c r="V2601" t="s">
        <v>13290</v>
      </c>
      <c r="W2601" t="s">
        <v>15852</v>
      </c>
      <c r="X2601">
        <v>8</v>
      </c>
      <c r="Y2601" t="s">
        <v>22390</v>
      </c>
      <c r="Z2601" t="s">
        <v>28931</v>
      </c>
      <c r="AA2601">
        <v>0.40811584495496173</v>
      </c>
      <c r="AB2601" t="str">
        <f>HYPERLINK("Melting_Curves/meltCurve_P41743_PRKCI.pdf", "Melting_Curves/meltCurve_P41743_PRKCI.pdf")</f>
        <v>Melting_Curves/meltCurve_P41743_PRKCI.pdf</v>
      </c>
    </row>
    <row r="2602" spans="1:28" x14ac:dyDescent="0.25">
      <c r="A2602" t="s">
        <v>2606</v>
      </c>
      <c r="B2602">
        <v>0.99252571173614901</v>
      </c>
      <c r="C2602">
        <v>0.94455244487616397</v>
      </c>
      <c r="D2602">
        <v>1.0028295655952</v>
      </c>
      <c r="E2602">
        <v>0.88719730777486305</v>
      </c>
      <c r="F2602">
        <v>1.04308670714565</v>
      </c>
      <c r="G2602">
        <v>0.83674510088641396</v>
      </c>
      <c r="H2602">
        <v>0.42665429963745499</v>
      </c>
      <c r="I2602">
        <v>0.16238785759266</v>
      </c>
      <c r="J2602">
        <v>0.105178864281747</v>
      </c>
      <c r="K2602">
        <v>8.9820189397414998E-2</v>
      </c>
      <c r="L2602">
        <v>1924.0566436755801</v>
      </c>
      <c r="M2602">
        <v>32.1924850635938</v>
      </c>
      <c r="N2602">
        <v>60.079205656487602</v>
      </c>
      <c r="O2602">
        <v>59.538060859072701</v>
      </c>
      <c r="P2602">
        <v>-0.124773025290492</v>
      </c>
      <c r="Q2602">
        <v>7.6963929606828796E-2</v>
      </c>
      <c r="R2602">
        <v>0.98652030860042905</v>
      </c>
      <c r="S2602" t="s">
        <v>9248</v>
      </c>
      <c r="T2602" t="s">
        <v>13290</v>
      </c>
      <c r="U2602" t="s">
        <v>13290</v>
      </c>
      <c r="V2602" t="s">
        <v>13290</v>
      </c>
      <c r="W2602" t="s">
        <v>15853</v>
      </c>
      <c r="X2602">
        <v>14</v>
      </c>
      <c r="Y2602" t="s">
        <v>22391</v>
      </c>
      <c r="Z2602" t="s">
        <v>28932</v>
      </c>
      <c r="AA2602">
        <v>0.69031495896339512</v>
      </c>
      <c r="AB2602" t="str">
        <f>HYPERLINK("Melting_Curves/meltCurve_P42025_ACTR1B.pdf", "Melting_Curves/meltCurve_P42025_ACTR1B.pdf")</f>
        <v>Melting_Curves/meltCurve_P42025_ACTR1B.pdf</v>
      </c>
    </row>
    <row r="2603" spans="1:28" x14ac:dyDescent="0.25">
      <c r="A2603" t="s">
        <v>2607</v>
      </c>
      <c r="B2603">
        <v>0.99252571173614901</v>
      </c>
      <c r="C2603">
        <v>1.0654456073068601</v>
      </c>
      <c r="D2603">
        <v>0.84974147711413295</v>
      </c>
      <c r="E2603">
        <v>0.84969188972205001</v>
      </c>
      <c r="F2603">
        <v>0.72064671049633999</v>
      </c>
      <c r="G2603">
        <v>0.50262279808876897</v>
      </c>
      <c r="H2603">
        <v>0.93600615036786405</v>
      </c>
      <c r="I2603">
        <v>0.62195796271700599</v>
      </c>
      <c r="J2603">
        <v>0.81582830224465697</v>
      </c>
      <c r="K2603">
        <v>0.68932667853278995</v>
      </c>
      <c r="L2603">
        <v>1220.1373169977901</v>
      </c>
      <c r="M2603">
        <v>25.718632959208499</v>
      </c>
      <c r="O2603">
        <v>47.157720151782897</v>
      </c>
      <c r="P2603">
        <v>-3.8614256809188202E-2</v>
      </c>
      <c r="Q2603">
        <v>0.71679075313168805</v>
      </c>
      <c r="R2603">
        <v>0.51862329790674899</v>
      </c>
      <c r="S2603" t="s">
        <v>9249</v>
      </c>
      <c r="T2603" t="s">
        <v>13290</v>
      </c>
      <c r="U2603" t="s">
        <v>13290</v>
      </c>
      <c r="V2603" t="s">
        <v>13290</v>
      </c>
      <c r="W2603" t="s">
        <v>15854</v>
      </c>
      <c r="X2603">
        <v>9</v>
      </c>
      <c r="Y2603" t="s">
        <v>22392</v>
      </c>
      <c r="Z2603" t="s">
        <v>28933</v>
      </c>
      <c r="AA2603">
        <v>0.78940576533373774</v>
      </c>
      <c r="AB2603" t="str">
        <f>HYPERLINK("Melting_Curves/meltCurve_P42126_2_ECI1.pdf", "Melting_Curves/meltCurve_P42126_2_ECI1.pdf")</f>
        <v>Melting_Curves/meltCurve_P42126_2_ECI1.pdf</v>
      </c>
    </row>
    <row r="2604" spans="1:28" x14ac:dyDescent="0.25">
      <c r="A2604" t="s">
        <v>2608</v>
      </c>
      <c r="B2604">
        <v>0.99252571173614901</v>
      </c>
      <c r="C2604">
        <v>0.96076555923115803</v>
      </c>
      <c r="D2604">
        <v>0.78698716902751797</v>
      </c>
      <c r="E2604">
        <v>0.51881863825142904</v>
      </c>
      <c r="F2604">
        <v>0.41285623210394101</v>
      </c>
      <c r="G2604">
        <v>0.29028258658818001</v>
      </c>
      <c r="H2604">
        <v>0.21876277083719101</v>
      </c>
      <c r="I2604">
        <v>0.27044608926340402</v>
      </c>
      <c r="J2604">
        <v>0.41399602201688501</v>
      </c>
      <c r="K2604">
        <v>0.39580782076311</v>
      </c>
      <c r="L2604">
        <v>1105.18918715513</v>
      </c>
      <c r="M2604">
        <v>23.177280167186499</v>
      </c>
      <c r="N2604">
        <v>49.8824850425016</v>
      </c>
      <c r="O2604">
        <v>47.333438364083797</v>
      </c>
      <c r="P2604">
        <v>-8.32487119424902E-2</v>
      </c>
      <c r="Q2604">
        <v>0.31995879004251898</v>
      </c>
      <c r="R2604">
        <v>0.956604859185051</v>
      </c>
      <c r="S2604" t="s">
        <v>9250</v>
      </c>
      <c r="T2604" t="s">
        <v>13290</v>
      </c>
      <c r="U2604" t="s">
        <v>13290</v>
      </c>
      <c r="V2604" t="s">
        <v>13290</v>
      </c>
      <c r="W2604" t="s">
        <v>15855</v>
      </c>
      <c r="X2604">
        <v>34</v>
      </c>
      <c r="Y2604" t="s">
        <v>22393</v>
      </c>
      <c r="Z2604" t="s">
        <v>28934</v>
      </c>
      <c r="AA2604">
        <v>0.50122798605737418</v>
      </c>
      <c r="AB2604" t="str">
        <f>HYPERLINK("Melting_Curves/meltCurve_P42166_TMPO.pdf", "Melting_Curves/meltCurve_P42166_TMPO.pdf")</f>
        <v>Melting_Curves/meltCurve_P42166_TMPO.pdf</v>
      </c>
    </row>
    <row r="2605" spans="1:28" x14ac:dyDescent="0.25">
      <c r="A2605" t="s">
        <v>2609</v>
      </c>
      <c r="B2605">
        <v>0.99252571173614901</v>
      </c>
      <c r="C2605">
        <v>0.94708979262779003</v>
      </c>
      <c r="D2605">
        <v>0.96613133024293696</v>
      </c>
      <c r="E2605">
        <v>1.0420626839942699</v>
      </c>
      <c r="F2605">
        <v>0.737782925293334</v>
      </c>
      <c r="G2605">
        <v>0.60009241241182099</v>
      </c>
      <c r="H2605">
        <v>0.479929043831331</v>
      </c>
      <c r="I2605">
        <v>0.610955670429152</v>
      </c>
      <c r="J2605">
        <v>0.95294491352180399</v>
      </c>
      <c r="K2605">
        <v>0.82621493753938602</v>
      </c>
      <c r="L2605">
        <v>13204.742516116999</v>
      </c>
      <c r="M2605">
        <v>250</v>
      </c>
      <c r="O2605">
        <v>52.815573120847503</v>
      </c>
      <c r="P2605">
        <v>-0.36207657548778799</v>
      </c>
      <c r="Q2605">
        <v>0.69402739251238599</v>
      </c>
      <c r="R2605">
        <v>0.56436960508122302</v>
      </c>
      <c r="S2605" t="s">
        <v>9251</v>
      </c>
      <c r="T2605" t="s">
        <v>13290</v>
      </c>
      <c r="U2605" t="s">
        <v>13290</v>
      </c>
      <c r="V2605" t="s">
        <v>13290</v>
      </c>
      <c r="W2605" t="s">
        <v>15856</v>
      </c>
      <c r="X2605">
        <v>27</v>
      </c>
      <c r="Y2605" t="s">
        <v>22393</v>
      </c>
      <c r="Z2605" t="s">
        <v>28935</v>
      </c>
      <c r="AA2605">
        <v>0.82479754495750734</v>
      </c>
      <c r="AB2605" t="str">
        <f>HYPERLINK("Melting_Curves/meltCurve_P42167_TMPO.pdf", "Melting_Curves/meltCurve_P42167_TMPO.pdf")</f>
        <v>Melting_Curves/meltCurve_P42167_TMPO.pdf</v>
      </c>
    </row>
    <row r="2606" spans="1:28" x14ac:dyDescent="0.25">
      <c r="A2606" t="s">
        <v>2610</v>
      </c>
      <c r="B2606">
        <v>0.99252571173614901</v>
      </c>
      <c r="C2606">
        <v>1.05571324805467</v>
      </c>
      <c r="D2606">
        <v>1.0717905258298801</v>
      </c>
      <c r="E2606">
        <v>1.5888897688063199</v>
      </c>
      <c r="F2606">
        <v>0.84563923132671004</v>
      </c>
      <c r="G2606">
        <v>0.617473739215326</v>
      </c>
      <c r="H2606">
        <v>0.51551986014588302</v>
      </c>
      <c r="I2606">
        <v>0.928200218222202</v>
      </c>
      <c r="J2606">
        <v>1.5539585864607199</v>
      </c>
      <c r="K2606">
        <v>1.0345043500286999</v>
      </c>
      <c r="L2606">
        <v>2050.2483354288602</v>
      </c>
      <c r="M2606">
        <v>31.1235041292347</v>
      </c>
      <c r="O2606">
        <v>65.604440033193995</v>
      </c>
      <c r="P2606">
        <v>2.8789453993113501E-2</v>
      </c>
      <c r="Q2606">
        <v>1.24273683910998</v>
      </c>
      <c r="R2606">
        <v>7.61514194544025E-2</v>
      </c>
      <c r="S2606" t="s">
        <v>9252</v>
      </c>
      <c r="T2606" t="s">
        <v>13290</v>
      </c>
      <c r="U2606" t="s">
        <v>13290</v>
      </c>
      <c r="V2606" t="s">
        <v>13290</v>
      </c>
      <c r="W2606" t="s">
        <v>15857</v>
      </c>
      <c r="X2606">
        <v>24</v>
      </c>
      <c r="Y2606" t="s">
        <v>22393</v>
      </c>
      <c r="Z2606" t="s">
        <v>28936</v>
      </c>
      <c r="AA2606">
        <v>1.034636098205292</v>
      </c>
      <c r="AB2606" t="str">
        <f>HYPERLINK("Melting_Curves/meltCurve_P42167_2_TMPO.pdf", "Melting_Curves/meltCurve_P42167_2_TMPO.pdf")</f>
        <v>Melting_Curves/meltCurve_P42167_2_TMPO.pdf</v>
      </c>
    </row>
    <row r="2607" spans="1:28" x14ac:dyDescent="0.25">
      <c r="A2607" t="s">
        <v>2611</v>
      </c>
      <c r="B2607">
        <v>0.99252571173614901</v>
      </c>
      <c r="C2607">
        <v>0.77385287338271502</v>
      </c>
      <c r="D2607">
        <v>0.26960138438289799</v>
      </c>
      <c r="E2607">
        <v>0.193690997157938</v>
      </c>
      <c r="F2607">
        <v>9.7686327848241494E-2</v>
      </c>
      <c r="G2607">
        <v>5.6431365884346003E-2</v>
      </c>
      <c r="H2607">
        <v>3.95691329047968E-2</v>
      </c>
      <c r="I2607">
        <v>3.7456422749283201E-2</v>
      </c>
      <c r="J2607">
        <v>3.4615760708170101E-2</v>
      </c>
      <c r="K2607">
        <v>3.2549936788396697E-2</v>
      </c>
      <c r="L2607">
        <v>1341.43068242046</v>
      </c>
      <c r="M2607">
        <v>30.192564348119301</v>
      </c>
      <c r="N2607">
        <v>44.616958276840002</v>
      </c>
      <c r="O2607">
        <v>44.235635083763697</v>
      </c>
      <c r="P2607">
        <v>-0.16045535164125199</v>
      </c>
      <c r="Q2607">
        <v>5.96626061654775E-2</v>
      </c>
      <c r="R2607">
        <v>0.98645134279861701</v>
      </c>
      <c r="S2607" t="s">
        <v>9253</v>
      </c>
      <c r="T2607" t="s">
        <v>13290</v>
      </c>
      <c r="U2607" t="s">
        <v>13290</v>
      </c>
      <c r="V2607" t="s">
        <v>13290</v>
      </c>
      <c r="W2607" t="s">
        <v>15858</v>
      </c>
      <c r="X2607">
        <v>24</v>
      </c>
      <c r="Y2607" t="s">
        <v>22394</v>
      </c>
      <c r="Z2607" t="s">
        <v>28937</v>
      </c>
      <c r="AA2607">
        <v>0.20482196066062111</v>
      </c>
      <c r="AB2607" t="str">
        <f>HYPERLINK("Melting_Curves/meltCurve_P42224_STAT1.pdf", "Melting_Curves/meltCurve_P42224_STAT1.pdf")</f>
        <v>Melting_Curves/meltCurve_P42224_STAT1.pdf</v>
      </c>
    </row>
    <row r="2608" spans="1:28" x14ac:dyDescent="0.25">
      <c r="A2608" t="s">
        <v>2612</v>
      </c>
      <c r="B2608">
        <v>0.99252571173614901</v>
      </c>
      <c r="C2608">
        <v>0.85280877113645703</v>
      </c>
      <c r="D2608">
        <v>0.52610705203202102</v>
      </c>
      <c r="E2608">
        <v>0.24123884117797301</v>
      </c>
      <c r="F2608">
        <v>0.122724593221696</v>
      </c>
      <c r="G2608">
        <v>7.7295460628804602E-2</v>
      </c>
      <c r="H2608">
        <v>5.8985051481109198E-2</v>
      </c>
      <c r="I2608">
        <v>6.6335053307795905E-2</v>
      </c>
      <c r="J2608">
        <v>0.103674079419109</v>
      </c>
      <c r="K2608">
        <v>8.4597247845478604E-2</v>
      </c>
      <c r="L2608">
        <v>1044.49967225411</v>
      </c>
      <c r="M2608">
        <v>22.7066664308032</v>
      </c>
      <c r="N2608">
        <v>46.341082245551597</v>
      </c>
      <c r="O2608">
        <v>45.647364322030498</v>
      </c>
      <c r="P2608">
        <v>-0.114782892854223</v>
      </c>
      <c r="Q2608">
        <v>7.7022762262033195E-2</v>
      </c>
      <c r="R2608">
        <v>0.997856334530421</v>
      </c>
      <c r="S2608" t="s">
        <v>9254</v>
      </c>
      <c r="T2608" t="s">
        <v>13290</v>
      </c>
      <c r="U2608" t="s">
        <v>13290</v>
      </c>
      <c r="V2608" t="s">
        <v>13290</v>
      </c>
      <c r="W2608" t="s">
        <v>15859</v>
      </c>
      <c r="X2608">
        <v>6</v>
      </c>
      <c r="Y2608" t="s">
        <v>22395</v>
      </c>
      <c r="Z2608" t="s">
        <v>28938</v>
      </c>
      <c r="AA2608">
        <v>0.27225867493569772</v>
      </c>
      <c r="AB2608" t="str">
        <f>HYPERLINK("Melting_Curves/meltCurve_P42226_STAT6.pdf", "Melting_Curves/meltCurve_P42226_STAT6.pdf")</f>
        <v>Melting_Curves/meltCurve_P42226_STAT6.pdf</v>
      </c>
    </row>
    <row r="2609" spans="1:28" x14ac:dyDescent="0.25">
      <c r="A2609" t="s">
        <v>2613</v>
      </c>
      <c r="B2609">
        <v>0.99252571173614901</v>
      </c>
      <c r="C2609">
        <v>1.02634321218526</v>
      </c>
      <c r="D2609">
        <v>1.5035983749437101</v>
      </c>
      <c r="E2609">
        <v>1.2577617425618799</v>
      </c>
      <c r="F2609">
        <v>0.38600497717056997</v>
      </c>
      <c r="G2609">
        <v>0.17156616724000301</v>
      </c>
      <c r="H2609">
        <v>0.110389286250817</v>
      </c>
      <c r="I2609">
        <v>0.101660352478933</v>
      </c>
      <c r="J2609">
        <v>9.8341729264346103E-2</v>
      </c>
      <c r="K2609">
        <v>8.5574683507299701E-2</v>
      </c>
      <c r="L2609">
        <v>13256.782808075401</v>
      </c>
      <c r="M2609">
        <v>250</v>
      </c>
      <c r="N2609">
        <v>53.081804729653797</v>
      </c>
      <c r="O2609">
        <v>53.023735786290999</v>
      </c>
      <c r="P2609">
        <v>-1.0449253594379999</v>
      </c>
      <c r="Q2609">
        <v>0.113506427751147</v>
      </c>
      <c r="R2609">
        <v>0.88428896939786406</v>
      </c>
      <c r="S2609" t="s">
        <v>9255</v>
      </c>
      <c r="T2609" t="s">
        <v>13290</v>
      </c>
      <c r="U2609" t="s">
        <v>13290</v>
      </c>
      <c r="V2609" t="s">
        <v>13290</v>
      </c>
      <c r="W2609" t="s">
        <v>15860</v>
      </c>
      <c r="X2609">
        <v>39</v>
      </c>
      <c r="Y2609" t="s">
        <v>22396</v>
      </c>
      <c r="Z2609" t="s">
        <v>28939</v>
      </c>
      <c r="AA2609">
        <v>0.49853786317241688</v>
      </c>
      <c r="AB2609" t="str">
        <f>HYPERLINK("Melting_Curves/meltCurve_P42285_SKIV2L2.pdf", "Melting_Curves/meltCurve_P42285_SKIV2L2.pdf")</f>
        <v>Melting_Curves/meltCurve_P42285_SKIV2L2.pdf</v>
      </c>
    </row>
    <row r="2610" spans="1:28" x14ac:dyDescent="0.25">
      <c r="A2610" t="s">
        <v>2614</v>
      </c>
      <c r="B2610">
        <v>0.99252571173614901</v>
      </c>
      <c r="C2610">
        <v>1.1018826327501801</v>
      </c>
      <c r="D2610">
        <v>0.78927545498831697</v>
      </c>
      <c r="E2610">
        <v>0.43035145067890601</v>
      </c>
      <c r="F2610">
        <v>0.15951613701234399</v>
      </c>
      <c r="G2610">
        <v>9.2573233737503799E-2</v>
      </c>
      <c r="H2610">
        <v>5.82034063876734E-2</v>
      </c>
      <c r="I2610">
        <v>4.9490802985832402E-2</v>
      </c>
      <c r="J2610">
        <v>4.5055782945551799E-2</v>
      </c>
      <c r="K2610">
        <v>4.3816042583800202E-2</v>
      </c>
      <c r="L2610">
        <v>1248.04663033928</v>
      </c>
      <c r="M2610">
        <v>25.598519694524999</v>
      </c>
      <c r="N2610">
        <v>48.965885129852197</v>
      </c>
      <c r="O2610">
        <v>48.460038134304902</v>
      </c>
      <c r="P2610">
        <v>-0.125157737586511</v>
      </c>
      <c r="Q2610">
        <v>5.2277579044330398E-2</v>
      </c>
      <c r="R2610">
        <v>0.98827180850094398</v>
      </c>
      <c r="S2610" t="s">
        <v>9256</v>
      </c>
      <c r="T2610" t="s">
        <v>13290</v>
      </c>
      <c r="U2610" t="s">
        <v>13290</v>
      </c>
      <c r="V2610" t="s">
        <v>13290</v>
      </c>
      <c r="W2610" t="s">
        <v>15861</v>
      </c>
      <c r="X2610">
        <v>21</v>
      </c>
      <c r="Y2610" t="s">
        <v>22397</v>
      </c>
      <c r="Z2610" t="s">
        <v>28940</v>
      </c>
      <c r="AA2610">
        <v>0.33682817722371272</v>
      </c>
      <c r="AB2610" t="str">
        <f>HYPERLINK("Melting_Curves/meltCurve_P42330_AKR1C3.pdf", "Melting_Curves/meltCurve_P42330_AKR1C3.pdf")</f>
        <v>Melting_Curves/meltCurve_P42330_AKR1C3.pdf</v>
      </c>
    </row>
    <row r="2611" spans="1:28" x14ac:dyDescent="0.25">
      <c r="A2611" t="s">
        <v>2615</v>
      </c>
      <c r="B2611">
        <v>0.99252571173614901</v>
      </c>
      <c r="C2611">
        <v>0.87686922689788205</v>
      </c>
      <c r="D2611">
        <v>0.81715358836933605</v>
      </c>
      <c r="E2611">
        <v>0.35074249377516697</v>
      </c>
      <c r="F2611">
        <v>0.173435522248826</v>
      </c>
      <c r="G2611">
        <v>9.4439180472438905E-2</v>
      </c>
      <c r="H2611">
        <v>7.0690992944452399E-2</v>
      </c>
      <c r="I2611">
        <v>7.4183580472898303E-2</v>
      </c>
      <c r="J2611">
        <v>9.3700146338138696E-2</v>
      </c>
      <c r="K2611">
        <v>8.9372295814054398E-2</v>
      </c>
      <c r="L2611">
        <v>1189.0059796088001</v>
      </c>
      <c r="M2611">
        <v>24.721973465664099</v>
      </c>
      <c r="N2611">
        <v>48.434868265129303</v>
      </c>
      <c r="O2611">
        <v>47.7837327729683</v>
      </c>
      <c r="P2611">
        <v>-0.119048043249908</v>
      </c>
      <c r="Q2611">
        <v>7.96075658380406E-2</v>
      </c>
      <c r="R2611">
        <v>0.99267721082597704</v>
      </c>
      <c r="S2611" t="s">
        <v>9257</v>
      </c>
      <c r="T2611" t="s">
        <v>13290</v>
      </c>
      <c r="U2611" t="s">
        <v>13290</v>
      </c>
      <c r="V2611" t="s">
        <v>13290</v>
      </c>
      <c r="W2611" t="s">
        <v>15862</v>
      </c>
      <c r="X2611">
        <v>34</v>
      </c>
      <c r="Y2611" t="s">
        <v>22398</v>
      </c>
      <c r="Z2611" t="s">
        <v>28941</v>
      </c>
      <c r="AA2611">
        <v>0.33629197227968011</v>
      </c>
      <c r="AB2611" t="str">
        <f>HYPERLINK("Melting_Curves/meltCurve_P42345_MTOR.pdf", "Melting_Curves/meltCurve_P42345_MTOR.pdf")</f>
        <v>Melting_Curves/meltCurve_P42345_MTOR.pdf</v>
      </c>
    </row>
    <row r="2612" spans="1:28" x14ac:dyDescent="0.25">
      <c r="A2612" t="s">
        <v>2616</v>
      </c>
      <c r="B2612">
        <v>0.99252571173614901</v>
      </c>
      <c r="C2612">
        <v>0.94771066009233895</v>
      </c>
      <c r="D2612">
        <v>0.86998141235375703</v>
      </c>
      <c r="E2612">
        <v>0.49600928863798499</v>
      </c>
      <c r="F2612">
        <v>0.26358105436953799</v>
      </c>
      <c r="G2612">
        <v>0.17152914317803999</v>
      </c>
      <c r="H2612">
        <v>0.12275045366499999</v>
      </c>
      <c r="I2612">
        <v>0.13165979799504701</v>
      </c>
      <c r="J2612">
        <v>0.18822946951272501</v>
      </c>
      <c r="K2612">
        <v>0.240665475583178</v>
      </c>
      <c r="L2612">
        <v>1285.4197949883101</v>
      </c>
      <c r="M2612">
        <v>26.329576373258799</v>
      </c>
      <c r="N2612">
        <v>49.587896276571001</v>
      </c>
      <c r="O2612">
        <v>48.541367888320003</v>
      </c>
      <c r="P2612">
        <v>-0.11291119632517101</v>
      </c>
      <c r="Q2612">
        <v>0.167354110018446</v>
      </c>
      <c r="R2612">
        <v>0.99048006424280499</v>
      </c>
      <c r="S2612" t="s">
        <v>9258</v>
      </c>
      <c r="T2612" t="s">
        <v>13290</v>
      </c>
      <c r="U2612" t="s">
        <v>13290</v>
      </c>
      <c r="V2612" t="s">
        <v>13290</v>
      </c>
      <c r="W2612" t="s">
        <v>15863</v>
      </c>
      <c r="X2612">
        <v>6</v>
      </c>
      <c r="Y2612" t="s">
        <v>22399</v>
      </c>
      <c r="Z2612" t="s">
        <v>28942</v>
      </c>
      <c r="AA2612">
        <v>0.4187835372672451</v>
      </c>
      <c r="AB2612" t="str">
        <f>HYPERLINK("Melting_Curves/meltCurve_P42566_EPS15.pdf", "Melting_Curves/meltCurve_P42566_EPS15.pdf")</f>
        <v>Melting_Curves/meltCurve_P42566_EPS15.pdf</v>
      </c>
    </row>
    <row r="2613" spans="1:28" x14ac:dyDescent="0.25">
      <c r="A2613" t="s">
        <v>2617</v>
      </c>
      <c r="B2613">
        <v>0.99252571173614901</v>
      </c>
      <c r="C2613">
        <v>1.0683135395449901</v>
      </c>
      <c r="D2613">
        <v>0.99746842998174801</v>
      </c>
      <c r="E2613">
        <v>0.90626719203722805</v>
      </c>
      <c r="F2613">
        <v>0.83078120324328597</v>
      </c>
      <c r="G2613">
        <v>0.72934496730431397</v>
      </c>
      <c r="H2613">
        <v>0.70595680641566705</v>
      </c>
      <c r="I2613">
        <v>0.87264231366321099</v>
      </c>
      <c r="J2613">
        <v>1.0971413771448799</v>
      </c>
      <c r="K2613">
        <v>1.06243897794627</v>
      </c>
      <c r="L2613">
        <v>12330.778439002401</v>
      </c>
      <c r="M2613">
        <v>250</v>
      </c>
      <c r="O2613">
        <v>49.319940292236403</v>
      </c>
      <c r="P2613">
        <v>-0.14820199665718101</v>
      </c>
      <c r="Q2613">
        <v>0.88305094132000095</v>
      </c>
      <c r="R2613">
        <v>0.206192657175333</v>
      </c>
      <c r="S2613" t="s">
        <v>9259</v>
      </c>
      <c r="T2613" t="s">
        <v>13290</v>
      </c>
      <c r="U2613" t="s">
        <v>13290</v>
      </c>
      <c r="V2613" t="s">
        <v>13290</v>
      </c>
      <c r="W2613" t="s">
        <v>15864</v>
      </c>
      <c r="X2613">
        <v>17</v>
      </c>
      <c r="Y2613" t="s">
        <v>22400</v>
      </c>
      <c r="Z2613" t="s">
        <v>28943</v>
      </c>
      <c r="AA2613">
        <v>0.9194053771732662</v>
      </c>
      <c r="AB2613" t="str">
        <f>HYPERLINK("Melting_Curves/meltCurve_P42574_CASP3.pdf", "Melting_Curves/meltCurve_P42574_CASP3.pdf")</f>
        <v>Melting_Curves/meltCurve_P42574_CASP3.pdf</v>
      </c>
    </row>
    <row r="2614" spans="1:28" x14ac:dyDescent="0.25">
      <c r="A2614" t="s">
        <v>2618</v>
      </c>
      <c r="B2614">
        <v>0.99252571173614901</v>
      </c>
      <c r="C2614">
        <v>0.965324046570191</v>
      </c>
      <c r="D2614">
        <v>0.65124789979140896</v>
      </c>
      <c r="E2614">
        <v>0.39067463409904402</v>
      </c>
      <c r="F2614">
        <v>0.21667808019225901</v>
      </c>
      <c r="G2614">
        <v>9.1941738526289396E-2</v>
      </c>
      <c r="H2614">
        <v>5.36992779216958E-2</v>
      </c>
      <c r="I2614">
        <v>4.9170787682775101E-2</v>
      </c>
      <c r="J2614">
        <v>4.9788091908946598E-2</v>
      </c>
      <c r="K2614">
        <v>5.79751690016281E-2</v>
      </c>
      <c r="L2614">
        <v>877.75002758047799</v>
      </c>
      <c r="M2614">
        <v>18.295336845606801</v>
      </c>
      <c r="N2614">
        <v>48.239236963984801</v>
      </c>
      <c r="O2614">
        <v>47.414529023077598</v>
      </c>
      <c r="P2614">
        <v>-9.1897836775956004E-2</v>
      </c>
      <c r="Q2614">
        <v>4.7387521139714499E-2</v>
      </c>
      <c r="R2614">
        <v>0.993651448461909</v>
      </c>
      <c r="S2614" t="s">
        <v>9260</v>
      </c>
      <c r="T2614" t="s">
        <v>13290</v>
      </c>
      <c r="U2614" t="s">
        <v>13290</v>
      </c>
      <c r="V2614" t="s">
        <v>13290</v>
      </c>
      <c r="W2614" t="s">
        <v>15865</v>
      </c>
      <c r="X2614">
        <v>5</v>
      </c>
      <c r="Y2614" t="s">
        <v>22401</v>
      </c>
      <c r="Z2614" t="s">
        <v>28944</v>
      </c>
      <c r="AA2614">
        <v>0.3170250370344051</v>
      </c>
      <c r="AB2614" t="str">
        <f>HYPERLINK("Melting_Curves/meltCurve_P42575_CASP2.pdf", "Melting_Curves/meltCurve_P42575_CASP2.pdf")</f>
        <v>Melting_Curves/meltCurve_P42575_CASP2.pdf</v>
      </c>
    </row>
    <row r="2615" spans="1:28" x14ac:dyDescent="0.25">
      <c r="A2615" t="s">
        <v>2619</v>
      </c>
      <c r="B2615">
        <v>0.99252571173614901</v>
      </c>
      <c r="C2615">
        <v>0.96442177948711005</v>
      </c>
      <c r="D2615">
        <v>0.95709539806442601</v>
      </c>
      <c r="E2615">
        <v>0.76511415465946297</v>
      </c>
      <c r="F2615">
        <v>0.58980623556017897</v>
      </c>
      <c r="G2615">
        <v>0.275082720762858</v>
      </c>
      <c r="H2615">
        <v>0.12036571832146301</v>
      </c>
      <c r="I2615">
        <v>7.9983476410701304E-2</v>
      </c>
      <c r="J2615">
        <v>0.10020140863539199</v>
      </c>
      <c r="K2615">
        <v>8.891867855327E-2</v>
      </c>
      <c r="L2615">
        <v>959.54359258344095</v>
      </c>
      <c r="M2615">
        <v>17.9870667808229</v>
      </c>
      <c r="N2615">
        <v>53.6957493475755</v>
      </c>
      <c r="O2615">
        <v>52.700039490844297</v>
      </c>
      <c r="P2615">
        <v>-8.0618999884862097E-2</v>
      </c>
      <c r="Q2615">
        <v>5.5229116321654399E-2</v>
      </c>
      <c r="R2615">
        <v>0.99488753556449305</v>
      </c>
      <c r="S2615" t="s">
        <v>9261</v>
      </c>
      <c r="T2615" t="s">
        <v>13290</v>
      </c>
      <c r="U2615" t="s">
        <v>13290</v>
      </c>
      <c r="V2615" t="s">
        <v>13290</v>
      </c>
      <c r="W2615" t="s">
        <v>15866</v>
      </c>
      <c r="X2615">
        <v>7</v>
      </c>
      <c r="Y2615" t="s">
        <v>22402</v>
      </c>
      <c r="Z2615" t="s">
        <v>28945</v>
      </c>
      <c r="AA2615">
        <v>0.49091409798931662</v>
      </c>
      <c r="AB2615" t="str">
        <f>HYPERLINK("Melting_Curves/meltCurve_P42677_RPS27.pdf", "Melting_Curves/meltCurve_P42677_RPS27.pdf")</f>
        <v>Melting_Curves/meltCurve_P42677_RPS27.pdf</v>
      </c>
    </row>
    <row r="2616" spans="1:28" x14ac:dyDescent="0.25">
      <c r="A2616" t="s">
        <v>2620</v>
      </c>
      <c r="B2616">
        <v>0.99252571173614901</v>
      </c>
      <c r="C2616">
        <v>1.0792924182342001</v>
      </c>
      <c r="D2616">
        <v>0.565103879747056</v>
      </c>
      <c r="E2616">
        <v>0.24370350892766601</v>
      </c>
      <c r="F2616">
        <v>0.100355109576336</v>
      </c>
      <c r="G2616">
        <v>8.0503783407591706E-2</v>
      </c>
      <c r="H2616">
        <v>7.3004920185471694E-2</v>
      </c>
      <c r="I2616">
        <v>5.5965826268421601E-2</v>
      </c>
      <c r="J2616">
        <v>9.5841349701182493E-2</v>
      </c>
      <c r="K2616">
        <v>0.115023907961342</v>
      </c>
      <c r="L2616">
        <v>1723.2319597917001</v>
      </c>
      <c r="M2616">
        <v>37.179766208301899</v>
      </c>
      <c r="N2616">
        <v>46.612022269309499</v>
      </c>
      <c r="O2616">
        <v>46.215196112125199</v>
      </c>
      <c r="P2616">
        <v>-0.18206940104614</v>
      </c>
      <c r="Q2616">
        <v>9.4739215292412596E-2</v>
      </c>
      <c r="R2616">
        <v>0.98196549565288105</v>
      </c>
      <c r="S2616" t="s">
        <v>9262</v>
      </c>
      <c r="T2616" t="s">
        <v>13290</v>
      </c>
      <c r="U2616" t="s">
        <v>13290</v>
      </c>
      <c r="V2616" t="s">
        <v>13290</v>
      </c>
      <c r="W2616" t="s">
        <v>15867</v>
      </c>
      <c r="X2616">
        <v>2</v>
      </c>
      <c r="Y2616" t="s">
        <v>22403</v>
      </c>
      <c r="Z2616" t="s">
        <v>28946</v>
      </c>
      <c r="AA2616">
        <v>0.28974751495922818</v>
      </c>
      <c r="AB2616" t="str">
        <f>HYPERLINK("Melting_Curves/meltCurve_P42684_8_ABL2.pdf", "Melting_Curves/meltCurve_P42684_8_ABL2.pdf")</f>
        <v>Melting_Curves/meltCurve_P42684_8_ABL2.pdf</v>
      </c>
    </row>
    <row r="2617" spans="1:28" x14ac:dyDescent="0.25">
      <c r="A2617" t="s">
        <v>2621</v>
      </c>
      <c r="B2617">
        <v>0.99252571173614901</v>
      </c>
      <c r="C2617">
        <v>0.94858448825696096</v>
      </c>
      <c r="D2617">
        <v>0.86612002435607205</v>
      </c>
      <c r="E2617">
        <v>0.57526807100010602</v>
      </c>
      <c r="F2617">
        <v>0.26745087379711202</v>
      </c>
      <c r="G2617">
        <v>0.153198673191594</v>
      </c>
      <c r="H2617">
        <v>0.100862019714411</v>
      </c>
      <c r="I2617">
        <v>8.7812950315641597E-2</v>
      </c>
      <c r="J2617">
        <v>8.7352374618929501E-2</v>
      </c>
      <c r="K2617">
        <v>7.1838918321973103E-2</v>
      </c>
      <c r="L2617">
        <v>1025.2215252721701</v>
      </c>
      <c r="M2617">
        <v>20.5413495784749</v>
      </c>
      <c r="N2617">
        <v>50.318723693367502</v>
      </c>
      <c r="O2617">
        <v>49.4443188179144</v>
      </c>
      <c r="P2617">
        <v>-9.5885842389937498E-2</v>
      </c>
      <c r="Q2617">
        <v>7.6813741751738301E-2</v>
      </c>
      <c r="R2617">
        <v>0.999456550372264</v>
      </c>
      <c r="S2617" t="s">
        <v>9263</v>
      </c>
      <c r="T2617" t="s">
        <v>13290</v>
      </c>
      <c r="U2617" t="s">
        <v>13290</v>
      </c>
      <c r="V2617" t="s">
        <v>13290</v>
      </c>
      <c r="W2617" t="s">
        <v>15868</v>
      </c>
      <c r="X2617">
        <v>3</v>
      </c>
      <c r="Y2617" t="s">
        <v>22404</v>
      </c>
      <c r="Z2617" t="s">
        <v>28947</v>
      </c>
      <c r="AA2617">
        <v>0.39397696104732671</v>
      </c>
      <c r="AB2617" t="str">
        <f>HYPERLINK("Melting_Curves/meltCurve_P42685_FRK.pdf", "Melting_Curves/meltCurve_P42685_FRK.pdf")</f>
        <v>Melting_Curves/meltCurve_P42685_FRK.pdf</v>
      </c>
    </row>
    <row r="2618" spans="1:28" x14ac:dyDescent="0.25">
      <c r="A2618" t="s">
        <v>2622</v>
      </c>
      <c r="B2618">
        <v>0.99252571173614901</v>
      </c>
      <c r="C2618">
        <v>0.760532322886039</v>
      </c>
      <c r="D2618">
        <v>0.89559899155940204</v>
      </c>
      <c r="E2618">
        <v>0.34693676966729903</v>
      </c>
      <c r="F2618">
        <v>0.22711302685844401</v>
      </c>
      <c r="G2618">
        <v>0.113467042232029</v>
      </c>
      <c r="H2618">
        <v>8.0517988143611094E-2</v>
      </c>
      <c r="I2618">
        <v>9.9598075445478398E-2</v>
      </c>
      <c r="J2618">
        <v>0.16639345769511901</v>
      </c>
      <c r="K2618">
        <v>0.150556166166849</v>
      </c>
      <c r="L2618">
        <v>1271.2117602185499</v>
      </c>
      <c r="M2618">
        <v>26.403676136100898</v>
      </c>
      <c r="N2618">
        <v>48.656051203182898</v>
      </c>
      <c r="O2618">
        <v>47.871633471797303</v>
      </c>
      <c r="P2618">
        <v>-0.121199228049366</v>
      </c>
      <c r="Q2618">
        <v>0.121040292696521</v>
      </c>
      <c r="R2618">
        <v>0.94650038983194995</v>
      </c>
      <c r="S2618" t="s">
        <v>9264</v>
      </c>
      <c r="T2618" t="s">
        <v>13290</v>
      </c>
      <c r="U2618" t="s">
        <v>13290</v>
      </c>
      <c r="V2618" t="s">
        <v>13290</v>
      </c>
      <c r="W2618" t="s">
        <v>15869</v>
      </c>
      <c r="X2618">
        <v>3</v>
      </c>
      <c r="Y2618" t="s">
        <v>22405</v>
      </c>
      <c r="Z2618" t="s">
        <v>28948</v>
      </c>
      <c r="AA2618">
        <v>0.36660695628531548</v>
      </c>
      <c r="AB2618" t="str">
        <f>HYPERLINK("Melting_Curves/meltCurve_P42695_NCAPD3.pdf", "Melting_Curves/meltCurve_P42695_NCAPD3.pdf")</f>
        <v>Melting_Curves/meltCurve_P42695_NCAPD3.pdf</v>
      </c>
    </row>
    <row r="2619" spans="1:28" x14ac:dyDescent="0.25">
      <c r="A2619" t="s">
        <v>2623</v>
      </c>
      <c r="B2619">
        <v>0.99252571173614901</v>
      </c>
      <c r="C2619">
        <v>0.78127831890470101</v>
      </c>
      <c r="D2619">
        <v>0.37075759091982602</v>
      </c>
      <c r="E2619">
        <v>0.13796510941026699</v>
      </c>
      <c r="F2619">
        <v>8.5785666920525E-2</v>
      </c>
      <c r="G2619">
        <v>5.2621116001467599E-2</v>
      </c>
      <c r="H2619">
        <v>3.9717145553990398E-2</v>
      </c>
      <c r="I2619">
        <v>3.9994554120183802E-2</v>
      </c>
      <c r="J2619">
        <v>4.1310574165251301E-2</v>
      </c>
      <c r="K2619">
        <v>4.0582806180783297E-2</v>
      </c>
      <c r="L2619">
        <v>1176.90318055802</v>
      </c>
      <c r="M2619">
        <v>26.208375273309301</v>
      </c>
      <c r="N2619">
        <v>45.079153865418</v>
      </c>
      <c r="O2619">
        <v>44.646618783710601</v>
      </c>
      <c r="P2619">
        <v>-0.139713597798275</v>
      </c>
      <c r="Q2619">
        <v>4.7988267661340803E-2</v>
      </c>
      <c r="R2619">
        <v>0.99820998647732295</v>
      </c>
      <c r="S2619" t="s">
        <v>9265</v>
      </c>
      <c r="T2619" t="s">
        <v>13290</v>
      </c>
      <c r="U2619" t="s">
        <v>13290</v>
      </c>
      <c r="V2619" t="s">
        <v>13290</v>
      </c>
      <c r="W2619" t="s">
        <v>15870</v>
      </c>
      <c r="X2619">
        <v>71</v>
      </c>
      <c r="Y2619" t="s">
        <v>22406</v>
      </c>
      <c r="Z2619" t="s">
        <v>28949</v>
      </c>
      <c r="AA2619">
        <v>0.21221217685186031</v>
      </c>
      <c r="AB2619" t="str">
        <f>HYPERLINK("Melting_Curves/meltCurve_P42704_LRPPRC.pdf", "Melting_Curves/meltCurve_P42704_LRPPRC.pdf")</f>
        <v>Melting_Curves/meltCurve_P42704_LRPPRC.pdf</v>
      </c>
    </row>
    <row r="2620" spans="1:28" x14ac:dyDescent="0.25">
      <c r="A2620" t="s">
        <v>2624</v>
      </c>
      <c r="B2620">
        <v>0.99252571173614901</v>
      </c>
      <c r="C2620">
        <v>0.97703231828431003</v>
      </c>
      <c r="D2620">
        <v>1.0259934116102201</v>
      </c>
      <c r="E2620">
        <v>1.02609508946509</v>
      </c>
      <c r="F2620">
        <v>1.0436199191371101</v>
      </c>
      <c r="G2620">
        <v>0.87503581295025701</v>
      </c>
      <c r="H2620">
        <v>0.86252389400305396</v>
      </c>
      <c r="I2620">
        <v>1.0462264825461001</v>
      </c>
      <c r="J2620">
        <v>1.0096269662211499</v>
      </c>
      <c r="K2620">
        <v>0.233530510292943</v>
      </c>
      <c r="L2620">
        <v>15000</v>
      </c>
      <c r="M2620">
        <v>215.474099750748</v>
      </c>
      <c r="N2620">
        <v>69.613947677610696</v>
      </c>
      <c r="O2620">
        <v>69.607930634795693</v>
      </c>
      <c r="P2620">
        <v>-0.77388479235976704</v>
      </c>
      <c r="Q2620">
        <v>0</v>
      </c>
      <c r="R2620">
        <v>0.92560488336944202</v>
      </c>
      <c r="S2620" t="s">
        <v>9266</v>
      </c>
      <c r="T2620" t="s">
        <v>13290</v>
      </c>
      <c r="U2620" t="s">
        <v>13290</v>
      </c>
      <c r="V2620" t="s">
        <v>13290</v>
      </c>
      <c r="W2620" t="s">
        <v>15871</v>
      </c>
      <c r="X2620">
        <v>26</v>
      </c>
      <c r="Y2620" t="s">
        <v>22407</v>
      </c>
      <c r="Z2620" t="s">
        <v>28950</v>
      </c>
      <c r="AA2620">
        <v>0.98437007506663332</v>
      </c>
      <c r="AB2620" t="str">
        <f>HYPERLINK("Melting_Curves/meltCurve_P42765_ACAA2.pdf", "Melting_Curves/meltCurve_P42765_ACAA2.pdf")</f>
        <v>Melting_Curves/meltCurve_P42765_ACAA2.pdf</v>
      </c>
    </row>
    <row r="2621" spans="1:28" x14ac:dyDescent="0.25">
      <c r="A2621" t="s">
        <v>2625</v>
      </c>
      <c r="B2621">
        <v>0.99252571173614901</v>
      </c>
      <c r="C2621">
        <v>0.99080382760376895</v>
      </c>
      <c r="D2621">
        <v>0.893244956425296</v>
      </c>
      <c r="E2621">
        <v>0.73307332039713802</v>
      </c>
      <c r="F2621">
        <v>0.44477488686905298</v>
      </c>
      <c r="G2621">
        <v>0.22073795008468</v>
      </c>
      <c r="H2621">
        <v>0.10419023465161301</v>
      </c>
      <c r="I2621">
        <v>0.111373347232578</v>
      </c>
      <c r="J2621">
        <v>9.3768605863452606E-2</v>
      </c>
      <c r="K2621">
        <v>9.5850427639275607E-2</v>
      </c>
      <c r="L2621">
        <v>968.46502880317496</v>
      </c>
      <c r="M2621">
        <v>18.666026535464301</v>
      </c>
      <c r="N2621">
        <v>52.345732944537701</v>
      </c>
      <c r="O2621">
        <v>51.299332768973301</v>
      </c>
      <c r="P2621">
        <v>-8.4062800888939707E-2</v>
      </c>
      <c r="Q2621">
        <v>7.5929346318293803E-2</v>
      </c>
      <c r="R2621">
        <v>0.99839039592603795</v>
      </c>
      <c r="S2621" t="s">
        <v>9267</v>
      </c>
      <c r="T2621" t="s">
        <v>13290</v>
      </c>
      <c r="U2621" t="s">
        <v>13290</v>
      </c>
      <c r="V2621" t="s">
        <v>13290</v>
      </c>
      <c r="W2621" t="s">
        <v>15872</v>
      </c>
      <c r="X2621">
        <v>5</v>
      </c>
      <c r="Y2621" t="s">
        <v>22408</v>
      </c>
      <c r="Z2621" t="s">
        <v>28951</v>
      </c>
      <c r="AA2621">
        <v>0.45644127319116551</v>
      </c>
      <c r="AB2621" t="str">
        <f>HYPERLINK("Melting_Curves/meltCurve_P42766_RPL35.pdf", "Melting_Curves/meltCurve_P42766_RPL35.pdf")</f>
        <v>Melting_Curves/meltCurve_P42766_RPL35.pdf</v>
      </c>
    </row>
    <row r="2622" spans="1:28" x14ac:dyDescent="0.25">
      <c r="A2622" t="s">
        <v>2626</v>
      </c>
      <c r="B2622">
        <v>0.99252571173614901</v>
      </c>
      <c r="C2622">
        <v>0.86345303296227405</v>
      </c>
      <c r="D2622">
        <v>0.92595691622460297</v>
      </c>
      <c r="E2622">
        <v>0.73254181449989697</v>
      </c>
      <c r="F2622">
        <v>0.44049697634648599</v>
      </c>
      <c r="G2622">
        <v>0.25995258188032599</v>
      </c>
      <c r="H2622">
        <v>0.133910976455931</v>
      </c>
      <c r="I2622">
        <v>0.115993237446279</v>
      </c>
      <c r="J2622">
        <v>0.182305214988079</v>
      </c>
      <c r="K2622">
        <v>0.120512684189025</v>
      </c>
      <c r="L2622">
        <v>929.55701427483496</v>
      </c>
      <c r="M2622">
        <v>17.997661052535101</v>
      </c>
      <c r="N2622">
        <v>52.400052700044398</v>
      </c>
      <c r="O2622">
        <v>51.023786130564098</v>
      </c>
      <c r="P2622">
        <v>-7.8158842712867702E-2</v>
      </c>
      <c r="Q2622">
        <v>0.11371522980717701</v>
      </c>
      <c r="R2622">
        <v>0.98450279186786505</v>
      </c>
      <c r="S2622" t="s">
        <v>9268</v>
      </c>
      <c r="T2622" t="s">
        <v>13290</v>
      </c>
      <c r="U2622" t="s">
        <v>13290</v>
      </c>
      <c r="V2622" t="s">
        <v>13290</v>
      </c>
      <c r="W2622" t="s">
        <v>15873</v>
      </c>
      <c r="X2622">
        <v>3</v>
      </c>
      <c r="Y2622" t="s">
        <v>22409</v>
      </c>
      <c r="Z2622" t="s">
        <v>28952</v>
      </c>
      <c r="AA2622">
        <v>0.47267315118968972</v>
      </c>
      <c r="AB2622" t="str">
        <f>HYPERLINK("Melting_Curves/meltCurve_P42772_CDKN2B.pdf", "Melting_Curves/meltCurve_P42772_CDKN2B.pdf")</f>
        <v>Melting_Curves/meltCurve_P42772_CDKN2B.pdf</v>
      </c>
    </row>
    <row r="2623" spans="1:28" x14ac:dyDescent="0.25">
      <c r="A2623" t="s">
        <v>2627</v>
      </c>
      <c r="B2623">
        <v>0.99252571173614901</v>
      </c>
      <c r="C2623">
        <v>0.99197103926461405</v>
      </c>
      <c r="D2623">
        <v>1.04813569490554</v>
      </c>
      <c r="E2623">
        <v>0.97829418712086902</v>
      </c>
      <c r="F2623">
        <v>0.95643159189179106</v>
      </c>
      <c r="G2623">
        <v>0.73824217208132803</v>
      </c>
      <c r="H2623">
        <v>0.63606451114457396</v>
      </c>
      <c r="I2623">
        <v>0.25607300538086802</v>
      </c>
      <c r="J2623">
        <v>0.226831464830585</v>
      </c>
      <c r="K2623">
        <v>0.20946860007037699</v>
      </c>
      <c r="L2623">
        <v>1165.7578011687799</v>
      </c>
      <c r="M2623">
        <v>19.287555504694399</v>
      </c>
      <c r="N2623">
        <v>61.304634351005497</v>
      </c>
      <c r="O2623">
        <v>59.802478990497697</v>
      </c>
      <c r="P2623">
        <v>-7.1040373982705796E-2</v>
      </c>
      <c r="Q2623">
        <v>0.118969895043758</v>
      </c>
      <c r="R2623">
        <v>0.97641322327413704</v>
      </c>
      <c r="S2623" t="s">
        <v>9269</v>
      </c>
      <c r="T2623" t="s">
        <v>13290</v>
      </c>
      <c r="U2623" t="s">
        <v>13290</v>
      </c>
      <c r="V2623" t="s">
        <v>13290</v>
      </c>
      <c r="W2623" t="s">
        <v>15874</v>
      </c>
      <c r="X2623">
        <v>8</v>
      </c>
      <c r="Y2623" t="s">
        <v>22410</v>
      </c>
      <c r="Z2623" t="s">
        <v>28953</v>
      </c>
      <c r="AA2623">
        <v>0.72574966943962615</v>
      </c>
      <c r="AB2623" t="str">
        <f>HYPERLINK("Melting_Curves/meltCurve_P42785_PRCP.pdf", "Melting_Curves/meltCurve_P42785_PRCP.pdf")</f>
        <v>Melting_Curves/meltCurve_P42785_PRCP.pdf</v>
      </c>
    </row>
    <row r="2624" spans="1:28" x14ac:dyDescent="0.25">
      <c r="A2624" t="s">
        <v>2628</v>
      </c>
      <c r="B2624">
        <v>0.99252571173614901</v>
      </c>
      <c r="C2624">
        <v>0.86237097365092297</v>
      </c>
      <c r="D2624">
        <v>1.21323835945258</v>
      </c>
      <c r="E2624">
        <v>0.86758935270953597</v>
      </c>
      <c r="F2624">
        <v>0.204638355243595</v>
      </c>
      <c r="G2624">
        <v>0.11550803409384799</v>
      </c>
      <c r="H2624">
        <v>9.2838095325101497E-2</v>
      </c>
      <c r="I2624">
        <v>9.0638021198957003E-2</v>
      </c>
      <c r="J2624">
        <v>6.4318272482898994E-2</v>
      </c>
      <c r="K2624">
        <v>5.8049525472956102E-2</v>
      </c>
      <c r="L2624">
        <v>2741.9446235169198</v>
      </c>
      <c r="M2624">
        <v>53.439809807859497</v>
      </c>
      <c r="N2624">
        <v>51.4847885808353</v>
      </c>
      <c r="O2624">
        <v>51.237349336445199</v>
      </c>
      <c r="P2624">
        <v>-0.239003733345835</v>
      </c>
      <c r="Q2624">
        <v>8.3387107386097406E-2</v>
      </c>
      <c r="R2624">
        <v>0.96557415447095196</v>
      </c>
      <c r="S2624" t="s">
        <v>9270</v>
      </c>
      <c r="T2624" t="s">
        <v>13290</v>
      </c>
      <c r="U2624" t="s">
        <v>13290</v>
      </c>
      <c r="V2624" t="s">
        <v>13290</v>
      </c>
      <c r="W2624" t="s">
        <v>15875</v>
      </c>
      <c r="X2624">
        <v>14</v>
      </c>
      <c r="Y2624" t="s">
        <v>22411</v>
      </c>
      <c r="Z2624" t="s">
        <v>28954</v>
      </c>
      <c r="AA2624">
        <v>0.4307351866910184</v>
      </c>
      <c r="AB2624" t="str">
        <f>HYPERLINK("Melting_Curves/meltCurve_P42858_HTT.pdf", "Melting_Curves/meltCurve_P42858_HTT.pdf")</f>
        <v>Melting_Curves/meltCurve_P42858_HTT.pdf</v>
      </c>
    </row>
    <row r="2625" spans="1:28" x14ac:dyDescent="0.25">
      <c r="A2625" t="s">
        <v>2629</v>
      </c>
      <c r="B2625">
        <v>0.99252571173614901</v>
      </c>
      <c r="C2625">
        <v>0.95503568991448595</v>
      </c>
      <c r="D2625">
        <v>0.96476612074896895</v>
      </c>
      <c r="E2625">
        <v>0.98492821012458598</v>
      </c>
      <c r="F2625">
        <v>0.72872065904285599</v>
      </c>
      <c r="G2625">
        <v>0.474616940304876</v>
      </c>
      <c r="H2625">
        <v>0.34939986813046903</v>
      </c>
      <c r="I2625">
        <v>0.35189439554782098</v>
      </c>
      <c r="J2625">
        <v>0.46953816017419098</v>
      </c>
      <c r="K2625">
        <v>0.36318073375599402</v>
      </c>
      <c r="L2625">
        <v>1940.9739661403601</v>
      </c>
      <c r="M2625">
        <v>36.193859302301703</v>
      </c>
      <c r="N2625">
        <v>55.887674166284903</v>
      </c>
      <c r="O2625">
        <v>53.464257251364302</v>
      </c>
      <c r="P2625">
        <v>-0.10419678625786601</v>
      </c>
      <c r="Q2625">
        <v>0.384339196467744</v>
      </c>
      <c r="R2625">
        <v>0.98062158917166298</v>
      </c>
      <c r="S2625" t="s">
        <v>9271</v>
      </c>
      <c r="T2625" t="s">
        <v>13290</v>
      </c>
      <c r="U2625" t="s">
        <v>13290</v>
      </c>
      <c r="V2625" t="s">
        <v>13290</v>
      </c>
      <c r="W2625" t="s">
        <v>15876</v>
      </c>
      <c r="X2625">
        <v>10</v>
      </c>
      <c r="Y2625" t="s">
        <v>22412</v>
      </c>
      <c r="Z2625" t="s">
        <v>28955</v>
      </c>
      <c r="AA2625">
        <v>0.66677818677188372</v>
      </c>
      <c r="AB2625" t="str">
        <f>HYPERLINK("Melting_Curves/meltCurve_P42892_3_ECE1.pdf", "Melting_Curves/meltCurve_P42892_3_ECE1.pdf")</f>
        <v>Melting_Curves/meltCurve_P42892_3_ECE1.pdf</v>
      </c>
    </row>
    <row r="2626" spans="1:28" x14ac:dyDescent="0.25">
      <c r="A2626" t="s">
        <v>2630</v>
      </c>
      <c r="B2626">
        <v>0.99252571173614901</v>
      </c>
      <c r="C2626">
        <v>1.0014334656378201</v>
      </c>
      <c r="D2626">
        <v>0.97295155632489205</v>
      </c>
      <c r="E2626">
        <v>0.83467566662824799</v>
      </c>
      <c r="F2626">
        <v>0.38947855275078003</v>
      </c>
      <c r="G2626">
        <v>0.15236044921385899</v>
      </c>
      <c r="H2626">
        <v>0.10915573576841101</v>
      </c>
      <c r="I2626">
        <v>0.124706254177716</v>
      </c>
      <c r="J2626">
        <v>0.145645712191144</v>
      </c>
      <c r="K2626">
        <v>0.144205495703672</v>
      </c>
      <c r="L2626">
        <v>1734.5346163864399</v>
      </c>
      <c r="M2626">
        <v>33.489326441160102</v>
      </c>
      <c r="N2626">
        <v>52.247037355151399</v>
      </c>
      <c r="O2626">
        <v>51.610021193224497</v>
      </c>
      <c r="P2626">
        <v>-0.141767774136694</v>
      </c>
      <c r="Q2626">
        <v>0.12609683603209099</v>
      </c>
      <c r="R2626">
        <v>0.99876240259903404</v>
      </c>
      <c r="S2626" t="s">
        <v>9272</v>
      </c>
      <c r="T2626" t="s">
        <v>13290</v>
      </c>
      <c r="U2626" t="s">
        <v>13290</v>
      </c>
      <c r="V2626" t="s">
        <v>13290</v>
      </c>
      <c r="W2626" t="s">
        <v>15877</v>
      </c>
      <c r="X2626">
        <v>6</v>
      </c>
      <c r="Y2626" t="s">
        <v>22413</v>
      </c>
      <c r="Z2626" t="s">
        <v>28956</v>
      </c>
      <c r="AA2626">
        <v>0.47411559883234822</v>
      </c>
      <c r="AB2626" t="str">
        <f>HYPERLINK("Melting_Curves/meltCurve_P42898_MTHFR.pdf", "Melting_Curves/meltCurve_P42898_MTHFR.pdf")</f>
        <v>Melting_Curves/meltCurve_P42898_MTHFR.pdf</v>
      </c>
    </row>
    <row r="2627" spans="1:28" x14ac:dyDescent="0.25">
      <c r="A2627" t="s">
        <v>2631</v>
      </c>
      <c r="B2627">
        <v>0.99252571173614901</v>
      </c>
      <c r="C2627">
        <v>0.92185029802958895</v>
      </c>
      <c r="D2627">
        <v>0.94363633366675503</v>
      </c>
      <c r="E2627">
        <v>1.29008976683971</v>
      </c>
      <c r="F2627">
        <v>0.78692366445016404</v>
      </c>
      <c r="G2627">
        <v>0.65584274480576799</v>
      </c>
      <c r="H2627">
        <v>0.66345870850606303</v>
      </c>
      <c r="I2627">
        <v>1.35666680407736</v>
      </c>
      <c r="J2627">
        <v>2.45473970806442</v>
      </c>
      <c r="K2627">
        <v>2.2591499836839501</v>
      </c>
      <c r="L2627">
        <v>15000</v>
      </c>
      <c r="M2627">
        <v>235.28681804767101</v>
      </c>
      <c r="O2627">
        <v>63.747383375490699</v>
      </c>
      <c r="P2627">
        <v>0.46136572188499703</v>
      </c>
      <c r="Q2627">
        <v>1.5</v>
      </c>
      <c r="R2627">
        <v>0.49209288746462498</v>
      </c>
      <c r="S2627" t="s">
        <v>9273</v>
      </c>
      <c r="T2627" t="s">
        <v>13290</v>
      </c>
      <c r="U2627" t="s">
        <v>13290</v>
      </c>
      <c r="V2627" t="s">
        <v>13290</v>
      </c>
      <c r="W2627" t="s">
        <v>15878</v>
      </c>
      <c r="X2627">
        <v>1</v>
      </c>
      <c r="Y2627" t="s">
        <v>22414</v>
      </c>
      <c r="Z2627" t="s">
        <v>28957</v>
      </c>
      <c r="AA2627">
        <v>1.1040705445533421</v>
      </c>
      <c r="AB2627" t="str">
        <f>HYPERLINK("Melting_Curves/meltCurve_P43003_2_SLC1A3.pdf", "Melting_Curves/meltCurve_P43003_2_SLC1A3.pdf")</f>
        <v>Melting_Curves/meltCurve_P43003_2_SLC1A3.pdf</v>
      </c>
    </row>
    <row r="2628" spans="1:28" x14ac:dyDescent="0.25">
      <c r="A2628" t="s">
        <v>2632</v>
      </c>
      <c r="B2628">
        <v>0.99252571173614901</v>
      </c>
      <c r="C2628">
        <v>1.1347231227324099</v>
      </c>
      <c r="D2628">
        <v>1.0711511244680201</v>
      </c>
      <c r="E2628">
        <v>1.1054140094125799</v>
      </c>
      <c r="F2628">
        <v>0.62454793947902998</v>
      </c>
      <c r="G2628">
        <v>0.35712212151977102</v>
      </c>
      <c r="H2628">
        <v>0.31183670589486701</v>
      </c>
      <c r="I2628">
        <v>0.51826233731212901</v>
      </c>
      <c r="J2628">
        <v>0.91457626973360295</v>
      </c>
      <c r="K2628">
        <v>0.87576447903792598</v>
      </c>
      <c r="L2628">
        <v>13163.829473209</v>
      </c>
      <c r="M2628">
        <v>250</v>
      </c>
      <c r="O2628">
        <v>52.651948254459398</v>
      </c>
      <c r="P2628">
        <v>-0.48014328513548998</v>
      </c>
      <c r="Q2628">
        <v>0.59551232965195999</v>
      </c>
      <c r="R2628">
        <v>0.59249174353690803</v>
      </c>
      <c r="S2628" t="s">
        <v>9274</v>
      </c>
      <c r="T2628" t="s">
        <v>13290</v>
      </c>
      <c r="U2628" t="s">
        <v>13290</v>
      </c>
      <c r="V2628" t="s">
        <v>13290</v>
      </c>
      <c r="W2628" t="s">
        <v>15879</v>
      </c>
      <c r="X2628">
        <v>3</v>
      </c>
      <c r="Y2628" t="s">
        <v>22415</v>
      </c>
      <c r="Z2628" t="s">
        <v>28958</v>
      </c>
      <c r="AA2628">
        <v>0.76618037645920289</v>
      </c>
      <c r="AB2628" t="str">
        <f>HYPERLINK("Melting_Curves/meltCurve_P43007_SLC1A4.pdf", "Melting_Curves/meltCurve_P43007_SLC1A4.pdf")</f>
        <v>Melting_Curves/meltCurve_P43007_SLC1A4.pdf</v>
      </c>
    </row>
    <row r="2629" spans="1:28" x14ac:dyDescent="0.25">
      <c r="A2629" t="s">
        <v>2633</v>
      </c>
      <c r="B2629">
        <v>0.99252571173614901</v>
      </c>
      <c r="C2629">
        <v>0.96596788509078402</v>
      </c>
      <c r="D2629">
        <v>1.00446840344585</v>
      </c>
      <c r="E2629">
        <v>0.88949024856711301</v>
      </c>
      <c r="F2629">
        <v>0.69510982871841898</v>
      </c>
      <c r="G2629">
        <v>0.73920846569251897</v>
      </c>
      <c r="H2629">
        <v>0.68408190896090304</v>
      </c>
      <c r="I2629">
        <v>0.56542559774472301</v>
      </c>
      <c r="J2629">
        <v>0.36884537999252198</v>
      </c>
      <c r="K2629">
        <v>0.17731377340350901</v>
      </c>
      <c r="L2629">
        <v>543.27152391476204</v>
      </c>
      <c r="M2629">
        <v>8.5896719890486697</v>
      </c>
      <c r="N2629">
        <v>63.247057522862903</v>
      </c>
      <c r="O2629">
        <v>60.099006789329799</v>
      </c>
      <c r="P2629">
        <v>-3.5762287904146497E-2</v>
      </c>
      <c r="Q2629">
        <v>0</v>
      </c>
      <c r="R2629">
        <v>0.91766318831902705</v>
      </c>
      <c r="S2629" t="s">
        <v>9275</v>
      </c>
      <c r="T2629" t="s">
        <v>13290</v>
      </c>
      <c r="U2629" t="s">
        <v>13290</v>
      </c>
      <c r="V2629" t="s">
        <v>13290</v>
      </c>
      <c r="W2629" t="s">
        <v>15880</v>
      </c>
      <c r="X2629">
        <v>32</v>
      </c>
      <c r="Y2629" t="s">
        <v>22416</v>
      </c>
      <c r="Z2629" t="s">
        <v>28959</v>
      </c>
      <c r="AA2629">
        <v>0.7291339428946485</v>
      </c>
      <c r="AB2629" t="str">
        <f>HYPERLINK("Melting_Curves/meltCurve_P43034_PAFAH1B1.pdf", "Melting_Curves/meltCurve_P43034_PAFAH1B1.pdf")</f>
        <v>Melting_Curves/meltCurve_P43034_PAFAH1B1.pdf</v>
      </c>
    </row>
    <row r="2630" spans="1:28" x14ac:dyDescent="0.25">
      <c r="A2630" t="s">
        <v>2634</v>
      </c>
      <c r="B2630">
        <v>0.99252571173614901</v>
      </c>
      <c r="C2630">
        <v>0.91168261483563995</v>
      </c>
      <c r="D2630">
        <v>0.85090278260849705</v>
      </c>
      <c r="E2630">
        <v>0.81027590020877904</v>
      </c>
      <c r="F2630">
        <v>0.70575025042436701</v>
      </c>
      <c r="G2630">
        <v>0.57330689998391404</v>
      </c>
      <c r="H2630">
        <v>0.47047943441487</v>
      </c>
      <c r="I2630">
        <v>0.37874207949945299</v>
      </c>
      <c r="J2630">
        <v>0.500098148198584</v>
      </c>
      <c r="K2630">
        <v>0.39398746640434901</v>
      </c>
      <c r="L2630">
        <v>509.56347571543301</v>
      </c>
      <c r="M2630">
        <v>9.5454666345678305</v>
      </c>
      <c r="N2630">
        <v>60.5258075174605</v>
      </c>
      <c r="O2630">
        <v>51.197488026814099</v>
      </c>
      <c r="P2630">
        <v>-3.0878131392296702E-2</v>
      </c>
      <c r="Q2630">
        <v>0.33792049598965701</v>
      </c>
      <c r="R2630">
        <v>0.96456167312756502</v>
      </c>
      <c r="S2630" t="s">
        <v>9276</v>
      </c>
      <c r="T2630" t="s">
        <v>13290</v>
      </c>
      <c r="U2630" t="s">
        <v>13290</v>
      </c>
      <c r="V2630" t="s">
        <v>13290</v>
      </c>
      <c r="W2630" t="s">
        <v>15881</v>
      </c>
      <c r="X2630">
        <v>8</v>
      </c>
      <c r="Y2630" t="s">
        <v>22417</v>
      </c>
      <c r="Z2630" t="s">
        <v>28960</v>
      </c>
      <c r="AA2630">
        <v>0.65574248486903675</v>
      </c>
      <c r="AB2630" t="str">
        <f>HYPERLINK("Melting_Curves/meltCurve_P43121_MCAM.pdf", "Melting_Curves/meltCurve_P43121_MCAM.pdf")</f>
        <v>Melting_Curves/meltCurve_P43121_MCAM.pdf</v>
      </c>
    </row>
    <row r="2631" spans="1:28" x14ac:dyDescent="0.25">
      <c r="A2631" t="s">
        <v>2635</v>
      </c>
      <c r="B2631">
        <v>0.99252571173614901</v>
      </c>
      <c r="C2631">
        <v>0.99682950058132802</v>
      </c>
      <c r="D2631">
        <v>0.78846486451002695</v>
      </c>
      <c r="E2631">
        <v>0.25607648819006401</v>
      </c>
      <c r="F2631">
        <v>0.18703122131083999</v>
      </c>
      <c r="G2631">
        <v>9.4906797778399596E-2</v>
      </c>
      <c r="H2631">
        <v>7.1644887179776698E-2</v>
      </c>
      <c r="I2631">
        <v>6.1701048304401797E-2</v>
      </c>
      <c r="J2631">
        <v>7.4345988061209706E-2</v>
      </c>
      <c r="K2631">
        <v>6.7628294761106503E-2</v>
      </c>
      <c r="L2631">
        <v>1576.4041473229099</v>
      </c>
      <c r="M2631">
        <v>33.099067931862201</v>
      </c>
      <c r="N2631">
        <v>47.894412412069002</v>
      </c>
      <c r="O2631">
        <v>47.453999645357598</v>
      </c>
      <c r="P2631">
        <v>-0.159656395548644</v>
      </c>
      <c r="Q2631">
        <v>8.4409065000585898E-2</v>
      </c>
      <c r="R2631">
        <v>0.99466148584384095</v>
      </c>
      <c r="S2631" t="s">
        <v>9277</v>
      </c>
      <c r="T2631" t="s">
        <v>13290</v>
      </c>
      <c r="U2631" t="s">
        <v>13290</v>
      </c>
      <c r="V2631" t="s">
        <v>13290</v>
      </c>
      <c r="W2631" t="s">
        <v>15882</v>
      </c>
      <c r="X2631">
        <v>15</v>
      </c>
      <c r="Y2631" t="s">
        <v>22418</v>
      </c>
      <c r="Z2631" t="s">
        <v>28961</v>
      </c>
      <c r="AA2631">
        <v>0.32165058616559539</v>
      </c>
      <c r="AB2631" t="str">
        <f>HYPERLINK("Melting_Curves/meltCurve_P43155_2_CRAT.pdf", "Melting_Curves/meltCurve_P43155_2_CRAT.pdf")</f>
        <v>Melting_Curves/meltCurve_P43155_2_CRAT.pdf</v>
      </c>
    </row>
    <row r="2632" spans="1:28" x14ac:dyDescent="0.25">
      <c r="A2632" t="s">
        <v>2636</v>
      </c>
      <c r="B2632">
        <v>0.99252571173614901</v>
      </c>
      <c r="C2632">
        <v>0.91193581677170799</v>
      </c>
      <c r="D2632">
        <v>0.91250397876268097</v>
      </c>
      <c r="E2632">
        <v>0.51881826472857195</v>
      </c>
      <c r="F2632">
        <v>0.136597988939652</v>
      </c>
      <c r="G2632">
        <v>7.6602695994558406E-2</v>
      </c>
      <c r="H2632">
        <v>5.5328198753105698E-2</v>
      </c>
      <c r="I2632">
        <v>6.1640648999577503E-2</v>
      </c>
      <c r="J2632">
        <v>7.2756254270964604E-2</v>
      </c>
      <c r="K2632">
        <v>7.0006791194768603E-2</v>
      </c>
      <c r="L2632">
        <v>1523.32247606018</v>
      </c>
      <c r="M2632">
        <v>30.8080057775482</v>
      </c>
      <c r="N2632">
        <v>49.653311411619399</v>
      </c>
      <c r="O2632">
        <v>49.238738986459097</v>
      </c>
      <c r="P2632">
        <v>-0.146968585060404</v>
      </c>
      <c r="Q2632">
        <v>6.0438320871016402E-2</v>
      </c>
      <c r="R2632">
        <v>0.99522790884597201</v>
      </c>
      <c r="S2632" t="s">
        <v>9278</v>
      </c>
      <c r="T2632" t="s">
        <v>13290</v>
      </c>
      <c r="U2632" t="s">
        <v>13290</v>
      </c>
      <c r="V2632" t="s">
        <v>13290</v>
      </c>
      <c r="W2632" t="s">
        <v>15883</v>
      </c>
      <c r="X2632">
        <v>37</v>
      </c>
      <c r="Y2632" t="s">
        <v>22419</v>
      </c>
      <c r="Z2632" t="s">
        <v>28962</v>
      </c>
      <c r="AA2632">
        <v>0.36172167099847807</v>
      </c>
      <c r="AB2632" t="str">
        <f>HYPERLINK("Melting_Curves/meltCurve_P43246_MSH2.pdf", "Melting_Curves/meltCurve_P43246_MSH2.pdf")</f>
        <v>Melting_Curves/meltCurve_P43246_MSH2.pdf</v>
      </c>
    </row>
    <row r="2633" spans="1:28" x14ac:dyDescent="0.25">
      <c r="A2633" t="s">
        <v>2637</v>
      </c>
      <c r="B2633">
        <v>0.99252571173614901</v>
      </c>
      <c r="C2633">
        <v>0.908526327887761</v>
      </c>
      <c r="D2633">
        <v>0.94629637696632796</v>
      </c>
      <c r="E2633">
        <v>0.93294857719982505</v>
      </c>
      <c r="F2633">
        <v>0.87386794301506998</v>
      </c>
      <c r="G2633">
        <v>0.76238883309149597</v>
      </c>
      <c r="H2633">
        <v>0.60115357253399804</v>
      </c>
      <c r="I2633">
        <v>0.43329070708648698</v>
      </c>
      <c r="J2633">
        <v>0.48720056134870798</v>
      </c>
      <c r="K2633">
        <v>0.23807273999017201</v>
      </c>
      <c r="L2633">
        <v>583.01009204018897</v>
      </c>
      <c r="M2633">
        <v>9.1653062521347</v>
      </c>
      <c r="N2633">
        <v>63.610531205926499</v>
      </c>
      <c r="O2633">
        <v>60.801929895617903</v>
      </c>
      <c r="P2633">
        <v>-3.7710640307111597E-2</v>
      </c>
      <c r="Q2633">
        <v>0</v>
      </c>
      <c r="R2633">
        <v>0.95907236559090903</v>
      </c>
      <c r="S2633" t="s">
        <v>9279</v>
      </c>
      <c r="T2633" t="s">
        <v>13290</v>
      </c>
      <c r="U2633" t="s">
        <v>13290</v>
      </c>
      <c r="V2633" t="s">
        <v>13290</v>
      </c>
      <c r="W2633" t="s">
        <v>15884</v>
      </c>
      <c r="X2633">
        <v>61</v>
      </c>
      <c r="Y2633" t="s">
        <v>22420</v>
      </c>
      <c r="Z2633" t="s">
        <v>28963</v>
      </c>
      <c r="AA2633">
        <v>0.74228682554884273</v>
      </c>
      <c r="AB2633" t="str">
        <f>HYPERLINK("Melting_Curves/meltCurve_P43304_GPD2.pdf", "Melting_Curves/meltCurve_P43304_GPD2.pdf")</f>
        <v>Melting_Curves/meltCurve_P43304_GPD2.pdf</v>
      </c>
    </row>
    <row r="2634" spans="1:28" x14ac:dyDescent="0.25">
      <c r="A2634" t="s">
        <v>2638</v>
      </c>
      <c r="B2634">
        <v>0.99252571173614901</v>
      </c>
      <c r="C2634">
        <v>0.81767514242390904</v>
      </c>
      <c r="D2634">
        <v>0.75671183697789501</v>
      </c>
      <c r="E2634">
        <v>0.48869364688969102</v>
      </c>
      <c r="F2634">
        <v>0.523437301509593</v>
      </c>
      <c r="G2634">
        <v>0.374990295361666</v>
      </c>
      <c r="H2634">
        <v>0.26376010632234498</v>
      </c>
      <c r="I2634">
        <v>0.250563897215488</v>
      </c>
      <c r="J2634">
        <v>0.39386954878932001</v>
      </c>
      <c r="K2634">
        <v>0.33217259490232298</v>
      </c>
      <c r="L2634">
        <v>634.82176981421503</v>
      </c>
      <c r="M2634">
        <v>13.3859761383091</v>
      </c>
      <c r="N2634">
        <v>50.955803059655302</v>
      </c>
      <c r="O2634">
        <v>46.403495696691301</v>
      </c>
      <c r="P2634">
        <v>-5.0326492626935997E-2</v>
      </c>
      <c r="Q2634">
        <v>0.30226770550206</v>
      </c>
      <c r="R2634">
        <v>0.94048025299478599</v>
      </c>
      <c r="S2634" t="s">
        <v>9280</v>
      </c>
      <c r="T2634" t="s">
        <v>13290</v>
      </c>
      <c r="U2634" t="s">
        <v>13290</v>
      </c>
      <c r="V2634" t="s">
        <v>13290</v>
      </c>
      <c r="W2634" t="s">
        <v>15885</v>
      </c>
      <c r="X2634">
        <v>3</v>
      </c>
      <c r="Y2634" t="s">
        <v>22421</v>
      </c>
      <c r="Z2634" t="s">
        <v>28964</v>
      </c>
      <c r="AA2634">
        <v>0.49810139450793922</v>
      </c>
      <c r="AB2634" t="str">
        <f>HYPERLINK("Melting_Curves/meltCurve_P43307_SSR1.pdf", "Melting_Curves/meltCurve_P43307_SSR1.pdf")</f>
        <v>Melting_Curves/meltCurve_P43307_SSR1.pdf</v>
      </c>
    </row>
    <row r="2635" spans="1:28" x14ac:dyDescent="0.25">
      <c r="A2635" t="s">
        <v>2639</v>
      </c>
      <c r="B2635">
        <v>0.99252571173614901</v>
      </c>
      <c r="C2635">
        <v>1.0147274729007001</v>
      </c>
      <c r="D2635">
        <v>0.69849131899924999</v>
      </c>
      <c r="E2635">
        <v>0.32757718259832802</v>
      </c>
      <c r="F2635">
        <v>0.20534059807392999</v>
      </c>
      <c r="G2635">
        <v>8.8852136659925904E-2</v>
      </c>
      <c r="H2635">
        <v>5.5369048131445699E-2</v>
      </c>
      <c r="I2635">
        <v>6.6405194084136407E-2</v>
      </c>
      <c r="J2635">
        <v>8.3115043754515394E-2</v>
      </c>
      <c r="K2635">
        <v>8.0322847969237998E-2</v>
      </c>
      <c r="L2635">
        <v>1146.55011751544</v>
      </c>
      <c r="M2635">
        <v>24.052359843223599</v>
      </c>
      <c r="N2635">
        <v>48.006706637779999</v>
      </c>
      <c r="O2635">
        <v>47.343076192856898</v>
      </c>
      <c r="P2635">
        <v>-0.117125603762656</v>
      </c>
      <c r="Q2635">
        <v>7.7845213482415798E-2</v>
      </c>
      <c r="R2635">
        <v>0.99211975139186104</v>
      </c>
      <c r="S2635" t="s">
        <v>9281</v>
      </c>
      <c r="T2635" t="s">
        <v>13290</v>
      </c>
      <c r="U2635" t="s">
        <v>13290</v>
      </c>
      <c r="V2635" t="s">
        <v>13290</v>
      </c>
      <c r="W2635" t="s">
        <v>15886</v>
      </c>
      <c r="X2635">
        <v>5</v>
      </c>
      <c r="Y2635" t="s">
        <v>22422</v>
      </c>
      <c r="Z2635" t="s">
        <v>28965</v>
      </c>
      <c r="AA2635">
        <v>0.32244684937220419</v>
      </c>
      <c r="AB2635" t="str">
        <f>HYPERLINK("Melting_Curves/meltCurve_P43378_PTPN9.pdf", "Melting_Curves/meltCurve_P43378_PTPN9.pdf")</f>
        <v>Melting_Curves/meltCurve_P43378_PTPN9.pdf</v>
      </c>
    </row>
    <row r="2636" spans="1:28" x14ac:dyDescent="0.25">
      <c r="A2636" t="s">
        <v>2640</v>
      </c>
      <c r="B2636">
        <v>0.99252571173614901</v>
      </c>
      <c r="C2636">
        <v>1.0019683570454101</v>
      </c>
      <c r="D2636">
        <v>0.65998350522347304</v>
      </c>
      <c r="E2636">
        <v>0.21494888352451799</v>
      </c>
      <c r="F2636">
        <v>0.14858695594256199</v>
      </c>
      <c r="G2636">
        <v>8.2223895027754498E-2</v>
      </c>
      <c r="H2636">
        <v>6.2158505211139303E-2</v>
      </c>
      <c r="I2636">
        <v>5.6405543882863E-2</v>
      </c>
      <c r="J2636">
        <v>6.8182428103765805E-2</v>
      </c>
      <c r="K2636">
        <v>7.1831614648715805E-2</v>
      </c>
      <c r="L2636">
        <v>1495.1511264057499</v>
      </c>
      <c r="M2636">
        <v>31.892594226725102</v>
      </c>
      <c r="N2636">
        <v>47.127622603927797</v>
      </c>
      <c r="O2636">
        <v>46.697661450321903</v>
      </c>
      <c r="P2636">
        <v>-0.157609637872657</v>
      </c>
      <c r="Q2636">
        <v>7.6906228097918194E-2</v>
      </c>
      <c r="R2636">
        <v>0.99575349987819395</v>
      </c>
      <c r="S2636" t="s">
        <v>9282</v>
      </c>
      <c r="T2636" t="s">
        <v>13290</v>
      </c>
      <c r="U2636" t="s">
        <v>13290</v>
      </c>
      <c r="V2636" t="s">
        <v>13290</v>
      </c>
      <c r="W2636" t="s">
        <v>15887</v>
      </c>
      <c r="X2636">
        <v>12</v>
      </c>
      <c r="Y2636" t="s">
        <v>22423</v>
      </c>
      <c r="Z2636" t="s">
        <v>28966</v>
      </c>
      <c r="AA2636">
        <v>0.29348536236491951</v>
      </c>
      <c r="AB2636" t="str">
        <f>HYPERLINK("Melting_Curves/meltCurve_P43405_SYK.pdf", "Melting_Curves/meltCurve_P43405_SYK.pdf")</f>
        <v>Melting_Curves/meltCurve_P43405_SYK.pdf</v>
      </c>
    </row>
    <row r="2637" spans="1:28" x14ac:dyDescent="0.25">
      <c r="A2637" t="s">
        <v>2641</v>
      </c>
      <c r="B2637">
        <v>0.99252571173614901</v>
      </c>
      <c r="C2637">
        <v>1.0649578861945099</v>
      </c>
      <c r="D2637">
        <v>0.90511268008411205</v>
      </c>
      <c r="E2637">
        <v>0.70628501021496604</v>
      </c>
      <c r="F2637">
        <v>0.405803283949149</v>
      </c>
      <c r="G2637">
        <v>0.356415083604742</v>
      </c>
      <c r="H2637">
        <v>0.34815078409973099</v>
      </c>
      <c r="I2637">
        <v>0.26376995032769002</v>
      </c>
      <c r="J2637">
        <v>0.33371113769455502</v>
      </c>
      <c r="K2637">
        <v>0.38152812528443503</v>
      </c>
      <c r="L2637">
        <v>1430.3304441022201</v>
      </c>
      <c r="M2637">
        <v>28.693872132228101</v>
      </c>
      <c r="N2637">
        <v>51.791366023426399</v>
      </c>
      <c r="O2637">
        <v>49.607717557660003</v>
      </c>
      <c r="P2637">
        <v>-9.6936984819890007E-2</v>
      </c>
      <c r="Q2637">
        <v>0.329643024130712</v>
      </c>
      <c r="R2637">
        <v>0.98285668823071903</v>
      </c>
      <c r="S2637" t="s">
        <v>9283</v>
      </c>
      <c r="T2637" t="s">
        <v>13290</v>
      </c>
      <c r="U2637" t="s">
        <v>13290</v>
      </c>
      <c r="V2637" t="s">
        <v>13290</v>
      </c>
      <c r="W2637" t="s">
        <v>15888</v>
      </c>
      <c r="X2637">
        <v>13</v>
      </c>
      <c r="Y2637" t="s">
        <v>22424</v>
      </c>
      <c r="Z2637" t="s">
        <v>28967</v>
      </c>
      <c r="AA2637">
        <v>0.55422421661994126</v>
      </c>
      <c r="AB2637" t="str">
        <f>HYPERLINK("Melting_Curves/meltCurve_P43487_RANBP1.pdf", "Melting_Curves/meltCurve_P43487_RANBP1.pdf")</f>
        <v>Melting_Curves/meltCurve_P43487_RANBP1.pdf</v>
      </c>
    </row>
    <row r="2638" spans="1:28" x14ac:dyDescent="0.25">
      <c r="A2638" t="s">
        <v>2642</v>
      </c>
      <c r="B2638">
        <v>0.99252571173614901</v>
      </c>
      <c r="C2638">
        <v>0.88925902557120196</v>
      </c>
      <c r="D2638">
        <v>0.92258014515379305</v>
      </c>
      <c r="E2638">
        <v>0.79097705377739302</v>
      </c>
      <c r="F2638">
        <v>0.83942298249007896</v>
      </c>
      <c r="G2638">
        <v>0.69391134778677699</v>
      </c>
      <c r="H2638">
        <v>0.244223939311805</v>
      </c>
      <c r="I2638">
        <v>9.3833036571302403E-2</v>
      </c>
      <c r="J2638">
        <v>9.4102459570844801E-2</v>
      </c>
      <c r="K2638">
        <v>8.5618015819863405E-2</v>
      </c>
      <c r="L2638">
        <v>1047.1685080654499</v>
      </c>
      <c r="M2638">
        <v>18.061739623072899</v>
      </c>
      <c r="N2638">
        <v>57.977168990030201</v>
      </c>
      <c r="O2638">
        <v>57.280479046652196</v>
      </c>
      <c r="P2638">
        <v>-7.8834094822502296E-2</v>
      </c>
      <c r="Q2638">
        <v>0</v>
      </c>
      <c r="R2638">
        <v>0.952968212506067</v>
      </c>
      <c r="S2638" t="s">
        <v>9284</v>
      </c>
      <c r="T2638" t="s">
        <v>13290</v>
      </c>
      <c r="U2638" t="s">
        <v>13290</v>
      </c>
      <c r="V2638" t="s">
        <v>13290</v>
      </c>
      <c r="W2638" t="s">
        <v>15889</v>
      </c>
      <c r="X2638">
        <v>20</v>
      </c>
      <c r="Y2638" t="s">
        <v>22425</v>
      </c>
      <c r="Z2638" t="s">
        <v>28968</v>
      </c>
      <c r="AA2638">
        <v>0.61161357736516309</v>
      </c>
      <c r="AB2638" t="str">
        <f>HYPERLINK("Melting_Curves/meltCurve_P43490_NAMPT.pdf", "Melting_Curves/meltCurve_P43490_NAMPT.pdf")</f>
        <v>Melting_Curves/meltCurve_P43490_NAMPT.pdf</v>
      </c>
    </row>
    <row r="2639" spans="1:28" x14ac:dyDescent="0.25">
      <c r="A2639" t="s">
        <v>2643</v>
      </c>
      <c r="B2639">
        <v>0.99252571173614901</v>
      </c>
      <c r="C2639">
        <v>0.86857180164083103</v>
      </c>
      <c r="D2639">
        <v>1.1936896206396299</v>
      </c>
      <c r="E2639">
        <v>1.1826817578367701</v>
      </c>
      <c r="F2639">
        <v>0.94851066634550296</v>
      </c>
      <c r="G2639">
        <v>0.35285607682208198</v>
      </c>
      <c r="H2639">
        <v>0.13651189908564601</v>
      </c>
      <c r="I2639">
        <v>0.14462023994870199</v>
      </c>
      <c r="J2639">
        <v>0.15487081887725301</v>
      </c>
      <c r="K2639">
        <v>0.15035814610137399</v>
      </c>
      <c r="L2639">
        <v>3381.6160547333502</v>
      </c>
      <c r="M2639">
        <v>60.683532638134501</v>
      </c>
      <c r="N2639">
        <v>56.042854671400796</v>
      </c>
      <c r="O2639">
        <v>55.665011143351599</v>
      </c>
      <c r="P2639">
        <v>-0.232903811433576</v>
      </c>
      <c r="Q2639">
        <v>0.14542957141844601</v>
      </c>
      <c r="R2639">
        <v>0.95381629192794704</v>
      </c>
      <c r="S2639" t="s">
        <v>9285</v>
      </c>
      <c r="T2639" t="s">
        <v>13290</v>
      </c>
      <c r="U2639" t="s">
        <v>13290</v>
      </c>
      <c r="V2639" t="s">
        <v>13290</v>
      </c>
      <c r="W2639" t="s">
        <v>15890</v>
      </c>
      <c r="X2639">
        <v>24</v>
      </c>
      <c r="Y2639" t="s">
        <v>22426</v>
      </c>
      <c r="Z2639" t="s">
        <v>28969</v>
      </c>
      <c r="AA2639">
        <v>0.59480251976704124</v>
      </c>
      <c r="AB2639" t="str">
        <f>HYPERLINK("Melting_Curves/meltCurve_P43686_PSMC4.pdf", "Melting_Curves/meltCurve_P43686_PSMC4.pdf")</f>
        <v>Melting_Curves/meltCurve_P43686_PSMC4.pdf</v>
      </c>
    </row>
    <row r="2640" spans="1:28" x14ac:dyDescent="0.25">
      <c r="A2640" t="s">
        <v>2644</v>
      </c>
      <c r="B2640">
        <v>0.99252571173614901</v>
      </c>
      <c r="C2640">
        <v>1.0652506043899701</v>
      </c>
      <c r="D2640">
        <v>0.526258134918273</v>
      </c>
      <c r="E2640">
        <v>0.310433830763297</v>
      </c>
      <c r="F2640">
        <v>0.10895102614621099</v>
      </c>
      <c r="G2640">
        <v>6.4567353628355306E-2</v>
      </c>
      <c r="H2640">
        <v>5.1625977868226897E-2</v>
      </c>
      <c r="I2640">
        <v>5.3667971576643998E-2</v>
      </c>
      <c r="J2640">
        <v>6.3613383048912897E-2</v>
      </c>
      <c r="K2640">
        <v>7.0827364770131407E-2</v>
      </c>
      <c r="L2640">
        <v>1245.71062218012</v>
      </c>
      <c r="M2640">
        <v>26.690538040331099</v>
      </c>
      <c r="N2640">
        <v>46.930760056600697</v>
      </c>
      <c r="O2640">
        <v>46.412725391634098</v>
      </c>
      <c r="P2640">
        <v>-0.13394482857853299</v>
      </c>
      <c r="Q2640">
        <v>6.8331863061379103E-2</v>
      </c>
      <c r="R2640">
        <v>0.97299503827766198</v>
      </c>
      <c r="S2640" t="s">
        <v>9286</v>
      </c>
      <c r="T2640" t="s">
        <v>13290</v>
      </c>
      <c r="U2640" t="s">
        <v>13290</v>
      </c>
      <c r="V2640" t="s">
        <v>13290</v>
      </c>
      <c r="W2640" t="s">
        <v>15891</v>
      </c>
      <c r="X2640">
        <v>21</v>
      </c>
      <c r="Y2640" t="s">
        <v>22427</v>
      </c>
      <c r="Z2640" t="s">
        <v>28970</v>
      </c>
      <c r="AA2640">
        <v>0.28279184882493508</v>
      </c>
      <c r="AB2640" t="str">
        <f>HYPERLINK("Melting_Curves/meltCurve_P43897_TSFM.pdf", "Melting_Curves/meltCurve_P43897_TSFM.pdf")</f>
        <v>Melting_Curves/meltCurve_P43897_TSFM.pdf</v>
      </c>
    </row>
    <row r="2641" spans="1:28" x14ac:dyDescent="0.25">
      <c r="A2641" t="s">
        <v>2645</v>
      </c>
      <c r="B2641">
        <v>0.99252571173614901</v>
      </c>
      <c r="C2641">
        <v>0.96325396140908404</v>
      </c>
      <c r="D2641">
        <v>0.95782554403171005</v>
      </c>
      <c r="E2641">
        <v>0.71122372777800802</v>
      </c>
      <c r="F2641">
        <v>0.568534454028362</v>
      </c>
      <c r="G2641">
        <v>0.454318352603858</v>
      </c>
      <c r="H2641">
        <v>0.34293212747787899</v>
      </c>
      <c r="I2641">
        <v>0.33382800494735398</v>
      </c>
      <c r="J2641">
        <v>0.44297023698482602</v>
      </c>
      <c r="K2641">
        <v>0.42075972571793602</v>
      </c>
      <c r="L2641">
        <v>1042.7123132695299</v>
      </c>
      <c r="M2641">
        <v>20.6890055575617</v>
      </c>
      <c r="N2641">
        <v>54.240888050762898</v>
      </c>
      <c r="O2641">
        <v>49.935567121858703</v>
      </c>
      <c r="P2641">
        <v>-6.3755154211410495E-2</v>
      </c>
      <c r="Q2641">
        <v>0.38449257133203402</v>
      </c>
      <c r="R2641">
        <v>0.97705363907995602</v>
      </c>
      <c r="S2641" t="s">
        <v>9287</v>
      </c>
      <c r="T2641" t="s">
        <v>13290</v>
      </c>
      <c r="U2641" t="s">
        <v>13290</v>
      </c>
      <c r="V2641" t="s">
        <v>13290</v>
      </c>
      <c r="W2641" t="s">
        <v>15892</v>
      </c>
      <c r="X2641">
        <v>16</v>
      </c>
      <c r="Y2641" t="s">
        <v>22428</v>
      </c>
      <c r="Z2641" t="s">
        <v>28971</v>
      </c>
      <c r="AA2641">
        <v>0.60587176111031815</v>
      </c>
      <c r="AB2641" t="str">
        <f>HYPERLINK("Melting_Curves/meltCurve_P45880_VDAC2.pdf", "Melting_Curves/meltCurve_P45880_VDAC2.pdf")</f>
        <v>Melting_Curves/meltCurve_P45880_VDAC2.pdf</v>
      </c>
    </row>
    <row r="2642" spans="1:28" x14ac:dyDescent="0.25">
      <c r="A2642" t="s">
        <v>2646</v>
      </c>
      <c r="B2642">
        <v>0.99252571173614901</v>
      </c>
      <c r="C2642">
        <v>0.96737126507287696</v>
      </c>
      <c r="D2642">
        <v>0.95567367653809898</v>
      </c>
      <c r="E2642">
        <v>0.80932865858195902</v>
      </c>
      <c r="F2642">
        <v>0.33516840555314198</v>
      </c>
      <c r="G2642">
        <v>0.189684669035804</v>
      </c>
      <c r="H2642">
        <v>0.11936671789480199</v>
      </c>
      <c r="I2642">
        <v>8.4134096483509904E-2</v>
      </c>
      <c r="J2642">
        <v>5.8425461863629603E-2</v>
      </c>
      <c r="K2642">
        <v>5.5198535549528298E-2</v>
      </c>
      <c r="L2642">
        <v>1446.28535816315</v>
      </c>
      <c r="M2642">
        <v>27.9711422769976</v>
      </c>
      <c r="N2642">
        <v>52.027700819243698</v>
      </c>
      <c r="O2642">
        <v>51.444226901114298</v>
      </c>
      <c r="P2642">
        <v>-0.125146523314145</v>
      </c>
      <c r="Q2642">
        <v>7.9335492409082498E-2</v>
      </c>
      <c r="R2642">
        <v>0.99598227800621297</v>
      </c>
      <c r="S2642" t="s">
        <v>9288</v>
      </c>
      <c r="T2642" t="s">
        <v>13290</v>
      </c>
      <c r="U2642" t="s">
        <v>13290</v>
      </c>
      <c r="V2642" t="s">
        <v>13290</v>
      </c>
      <c r="W2642" t="s">
        <v>15893</v>
      </c>
      <c r="X2642">
        <v>12</v>
      </c>
      <c r="Y2642" t="s">
        <v>22429</v>
      </c>
      <c r="Z2642" t="s">
        <v>28972</v>
      </c>
      <c r="AA2642">
        <v>0.44531599379346759</v>
      </c>
      <c r="AB2642" t="str">
        <f>HYPERLINK("Melting_Curves/meltCurve_P45954_ACADSB.pdf", "Melting_Curves/meltCurve_P45954_ACADSB.pdf")</f>
        <v>Melting_Curves/meltCurve_P45954_ACADSB.pdf</v>
      </c>
    </row>
    <row r="2643" spans="1:28" x14ac:dyDescent="0.25">
      <c r="A2643" t="s">
        <v>2647</v>
      </c>
      <c r="B2643">
        <v>0.99252571173614901</v>
      </c>
      <c r="C2643">
        <v>1.0618331781073</v>
      </c>
      <c r="D2643">
        <v>0.916369730577694</v>
      </c>
      <c r="E2643">
        <v>0.619417454114503</v>
      </c>
      <c r="F2643">
        <v>0.22865604365710801</v>
      </c>
      <c r="G2643">
        <v>0.170963358873368</v>
      </c>
      <c r="H2643">
        <v>0.14534897024056201</v>
      </c>
      <c r="I2643">
        <v>0.15663665181966999</v>
      </c>
      <c r="J2643">
        <v>0.187047014429608</v>
      </c>
      <c r="K2643">
        <v>0.205635740345498</v>
      </c>
      <c r="L2643">
        <v>1746.7282281252301</v>
      </c>
      <c r="M2643">
        <v>35.111170974461103</v>
      </c>
      <c r="N2643">
        <v>50.337581636239101</v>
      </c>
      <c r="O2643">
        <v>49.587955528297996</v>
      </c>
      <c r="P2643">
        <v>-0.14719348277722899</v>
      </c>
      <c r="Q2643">
        <v>0.16846996604391401</v>
      </c>
      <c r="R2643">
        <v>0.99349100991008998</v>
      </c>
      <c r="S2643" t="s">
        <v>9289</v>
      </c>
      <c r="T2643" t="s">
        <v>13290</v>
      </c>
      <c r="U2643" t="s">
        <v>13290</v>
      </c>
      <c r="V2643" t="s">
        <v>13290</v>
      </c>
      <c r="W2643" t="s">
        <v>15894</v>
      </c>
      <c r="X2643">
        <v>10</v>
      </c>
      <c r="Y2643" t="s">
        <v>22430</v>
      </c>
      <c r="Z2643" t="s">
        <v>28973</v>
      </c>
      <c r="AA2643">
        <v>0.44239928254293831</v>
      </c>
      <c r="AB2643" t="str">
        <f>HYPERLINK("Melting_Curves/meltCurve_P45973_CBX5.pdf", "Melting_Curves/meltCurve_P45973_CBX5.pdf")</f>
        <v>Melting_Curves/meltCurve_P45973_CBX5.pdf</v>
      </c>
    </row>
    <row r="2644" spans="1:28" x14ac:dyDescent="0.25">
      <c r="A2644" t="s">
        <v>2648</v>
      </c>
      <c r="B2644">
        <v>0.99252571173614901</v>
      </c>
      <c r="C2644">
        <v>1.07674582655058</v>
      </c>
      <c r="D2644">
        <v>0.87720798691044899</v>
      </c>
      <c r="E2644">
        <v>0.78766327162405203</v>
      </c>
      <c r="F2644">
        <v>0.352454436037481</v>
      </c>
      <c r="G2644">
        <v>0.14388292471398501</v>
      </c>
      <c r="H2644">
        <v>6.8837997433291304E-2</v>
      </c>
      <c r="I2644">
        <v>6.6054892594874196E-2</v>
      </c>
      <c r="J2644">
        <v>7.3760336192533402E-2</v>
      </c>
      <c r="K2644">
        <v>6.9042971614561605E-2</v>
      </c>
      <c r="L2644">
        <v>1330.0528625914501</v>
      </c>
      <c r="M2644">
        <v>25.7498941829394</v>
      </c>
      <c r="N2644">
        <v>51.916841456518497</v>
      </c>
      <c r="O2644">
        <v>51.344246030965699</v>
      </c>
      <c r="P2644">
        <v>-0.117684044652761</v>
      </c>
      <c r="Q2644">
        <v>6.1382385303502901E-2</v>
      </c>
      <c r="R2644">
        <v>0.99095442716520199</v>
      </c>
      <c r="S2644" t="s">
        <v>9290</v>
      </c>
      <c r="T2644" t="s">
        <v>13290</v>
      </c>
      <c r="U2644" t="s">
        <v>13290</v>
      </c>
      <c r="V2644" t="s">
        <v>13290</v>
      </c>
      <c r="W2644" t="s">
        <v>15895</v>
      </c>
      <c r="X2644">
        <v>45</v>
      </c>
      <c r="Y2644" t="s">
        <v>22431</v>
      </c>
      <c r="Z2644" t="s">
        <v>28974</v>
      </c>
      <c r="AA2644">
        <v>0.43402663133798119</v>
      </c>
      <c r="AB2644" t="str">
        <f>HYPERLINK("Melting_Curves/meltCurve_P45974_2_USP5.pdf", "Melting_Curves/meltCurve_P45974_2_USP5.pdf")</f>
        <v>Melting_Curves/meltCurve_P45974_2_USP5.pdf</v>
      </c>
    </row>
    <row r="2645" spans="1:28" x14ac:dyDescent="0.25">
      <c r="A2645" t="s">
        <v>2649</v>
      </c>
      <c r="B2645">
        <v>0.99252571173614901</v>
      </c>
      <c r="C2645">
        <v>0.99513226182146197</v>
      </c>
      <c r="D2645">
        <v>0.89166696664943501</v>
      </c>
      <c r="E2645">
        <v>0.52190747403884896</v>
      </c>
      <c r="F2645">
        <v>0.225850650776662</v>
      </c>
      <c r="G2645">
        <v>0.15984776423729699</v>
      </c>
      <c r="H2645">
        <v>0.128599302446018</v>
      </c>
      <c r="I2645">
        <v>0.17157287973153099</v>
      </c>
      <c r="J2645">
        <v>0.28864335213380399</v>
      </c>
      <c r="K2645">
        <v>0.25244534575963901</v>
      </c>
      <c r="L2645">
        <v>1629.35714359962</v>
      </c>
      <c r="M2645">
        <v>33.3164067402206</v>
      </c>
      <c r="N2645">
        <v>49.646934357947799</v>
      </c>
      <c r="O2645">
        <v>48.7303608125073</v>
      </c>
      <c r="P2645">
        <v>-0.137425213071211</v>
      </c>
      <c r="Q2645">
        <v>0.195981544769569</v>
      </c>
      <c r="R2645">
        <v>0.98274441283376801</v>
      </c>
      <c r="S2645" t="s">
        <v>9291</v>
      </c>
      <c r="T2645" t="s">
        <v>13290</v>
      </c>
      <c r="U2645" t="s">
        <v>13290</v>
      </c>
      <c r="V2645" t="s">
        <v>13290</v>
      </c>
      <c r="W2645" t="s">
        <v>15896</v>
      </c>
      <c r="X2645">
        <v>3</v>
      </c>
      <c r="Y2645" t="s">
        <v>22432</v>
      </c>
      <c r="Z2645" t="s">
        <v>28975</v>
      </c>
      <c r="AA2645">
        <v>0.4386014971769413</v>
      </c>
      <c r="AB2645" t="str">
        <f>HYPERLINK("Melting_Curves/meltCurve_P45983_3_MAPK8.pdf", "Melting_Curves/meltCurve_P45983_3_MAPK8.pdf")</f>
        <v>Melting_Curves/meltCurve_P45983_3_MAPK8.pdf</v>
      </c>
    </row>
    <row r="2646" spans="1:28" x14ac:dyDescent="0.25">
      <c r="A2646" t="s">
        <v>2650</v>
      </c>
      <c r="B2646">
        <v>0.99252571173614901</v>
      </c>
      <c r="C2646">
        <v>1.0637829002019901</v>
      </c>
      <c r="D2646">
        <v>0.95739222227167897</v>
      </c>
      <c r="E2646">
        <v>0.87138355785071997</v>
      </c>
      <c r="F2646">
        <v>0.56384511083460298</v>
      </c>
      <c r="G2646">
        <v>0.24840617636283499</v>
      </c>
      <c r="H2646">
        <v>0.12927187772896201</v>
      </c>
      <c r="I2646">
        <v>9.7905635749032702E-2</v>
      </c>
      <c r="J2646">
        <v>9.2574926985930298E-2</v>
      </c>
      <c r="K2646">
        <v>8.1896744988426098E-2</v>
      </c>
      <c r="L2646">
        <v>1287.93648795735</v>
      </c>
      <c r="M2646">
        <v>24.1339650670315</v>
      </c>
      <c r="N2646">
        <v>53.763751354762597</v>
      </c>
      <c r="O2646">
        <v>53.003781205193803</v>
      </c>
      <c r="P2646">
        <v>-0.104529335444296</v>
      </c>
      <c r="Q2646">
        <v>8.1731589686271103E-2</v>
      </c>
      <c r="R2646">
        <v>0.99682568213063105</v>
      </c>
      <c r="S2646" t="s">
        <v>9292</v>
      </c>
      <c r="T2646" t="s">
        <v>13290</v>
      </c>
      <c r="U2646" t="s">
        <v>13290</v>
      </c>
      <c r="V2646" t="s">
        <v>13290</v>
      </c>
      <c r="W2646" t="s">
        <v>15897</v>
      </c>
      <c r="X2646">
        <v>4</v>
      </c>
      <c r="Y2646" t="s">
        <v>22433</v>
      </c>
      <c r="Z2646" t="s">
        <v>28976</v>
      </c>
      <c r="AA2646">
        <v>0.49989941181885511</v>
      </c>
      <c r="AB2646" t="str">
        <f>HYPERLINK("Melting_Curves/meltCurve_P45984_3_MAPK9.pdf", "Melting_Curves/meltCurve_P45984_3_MAPK9.pdf")</f>
        <v>Melting_Curves/meltCurve_P45984_3_MAPK9.pdf</v>
      </c>
    </row>
    <row r="2647" spans="1:28" x14ac:dyDescent="0.25">
      <c r="A2647" t="s">
        <v>2651</v>
      </c>
      <c r="B2647">
        <v>0.99252571173614901</v>
      </c>
      <c r="C2647">
        <v>1.08631904416403</v>
      </c>
      <c r="D2647">
        <v>0.96825547442578896</v>
      </c>
      <c r="E2647">
        <v>0.74981902352797702</v>
      </c>
      <c r="F2647">
        <v>0.300457211170989</v>
      </c>
      <c r="G2647">
        <v>0.12051415682531</v>
      </c>
      <c r="H2647">
        <v>0.10424422817538501</v>
      </c>
      <c r="I2647">
        <v>9.9827096811688595E-2</v>
      </c>
      <c r="J2647">
        <v>6.5296194267298394E-2</v>
      </c>
      <c r="K2647">
        <v>6.5724476252444097E-2</v>
      </c>
      <c r="L2647">
        <v>1579.83099783647</v>
      </c>
      <c r="M2647">
        <v>30.859642055248901</v>
      </c>
      <c r="N2647">
        <v>51.488497371009203</v>
      </c>
      <c r="O2647">
        <v>50.980544768370898</v>
      </c>
      <c r="P2647">
        <v>-0.139091172668832</v>
      </c>
      <c r="Q2647">
        <v>8.0883389777851006E-2</v>
      </c>
      <c r="R2647">
        <v>0.99478577817369995</v>
      </c>
      <c r="S2647" t="s">
        <v>9293</v>
      </c>
      <c r="T2647" t="s">
        <v>13290</v>
      </c>
      <c r="U2647" t="s">
        <v>13290</v>
      </c>
      <c r="V2647" t="s">
        <v>13290</v>
      </c>
      <c r="W2647" t="s">
        <v>15898</v>
      </c>
      <c r="X2647">
        <v>8</v>
      </c>
      <c r="Y2647" t="s">
        <v>22434</v>
      </c>
      <c r="Z2647" t="s">
        <v>28977</v>
      </c>
      <c r="AA2647">
        <v>0.42931755405792787</v>
      </c>
      <c r="AB2647" t="str">
        <f>HYPERLINK("Melting_Curves/meltCurve_P45985_MAP2K4.pdf", "Melting_Curves/meltCurve_P45985_MAP2K4.pdf")</f>
        <v>Melting_Curves/meltCurve_P45985_MAP2K4.pdf</v>
      </c>
    </row>
    <row r="2648" spans="1:28" x14ac:dyDescent="0.25">
      <c r="A2648" t="s">
        <v>2652</v>
      </c>
      <c r="B2648">
        <v>0.99252571173614901</v>
      </c>
      <c r="C2648">
        <v>0.971131144253358</v>
      </c>
      <c r="D2648">
        <v>0.76370976770077204</v>
      </c>
      <c r="E2648">
        <v>0.62176865471708498</v>
      </c>
      <c r="F2648">
        <v>0.40581144296295402</v>
      </c>
      <c r="G2648">
        <v>0.26294399480611402</v>
      </c>
      <c r="H2648">
        <v>0.248608945614471</v>
      </c>
      <c r="I2648">
        <v>0.33210757990804401</v>
      </c>
      <c r="J2648">
        <v>0.48924524584553097</v>
      </c>
      <c r="K2648">
        <v>0.554446380613701</v>
      </c>
      <c r="L2648">
        <v>1106.2314888763699</v>
      </c>
      <c r="M2648">
        <v>23.2306653747466</v>
      </c>
      <c r="N2648">
        <v>50.683479996250597</v>
      </c>
      <c r="O2648">
        <v>47.270777983247299</v>
      </c>
      <c r="P2648">
        <v>-7.6513137339394396E-2</v>
      </c>
      <c r="Q2648">
        <v>0.37724185575400998</v>
      </c>
      <c r="R2648">
        <v>0.86902917342891295</v>
      </c>
      <c r="S2648" t="s">
        <v>9294</v>
      </c>
      <c r="T2648" t="s">
        <v>13290</v>
      </c>
      <c r="U2648" t="s">
        <v>13290</v>
      </c>
      <c r="V2648" t="s">
        <v>13290</v>
      </c>
      <c r="W2648" t="s">
        <v>15899</v>
      </c>
      <c r="X2648">
        <v>64</v>
      </c>
      <c r="Y2648" t="s">
        <v>22435</v>
      </c>
      <c r="Z2648" t="s">
        <v>28978</v>
      </c>
      <c r="AA2648">
        <v>0.5418719468832528</v>
      </c>
      <c r="AB2648" t="str">
        <f>HYPERLINK("Melting_Curves/meltCurve_P46013_MKI67.pdf", "Melting_Curves/meltCurve_P46013_MKI67.pdf")</f>
        <v>Melting_Curves/meltCurve_P46013_MKI67.pdf</v>
      </c>
    </row>
    <row r="2649" spans="1:28" x14ac:dyDescent="0.25">
      <c r="A2649" t="s">
        <v>2653</v>
      </c>
      <c r="B2649">
        <v>0.99252571173614901</v>
      </c>
      <c r="C2649">
        <v>1.0459460235731699</v>
      </c>
      <c r="D2649">
        <v>0.88052444433216703</v>
      </c>
      <c r="E2649">
        <v>0.51673190763701504</v>
      </c>
      <c r="F2649">
        <v>0.15190477241165501</v>
      </c>
      <c r="G2649">
        <v>6.3513760958770593E-2</v>
      </c>
      <c r="H2649">
        <v>4.0440358351959402E-2</v>
      </c>
      <c r="I2649">
        <v>4.1980450986020899E-2</v>
      </c>
      <c r="J2649">
        <v>4.8787491016531501E-2</v>
      </c>
      <c r="K2649">
        <v>5.1536362501692398E-2</v>
      </c>
      <c r="L2649">
        <v>1418.5670031797499</v>
      </c>
      <c r="M2649">
        <v>28.6546588972253</v>
      </c>
      <c r="N2649">
        <v>49.660321822161897</v>
      </c>
      <c r="O2649">
        <v>49.2664016105293</v>
      </c>
      <c r="P2649">
        <v>-0.139199642001295</v>
      </c>
      <c r="Q2649">
        <v>4.2695028239256298E-2</v>
      </c>
      <c r="R2649">
        <v>0.99755845173503499</v>
      </c>
      <c r="S2649" t="s">
        <v>9295</v>
      </c>
      <c r="T2649" t="s">
        <v>13290</v>
      </c>
      <c r="U2649" t="s">
        <v>13290</v>
      </c>
      <c r="V2649" t="s">
        <v>13290</v>
      </c>
      <c r="W2649" t="s">
        <v>15900</v>
      </c>
      <c r="X2649">
        <v>23</v>
      </c>
      <c r="Y2649" t="s">
        <v>22436</v>
      </c>
      <c r="Z2649" t="s">
        <v>28979</v>
      </c>
      <c r="AA2649">
        <v>0.3524713737073159</v>
      </c>
      <c r="AB2649" t="str">
        <f>HYPERLINK("Melting_Curves/meltCurve_P46060_RANGAP1.pdf", "Melting_Curves/meltCurve_P46060_RANGAP1.pdf")</f>
        <v>Melting_Curves/meltCurve_P46060_RANGAP1.pdf</v>
      </c>
    </row>
    <row r="2650" spans="1:28" x14ac:dyDescent="0.25">
      <c r="A2650" t="s">
        <v>2654</v>
      </c>
      <c r="B2650">
        <v>0.99252571173614901</v>
      </c>
      <c r="C2650">
        <v>0.97502847713188001</v>
      </c>
      <c r="D2650">
        <v>0.94474948470208897</v>
      </c>
      <c r="E2650">
        <v>0.82885515174830104</v>
      </c>
      <c r="F2650">
        <v>0.34653657250599601</v>
      </c>
      <c r="G2650">
        <v>0.107477433062747</v>
      </c>
      <c r="H2650">
        <v>7.4593849882453198E-2</v>
      </c>
      <c r="I2650">
        <v>8.5864628804322399E-2</v>
      </c>
      <c r="J2650">
        <v>8.3928688682874994E-2</v>
      </c>
      <c r="K2650">
        <v>8.0224493282647996E-2</v>
      </c>
      <c r="L2650">
        <v>1718.22612267367</v>
      </c>
      <c r="M2650">
        <v>33.1954728867887</v>
      </c>
      <c r="N2650">
        <v>52.019443109321898</v>
      </c>
      <c r="O2650">
        <v>51.574087390786097</v>
      </c>
      <c r="P2650">
        <v>-0.14867348170094299</v>
      </c>
      <c r="Q2650">
        <v>7.6058711849742097E-2</v>
      </c>
      <c r="R2650">
        <v>0.99830278538449502</v>
      </c>
      <c r="S2650" t="s">
        <v>9296</v>
      </c>
      <c r="T2650" t="s">
        <v>13290</v>
      </c>
      <c r="U2650" t="s">
        <v>13290</v>
      </c>
      <c r="V2650" t="s">
        <v>13290</v>
      </c>
      <c r="W2650" t="s">
        <v>15901</v>
      </c>
      <c r="X2650">
        <v>35</v>
      </c>
      <c r="Y2650" t="s">
        <v>22437</v>
      </c>
      <c r="Z2650" t="s">
        <v>28980</v>
      </c>
      <c r="AA2650">
        <v>0.44307563154593449</v>
      </c>
      <c r="AB2650" t="str">
        <f>HYPERLINK("Melting_Curves/meltCurve_P46063_RECQL.pdf", "Melting_Curves/meltCurve_P46063_RECQL.pdf")</f>
        <v>Melting_Curves/meltCurve_P46063_RECQL.pdf</v>
      </c>
    </row>
    <row r="2651" spans="1:28" x14ac:dyDescent="0.25">
      <c r="A2651" t="s">
        <v>2655</v>
      </c>
      <c r="B2651">
        <v>0.99252571173614901</v>
      </c>
      <c r="C2651">
        <v>1.0514211805037099</v>
      </c>
      <c r="D2651">
        <v>1.0327348123486799</v>
      </c>
      <c r="E2651">
        <v>0.95260998981975198</v>
      </c>
      <c r="F2651">
        <v>0.76959579732722205</v>
      </c>
      <c r="G2651">
        <v>0.393820881285118</v>
      </c>
      <c r="H2651">
        <v>0.37140881777363099</v>
      </c>
      <c r="I2651">
        <v>0.47298908130330097</v>
      </c>
      <c r="J2651">
        <v>0.77685556406140899</v>
      </c>
      <c r="K2651">
        <v>0.834160618816012</v>
      </c>
      <c r="L2651">
        <v>13292.4043527956</v>
      </c>
      <c r="M2651">
        <v>250</v>
      </c>
      <c r="O2651">
        <v>53.166208461711001</v>
      </c>
      <c r="P2651">
        <v>-0.50567005507129503</v>
      </c>
      <c r="Q2651">
        <v>0.56984699527497695</v>
      </c>
      <c r="R2651">
        <v>0.68171900011815001</v>
      </c>
      <c r="S2651" t="s">
        <v>9297</v>
      </c>
      <c r="T2651" t="s">
        <v>13290</v>
      </c>
      <c r="U2651" t="s">
        <v>13290</v>
      </c>
      <c r="V2651" t="s">
        <v>13290</v>
      </c>
      <c r="W2651" t="s">
        <v>15902</v>
      </c>
      <c r="X2651">
        <v>4</v>
      </c>
      <c r="Y2651" t="s">
        <v>22438</v>
      </c>
      <c r="Z2651" t="s">
        <v>28981</v>
      </c>
      <c r="AA2651">
        <v>0.75871881699805432</v>
      </c>
      <c r="AB2651" t="str">
        <f>HYPERLINK("Melting_Curves/meltCurve_P46087_NOP2.pdf", "Melting_Curves/meltCurve_P46087_NOP2.pdf")</f>
        <v>Melting_Curves/meltCurve_P46087_NOP2.pdf</v>
      </c>
    </row>
    <row r="2652" spans="1:28" x14ac:dyDescent="0.25">
      <c r="A2652" t="s">
        <v>2656</v>
      </c>
      <c r="B2652">
        <v>0.99252571173614901</v>
      </c>
      <c r="C2652">
        <v>1.0346275509548699</v>
      </c>
      <c r="D2652">
        <v>0.86058934963415601</v>
      </c>
      <c r="E2652">
        <v>0.77049267444163305</v>
      </c>
      <c r="F2652">
        <v>0.496295924226691</v>
      </c>
      <c r="G2652">
        <v>0.28877333507561598</v>
      </c>
      <c r="H2652">
        <v>0.17389144820746499</v>
      </c>
      <c r="I2652">
        <v>0.187495424654752</v>
      </c>
      <c r="J2652">
        <v>0.202036906915328</v>
      </c>
      <c r="K2652">
        <v>0.21096165637518</v>
      </c>
      <c r="L2652">
        <v>997.74969542619499</v>
      </c>
      <c r="M2652">
        <v>19.283654139132</v>
      </c>
      <c r="N2652">
        <v>52.919845806412198</v>
      </c>
      <c r="O2652">
        <v>51.193910684990598</v>
      </c>
      <c r="P2652">
        <v>-7.7726838997855596E-2</v>
      </c>
      <c r="Q2652">
        <v>0.17463957128541999</v>
      </c>
      <c r="R2652">
        <v>0.98979709128761295</v>
      </c>
      <c r="S2652" t="s">
        <v>9298</v>
      </c>
      <c r="T2652" t="s">
        <v>13290</v>
      </c>
      <c r="U2652" t="s">
        <v>13290</v>
      </c>
      <c r="V2652" t="s">
        <v>13290</v>
      </c>
      <c r="W2652" t="s">
        <v>15903</v>
      </c>
      <c r="X2652">
        <v>6</v>
      </c>
      <c r="Y2652" t="s">
        <v>22439</v>
      </c>
      <c r="Z2652" t="s">
        <v>28982</v>
      </c>
      <c r="AA2652">
        <v>0.50985883178813618</v>
      </c>
      <c r="AB2652" t="str">
        <f>HYPERLINK("Melting_Curves/meltCurve_P46100_2_ATRX.pdf", "Melting_Curves/meltCurve_P46100_2_ATRX.pdf")</f>
        <v>Melting_Curves/meltCurve_P46100_2_ATRX.pdf</v>
      </c>
    </row>
    <row r="2653" spans="1:28" x14ac:dyDescent="0.25">
      <c r="A2653" t="s">
        <v>2657</v>
      </c>
      <c r="B2653">
        <v>0.99252571173614901</v>
      </c>
      <c r="C2653">
        <v>1.14717073737252</v>
      </c>
      <c r="D2653">
        <v>0.46820379382688299</v>
      </c>
      <c r="E2653">
        <v>0.42081091128831299</v>
      </c>
      <c r="F2653">
        <v>0.19151729990473601</v>
      </c>
      <c r="G2653">
        <v>0.10047020331762101</v>
      </c>
      <c r="H2653">
        <v>6.9215204217977E-2</v>
      </c>
      <c r="I2653">
        <v>6.6816752577924104E-2</v>
      </c>
      <c r="J2653">
        <v>7.6956425679458998E-2</v>
      </c>
      <c r="K2653">
        <v>6.8215681408806794E-2</v>
      </c>
      <c r="L2653">
        <v>1015.98956772625</v>
      </c>
      <c r="M2653">
        <v>21.5446881587213</v>
      </c>
      <c r="N2653">
        <v>47.553198848507101</v>
      </c>
      <c r="O2653">
        <v>46.756676464963903</v>
      </c>
      <c r="P2653">
        <v>-0.105741169746114</v>
      </c>
      <c r="Q2653">
        <v>8.2096573762281896E-2</v>
      </c>
      <c r="R2653">
        <v>0.92480124639319505</v>
      </c>
      <c r="S2653" t="s">
        <v>9299</v>
      </c>
      <c r="T2653" t="s">
        <v>13290</v>
      </c>
      <c r="U2653" t="s">
        <v>13290</v>
      </c>
      <c r="V2653" t="s">
        <v>13290</v>
      </c>
      <c r="W2653" t="s">
        <v>15904</v>
      </c>
      <c r="X2653">
        <v>15</v>
      </c>
      <c r="Y2653" t="s">
        <v>22440</v>
      </c>
      <c r="Z2653" t="s">
        <v>28983</v>
      </c>
      <c r="AA2653">
        <v>0.3124257672445741</v>
      </c>
      <c r="AB2653" t="str">
        <f>HYPERLINK("Melting_Curves/meltCurve_P46108_CRK.pdf", "Melting_Curves/meltCurve_P46108_CRK.pdf")</f>
        <v>Melting_Curves/meltCurve_P46108_CRK.pdf</v>
      </c>
    </row>
    <row r="2654" spans="1:28" x14ac:dyDescent="0.25">
      <c r="A2654" t="s">
        <v>2658</v>
      </c>
      <c r="B2654">
        <v>0.99252571173614901</v>
      </c>
      <c r="C2654">
        <v>0.98509726084917704</v>
      </c>
      <c r="D2654">
        <v>0.97594721284099595</v>
      </c>
      <c r="E2654">
        <v>0.59962486434192097</v>
      </c>
      <c r="F2654">
        <v>0.32301867682716601</v>
      </c>
      <c r="G2654">
        <v>0.22458567987258701</v>
      </c>
      <c r="H2654">
        <v>0.18798990569136001</v>
      </c>
      <c r="I2654">
        <v>0.17296575147920701</v>
      </c>
      <c r="J2654">
        <v>0.18276629355496399</v>
      </c>
      <c r="K2654">
        <v>0.13876840549455999</v>
      </c>
      <c r="L2654">
        <v>1385.50334941852</v>
      </c>
      <c r="M2654">
        <v>27.7419941325957</v>
      </c>
      <c r="N2654">
        <v>50.733634675047703</v>
      </c>
      <c r="O2654">
        <v>49.685113422520502</v>
      </c>
      <c r="P2654">
        <v>-0.115078336927249</v>
      </c>
      <c r="Q2654">
        <v>0.17559937066533901</v>
      </c>
      <c r="R2654">
        <v>0.99578728018352902</v>
      </c>
      <c r="S2654" t="s">
        <v>9300</v>
      </c>
      <c r="T2654" t="s">
        <v>13290</v>
      </c>
      <c r="U2654" t="s">
        <v>13290</v>
      </c>
      <c r="V2654" t="s">
        <v>13290</v>
      </c>
      <c r="W2654" t="s">
        <v>15905</v>
      </c>
      <c r="X2654">
        <v>12</v>
      </c>
      <c r="Y2654" t="s">
        <v>22440</v>
      </c>
      <c r="Z2654" t="s">
        <v>28984</v>
      </c>
      <c r="AA2654">
        <v>0.45478686664053358</v>
      </c>
      <c r="AB2654" t="str">
        <f>HYPERLINK("Melting_Curves/meltCurve_P46108_2_CRK.pdf", "Melting_Curves/meltCurve_P46108_2_CRK.pdf")</f>
        <v>Melting_Curves/meltCurve_P46108_2_CRK.pdf</v>
      </c>
    </row>
    <row r="2655" spans="1:28" x14ac:dyDescent="0.25">
      <c r="A2655" t="s">
        <v>2659</v>
      </c>
      <c r="B2655">
        <v>0.99252571173614901</v>
      </c>
      <c r="C2655">
        <v>1.03685241761807</v>
      </c>
      <c r="D2655">
        <v>0.86390682092884796</v>
      </c>
      <c r="E2655">
        <v>0.45032685235327102</v>
      </c>
      <c r="F2655">
        <v>0.27640021406987603</v>
      </c>
      <c r="G2655">
        <v>0.14836384471925601</v>
      </c>
      <c r="H2655">
        <v>0.102385601057147</v>
      </c>
      <c r="I2655">
        <v>9.5842240319612207E-2</v>
      </c>
      <c r="J2655">
        <v>9.9172813037289295E-2</v>
      </c>
      <c r="K2655">
        <v>9.7037451084927007E-2</v>
      </c>
      <c r="L2655">
        <v>1190.00314848261</v>
      </c>
      <c r="M2655">
        <v>24.265565260887801</v>
      </c>
      <c r="N2655">
        <v>49.523004399920502</v>
      </c>
      <c r="O2655">
        <v>48.7113927557022</v>
      </c>
      <c r="P2655">
        <v>-0.11143608352628399</v>
      </c>
      <c r="Q2655">
        <v>0.105213561604573</v>
      </c>
      <c r="R2655">
        <v>0.99328079596484298</v>
      </c>
      <c r="S2655" t="s">
        <v>9301</v>
      </c>
      <c r="T2655" t="s">
        <v>13290</v>
      </c>
      <c r="U2655" t="s">
        <v>13290</v>
      </c>
      <c r="V2655" t="s">
        <v>13290</v>
      </c>
      <c r="W2655" t="s">
        <v>15906</v>
      </c>
      <c r="X2655">
        <v>17</v>
      </c>
      <c r="Y2655" t="s">
        <v>22441</v>
      </c>
      <c r="Z2655" t="s">
        <v>28985</v>
      </c>
      <c r="AA2655">
        <v>0.38330008112196612</v>
      </c>
      <c r="AB2655" t="str">
        <f>HYPERLINK("Melting_Curves/meltCurve_P46109_CRKL.pdf", "Melting_Curves/meltCurve_P46109_CRKL.pdf")</f>
        <v>Melting_Curves/meltCurve_P46109_CRKL.pdf</v>
      </c>
    </row>
    <row r="2656" spans="1:28" x14ac:dyDescent="0.25">
      <c r="A2656" t="s">
        <v>2660</v>
      </c>
      <c r="B2656">
        <v>0.99252571173614901</v>
      </c>
      <c r="C2656">
        <v>0.93849641359441205</v>
      </c>
      <c r="D2656">
        <v>0.49962779415723801</v>
      </c>
      <c r="E2656">
        <v>0.18332500633923801</v>
      </c>
      <c r="F2656">
        <v>0.10646769721408</v>
      </c>
      <c r="G2656">
        <v>6.3493826171472895E-2</v>
      </c>
      <c r="H2656">
        <v>4.8538770828950001E-2</v>
      </c>
      <c r="I2656">
        <v>4.7673028769972502E-2</v>
      </c>
      <c r="J2656">
        <v>6.6612768841078293E-2</v>
      </c>
      <c r="K2656">
        <v>6.2193175254043699E-2</v>
      </c>
      <c r="L2656">
        <v>1407.97945881747</v>
      </c>
      <c r="M2656">
        <v>30.6476156497658</v>
      </c>
      <c r="N2656">
        <v>46.153460707486097</v>
      </c>
      <c r="O2656">
        <v>45.746650162734802</v>
      </c>
      <c r="P2656">
        <v>-0.156463322234628</v>
      </c>
      <c r="Q2656">
        <v>6.5815805515546999E-2</v>
      </c>
      <c r="R2656">
        <v>0.99685526086468601</v>
      </c>
      <c r="S2656" t="s">
        <v>9302</v>
      </c>
      <c r="T2656" t="s">
        <v>13290</v>
      </c>
      <c r="U2656" t="s">
        <v>13290</v>
      </c>
      <c r="V2656" t="s">
        <v>13290</v>
      </c>
      <c r="W2656" t="s">
        <v>15907</v>
      </c>
      <c r="X2656">
        <v>7</v>
      </c>
      <c r="Y2656" t="s">
        <v>22442</v>
      </c>
      <c r="Z2656" t="s">
        <v>28986</v>
      </c>
      <c r="AA2656">
        <v>0.25624824585625711</v>
      </c>
      <c r="AB2656" t="str">
        <f>HYPERLINK("Melting_Curves/meltCurve_P46199_MTIF2.pdf", "Melting_Curves/meltCurve_P46199_MTIF2.pdf")</f>
        <v>Melting_Curves/meltCurve_P46199_MTIF2.pdf</v>
      </c>
    </row>
    <row r="2657" spans="1:28" x14ac:dyDescent="0.25">
      <c r="A2657" t="s">
        <v>2661</v>
      </c>
      <c r="B2657">
        <v>0.99252571173614901</v>
      </c>
      <c r="C2657">
        <v>1.0704473059337301</v>
      </c>
      <c r="D2657">
        <v>0.97690374431232696</v>
      </c>
      <c r="E2657">
        <v>0.84640574570426497</v>
      </c>
      <c r="F2657">
        <v>0.98944881005684804</v>
      </c>
      <c r="G2657">
        <v>0.88079233488249697</v>
      </c>
      <c r="H2657">
        <v>0.88914765327906697</v>
      </c>
      <c r="I2657">
        <v>1.2524651662262301</v>
      </c>
      <c r="J2657">
        <v>1.8736583605592401</v>
      </c>
      <c r="K2657">
        <v>2.0213368447556399</v>
      </c>
      <c r="L2657">
        <v>15000</v>
      </c>
      <c r="M2657">
        <v>234.39493863097499</v>
      </c>
      <c r="O2657">
        <v>63.989919976798099</v>
      </c>
      <c r="P2657">
        <v>0.45787489219998201</v>
      </c>
      <c r="Q2657">
        <v>1.5</v>
      </c>
      <c r="R2657">
        <v>0.70881128137898597</v>
      </c>
      <c r="S2657" t="s">
        <v>9303</v>
      </c>
      <c r="T2657" t="s">
        <v>13290</v>
      </c>
      <c r="U2657" t="s">
        <v>13290</v>
      </c>
      <c r="V2657" t="s">
        <v>13290</v>
      </c>
      <c r="W2657" t="s">
        <v>15908</v>
      </c>
      <c r="X2657">
        <v>7</v>
      </c>
      <c r="Y2657" t="s">
        <v>22443</v>
      </c>
      <c r="Z2657" t="s">
        <v>28987</v>
      </c>
      <c r="AA2657">
        <v>1.100026852542761</v>
      </c>
      <c r="AB2657" t="str">
        <f>HYPERLINK("Melting_Curves/meltCurve_P46527_CDKN1B.pdf", "Melting_Curves/meltCurve_P46527_CDKN1B.pdf")</f>
        <v>Melting_Curves/meltCurve_P46527_CDKN1B.pdf</v>
      </c>
    </row>
    <row r="2658" spans="1:28" x14ac:dyDescent="0.25">
      <c r="A2658" t="s">
        <v>2662</v>
      </c>
      <c r="B2658">
        <v>0.99252571173614901</v>
      </c>
      <c r="C2658">
        <v>0.88059290971281401</v>
      </c>
      <c r="D2658">
        <v>0.88473133657032199</v>
      </c>
      <c r="E2658">
        <v>0.73379232793170202</v>
      </c>
      <c r="F2658">
        <v>0.33484776621870299</v>
      </c>
      <c r="G2658">
        <v>0.231908798509425</v>
      </c>
      <c r="H2658">
        <v>0.24349462751380099</v>
      </c>
      <c r="I2658">
        <v>0.29803239312313901</v>
      </c>
      <c r="J2658">
        <v>0.47668132204067698</v>
      </c>
      <c r="K2658">
        <v>0.481769440301129</v>
      </c>
      <c r="L2658">
        <v>2634.4313693141398</v>
      </c>
      <c r="M2658">
        <v>52.788061295230001</v>
      </c>
      <c r="N2658">
        <v>51.012746682644099</v>
      </c>
      <c r="O2658">
        <v>49.8343455013189</v>
      </c>
      <c r="P2658">
        <v>-0.174525589197846</v>
      </c>
      <c r="Q2658">
        <v>0.340959803242249</v>
      </c>
      <c r="R2658">
        <v>0.88416360705563402</v>
      </c>
      <c r="S2658" t="s">
        <v>9304</v>
      </c>
      <c r="T2658" t="s">
        <v>13290</v>
      </c>
      <c r="U2658" t="s">
        <v>13290</v>
      </c>
      <c r="V2658" t="s">
        <v>13290</v>
      </c>
      <c r="W2658" t="s">
        <v>15909</v>
      </c>
      <c r="X2658">
        <v>7</v>
      </c>
      <c r="Y2658" t="s">
        <v>22444</v>
      </c>
      <c r="Z2658" t="s">
        <v>28988</v>
      </c>
      <c r="AA2658">
        <v>0.55987172269693219</v>
      </c>
      <c r="AB2658" t="str">
        <f>HYPERLINK("Melting_Curves/meltCurve_P46531_NOTCH1.pdf", "Melting_Curves/meltCurve_P46531_NOTCH1.pdf")</f>
        <v>Melting_Curves/meltCurve_P46531_NOTCH1.pdf</v>
      </c>
    </row>
    <row r="2659" spans="1:28" x14ac:dyDescent="0.25">
      <c r="A2659" t="s">
        <v>2663</v>
      </c>
      <c r="B2659">
        <v>0.99252571173614901</v>
      </c>
      <c r="C2659">
        <v>1.0703010108645401</v>
      </c>
      <c r="D2659">
        <v>0.94411377558979903</v>
      </c>
      <c r="E2659">
        <v>0.68650144545261604</v>
      </c>
      <c r="F2659">
        <v>0.204304132503977</v>
      </c>
      <c r="G2659">
        <v>0.109912730677153</v>
      </c>
      <c r="H2659">
        <v>7.3486855199851694E-2</v>
      </c>
      <c r="I2659">
        <v>7.8851018546503601E-2</v>
      </c>
      <c r="J2659">
        <v>8.2575425889951204E-2</v>
      </c>
      <c r="K2659">
        <v>7.6183454069183101E-2</v>
      </c>
      <c r="L2659">
        <v>1761.63088367246</v>
      </c>
      <c r="M2659">
        <v>34.8855351230903</v>
      </c>
      <c r="N2659">
        <v>50.746389201203897</v>
      </c>
      <c r="O2659">
        <v>50.332398938538397</v>
      </c>
      <c r="P2659">
        <v>-0.15964953169798901</v>
      </c>
      <c r="Q2659">
        <v>7.8642352515498101E-2</v>
      </c>
      <c r="R2659">
        <v>0.99630154412979299</v>
      </c>
      <c r="S2659" t="s">
        <v>9305</v>
      </c>
      <c r="T2659" t="s">
        <v>13290</v>
      </c>
      <c r="U2659" t="s">
        <v>13290</v>
      </c>
      <c r="V2659" t="s">
        <v>13290</v>
      </c>
      <c r="W2659" t="s">
        <v>15910</v>
      </c>
      <c r="X2659">
        <v>18</v>
      </c>
      <c r="Y2659" t="s">
        <v>22445</v>
      </c>
      <c r="Z2659" t="s">
        <v>28989</v>
      </c>
      <c r="AA2659">
        <v>0.40527801116296402</v>
      </c>
      <c r="AB2659" t="str">
        <f>HYPERLINK("Melting_Curves/meltCurve_P46734_MAP2K3.pdf", "Melting_Curves/meltCurve_P46734_MAP2K3.pdf")</f>
        <v>Melting_Curves/meltCurve_P46734_MAP2K3.pdf</v>
      </c>
    </row>
    <row r="2660" spans="1:28" x14ac:dyDescent="0.25">
      <c r="A2660" t="s">
        <v>2664</v>
      </c>
      <c r="B2660">
        <v>0.99252571173614901</v>
      </c>
      <c r="C2660">
        <v>0.90939432751688098</v>
      </c>
      <c r="D2660">
        <v>1.0836930471200199</v>
      </c>
      <c r="E2660">
        <v>1.06848273395285</v>
      </c>
      <c r="F2660">
        <v>1.1743428696612499</v>
      </c>
      <c r="G2660">
        <v>0.88653695133938804</v>
      </c>
      <c r="H2660">
        <v>0.84683903646878</v>
      </c>
      <c r="I2660">
        <v>0.50921105691969604</v>
      </c>
      <c r="J2660">
        <v>0.201216069909367</v>
      </c>
      <c r="K2660">
        <v>0.19604093219996399</v>
      </c>
      <c r="L2660">
        <v>2268.1731072234302</v>
      </c>
      <c r="M2660">
        <v>35.810276805382003</v>
      </c>
      <c r="N2660">
        <v>63.929134227272002</v>
      </c>
      <c r="O2660">
        <v>63.1420866872053</v>
      </c>
      <c r="P2660">
        <v>-0.121819058562512</v>
      </c>
      <c r="Q2660">
        <v>0.14081848939522701</v>
      </c>
      <c r="R2660">
        <v>0.94519770022349203</v>
      </c>
      <c r="S2660" t="s">
        <v>9306</v>
      </c>
      <c r="T2660" t="s">
        <v>13290</v>
      </c>
      <c r="U2660" t="s">
        <v>13290</v>
      </c>
      <c r="V2660" t="s">
        <v>13290</v>
      </c>
      <c r="W2660" t="s">
        <v>15911</v>
      </c>
      <c r="X2660">
        <v>11</v>
      </c>
      <c r="Y2660" t="s">
        <v>22446</v>
      </c>
      <c r="Z2660" t="s">
        <v>28990</v>
      </c>
      <c r="AA2660">
        <v>0.81177256163305644</v>
      </c>
      <c r="AB2660" t="str">
        <f>HYPERLINK("Melting_Curves/meltCurve_P46736_2_BRCC3.pdf", "Melting_Curves/meltCurve_P46736_2_BRCC3.pdf")</f>
        <v>Melting_Curves/meltCurve_P46736_2_BRCC3.pdf</v>
      </c>
    </row>
    <row r="2661" spans="1:28" x14ac:dyDescent="0.25">
      <c r="A2661" t="s">
        <v>2665</v>
      </c>
      <c r="B2661">
        <v>0.99252571173614901</v>
      </c>
      <c r="C2661">
        <v>1.00246610519677</v>
      </c>
      <c r="D2661">
        <v>1.0659771792096799</v>
      </c>
      <c r="E2661">
        <v>1.3737972429482901</v>
      </c>
      <c r="F2661">
        <v>0.96328231848310897</v>
      </c>
      <c r="G2661">
        <v>0.81243205354543202</v>
      </c>
      <c r="H2661">
        <v>0.18806842297554899</v>
      </c>
      <c r="I2661">
        <v>0.132759336284199</v>
      </c>
      <c r="J2661">
        <v>0.14774430427834201</v>
      </c>
      <c r="K2661">
        <v>0.15353030497850001</v>
      </c>
      <c r="L2661">
        <v>3578.5350664897001</v>
      </c>
      <c r="M2661">
        <v>61.738998609005399</v>
      </c>
      <c r="N2661">
        <v>58.281743788128303</v>
      </c>
      <c r="O2661">
        <v>57.901606637894403</v>
      </c>
      <c r="P2661">
        <v>-0.22830687359756299</v>
      </c>
      <c r="Q2661">
        <v>0.14353475718037101</v>
      </c>
      <c r="R2661">
        <v>0.92835036635548696</v>
      </c>
      <c r="S2661" t="s">
        <v>9307</v>
      </c>
      <c r="T2661" t="s">
        <v>13290</v>
      </c>
      <c r="U2661" t="s">
        <v>13290</v>
      </c>
      <c r="V2661" t="s">
        <v>13290</v>
      </c>
      <c r="W2661" t="s">
        <v>15912</v>
      </c>
      <c r="X2661">
        <v>28</v>
      </c>
      <c r="Y2661" t="s">
        <v>22447</v>
      </c>
      <c r="Z2661" t="s">
        <v>28991</v>
      </c>
      <c r="AA2661">
        <v>0.65777037639998615</v>
      </c>
      <c r="AB2661" t="str">
        <f>HYPERLINK("Melting_Curves/meltCurve_P46777_RPL5.pdf", "Melting_Curves/meltCurve_P46777_RPL5.pdf")</f>
        <v>Melting_Curves/meltCurve_P46777_RPL5.pdf</v>
      </c>
    </row>
    <row r="2662" spans="1:28" x14ac:dyDescent="0.25">
      <c r="A2662" t="s">
        <v>2666</v>
      </c>
      <c r="B2662">
        <v>0.99252571173614901</v>
      </c>
      <c r="C2662">
        <v>1.09317974195728</v>
      </c>
      <c r="D2662">
        <v>1.0272689539848701</v>
      </c>
      <c r="E2662">
        <v>1.0838406430601499</v>
      </c>
      <c r="F2662">
        <v>0.84846907989932896</v>
      </c>
      <c r="G2662">
        <v>0.35499740820062498</v>
      </c>
      <c r="H2662">
        <v>0.235627551711693</v>
      </c>
      <c r="I2662">
        <v>0.199500665838515</v>
      </c>
      <c r="J2662">
        <v>0.26479464810418801</v>
      </c>
      <c r="K2662">
        <v>0.22708867014602599</v>
      </c>
      <c r="L2662">
        <v>2662.6253170769</v>
      </c>
      <c r="M2662">
        <v>48.577997356280598</v>
      </c>
      <c r="N2662">
        <v>55.519246016791797</v>
      </c>
      <c r="O2662">
        <v>54.718698233236502</v>
      </c>
      <c r="P2662">
        <v>-0.17070497081445599</v>
      </c>
      <c r="Q2662">
        <v>0.23086620909993</v>
      </c>
      <c r="R2662">
        <v>0.98666489874298602</v>
      </c>
      <c r="S2662" t="s">
        <v>9308</v>
      </c>
      <c r="T2662" t="s">
        <v>13290</v>
      </c>
      <c r="U2662" t="s">
        <v>13290</v>
      </c>
      <c r="V2662" t="s">
        <v>13290</v>
      </c>
      <c r="W2662" t="s">
        <v>15913</v>
      </c>
      <c r="X2662">
        <v>6</v>
      </c>
      <c r="Y2662" t="s">
        <v>22448</v>
      </c>
      <c r="Z2662" t="s">
        <v>28992</v>
      </c>
      <c r="AA2662">
        <v>0.61256575699379001</v>
      </c>
      <c r="AB2662" t="str">
        <f>HYPERLINK("Melting_Curves/meltCurve_P46778_RPL21.pdf", "Melting_Curves/meltCurve_P46778_RPL21.pdf")</f>
        <v>Melting_Curves/meltCurve_P46778_RPL21.pdf</v>
      </c>
    </row>
    <row r="2663" spans="1:28" x14ac:dyDescent="0.25">
      <c r="A2663" t="s">
        <v>2667</v>
      </c>
      <c r="B2663">
        <v>0.99252571173614901</v>
      </c>
      <c r="C2663">
        <v>1.05790642906855</v>
      </c>
      <c r="D2663">
        <v>1.0717344931265</v>
      </c>
      <c r="E2663">
        <v>0.93802192297304698</v>
      </c>
      <c r="F2663">
        <v>0.59683484120556796</v>
      </c>
      <c r="G2663">
        <v>0.28529253164155899</v>
      </c>
      <c r="H2663">
        <v>0.13100300502454601</v>
      </c>
      <c r="I2663">
        <v>0.121568538911935</v>
      </c>
      <c r="J2663">
        <v>0.113463639384856</v>
      </c>
      <c r="K2663">
        <v>9.2253257618970297E-2</v>
      </c>
      <c r="L2663">
        <v>1538.84978585004</v>
      </c>
      <c r="M2663">
        <v>28.6419134655657</v>
      </c>
      <c r="N2663">
        <v>54.180793182711902</v>
      </c>
      <c r="O2663">
        <v>53.467339182278103</v>
      </c>
      <c r="P2663">
        <v>-0.119647009700329</v>
      </c>
      <c r="Q2663">
        <v>0.106601989482441</v>
      </c>
      <c r="R2663">
        <v>0.99349662508776804</v>
      </c>
      <c r="S2663" t="s">
        <v>9309</v>
      </c>
      <c r="T2663" t="s">
        <v>13290</v>
      </c>
      <c r="U2663" t="s">
        <v>13290</v>
      </c>
      <c r="V2663" t="s">
        <v>13290</v>
      </c>
      <c r="W2663" t="s">
        <v>15914</v>
      </c>
      <c r="X2663">
        <v>18</v>
      </c>
      <c r="Y2663" t="s">
        <v>22449</v>
      </c>
      <c r="Z2663" t="s">
        <v>28993</v>
      </c>
      <c r="AA2663">
        <v>0.52179302538306471</v>
      </c>
      <c r="AB2663" t="str">
        <f>HYPERLINK("Melting_Curves/meltCurve_P46781_RPS9.pdf", "Melting_Curves/meltCurve_P46781_RPS9.pdf")</f>
        <v>Melting_Curves/meltCurve_P46781_RPS9.pdf</v>
      </c>
    </row>
    <row r="2664" spans="1:28" x14ac:dyDescent="0.25">
      <c r="A2664" t="s">
        <v>2668</v>
      </c>
      <c r="B2664">
        <v>0.99252571173614901</v>
      </c>
      <c r="C2664">
        <v>0.99774829021866096</v>
      </c>
      <c r="D2664">
        <v>0.75594986397681196</v>
      </c>
      <c r="E2664">
        <v>0.66891939428608505</v>
      </c>
      <c r="F2664">
        <v>0.48017321105336502</v>
      </c>
      <c r="G2664">
        <v>0.26488680375990997</v>
      </c>
      <c r="H2664">
        <v>0.16251088986641499</v>
      </c>
      <c r="I2664">
        <v>0.183895695132931</v>
      </c>
      <c r="J2664">
        <v>0.264605859410036</v>
      </c>
      <c r="K2664">
        <v>0.29650944371273702</v>
      </c>
      <c r="L2664">
        <v>805.03093525863301</v>
      </c>
      <c r="M2664">
        <v>16.091495838406299</v>
      </c>
      <c r="N2664">
        <v>51.749192416540602</v>
      </c>
      <c r="O2664">
        <v>49.274843395036001</v>
      </c>
      <c r="P2664">
        <v>-6.47307485342445E-2</v>
      </c>
      <c r="Q2664">
        <v>0.207195420842575</v>
      </c>
      <c r="R2664">
        <v>0.96325739133715405</v>
      </c>
      <c r="S2664" t="s">
        <v>9310</v>
      </c>
      <c r="T2664" t="s">
        <v>13290</v>
      </c>
      <c r="U2664" t="s">
        <v>13290</v>
      </c>
      <c r="V2664" t="s">
        <v>13290</v>
      </c>
      <c r="W2664" t="s">
        <v>15915</v>
      </c>
      <c r="X2664">
        <v>13</v>
      </c>
      <c r="Y2664" t="s">
        <v>22450</v>
      </c>
      <c r="Z2664" t="s">
        <v>28994</v>
      </c>
      <c r="AA2664">
        <v>0.48886237311387182</v>
      </c>
      <c r="AB2664" t="str">
        <f>HYPERLINK("Melting_Curves/meltCurve_P46783_RPS10.pdf", "Melting_Curves/meltCurve_P46783_RPS10.pdf")</f>
        <v>Melting_Curves/meltCurve_P46783_RPS10.pdf</v>
      </c>
    </row>
    <row r="2665" spans="1:28" x14ac:dyDescent="0.25">
      <c r="A2665" t="s">
        <v>2669</v>
      </c>
      <c r="B2665">
        <v>0.99252571173614901</v>
      </c>
      <c r="C2665">
        <v>0.93187097605723701</v>
      </c>
      <c r="D2665">
        <v>0.94350107063202504</v>
      </c>
      <c r="E2665">
        <v>0.83618480777393001</v>
      </c>
      <c r="F2665">
        <v>0.85748073477867304</v>
      </c>
      <c r="G2665">
        <v>0.74744462855556404</v>
      </c>
      <c r="H2665">
        <v>0.93436238092757096</v>
      </c>
      <c r="I2665">
        <v>1.0581462891007101</v>
      </c>
      <c r="J2665">
        <v>1.45003643326087</v>
      </c>
      <c r="K2665">
        <v>1.1756034292754001</v>
      </c>
      <c r="L2665">
        <v>15000</v>
      </c>
      <c r="M2665">
        <v>232.89962740642</v>
      </c>
      <c r="O2665">
        <v>64.400678366832807</v>
      </c>
      <c r="P2665">
        <v>0.28282201459728101</v>
      </c>
      <c r="Q2665">
        <v>1.3128202437319101</v>
      </c>
      <c r="R2665">
        <v>0.55254229932085797</v>
      </c>
      <c r="S2665" t="s">
        <v>9311</v>
      </c>
      <c r="T2665" t="s">
        <v>13290</v>
      </c>
      <c r="U2665" t="s">
        <v>13290</v>
      </c>
      <c r="V2665" t="s">
        <v>13290</v>
      </c>
      <c r="W2665" t="s">
        <v>15916</v>
      </c>
      <c r="X2665">
        <v>18</v>
      </c>
      <c r="Y2665" t="s">
        <v>22451</v>
      </c>
      <c r="Z2665" t="s">
        <v>28995</v>
      </c>
      <c r="AA2665">
        <v>1.058295778329825</v>
      </c>
      <c r="AB2665" t="str">
        <f>HYPERLINK("Melting_Curves/meltCurve_P46926_GNPDA1.pdf", "Melting_Curves/meltCurve_P46926_GNPDA1.pdf")</f>
        <v>Melting_Curves/meltCurve_P46926_GNPDA1.pdf</v>
      </c>
    </row>
    <row r="2666" spans="1:28" x14ac:dyDescent="0.25">
      <c r="A2666" t="s">
        <v>2670</v>
      </c>
      <c r="B2666">
        <v>0.99252571173614901</v>
      </c>
      <c r="C2666">
        <v>1.04226144920362</v>
      </c>
      <c r="D2666">
        <v>0.93271822601139798</v>
      </c>
      <c r="E2666">
        <v>0.91747728315360899</v>
      </c>
      <c r="F2666">
        <v>0.741354584854091</v>
      </c>
      <c r="G2666">
        <v>0.61507190375490495</v>
      </c>
      <c r="H2666">
        <v>0.61085444205212802</v>
      </c>
      <c r="I2666">
        <v>0.86853664490677596</v>
      </c>
      <c r="J2666">
        <v>1.35317879336985</v>
      </c>
      <c r="K2666">
        <v>1.40798793086341</v>
      </c>
      <c r="L2666">
        <v>15000</v>
      </c>
      <c r="M2666">
        <v>225.404987379625</v>
      </c>
      <c r="O2666">
        <v>66.541648755236807</v>
      </c>
      <c r="P2666">
        <v>0.34560326788288998</v>
      </c>
      <c r="Q2666">
        <v>1.40810118820036</v>
      </c>
      <c r="R2666">
        <v>0.39971782888066498</v>
      </c>
      <c r="S2666" t="s">
        <v>9312</v>
      </c>
      <c r="T2666" t="s">
        <v>13290</v>
      </c>
      <c r="U2666" t="s">
        <v>13290</v>
      </c>
      <c r="V2666" t="s">
        <v>13290</v>
      </c>
      <c r="W2666" t="s">
        <v>15917</v>
      </c>
      <c r="X2666">
        <v>11</v>
      </c>
      <c r="Y2666" t="s">
        <v>22452</v>
      </c>
      <c r="Z2666" t="s">
        <v>28996</v>
      </c>
      <c r="AA2666">
        <v>1.0469154307333119</v>
      </c>
      <c r="AB2666" t="str">
        <f>HYPERLINK("Melting_Curves/meltCurve_P46937_YAP1.pdf", "Melting_Curves/meltCurve_P46937_YAP1.pdf")</f>
        <v>Melting_Curves/meltCurve_P46937_YAP1.pdf</v>
      </c>
    </row>
    <row r="2667" spans="1:28" x14ac:dyDescent="0.25">
      <c r="A2667" t="s">
        <v>2671</v>
      </c>
      <c r="B2667">
        <v>0.99252571173614901</v>
      </c>
      <c r="C2667">
        <v>0.84284009150365002</v>
      </c>
      <c r="D2667">
        <v>0.55452893624426602</v>
      </c>
      <c r="E2667">
        <v>0.27275135430665398</v>
      </c>
      <c r="F2667">
        <v>0.165703140584394</v>
      </c>
      <c r="G2667">
        <v>9.5322031175404304E-2</v>
      </c>
      <c r="H2667">
        <v>7.3167407980537794E-2</v>
      </c>
      <c r="I2667">
        <v>7.5000532591623703E-2</v>
      </c>
      <c r="J2667">
        <v>9.4120353752886299E-2</v>
      </c>
      <c r="K2667">
        <v>9.3654300571848606E-2</v>
      </c>
      <c r="L2667">
        <v>939.67665210122595</v>
      </c>
      <c r="M2667">
        <v>20.3234050691891</v>
      </c>
      <c r="N2667">
        <v>46.656749361372597</v>
      </c>
      <c r="O2667">
        <v>45.7955109296053</v>
      </c>
      <c r="P2667">
        <v>-0.1016636965827</v>
      </c>
      <c r="Q2667">
        <v>8.3697062361550903E-2</v>
      </c>
      <c r="R2667">
        <v>0.997968823006117</v>
      </c>
      <c r="S2667" t="s">
        <v>9313</v>
      </c>
      <c r="T2667" t="s">
        <v>13290</v>
      </c>
      <c r="U2667" t="s">
        <v>13290</v>
      </c>
      <c r="V2667" t="s">
        <v>13290</v>
      </c>
      <c r="W2667" t="s">
        <v>15918</v>
      </c>
      <c r="X2667">
        <v>94</v>
      </c>
      <c r="Y2667" t="s">
        <v>22453</v>
      </c>
      <c r="Z2667" t="s">
        <v>28997</v>
      </c>
      <c r="AA2667">
        <v>0.2876160392568094</v>
      </c>
      <c r="AB2667" t="str">
        <f>HYPERLINK("Melting_Curves/meltCurve_P46939_UTRN.pdf", "Melting_Curves/meltCurve_P46939_UTRN.pdf")</f>
        <v>Melting_Curves/meltCurve_P46939_UTRN.pdf</v>
      </c>
    </row>
    <row r="2668" spans="1:28" x14ac:dyDescent="0.25">
      <c r="A2668" t="s">
        <v>2672</v>
      </c>
      <c r="B2668">
        <v>0.99252571173614901</v>
      </c>
      <c r="C2668">
        <v>0.84509041767522997</v>
      </c>
      <c r="D2668">
        <v>0.95613191622906701</v>
      </c>
      <c r="E2668">
        <v>0.80442747992885799</v>
      </c>
      <c r="F2668">
        <v>0.199806098177501</v>
      </c>
      <c r="G2668">
        <v>0.11813001016310901</v>
      </c>
      <c r="H2668">
        <v>8.3512187880199096E-2</v>
      </c>
      <c r="I2668">
        <v>8.2319813479950502E-2</v>
      </c>
      <c r="J2668">
        <v>7.6660974701168394E-2</v>
      </c>
      <c r="K2668">
        <v>7.0897062958191703E-2</v>
      </c>
      <c r="L2668">
        <v>2290.0468950355898</v>
      </c>
      <c r="M2668">
        <v>44.8999440900376</v>
      </c>
      <c r="N2668">
        <v>51.210698955795401</v>
      </c>
      <c r="O2668">
        <v>50.902448904826997</v>
      </c>
      <c r="P2668">
        <v>-0.20218993838590299</v>
      </c>
      <c r="Q2668">
        <v>8.3120981655410403E-2</v>
      </c>
      <c r="R2668">
        <v>0.98303455218119995</v>
      </c>
      <c r="S2668" t="s">
        <v>9314</v>
      </c>
      <c r="T2668" t="s">
        <v>13290</v>
      </c>
      <c r="U2668" t="s">
        <v>13290</v>
      </c>
      <c r="V2668" t="s">
        <v>13290</v>
      </c>
      <c r="W2668" t="s">
        <v>15919</v>
      </c>
      <c r="X2668">
        <v>63</v>
      </c>
      <c r="Y2668" t="s">
        <v>22454</v>
      </c>
      <c r="Z2668" t="s">
        <v>28998</v>
      </c>
      <c r="AA2668">
        <v>0.42197309091170432</v>
      </c>
      <c r="AB2668" t="str">
        <f>HYPERLINK("Melting_Curves/meltCurve_P46940_IQGAP1.pdf", "Melting_Curves/meltCurve_P46940_IQGAP1.pdf")</f>
        <v>Melting_Curves/meltCurve_P46940_IQGAP1.pdf</v>
      </c>
    </row>
    <row r="2669" spans="1:28" x14ac:dyDescent="0.25">
      <c r="A2669" t="s">
        <v>2673</v>
      </c>
      <c r="B2669">
        <v>0.99252571173614901</v>
      </c>
      <c r="C2669">
        <v>1.05062254942432</v>
      </c>
      <c r="D2669">
        <v>1.02328741298922</v>
      </c>
      <c r="E2669">
        <v>0.93058296435796395</v>
      </c>
      <c r="F2669">
        <v>0.25930098007050401</v>
      </c>
      <c r="G2669">
        <v>0.154393994503955</v>
      </c>
      <c r="H2669">
        <v>0.106744936910876</v>
      </c>
      <c r="I2669">
        <v>9.8327677198495098E-2</v>
      </c>
      <c r="J2669">
        <v>0.16337512364096901</v>
      </c>
      <c r="K2669">
        <v>0.17288619153213</v>
      </c>
      <c r="L2669">
        <v>3108.5117338118098</v>
      </c>
      <c r="M2669">
        <v>60.237532813893999</v>
      </c>
      <c r="N2669">
        <v>51.883196434335403</v>
      </c>
      <c r="O2669">
        <v>51.547452414432399</v>
      </c>
      <c r="P2669">
        <v>-0.251732992769783</v>
      </c>
      <c r="Q2669">
        <v>0.13833197461247801</v>
      </c>
      <c r="R2669">
        <v>0.99547720458484201</v>
      </c>
      <c r="S2669" t="s">
        <v>9315</v>
      </c>
      <c r="T2669" t="s">
        <v>13290</v>
      </c>
      <c r="U2669" t="s">
        <v>13290</v>
      </c>
      <c r="V2669" t="s">
        <v>13290</v>
      </c>
      <c r="W2669" t="s">
        <v>15920</v>
      </c>
      <c r="X2669">
        <v>9</v>
      </c>
      <c r="Y2669" t="s">
        <v>22455</v>
      </c>
      <c r="Z2669" t="s">
        <v>28999</v>
      </c>
      <c r="AA2669">
        <v>0.47298088345406009</v>
      </c>
      <c r="AB2669" t="str">
        <f>HYPERLINK("Melting_Curves/meltCurve_P46976_2_GYG1.pdf", "Melting_Curves/meltCurve_P46976_2_GYG1.pdf")</f>
        <v>Melting_Curves/meltCurve_P46976_2_GYG1.pdf</v>
      </c>
    </row>
    <row r="2670" spans="1:28" x14ac:dyDescent="0.25">
      <c r="A2670" t="s">
        <v>2674</v>
      </c>
      <c r="B2670">
        <v>0.99252571173614901</v>
      </c>
      <c r="C2670">
        <v>0.83640409114018699</v>
      </c>
      <c r="D2670">
        <v>0.84018277184554602</v>
      </c>
      <c r="E2670">
        <v>0.61700405945890202</v>
      </c>
      <c r="F2670">
        <v>0.25921864665358302</v>
      </c>
      <c r="G2670">
        <v>9.2706929311067499E-2</v>
      </c>
      <c r="H2670">
        <v>6.2841099158727001E-2</v>
      </c>
      <c r="I2670">
        <v>6.7029369491578006E-2</v>
      </c>
      <c r="J2670">
        <v>9.7744602577898895E-2</v>
      </c>
      <c r="K2670">
        <v>8.7274276266407505E-2</v>
      </c>
      <c r="L2670">
        <v>944.64815223960602</v>
      </c>
      <c r="M2670">
        <v>18.906874512938</v>
      </c>
      <c r="N2670">
        <v>50.267423811226301</v>
      </c>
      <c r="O2670">
        <v>49.414347929590903</v>
      </c>
      <c r="P2670">
        <v>-9.0487427087149505E-2</v>
      </c>
      <c r="Q2670">
        <v>5.4059421519839702E-2</v>
      </c>
      <c r="R2670">
        <v>0.981586941735341</v>
      </c>
      <c r="S2670" t="s">
        <v>9316</v>
      </c>
      <c r="T2670" t="s">
        <v>13290</v>
      </c>
      <c r="U2670" t="s">
        <v>13290</v>
      </c>
      <c r="V2670" t="s">
        <v>13290</v>
      </c>
      <c r="W2670" t="s">
        <v>15921</v>
      </c>
      <c r="X2670">
        <v>11</v>
      </c>
      <c r="Y2670" t="s">
        <v>22456</v>
      </c>
      <c r="Z2670" t="s">
        <v>29000</v>
      </c>
      <c r="AA2670">
        <v>0.38290203655851218</v>
      </c>
      <c r="AB2670" t="str">
        <f>HYPERLINK("Melting_Curves/meltCurve_P46977_STT3A.pdf", "Melting_Curves/meltCurve_P46977_STT3A.pdf")</f>
        <v>Melting_Curves/meltCurve_P46977_STT3A.pdf</v>
      </c>
    </row>
    <row r="2671" spans="1:28" x14ac:dyDescent="0.25">
      <c r="A2671" t="s">
        <v>2675</v>
      </c>
      <c r="B2671">
        <v>0.99252571173614901</v>
      </c>
      <c r="C2671">
        <v>0.97729652358494501</v>
      </c>
      <c r="D2671">
        <v>0.92399445809845404</v>
      </c>
      <c r="E2671">
        <v>0.96132516547395797</v>
      </c>
      <c r="F2671">
        <v>0.532595291997911</v>
      </c>
      <c r="G2671">
        <v>0.298018208066269</v>
      </c>
      <c r="H2671">
        <v>0.302180485761184</v>
      </c>
      <c r="I2671">
        <v>0.28641267433026202</v>
      </c>
      <c r="J2671">
        <v>0.21265315343295099</v>
      </c>
      <c r="K2671">
        <v>0.230090732154699</v>
      </c>
      <c r="L2671">
        <v>2257.3819802369098</v>
      </c>
      <c r="M2671">
        <v>42.936460562631503</v>
      </c>
      <c r="N2671">
        <v>53.483485384061602</v>
      </c>
      <c r="O2671">
        <v>52.4612802201233</v>
      </c>
      <c r="P2671">
        <v>-0.15163775942969701</v>
      </c>
      <c r="Q2671">
        <v>0.258895729622588</v>
      </c>
      <c r="R2671">
        <v>0.989190063026675</v>
      </c>
      <c r="S2671" t="s">
        <v>9317</v>
      </c>
      <c r="T2671" t="s">
        <v>13290</v>
      </c>
      <c r="U2671" t="s">
        <v>13290</v>
      </c>
      <c r="V2671" t="s">
        <v>13290</v>
      </c>
      <c r="W2671" t="s">
        <v>15922</v>
      </c>
      <c r="X2671">
        <v>1</v>
      </c>
      <c r="Y2671" t="s">
        <v>22457</v>
      </c>
      <c r="Z2671" t="s">
        <v>29001</v>
      </c>
      <c r="AA2671">
        <v>0.57187465737435661</v>
      </c>
      <c r="AB2671" t="str">
        <f>HYPERLINK("Melting_Curves/meltCurve_P47224_RABIF.pdf", "Melting_Curves/meltCurve_P47224_RABIF.pdf")</f>
        <v>Melting_Curves/meltCurve_P47224_RABIF.pdf</v>
      </c>
    </row>
    <row r="2672" spans="1:28" x14ac:dyDescent="0.25">
      <c r="A2672" t="s">
        <v>2676</v>
      </c>
      <c r="B2672">
        <v>0.99252571173614901</v>
      </c>
      <c r="C2672">
        <v>0.98829301120950697</v>
      </c>
      <c r="D2672">
        <v>0.85682436809387696</v>
      </c>
      <c r="E2672">
        <v>0.58998260764427701</v>
      </c>
      <c r="F2672">
        <v>0.15344346902252601</v>
      </c>
      <c r="G2672">
        <v>9.9143598212213094E-2</v>
      </c>
      <c r="H2672">
        <v>6.5632012282740501E-2</v>
      </c>
      <c r="I2672">
        <v>8.3770127019584598E-2</v>
      </c>
      <c r="J2672">
        <v>0.100558835097888</v>
      </c>
      <c r="K2672">
        <v>0.122309276923755</v>
      </c>
      <c r="L2672">
        <v>1432.53314818135</v>
      </c>
      <c r="M2672">
        <v>28.8519684563718</v>
      </c>
      <c r="N2672">
        <v>49.966188283540902</v>
      </c>
      <c r="O2672">
        <v>49.414451890970803</v>
      </c>
      <c r="P2672">
        <v>-0.133831215907627</v>
      </c>
      <c r="Q2672">
        <v>8.3161920554534099E-2</v>
      </c>
      <c r="R2672">
        <v>0.99337224715839001</v>
      </c>
      <c r="S2672" t="s">
        <v>9318</v>
      </c>
      <c r="T2672" t="s">
        <v>13290</v>
      </c>
      <c r="U2672" t="s">
        <v>13290</v>
      </c>
      <c r="V2672" t="s">
        <v>13290</v>
      </c>
      <c r="W2672" t="s">
        <v>15923</v>
      </c>
      <c r="X2672">
        <v>8</v>
      </c>
      <c r="Y2672" t="s">
        <v>22458</v>
      </c>
      <c r="Z2672" t="s">
        <v>29002</v>
      </c>
      <c r="AA2672">
        <v>0.38421761766018009</v>
      </c>
      <c r="AB2672" t="str">
        <f>HYPERLINK("Melting_Curves/meltCurve_P47712_PLA2G4A.pdf", "Melting_Curves/meltCurve_P47712_PLA2G4A.pdf")</f>
        <v>Melting_Curves/meltCurve_P47712_PLA2G4A.pdf</v>
      </c>
    </row>
    <row r="2673" spans="1:28" x14ac:dyDescent="0.25">
      <c r="A2673" t="s">
        <v>2677</v>
      </c>
      <c r="B2673">
        <v>0.99252571173614901</v>
      </c>
      <c r="C2673">
        <v>1.0259372831826401</v>
      </c>
      <c r="D2673">
        <v>0.927872515913859</v>
      </c>
      <c r="E2673">
        <v>0.73863735777966599</v>
      </c>
      <c r="F2673">
        <v>0.385541471703232</v>
      </c>
      <c r="G2673">
        <v>0.203763039991394</v>
      </c>
      <c r="H2673">
        <v>0.11961005800406101</v>
      </c>
      <c r="I2673">
        <v>0.10990448215863199</v>
      </c>
      <c r="J2673">
        <v>0.13186480784597099</v>
      </c>
      <c r="K2673">
        <v>0.116087167521623</v>
      </c>
      <c r="L2673">
        <v>1204.9974908148399</v>
      </c>
      <c r="M2673">
        <v>23.446032681194101</v>
      </c>
      <c r="N2673">
        <v>51.953001689308998</v>
      </c>
      <c r="O2673">
        <v>51.024992796634798</v>
      </c>
      <c r="P2673">
        <v>-0.10208059824217799</v>
      </c>
      <c r="Q2673">
        <v>0.111393553320856</v>
      </c>
      <c r="R2673">
        <v>0.99842538239818701</v>
      </c>
      <c r="S2673" t="s">
        <v>9319</v>
      </c>
      <c r="T2673" t="s">
        <v>13290</v>
      </c>
      <c r="U2673" t="s">
        <v>13290</v>
      </c>
      <c r="V2673" t="s">
        <v>13290</v>
      </c>
      <c r="W2673" t="s">
        <v>15924</v>
      </c>
      <c r="X2673">
        <v>16</v>
      </c>
      <c r="Y2673" t="s">
        <v>22459</v>
      </c>
      <c r="Z2673" t="s">
        <v>29003</v>
      </c>
      <c r="AA2673">
        <v>0.45803167577702109</v>
      </c>
      <c r="AB2673" t="str">
        <f>HYPERLINK("Melting_Curves/meltCurve_P47755_CAPZA2.pdf", "Melting_Curves/meltCurve_P47755_CAPZA2.pdf")</f>
        <v>Melting_Curves/meltCurve_P47755_CAPZA2.pdf</v>
      </c>
    </row>
    <row r="2674" spans="1:28" x14ac:dyDescent="0.25">
      <c r="A2674" t="s">
        <v>2678</v>
      </c>
      <c r="B2674">
        <v>0.99252571173614901</v>
      </c>
      <c r="C2674">
        <v>0.94452068318842497</v>
      </c>
      <c r="D2674">
        <v>1.0476755332354</v>
      </c>
      <c r="E2674">
        <v>0.93324140625483398</v>
      </c>
      <c r="F2674">
        <v>0.42280105453786998</v>
      </c>
      <c r="G2674">
        <v>0.206165878283215</v>
      </c>
      <c r="H2674">
        <v>0.13162034438561701</v>
      </c>
      <c r="I2674">
        <v>0.12090702214990499</v>
      </c>
      <c r="J2674">
        <v>0.110965808234723</v>
      </c>
      <c r="K2674">
        <v>0.106114176705258</v>
      </c>
      <c r="L2674">
        <v>2106.7531340000701</v>
      </c>
      <c r="M2674">
        <v>40.192363180106298</v>
      </c>
      <c r="N2674">
        <v>52.7943645763864</v>
      </c>
      <c r="O2674">
        <v>52.287499024995697</v>
      </c>
      <c r="P2674">
        <v>-0.168163906913881</v>
      </c>
      <c r="Q2674">
        <v>0.124923163250244</v>
      </c>
      <c r="R2674">
        <v>0.99465156425451895</v>
      </c>
      <c r="S2674" t="s">
        <v>9320</v>
      </c>
      <c r="T2674" t="s">
        <v>13290</v>
      </c>
      <c r="U2674" t="s">
        <v>13290</v>
      </c>
      <c r="V2674" t="s">
        <v>13290</v>
      </c>
      <c r="W2674" t="s">
        <v>15925</v>
      </c>
      <c r="X2674">
        <v>20</v>
      </c>
      <c r="Y2674" t="s">
        <v>22460</v>
      </c>
      <c r="Z2674" t="s">
        <v>29004</v>
      </c>
      <c r="AA2674">
        <v>0.49024824496498098</v>
      </c>
      <c r="AB2674" t="str">
        <f>HYPERLINK("Melting_Curves/meltCurve_P47756_2_CAPZB.pdf", "Melting_Curves/meltCurve_P47756_2_CAPZB.pdf")</f>
        <v>Melting_Curves/meltCurve_P47756_2_CAPZB.pdf</v>
      </c>
    </row>
    <row r="2675" spans="1:28" x14ac:dyDescent="0.25">
      <c r="A2675" t="s">
        <v>2679</v>
      </c>
      <c r="B2675">
        <v>0.99252571173614901</v>
      </c>
      <c r="C2675">
        <v>1.0216698724970299</v>
      </c>
      <c r="D2675">
        <v>0.700937552311098</v>
      </c>
      <c r="E2675">
        <v>0.87686947601427001</v>
      </c>
      <c r="F2675">
        <v>0.64115924082797204</v>
      </c>
      <c r="G2675">
        <v>0.35477492902104102</v>
      </c>
      <c r="H2675">
        <v>0.18224530130591299</v>
      </c>
      <c r="I2675">
        <v>0.16597444949751899</v>
      </c>
      <c r="J2675">
        <v>0.15720993661588301</v>
      </c>
      <c r="K2675">
        <v>0.145782421569909</v>
      </c>
      <c r="L2675">
        <v>720.28404069567</v>
      </c>
      <c r="M2675">
        <v>13.334580321226101</v>
      </c>
      <c r="N2675">
        <v>54.652152064955203</v>
      </c>
      <c r="O2675">
        <v>52.844785958556898</v>
      </c>
      <c r="P2675">
        <v>-5.8560069570126598E-2</v>
      </c>
      <c r="Q2675">
        <v>7.1856949012250301E-2</v>
      </c>
      <c r="R2675">
        <v>0.94287052611293498</v>
      </c>
      <c r="S2675" t="s">
        <v>9321</v>
      </c>
      <c r="T2675" t="s">
        <v>13290</v>
      </c>
      <c r="U2675" t="s">
        <v>13290</v>
      </c>
      <c r="V2675" t="s">
        <v>13290</v>
      </c>
      <c r="W2675" t="s">
        <v>15926</v>
      </c>
      <c r="X2675">
        <v>12</v>
      </c>
      <c r="Y2675" t="s">
        <v>22461</v>
      </c>
      <c r="Z2675" t="s">
        <v>29005</v>
      </c>
      <c r="AA2675">
        <v>0.52728625494049663</v>
      </c>
      <c r="AB2675" t="str">
        <f>HYPERLINK("Melting_Curves/meltCurve_P47813_EIF1AX.pdf", "Melting_Curves/meltCurve_P47813_EIF1AX.pdf")</f>
        <v>Melting_Curves/meltCurve_P47813_EIF1AX.pdf</v>
      </c>
    </row>
    <row r="2676" spans="1:28" x14ac:dyDescent="0.25">
      <c r="A2676" t="s">
        <v>2680</v>
      </c>
      <c r="B2676">
        <v>0.99252571173614901</v>
      </c>
      <c r="C2676">
        <v>0.88284845784805199</v>
      </c>
      <c r="D2676">
        <v>0.68185170804693995</v>
      </c>
      <c r="E2676">
        <v>0.25654760668295901</v>
      </c>
      <c r="F2676">
        <v>0.13809972289046199</v>
      </c>
      <c r="G2676">
        <v>7.98193887616169E-2</v>
      </c>
      <c r="H2676">
        <v>6.7499644212085194E-2</v>
      </c>
      <c r="I2676">
        <v>6.9966098381609804E-2</v>
      </c>
      <c r="J2676">
        <v>8.1966827428560304E-2</v>
      </c>
      <c r="K2676">
        <v>8.2529864011904902E-2</v>
      </c>
      <c r="L2676">
        <v>1139.25296264798</v>
      </c>
      <c r="M2676">
        <v>24.232163591928199</v>
      </c>
      <c r="N2676">
        <v>47.321301269625202</v>
      </c>
      <c r="O2676">
        <v>46.697423091107702</v>
      </c>
      <c r="P2676">
        <v>-0.120289234495378</v>
      </c>
      <c r="Q2676">
        <v>7.2784329117608196E-2</v>
      </c>
      <c r="R2676">
        <v>0.99778872521404904</v>
      </c>
      <c r="S2676" t="s">
        <v>9322</v>
      </c>
      <c r="T2676" t="s">
        <v>13290</v>
      </c>
      <c r="U2676" t="s">
        <v>13290</v>
      </c>
      <c r="V2676" t="s">
        <v>13290</v>
      </c>
      <c r="W2676" t="s">
        <v>15927</v>
      </c>
      <c r="X2676">
        <v>21</v>
      </c>
      <c r="Y2676" t="s">
        <v>22462</v>
      </c>
      <c r="Z2676" t="s">
        <v>29006</v>
      </c>
      <c r="AA2676">
        <v>0.29843620584046082</v>
      </c>
      <c r="AB2676" t="str">
        <f>HYPERLINK("Melting_Curves/meltCurve_P47897_QARS.pdf", "Melting_Curves/meltCurve_P47897_QARS.pdf")</f>
        <v>Melting_Curves/meltCurve_P47897_QARS.pdf</v>
      </c>
    </row>
    <row r="2677" spans="1:28" x14ac:dyDescent="0.25">
      <c r="A2677" t="s">
        <v>2681</v>
      </c>
      <c r="B2677">
        <v>0.99252571173614901</v>
      </c>
      <c r="C2677">
        <v>1.0655269569520001</v>
      </c>
      <c r="D2677">
        <v>1.09068563727892</v>
      </c>
      <c r="E2677">
        <v>1.30509196408423</v>
      </c>
      <c r="F2677">
        <v>0.54217757028247804</v>
      </c>
      <c r="G2677">
        <v>0.29477988394968702</v>
      </c>
      <c r="H2677">
        <v>0.240674367123066</v>
      </c>
      <c r="I2677">
        <v>0.27132856038631897</v>
      </c>
      <c r="J2677">
        <v>0.39120682211732499</v>
      </c>
      <c r="K2677">
        <v>0.43805249326691498</v>
      </c>
      <c r="L2677">
        <v>13259.781512683699</v>
      </c>
      <c r="M2677">
        <v>250</v>
      </c>
      <c r="N2677">
        <v>53.2655067826066</v>
      </c>
      <c r="O2677">
        <v>53.035732953483603</v>
      </c>
      <c r="P2677">
        <v>-0.792851773776447</v>
      </c>
      <c r="Q2677">
        <v>0.32720841503679998</v>
      </c>
      <c r="R2677">
        <v>0.90918621567679903</v>
      </c>
      <c r="S2677" t="s">
        <v>9323</v>
      </c>
      <c r="T2677" t="s">
        <v>13290</v>
      </c>
      <c r="U2677" t="s">
        <v>13290</v>
      </c>
      <c r="V2677" t="s">
        <v>13290</v>
      </c>
      <c r="W2677" t="s">
        <v>15928</v>
      </c>
      <c r="X2677">
        <v>5</v>
      </c>
      <c r="Y2677" t="s">
        <v>22463</v>
      </c>
      <c r="Z2677" t="s">
        <v>29007</v>
      </c>
      <c r="AA2677">
        <v>0.61969151646238663</v>
      </c>
      <c r="AB2677" t="str">
        <f>HYPERLINK("Melting_Curves/meltCurve_P47914_RPL29.pdf", "Melting_Curves/meltCurve_P47914_RPL29.pdf")</f>
        <v>Melting_Curves/meltCurve_P47914_RPL29.pdf</v>
      </c>
    </row>
    <row r="2678" spans="1:28" x14ac:dyDescent="0.25">
      <c r="A2678" t="s">
        <v>2682</v>
      </c>
      <c r="B2678">
        <v>0.99252571173614901</v>
      </c>
      <c r="C2678">
        <v>0.95345701173235198</v>
      </c>
      <c r="D2678">
        <v>0.74963593827880204</v>
      </c>
      <c r="E2678">
        <v>0.49267108794020198</v>
      </c>
      <c r="F2678">
        <v>0.30670245403867702</v>
      </c>
      <c r="G2678">
        <v>0.21334577533544899</v>
      </c>
      <c r="H2678">
        <v>0.18192673912500401</v>
      </c>
      <c r="I2678">
        <v>0.174949808888019</v>
      </c>
      <c r="J2678">
        <v>0.19353908000835701</v>
      </c>
      <c r="K2678">
        <v>0.21084757286073399</v>
      </c>
      <c r="L2678">
        <v>937.81057147112006</v>
      </c>
      <c r="M2678">
        <v>19.4513374256871</v>
      </c>
      <c r="N2678">
        <v>49.375307051728903</v>
      </c>
      <c r="O2678">
        <v>47.712255510304999</v>
      </c>
      <c r="P2678">
        <v>-8.3203347612720399E-2</v>
      </c>
      <c r="Q2678">
        <v>0.18367050287697501</v>
      </c>
      <c r="R2678">
        <v>0.99758946686944805</v>
      </c>
      <c r="S2678" t="s">
        <v>9324</v>
      </c>
      <c r="T2678" t="s">
        <v>13290</v>
      </c>
      <c r="U2678" t="s">
        <v>13290</v>
      </c>
      <c r="V2678" t="s">
        <v>13290</v>
      </c>
      <c r="W2678" t="s">
        <v>15929</v>
      </c>
      <c r="X2678">
        <v>6</v>
      </c>
      <c r="Y2678" t="s">
        <v>22464</v>
      </c>
      <c r="Z2678" t="s">
        <v>29008</v>
      </c>
      <c r="AA2678">
        <v>0.41940715741576828</v>
      </c>
      <c r="AB2678" t="str">
        <f>HYPERLINK("Melting_Curves/meltCurve_P47929_LGALS7.pdf", "Melting_Curves/meltCurve_P47929_LGALS7.pdf")</f>
        <v>Melting_Curves/meltCurve_P47929_LGALS7.pdf</v>
      </c>
    </row>
    <row r="2679" spans="1:28" x14ac:dyDescent="0.25">
      <c r="A2679" t="s">
        <v>2683</v>
      </c>
      <c r="B2679">
        <v>0.99252571173614901</v>
      </c>
      <c r="C2679">
        <v>1.02897211061119</v>
      </c>
      <c r="D2679">
        <v>0.98106603587729602</v>
      </c>
      <c r="E2679">
        <v>0.930044309676748</v>
      </c>
      <c r="F2679">
        <v>0.77658888415506899</v>
      </c>
      <c r="G2679">
        <v>0.57436497931102404</v>
      </c>
      <c r="H2679">
        <v>0.51021504907874404</v>
      </c>
      <c r="I2679">
        <v>0.44924991123024</v>
      </c>
      <c r="J2679">
        <v>0.61515580751072496</v>
      </c>
      <c r="K2679">
        <v>0.56975995830758597</v>
      </c>
      <c r="L2679">
        <v>1687.2589958119599</v>
      </c>
      <c r="M2679">
        <v>31.769668309427502</v>
      </c>
      <c r="O2679">
        <v>52.900019038293998</v>
      </c>
      <c r="P2679">
        <v>-7.0176521575447001E-2</v>
      </c>
      <c r="Q2679">
        <v>0.53259567687550002</v>
      </c>
      <c r="R2679">
        <v>0.95907819049904797</v>
      </c>
      <c r="S2679" t="s">
        <v>9325</v>
      </c>
      <c r="T2679" t="s">
        <v>13290</v>
      </c>
      <c r="U2679" t="s">
        <v>13290</v>
      </c>
      <c r="V2679" t="s">
        <v>13290</v>
      </c>
      <c r="W2679" t="s">
        <v>15930</v>
      </c>
      <c r="X2679">
        <v>11</v>
      </c>
      <c r="Y2679" t="s">
        <v>22465</v>
      </c>
      <c r="Z2679" t="s">
        <v>29009</v>
      </c>
      <c r="AA2679">
        <v>0.73955001343062476</v>
      </c>
      <c r="AB2679" t="str">
        <f>HYPERLINK("Melting_Curves/meltCurve_P47985_UQCRFS1.pdf", "Melting_Curves/meltCurve_P47985_UQCRFS1.pdf")</f>
        <v>Melting_Curves/meltCurve_P47985_UQCRFS1.pdf</v>
      </c>
    </row>
    <row r="2680" spans="1:28" x14ac:dyDescent="0.25">
      <c r="A2680" t="s">
        <v>2684</v>
      </c>
      <c r="B2680">
        <v>0.99252571173614901</v>
      </c>
      <c r="C2680">
        <v>0.92798388668648102</v>
      </c>
      <c r="D2680">
        <v>0.90842407992095198</v>
      </c>
      <c r="E2680">
        <v>0.78332877672288703</v>
      </c>
      <c r="F2680">
        <v>0.70788434131908595</v>
      </c>
      <c r="G2680">
        <v>0.60451736751402896</v>
      </c>
      <c r="H2680">
        <v>0.46775585744433501</v>
      </c>
      <c r="I2680">
        <v>0.33409932586366697</v>
      </c>
      <c r="J2680">
        <v>0.29840052076168799</v>
      </c>
      <c r="K2680">
        <v>0.15992495564231399</v>
      </c>
      <c r="L2680">
        <v>476.01761167195502</v>
      </c>
      <c r="M2680">
        <v>8.0721673088235395</v>
      </c>
      <c r="N2680">
        <v>58.970212923891197</v>
      </c>
      <c r="O2680">
        <v>55.681788671789903</v>
      </c>
      <c r="P2680">
        <v>-3.6282039261046603E-2</v>
      </c>
      <c r="Q2680">
        <v>0</v>
      </c>
      <c r="R2680">
        <v>0.98944742618591996</v>
      </c>
      <c r="S2680" t="s">
        <v>9326</v>
      </c>
      <c r="T2680" t="s">
        <v>13290</v>
      </c>
      <c r="U2680" t="s">
        <v>13290</v>
      </c>
      <c r="V2680" t="s">
        <v>13290</v>
      </c>
      <c r="W2680" t="s">
        <v>15931</v>
      </c>
      <c r="X2680">
        <v>1</v>
      </c>
      <c r="Y2680" t="s">
        <v>22466</v>
      </c>
      <c r="Z2680" t="s">
        <v>29010</v>
      </c>
      <c r="AA2680">
        <v>0.62760914267093948</v>
      </c>
      <c r="AB2680" t="str">
        <f>HYPERLINK("Melting_Curves/meltCurve_P48029_SLC6A8.pdf", "Melting_Curves/meltCurve_P48029_SLC6A8.pdf")</f>
        <v>Melting_Curves/meltCurve_P48029_SLC6A8.pdf</v>
      </c>
    </row>
    <row r="2681" spans="1:28" x14ac:dyDescent="0.25">
      <c r="A2681" t="s">
        <v>2685</v>
      </c>
      <c r="B2681">
        <v>0.99252571173614901</v>
      </c>
      <c r="C2681">
        <v>0.78825703402509695</v>
      </c>
      <c r="D2681">
        <v>1.0389260265887701</v>
      </c>
      <c r="E2681">
        <v>1.04096674946319</v>
      </c>
      <c r="F2681">
        <v>0.887435664089403</v>
      </c>
      <c r="G2681">
        <v>0.62402684334224801</v>
      </c>
      <c r="H2681">
        <v>0.69045268398555204</v>
      </c>
      <c r="I2681">
        <v>0.334918832755011</v>
      </c>
      <c r="J2681">
        <v>0.15278086953</v>
      </c>
      <c r="K2681">
        <v>0.129702679561227</v>
      </c>
      <c r="L2681">
        <v>889.82456304429695</v>
      </c>
      <c r="M2681">
        <v>14.520444884558099</v>
      </c>
      <c r="N2681">
        <v>61.280805819787197</v>
      </c>
      <c r="O2681">
        <v>60.153709590544402</v>
      </c>
      <c r="P2681">
        <v>-6.03541959909763E-2</v>
      </c>
      <c r="Q2681">
        <v>0</v>
      </c>
      <c r="R2681">
        <v>0.90923432118788705</v>
      </c>
      <c r="S2681" t="s">
        <v>9327</v>
      </c>
      <c r="T2681" t="s">
        <v>13290</v>
      </c>
      <c r="U2681" t="s">
        <v>13290</v>
      </c>
      <c r="V2681" t="s">
        <v>13290</v>
      </c>
      <c r="W2681" t="s">
        <v>15932</v>
      </c>
      <c r="X2681">
        <v>15</v>
      </c>
      <c r="Y2681" t="s">
        <v>22467</v>
      </c>
      <c r="Z2681" t="s">
        <v>29011</v>
      </c>
      <c r="AA2681">
        <v>0.70964848137311931</v>
      </c>
      <c r="AB2681" t="str">
        <f>HYPERLINK("Melting_Curves/meltCurve_P48047_ATP5O.pdf", "Melting_Curves/meltCurve_P48047_ATP5O.pdf")</f>
        <v>Melting_Curves/meltCurve_P48047_ATP5O.pdf</v>
      </c>
    </row>
    <row r="2682" spans="1:28" x14ac:dyDescent="0.25">
      <c r="A2682" t="s">
        <v>2686</v>
      </c>
      <c r="B2682">
        <v>0.99252571173614901</v>
      </c>
      <c r="C2682">
        <v>0.98326752638229298</v>
      </c>
      <c r="D2682">
        <v>0.92871774295989196</v>
      </c>
      <c r="E2682">
        <v>0.77968597573422405</v>
      </c>
      <c r="F2682">
        <v>0.77402340762127797</v>
      </c>
      <c r="G2682">
        <v>0.59781792995357397</v>
      </c>
      <c r="H2682">
        <v>0.30401295907839199</v>
      </c>
      <c r="I2682">
        <v>0.114888510224627</v>
      </c>
      <c r="J2682">
        <v>0.105111030399647</v>
      </c>
      <c r="K2682">
        <v>9.4463673293185196E-2</v>
      </c>
      <c r="L2682">
        <v>779.06487275494896</v>
      </c>
      <c r="M2682">
        <v>13.6148440799893</v>
      </c>
      <c r="N2682">
        <v>57.221732195211999</v>
      </c>
      <c r="O2682">
        <v>56.029576671750803</v>
      </c>
      <c r="P2682">
        <v>-6.0757433491315099E-2</v>
      </c>
      <c r="Q2682">
        <v>0</v>
      </c>
      <c r="R2682">
        <v>0.97929173695751803</v>
      </c>
      <c r="S2682" t="s">
        <v>9328</v>
      </c>
      <c r="T2682" t="s">
        <v>13290</v>
      </c>
      <c r="U2682" t="s">
        <v>13290</v>
      </c>
      <c r="V2682" t="s">
        <v>13290</v>
      </c>
      <c r="W2682" t="s">
        <v>15933</v>
      </c>
      <c r="X2682">
        <v>14</v>
      </c>
      <c r="Y2682" t="s">
        <v>22468</v>
      </c>
      <c r="Z2682" t="s">
        <v>29012</v>
      </c>
      <c r="AA2682">
        <v>0.58994442737865049</v>
      </c>
      <c r="AB2682" t="str">
        <f>HYPERLINK("Melting_Curves/meltCurve_P48059_LIMS1.pdf", "Melting_Curves/meltCurve_P48059_LIMS1.pdf")</f>
        <v>Melting_Curves/meltCurve_P48059_LIMS1.pdf</v>
      </c>
    </row>
    <row r="2683" spans="1:28" x14ac:dyDescent="0.25">
      <c r="A2683" t="s">
        <v>2687</v>
      </c>
      <c r="B2683">
        <v>0.99252571173614901</v>
      </c>
      <c r="C2683">
        <v>0.91229214168794903</v>
      </c>
      <c r="D2683">
        <v>0.88980560933958497</v>
      </c>
      <c r="E2683">
        <v>0.69718465364767201</v>
      </c>
      <c r="F2683">
        <v>0.64558223841262097</v>
      </c>
      <c r="G2683">
        <v>0.47543799969443601</v>
      </c>
      <c r="H2683">
        <v>0.31248268129616802</v>
      </c>
      <c r="I2683">
        <v>0.235814411731576</v>
      </c>
      <c r="J2683">
        <v>0.24862550711988801</v>
      </c>
      <c r="K2683">
        <v>0.160830042201137</v>
      </c>
      <c r="L2683">
        <v>497.753257077385</v>
      </c>
      <c r="M2683">
        <v>9.0161526107450296</v>
      </c>
      <c r="N2683">
        <v>55.831981371461403</v>
      </c>
      <c r="O2683">
        <v>52.693989097975198</v>
      </c>
      <c r="P2683">
        <v>-4.0751602456790499E-2</v>
      </c>
      <c r="Q2683">
        <v>4.80122573719916E-2</v>
      </c>
      <c r="R2683">
        <v>0.98977843117148701</v>
      </c>
      <c r="S2683" t="s">
        <v>9329</v>
      </c>
      <c r="T2683" t="s">
        <v>13290</v>
      </c>
      <c r="U2683" t="s">
        <v>13290</v>
      </c>
      <c r="V2683" t="s">
        <v>13290</v>
      </c>
      <c r="W2683" t="s">
        <v>15934</v>
      </c>
      <c r="X2683">
        <v>2</v>
      </c>
      <c r="Y2683" t="s">
        <v>22469</v>
      </c>
      <c r="Z2683" t="s">
        <v>29013</v>
      </c>
      <c r="AA2683">
        <v>0.55487135999871762</v>
      </c>
      <c r="AB2683" t="str">
        <f>HYPERLINK("Melting_Curves/meltCurve_P48060_GLIPR1.pdf", "Melting_Curves/meltCurve_P48060_GLIPR1.pdf")</f>
        <v>Melting_Curves/meltCurve_P48060_GLIPR1.pdf</v>
      </c>
    </row>
    <row r="2684" spans="1:28" x14ac:dyDescent="0.25">
      <c r="A2684" t="s">
        <v>2688</v>
      </c>
      <c r="B2684">
        <v>0.99252571173614901</v>
      </c>
      <c r="C2684">
        <v>0.81582029396548095</v>
      </c>
      <c r="D2684">
        <v>0.81362236198143001</v>
      </c>
      <c r="E2684">
        <v>0.68820409649968295</v>
      </c>
      <c r="F2684">
        <v>0.58082842256217004</v>
      </c>
      <c r="G2684">
        <v>0.50009900457020895</v>
      </c>
      <c r="H2684">
        <v>0.38988986943869602</v>
      </c>
      <c r="I2684">
        <v>0.378223408938969</v>
      </c>
      <c r="J2684">
        <v>0.27996135886012102</v>
      </c>
      <c r="K2684">
        <v>0.14742074279112</v>
      </c>
      <c r="L2684">
        <v>355.39037892234597</v>
      </c>
      <c r="M2684">
        <v>6.3110255867468998</v>
      </c>
      <c r="N2684">
        <v>56.312618926993501</v>
      </c>
      <c r="O2684">
        <v>51.452285812871203</v>
      </c>
      <c r="P2684">
        <v>-3.07473040620595E-2</v>
      </c>
      <c r="Q2684">
        <v>0</v>
      </c>
      <c r="R2684">
        <v>0.97186077939021198</v>
      </c>
      <c r="S2684" t="s">
        <v>9330</v>
      </c>
      <c r="T2684" t="s">
        <v>13290</v>
      </c>
      <c r="U2684" t="s">
        <v>13290</v>
      </c>
      <c r="V2684" t="s">
        <v>13290</v>
      </c>
      <c r="W2684" t="s">
        <v>15935</v>
      </c>
      <c r="X2684">
        <v>2</v>
      </c>
      <c r="Y2684" t="s">
        <v>22470</v>
      </c>
      <c r="Z2684" t="s">
        <v>29014</v>
      </c>
      <c r="AA2684">
        <v>0.55642305219928723</v>
      </c>
      <c r="AB2684" t="str">
        <f>HYPERLINK("Melting_Curves/meltCurve_P48067_2_SLC6A9.pdf", "Melting_Curves/meltCurve_P48067_2_SLC6A9.pdf")</f>
        <v>Melting_Curves/meltCurve_P48067_2_SLC6A9.pdf</v>
      </c>
    </row>
    <row r="2685" spans="1:28" x14ac:dyDescent="0.25">
      <c r="A2685" t="s">
        <v>2689</v>
      </c>
      <c r="B2685">
        <v>0.99252571173614901</v>
      </c>
      <c r="C2685">
        <v>0.94654043446594904</v>
      </c>
      <c r="D2685">
        <v>0.37846863292031202</v>
      </c>
      <c r="E2685">
        <v>0.16840272120188199</v>
      </c>
      <c r="F2685">
        <v>0.100478155283315</v>
      </c>
      <c r="G2685">
        <v>5.5094908981637901E-2</v>
      </c>
      <c r="H2685">
        <v>3.9313178315920301E-2</v>
      </c>
      <c r="I2685">
        <v>3.7567216612161801E-2</v>
      </c>
      <c r="J2685">
        <v>4.4091227697116701E-2</v>
      </c>
      <c r="K2685">
        <v>4.1097902051127802E-2</v>
      </c>
      <c r="L2685">
        <v>1856.8294078235299</v>
      </c>
      <c r="M2685">
        <v>40.950445556004702</v>
      </c>
      <c r="N2685">
        <v>45.493968524649603</v>
      </c>
      <c r="O2685">
        <v>45.235606249060702</v>
      </c>
      <c r="P2685">
        <v>-0.21196878765648899</v>
      </c>
      <c r="Q2685">
        <v>6.3402959691731903E-2</v>
      </c>
      <c r="R2685">
        <v>0.99163221649169198</v>
      </c>
      <c r="S2685" t="s">
        <v>9331</v>
      </c>
      <c r="T2685" t="s">
        <v>13290</v>
      </c>
      <c r="U2685" t="s">
        <v>13290</v>
      </c>
      <c r="V2685" t="s">
        <v>13290</v>
      </c>
      <c r="W2685" t="s">
        <v>15936</v>
      </c>
      <c r="X2685">
        <v>49</v>
      </c>
      <c r="Y2685" t="s">
        <v>22471</v>
      </c>
      <c r="Z2685" t="s">
        <v>29015</v>
      </c>
      <c r="AA2685">
        <v>0.23312997826431961</v>
      </c>
      <c r="AB2685" t="str">
        <f>HYPERLINK("Melting_Curves/meltCurve_P48147_PREP.pdf", "Melting_Curves/meltCurve_P48147_PREP.pdf")</f>
        <v>Melting_Curves/meltCurve_P48147_PREP.pdf</v>
      </c>
    </row>
    <row r="2686" spans="1:28" x14ac:dyDescent="0.25">
      <c r="A2686" t="s">
        <v>2690</v>
      </c>
      <c r="B2686">
        <v>0.99252571173614901</v>
      </c>
      <c r="C2686">
        <v>0.90227611430426302</v>
      </c>
      <c r="D2686">
        <v>1.14597414852187</v>
      </c>
      <c r="E2686">
        <v>1.3433763382314099</v>
      </c>
      <c r="F2686">
        <v>1.01804979861233</v>
      </c>
      <c r="G2686">
        <v>0.91427159206057096</v>
      </c>
      <c r="H2686">
        <v>0.345180868692187</v>
      </c>
      <c r="I2686">
        <v>0.16909695362963401</v>
      </c>
      <c r="J2686">
        <v>0.124627283572652</v>
      </c>
      <c r="K2686">
        <v>9.9572694686465998E-2</v>
      </c>
      <c r="L2686">
        <v>2786.0644089430698</v>
      </c>
      <c r="M2686">
        <v>46.850371701082402</v>
      </c>
      <c r="N2686">
        <v>59.810090026865801</v>
      </c>
      <c r="O2686">
        <v>59.359243098025701</v>
      </c>
      <c r="P2686">
        <v>-0.174083768690562</v>
      </c>
      <c r="Q2686">
        <v>0.117747087514078</v>
      </c>
      <c r="R2686">
        <v>0.92436791912167304</v>
      </c>
      <c r="S2686" t="s">
        <v>9332</v>
      </c>
      <c r="T2686" t="s">
        <v>13290</v>
      </c>
      <c r="U2686" t="s">
        <v>13290</v>
      </c>
      <c r="V2686" t="s">
        <v>13290</v>
      </c>
      <c r="W2686" t="s">
        <v>15937</v>
      </c>
      <c r="X2686">
        <v>29</v>
      </c>
      <c r="Y2686" t="s">
        <v>22472</v>
      </c>
      <c r="Z2686" t="s">
        <v>29016</v>
      </c>
      <c r="AA2686">
        <v>0.69284002635788311</v>
      </c>
      <c r="AB2686" t="str">
        <f>HYPERLINK("Melting_Curves/meltCurve_P48163_ME1.pdf", "Melting_Curves/meltCurve_P48163_ME1.pdf")</f>
        <v>Melting_Curves/meltCurve_P48163_ME1.pdf</v>
      </c>
    </row>
    <row r="2687" spans="1:28" x14ac:dyDescent="0.25">
      <c r="A2687" t="s">
        <v>2691</v>
      </c>
      <c r="B2687">
        <v>0.99252571173614901</v>
      </c>
      <c r="C2687">
        <v>1.02182573528087</v>
      </c>
      <c r="D2687">
        <v>0.85588549988902296</v>
      </c>
      <c r="E2687">
        <v>0.36905496091476098</v>
      </c>
      <c r="F2687">
        <v>0.17683788913338899</v>
      </c>
      <c r="G2687">
        <v>0.111488350510679</v>
      </c>
      <c r="H2687">
        <v>8.7179878663460303E-2</v>
      </c>
      <c r="I2687">
        <v>8.3532253086926606E-2</v>
      </c>
      <c r="J2687">
        <v>9.6139560306724797E-2</v>
      </c>
      <c r="K2687">
        <v>9.2941295350807002E-2</v>
      </c>
      <c r="L2687">
        <v>1539.39010969123</v>
      </c>
      <c r="M2687">
        <v>31.8173250626735</v>
      </c>
      <c r="N2687">
        <v>48.712026845407799</v>
      </c>
      <c r="O2687">
        <v>48.192229501156298</v>
      </c>
      <c r="P2687">
        <v>-0.149057771106024</v>
      </c>
      <c r="Q2687">
        <v>9.6921299638795602E-2</v>
      </c>
      <c r="R2687">
        <v>0.99798829092236296</v>
      </c>
      <c r="S2687" t="s">
        <v>9333</v>
      </c>
      <c r="T2687" t="s">
        <v>13290</v>
      </c>
      <c r="U2687" t="s">
        <v>13290</v>
      </c>
      <c r="V2687" t="s">
        <v>13290</v>
      </c>
      <c r="W2687" t="s">
        <v>15938</v>
      </c>
      <c r="X2687">
        <v>12</v>
      </c>
      <c r="Y2687" t="s">
        <v>22473</v>
      </c>
      <c r="Z2687" t="s">
        <v>29017</v>
      </c>
      <c r="AA2687">
        <v>0.35407742084671801</v>
      </c>
      <c r="AB2687" t="str">
        <f>HYPERLINK("Melting_Curves/meltCurve_P48200_IREB2.pdf", "Melting_Curves/meltCurve_P48200_IREB2.pdf")</f>
        <v>Melting_Curves/meltCurve_P48200_IREB2.pdf</v>
      </c>
    </row>
    <row r="2688" spans="1:28" x14ac:dyDescent="0.25">
      <c r="A2688" t="s">
        <v>2692</v>
      </c>
      <c r="B2688">
        <v>0.99252571173614901</v>
      </c>
      <c r="C2688">
        <v>1.02275309868742</v>
      </c>
      <c r="D2688">
        <v>0.88938216019044802</v>
      </c>
      <c r="E2688">
        <v>0.80864480163480601</v>
      </c>
      <c r="F2688">
        <v>0.53302909506569596</v>
      </c>
      <c r="G2688">
        <v>0.40112768828700301</v>
      </c>
      <c r="H2688">
        <v>0.34186122142175301</v>
      </c>
      <c r="I2688">
        <v>0.41812365802471102</v>
      </c>
      <c r="J2688">
        <v>0.65275666890748896</v>
      </c>
      <c r="K2688">
        <v>1.1442127888800999</v>
      </c>
      <c r="L2688">
        <v>12408.427337871801</v>
      </c>
      <c r="M2688">
        <v>250</v>
      </c>
      <c r="O2688">
        <v>49.630533117376103</v>
      </c>
      <c r="P2688">
        <v>-0.52657623626817995</v>
      </c>
      <c r="Q2688">
        <v>0.58185185111330195</v>
      </c>
      <c r="R2688">
        <v>0.40144056608696199</v>
      </c>
      <c r="S2688" t="s">
        <v>9334</v>
      </c>
      <c r="T2688" t="s">
        <v>13290</v>
      </c>
      <c r="U2688" t="s">
        <v>13290</v>
      </c>
      <c r="V2688" t="s">
        <v>13290</v>
      </c>
      <c r="W2688" t="s">
        <v>15939</v>
      </c>
      <c r="X2688">
        <v>7</v>
      </c>
      <c r="Y2688" t="s">
        <v>22474</v>
      </c>
      <c r="Z2688" t="s">
        <v>29018</v>
      </c>
      <c r="AA2688">
        <v>0.71616553222919299</v>
      </c>
      <c r="AB2688" t="str">
        <f>HYPERLINK("Melting_Curves/meltCurve_P48431_SOX2.pdf", "Melting_Curves/meltCurve_P48431_SOX2.pdf")</f>
        <v>Melting_Curves/meltCurve_P48431_SOX2.pdf</v>
      </c>
    </row>
    <row r="2689" spans="1:28" x14ac:dyDescent="0.25">
      <c r="A2689" t="s">
        <v>2693</v>
      </c>
      <c r="B2689">
        <v>0.99252571173614901</v>
      </c>
      <c r="C2689">
        <v>1.03326988369394</v>
      </c>
      <c r="D2689">
        <v>0.85977251459198101</v>
      </c>
      <c r="E2689">
        <v>0.68359589706882096</v>
      </c>
      <c r="F2689">
        <v>0.50425753440991405</v>
      </c>
      <c r="G2689">
        <v>0.362981483152236</v>
      </c>
      <c r="H2689">
        <v>0.33175045877523501</v>
      </c>
      <c r="I2689">
        <v>0.42671377075336298</v>
      </c>
      <c r="J2689">
        <v>0.69744711584895702</v>
      </c>
      <c r="K2689">
        <v>0.79079181197316295</v>
      </c>
      <c r="L2689">
        <v>1488.8591975314901</v>
      </c>
      <c r="M2689">
        <v>31.085242505533898</v>
      </c>
      <c r="O2689">
        <v>47.699114075587303</v>
      </c>
      <c r="P2689">
        <v>-7.8317880826857297E-2</v>
      </c>
      <c r="Q2689">
        <v>0.51929967073476802</v>
      </c>
      <c r="R2689">
        <v>0.68870709525699503</v>
      </c>
      <c r="S2689" t="s">
        <v>9335</v>
      </c>
      <c r="T2689" t="s">
        <v>13290</v>
      </c>
      <c r="U2689" t="s">
        <v>13290</v>
      </c>
      <c r="V2689" t="s">
        <v>13290</v>
      </c>
      <c r="W2689" t="s">
        <v>15940</v>
      </c>
      <c r="X2689">
        <v>12</v>
      </c>
      <c r="Y2689" t="s">
        <v>22475</v>
      </c>
      <c r="Z2689" t="s">
        <v>29019</v>
      </c>
      <c r="AA2689">
        <v>0.6485039173888284</v>
      </c>
      <c r="AB2689" t="str">
        <f>HYPERLINK("Melting_Curves/meltCurve_P48436_SOX9.pdf", "Melting_Curves/meltCurve_P48436_SOX9.pdf")</f>
        <v>Melting_Curves/meltCurve_P48436_SOX9.pdf</v>
      </c>
    </row>
    <row r="2690" spans="1:28" x14ac:dyDescent="0.25">
      <c r="A2690" t="s">
        <v>2694</v>
      </c>
      <c r="B2690">
        <v>0.99252571173614901</v>
      </c>
      <c r="C2690">
        <v>0.88296362969281295</v>
      </c>
      <c r="D2690">
        <v>1.22619431395195</v>
      </c>
      <c r="E2690">
        <v>1.23129029622953</v>
      </c>
      <c r="F2690">
        <v>0.65959215185484799</v>
      </c>
      <c r="G2690">
        <v>0.23622683399369401</v>
      </c>
      <c r="H2690">
        <v>0.118370104920081</v>
      </c>
      <c r="I2690">
        <v>0.11446268023866001</v>
      </c>
      <c r="J2690">
        <v>0.13285408806242199</v>
      </c>
      <c r="K2690">
        <v>0.118227791404794</v>
      </c>
      <c r="L2690">
        <v>2995.83331353313</v>
      </c>
      <c r="M2690">
        <v>55.772476611955099</v>
      </c>
      <c r="N2690">
        <v>54.017562718018098</v>
      </c>
      <c r="O2690">
        <v>53.646337415871599</v>
      </c>
      <c r="P2690">
        <v>-0.22506473620843301</v>
      </c>
      <c r="Q2690">
        <v>0.13406089493867401</v>
      </c>
      <c r="R2690">
        <v>0.93834054740874795</v>
      </c>
      <c r="S2690" t="s">
        <v>9336</v>
      </c>
      <c r="T2690" t="s">
        <v>13290</v>
      </c>
      <c r="U2690" t="s">
        <v>13290</v>
      </c>
      <c r="V2690" t="s">
        <v>13290</v>
      </c>
      <c r="W2690" t="s">
        <v>15941</v>
      </c>
      <c r="X2690">
        <v>34</v>
      </c>
      <c r="Y2690" t="s">
        <v>22476</v>
      </c>
      <c r="Z2690" t="s">
        <v>29020</v>
      </c>
      <c r="AA2690">
        <v>0.53159410135678997</v>
      </c>
      <c r="AB2690" t="str">
        <f>HYPERLINK("Melting_Curves/meltCurve_P48444_ARCN1.pdf", "Melting_Curves/meltCurve_P48444_ARCN1.pdf")</f>
        <v>Melting_Curves/meltCurve_P48444_ARCN1.pdf</v>
      </c>
    </row>
    <row r="2691" spans="1:28" x14ac:dyDescent="0.25">
      <c r="A2691" t="s">
        <v>2695</v>
      </c>
      <c r="B2691">
        <v>0.99252571173614901</v>
      </c>
      <c r="C2691">
        <v>0.97707202264291304</v>
      </c>
      <c r="D2691">
        <v>0.92262367476237295</v>
      </c>
      <c r="E2691">
        <v>0.86013674698902398</v>
      </c>
      <c r="F2691">
        <v>0.52953206116014595</v>
      </c>
      <c r="G2691">
        <v>0.27981608280789</v>
      </c>
      <c r="H2691">
        <v>0.16390549320002901</v>
      </c>
      <c r="I2691">
        <v>0.109984149757736</v>
      </c>
      <c r="J2691">
        <v>0.101656822594669</v>
      </c>
      <c r="K2691">
        <v>8.5037260100799802E-2</v>
      </c>
      <c r="L2691">
        <v>1083.0007278358601</v>
      </c>
      <c r="M2691">
        <v>20.358191845280199</v>
      </c>
      <c r="N2691">
        <v>53.688901944243099</v>
      </c>
      <c r="O2691">
        <v>52.6919849444905</v>
      </c>
      <c r="P2691">
        <v>-8.8379928438322694E-2</v>
      </c>
      <c r="Q2691">
        <v>8.5032190646136305E-2</v>
      </c>
      <c r="R2691">
        <v>0.99768818211882404</v>
      </c>
      <c r="S2691" t="s">
        <v>9337</v>
      </c>
      <c r="T2691" t="s">
        <v>13290</v>
      </c>
      <c r="U2691" t="s">
        <v>13290</v>
      </c>
      <c r="V2691" t="s">
        <v>13290</v>
      </c>
      <c r="W2691" t="s">
        <v>15942</v>
      </c>
      <c r="X2691">
        <v>41</v>
      </c>
      <c r="Y2691" t="s">
        <v>22477</v>
      </c>
      <c r="Z2691" t="s">
        <v>29021</v>
      </c>
      <c r="AA2691">
        <v>0.49972432907965492</v>
      </c>
      <c r="AB2691" t="str">
        <f>HYPERLINK("Melting_Curves/meltCurve_P48449_LSS.pdf", "Melting_Curves/meltCurve_P48449_LSS.pdf")</f>
        <v>Melting_Curves/meltCurve_P48449_LSS.pdf</v>
      </c>
    </row>
    <row r="2692" spans="1:28" x14ac:dyDescent="0.25">
      <c r="A2692" t="s">
        <v>2696</v>
      </c>
      <c r="B2692">
        <v>0.99252571173614901</v>
      </c>
      <c r="C2692">
        <v>0.93982149280093796</v>
      </c>
      <c r="D2692">
        <v>0.94905476579742098</v>
      </c>
      <c r="E2692">
        <v>0.82688068805867498</v>
      </c>
      <c r="F2692">
        <v>0.638004564147306</v>
      </c>
      <c r="G2692">
        <v>0.27009892565597998</v>
      </c>
      <c r="H2692">
        <v>0.13607918063600999</v>
      </c>
      <c r="I2692">
        <v>0.16817396299673401</v>
      </c>
      <c r="J2692">
        <v>0.103103308634945</v>
      </c>
      <c r="K2692">
        <v>0.138927066223303</v>
      </c>
      <c r="L2692">
        <v>1163.1449104512801</v>
      </c>
      <c r="M2692">
        <v>21.731429022627701</v>
      </c>
      <c r="N2692">
        <v>54.135213066726699</v>
      </c>
      <c r="O2692">
        <v>53.076580137303303</v>
      </c>
      <c r="P2692">
        <v>-9.1219847917321795E-2</v>
      </c>
      <c r="Q2692">
        <v>0.10884386745624899</v>
      </c>
      <c r="R2692">
        <v>0.990445824487867</v>
      </c>
      <c r="S2692" t="s">
        <v>9338</v>
      </c>
      <c r="T2692" t="s">
        <v>13290</v>
      </c>
      <c r="U2692" t="s">
        <v>13290</v>
      </c>
      <c r="V2692" t="s">
        <v>13290</v>
      </c>
      <c r="W2692" t="s">
        <v>15943</v>
      </c>
      <c r="X2692">
        <v>5</v>
      </c>
      <c r="Y2692" t="s">
        <v>22478</v>
      </c>
      <c r="Z2692" t="s">
        <v>29022</v>
      </c>
      <c r="AA2692">
        <v>0.52115351364163731</v>
      </c>
      <c r="AB2692" t="str">
        <f>HYPERLINK("Melting_Curves/meltCurve_P48454_2_PPP3CC.pdf", "Melting_Curves/meltCurve_P48454_2_PPP3CC.pdf")</f>
        <v>Melting_Curves/meltCurve_P48454_2_PPP3CC.pdf</v>
      </c>
    </row>
    <row r="2693" spans="1:28" x14ac:dyDescent="0.25">
      <c r="A2693" t="s">
        <v>2697</v>
      </c>
      <c r="B2693">
        <v>0.99252571173614901</v>
      </c>
      <c r="C2693">
        <v>1.0078502203974899</v>
      </c>
      <c r="D2693">
        <v>0.92847184674442795</v>
      </c>
      <c r="E2693">
        <v>0.767850692345865</v>
      </c>
      <c r="F2693">
        <v>0.24410043155856501</v>
      </c>
      <c r="G2693">
        <v>0.108195942142379</v>
      </c>
      <c r="H2693">
        <v>7.5015929471262704E-2</v>
      </c>
      <c r="I2693">
        <v>6.5839966313985504E-2</v>
      </c>
      <c r="J2693">
        <v>7.6613135113449402E-2</v>
      </c>
      <c r="K2693">
        <v>7.4107438353042301E-2</v>
      </c>
      <c r="L2693">
        <v>1783.7740878035299</v>
      </c>
      <c r="M2693">
        <v>34.938267183984102</v>
      </c>
      <c r="N2693">
        <v>51.284959536965196</v>
      </c>
      <c r="O2693">
        <v>50.888634269252002</v>
      </c>
      <c r="P2693">
        <v>-0.159198059918363</v>
      </c>
      <c r="Q2693">
        <v>7.2496324423794195E-2</v>
      </c>
      <c r="R2693">
        <v>0.998026148956209</v>
      </c>
      <c r="S2693" t="s">
        <v>9339</v>
      </c>
      <c r="T2693" t="s">
        <v>13290</v>
      </c>
      <c r="U2693" t="s">
        <v>13290</v>
      </c>
      <c r="V2693" t="s">
        <v>13290</v>
      </c>
      <c r="W2693" t="s">
        <v>15944</v>
      </c>
      <c r="X2693">
        <v>29</v>
      </c>
      <c r="Y2693" t="s">
        <v>22479</v>
      </c>
      <c r="Z2693" t="s">
        <v>29023</v>
      </c>
      <c r="AA2693">
        <v>0.41858020569170068</v>
      </c>
      <c r="AB2693" t="str">
        <f>HYPERLINK("Melting_Curves/meltCurve_P48506_GCLC.pdf", "Melting_Curves/meltCurve_P48506_GCLC.pdf")</f>
        <v>Melting_Curves/meltCurve_P48506_GCLC.pdf</v>
      </c>
    </row>
    <row r="2694" spans="1:28" x14ac:dyDescent="0.25">
      <c r="A2694" t="s">
        <v>2698</v>
      </c>
      <c r="B2694">
        <v>0.99252571173614901</v>
      </c>
      <c r="C2694">
        <v>1.0239440472630299</v>
      </c>
      <c r="D2694">
        <v>0.879305848017092</v>
      </c>
      <c r="E2694">
        <v>0.54021853335964898</v>
      </c>
      <c r="F2694">
        <v>0.33758759240929198</v>
      </c>
      <c r="G2694">
        <v>0.17764379228698801</v>
      </c>
      <c r="H2694">
        <v>0.135599345873679</v>
      </c>
      <c r="I2694">
        <v>0.12365519644072299</v>
      </c>
      <c r="J2694">
        <v>0.13445980601156801</v>
      </c>
      <c r="K2694">
        <v>9.6091297804407103E-2</v>
      </c>
      <c r="L2694">
        <v>1043.40236400196</v>
      </c>
      <c r="M2694">
        <v>20.952958987518102</v>
      </c>
      <c r="N2694">
        <v>50.4417233693908</v>
      </c>
      <c r="O2694">
        <v>49.3504270726038</v>
      </c>
      <c r="P2694">
        <v>-9.3683606774318806E-2</v>
      </c>
      <c r="Q2694">
        <v>0.117413062764765</v>
      </c>
      <c r="R2694">
        <v>0.99515387960806101</v>
      </c>
      <c r="S2694" t="s">
        <v>9340</v>
      </c>
      <c r="T2694" t="s">
        <v>13290</v>
      </c>
      <c r="U2694" t="s">
        <v>13290</v>
      </c>
      <c r="V2694" t="s">
        <v>13290</v>
      </c>
      <c r="W2694" t="s">
        <v>15945</v>
      </c>
      <c r="X2694">
        <v>11</v>
      </c>
      <c r="Y2694" t="s">
        <v>22480</v>
      </c>
      <c r="Z2694" t="s">
        <v>29024</v>
      </c>
      <c r="AA2694">
        <v>0.41686448774596901</v>
      </c>
      <c r="AB2694" t="str">
        <f>HYPERLINK("Melting_Curves/meltCurve_P48507_GCLM.pdf", "Melting_Curves/meltCurve_P48507_GCLM.pdf")</f>
        <v>Melting_Curves/meltCurve_P48507_GCLM.pdf</v>
      </c>
    </row>
    <row r="2695" spans="1:28" x14ac:dyDescent="0.25">
      <c r="A2695" t="s">
        <v>2699</v>
      </c>
      <c r="B2695">
        <v>0.99252571173614901</v>
      </c>
      <c r="C2695">
        <v>1.00595182826162</v>
      </c>
      <c r="D2695">
        <v>1.0059707577453101</v>
      </c>
      <c r="E2695">
        <v>0.97232774170423697</v>
      </c>
      <c r="F2695">
        <v>0.728126699896397</v>
      </c>
      <c r="G2695">
        <v>0.56017400554651198</v>
      </c>
      <c r="H2695">
        <v>0.55289027179897299</v>
      </c>
      <c r="I2695">
        <v>0.70315237088226201</v>
      </c>
      <c r="J2695">
        <v>1.167561160475</v>
      </c>
      <c r="K2695">
        <v>1.59766398406054</v>
      </c>
      <c r="L2695">
        <v>15000</v>
      </c>
      <c r="M2695">
        <v>222.862459373494</v>
      </c>
      <c r="O2695">
        <v>67.300666981112798</v>
      </c>
      <c r="P2695">
        <v>0.41393063075525199</v>
      </c>
      <c r="Q2695">
        <v>1.5</v>
      </c>
      <c r="R2695">
        <v>0.36467370110531</v>
      </c>
      <c r="S2695" t="s">
        <v>9341</v>
      </c>
      <c r="T2695" t="s">
        <v>13290</v>
      </c>
      <c r="U2695" t="s">
        <v>13290</v>
      </c>
      <c r="V2695" t="s">
        <v>13290</v>
      </c>
      <c r="W2695" t="s">
        <v>15946</v>
      </c>
      <c r="X2695">
        <v>55</v>
      </c>
      <c r="Y2695" t="s">
        <v>22481</v>
      </c>
      <c r="Z2695" t="s">
        <v>29025</v>
      </c>
      <c r="AA2695">
        <v>1.0448252675837779</v>
      </c>
      <c r="AB2695" t="str">
        <f>HYPERLINK("Melting_Curves/meltCurve_P48634_PRRC2A.pdf", "Melting_Curves/meltCurve_P48634_PRRC2A.pdf")</f>
        <v>Melting_Curves/meltCurve_P48634_PRRC2A.pdf</v>
      </c>
    </row>
    <row r="2696" spans="1:28" x14ac:dyDescent="0.25">
      <c r="A2696" t="s">
        <v>2700</v>
      </c>
      <c r="B2696">
        <v>0.99252571173614901</v>
      </c>
      <c r="C2696">
        <v>1.02752546217039</v>
      </c>
      <c r="D2696">
        <v>1.0038266810018599</v>
      </c>
      <c r="E2696">
        <v>0.97782700617308305</v>
      </c>
      <c r="F2696">
        <v>0.92526637273097401</v>
      </c>
      <c r="G2696">
        <v>0.80412273092425701</v>
      </c>
      <c r="H2696">
        <v>0.88372600056509598</v>
      </c>
      <c r="I2696">
        <v>0.57890997967096203</v>
      </c>
      <c r="J2696">
        <v>0.15493976506484999</v>
      </c>
      <c r="K2696">
        <v>0.168040426358748</v>
      </c>
      <c r="L2696">
        <v>2528.4923110483601</v>
      </c>
      <c r="M2696">
        <v>39.532863606962103</v>
      </c>
      <c r="N2696">
        <v>64.310793275949393</v>
      </c>
      <c r="O2696">
        <v>63.796245851748303</v>
      </c>
      <c r="P2696">
        <v>-0.13986494954930301</v>
      </c>
      <c r="Q2696">
        <v>9.7172478046540001E-2</v>
      </c>
      <c r="R2696">
        <v>0.95094751276357703</v>
      </c>
      <c r="S2696" t="s">
        <v>9342</v>
      </c>
      <c r="T2696" t="s">
        <v>13290</v>
      </c>
      <c r="U2696" t="s">
        <v>13290</v>
      </c>
      <c r="V2696" t="s">
        <v>13290</v>
      </c>
      <c r="W2696" t="s">
        <v>15947</v>
      </c>
      <c r="X2696">
        <v>47</v>
      </c>
      <c r="Y2696" t="s">
        <v>22482</v>
      </c>
      <c r="Z2696" t="s">
        <v>29026</v>
      </c>
      <c r="AA2696">
        <v>0.82028798079618448</v>
      </c>
      <c r="AB2696" t="str">
        <f>HYPERLINK("Melting_Curves/meltCurve_P48637_GSS.pdf", "Melting_Curves/meltCurve_P48637_GSS.pdf")</f>
        <v>Melting_Curves/meltCurve_P48637_GSS.pdf</v>
      </c>
    </row>
    <row r="2697" spans="1:28" x14ac:dyDescent="0.25">
      <c r="A2697" t="s">
        <v>2701</v>
      </c>
      <c r="B2697">
        <v>0.99252571173614901</v>
      </c>
      <c r="C2697">
        <v>1.0889318239380401</v>
      </c>
      <c r="D2697">
        <v>1.05666710672888</v>
      </c>
      <c r="E2697">
        <v>1.02842786580511</v>
      </c>
      <c r="F2697">
        <v>1.12719280270971</v>
      </c>
      <c r="G2697">
        <v>1.1842405440197901</v>
      </c>
      <c r="H2697">
        <v>1.0843997191113599</v>
      </c>
      <c r="I2697">
        <v>0.387274379311704</v>
      </c>
      <c r="J2697">
        <v>0.15935074661295201</v>
      </c>
      <c r="K2697">
        <v>0.15571351405440201</v>
      </c>
      <c r="L2697">
        <v>15000</v>
      </c>
      <c r="M2697">
        <v>235.355909462829</v>
      </c>
      <c r="N2697">
        <v>63.835921606342303</v>
      </c>
      <c r="O2697">
        <v>63.728664158944703</v>
      </c>
      <c r="P2697">
        <v>-0.77783231166133104</v>
      </c>
      <c r="Q2697">
        <v>0.15752764959000301</v>
      </c>
      <c r="R2697">
        <v>0.95570329563523404</v>
      </c>
      <c r="S2697" t="s">
        <v>9343</v>
      </c>
      <c r="T2697" t="s">
        <v>13290</v>
      </c>
      <c r="U2697" t="s">
        <v>13290</v>
      </c>
      <c r="V2697" t="s">
        <v>13290</v>
      </c>
      <c r="W2697" t="s">
        <v>15948</v>
      </c>
      <c r="X2697">
        <v>47</v>
      </c>
      <c r="Y2697" t="s">
        <v>22483</v>
      </c>
      <c r="Z2697" t="s">
        <v>29027</v>
      </c>
      <c r="AA2697">
        <v>0.82412122799659326</v>
      </c>
      <c r="AB2697" t="str">
        <f>HYPERLINK("Melting_Curves/meltCurve_P48643_CCT5.pdf", "Melting_Curves/meltCurve_P48643_CCT5.pdf")</f>
        <v>Melting_Curves/meltCurve_P48643_CCT5.pdf</v>
      </c>
    </row>
    <row r="2698" spans="1:28" x14ac:dyDescent="0.25">
      <c r="A2698" t="s">
        <v>2702</v>
      </c>
      <c r="B2698">
        <v>0.99252571173614901</v>
      </c>
      <c r="C2698">
        <v>0.90365737761535303</v>
      </c>
      <c r="D2698">
        <v>0.98963288325596799</v>
      </c>
      <c r="E2698">
        <v>0.895875779705257</v>
      </c>
      <c r="F2698">
        <v>0.30264199471926301</v>
      </c>
      <c r="G2698">
        <v>0.117222588482159</v>
      </c>
      <c r="H2698">
        <v>5.9028374172918403E-2</v>
      </c>
      <c r="I2698">
        <v>6.8666733834867502E-2</v>
      </c>
      <c r="J2698">
        <v>9.9775212243514599E-2</v>
      </c>
      <c r="K2698">
        <v>8.7960567550213406E-2</v>
      </c>
      <c r="L2698">
        <v>2314.2093245834999</v>
      </c>
      <c r="M2698">
        <v>44.633102841493098</v>
      </c>
      <c r="N2698">
        <v>52.058788901620602</v>
      </c>
      <c r="O2698">
        <v>51.7458552877466</v>
      </c>
      <c r="P2698">
        <v>-0.197935493836914</v>
      </c>
      <c r="Q2698">
        <v>8.2086878015393105E-2</v>
      </c>
      <c r="R2698">
        <v>0.99355269804630897</v>
      </c>
      <c r="S2698" t="s">
        <v>9344</v>
      </c>
      <c r="T2698" t="s">
        <v>13290</v>
      </c>
      <c r="U2698" t="s">
        <v>13290</v>
      </c>
      <c r="V2698" t="s">
        <v>13290</v>
      </c>
      <c r="W2698" t="s">
        <v>15949</v>
      </c>
      <c r="X2698">
        <v>2</v>
      </c>
      <c r="Y2698" t="s">
        <v>22484</v>
      </c>
      <c r="Z2698" t="s">
        <v>29028</v>
      </c>
      <c r="AA2698">
        <v>0.44728865239187299</v>
      </c>
      <c r="AB2698" t="str">
        <f>HYPERLINK("Melting_Curves/meltCurve_P48651_PTDSS1.pdf", "Melting_Curves/meltCurve_P48651_PTDSS1.pdf")</f>
        <v>Melting_Curves/meltCurve_P48651_PTDSS1.pdf</v>
      </c>
    </row>
    <row r="2699" spans="1:28" x14ac:dyDescent="0.25">
      <c r="A2699" t="s">
        <v>2703</v>
      </c>
      <c r="B2699">
        <v>0.99252571173614901</v>
      </c>
      <c r="C2699">
        <v>0.90594182440444904</v>
      </c>
      <c r="D2699">
        <v>0.74320696315865198</v>
      </c>
      <c r="E2699">
        <v>0.61842700325441302</v>
      </c>
      <c r="F2699">
        <v>0.32526623039345798</v>
      </c>
      <c r="G2699">
        <v>0.12929289303064401</v>
      </c>
      <c r="H2699">
        <v>0.11204442496757699</v>
      </c>
      <c r="I2699">
        <v>0.13573636192855401</v>
      </c>
      <c r="J2699">
        <v>0.17373142500924799</v>
      </c>
      <c r="K2699">
        <v>0.15020797402300401</v>
      </c>
      <c r="L2699">
        <v>809.191759136256</v>
      </c>
      <c r="M2699">
        <v>16.3758360991941</v>
      </c>
      <c r="N2699">
        <v>50.1959426309176</v>
      </c>
      <c r="O2699">
        <v>48.694525150907097</v>
      </c>
      <c r="P2699">
        <v>-7.4612088425387205E-2</v>
      </c>
      <c r="Q2699">
        <v>0.112609561834439</v>
      </c>
      <c r="R2699">
        <v>0.98158634316215199</v>
      </c>
      <c r="S2699" t="s">
        <v>9345</v>
      </c>
      <c r="T2699" t="s">
        <v>13290</v>
      </c>
      <c r="U2699" t="s">
        <v>13290</v>
      </c>
      <c r="V2699" t="s">
        <v>13290</v>
      </c>
      <c r="W2699" t="s">
        <v>15950</v>
      </c>
      <c r="X2699">
        <v>9</v>
      </c>
      <c r="Y2699" t="s">
        <v>22485</v>
      </c>
      <c r="Z2699" t="s">
        <v>29029</v>
      </c>
      <c r="AA2699">
        <v>0.40937956874631137</v>
      </c>
      <c r="AB2699" t="str">
        <f>HYPERLINK("Melting_Curves/meltCurve_P48723_HSPA13.pdf", "Melting_Curves/meltCurve_P48723_HSPA13.pdf")</f>
        <v>Melting_Curves/meltCurve_P48723_HSPA13.pdf</v>
      </c>
    </row>
    <row r="2700" spans="1:28" x14ac:dyDescent="0.25">
      <c r="A2700" t="s">
        <v>2704</v>
      </c>
      <c r="B2700">
        <v>0.99252571173614901</v>
      </c>
      <c r="C2700">
        <v>1.06454298861834</v>
      </c>
      <c r="D2700">
        <v>0.91746215002245901</v>
      </c>
      <c r="E2700">
        <v>0.81359127698654499</v>
      </c>
      <c r="F2700">
        <v>0.25592318061971803</v>
      </c>
      <c r="G2700">
        <v>9.4498650358106007E-2</v>
      </c>
      <c r="H2700">
        <v>6.3786187532566194E-2</v>
      </c>
      <c r="I2700">
        <v>6.4655678288885396E-2</v>
      </c>
      <c r="J2700">
        <v>7.7836894325051406E-2</v>
      </c>
      <c r="K2700">
        <v>7.9509353482805897E-2</v>
      </c>
      <c r="L2700">
        <v>1955.41256466916</v>
      </c>
      <c r="M2700">
        <v>38.107636945501199</v>
      </c>
      <c r="N2700">
        <v>51.517622752316903</v>
      </c>
      <c r="O2700">
        <v>51.172185156481703</v>
      </c>
      <c r="P2700">
        <v>-0.17309173937518199</v>
      </c>
      <c r="Q2700">
        <v>7.0269265773607203E-2</v>
      </c>
      <c r="R2700">
        <v>0.99445147700650505</v>
      </c>
      <c r="S2700" t="s">
        <v>9346</v>
      </c>
      <c r="T2700" t="s">
        <v>13290</v>
      </c>
      <c r="U2700" t="s">
        <v>13290</v>
      </c>
      <c r="V2700" t="s">
        <v>13290</v>
      </c>
      <c r="W2700" t="s">
        <v>15951</v>
      </c>
      <c r="X2700">
        <v>15</v>
      </c>
      <c r="Y2700" t="s">
        <v>22486</v>
      </c>
      <c r="Z2700" t="s">
        <v>29030</v>
      </c>
      <c r="AA2700">
        <v>0.42450193306486422</v>
      </c>
      <c r="AB2700" t="str">
        <f>HYPERLINK("Melting_Curves/meltCurve_P48728_AMT.pdf", "Melting_Curves/meltCurve_P48728_AMT.pdf")</f>
        <v>Melting_Curves/meltCurve_P48728_AMT.pdf</v>
      </c>
    </row>
    <row r="2701" spans="1:28" x14ac:dyDescent="0.25">
      <c r="A2701" t="s">
        <v>2705</v>
      </c>
      <c r="B2701">
        <v>0.99252571173614901</v>
      </c>
      <c r="C2701">
        <v>0.994699430744031</v>
      </c>
      <c r="D2701">
        <v>0.93909428273713902</v>
      </c>
      <c r="E2701">
        <v>0.87423720937789895</v>
      </c>
      <c r="F2701">
        <v>0.62366787825885595</v>
      </c>
      <c r="G2701">
        <v>0.17649830318547099</v>
      </c>
      <c r="H2701">
        <v>6.6546878573290405E-2</v>
      </c>
      <c r="I2701">
        <v>5.9537421145961701E-2</v>
      </c>
      <c r="J2701">
        <v>8.0389286337351998E-2</v>
      </c>
      <c r="K2701">
        <v>8.1520969091842199E-2</v>
      </c>
      <c r="L2701">
        <v>1610.1469798442999</v>
      </c>
      <c r="M2701">
        <v>30.0169443012885</v>
      </c>
      <c r="N2701">
        <v>53.866706163978201</v>
      </c>
      <c r="O2701">
        <v>53.404880166447001</v>
      </c>
      <c r="P2701">
        <v>-0.13222255723686099</v>
      </c>
      <c r="Q2701">
        <v>5.90269610906662E-2</v>
      </c>
      <c r="R2701">
        <v>0.99452113610794202</v>
      </c>
      <c r="S2701" t="s">
        <v>9347</v>
      </c>
      <c r="T2701" t="s">
        <v>13290</v>
      </c>
      <c r="U2701" t="s">
        <v>13290</v>
      </c>
      <c r="V2701" t="s">
        <v>13290</v>
      </c>
      <c r="W2701" t="s">
        <v>13699</v>
      </c>
      <c r="X2701">
        <v>14</v>
      </c>
      <c r="Y2701" t="s">
        <v>20287</v>
      </c>
      <c r="Z2701" t="s">
        <v>29031</v>
      </c>
      <c r="AA2701">
        <v>0.49304351863716073</v>
      </c>
      <c r="AB2701" t="str">
        <f>HYPERLINK("Melting_Curves/meltCurve_P48729_CSNK1A1.pdf", "Melting_Curves/meltCurve_P48729_CSNK1A1.pdf")</f>
        <v>Melting_Curves/meltCurve_P48729_CSNK1A1.pdf</v>
      </c>
    </row>
    <row r="2702" spans="1:28" x14ac:dyDescent="0.25">
      <c r="A2702" t="s">
        <v>2706</v>
      </c>
      <c r="B2702">
        <v>0.99252571173614901</v>
      </c>
      <c r="C2702">
        <v>1.0189900960000899</v>
      </c>
      <c r="D2702">
        <v>0.95039225572953001</v>
      </c>
      <c r="E2702">
        <v>0.90170046286872396</v>
      </c>
      <c r="F2702">
        <v>0.43509446872198398</v>
      </c>
      <c r="G2702">
        <v>0.17398677136346999</v>
      </c>
      <c r="H2702">
        <v>0.121352039712667</v>
      </c>
      <c r="I2702">
        <v>0.122452007089351</v>
      </c>
      <c r="J2702">
        <v>0.135710999635241</v>
      </c>
      <c r="K2702">
        <v>0.145059743031236</v>
      </c>
      <c r="L2702">
        <v>1927.4717801382601</v>
      </c>
      <c r="M2702">
        <v>36.844118533551999</v>
      </c>
      <c r="N2702">
        <v>52.743209899746802</v>
      </c>
      <c r="O2702">
        <v>52.160836246844902</v>
      </c>
      <c r="P2702">
        <v>-0.15372697107288899</v>
      </c>
      <c r="Q2702">
        <v>0.12946711938144201</v>
      </c>
      <c r="R2702">
        <v>0.99810418431111003</v>
      </c>
      <c r="S2702" t="s">
        <v>9348</v>
      </c>
      <c r="T2702" t="s">
        <v>13290</v>
      </c>
      <c r="U2702" t="s">
        <v>13290</v>
      </c>
      <c r="V2702" t="s">
        <v>13290</v>
      </c>
      <c r="W2702" t="s">
        <v>15952</v>
      </c>
      <c r="X2702">
        <v>9</v>
      </c>
      <c r="Y2702" t="s">
        <v>22487</v>
      </c>
      <c r="Z2702" t="s">
        <v>29032</v>
      </c>
      <c r="AA2702">
        <v>0.49050894912337478</v>
      </c>
      <c r="AB2702" t="str">
        <f>HYPERLINK("Melting_Curves/meltCurve_P48730_2_CSNK1D.pdf", "Melting_Curves/meltCurve_P48730_2_CSNK1D.pdf")</f>
        <v>Melting_Curves/meltCurve_P48730_2_CSNK1D.pdf</v>
      </c>
    </row>
    <row r="2703" spans="1:28" x14ac:dyDescent="0.25">
      <c r="A2703" t="s">
        <v>2707</v>
      </c>
      <c r="B2703">
        <v>0.99252571173614901</v>
      </c>
      <c r="C2703">
        <v>0.94359026182815398</v>
      </c>
      <c r="D2703">
        <v>0.90825378321098105</v>
      </c>
      <c r="E2703">
        <v>0.82359123123759603</v>
      </c>
      <c r="F2703">
        <v>0.44130511799674899</v>
      </c>
      <c r="G2703">
        <v>8.9509910705881698E-2</v>
      </c>
      <c r="H2703">
        <v>5.6431508762988802E-2</v>
      </c>
      <c r="I2703">
        <v>4.9364954260364399E-2</v>
      </c>
      <c r="J2703">
        <v>5.5691094151030497E-2</v>
      </c>
      <c r="K2703">
        <v>5.46715554882529E-2</v>
      </c>
      <c r="L2703">
        <v>1427.35762715483</v>
      </c>
      <c r="M2703">
        <v>27.276703117063001</v>
      </c>
      <c r="N2703">
        <v>52.484391997249404</v>
      </c>
      <c r="O2703">
        <v>52.0499811054001</v>
      </c>
      <c r="P2703">
        <v>-0.125925180306449</v>
      </c>
      <c r="Q2703">
        <v>3.8836766226299002E-2</v>
      </c>
      <c r="R2703">
        <v>0.99298552523602102</v>
      </c>
      <c r="S2703" t="s">
        <v>9349</v>
      </c>
      <c r="T2703" t="s">
        <v>13290</v>
      </c>
      <c r="U2703" t="s">
        <v>13290</v>
      </c>
      <c r="V2703" t="s">
        <v>13290</v>
      </c>
      <c r="W2703" t="s">
        <v>15953</v>
      </c>
      <c r="X2703">
        <v>42</v>
      </c>
      <c r="Y2703" t="s">
        <v>22488</v>
      </c>
      <c r="Z2703" t="s">
        <v>29033</v>
      </c>
      <c r="AA2703">
        <v>0.44127639746895309</v>
      </c>
      <c r="AB2703" t="str">
        <f>HYPERLINK("Melting_Curves/meltCurve_P48735_IDH2.pdf", "Melting_Curves/meltCurve_P48735_IDH2.pdf")</f>
        <v>Melting_Curves/meltCurve_P48735_IDH2.pdf</v>
      </c>
    </row>
    <row r="2704" spans="1:28" x14ac:dyDescent="0.25">
      <c r="A2704" t="s">
        <v>2708</v>
      </c>
      <c r="B2704">
        <v>0.99252571173614901</v>
      </c>
      <c r="C2704">
        <v>1.2358772815129999</v>
      </c>
      <c r="D2704">
        <v>0.66782279031184</v>
      </c>
      <c r="E2704">
        <v>0.74303090164026597</v>
      </c>
      <c r="F2704">
        <v>0.44816331699481199</v>
      </c>
      <c r="G2704">
        <v>0.14804230492391299</v>
      </c>
      <c r="H2704">
        <v>6.8560067562059707E-2</v>
      </c>
      <c r="I2704">
        <v>7.0338724706922498E-2</v>
      </c>
      <c r="J2704">
        <v>8.4259065030340904E-2</v>
      </c>
      <c r="K2704">
        <v>7.7928119288688702E-2</v>
      </c>
      <c r="L2704">
        <v>888.19972526119204</v>
      </c>
      <c r="M2704">
        <v>17.203310337101399</v>
      </c>
      <c r="N2704">
        <v>51.880593549443802</v>
      </c>
      <c r="O2704">
        <v>50.9470983064693</v>
      </c>
      <c r="P2704">
        <v>-8.1051336673023902E-2</v>
      </c>
      <c r="Q2704">
        <v>3.9932006306970101E-2</v>
      </c>
      <c r="R2704">
        <v>0.92117078168067101</v>
      </c>
      <c r="S2704" t="s">
        <v>9350</v>
      </c>
      <c r="T2704" t="s">
        <v>13290</v>
      </c>
      <c r="U2704" t="s">
        <v>13290</v>
      </c>
      <c r="V2704" t="s">
        <v>13290</v>
      </c>
      <c r="W2704" t="s">
        <v>15954</v>
      </c>
      <c r="X2704">
        <v>22</v>
      </c>
      <c r="Y2704" t="s">
        <v>22489</v>
      </c>
      <c r="Z2704" t="s">
        <v>29034</v>
      </c>
      <c r="AA2704">
        <v>0.42946231410569657</v>
      </c>
      <c r="AB2704" t="str">
        <f>HYPERLINK("Melting_Curves/meltCurve_P48739_PITPNB.pdf", "Melting_Curves/meltCurve_P48739_PITPNB.pdf")</f>
        <v>Melting_Curves/meltCurve_P48739_PITPNB.pdf</v>
      </c>
    </row>
    <row r="2705" spans="1:28" x14ac:dyDescent="0.25">
      <c r="A2705" t="s">
        <v>2709</v>
      </c>
      <c r="B2705">
        <v>0.99252571173614901</v>
      </c>
      <c r="C2705">
        <v>0.95071617327897795</v>
      </c>
      <c r="D2705">
        <v>0.88453287664422797</v>
      </c>
      <c r="E2705">
        <v>0.86779897764904901</v>
      </c>
      <c r="F2705">
        <v>0.69351958299531002</v>
      </c>
      <c r="G2705">
        <v>0.53926021466516905</v>
      </c>
      <c r="H2705">
        <v>0.44174118756309</v>
      </c>
      <c r="I2705">
        <v>0.60619025164670204</v>
      </c>
      <c r="J2705">
        <v>0.97818418256528405</v>
      </c>
      <c r="K2705">
        <v>0.95936653833783203</v>
      </c>
      <c r="L2705">
        <v>1168.869561836</v>
      </c>
      <c r="M2705">
        <v>24.461209251442099</v>
      </c>
      <c r="O2705">
        <v>47.4686911006633</v>
      </c>
      <c r="P2705">
        <v>-3.7839467258699001E-2</v>
      </c>
      <c r="Q2705">
        <v>0.70628375425503698</v>
      </c>
      <c r="R2705">
        <v>0.30891031374072703</v>
      </c>
      <c r="S2705" t="s">
        <v>9351</v>
      </c>
      <c r="T2705" t="s">
        <v>13290</v>
      </c>
      <c r="U2705" t="s">
        <v>13290</v>
      </c>
      <c r="V2705" t="s">
        <v>13290</v>
      </c>
      <c r="W2705" t="s">
        <v>15955</v>
      </c>
      <c r="X2705">
        <v>13</v>
      </c>
      <c r="Y2705" t="s">
        <v>22490</v>
      </c>
      <c r="Z2705" t="s">
        <v>29035</v>
      </c>
      <c r="AA2705">
        <v>0.78522159017172011</v>
      </c>
      <c r="AB2705" t="str">
        <f>HYPERLINK("Melting_Curves/meltCurve_P48960_2_CD97.pdf", "Melting_Curves/meltCurve_P48960_2_CD97.pdf")</f>
        <v>Melting_Curves/meltCurve_P48960_2_CD97.pdf</v>
      </c>
    </row>
    <row r="2706" spans="1:28" x14ac:dyDescent="0.25">
      <c r="A2706" t="s">
        <v>2710</v>
      </c>
      <c r="B2706">
        <v>0.99252571173614901</v>
      </c>
      <c r="C2706">
        <v>0.97504817476119099</v>
      </c>
      <c r="D2706">
        <v>0.92799911482087705</v>
      </c>
      <c r="E2706">
        <v>0.52627354453472597</v>
      </c>
      <c r="F2706">
        <v>0.343657354484944</v>
      </c>
      <c r="G2706">
        <v>0.21909815717640699</v>
      </c>
      <c r="H2706">
        <v>0.13066738487231699</v>
      </c>
      <c r="I2706">
        <v>0.11374349174123299</v>
      </c>
      <c r="J2706">
        <v>0.124937301279282</v>
      </c>
      <c r="K2706">
        <v>0.11725168740705599</v>
      </c>
      <c r="L2706">
        <v>1041.9124556592601</v>
      </c>
      <c r="M2706">
        <v>20.8946315413883</v>
      </c>
      <c r="N2706">
        <v>50.545759408747102</v>
      </c>
      <c r="O2706">
        <v>49.4150610966066</v>
      </c>
      <c r="P2706">
        <v>-9.2749394683108402E-2</v>
      </c>
      <c r="Q2706">
        <v>0.122627756910502</v>
      </c>
      <c r="R2706">
        <v>0.99259227240827497</v>
      </c>
      <c r="S2706" t="s">
        <v>9352</v>
      </c>
      <c r="T2706" t="s">
        <v>13290</v>
      </c>
      <c r="U2706" t="s">
        <v>13290</v>
      </c>
      <c r="V2706" t="s">
        <v>13290</v>
      </c>
      <c r="W2706" t="s">
        <v>15956</v>
      </c>
      <c r="X2706">
        <v>12</v>
      </c>
      <c r="Y2706" t="s">
        <v>22491</v>
      </c>
      <c r="Z2706" t="s">
        <v>29036</v>
      </c>
      <c r="AA2706">
        <v>0.42235094625157832</v>
      </c>
      <c r="AB2706" t="str">
        <f>HYPERLINK("Melting_Curves/meltCurve_P49005_POLD2.pdf", "Melting_Curves/meltCurve_P49005_POLD2.pdf")</f>
        <v>Melting_Curves/meltCurve_P49005_POLD2.pdf</v>
      </c>
    </row>
    <row r="2707" spans="1:28" x14ac:dyDescent="0.25">
      <c r="A2707" t="s">
        <v>2711</v>
      </c>
      <c r="B2707">
        <v>0.99252571173614901</v>
      </c>
      <c r="C2707">
        <v>1.00125567415255</v>
      </c>
      <c r="D2707">
        <v>0.96006064525874601</v>
      </c>
      <c r="E2707">
        <v>0.88374964646129694</v>
      </c>
      <c r="F2707">
        <v>0.84467740850332595</v>
      </c>
      <c r="G2707">
        <v>0.80911456606765897</v>
      </c>
      <c r="H2707">
        <v>0.87934247507857599</v>
      </c>
      <c r="I2707">
        <v>1.3204112446135401</v>
      </c>
      <c r="J2707">
        <v>2.4351599012571499</v>
      </c>
      <c r="K2707">
        <v>2.22586235928103</v>
      </c>
      <c r="L2707">
        <v>15000</v>
      </c>
      <c r="M2707">
        <v>234.954292483888</v>
      </c>
      <c r="O2707">
        <v>63.837579173550203</v>
      </c>
      <c r="P2707">
        <v>0.46006266216666902</v>
      </c>
      <c r="Q2707">
        <v>1.5</v>
      </c>
      <c r="R2707">
        <v>0.534150930234219</v>
      </c>
      <c r="S2707" t="s">
        <v>9353</v>
      </c>
      <c r="T2707" t="s">
        <v>13290</v>
      </c>
      <c r="U2707" t="s">
        <v>13290</v>
      </c>
      <c r="V2707" t="s">
        <v>13290</v>
      </c>
      <c r="W2707" t="s">
        <v>15957</v>
      </c>
      <c r="X2707">
        <v>9</v>
      </c>
      <c r="Y2707" t="s">
        <v>22492</v>
      </c>
      <c r="Z2707" t="s">
        <v>29037</v>
      </c>
      <c r="AA2707">
        <v>1.1025664967912201</v>
      </c>
      <c r="AB2707" t="str">
        <f>HYPERLINK("Melting_Curves/meltCurve_P49006_MARCKSL1.pdf", "Melting_Curves/meltCurve_P49006_MARCKSL1.pdf")</f>
        <v>Melting_Curves/meltCurve_P49006_MARCKSL1.pdf</v>
      </c>
    </row>
    <row r="2708" spans="1:28" x14ac:dyDescent="0.25">
      <c r="A2708" t="s">
        <v>2712</v>
      </c>
      <c r="B2708">
        <v>0.99252571173614901</v>
      </c>
      <c r="C2708">
        <v>1.0162033893470701</v>
      </c>
      <c r="D2708">
        <v>0.84111253462907398</v>
      </c>
      <c r="E2708">
        <v>0.86327685837230095</v>
      </c>
      <c r="F2708">
        <v>0.69380206398135502</v>
      </c>
      <c r="G2708">
        <v>0.58209470832792798</v>
      </c>
      <c r="H2708">
        <v>0.479894289893537</v>
      </c>
      <c r="I2708">
        <v>0.57569758234041302</v>
      </c>
      <c r="J2708">
        <v>0.68147553780970205</v>
      </c>
      <c r="K2708">
        <v>0.52391434677862303</v>
      </c>
      <c r="L2708">
        <v>867.69750435540402</v>
      </c>
      <c r="M2708">
        <v>17.2215512584687</v>
      </c>
      <c r="O2708">
        <v>49.7197655083949</v>
      </c>
      <c r="P2708">
        <v>-3.85989628804837E-2</v>
      </c>
      <c r="Q2708">
        <v>0.55427517281519101</v>
      </c>
      <c r="R2708">
        <v>0.88600011425494596</v>
      </c>
      <c r="S2708" t="s">
        <v>9354</v>
      </c>
      <c r="T2708" t="s">
        <v>13290</v>
      </c>
      <c r="U2708" t="s">
        <v>13290</v>
      </c>
      <c r="V2708" t="s">
        <v>13290</v>
      </c>
      <c r="W2708" t="s">
        <v>15958</v>
      </c>
      <c r="X2708">
        <v>5</v>
      </c>
      <c r="Y2708" t="s">
        <v>22493</v>
      </c>
      <c r="Z2708" t="s">
        <v>29038</v>
      </c>
      <c r="AA2708">
        <v>0.7167700472683235</v>
      </c>
      <c r="AB2708" t="str">
        <f>HYPERLINK("Melting_Curves/meltCurve_P49069_CAMLG.pdf", "Melting_Curves/meltCurve_P49069_CAMLG.pdf")</f>
        <v>Melting_Curves/meltCurve_P49069_CAMLG.pdf</v>
      </c>
    </row>
    <row r="2709" spans="1:28" x14ac:dyDescent="0.25">
      <c r="A2709" t="s">
        <v>2713</v>
      </c>
      <c r="B2709">
        <v>0.99252571173614901</v>
      </c>
      <c r="C2709">
        <v>0.95339629663776704</v>
      </c>
      <c r="D2709">
        <v>0.72862581371072099</v>
      </c>
      <c r="E2709">
        <v>0.601887021270473</v>
      </c>
      <c r="F2709">
        <v>0.29125816240554597</v>
      </c>
      <c r="G2709">
        <v>0.15409812062109099</v>
      </c>
      <c r="H2709">
        <v>0.121258865731556</v>
      </c>
      <c r="I2709">
        <v>0.152159932274952</v>
      </c>
      <c r="J2709">
        <v>0.14565613476439301</v>
      </c>
      <c r="K2709">
        <v>0.13120268539105401</v>
      </c>
      <c r="L2709">
        <v>837.99244597420397</v>
      </c>
      <c r="M2709">
        <v>17.009593859228101</v>
      </c>
      <c r="N2709">
        <v>50.022783611074203</v>
      </c>
      <c r="O2709">
        <v>48.600049064878498</v>
      </c>
      <c r="P2709">
        <v>-7.7574924198996906E-2</v>
      </c>
      <c r="Q2709">
        <v>0.113462061663731</v>
      </c>
      <c r="R2709">
        <v>0.98780654421582603</v>
      </c>
      <c r="S2709" t="s">
        <v>9355</v>
      </c>
      <c r="T2709" t="s">
        <v>13290</v>
      </c>
      <c r="U2709" t="s">
        <v>13290</v>
      </c>
      <c r="V2709" t="s">
        <v>13290</v>
      </c>
      <c r="W2709" t="s">
        <v>15959</v>
      </c>
      <c r="X2709">
        <v>6</v>
      </c>
      <c r="Y2709" t="s">
        <v>22494</v>
      </c>
      <c r="Z2709" t="s">
        <v>29039</v>
      </c>
      <c r="AA2709">
        <v>0.40435032690120448</v>
      </c>
      <c r="AB2709" t="str">
        <f>HYPERLINK("Melting_Curves/meltCurve_P49116_NR2C2.pdf", "Melting_Curves/meltCurve_P49116_NR2C2.pdf")</f>
        <v>Melting_Curves/meltCurve_P49116_NR2C2.pdf</v>
      </c>
    </row>
    <row r="2710" spans="1:28" x14ac:dyDescent="0.25">
      <c r="A2710" t="s">
        <v>2714</v>
      </c>
      <c r="B2710">
        <v>0.99252571173614901</v>
      </c>
      <c r="C2710">
        <v>1.02815315525533</v>
      </c>
      <c r="D2710">
        <v>0.86738394405192198</v>
      </c>
      <c r="E2710">
        <v>0.66306587450541499</v>
      </c>
      <c r="F2710">
        <v>0.27938557095051803</v>
      </c>
      <c r="G2710">
        <v>0.14255884339154301</v>
      </c>
      <c r="H2710">
        <v>0.12486676076759499</v>
      </c>
      <c r="I2710">
        <v>0.14547956429053699</v>
      </c>
      <c r="J2710">
        <v>0.169853785329039</v>
      </c>
      <c r="K2710">
        <v>0.17279299057401901</v>
      </c>
      <c r="L2710">
        <v>1353.0123618196501</v>
      </c>
      <c r="M2710">
        <v>26.990081487697601</v>
      </c>
      <c r="N2710">
        <v>50.758058815084802</v>
      </c>
      <c r="O2710">
        <v>49.857210438738299</v>
      </c>
      <c r="P2710">
        <v>-0.116125194025527</v>
      </c>
      <c r="Q2710">
        <v>0.14196314747202399</v>
      </c>
      <c r="R2710">
        <v>0.99256213252021497</v>
      </c>
      <c r="S2710" t="s">
        <v>9356</v>
      </c>
      <c r="T2710" t="s">
        <v>13290</v>
      </c>
      <c r="U2710" t="s">
        <v>13290</v>
      </c>
      <c r="V2710" t="s">
        <v>13290</v>
      </c>
      <c r="W2710" t="s">
        <v>15960</v>
      </c>
      <c r="X2710">
        <v>4</v>
      </c>
      <c r="Y2710" t="s">
        <v>22495</v>
      </c>
      <c r="Z2710" t="s">
        <v>29040</v>
      </c>
      <c r="AA2710">
        <v>0.43827646131062842</v>
      </c>
      <c r="AB2710" t="str">
        <f>HYPERLINK("Melting_Curves/meltCurve_P49137_MAPKAPK2.pdf", "Melting_Curves/meltCurve_P49137_MAPKAPK2.pdf")</f>
        <v>Melting_Curves/meltCurve_P49137_MAPKAPK2.pdf</v>
      </c>
    </row>
    <row r="2711" spans="1:28" x14ac:dyDescent="0.25">
      <c r="A2711" t="s">
        <v>2715</v>
      </c>
      <c r="B2711">
        <v>0.99252571173614901</v>
      </c>
      <c r="C2711">
        <v>0.94761659307955404</v>
      </c>
      <c r="D2711">
        <v>1.06414333828232</v>
      </c>
      <c r="E2711">
        <v>1.0409872686549799</v>
      </c>
      <c r="F2711">
        <v>0.98467871735288803</v>
      </c>
      <c r="G2711">
        <v>0.69056875423538999</v>
      </c>
      <c r="H2711">
        <v>0.36671750999397301</v>
      </c>
      <c r="I2711">
        <v>0.146602558361486</v>
      </c>
      <c r="J2711">
        <v>0.118314454394247</v>
      </c>
      <c r="K2711">
        <v>0.111840832245355</v>
      </c>
      <c r="L2711">
        <v>1603.2624446790701</v>
      </c>
      <c r="M2711">
        <v>27.396904112499001</v>
      </c>
      <c r="N2711">
        <v>58.966105657246601</v>
      </c>
      <c r="O2711">
        <v>58.210721531017597</v>
      </c>
      <c r="P2711">
        <v>-0.106646851190388</v>
      </c>
      <c r="Q2711">
        <v>9.3630126184697696E-2</v>
      </c>
      <c r="R2711">
        <v>0.99103055496340398</v>
      </c>
      <c r="S2711" t="s">
        <v>9357</v>
      </c>
      <c r="T2711" t="s">
        <v>13290</v>
      </c>
      <c r="U2711" t="s">
        <v>13290</v>
      </c>
      <c r="V2711" t="s">
        <v>13290</v>
      </c>
      <c r="W2711" t="s">
        <v>15961</v>
      </c>
      <c r="X2711">
        <v>22</v>
      </c>
      <c r="Y2711" t="s">
        <v>22496</v>
      </c>
      <c r="Z2711" t="s">
        <v>29041</v>
      </c>
      <c r="AA2711">
        <v>0.65992462154294174</v>
      </c>
      <c r="AB2711" t="str">
        <f>HYPERLINK("Melting_Curves/meltCurve_P49189_ALDH9A1.pdf", "Melting_Curves/meltCurve_P49189_ALDH9A1.pdf")</f>
        <v>Melting_Curves/meltCurve_P49189_ALDH9A1.pdf</v>
      </c>
    </row>
    <row r="2712" spans="1:28" x14ac:dyDescent="0.25">
      <c r="A2712" t="s">
        <v>2716</v>
      </c>
      <c r="B2712">
        <v>0.99252571173614901</v>
      </c>
      <c r="C2712">
        <v>0.90994327431341104</v>
      </c>
      <c r="D2712">
        <v>0.82611376600874298</v>
      </c>
      <c r="E2712">
        <v>0.62051453072211804</v>
      </c>
      <c r="F2712">
        <v>0.46511835952889102</v>
      </c>
      <c r="G2712">
        <v>0.36097708113752502</v>
      </c>
      <c r="H2712">
        <v>0.24807963530222801</v>
      </c>
      <c r="I2712">
        <v>0.191516578226826</v>
      </c>
      <c r="J2712">
        <v>0.19417105337631199</v>
      </c>
      <c r="K2712">
        <v>0.18873923637727599</v>
      </c>
      <c r="L2712">
        <v>616.412480683951</v>
      </c>
      <c r="M2712">
        <v>12.1190803267147</v>
      </c>
      <c r="N2712">
        <v>52.396489376066</v>
      </c>
      <c r="O2712">
        <v>49.5375091613477</v>
      </c>
      <c r="P2712">
        <v>-5.2041471546851001E-2</v>
      </c>
      <c r="Q2712">
        <v>0.14930616962934901</v>
      </c>
      <c r="R2712">
        <v>0.99738323314128097</v>
      </c>
      <c r="S2712" t="s">
        <v>9358</v>
      </c>
      <c r="T2712" t="s">
        <v>13290</v>
      </c>
      <c r="U2712" t="s">
        <v>13290</v>
      </c>
      <c r="V2712" t="s">
        <v>13290</v>
      </c>
      <c r="W2712" t="s">
        <v>15962</v>
      </c>
      <c r="X2712">
        <v>2</v>
      </c>
      <c r="Y2712" t="s">
        <v>22497</v>
      </c>
      <c r="Z2712" t="s">
        <v>29042</v>
      </c>
      <c r="AA2712">
        <v>0.48491919340442602</v>
      </c>
      <c r="AB2712" t="str">
        <f>HYPERLINK("Melting_Curves/meltCurve_P49207_RPL34.pdf", "Melting_Curves/meltCurve_P49207_RPL34.pdf")</f>
        <v>Melting_Curves/meltCurve_P49207_RPL34.pdf</v>
      </c>
    </row>
    <row r="2713" spans="1:28" x14ac:dyDescent="0.25">
      <c r="A2713" t="s">
        <v>2717</v>
      </c>
      <c r="B2713">
        <v>0.99252571173614901</v>
      </c>
      <c r="C2713">
        <v>1.03585859981818</v>
      </c>
      <c r="D2713">
        <v>0.97373718680665899</v>
      </c>
      <c r="E2713">
        <v>0.91307255203663495</v>
      </c>
      <c r="F2713">
        <v>0.77096717105449197</v>
      </c>
      <c r="G2713">
        <v>0.60274445518411102</v>
      </c>
      <c r="H2713">
        <v>0.589145809528274</v>
      </c>
      <c r="I2713">
        <v>0.69488632611767398</v>
      </c>
      <c r="J2713">
        <v>1.0265580386219699</v>
      </c>
      <c r="K2713">
        <v>1.0274872132775199</v>
      </c>
      <c r="L2713">
        <v>12419.105532040399</v>
      </c>
      <c r="M2713">
        <v>250</v>
      </c>
      <c r="O2713">
        <v>49.673238706407801</v>
      </c>
      <c r="P2713">
        <v>-0.27014271097225501</v>
      </c>
      <c r="Q2713">
        <v>0.78529816707536204</v>
      </c>
      <c r="R2713">
        <v>0.32447172339131702</v>
      </c>
      <c r="S2713" t="s">
        <v>9359</v>
      </c>
      <c r="T2713" t="s">
        <v>13290</v>
      </c>
      <c r="U2713" t="s">
        <v>13290</v>
      </c>
      <c r="V2713" t="s">
        <v>13290</v>
      </c>
      <c r="W2713" t="s">
        <v>15963</v>
      </c>
      <c r="X2713">
        <v>13</v>
      </c>
      <c r="Y2713" t="s">
        <v>22498</v>
      </c>
      <c r="Z2713" t="s">
        <v>29043</v>
      </c>
      <c r="AA2713">
        <v>0.85456840397280698</v>
      </c>
      <c r="AB2713" t="str">
        <f>HYPERLINK("Melting_Curves/meltCurve_P49247_RPIA.pdf", "Melting_Curves/meltCurve_P49247_RPIA.pdf")</f>
        <v>Melting_Curves/meltCurve_P49247_RPIA.pdf</v>
      </c>
    </row>
    <row r="2714" spans="1:28" x14ac:dyDescent="0.25">
      <c r="A2714" t="s">
        <v>2718</v>
      </c>
      <c r="B2714">
        <v>0.99252571173614901</v>
      </c>
      <c r="C2714">
        <v>0.763620802285782</v>
      </c>
      <c r="D2714">
        <v>0.64958898490033801</v>
      </c>
      <c r="E2714">
        <v>0.57118997920895098</v>
      </c>
      <c r="F2714">
        <v>0.23197636656485199</v>
      </c>
      <c r="G2714">
        <v>0.12814660786239701</v>
      </c>
      <c r="H2714">
        <v>8.3677582303417403E-2</v>
      </c>
      <c r="I2714">
        <v>8.2463007405255806E-2</v>
      </c>
      <c r="J2714">
        <v>0.102468972746677</v>
      </c>
      <c r="K2714">
        <v>7.7021755814614096E-2</v>
      </c>
      <c r="L2714">
        <v>598.19681132158405</v>
      </c>
      <c r="M2714">
        <v>12.3207147320181</v>
      </c>
      <c r="N2714">
        <v>48.847858600538203</v>
      </c>
      <c r="O2714">
        <v>47.326238247515803</v>
      </c>
      <c r="P2714">
        <v>-6.2758528345035494E-2</v>
      </c>
      <c r="Q2714">
        <v>3.5939434981394403E-2</v>
      </c>
      <c r="R2714">
        <v>0.97150827517124405</v>
      </c>
      <c r="S2714" t="s">
        <v>9360</v>
      </c>
      <c r="T2714" t="s">
        <v>13290</v>
      </c>
      <c r="U2714" t="s">
        <v>13290</v>
      </c>
      <c r="V2714" t="s">
        <v>13290</v>
      </c>
      <c r="W2714" t="s">
        <v>15964</v>
      </c>
      <c r="X2714">
        <v>18</v>
      </c>
      <c r="Y2714" t="s">
        <v>22499</v>
      </c>
      <c r="Z2714" t="s">
        <v>29044</v>
      </c>
      <c r="AA2714">
        <v>0.34554821659551138</v>
      </c>
      <c r="AB2714" t="str">
        <f>HYPERLINK("Melting_Curves/meltCurve_P49257_LMAN1.pdf", "Melting_Curves/meltCurve_P49257_LMAN1.pdf")</f>
        <v>Melting_Curves/meltCurve_P49257_LMAN1.pdf</v>
      </c>
    </row>
    <row r="2715" spans="1:28" x14ac:dyDescent="0.25">
      <c r="A2715" t="s">
        <v>2719</v>
      </c>
      <c r="B2715">
        <v>0.99252571173614901</v>
      </c>
      <c r="C2715">
        <v>1.1221958057369901</v>
      </c>
      <c r="D2715">
        <v>0.84764001861913296</v>
      </c>
      <c r="E2715">
        <v>0.83423510227337105</v>
      </c>
      <c r="F2715">
        <v>0.27150166850563101</v>
      </c>
      <c r="G2715">
        <v>0.13598389603393801</v>
      </c>
      <c r="H2715">
        <v>9.6937329010557099E-2</v>
      </c>
      <c r="I2715">
        <v>0.101874815958582</v>
      </c>
      <c r="J2715">
        <v>0.13397695811284099</v>
      </c>
      <c r="K2715">
        <v>0.135991751798379</v>
      </c>
      <c r="L2715">
        <v>2057.8954974550702</v>
      </c>
      <c r="M2715">
        <v>40.149493350346098</v>
      </c>
      <c r="N2715">
        <v>51.594770156895301</v>
      </c>
      <c r="O2715">
        <v>51.129163434384097</v>
      </c>
      <c r="P2715">
        <v>-0.173557019633618</v>
      </c>
      <c r="Q2715">
        <v>0.115923373046551</v>
      </c>
      <c r="R2715">
        <v>0.97694882269352601</v>
      </c>
      <c r="S2715" t="s">
        <v>9361</v>
      </c>
      <c r="T2715" t="s">
        <v>13290</v>
      </c>
      <c r="U2715" t="s">
        <v>13290</v>
      </c>
      <c r="V2715" t="s">
        <v>13290</v>
      </c>
      <c r="W2715" t="s">
        <v>15965</v>
      </c>
      <c r="X2715">
        <v>23</v>
      </c>
      <c r="Y2715" t="s">
        <v>22500</v>
      </c>
      <c r="Z2715" t="s">
        <v>29045</v>
      </c>
      <c r="AA2715">
        <v>0.45073213778153631</v>
      </c>
      <c r="AB2715" t="str">
        <f>HYPERLINK("Melting_Curves/meltCurve_P49321_3_NASP.pdf", "Melting_Curves/meltCurve_P49321_3_NASP.pdf")</f>
        <v>Melting_Curves/meltCurve_P49321_3_NASP.pdf</v>
      </c>
    </row>
    <row r="2716" spans="1:28" x14ac:dyDescent="0.25">
      <c r="A2716" t="s">
        <v>2720</v>
      </c>
      <c r="B2716">
        <v>0.99252571173614901</v>
      </c>
      <c r="C2716">
        <v>0.76103354232168796</v>
      </c>
      <c r="D2716">
        <v>1.3874274304135901</v>
      </c>
      <c r="E2716">
        <v>1.1992725562395501</v>
      </c>
      <c r="F2716">
        <v>0.20787079126094399</v>
      </c>
      <c r="G2716">
        <v>0.120871976787618</v>
      </c>
      <c r="H2716">
        <v>7.6211273826157402E-2</v>
      </c>
      <c r="I2716">
        <v>7.7682335645837194E-2</v>
      </c>
      <c r="J2716">
        <v>9.0860615844440704E-2</v>
      </c>
      <c r="K2716">
        <v>8.8810364361714203E-2</v>
      </c>
      <c r="L2716">
        <v>13198.244915334501</v>
      </c>
      <c r="M2716">
        <v>250</v>
      </c>
      <c r="N2716">
        <v>52.835378272743803</v>
      </c>
      <c r="O2716">
        <v>52.789602046825202</v>
      </c>
      <c r="P2716">
        <v>-1.07633972721936</v>
      </c>
      <c r="Q2716">
        <v>9.0887280725314101E-2</v>
      </c>
      <c r="R2716">
        <v>0.90111886673485198</v>
      </c>
      <c r="S2716" t="s">
        <v>9362</v>
      </c>
      <c r="T2716" t="s">
        <v>13290</v>
      </c>
      <c r="U2716" t="s">
        <v>13290</v>
      </c>
      <c r="V2716" t="s">
        <v>13290</v>
      </c>
      <c r="W2716" t="s">
        <v>15966</v>
      </c>
      <c r="X2716">
        <v>115</v>
      </c>
      <c r="Y2716" t="s">
        <v>22501</v>
      </c>
      <c r="Z2716" t="s">
        <v>29046</v>
      </c>
      <c r="AA2716">
        <v>0.47864686171662751</v>
      </c>
      <c r="AB2716" t="str">
        <f>HYPERLINK("Melting_Curves/meltCurve_P49327_FASN.pdf", "Melting_Curves/meltCurve_P49327_FASN.pdf")</f>
        <v>Melting_Curves/meltCurve_P49327_FASN.pdf</v>
      </c>
    </row>
    <row r="2717" spans="1:28" x14ac:dyDescent="0.25">
      <c r="A2717" t="s">
        <v>2721</v>
      </c>
      <c r="B2717">
        <v>0.99252571173614901</v>
      </c>
      <c r="C2717">
        <v>0.986958199180483</v>
      </c>
      <c r="D2717">
        <v>0.99045787527969298</v>
      </c>
      <c r="E2717">
        <v>0.982140939390725</v>
      </c>
      <c r="F2717">
        <v>0.58708613576676905</v>
      </c>
      <c r="G2717">
        <v>0.12471234416535699</v>
      </c>
      <c r="H2717">
        <v>6.7368990071611096E-2</v>
      </c>
      <c r="I2717">
        <v>6.3060332250311699E-2</v>
      </c>
      <c r="J2717">
        <v>7.9847779171078895E-2</v>
      </c>
      <c r="K2717">
        <v>8.5912536302763895E-2</v>
      </c>
      <c r="L2717">
        <v>2613.51493210746</v>
      </c>
      <c r="M2717">
        <v>48.906201998745303</v>
      </c>
      <c r="N2717">
        <v>53.614509609252202</v>
      </c>
      <c r="O2717">
        <v>53.350213473263999</v>
      </c>
      <c r="P2717">
        <v>-0.212253421805051</v>
      </c>
      <c r="Q2717">
        <v>7.3838950874799497E-2</v>
      </c>
      <c r="R2717">
        <v>0.99961305617501595</v>
      </c>
      <c r="S2717" t="s">
        <v>9363</v>
      </c>
      <c r="T2717" t="s">
        <v>13290</v>
      </c>
      <c r="U2717" t="s">
        <v>13290</v>
      </c>
      <c r="V2717" t="s">
        <v>13290</v>
      </c>
      <c r="W2717" t="s">
        <v>15967</v>
      </c>
      <c r="X2717">
        <v>6</v>
      </c>
      <c r="Y2717" t="s">
        <v>22502</v>
      </c>
      <c r="Z2717" t="s">
        <v>29047</v>
      </c>
      <c r="AA2717">
        <v>0.49102051263772828</v>
      </c>
      <c r="AB2717" t="str">
        <f>HYPERLINK("Melting_Curves/meltCurve_P49336_2_CDK8.pdf", "Melting_Curves/meltCurve_P49336_2_CDK8.pdf")</f>
        <v>Melting_Curves/meltCurve_P49336_2_CDK8.pdf</v>
      </c>
    </row>
    <row r="2718" spans="1:28" x14ac:dyDescent="0.25">
      <c r="A2718" t="s">
        <v>2722</v>
      </c>
      <c r="B2718">
        <v>0.99252571173614901</v>
      </c>
      <c r="C2718">
        <v>0.96981006381165102</v>
      </c>
      <c r="D2718">
        <v>0.90193209513089401</v>
      </c>
      <c r="E2718">
        <v>0.629177736475243</v>
      </c>
      <c r="F2718">
        <v>0.386076472517555</v>
      </c>
      <c r="G2718">
        <v>0.17224203552672401</v>
      </c>
      <c r="H2718">
        <v>0.117126817380532</v>
      </c>
      <c r="I2718">
        <v>9.7174497412327795E-2</v>
      </c>
      <c r="J2718">
        <v>9.6938687679017393E-2</v>
      </c>
      <c r="K2718">
        <v>8.4594777405217494E-2</v>
      </c>
      <c r="L2718">
        <v>954.75108624965605</v>
      </c>
      <c r="M2718">
        <v>18.766937795387499</v>
      </c>
      <c r="N2718">
        <v>51.342310455924697</v>
      </c>
      <c r="O2718">
        <v>50.307027403434098</v>
      </c>
      <c r="P2718">
        <v>-8.5930634146427806E-2</v>
      </c>
      <c r="Q2718">
        <v>7.8649311847001094E-2</v>
      </c>
      <c r="R2718">
        <v>0.99876137439018897</v>
      </c>
      <c r="S2718" t="s">
        <v>9364</v>
      </c>
      <c r="T2718" t="s">
        <v>13290</v>
      </c>
      <c r="U2718" t="s">
        <v>13290</v>
      </c>
      <c r="V2718" t="s">
        <v>13290</v>
      </c>
      <c r="W2718" t="s">
        <v>15968</v>
      </c>
      <c r="X2718">
        <v>12</v>
      </c>
      <c r="Y2718" t="s">
        <v>22503</v>
      </c>
      <c r="Z2718" t="s">
        <v>29048</v>
      </c>
      <c r="AA2718">
        <v>0.4270154488061691</v>
      </c>
      <c r="AB2718" t="str">
        <f>HYPERLINK("Melting_Curves/meltCurve_P49354_FNTA.pdf", "Melting_Curves/meltCurve_P49354_FNTA.pdf")</f>
        <v>Melting_Curves/meltCurve_P49354_FNTA.pdf</v>
      </c>
    </row>
    <row r="2719" spans="1:28" x14ac:dyDescent="0.25">
      <c r="A2719" t="s">
        <v>2723</v>
      </c>
      <c r="B2719">
        <v>0.99252571173614901</v>
      </c>
      <c r="C2719">
        <v>0.93396136223094395</v>
      </c>
      <c r="D2719">
        <v>1.0336596829512099</v>
      </c>
      <c r="E2719">
        <v>0.96912205707265697</v>
      </c>
      <c r="F2719">
        <v>0.96210494300050897</v>
      </c>
      <c r="G2719">
        <v>0.78555885346142795</v>
      </c>
      <c r="H2719">
        <v>0.51761373093900398</v>
      </c>
      <c r="I2719">
        <v>0.25044333016556602</v>
      </c>
      <c r="J2719">
        <v>0.13993467163224599</v>
      </c>
      <c r="K2719">
        <v>0.10103658450457199</v>
      </c>
      <c r="L2719">
        <v>1269.5679496851601</v>
      </c>
      <c r="M2719">
        <v>20.9862898925767</v>
      </c>
      <c r="N2719">
        <v>60.721696042268903</v>
      </c>
      <c r="O2719">
        <v>59.953861438887202</v>
      </c>
      <c r="P2719">
        <v>-8.4216677613558194E-2</v>
      </c>
      <c r="Q2719">
        <v>3.7661428458039999E-2</v>
      </c>
      <c r="R2719">
        <v>0.99407986423995598</v>
      </c>
      <c r="S2719" t="s">
        <v>9365</v>
      </c>
      <c r="T2719" t="s">
        <v>13290</v>
      </c>
      <c r="U2719" t="s">
        <v>13290</v>
      </c>
      <c r="V2719" t="s">
        <v>13290</v>
      </c>
      <c r="W2719" t="s">
        <v>15969</v>
      </c>
      <c r="X2719">
        <v>16</v>
      </c>
      <c r="Y2719" t="s">
        <v>22504</v>
      </c>
      <c r="Z2719" t="s">
        <v>29049</v>
      </c>
      <c r="AA2719">
        <v>0.70217672443777868</v>
      </c>
      <c r="AB2719" t="str">
        <f>HYPERLINK("Melting_Curves/meltCurve_P49366_DHPS.pdf", "Melting_Curves/meltCurve_P49366_DHPS.pdf")</f>
        <v>Melting_Curves/meltCurve_P49366_DHPS.pdf</v>
      </c>
    </row>
    <row r="2720" spans="1:28" x14ac:dyDescent="0.25">
      <c r="A2720" t="s">
        <v>2724</v>
      </c>
      <c r="B2720">
        <v>0.99252571173614901</v>
      </c>
      <c r="C2720">
        <v>1.0404440647572799</v>
      </c>
      <c r="D2720">
        <v>1.04443960174495</v>
      </c>
      <c r="E2720">
        <v>0.93768751796468897</v>
      </c>
      <c r="F2720">
        <v>1.16181961120019</v>
      </c>
      <c r="G2720">
        <v>1.1584839630616099</v>
      </c>
      <c r="H2720">
        <v>0.48452586701466199</v>
      </c>
      <c r="I2720">
        <v>0.15093177800315899</v>
      </c>
      <c r="J2720">
        <v>0.111475889892157</v>
      </c>
      <c r="K2720">
        <v>9.9753835491490597E-2</v>
      </c>
      <c r="L2720">
        <v>8079.7176721427604</v>
      </c>
      <c r="M2720">
        <v>133.23680891947001</v>
      </c>
      <c r="N2720">
        <v>60.767446850336</v>
      </c>
      <c r="O2720">
        <v>60.6281238650907</v>
      </c>
      <c r="P2720">
        <v>-0.483248307289737</v>
      </c>
      <c r="Q2720">
        <v>0.12041010044962699</v>
      </c>
      <c r="R2720">
        <v>0.96744217241981101</v>
      </c>
      <c r="S2720" t="s">
        <v>9366</v>
      </c>
      <c r="T2720" t="s">
        <v>13290</v>
      </c>
      <c r="U2720" t="s">
        <v>13290</v>
      </c>
      <c r="V2720" t="s">
        <v>13290</v>
      </c>
      <c r="W2720" t="s">
        <v>15970</v>
      </c>
      <c r="X2720">
        <v>43</v>
      </c>
      <c r="Y2720" t="s">
        <v>22505</v>
      </c>
      <c r="Z2720" t="s">
        <v>29050</v>
      </c>
      <c r="AA2720">
        <v>0.72594999308586383</v>
      </c>
      <c r="AB2720" t="str">
        <f>HYPERLINK("Melting_Curves/meltCurve_P49368_CCT3.pdf", "Melting_Curves/meltCurve_P49368_CCT3.pdf")</f>
        <v>Melting_Curves/meltCurve_P49368_CCT3.pdf</v>
      </c>
    </row>
    <row r="2721" spans="1:28" x14ac:dyDescent="0.25">
      <c r="A2721" t="s">
        <v>2725</v>
      </c>
      <c r="B2721">
        <v>0.99252571173614901</v>
      </c>
      <c r="C2721">
        <v>0.85926909341656699</v>
      </c>
      <c r="D2721">
        <v>0.38116713380980599</v>
      </c>
      <c r="E2721">
        <v>0.26803402815400501</v>
      </c>
      <c r="F2721">
        <v>0.14772281662987299</v>
      </c>
      <c r="G2721">
        <v>9.1631784707285696E-2</v>
      </c>
      <c r="H2721">
        <v>8.9962112839019198E-2</v>
      </c>
      <c r="I2721">
        <v>9.49197085873969E-2</v>
      </c>
      <c r="J2721">
        <v>7.2131495716420899E-2</v>
      </c>
      <c r="K2721">
        <v>4.9783193424236698E-2</v>
      </c>
      <c r="L2721">
        <v>1154.05776754104</v>
      </c>
      <c r="M2721">
        <v>25.5337729774606</v>
      </c>
      <c r="N2721">
        <v>45.572094597896097</v>
      </c>
      <c r="O2721">
        <v>44.922815574981001</v>
      </c>
      <c r="P2721">
        <v>-0.12864230924706299</v>
      </c>
      <c r="Q2721">
        <v>9.47044051415213E-2</v>
      </c>
      <c r="R2721">
        <v>0.98263980969704401</v>
      </c>
      <c r="S2721" t="s">
        <v>9367</v>
      </c>
      <c r="T2721" t="s">
        <v>13290</v>
      </c>
      <c r="U2721" t="s">
        <v>13290</v>
      </c>
      <c r="V2721" t="s">
        <v>13290</v>
      </c>
      <c r="W2721" t="s">
        <v>15971</v>
      </c>
      <c r="X2721">
        <v>2</v>
      </c>
      <c r="Y2721" t="s">
        <v>22506</v>
      </c>
      <c r="Z2721" t="s">
        <v>29051</v>
      </c>
      <c r="AA2721">
        <v>0.25995413140809398</v>
      </c>
      <c r="AB2721" t="str">
        <f>HYPERLINK("Melting_Curves/meltCurve_P49406_MRPL19.pdf", "Melting_Curves/meltCurve_P49406_MRPL19.pdf")</f>
        <v>Melting_Curves/meltCurve_P49406_MRPL19.pdf</v>
      </c>
    </row>
    <row r="2722" spans="1:28" x14ac:dyDescent="0.25">
      <c r="A2722" t="s">
        <v>2726</v>
      </c>
      <c r="B2722">
        <v>0.99252571173614901</v>
      </c>
      <c r="C2722">
        <v>1.0882371756226099</v>
      </c>
      <c r="D2722">
        <v>1.00433332089586</v>
      </c>
      <c r="E2722">
        <v>0.84488531332274897</v>
      </c>
      <c r="F2722">
        <v>0.68675512553610096</v>
      </c>
      <c r="G2722">
        <v>0.27894008600730802</v>
      </c>
      <c r="H2722">
        <v>0.12187197640931401</v>
      </c>
      <c r="I2722">
        <v>0.11803392530946701</v>
      </c>
      <c r="J2722">
        <v>0.12049981255677999</v>
      </c>
      <c r="K2722">
        <v>0.10627422255221899</v>
      </c>
      <c r="L2722">
        <v>1373.9266191797601</v>
      </c>
      <c r="M2722">
        <v>25.407973159577299</v>
      </c>
      <c r="N2722">
        <v>54.532119299028402</v>
      </c>
      <c r="O2722">
        <v>53.742991374906303</v>
      </c>
      <c r="P2722">
        <v>-0.106848580752944</v>
      </c>
      <c r="Q2722">
        <v>9.5986144127792494E-2</v>
      </c>
      <c r="R2722">
        <v>0.98941302274567</v>
      </c>
      <c r="S2722" t="s">
        <v>9368</v>
      </c>
      <c r="T2722" t="s">
        <v>13290</v>
      </c>
      <c r="U2722" t="s">
        <v>13290</v>
      </c>
      <c r="V2722" t="s">
        <v>13290</v>
      </c>
      <c r="W2722" t="s">
        <v>15972</v>
      </c>
      <c r="X2722">
        <v>19</v>
      </c>
      <c r="Y2722" t="s">
        <v>22507</v>
      </c>
      <c r="Z2722" t="s">
        <v>29052</v>
      </c>
      <c r="AA2722">
        <v>0.52823186373470388</v>
      </c>
      <c r="AB2722" t="str">
        <f>HYPERLINK("Melting_Curves/meltCurve_P49407_2_ARRB1.pdf", "Melting_Curves/meltCurve_P49407_2_ARRB1.pdf")</f>
        <v>Melting_Curves/meltCurve_P49407_2_ARRB1.pdf</v>
      </c>
    </row>
    <row r="2723" spans="1:28" x14ac:dyDescent="0.25">
      <c r="A2723" t="s">
        <v>2727</v>
      </c>
      <c r="B2723">
        <v>0.99252571173614901</v>
      </c>
      <c r="C2723">
        <v>0.97937337615432496</v>
      </c>
      <c r="D2723">
        <v>0.89702728589205105</v>
      </c>
      <c r="E2723">
        <v>0.61614484615051401</v>
      </c>
      <c r="F2723">
        <v>0.16500343297943601</v>
      </c>
      <c r="G2723">
        <v>8.1427552423382593E-2</v>
      </c>
      <c r="H2723">
        <v>5.67972653485629E-2</v>
      </c>
      <c r="I2723">
        <v>6.2519866747641206E-2</v>
      </c>
      <c r="J2723">
        <v>7.6271028859181494E-2</v>
      </c>
      <c r="K2723">
        <v>7.6729951788590905E-2</v>
      </c>
      <c r="L2723">
        <v>1545.64452846734</v>
      </c>
      <c r="M2723">
        <v>30.898211848530998</v>
      </c>
      <c r="N2723">
        <v>50.2397728046111</v>
      </c>
      <c r="O2723">
        <v>49.815615673676497</v>
      </c>
      <c r="P2723">
        <v>-0.14541820721205201</v>
      </c>
      <c r="Q2723">
        <v>6.2203910322025602E-2</v>
      </c>
      <c r="R2723">
        <v>0.99752608833199796</v>
      </c>
      <c r="S2723" t="s">
        <v>9369</v>
      </c>
      <c r="T2723" t="s">
        <v>13290</v>
      </c>
      <c r="U2723" t="s">
        <v>13290</v>
      </c>
      <c r="V2723" t="s">
        <v>13290</v>
      </c>
      <c r="W2723" t="s">
        <v>15973</v>
      </c>
      <c r="X2723">
        <v>32</v>
      </c>
      <c r="Y2723" t="s">
        <v>22508</v>
      </c>
      <c r="Z2723" t="s">
        <v>29053</v>
      </c>
      <c r="AA2723">
        <v>0.38101156253960938</v>
      </c>
      <c r="AB2723" t="str">
        <f>HYPERLINK("Melting_Curves/meltCurve_P49411_TUFM.pdf", "Melting_Curves/meltCurve_P49411_TUFM.pdf")</f>
        <v>Melting_Curves/meltCurve_P49411_TUFM.pdf</v>
      </c>
    </row>
    <row r="2724" spans="1:28" x14ac:dyDescent="0.25">
      <c r="A2724" t="s">
        <v>2728</v>
      </c>
      <c r="B2724">
        <v>0.99252571173614901</v>
      </c>
      <c r="C2724">
        <v>0.874466597053699</v>
      </c>
      <c r="D2724">
        <v>1.0584183353760099</v>
      </c>
      <c r="E2724">
        <v>1.0302152199785699</v>
      </c>
      <c r="F2724">
        <v>0.50329263568098304</v>
      </c>
      <c r="G2724">
        <v>0.125657948894147</v>
      </c>
      <c r="H2724">
        <v>7.3630612711280893E-2</v>
      </c>
      <c r="I2724">
        <v>6.7415844110929393E-2</v>
      </c>
      <c r="J2724">
        <v>7.1434520820277597E-2</v>
      </c>
      <c r="K2724">
        <v>6.9212105005529004E-2</v>
      </c>
      <c r="L2724">
        <v>3444.31879953406</v>
      </c>
      <c r="M2724">
        <v>64.883488826064195</v>
      </c>
      <c r="N2724">
        <v>53.2246097346369</v>
      </c>
      <c r="O2724">
        <v>53.034310861207402</v>
      </c>
      <c r="P2724">
        <v>-0.28187222275507301</v>
      </c>
      <c r="Q2724">
        <v>7.8416039907278301E-2</v>
      </c>
      <c r="R2724">
        <v>0.98797342429019597</v>
      </c>
      <c r="S2724" t="s">
        <v>9370</v>
      </c>
      <c r="T2724" t="s">
        <v>13290</v>
      </c>
      <c r="U2724" t="s">
        <v>13290</v>
      </c>
      <c r="V2724" t="s">
        <v>13290</v>
      </c>
      <c r="W2724" t="s">
        <v>15974</v>
      </c>
      <c r="X2724">
        <v>31</v>
      </c>
      <c r="Y2724" t="s">
        <v>22509</v>
      </c>
      <c r="Z2724" t="s">
        <v>29054</v>
      </c>
      <c r="AA2724">
        <v>0.48164877360103719</v>
      </c>
      <c r="AB2724" t="str">
        <f>HYPERLINK("Melting_Curves/meltCurve_P49419_2_ALDH7A1.pdf", "Melting_Curves/meltCurve_P49419_2_ALDH7A1.pdf")</f>
        <v>Melting_Curves/meltCurve_P49419_2_ALDH7A1.pdf</v>
      </c>
    </row>
    <row r="2725" spans="1:28" x14ac:dyDescent="0.25">
      <c r="A2725" t="s">
        <v>2729</v>
      </c>
      <c r="B2725">
        <v>0.99252571173614901</v>
      </c>
      <c r="C2725">
        <v>0.97880377567990795</v>
      </c>
      <c r="D2725">
        <v>0.50895805185519605</v>
      </c>
      <c r="E2725">
        <v>0.20155268924383499</v>
      </c>
      <c r="F2725">
        <v>0.107436655734534</v>
      </c>
      <c r="G2725">
        <v>6.5273486769793804E-2</v>
      </c>
      <c r="H2725">
        <v>4.47063415881482E-2</v>
      </c>
      <c r="I2725">
        <v>4.9479832277873899E-2</v>
      </c>
      <c r="J2725">
        <v>5.4053386364161397E-2</v>
      </c>
      <c r="K2725">
        <v>5.55962772575486E-2</v>
      </c>
      <c r="L2725">
        <v>1458.16461628355</v>
      </c>
      <c r="M2725">
        <v>31.641084931440702</v>
      </c>
      <c r="N2725">
        <v>46.287894657371098</v>
      </c>
      <c r="O2725">
        <v>45.901624769343599</v>
      </c>
      <c r="P2725">
        <v>-0.161147943750335</v>
      </c>
      <c r="Q2725">
        <v>6.4897621161428901E-2</v>
      </c>
      <c r="R2725">
        <v>0.99329811859573103</v>
      </c>
      <c r="S2725" t="s">
        <v>9371</v>
      </c>
      <c r="T2725" t="s">
        <v>13290</v>
      </c>
      <c r="U2725" t="s">
        <v>13290</v>
      </c>
      <c r="V2725" t="s">
        <v>13290</v>
      </c>
      <c r="W2725" t="s">
        <v>15975</v>
      </c>
      <c r="X2725">
        <v>8</v>
      </c>
      <c r="Y2725" t="s">
        <v>22510</v>
      </c>
      <c r="Z2725" t="s">
        <v>29055</v>
      </c>
      <c r="AA2725">
        <v>0.25960086057003762</v>
      </c>
      <c r="AB2725" t="str">
        <f>HYPERLINK("Melting_Curves/meltCurve_P49427_CDC34.pdf", "Melting_Curves/meltCurve_P49427_CDC34.pdf")</f>
        <v>Melting_Curves/meltCurve_P49427_CDC34.pdf</v>
      </c>
    </row>
    <row r="2726" spans="1:28" x14ac:dyDescent="0.25">
      <c r="A2726" t="s">
        <v>2730</v>
      </c>
      <c r="B2726">
        <v>0.99252571173614901</v>
      </c>
      <c r="C2726">
        <v>1.06631685304913</v>
      </c>
      <c r="D2726">
        <v>0.95987608109112599</v>
      </c>
      <c r="E2726">
        <v>0.83734111120521404</v>
      </c>
      <c r="F2726">
        <v>0.61577680777981803</v>
      </c>
      <c r="G2726">
        <v>0.37363275810472502</v>
      </c>
      <c r="H2726">
        <v>0.153203060814323</v>
      </c>
      <c r="I2726">
        <v>0.118482811044944</v>
      </c>
      <c r="J2726">
        <v>0.137406656876019</v>
      </c>
      <c r="K2726">
        <v>0.117331309773685</v>
      </c>
      <c r="L2726">
        <v>1026.60597315883</v>
      </c>
      <c r="M2726">
        <v>19.011372707873399</v>
      </c>
      <c r="N2726">
        <v>54.593284794711501</v>
      </c>
      <c r="O2726">
        <v>53.412747590377897</v>
      </c>
      <c r="P2726">
        <v>-8.0676399890900197E-2</v>
      </c>
      <c r="Q2726">
        <v>9.3389647265865905E-2</v>
      </c>
      <c r="R2726">
        <v>0.99386409897330896</v>
      </c>
      <c r="S2726" t="s">
        <v>9372</v>
      </c>
      <c r="T2726" t="s">
        <v>13290</v>
      </c>
      <c r="U2726" t="s">
        <v>13290</v>
      </c>
      <c r="V2726" t="s">
        <v>13290</v>
      </c>
      <c r="W2726" t="s">
        <v>15976</v>
      </c>
      <c r="X2726">
        <v>6</v>
      </c>
      <c r="Y2726" t="s">
        <v>22511</v>
      </c>
      <c r="Z2726" t="s">
        <v>29056</v>
      </c>
      <c r="AA2726">
        <v>0.52981208311210615</v>
      </c>
      <c r="AB2726" t="str">
        <f>HYPERLINK("Melting_Curves/meltCurve_P49441_INPP1.pdf", "Melting_Curves/meltCurve_P49441_INPP1.pdf")</f>
        <v>Melting_Curves/meltCurve_P49441_INPP1.pdf</v>
      </c>
    </row>
    <row r="2727" spans="1:28" x14ac:dyDescent="0.25">
      <c r="A2727" t="s">
        <v>2731</v>
      </c>
      <c r="B2727">
        <v>0.99252571173614901</v>
      </c>
      <c r="C2727">
        <v>0.74391101465143905</v>
      </c>
      <c r="D2727">
        <v>0.45011195135269</v>
      </c>
      <c r="E2727">
        <v>0.34403072702158999</v>
      </c>
      <c r="F2727">
        <v>0.254000399929179</v>
      </c>
      <c r="G2727">
        <v>0.14637500754156399</v>
      </c>
      <c r="H2727">
        <v>0.12634845455667701</v>
      </c>
      <c r="I2727">
        <v>0.146386472839618</v>
      </c>
      <c r="J2727">
        <v>0.249264575905283</v>
      </c>
      <c r="K2727">
        <v>0.26272621548782299</v>
      </c>
      <c r="L2727">
        <v>937.78020352857698</v>
      </c>
      <c r="M2727">
        <v>21.0002118668572</v>
      </c>
      <c r="N2727">
        <v>45.741794139349302</v>
      </c>
      <c r="O2727">
        <v>44.256734400517402</v>
      </c>
      <c r="P2727">
        <v>-9.5341856134348202E-2</v>
      </c>
      <c r="Q2727">
        <v>0.196311720342839</v>
      </c>
      <c r="R2727">
        <v>0.96272395785761999</v>
      </c>
      <c r="S2727" t="s">
        <v>9373</v>
      </c>
      <c r="T2727" t="s">
        <v>13290</v>
      </c>
      <c r="U2727" t="s">
        <v>13290</v>
      </c>
      <c r="V2727" t="s">
        <v>13290</v>
      </c>
      <c r="W2727" t="s">
        <v>15977</v>
      </c>
      <c r="X2727">
        <v>16</v>
      </c>
      <c r="Y2727" t="s">
        <v>22512</v>
      </c>
      <c r="Z2727" t="s">
        <v>29057</v>
      </c>
      <c r="AA2727">
        <v>0.33369017128291878</v>
      </c>
      <c r="AB2727" t="str">
        <f>HYPERLINK("Melting_Curves/meltCurve_P49454_CENPF.pdf", "Melting_Curves/meltCurve_P49454_CENPF.pdf")</f>
        <v>Melting_Curves/meltCurve_P49454_CENPF.pdf</v>
      </c>
    </row>
    <row r="2728" spans="1:28" x14ac:dyDescent="0.25">
      <c r="A2728" t="s">
        <v>2732</v>
      </c>
      <c r="B2728">
        <v>0.99252571173614901</v>
      </c>
      <c r="C2728">
        <v>1.0915222737105901</v>
      </c>
      <c r="D2728">
        <v>1.03583047612379</v>
      </c>
      <c r="E2728">
        <v>1.02238584347549</v>
      </c>
      <c r="F2728">
        <v>0.83333490490443896</v>
      </c>
      <c r="G2728">
        <v>0.688581416695494</v>
      </c>
      <c r="H2728">
        <v>0.59524001702644302</v>
      </c>
      <c r="I2728">
        <v>0.51218612893439597</v>
      </c>
      <c r="J2728">
        <v>0.315295889076671</v>
      </c>
      <c r="K2728">
        <v>0.28952634585940701</v>
      </c>
      <c r="L2728">
        <v>736.08139293716999</v>
      </c>
      <c r="M2728">
        <v>12.096946289764</v>
      </c>
      <c r="N2728">
        <v>62.649947756682501</v>
      </c>
      <c r="O2728">
        <v>59.2572828691412</v>
      </c>
      <c r="P2728">
        <v>-4.3549170454232698E-2</v>
      </c>
      <c r="Q2728">
        <v>0.14689126170028799</v>
      </c>
      <c r="R2728">
        <v>0.96535773598752195</v>
      </c>
      <c r="S2728" t="s">
        <v>9374</v>
      </c>
      <c r="T2728" t="s">
        <v>13290</v>
      </c>
      <c r="U2728" t="s">
        <v>13290</v>
      </c>
      <c r="V2728" t="s">
        <v>13290</v>
      </c>
      <c r="W2728" t="s">
        <v>15978</v>
      </c>
      <c r="X2728">
        <v>12</v>
      </c>
      <c r="Y2728" t="s">
        <v>22513</v>
      </c>
      <c r="Z2728" t="s">
        <v>29058</v>
      </c>
      <c r="AA2728">
        <v>0.73745264531260701</v>
      </c>
      <c r="AB2728" t="str">
        <f>HYPERLINK("Melting_Curves/meltCurve_P49458_SRP9.pdf", "Melting_Curves/meltCurve_P49458_SRP9.pdf")</f>
        <v>Melting_Curves/meltCurve_P49458_SRP9.pdf</v>
      </c>
    </row>
    <row r="2729" spans="1:28" x14ac:dyDescent="0.25">
      <c r="A2729" t="s">
        <v>2733</v>
      </c>
      <c r="B2729">
        <v>0.99252571173614901</v>
      </c>
      <c r="C2729">
        <v>1.05623911313993</v>
      </c>
      <c r="D2729">
        <v>1.0658930815687</v>
      </c>
      <c r="E2729">
        <v>0.80484578870422196</v>
      </c>
      <c r="F2729">
        <v>0.51920946738252205</v>
      </c>
      <c r="G2729">
        <v>0.25528690420170602</v>
      </c>
      <c r="H2729">
        <v>0.17513375244082999</v>
      </c>
      <c r="I2729">
        <v>0.16618087371422899</v>
      </c>
      <c r="J2729">
        <v>0.200352813417953</v>
      </c>
      <c r="K2729">
        <v>0.248675855285027</v>
      </c>
      <c r="L2729">
        <v>1460.34411693724</v>
      </c>
      <c r="M2729">
        <v>27.978769733164</v>
      </c>
      <c r="N2729">
        <v>53.115727580743297</v>
      </c>
      <c r="O2729">
        <v>51.930288458675598</v>
      </c>
      <c r="P2729">
        <v>-0.10880755509418299</v>
      </c>
      <c r="Q2729">
        <v>0.19219366146155101</v>
      </c>
      <c r="R2729">
        <v>0.98656131995446195</v>
      </c>
      <c r="S2729" t="s">
        <v>9375</v>
      </c>
      <c r="T2729" t="s">
        <v>13290</v>
      </c>
      <c r="U2729" t="s">
        <v>13290</v>
      </c>
      <c r="V2729" t="s">
        <v>13290</v>
      </c>
      <c r="W2729" t="s">
        <v>15979</v>
      </c>
      <c r="X2729">
        <v>4</v>
      </c>
      <c r="Y2729" t="s">
        <v>22514</v>
      </c>
      <c r="Z2729" t="s">
        <v>29059</v>
      </c>
      <c r="AA2729">
        <v>0.52649871709623197</v>
      </c>
      <c r="AB2729" t="str">
        <f>HYPERLINK("Melting_Curves/meltCurve_P49459_UBE2A.pdf", "Melting_Curves/meltCurve_P49459_UBE2A.pdf")</f>
        <v>Melting_Curves/meltCurve_P49459_UBE2A.pdf</v>
      </c>
    </row>
    <row r="2730" spans="1:28" x14ac:dyDescent="0.25">
      <c r="A2730" t="s">
        <v>2734</v>
      </c>
      <c r="B2730">
        <v>0.99252571173614901</v>
      </c>
      <c r="C2730">
        <v>0.99501487259397403</v>
      </c>
      <c r="D2730">
        <v>0.82675511544413205</v>
      </c>
      <c r="E2730">
        <v>0.65745070445790599</v>
      </c>
      <c r="F2730">
        <v>0.33181337720373899</v>
      </c>
      <c r="G2730">
        <v>0.16851103206644</v>
      </c>
      <c r="H2730">
        <v>0.134378681844738</v>
      </c>
      <c r="I2730">
        <v>0.13366148160015001</v>
      </c>
      <c r="J2730">
        <v>0.14078775731103901</v>
      </c>
      <c r="K2730">
        <v>0.12161373297384601</v>
      </c>
      <c r="L2730">
        <v>999.640395864928</v>
      </c>
      <c r="M2730">
        <v>19.873080260677501</v>
      </c>
      <c r="N2730">
        <v>50.970642550927799</v>
      </c>
      <c r="O2730">
        <v>49.800208632416599</v>
      </c>
      <c r="P2730">
        <v>-8.8308269220161897E-2</v>
      </c>
      <c r="Q2730">
        <v>0.114858210334931</v>
      </c>
      <c r="R2730">
        <v>0.99505938773742597</v>
      </c>
      <c r="S2730" t="s">
        <v>9376</v>
      </c>
      <c r="T2730" t="s">
        <v>13290</v>
      </c>
      <c r="U2730" t="s">
        <v>13290</v>
      </c>
      <c r="V2730" t="s">
        <v>13290</v>
      </c>
      <c r="W2730" t="s">
        <v>15980</v>
      </c>
      <c r="X2730">
        <v>28</v>
      </c>
      <c r="Y2730" t="s">
        <v>22515</v>
      </c>
      <c r="Z2730" t="s">
        <v>29060</v>
      </c>
      <c r="AA2730">
        <v>0.43125467081866359</v>
      </c>
      <c r="AB2730" t="str">
        <f>HYPERLINK("Melting_Curves/meltCurve_P49585_PCYT1A.pdf", "Melting_Curves/meltCurve_P49585_PCYT1A.pdf")</f>
        <v>Melting_Curves/meltCurve_P49585_PCYT1A.pdf</v>
      </c>
    </row>
    <row r="2731" spans="1:28" x14ac:dyDescent="0.25">
      <c r="A2731" t="s">
        <v>2735</v>
      </c>
      <c r="B2731">
        <v>0.99252571173614901</v>
      </c>
      <c r="C2731">
        <v>0.84528608355269397</v>
      </c>
      <c r="D2731">
        <v>0.95129113488947303</v>
      </c>
      <c r="E2731">
        <v>0.79210092514352504</v>
      </c>
      <c r="F2731">
        <v>0.41902869696851802</v>
      </c>
      <c r="G2731">
        <v>0.120496285834926</v>
      </c>
      <c r="H2731">
        <v>8.2021494640881695E-2</v>
      </c>
      <c r="I2731">
        <v>8.7036579043653903E-2</v>
      </c>
      <c r="J2731">
        <v>9.2039472724902996E-2</v>
      </c>
      <c r="K2731">
        <v>8.5111007729734206E-2</v>
      </c>
      <c r="L2731">
        <v>1363.1429300370201</v>
      </c>
      <c r="M2731">
        <v>26.241471088120502</v>
      </c>
      <c r="N2731">
        <v>52.260081253258299</v>
      </c>
      <c r="O2731">
        <v>51.647278749048702</v>
      </c>
      <c r="P2731">
        <v>-0.11776119171001399</v>
      </c>
      <c r="Q2731">
        <v>7.2921240262003695E-2</v>
      </c>
      <c r="R2731">
        <v>0.98217471625875297</v>
      </c>
      <c r="S2731" t="s">
        <v>9377</v>
      </c>
      <c r="T2731" t="s">
        <v>13290</v>
      </c>
      <c r="U2731" t="s">
        <v>13290</v>
      </c>
      <c r="V2731" t="s">
        <v>13290</v>
      </c>
      <c r="W2731" t="s">
        <v>15981</v>
      </c>
      <c r="X2731">
        <v>65</v>
      </c>
      <c r="Y2731" t="s">
        <v>22516</v>
      </c>
      <c r="Z2731" t="s">
        <v>29061</v>
      </c>
      <c r="AA2731">
        <v>0.44978899581010928</v>
      </c>
      <c r="AB2731" t="str">
        <f>HYPERLINK("Melting_Curves/meltCurve_P49588_AARS.pdf", "Melting_Curves/meltCurve_P49588_AARS.pdf")</f>
        <v>Melting_Curves/meltCurve_P49588_AARS.pdf</v>
      </c>
    </row>
    <row r="2732" spans="1:28" x14ac:dyDescent="0.25">
      <c r="A2732" t="s">
        <v>2736</v>
      </c>
      <c r="B2732">
        <v>0.99252571173614901</v>
      </c>
      <c r="C2732">
        <v>0.98210862505622998</v>
      </c>
      <c r="D2732">
        <v>1.03896139350158</v>
      </c>
      <c r="E2732">
        <v>1.0132429057910799</v>
      </c>
      <c r="F2732">
        <v>0.633986574194629</v>
      </c>
      <c r="G2732">
        <v>0.17066231318504799</v>
      </c>
      <c r="H2732">
        <v>0.11616492636824099</v>
      </c>
      <c r="I2732">
        <v>0.105620123706993</v>
      </c>
      <c r="J2732">
        <v>0.10748578839862</v>
      </c>
      <c r="K2732">
        <v>9.4709755652934699E-2</v>
      </c>
      <c r="L2732">
        <v>2648.1127432025</v>
      </c>
      <c r="M2732">
        <v>49.390962439579802</v>
      </c>
      <c r="N2732">
        <v>53.8791307659396</v>
      </c>
      <c r="O2732">
        <v>53.527656524482602</v>
      </c>
      <c r="P2732">
        <v>-0.20590399559223299</v>
      </c>
      <c r="Q2732">
        <v>0.10740363030509099</v>
      </c>
      <c r="R2732">
        <v>0.99824226004225003</v>
      </c>
      <c r="S2732" t="s">
        <v>9378</v>
      </c>
      <c r="T2732" t="s">
        <v>13290</v>
      </c>
      <c r="U2732" t="s">
        <v>13290</v>
      </c>
      <c r="V2732" t="s">
        <v>13290</v>
      </c>
      <c r="W2732" t="s">
        <v>15982</v>
      </c>
      <c r="X2732">
        <v>33</v>
      </c>
      <c r="Y2732" t="s">
        <v>22517</v>
      </c>
      <c r="Z2732" t="s">
        <v>29062</v>
      </c>
      <c r="AA2732">
        <v>0.51466654799639266</v>
      </c>
      <c r="AB2732" t="str">
        <f>HYPERLINK("Melting_Curves/meltCurve_P49589_3_CARS.pdf", "Melting_Curves/meltCurve_P49589_3_CARS.pdf")</f>
        <v>Melting_Curves/meltCurve_P49589_3_CARS.pdf</v>
      </c>
    </row>
    <row r="2733" spans="1:28" x14ac:dyDescent="0.25">
      <c r="A2733" t="s">
        <v>2737</v>
      </c>
      <c r="B2733">
        <v>0.99252571173614901</v>
      </c>
      <c r="C2733">
        <v>1.0476825588907901</v>
      </c>
      <c r="D2733">
        <v>1.02322268134064</v>
      </c>
      <c r="E2733">
        <v>1.0066388077464901</v>
      </c>
      <c r="F2733">
        <v>0.72807381134069904</v>
      </c>
      <c r="G2733">
        <v>0.19389309551724901</v>
      </c>
      <c r="H2733">
        <v>7.5307267041355E-2</v>
      </c>
      <c r="I2733">
        <v>7.1075109765238398E-2</v>
      </c>
      <c r="J2733">
        <v>7.9970118803647905E-2</v>
      </c>
      <c r="K2733">
        <v>8.0538547710224895E-2</v>
      </c>
      <c r="L2733">
        <v>2400.2192174885899</v>
      </c>
      <c r="M2733">
        <v>44.221611466061702</v>
      </c>
      <c r="N2733">
        <v>54.478094135182097</v>
      </c>
      <c r="O2733">
        <v>54.1664191177614</v>
      </c>
      <c r="P2733">
        <v>-0.18873565907794401</v>
      </c>
      <c r="Q2733">
        <v>7.52828515619135E-2</v>
      </c>
      <c r="R2733">
        <v>0.99818834421507097</v>
      </c>
      <c r="S2733" t="s">
        <v>9379</v>
      </c>
      <c r="T2733" t="s">
        <v>13290</v>
      </c>
      <c r="U2733" t="s">
        <v>13290</v>
      </c>
      <c r="V2733" t="s">
        <v>13290</v>
      </c>
      <c r="W2733" t="s">
        <v>15983</v>
      </c>
      <c r="X2733">
        <v>31</v>
      </c>
      <c r="Y2733" t="s">
        <v>22518</v>
      </c>
      <c r="Z2733" t="s">
        <v>29063</v>
      </c>
      <c r="AA2733">
        <v>0.51818924662564514</v>
      </c>
      <c r="AB2733" t="str">
        <f>HYPERLINK("Melting_Curves/meltCurve_P49591_SARS.pdf", "Melting_Curves/meltCurve_P49591_SARS.pdf")</f>
        <v>Melting_Curves/meltCurve_P49591_SARS.pdf</v>
      </c>
    </row>
    <row r="2734" spans="1:28" x14ac:dyDescent="0.25">
      <c r="A2734" t="s">
        <v>2738</v>
      </c>
      <c r="B2734">
        <v>0.99252571173614901</v>
      </c>
      <c r="C2734">
        <v>0.79653899703049302</v>
      </c>
      <c r="D2734">
        <v>0.53655622485574594</v>
      </c>
      <c r="E2734">
        <v>0.23925765787320799</v>
      </c>
      <c r="F2734">
        <v>0.117387175235129</v>
      </c>
      <c r="G2734">
        <v>5.7507538466486298E-2</v>
      </c>
      <c r="H2734">
        <v>4.4622702819396599E-2</v>
      </c>
      <c r="I2734">
        <v>4.3515935049904503E-2</v>
      </c>
      <c r="J2734">
        <v>4.5880288378128499E-2</v>
      </c>
      <c r="K2734">
        <v>5.2092444285079302E-2</v>
      </c>
      <c r="L2734">
        <v>894.12895435636199</v>
      </c>
      <c r="M2734">
        <v>19.3897800179112</v>
      </c>
      <c r="N2734">
        <v>46.324633352457397</v>
      </c>
      <c r="O2734">
        <v>45.631323921472898</v>
      </c>
      <c r="P2734">
        <v>-0.101740109978879</v>
      </c>
      <c r="Q2734">
        <v>4.23067971300813E-2</v>
      </c>
      <c r="R2734">
        <v>0.99794648419616405</v>
      </c>
      <c r="S2734" t="s">
        <v>9380</v>
      </c>
      <c r="T2734" t="s">
        <v>13290</v>
      </c>
      <c r="U2734" t="s">
        <v>13290</v>
      </c>
      <c r="V2734" t="s">
        <v>13290</v>
      </c>
      <c r="W2734" t="s">
        <v>15984</v>
      </c>
      <c r="X2734">
        <v>8</v>
      </c>
      <c r="Y2734" t="s">
        <v>22519</v>
      </c>
      <c r="Z2734" t="s">
        <v>29064</v>
      </c>
      <c r="AA2734">
        <v>0.25323001433127218</v>
      </c>
      <c r="AB2734" t="str">
        <f>HYPERLINK("Melting_Curves/meltCurve_P49642_PRIM1.pdf", "Melting_Curves/meltCurve_P49642_PRIM1.pdf")</f>
        <v>Melting_Curves/meltCurve_P49642_PRIM1.pdf</v>
      </c>
    </row>
    <row r="2735" spans="1:28" x14ac:dyDescent="0.25">
      <c r="A2735" t="s">
        <v>2739</v>
      </c>
      <c r="B2735">
        <v>0.99252571173614901</v>
      </c>
      <c r="C2735">
        <v>0.82733721970910401</v>
      </c>
      <c r="D2735">
        <v>0.68963045214743302</v>
      </c>
      <c r="E2735">
        <v>0.218844427666364</v>
      </c>
      <c r="F2735">
        <v>8.5257926917869695E-2</v>
      </c>
      <c r="G2735">
        <v>5.1927993904054802E-2</v>
      </c>
      <c r="H2735">
        <v>3.6899686131251698E-2</v>
      </c>
      <c r="I2735">
        <v>4.3447800597980403E-2</v>
      </c>
      <c r="J2735">
        <v>4.0287097542891399E-2</v>
      </c>
      <c r="K2735">
        <v>4.3404472700444598E-2</v>
      </c>
      <c r="L2735">
        <v>1096.2444082720499</v>
      </c>
      <c r="M2735">
        <v>23.3355560851139</v>
      </c>
      <c r="N2735">
        <v>47.120650040961102</v>
      </c>
      <c r="O2735">
        <v>46.636521682954999</v>
      </c>
      <c r="P2735">
        <v>-0.120812267981827</v>
      </c>
      <c r="Q2735">
        <v>3.4235294859546302E-2</v>
      </c>
      <c r="R2735">
        <v>0.99186210632715899</v>
      </c>
      <c r="S2735" t="s">
        <v>9381</v>
      </c>
      <c r="T2735" t="s">
        <v>13290</v>
      </c>
      <c r="U2735" t="s">
        <v>13290</v>
      </c>
      <c r="V2735" t="s">
        <v>13290</v>
      </c>
      <c r="W2735" t="s">
        <v>15985</v>
      </c>
      <c r="X2735">
        <v>4</v>
      </c>
      <c r="Y2735" t="s">
        <v>22520</v>
      </c>
      <c r="Z2735" t="s">
        <v>29065</v>
      </c>
      <c r="AA2735">
        <v>0.26890199473236198</v>
      </c>
      <c r="AB2735" t="str">
        <f>HYPERLINK("Melting_Curves/meltCurve_P49643_PRIM2.pdf", "Melting_Curves/meltCurve_P49643_PRIM2.pdf")</f>
        <v>Melting_Curves/meltCurve_P49643_PRIM2.pdf</v>
      </c>
    </row>
    <row r="2736" spans="1:28" x14ac:dyDescent="0.25">
      <c r="A2736" t="s">
        <v>2740</v>
      </c>
      <c r="B2736">
        <v>0.99252571173614901</v>
      </c>
      <c r="C2736">
        <v>1.10589836294262</v>
      </c>
      <c r="D2736">
        <v>0.91070065377394704</v>
      </c>
      <c r="E2736">
        <v>0.53884750385373703</v>
      </c>
      <c r="F2736">
        <v>0.16746671765372501</v>
      </c>
      <c r="G2736">
        <v>9.6780087449849297E-2</v>
      </c>
      <c r="H2736">
        <v>7.3239145397876307E-2</v>
      </c>
      <c r="I2736">
        <v>8.4681796062225798E-2</v>
      </c>
      <c r="J2736">
        <v>0.11227889130975501</v>
      </c>
      <c r="K2736">
        <v>0.105765831716857</v>
      </c>
      <c r="L2736">
        <v>1673.57596646103</v>
      </c>
      <c r="M2736">
        <v>33.7980941375112</v>
      </c>
      <c r="N2736">
        <v>49.814548323741001</v>
      </c>
      <c r="O2736">
        <v>49.3444874080663</v>
      </c>
      <c r="P2736">
        <v>-0.155578534143993</v>
      </c>
      <c r="Q2736">
        <v>9.1438488522206499E-2</v>
      </c>
      <c r="R2736">
        <v>0.99140671422953197</v>
      </c>
      <c r="S2736" t="s">
        <v>9382</v>
      </c>
      <c r="T2736" t="s">
        <v>13290</v>
      </c>
      <c r="U2736" t="s">
        <v>13290</v>
      </c>
      <c r="V2736" t="s">
        <v>13290</v>
      </c>
      <c r="W2736" t="s">
        <v>15986</v>
      </c>
      <c r="X2736">
        <v>12</v>
      </c>
      <c r="Y2736" t="s">
        <v>22521</v>
      </c>
      <c r="Z2736" t="s">
        <v>29066</v>
      </c>
      <c r="AA2736">
        <v>0.38403736109483572</v>
      </c>
      <c r="AB2736" t="str">
        <f>HYPERLINK("Melting_Curves/meltCurve_P49662_CASP4.pdf", "Melting_Curves/meltCurve_P49662_CASP4.pdf")</f>
        <v>Melting_Curves/meltCurve_P49662_CASP4.pdf</v>
      </c>
    </row>
    <row r="2737" spans="1:28" x14ac:dyDescent="0.25">
      <c r="A2737" t="s">
        <v>2741</v>
      </c>
      <c r="B2737">
        <v>0.99252571173614901</v>
      </c>
      <c r="C2737">
        <v>1.0061790741591401</v>
      </c>
      <c r="D2737">
        <v>0.87869500490997099</v>
      </c>
      <c r="E2737">
        <v>0.59221288851596499</v>
      </c>
      <c r="F2737">
        <v>0.28219490630313399</v>
      </c>
      <c r="G2737">
        <v>0.109750543886579</v>
      </c>
      <c r="H2737">
        <v>7.1874401733966906E-2</v>
      </c>
      <c r="I2737">
        <v>6.3514875064355505E-2</v>
      </c>
      <c r="J2737">
        <v>6.6362380407901697E-2</v>
      </c>
      <c r="K2737">
        <v>6.16639739817052E-2</v>
      </c>
      <c r="L2737">
        <v>1103.82136550419</v>
      </c>
      <c r="M2737">
        <v>21.972098085555899</v>
      </c>
      <c r="N2737">
        <v>50.509007427944901</v>
      </c>
      <c r="O2737">
        <v>49.826830018431899</v>
      </c>
      <c r="P2737">
        <v>-0.104102224905609</v>
      </c>
      <c r="Q2737">
        <v>5.5717386784994598E-2</v>
      </c>
      <c r="R2737">
        <v>0.99910993201561604</v>
      </c>
      <c r="S2737" t="s">
        <v>9383</v>
      </c>
      <c r="T2737" t="s">
        <v>13290</v>
      </c>
      <c r="U2737" t="s">
        <v>13290</v>
      </c>
      <c r="V2737" t="s">
        <v>13290</v>
      </c>
      <c r="W2737" t="s">
        <v>15987</v>
      </c>
      <c r="X2737">
        <v>10</v>
      </c>
      <c r="Y2737" t="s">
        <v>22522</v>
      </c>
      <c r="Z2737" t="s">
        <v>29067</v>
      </c>
      <c r="AA2737">
        <v>0.38888407011955839</v>
      </c>
      <c r="AB2737" t="str">
        <f>HYPERLINK("Melting_Curves/meltCurve_P49674_CSNK1E.pdf", "Melting_Curves/meltCurve_P49674_CSNK1E.pdf")</f>
        <v>Melting_Curves/meltCurve_P49674_CSNK1E.pdf</v>
      </c>
    </row>
    <row r="2738" spans="1:28" x14ac:dyDescent="0.25">
      <c r="A2738" t="s">
        <v>2742</v>
      </c>
      <c r="B2738">
        <v>0.99252571173614901</v>
      </c>
      <c r="C2738">
        <v>1.12158785282173</v>
      </c>
      <c r="D2738">
        <v>0.92736970009255404</v>
      </c>
      <c r="E2738">
        <v>0.99075127329691204</v>
      </c>
      <c r="F2738">
        <v>0.66118389468157701</v>
      </c>
      <c r="G2738">
        <v>0.48737614682619201</v>
      </c>
      <c r="H2738">
        <v>0.499875992410801</v>
      </c>
      <c r="I2738">
        <v>0.52584570227479699</v>
      </c>
      <c r="J2738">
        <v>0.55995863486258901</v>
      </c>
      <c r="K2738">
        <v>0.538406595252094</v>
      </c>
      <c r="L2738">
        <v>13252.5580429904</v>
      </c>
      <c r="M2738">
        <v>250</v>
      </c>
      <c r="O2738">
        <v>53.006839137472497</v>
      </c>
      <c r="P2738">
        <v>-0.56326149491441901</v>
      </c>
      <c r="Q2738">
        <v>0.522292610716242</v>
      </c>
      <c r="R2738">
        <v>0.95730543578564598</v>
      </c>
      <c r="S2738" t="s">
        <v>9384</v>
      </c>
      <c r="T2738" t="s">
        <v>13290</v>
      </c>
      <c r="U2738" t="s">
        <v>13290</v>
      </c>
      <c r="V2738" t="s">
        <v>13290</v>
      </c>
      <c r="W2738" t="s">
        <v>15988</v>
      </c>
      <c r="X2738">
        <v>9</v>
      </c>
      <c r="Y2738" t="s">
        <v>22523</v>
      </c>
      <c r="Z2738" t="s">
        <v>29068</v>
      </c>
      <c r="AA2738">
        <v>0.72950652101479407</v>
      </c>
      <c r="AB2738" t="str">
        <f>HYPERLINK("Melting_Curves/meltCurve_P49711_2_CTCF.pdf", "Melting_Curves/meltCurve_P49711_2_CTCF.pdf")</f>
        <v>Melting_Curves/meltCurve_P49711_2_CTCF.pdf</v>
      </c>
    </row>
    <row r="2739" spans="1:28" x14ac:dyDescent="0.25">
      <c r="A2739" t="s">
        <v>2743</v>
      </c>
      <c r="B2739">
        <v>0.99252571173614901</v>
      </c>
      <c r="C2739">
        <v>0.91250539300707101</v>
      </c>
      <c r="D2739">
        <v>1.2814530349651401</v>
      </c>
      <c r="E2739">
        <v>1.2359802043682</v>
      </c>
      <c r="F2739">
        <v>1.3177600286242599</v>
      </c>
      <c r="G2739">
        <v>1.3036994787262699</v>
      </c>
      <c r="H2739">
        <v>2.1536550469091602</v>
      </c>
      <c r="I2739">
        <v>3.3571482016852499</v>
      </c>
      <c r="J2739">
        <v>5.3999132359372402</v>
      </c>
      <c r="K2739">
        <v>3.2644222441059001</v>
      </c>
      <c r="L2739">
        <v>1191.1581320607199</v>
      </c>
      <c r="M2739">
        <v>24.717006493663099</v>
      </c>
      <c r="O2739">
        <v>47.879714080311402</v>
      </c>
      <c r="P2739">
        <v>6.4529818871470301E-2</v>
      </c>
      <c r="Q2739">
        <v>1.5</v>
      </c>
      <c r="R2739">
        <v>-0.16681980010407299</v>
      </c>
      <c r="S2739" t="s">
        <v>9385</v>
      </c>
      <c r="T2739" t="s">
        <v>13290</v>
      </c>
      <c r="U2739" t="s">
        <v>13290</v>
      </c>
      <c r="V2739" t="s">
        <v>13290</v>
      </c>
      <c r="W2739" t="s">
        <v>15989</v>
      </c>
      <c r="X2739">
        <v>11</v>
      </c>
      <c r="Y2739" t="s">
        <v>22524</v>
      </c>
      <c r="Z2739" t="s">
        <v>29069</v>
      </c>
      <c r="AA2739">
        <v>1.358943516934465</v>
      </c>
      <c r="AB2739" t="str">
        <f>HYPERLINK("Melting_Curves/meltCurve_P49720_PSMB3.pdf", "Melting_Curves/meltCurve_P49720_PSMB3.pdf")</f>
        <v>Melting_Curves/meltCurve_P49720_PSMB3.pdf</v>
      </c>
    </row>
    <row r="2740" spans="1:28" x14ac:dyDescent="0.25">
      <c r="A2740" t="s">
        <v>2744</v>
      </c>
      <c r="B2740">
        <v>0.99252571173614901</v>
      </c>
      <c r="C2740">
        <v>1.05429265285697</v>
      </c>
      <c r="D2740">
        <v>1.1319618580172801</v>
      </c>
      <c r="E2740">
        <v>1.4892855266574001</v>
      </c>
      <c r="F2740">
        <v>1.2099046224641401</v>
      </c>
      <c r="G2740">
        <v>1.0565269020790899</v>
      </c>
      <c r="H2740">
        <v>1.4798508275065301</v>
      </c>
      <c r="I2740">
        <v>2.2771554302128698</v>
      </c>
      <c r="J2740">
        <v>3.4269339322973802</v>
      </c>
      <c r="K2740">
        <v>2.0431668817115698</v>
      </c>
      <c r="L2740">
        <v>928.94908947127306</v>
      </c>
      <c r="M2740">
        <v>19.430431765639501</v>
      </c>
      <c r="O2740">
        <v>47.311223274871701</v>
      </c>
      <c r="P2740">
        <v>5.1338621947833098E-2</v>
      </c>
      <c r="Q2740">
        <v>1.5</v>
      </c>
      <c r="R2740">
        <v>8.7623148753884106E-2</v>
      </c>
      <c r="S2740" t="s">
        <v>9386</v>
      </c>
      <c r="T2740" t="s">
        <v>13290</v>
      </c>
      <c r="U2740" t="s">
        <v>13290</v>
      </c>
      <c r="V2740" t="s">
        <v>13290</v>
      </c>
      <c r="W2740" t="s">
        <v>15990</v>
      </c>
      <c r="X2740">
        <v>14</v>
      </c>
      <c r="Y2740" t="s">
        <v>22525</v>
      </c>
      <c r="Z2740" t="s">
        <v>29070</v>
      </c>
      <c r="AA2740">
        <v>1.36226058058185</v>
      </c>
      <c r="AB2740" t="str">
        <f>HYPERLINK("Melting_Curves/meltCurve_P49721_PSMB2.pdf", "Melting_Curves/meltCurve_P49721_PSMB2.pdf")</f>
        <v>Melting_Curves/meltCurve_P49721_PSMB2.pdf</v>
      </c>
    </row>
    <row r="2741" spans="1:28" x14ac:dyDescent="0.25">
      <c r="A2741" t="s">
        <v>2745</v>
      </c>
      <c r="B2741">
        <v>0.99252571173614901</v>
      </c>
      <c r="C2741">
        <v>0.89854607117128105</v>
      </c>
      <c r="D2741">
        <v>1.03393483401095</v>
      </c>
      <c r="E2741">
        <v>0.77755697542574598</v>
      </c>
      <c r="F2741">
        <v>0.171646476466876</v>
      </c>
      <c r="G2741">
        <v>0.10232048413955699</v>
      </c>
      <c r="H2741">
        <v>7.2866900075278004E-2</v>
      </c>
      <c r="I2741">
        <v>8.9169889445965503E-2</v>
      </c>
      <c r="J2741">
        <v>9.35962989740447E-2</v>
      </c>
      <c r="K2741">
        <v>9.5660101639039305E-2</v>
      </c>
      <c r="L2741">
        <v>2558.2129134094398</v>
      </c>
      <c r="M2741">
        <v>50.435277825687301</v>
      </c>
      <c r="N2741">
        <v>50.923475489413399</v>
      </c>
      <c r="O2741">
        <v>50.643122384733203</v>
      </c>
      <c r="P2741">
        <v>-0.22652335038048099</v>
      </c>
      <c r="Q2741">
        <v>9.0173077394471696E-2</v>
      </c>
      <c r="R2741">
        <v>0.99262231266508605</v>
      </c>
      <c r="S2741" t="s">
        <v>9387</v>
      </c>
      <c r="T2741" t="s">
        <v>13290</v>
      </c>
      <c r="U2741" t="s">
        <v>13290</v>
      </c>
      <c r="V2741" t="s">
        <v>13290</v>
      </c>
      <c r="W2741" t="s">
        <v>13651</v>
      </c>
      <c r="X2741">
        <v>24</v>
      </c>
      <c r="Y2741" t="s">
        <v>22526</v>
      </c>
      <c r="Z2741" t="s">
        <v>29071</v>
      </c>
      <c r="AA2741">
        <v>0.41736655177970372</v>
      </c>
      <c r="AB2741" t="str">
        <f>HYPERLINK("Melting_Curves/meltCurve_P49736_MCM2.pdf", "Melting_Curves/meltCurve_P49736_MCM2.pdf")</f>
        <v>Melting_Curves/meltCurve_P49736_MCM2.pdf</v>
      </c>
    </row>
    <row r="2742" spans="1:28" x14ac:dyDescent="0.25">
      <c r="A2742" t="s">
        <v>2746</v>
      </c>
      <c r="B2742">
        <v>0.99252571173614901</v>
      </c>
      <c r="C2742">
        <v>0.96937367769028804</v>
      </c>
      <c r="D2742">
        <v>0.91639321355120695</v>
      </c>
      <c r="E2742">
        <v>0.94857350139716201</v>
      </c>
      <c r="F2742">
        <v>0.87173551404034499</v>
      </c>
      <c r="G2742">
        <v>0.53270766306745498</v>
      </c>
      <c r="H2742">
        <v>0.256165774061208</v>
      </c>
      <c r="I2742">
        <v>0.12670359129481201</v>
      </c>
      <c r="J2742">
        <v>0.100355629029401</v>
      </c>
      <c r="K2742">
        <v>8.9366708952167695E-2</v>
      </c>
      <c r="L2742">
        <v>1326.1537430809999</v>
      </c>
      <c r="M2742">
        <v>23.3045202567315</v>
      </c>
      <c r="N2742">
        <v>57.296742354934601</v>
      </c>
      <c r="O2742">
        <v>56.491401061119703</v>
      </c>
      <c r="P2742">
        <v>-9.5547247428979507E-2</v>
      </c>
      <c r="Q2742">
        <v>7.3570166469858103E-2</v>
      </c>
      <c r="R2742">
        <v>0.99376916087015699</v>
      </c>
      <c r="S2742" t="s">
        <v>9388</v>
      </c>
      <c r="T2742" t="s">
        <v>13290</v>
      </c>
      <c r="U2742" t="s">
        <v>13290</v>
      </c>
      <c r="V2742" t="s">
        <v>13290</v>
      </c>
      <c r="W2742" t="s">
        <v>15991</v>
      </c>
      <c r="X2742">
        <v>33</v>
      </c>
      <c r="Y2742" t="s">
        <v>22527</v>
      </c>
      <c r="Z2742" t="s">
        <v>29072</v>
      </c>
      <c r="AA2742">
        <v>0.60492716950794556</v>
      </c>
      <c r="AB2742" t="str">
        <f>HYPERLINK("Melting_Curves/meltCurve_P49748_2_ACADVL.pdf", "Melting_Curves/meltCurve_P49748_2_ACADVL.pdf")</f>
        <v>Melting_Curves/meltCurve_P49748_2_ACADVL.pdf</v>
      </c>
    </row>
    <row r="2743" spans="1:28" x14ac:dyDescent="0.25">
      <c r="A2743" t="s">
        <v>2747</v>
      </c>
      <c r="B2743">
        <v>0.99252571173614901</v>
      </c>
      <c r="C2743">
        <v>0.94242112973489001</v>
      </c>
      <c r="D2743">
        <v>0.93122108647119695</v>
      </c>
      <c r="E2743">
        <v>0.63764226754848596</v>
      </c>
      <c r="F2743">
        <v>0.28694113879677702</v>
      </c>
      <c r="G2743">
        <v>0.16692230599041399</v>
      </c>
      <c r="H2743">
        <v>0.14762703327732199</v>
      </c>
      <c r="I2743">
        <v>0.17583872573124901</v>
      </c>
      <c r="J2743">
        <v>0.26910736239239502</v>
      </c>
      <c r="K2743">
        <v>0.353007972765153</v>
      </c>
      <c r="L2743">
        <v>1758.8603411880999</v>
      </c>
      <c r="M2743">
        <v>35.376448555806903</v>
      </c>
      <c r="N2743">
        <v>50.549635625987897</v>
      </c>
      <c r="O2743">
        <v>49.560331782508499</v>
      </c>
      <c r="P2743">
        <v>-0.13909719546767199</v>
      </c>
      <c r="Q2743">
        <v>0.220534575534864</v>
      </c>
      <c r="R2743">
        <v>0.96801746323142501</v>
      </c>
      <c r="S2743" t="s">
        <v>9389</v>
      </c>
      <c r="T2743" t="s">
        <v>13290</v>
      </c>
      <c r="U2743" t="s">
        <v>13290</v>
      </c>
      <c r="V2743" t="s">
        <v>13290</v>
      </c>
      <c r="W2743" t="s">
        <v>15992</v>
      </c>
      <c r="X2743">
        <v>20</v>
      </c>
      <c r="Y2743" t="s">
        <v>22528</v>
      </c>
      <c r="Z2743" t="s">
        <v>29073</v>
      </c>
      <c r="AA2743">
        <v>0.47647541576614361</v>
      </c>
      <c r="AB2743" t="str">
        <f>HYPERLINK("Melting_Curves/meltCurve_P49750_4_YLPM1.pdf", "Melting_Curves/meltCurve_P49750_4_YLPM1.pdf")</f>
        <v>Melting_Curves/meltCurve_P49750_4_YLPM1.pdf</v>
      </c>
    </row>
    <row r="2744" spans="1:28" x14ac:dyDescent="0.25">
      <c r="A2744" t="s">
        <v>2748</v>
      </c>
      <c r="B2744">
        <v>0.99252571173614901</v>
      </c>
      <c r="C2744">
        <v>0.98026686833012899</v>
      </c>
      <c r="D2744">
        <v>0.85823702764978904</v>
      </c>
      <c r="E2744">
        <v>0.69493510379962498</v>
      </c>
      <c r="F2744">
        <v>0.380067145266545</v>
      </c>
      <c r="G2744">
        <v>0.21718736938173799</v>
      </c>
      <c r="H2744">
        <v>0.12741323900005899</v>
      </c>
      <c r="I2744">
        <v>8.9526113951181902E-2</v>
      </c>
      <c r="J2744">
        <v>4.1807074594219701E-2</v>
      </c>
      <c r="K2744">
        <v>5.4644278719082499E-2</v>
      </c>
      <c r="L2744">
        <v>841.92794206038798</v>
      </c>
      <c r="M2744">
        <v>16.330850409001201</v>
      </c>
      <c r="N2744">
        <v>51.82114786999</v>
      </c>
      <c r="O2744">
        <v>50.800016624576699</v>
      </c>
      <c r="P2744">
        <v>-7.7134569906169501E-2</v>
      </c>
      <c r="Q2744">
        <v>4.0306451298599499E-2</v>
      </c>
      <c r="R2744">
        <v>0.99815411887683303</v>
      </c>
      <c r="S2744" t="s">
        <v>9390</v>
      </c>
      <c r="T2744" t="s">
        <v>13290</v>
      </c>
      <c r="U2744" t="s">
        <v>13290</v>
      </c>
      <c r="V2744" t="s">
        <v>13290</v>
      </c>
      <c r="W2744" t="s">
        <v>15993</v>
      </c>
      <c r="X2744">
        <v>23</v>
      </c>
      <c r="Y2744" t="s">
        <v>22529</v>
      </c>
      <c r="Z2744" t="s">
        <v>29074</v>
      </c>
      <c r="AA2744">
        <v>0.42890024948175148</v>
      </c>
      <c r="AB2744" t="str">
        <f>HYPERLINK("Melting_Curves/meltCurve_P49753_ACOT2.pdf", "Melting_Curves/meltCurve_P49753_ACOT2.pdf")</f>
        <v>Melting_Curves/meltCurve_P49753_ACOT2.pdf</v>
      </c>
    </row>
    <row r="2745" spans="1:28" x14ac:dyDescent="0.25">
      <c r="A2745" t="s">
        <v>2749</v>
      </c>
      <c r="B2745">
        <v>0.99252571173614901</v>
      </c>
      <c r="C2745">
        <v>0.82637106397746396</v>
      </c>
      <c r="D2745">
        <v>0.78219549388314802</v>
      </c>
      <c r="E2745">
        <v>0.73754910859705003</v>
      </c>
      <c r="F2745">
        <v>0.421878452196422</v>
      </c>
      <c r="G2745">
        <v>0.20756687426902401</v>
      </c>
      <c r="H2745">
        <v>7.9490401425791002E-2</v>
      </c>
      <c r="I2745">
        <v>7.8749388406623599E-2</v>
      </c>
      <c r="J2745">
        <v>0.10271758961156</v>
      </c>
      <c r="K2745">
        <v>9.5679367730023002E-2</v>
      </c>
      <c r="L2745">
        <v>668.33329040490901</v>
      </c>
      <c r="M2745">
        <v>12.9596513833907</v>
      </c>
      <c r="N2745">
        <v>51.748012908478401</v>
      </c>
      <c r="O2745">
        <v>50.388729155858101</v>
      </c>
      <c r="P2745">
        <v>-6.2910260580592597E-2</v>
      </c>
      <c r="Q2745">
        <v>2.1763394016323E-2</v>
      </c>
      <c r="R2745">
        <v>0.97199500113093196</v>
      </c>
      <c r="S2745" t="s">
        <v>9391</v>
      </c>
      <c r="T2745" t="s">
        <v>13290</v>
      </c>
      <c r="U2745" t="s">
        <v>13290</v>
      </c>
      <c r="V2745" t="s">
        <v>13290</v>
      </c>
      <c r="W2745" t="s">
        <v>15994</v>
      </c>
      <c r="X2745">
        <v>14</v>
      </c>
      <c r="Y2745" t="s">
        <v>22530</v>
      </c>
      <c r="Z2745" t="s">
        <v>29075</v>
      </c>
      <c r="AA2745">
        <v>0.4267139192491784</v>
      </c>
      <c r="AB2745" t="str">
        <f>HYPERLINK("Melting_Curves/meltCurve_P49755_TMED10.pdf", "Melting_Curves/meltCurve_P49755_TMED10.pdf")</f>
        <v>Melting_Curves/meltCurve_P49755_TMED10.pdf</v>
      </c>
    </row>
    <row r="2746" spans="1:28" x14ac:dyDescent="0.25">
      <c r="A2746" t="s">
        <v>2750</v>
      </c>
      <c r="B2746">
        <v>0.99252571173614901</v>
      </c>
      <c r="C2746">
        <v>1.0129886087576701</v>
      </c>
      <c r="D2746">
        <v>0.64997146660037097</v>
      </c>
      <c r="E2746">
        <v>0.44010738324097098</v>
      </c>
      <c r="F2746">
        <v>0.21944064477425201</v>
      </c>
      <c r="G2746">
        <v>0.140370837204012</v>
      </c>
      <c r="H2746">
        <v>0.11969196595739701</v>
      </c>
      <c r="I2746">
        <v>0.119270473733589</v>
      </c>
      <c r="J2746">
        <v>0.157922841861899</v>
      </c>
      <c r="K2746">
        <v>0.151190157624944</v>
      </c>
      <c r="L2746">
        <v>1009.1793561365801</v>
      </c>
      <c r="M2746">
        <v>21.179799355161901</v>
      </c>
      <c r="N2746">
        <v>48.351510543381799</v>
      </c>
      <c r="O2746">
        <v>47.229542731068904</v>
      </c>
      <c r="P2746">
        <v>-9.7250908286092397E-2</v>
      </c>
      <c r="Q2746">
        <v>0.132570470109804</v>
      </c>
      <c r="R2746">
        <v>0.98513292301178901</v>
      </c>
      <c r="S2746" t="s">
        <v>9392</v>
      </c>
      <c r="T2746" t="s">
        <v>13290</v>
      </c>
      <c r="U2746" t="s">
        <v>13290</v>
      </c>
      <c r="V2746" t="s">
        <v>13290</v>
      </c>
      <c r="W2746" t="s">
        <v>15995</v>
      </c>
      <c r="X2746">
        <v>30</v>
      </c>
      <c r="Y2746" t="s">
        <v>22531</v>
      </c>
      <c r="Z2746" t="s">
        <v>29076</v>
      </c>
      <c r="AA2746">
        <v>0.36469746954837101</v>
      </c>
      <c r="AB2746" t="str">
        <f>HYPERLINK("Melting_Curves/meltCurve_P49756_RBM25.pdf", "Melting_Curves/meltCurve_P49756_RBM25.pdf")</f>
        <v>Melting_Curves/meltCurve_P49756_RBM25.pdf</v>
      </c>
    </row>
    <row r="2747" spans="1:28" x14ac:dyDescent="0.25">
      <c r="A2747" t="s">
        <v>2751</v>
      </c>
      <c r="B2747">
        <v>0.99252571173614901</v>
      </c>
      <c r="C2747">
        <v>0.98188629887674295</v>
      </c>
      <c r="D2747">
        <v>0.92900461446957405</v>
      </c>
      <c r="E2747">
        <v>0.83283589114492296</v>
      </c>
      <c r="F2747">
        <v>0.40023991924531599</v>
      </c>
      <c r="G2747">
        <v>0.18288003933740499</v>
      </c>
      <c r="H2747">
        <v>0.141896673865543</v>
      </c>
      <c r="I2747">
        <v>0.13955833889321201</v>
      </c>
      <c r="J2747">
        <v>0.145161821850605</v>
      </c>
      <c r="K2747">
        <v>0.12159326701709</v>
      </c>
      <c r="L2747">
        <v>1556.57264092579</v>
      </c>
      <c r="M2747">
        <v>30.045838323762499</v>
      </c>
      <c r="N2747">
        <v>52.339647222033904</v>
      </c>
      <c r="O2747">
        <v>51.578730175305601</v>
      </c>
      <c r="P2747">
        <v>-0.12643659740732499</v>
      </c>
      <c r="Q2747">
        <v>0.131806990626429</v>
      </c>
      <c r="R2747">
        <v>0.99748163807865697</v>
      </c>
      <c r="S2747" t="s">
        <v>9393</v>
      </c>
      <c r="T2747" t="s">
        <v>13290</v>
      </c>
      <c r="U2747" t="s">
        <v>13290</v>
      </c>
      <c r="V2747" t="s">
        <v>13290</v>
      </c>
      <c r="W2747" t="s">
        <v>15996</v>
      </c>
      <c r="X2747">
        <v>14</v>
      </c>
      <c r="Y2747" t="s">
        <v>22532</v>
      </c>
      <c r="Z2747" t="s">
        <v>29077</v>
      </c>
      <c r="AA2747">
        <v>0.47900074425189482</v>
      </c>
      <c r="AB2747" t="str">
        <f>HYPERLINK("Melting_Curves/meltCurve_P49757_4_NUMB.pdf", "Melting_Curves/meltCurve_P49757_4_NUMB.pdf")</f>
        <v>Melting_Curves/meltCurve_P49757_4_NUMB.pdf</v>
      </c>
    </row>
    <row r="2748" spans="1:28" x14ac:dyDescent="0.25">
      <c r="A2748" t="s">
        <v>2752</v>
      </c>
      <c r="B2748">
        <v>0.99252571173614901</v>
      </c>
      <c r="C2748">
        <v>0.90105499970761205</v>
      </c>
      <c r="D2748">
        <v>0.97413909920715402</v>
      </c>
      <c r="E2748">
        <v>0.87393031614241901</v>
      </c>
      <c r="F2748">
        <v>0.82577677073273303</v>
      </c>
      <c r="G2748">
        <v>0.48129891789879697</v>
      </c>
      <c r="H2748">
        <v>0.18009913022617499</v>
      </c>
      <c r="I2748">
        <v>0.16496342561918401</v>
      </c>
      <c r="J2748">
        <v>0.153771768105364</v>
      </c>
      <c r="K2748">
        <v>0.169072472773032</v>
      </c>
      <c r="L2748">
        <v>1423.9081949875299</v>
      </c>
      <c r="M2748">
        <v>25.556269124622499</v>
      </c>
      <c r="N2748">
        <v>56.422069951376102</v>
      </c>
      <c r="O2748">
        <v>55.378819695450801</v>
      </c>
      <c r="P2748">
        <v>-9.95936475783116E-2</v>
      </c>
      <c r="Q2748">
        <v>0.136758361461772</v>
      </c>
      <c r="R2748">
        <v>0.98232437999447997</v>
      </c>
      <c r="S2748" t="s">
        <v>9394</v>
      </c>
      <c r="T2748" t="s">
        <v>13290</v>
      </c>
      <c r="U2748" t="s">
        <v>13290</v>
      </c>
      <c r="V2748" t="s">
        <v>13290</v>
      </c>
      <c r="W2748" t="s">
        <v>15997</v>
      </c>
      <c r="X2748">
        <v>16</v>
      </c>
      <c r="Y2748" t="s">
        <v>22533</v>
      </c>
      <c r="Z2748" t="s">
        <v>29078</v>
      </c>
      <c r="AA2748">
        <v>0.5966562024888904</v>
      </c>
      <c r="AB2748" t="str">
        <f>HYPERLINK("Melting_Curves/meltCurve_P49770_EIF2B2.pdf", "Melting_Curves/meltCurve_P49770_EIF2B2.pdf")</f>
        <v>Melting_Curves/meltCurve_P49770_EIF2B2.pdf</v>
      </c>
    </row>
    <row r="2749" spans="1:28" x14ac:dyDescent="0.25">
      <c r="A2749" t="s">
        <v>2753</v>
      </c>
      <c r="B2749">
        <v>0.99252571173614901</v>
      </c>
      <c r="C2749">
        <v>1.14701268027536</v>
      </c>
      <c r="D2749">
        <v>1.02812071473387</v>
      </c>
      <c r="E2749">
        <v>0.97395748607321697</v>
      </c>
      <c r="F2749">
        <v>0.716129161322414</v>
      </c>
      <c r="G2749">
        <v>0.53277211490833998</v>
      </c>
      <c r="H2749">
        <v>0.39278941330284101</v>
      </c>
      <c r="I2749">
        <v>0.23508652687321499</v>
      </c>
      <c r="J2749">
        <v>0.28548876232367798</v>
      </c>
      <c r="K2749">
        <v>0.34720319981507902</v>
      </c>
      <c r="L2749">
        <v>1256.0985077431301</v>
      </c>
      <c r="M2749">
        <v>22.947168027389601</v>
      </c>
      <c r="N2749">
        <v>56.898034326808201</v>
      </c>
      <c r="O2749">
        <v>54.328093870470397</v>
      </c>
      <c r="P2749">
        <v>-7.4899716802415806E-2</v>
      </c>
      <c r="Q2749">
        <v>0.29070429624807897</v>
      </c>
      <c r="R2749">
        <v>0.96528948100515899</v>
      </c>
      <c r="S2749" t="s">
        <v>9395</v>
      </c>
      <c r="T2749" t="s">
        <v>13290</v>
      </c>
      <c r="U2749" t="s">
        <v>13290</v>
      </c>
      <c r="V2749" t="s">
        <v>13290</v>
      </c>
      <c r="W2749" t="s">
        <v>15998</v>
      </c>
      <c r="X2749">
        <v>11</v>
      </c>
      <c r="Y2749" t="s">
        <v>22534</v>
      </c>
      <c r="Z2749" t="s">
        <v>29079</v>
      </c>
      <c r="AA2749">
        <v>0.64679100516455368</v>
      </c>
      <c r="AB2749" t="str">
        <f>HYPERLINK("Melting_Curves/meltCurve_P49773_HINT1.pdf", "Melting_Curves/meltCurve_P49773_HINT1.pdf")</f>
        <v>Melting_Curves/meltCurve_P49773_HINT1.pdf</v>
      </c>
    </row>
    <row r="2750" spans="1:28" x14ac:dyDescent="0.25">
      <c r="A2750" t="s">
        <v>2754</v>
      </c>
      <c r="B2750">
        <v>0.99252571173614901</v>
      </c>
      <c r="C2750">
        <v>1.0961172536947801</v>
      </c>
      <c r="D2750">
        <v>0.97049977480273197</v>
      </c>
      <c r="E2750">
        <v>0.75192369836818496</v>
      </c>
      <c r="F2750">
        <v>0.77848801371300203</v>
      </c>
      <c r="G2750">
        <v>0.63417379736776402</v>
      </c>
      <c r="H2750">
        <v>0.65590536574997105</v>
      </c>
      <c r="I2750">
        <v>0.65626699505361397</v>
      </c>
      <c r="J2750">
        <v>0.80957353082403105</v>
      </c>
      <c r="K2750">
        <v>0.68097184506367503</v>
      </c>
      <c r="L2750">
        <v>2315.8724511681799</v>
      </c>
      <c r="M2750">
        <v>48.134958612030502</v>
      </c>
      <c r="O2750">
        <v>48.029269617781502</v>
      </c>
      <c r="P2750">
        <v>-7.4883985943239598E-2</v>
      </c>
      <c r="Q2750">
        <v>0.70112217756251405</v>
      </c>
      <c r="R2750">
        <v>0.85078353322637701</v>
      </c>
      <c r="S2750" t="s">
        <v>9396</v>
      </c>
      <c r="T2750" t="s">
        <v>13290</v>
      </c>
      <c r="U2750" t="s">
        <v>13290</v>
      </c>
      <c r="V2750" t="s">
        <v>13290</v>
      </c>
      <c r="W2750" t="s">
        <v>15999</v>
      </c>
      <c r="X2750">
        <v>3</v>
      </c>
      <c r="Y2750" t="s">
        <v>22535</v>
      </c>
      <c r="Z2750" t="s">
        <v>29080</v>
      </c>
      <c r="AA2750">
        <v>0.78262450731140387</v>
      </c>
      <c r="AB2750" t="str">
        <f>HYPERLINK("Melting_Curves/meltCurve_P49789_FHIT.pdf", "Melting_Curves/meltCurve_P49789_FHIT.pdf")</f>
        <v>Melting_Curves/meltCurve_P49789_FHIT.pdf</v>
      </c>
    </row>
    <row r="2751" spans="1:28" x14ac:dyDescent="0.25">
      <c r="A2751" t="s">
        <v>2755</v>
      </c>
      <c r="B2751">
        <v>0.99252571173614901</v>
      </c>
      <c r="C2751">
        <v>0.90999629963625694</v>
      </c>
      <c r="D2751">
        <v>1.07914633150479</v>
      </c>
      <c r="E2751">
        <v>1.0739169950832099</v>
      </c>
      <c r="F2751">
        <v>0.75945785510451902</v>
      </c>
      <c r="G2751">
        <v>0.52971971385898797</v>
      </c>
      <c r="H2751">
        <v>0.40630770890641699</v>
      </c>
      <c r="I2751">
        <v>0.381730677382424</v>
      </c>
      <c r="J2751">
        <v>0.61115258932516303</v>
      </c>
      <c r="K2751">
        <v>0.92516774193491202</v>
      </c>
      <c r="L2751">
        <v>13287.0700886221</v>
      </c>
      <c r="M2751">
        <v>250</v>
      </c>
      <c r="O2751">
        <v>53.1448790596883</v>
      </c>
      <c r="P2751">
        <v>-0.50473386037697898</v>
      </c>
      <c r="Q2751">
        <v>0.57081567975899195</v>
      </c>
      <c r="R2751">
        <v>0.67305041692272405</v>
      </c>
      <c r="S2751" t="s">
        <v>9397</v>
      </c>
      <c r="T2751" t="s">
        <v>13290</v>
      </c>
      <c r="U2751" t="s">
        <v>13290</v>
      </c>
      <c r="V2751" t="s">
        <v>13290</v>
      </c>
      <c r="W2751" t="s">
        <v>16000</v>
      </c>
      <c r="X2751">
        <v>44</v>
      </c>
      <c r="Y2751" t="s">
        <v>22536</v>
      </c>
      <c r="Z2751" t="s">
        <v>29081</v>
      </c>
      <c r="AA2751">
        <v>0.75895690388034454</v>
      </c>
      <c r="AB2751" t="str">
        <f>HYPERLINK("Melting_Curves/meltCurve_P49790_NUP153.pdf", "Melting_Curves/meltCurve_P49790_NUP153.pdf")</f>
        <v>Melting_Curves/meltCurve_P49790_NUP153.pdf</v>
      </c>
    </row>
    <row r="2752" spans="1:28" x14ac:dyDescent="0.25">
      <c r="A2752" t="s">
        <v>2756</v>
      </c>
      <c r="B2752">
        <v>0.99252571173614901</v>
      </c>
      <c r="C2752">
        <v>0.86113765767178996</v>
      </c>
      <c r="D2752">
        <v>0.73739370490462497</v>
      </c>
      <c r="E2752">
        <v>0.42340051273562102</v>
      </c>
      <c r="F2752">
        <v>0.249026541199038</v>
      </c>
      <c r="G2752">
        <v>0.16123384178581701</v>
      </c>
      <c r="H2752">
        <v>0.122486495580255</v>
      </c>
      <c r="I2752">
        <v>0.128649007306542</v>
      </c>
      <c r="J2752">
        <v>0.16452594219743499</v>
      </c>
      <c r="K2752">
        <v>0.18449277009551801</v>
      </c>
      <c r="L2752">
        <v>893.46469218644995</v>
      </c>
      <c r="M2752">
        <v>18.725208802958999</v>
      </c>
      <c r="N2752">
        <v>48.563001231258099</v>
      </c>
      <c r="O2752">
        <v>47.180342433449603</v>
      </c>
      <c r="P2752">
        <v>-8.5382284059175195E-2</v>
      </c>
      <c r="Q2752">
        <v>0.13951393626830899</v>
      </c>
      <c r="R2752">
        <v>0.99325585120485305</v>
      </c>
      <c r="S2752" t="s">
        <v>9398</v>
      </c>
      <c r="T2752" t="s">
        <v>13290</v>
      </c>
      <c r="U2752" t="s">
        <v>13290</v>
      </c>
      <c r="V2752" t="s">
        <v>13290</v>
      </c>
      <c r="W2752" t="s">
        <v>16001</v>
      </c>
      <c r="X2752">
        <v>37</v>
      </c>
      <c r="Y2752" t="s">
        <v>22537</v>
      </c>
      <c r="Z2752" t="s">
        <v>29082</v>
      </c>
      <c r="AA2752">
        <v>0.37495975381038948</v>
      </c>
      <c r="AB2752" t="str">
        <f>HYPERLINK("Melting_Curves/meltCurve_P49792_RANBP2.pdf", "Melting_Curves/meltCurve_P49792_RANBP2.pdf")</f>
        <v>Melting_Curves/meltCurve_P49792_RANBP2.pdf</v>
      </c>
    </row>
    <row r="2753" spans="1:28" x14ac:dyDescent="0.25">
      <c r="A2753" t="s">
        <v>2757</v>
      </c>
      <c r="B2753">
        <v>0.99252571173614901</v>
      </c>
      <c r="C2753">
        <v>1.05639177799899</v>
      </c>
      <c r="D2753">
        <v>0.83588605984442499</v>
      </c>
      <c r="E2753">
        <v>0.74891801830022797</v>
      </c>
      <c r="F2753">
        <v>0.44316127737508498</v>
      </c>
      <c r="G2753">
        <v>0.238611168320469</v>
      </c>
      <c r="H2753">
        <v>0.208664521599363</v>
      </c>
      <c r="I2753">
        <v>0.26528921709754599</v>
      </c>
      <c r="J2753">
        <v>0.42618956479714598</v>
      </c>
      <c r="K2753">
        <v>0.46060239133298098</v>
      </c>
      <c r="L2753">
        <v>1375.1809931830101</v>
      </c>
      <c r="M2753">
        <v>27.450566466853999</v>
      </c>
      <c r="N2753">
        <v>52.011319928697702</v>
      </c>
      <c r="O2753">
        <v>49.833031858281203</v>
      </c>
      <c r="P2753">
        <v>-9.3922674960583694E-2</v>
      </c>
      <c r="Q2753">
        <v>0.31798733838110699</v>
      </c>
      <c r="R2753">
        <v>0.91436180752765195</v>
      </c>
      <c r="S2753" t="s">
        <v>9399</v>
      </c>
      <c r="T2753" t="s">
        <v>13290</v>
      </c>
      <c r="U2753" t="s">
        <v>13290</v>
      </c>
      <c r="V2753" t="s">
        <v>13290</v>
      </c>
      <c r="W2753" t="s">
        <v>16002</v>
      </c>
      <c r="X2753">
        <v>1</v>
      </c>
      <c r="Y2753" t="s">
        <v>22538</v>
      </c>
      <c r="Z2753" t="s">
        <v>29083</v>
      </c>
      <c r="AA2753">
        <v>0.55257677727651167</v>
      </c>
      <c r="AB2753" t="str">
        <f>HYPERLINK("Melting_Curves/meltCurve_P49798_3_RGS4.pdf", "Melting_Curves/meltCurve_P49798_3_RGS4.pdf")</f>
        <v>Melting_Curves/meltCurve_P49798_3_RGS4.pdf</v>
      </c>
    </row>
    <row r="2754" spans="1:28" x14ac:dyDescent="0.25">
      <c r="A2754" t="s">
        <v>2758</v>
      </c>
      <c r="B2754">
        <v>0.99252571173614901</v>
      </c>
      <c r="C2754">
        <v>0.97597854561090702</v>
      </c>
      <c r="D2754">
        <v>0.92043045717902805</v>
      </c>
      <c r="E2754">
        <v>0.75878840754194299</v>
      </c>
      <c r="F2754">
        <v>0.52662850962710095</v>
      </c>
      <c r="G2754">
        <v>0.1617503485641</v>
      </c>
      <c r="H2754">
        <v>7.3769436003581504E-2</v>
      </c>
      <c r="I2754">
        <v>6.1334269966340699E-2</v>
      </c>
      <c r="J2754">
        <v>6.4299788784228401E-2</v>
      </c>
      <c r="K2754">
        <v>5.5828348821391198E-2</v>
      </c>
      <c r="L2754">
        <v>1059.89814219656</v>
      </c>
      <c r="M2754">
        <v>20.127121831425502</v>
      </c>
      <c r="N2754">
        <v>52.839563205958001</v>
      </c>
      <c r="O2754">
        <v>52.148642061730399</v>
      </c>
      <c r="P2754">
        <v>-9.3306189870249204E-2</v>
      </c>
      <c r="Q2754">
        <v>3.3019280880249802E-2</v>
      </c>
      <c r="R2754">
        <v>0.99425538366139099</v>
      </c>
      <c r="S2754" t="s">
        <v>9400</v>
      </c>
      <c r="T2754" t="s">
        <v>13290</v>
      </c>
      <c r="U2754" t="s">
        <v>13290</v>
      </c>
      <c r="V2754" t="s">
        <v>13290</v>
      </c>
      <c r="W2754" t="s">
        <v>16003</v>
      </c>
      <c r="X2754">
        <v>10</v>
      </c>
      <c r="Y2754" t="s">
        <v>22539</v>
      </c>
      <c r="Z2754" t="s">
        <v>29084</v>
      </c>
      <c r="AA2754">
        <v>0.45427955326228397</v>
      </c>
      <c r="AB2754" t="str">
        <f>HYPERLINK("Melting_Curves/meltCurve_P49840_GSK3A.pdf", "Melting_Curves/meltCurve_P49840_GSK3A.pdf")</f>
        <v>Melting_Curves/meltCurve_P49840_GSK3A.pdf</v>
      </c>
    </row>
    <row r="2755" spans="1:28" x14ac:dyDescent="0.25">
      <c r="A2755" t="s">
        <v>2759</v>
      </c>
      <c r="B2755">
        <v>0.99252571173614901</v>
      </c>
      <c r="C2755">
        <v>0.60064661670115804</v>
      </c>
      <c r="D2755">
        <v>1.0630694713528099</v>
      </c>
      <c r="E2755">
        <v>0.86557703232387795</v>
      </c>
      <c r="F2755">
        <v>0.62238341183905799</v>
      </c>
      <c r="G2755">
        <v>0.298904267246416</v>
      </c>
      <c r="H2755">
        <v>5.6313796836394502E-2</v>
      </c>
      <c r="I2755">
        <v>5.6859384403487402E-2</v>
      </c>
      <c r="J2755">
        <v>6.2604055054181401E-2</v>
      </c>
      <c r="K2755">
        <v>6.3143471432753298E-2</v>
      </c>
      <c r="L2755">
        <v>1223.57289560412</v>
      </c>
      <c r="M2755">
        <v>22.6027260488856</v>
      </c>
      <c r="N2755">
        <v>54.302562942418398</v>
      </c>
      <c r="O2755">
        <v>53.715470112295499</v>
      </c>
      <c r="P2755">
        <v>-0.10163188694393401</v>
      </c>
      <c r="Q2755">
        <v>3.3905055341325797E-2</v>
      </c>
      <c r="R2755">
        <v>0.88936714975076803</v>
      </c>
      <c r="S2755" t="s">
        <v>9401</v>
      </c>
      <c r="T2755" t="s">
        <v>13290</v>
      </c>
      <c r="U2755" t="s">
        <v>13290</v>
      </c>
      <c r="V2755" t="s">
        <v>13290</v>
      </c>
      <c r="W2755" t="s">
        <v>16004</v>
      </c>
      <c r="X2755">
        <v>12</v>
      </c>
      <c r="Y2755" t="s">
        <v>22540</v>
      </c>
      <c r="Z2755" t="s">
        <v>29085</v>
      </c>
      <c r="AA2755">
        <v>0.49975047696666708</v>
      </c>
      <c r="AB2755" t="str">
        <f>HYPERLINK("Melting_Curves/meltCurve_P49841_GSK3B.pdf", "Melting_Curves/meltCurve_P49841_GSK3B.pdf")</f>
        <v>Melting_Curves/meltCurve_P49841_GSK3B.pdf</v>
      </c>
    </row>
    <row r="2756" spans="1:28" x14ac:dyDescent="0.25">
      <c r="A2756" t="s">
        <v>2760</v>
      </c>
      <c r="B2756">
        <v>0.99252571173614901</v>
      </c>
      <c r="C2756">
        <v>0.954898671266314</v>
      </c>
      <c r="D2756">
        <v>1.08727724934259</v>
      </c>
      <c r="E2756">
        <v>1.0458467907561899</v>
      </c>
      <c r="F2756">
        <v>1.19104452047661</v>
      </c>
      <c r="G2756">
        <v>0.96576973663453902</v>
      </c>
      <c r="H2756">
        <v>0.74112023640673896</v>
      </c>
      <c r="I2756">
        <v>0.24812766364955599</v>
      </c>
      <c r="J2756">
        <v>0.15654032327176701</v>
      </c>
      <c r="K2756">
        <v>0.15242261319424899</v>
      </c>
      <c r="L2756">
        <v>3421.7666160409099</v>
      </c>
      <c r="M2756">
        <v>55.461738661093797</v>
      </c>
      <c r="N2756">
        <v>62.090070884514901</v>
      </c>
      <c r="O2756">
        <v>61.615930078271496</v>
      </c>
      <c r="P2756">
        <v>-0.19164354895125199</v>
      </c>
      <c r="Q2756">
        <v>0.148365041580063</v>
      </c>
      <c r="R2756">
        <v>0.967353697304426</v>
      </c>
      <c r="S2756" t="s">
        <v>9402</v>
      </c>
      <c r="T2756" t="s">
        <v>13290</v>
      </c>
      <c r="U2756" t="s">
        <v>13290</v>
      </c>
      <c r="V2756" t="s">
        <v>13290</v>
      </c>
      <c r="W2756" t="s">
        <v>16005</v>
      </c>
      <c r="X2756">
        <v>8</v>
      </c>
      <c r="Y2756" t="s">
        <v>22541</v>
      </c>
      <c r="Z2756" t="s">
        <v>29086</v>
      </c>
      <c r="AA2756">
        <v>0.76608983496098404</v>
      </c>
      <c r="AB2756" t="str">
        <f>HYPERLINK("Melting_Curves/meltCurve_P49902_NT5C2.pdf", "Melting_Curves/meltCurve_P49902_NT5C2.pdf")</f>
        <v>Melting_Curves/meltCurve_P49902_NT5C2.pdf</v>
      </c>
    </row>
    <row r="2757" spans="1:28" x14ac:dyDescent="0.25">
      <c r="A2757" t="s">
        <v>2761</v>
      </c>
      <c r="B2757">
        <v>0.99252571173614901</v>
      </c>
      <c r="C2757">
        <v>1.02146684693741</v>
      </c>
      <c r="D2757">
        <v>0.99506536406978496</v>
      </c>
      <c r="E2757">
        <v>0.974043581072919</v>
      </c>
      <c r="F2757">
        <v>0.806449667560594</v>
      </c>
      <c r="G2757">
        <v>0.69793228924748296</v>
      </c>
      <c r="H2757">
        <v>0.66508945316772095</v>
      </c>
      <c r="I2757">
        <v>0.87214290977786402</v>
      </c>
      <c r="J2757">
        <v>1.0685000279241501</v>
      </c>
      <c r="K2757">
        <v>0.981333026944187</v>
      </c>
      <c r="L2757">
        <v>12478.151616609701</v>
      </c>
      <c r="M2757">
        <v>250</v>
      </c>
      <c r="O2757">
        <v>49.909397153905701</v>
      </c>
      <c r="P2757">
        <v>-0.18962535351978699</v>
      </c>
      <c r="Q2757">
        <v>0.848574560459883</v>
      </c>
      <c r="R2757">
        <v>0.29582260063094201</v>
      </c>
      <c r="S2757" t="s">
        <v>9403</v>
      </c>
      <c r="T2757" t="s">
        <v>13290</v>
      </c>
      <c r="U2757" t="s">
        <v>13290</v>
      </c>
      <c r="V2757" t="s">
        <v>13290</v>
      </c>
      <c r="W2757" t="s">
        <v>16006</v>
      </c>
      <c r="X2757">
        <v>17</v>
      </c>
      <c r="Y2757" t="s">
        <v>22542</v>
      </c>
      <c r="Z2757" t="s">
        <v>29087</v>
      </c>
      <c r="AA2757">
        <v>0.8986218510718883</v>
      </c>
      <c r="AB2757" t="str">
        <f>HYPERLINK("Melting_Curves/meltCurve_P49903_SEPHS1.pdf", "Melting_Curves/meltCurve_P49903_SEPHS1.pdf")</f>
        <v>Melting_Curves/meltCurve_P49903_SEPHS1.pdf</v>
      </c>
    </row>
    <row r="2758" spans="1:28" x14ac:dyDescent="0.25">
      <c r="A2758" t="s">
        <v>2762</v>
      </c>
      <c r="B2758">
        <v>0.99252571173614901</v>
      </c>
      <c r="C2758">
        <v>1.1196211627845201</v>
      </c>
      <c r="D2758">
        <v>1.0051840128580201</v>
      </c>
      <c r="E2758">
        <v>0.798705878200618</v>
      </c>
      <c r="F2758">
        <v>0.321945557508383</v>
      </c>
      <c r="G2758">
        <v>0.14617056111137799</v>
      </c>
      <c r="H2758">
        <v>9.9431178706263904E-2</v>
      </c>
      <c r="I2758">
        <v>9.7689053397565798E-2</v>
      </c>
      <c r="J2758">
        <v>0.12710219815703999</v>
      </c>
      <c r="K2758">
        <v>0.104819453125335</v>
      </c>
      <c r="L2758">
        <v>1786.5827067447699</v>
      </c>
      <c r="M2758">
        <v>34.748222796340599</v>
      </c>
      <c r="N2758">
        <v>51.776543593050299</v>
      </c>
      <c r="O2758">
        <v>51.245695199470198</v>
      </c>
      <c r="P2758">
        <v>-0.151260946416791</v>
      </c>
      <c r="Q2758">
        <v>0.107701913841037</v>
      </c>
      <c r="R2758">
        <v>0.99098215589998295</v>
      </c>
      <c r="S2758" t="s">
        <v>9404</v>
      </c>
      <c r="T2758" t="s">
        <v>13290</v>
      </c>
      <c r="U2758" t="s">
        <v>13290</v>
      </c>
      <c r="V2758" t="s">
        <v>13290</v>
      </c>
      <c r="W2758" t="s">
        <v>16007</v>
      </c>
      <c r="X2758">
        <v>9</v>
      </c>
      <c r="Y2758" t="s">
        <v>22543</v>
      </c>
      <c r="Z2758" t="s">
        <v>29088</v>
      </c>
      <c r="AA2758">
        <v>0.45143194779801188</v>
      </c>
      <c r="AB2758" t="str">
        <f>HYPERLINK("Melting_Curves/meltCurve_P49914_MTHFS.pdf", "Melting_Curves/meltCurve_P49914_MTHFS.pdf")</f>
        <v>Melting_Curves/meltCurve_P49914_MTHFS.pdf</v>
      </c>
    </row>
    <row r="2759" spans="1:28" x14ac:dyDescent="0.25">
      <c r="A2759" t="s">
        <v>2763</v>
      </c>
      <c r="B2759">
        <v>0.99252571173614901</v>
      </c>
      <c r="C2759">
        <v>0.98692731615755303</v>
      </c>
      <c r="D2759">
        <v>1.01295275131844</v>
      </c>
      <c r="E2759">
        <v>0.85972266090207405</v>
      </c>
      <c r="F2759">
        <v>0.206193508886856</v>
      </c>
      <c r="G2759">
        <v>9.2972599630599201E-2</v>
      </c>
      <c r="H2759">
        <v>6.5894658246903007E-2</v>
      </c>
      <c r="I2759">
        <v>6.8501861123409793E-2</v>
      </c>
      <c r="J2759">
        <v>7.0932846748125E-2</v>
      </c>
      <c r="K2759">
        <v>6.26651248918903E-2</v>
      </c>
      <c r="L2759">
        <v>2551.9673923676</v>
      </c>
      <c r="M2759">
        <v>49.723151817055701</v>
      </c>
      <c r="N2759">
        <v>51.480485350793401</v>
      </c>
      <c r="O2759">
        <v>51.240711734389201</v>
      </c>
      <c r="P2759">
        <v>-0.225533315922639</v>
      </c>
      <c r="Q2759">
        <v>7.0334246257302904E-2</v>
      </c>
      <c r="R2759">
        <v>0.99957026812030103</v>
      </c>
      <c r="S2759" t="s">
        <v>9405</v>
      </c>
      <c r="T2759" t="s">
        <v>13290</v>
      </c>
      <c r="U2759" t="s">
        <v>13290</v>
      </c>
      <c r="V2759" t="s">
        <v>13290</v>
      </c>
      <c r="W2759" t="s">
        <v>16008</v>
      </c>
      <c r="X2759">
        <v>46</v>
      </c>
      <c r="Y2759" t="s">
        <v>22544</v>
      </c>
      <c r="Z2759" t="s">
        <v>29089</v>
      </c>
      <c r="AA2759">
        <v>0.42336555418978272</v>
      </c>
      <c r="AB2759" t="str">
        <f>HYPERLINK("Melting_Curves/meltCurve_P49915_GMPS.pdf", "Melting_Curves/meltCurve_P49915_GMPS.pdf")</f>
        <v>Melting_Curves/meltCurve_P49915_GMPS.pdf</v>
      </c>
    </row>
    <row r="2760" spans="1:28" x14ac:dyDescent="0.25">
      <c r="A2760" t="s">
        <v>2764</v>
      </c>
      <c r="B2760">
        <v>0.99252571173614901</v>
      </c>
      <c r="C2760">
        <v>0.89263585992413597</v>
      </c>
      <c r="D2760">
        <v>0.53820472717126799</v>
      </c>
      <c r="E2760">
        <v>0.22174843674220199</v>
      </c>
      <c r="F2760">
        <v>0.15178848549919399</v>
      </c>
      <c r="G2760">
        <v>8.4438179551119194E-2</v>
      </c>
      <c r="H2760">
        <v>6.1705379163539201E-2</v>
      </c>
      <c r="I2760">
        <v>7.0850874584932499E-2</v>
      </c>
      <c r="J2760">
        <v>9.3191720100630301E-2</v>
      </c>
      <c r="K2760">
        <v>9.3868475334739798E-2</v>
      </c>
      <c r="L2760">
        <v>1158.00506969297</v>
      </c>
      <c r="M2760">
        <v>25.129644980363199</v>
      </c>
      <c r="N2760">
        <v>46.4270211993476</v>
      </c>
      <c r="O2760">
        <v>45.7923944967728</v>
      </c>
      <c r="P2760">
        <v>-0.125485781813063</v>
      </c>
      <c r="Q2760">
        <v>8.5348205723766807E-2</v>
      </c>
      <c r="R2760">
        <v>0.99739302954471099</v>
      </c>
      <c r="S2760" t="s">
        <v>9406</v>
      </c>
      <c r="T2760" t="s">
        <v>13290</v>
      </c>
      <c r="U2760" t="s">
        <v>13290</v>
      </c>
      <c r="V2760" t="s">
        <v>13290</v>
      </c>
      <c r="W2760" t="s">
        <v>16009</v>
      </c>
      <c r="X2760">
        <v>5</v>
      </c>
      <c r="Y2760" t="s">
        <v>22545</v>
      </c>
      <c r="Z2760" t="s">
        <v>29090</v>
      </c>
      <c r="AA2760">
        <v>0.27907137939257398</v>
      </c>
      <c r="AB2760" t="str">
        <f>HYPERLINK("Melting_Curves/meltCurve_P49916_LIG3.pdf", "Melting_Curves/meltCurve_P49916_LIG3.pdf")</f>
        <v>Melting_Curves/meltCurve_P49916_LIG3.pdf</v>
      </c>
    </row>
    <row r="2761" spans="1:28" x14ac:dyDescent="0.25">
      <c r="A2761" t="s">
        <v>2765</v>
      </c>
      <c r="B2761">
        <v>0.99252571173614901</v>
      </c>
      <c r="C2761">
        <v>0.98979519963796803</v>
      </c>
      <c r="D2761">
        <v>0.68442912694537605</v>
      </c>
      <c r="E2761">
        <v>0.654113130192845</v>
      </c>
      <c r="F2761">
        <v>0.380248757003533</v>
      </c>
      <c r="G2761">
        <v>0.23047753905405699</v>
      </c>
      <c r="H2761">
        <v>0.13363227802823999</v>
      </c>
      <c r="I2761">
        <v>8.8986803834516306E-2</v>
      </c>
      <c r="J2761">
        <v>6.7714592926269301E-2</v>
      </c>
      <c r="K2761">
        <v>6.7184227564357393E-2</v>
      </c>
      <c r="L2761">
        <v>634.02702266097197</v>
      </c>
      <c r="M2761">
        <v>12.4443081001038</v>
      </c>
      <c r="N2761">
        <v>51.148868571078999</v>
      </c>
      <c r="O2761">
        <v>49.687143310231903</v>
      </c>
      <c r="P2761">
        <v>-6.11413623700095E-2</v>
      </c>
      <c r="Q2761">
        <v>2.37130910646089E-2</v>
      </c>
      <c r="R2761">
        <v>0.98167327349824396</v>
      </c>
      <c r="S2761" t="s">
        <v>9407</v>
      </c>
      <c r="T2761" t="s">
        <v>13290</v>
      </c>
      <c r="U2761" t="s">
        <v>13290</v>
      </c>
      <c r="V2761" t="s">
        <v>13290</v>
      </c>
      <c r="W2761" t="s">
        <v>16010</v>
      </c>
      <c r="X2761">
        <v>30</v>
      </c>
      <c r="Y2761" t="s">
        <v>22546</v>
      </c>
      <c r="Z2761" t="s">
        <v>29091</v>
      </c>
      <c r="AA2761">
        <v>0.41032234062070899</v>
      </c>
      <c r="AB2761" t="str">
        <f>HYPERLINK("Melting_Curves/meltCurve_P49959_MRE11A.pdf", "Melting_Curves/meltCurve_P49959_MRE11A.pdf")</f>
        <v>Melting_Curves/meltCurve_P49959_MRE11A.pdf</v>
      </c>
    </row>
    <row r="2762" spans="1:28" x14ac:dyDescent="0.25">
      <c r="A2762" t="s">
        <v>2766</v>
      </c>
      <c r="B2762">
        <v>0.99252571173614901</v>
      </c>
      <c r="C2762">
        <v>0.92075012334992501</v>
      </c>
      <c r="D2762">
        <v>0.94155579492285901</v>
      </c>
      <c r="E2762">
        <v>0.822745586795121</v>
      </c>
      <c r="F2762">
        <v>0.83133611316192202</v>
      </c>
      <c r="G2762">
        <v>0.61901426533714599</v>
      </c>
      <c r="H2762">
        <v>0.42881409982100399</v>
      </c>
      <c r="I2762">
        <v>0.26378342108939801</v>
      </c>
      <c r="J2762">
        <v>0.284841602848734</v>
      </c>
      <c r="K2762">
        <v>0.216588882853819</v>
      </c>
      <c r="L2762">
        <v>628.13027904774901</v>
      </c>
      <c r="M2762">
        <v>10.7433126667217</v>
      </c>
      <c r="N2762">
        <v>59.2417225830105</v>
      </c>
      <c r="O2762">
        <v>56.550601449181698</v>
      </c>
      <c r="P2762">
        <v>-4.4398437661242497E-2</v>
      </c>
      <c r="Q2762">
        <v>6.5528070917852593E-2</v>
      </c>
      <c r="R2762">
        <v>0.97885250422310099</v>
      </c>
      <c r="S2762" t="s">
        <v>9408</v>
      </c>
      <c r="T2762" t="s">
        <v>13290</v>
      </c>
      <c r="U2762" t="s">
        <v>13290</v>
      </c>
      <c r="V2762" t="s">
        <v>13290</v>
      </c>
      <c r="W2762" t="s">
        <v>16011</v>
      </c>
      <c r="X2762">
        <v>6</v>
      </c>
      <c r="Y2762" t="s">
        <v>22547</v>
      </c>
      <c r="Z2762" t="s">
        <v>29092</v>
      </c>
      <c r="AA2762">
        <v>0.64882028102591505</v>
      </c>
      <c r="AB2762" t="str">
        <f>HYPERLINK("Melting_Curves/meltCurve_P49961_ENTPD1.pdf", "Melting_Curves/meltCurve_P49961_ENTPD1.pdf")</f>
        <v>Melting_Curves/meltCurve_P49961_ENTPD1.pdf</v>
      </c>
    </row>
    <row r="2763" spans="1:28" x14ac:dyDescent="0.25">
      <c r="A2763" t="s">
        <v>2767</v>
      </c>
      <c r="B2763">
        <v>0.99252571173614901</v>
      </c>
      <c r="C2763">
        <v>1.08116914678605</v>
      </c>
      <c r="D2763">
        <v>1.02478383376912</v>
      </c>
      <c r="E2763">
        <v>0.91283576491430696</v>
      </c>
      <c r="F2763">
        <v>0.87532779077911704</v>
      </c>
      <c r="G2763">
        <v>0.81421044624252603</v>
      </c>
      <c r="H2763">
        <v>0.76150771896832103</v>
      </c>
      <c r="I2763">
        <v>0.93070962131077295</v>
      </c>
      <c r="J2763">
        <v>0.71198857607204502</v>
      </c>
      <c r="K2763">
        <v>0.22288828115643</v>
      </c>
      <c r="L2763">
        <v>3129.36551128669</v>
      </c>
      <c r="M2763">
        <v>45.849795547266098</v>
      </c>
      <c r="N2763">
        <v>68.252553388629906</v>
      </c>
      <c r="O2763">
        <v>68.123092957306</v>
      </c>
      <c r="P2763">
        <v>-0.16826104308411199</v>
      </c>
      <c r="Q2763">
        <v>0</v>
      </c>
      <c r="R2763">
        <v>0.77227397568796996</v>
      </c>
      <c r="S2763" t="s">
        <v>9409</v>
      </c>
      <c r="T2763" t="s">
        <v>13290</v>
      </c>
      <c r="U2763" t="s">
        <v>13290</v>
      </c>
      <c r="V2763" t="s">
        <v>13290</v>
      </c>
      <c r="W2763" t="s">
        <v>16012</v>
      </c>
      <c r="X2763">
        <v>11</v>
      </c>
      <c r="Y2763" t="s">
        <v>22548</v>
      </c>
      <c r="Z2763" t="s">
        <v>29093</v>
      </c>
      <c r="AA2763">
        <v>0.93016579292380208</v>
      </c>
      <c r="AB2763" t="str">
        <f>HYPERLINK("Melting_Curves/meltCurve_P50053_KHK.pdf", "Melting_Curves/meltCurve_P50053_KHK.pdf")</f>
        <v>Melting_Curves/meltCurve_P50053_KHK.pdf</v>
      </c>
    </row>
    <row r="2764" spans="1:28" x14ac:dyDescent="0.25">
      <c r="A2764" t="s">
        <v>2768</v>
      </c>
      <c r="B2764">
        <v>0.99252571173614901</v>
      </c>
      <c r="C2764">
        <v>0.95779191999531499</v>
      </c>
      <c r="D2764">
        <v>0.887593888905858</v>
      </c>
      <c r="E2764">
        <v>0.89971962882159195</v>
      </c>
      <c r="F2764">
        <v>0.67132336201863496</v>
      </c>
      <c r="G2764">
        <v>0.35972377766279701</v>
      </c>
      <c r="H2764">
        <v>0.157640690808456</v>
      </c>
      <c r="I2764">
        <v>0.16075212968647501</v>
      </c>
      <c r="J2764">
        <v>0.11469588551821901</v>
      </c>
      <c r="K2764">
        <v>9.4942568990254703E-2</v>
      </c>
      <c r="L2764">
        <v>1084.68720686649</v>
      </c>
      <c r="M2764">
        <v>19.908807920348799</v>
      </c>
      <c r="N2764">
        <v>55.017385534917899</v>
      </c>
      <c r="O2764">
        <v>53.942022397648103</v>
      </c>
      <c r="P2764">
        <v>-8.4157727638537697E-2</v>
      </c>
      <c r="Q2764">
        <v>8.7943873097427003E-2</v>
      </c>
      <c r="R2764">
        <v>0.99104437098827702</v>
      </c>
      <c r="S2764" t="s">
        <v>9410</v>
      </c>
      <c r="T2764" t="s">
        <v>13290</v>
      </c>
      <c r="U2764" t="s">
        <v>13290</v>
      </c>
      <c r="V2764" t="s">
        <v>13290</v>
      </c>
      <c r="W2764" t="s">
        <v>16013</v>
      </c>
      <c r="X2764">
        <v>10</v>
      </c>
      <c r="Y2764" t="s">
        <v>22549</v>
      </c>
      <c r="Z2764" t="s">
        <v>29094</v>
      </c>
      <c r="AA2764">
        <v>0.54062462239636622</v>
      </c>
      <c r="AB2764" t="str">
        <f>HYPERLINK("Melting_Curves/meltCurve_P50148_GNAQ.pdf", "Melting_Curves/meltCurve_P50148_GNAQ.pdf")</f>
        <v>Melting_Curves/meltCurve_P50148_GNAQ.pdf</v>
      </c>
    </row>
    <row r="2765" spans="1:28" x14ac:dyDescent="0.25">
      <c r="A2765" t="s">
        <v>2769</v>
      </c>
      <c r="B2765">
        <v>0.99252571173614901</v>
      </c>
      <c r="C2765">
        <v>0.95676334975887101</v>
      </c>
      <c r="D2765">
        <v>0.90258749386853798</v>
      </c>
      <c r="E2765">
        <v>0.94158440841189295</v>
      </c>
      <c r="F2765">
        <v>0.76041568673099202</v>
      </c>
      <c r="G2765">
        <v>0.66289074916462798</v>
      </c>
      <c r="H2765">
        <v>0.50787374366393201</v>
      </c>
      <c r="I2765">
        <v>0.57810996924061298</v>
      </c>
      <c r="J2765">
        <v>0.93623526607612695</v>
      </c>
      <c r="K2765">
        <v>0.832823484274967</v>
      </c>
      <c r="L2765">
        <v>2134.7762962166198</v>
      </c>
      <c r="M2765">
        <v>41.741459111132798</v>
      </c>
      <c r="O2765">
        <v>51.025863924401499</v>
      </c>
      <c r="P2765">
        <v>-6.05308179885252E-2</v>
      </c>
      <c r="Q2765">
        <v>0.70402261847081504</v>
      </c>
      <c r="R2765">
        <v>0.48156104026827601</v>
      </c>
      <c r="S2765" t="s">
        <v>9411</v>
      </c>
      <c r="T2765" t="s">
        <v>13290</v>
      </c>
      <c r="U2765" t="s">
        <v>13290</v>
      </c>
      <c r="V2765" t="s">
        <v>13290</v>
      </c>
      <c r="W2765" t="s">
        <v>16014</v>
      </c>
      <c r="X2765">
        <v>5</v>
      </c>
      <c r="Y2765" t="s">
        <v>22550</v>
      </c>
      <c r="Z2765" t="s">
        <v>29095</v>
      </c>
      <c r="AA2765">
        <v>0.8149169557819318</v>
      </c>
      <c r="AB2765" t="str">
        <f>HYPERLINK("Melting_Curves/meltCurve_P50151_GNG10.pdf", "Melting_Curves/meltCurve_P50151_GNG10.pdf")</f>
        <v>Melting_Curves/meltCurve_P50151_GNG10.pdf</v>
      </c>
    </row>
    <row r="2766" spans="1:28" x14ac:dyDescent="0.25">
      <c r="A2766" t="s">
        <v>2770</v>
      </c>
      <c r="B2766">
        <v>0.99252571173614901</v>
      </c>
      <c r="C2766">
        <v>1.0578542485264499</v>
      </c>
      <c r="D2766">
        <v>0.98357141977882701</v>
      </c>
      <c r="E2766">
        <v>0.96775869119507296</v>
      </c>
      <c r="F2766">
        <v>0.69404465144542904</v>
      </c>
      <c r="G2766">
        <v>0.347222917442641</v>
      </c>
      <c r="H2766">
        <v>0.14043534079786199</v>
      </c>
      <c r="I2766">
        <v>9.2025528368128898E-2</v>
      </c>
      <c r="J2766">
        <v>9.5586803293864195E-2</v>
      </c>
      <c r="K2766">
        <v>0.105095949184958</v>
      </c>
      <c r="L2766">
        <v>1474.1431737140899</v>
      </c>
      <c r="M2766">
        <v>26.9543266747107</v>
      </c>
      <c r="N2766">
        <v>55.091932195154101</v>
      </c>
      <c r="O2766">
        <v>54.392041891448002</v>
      </c>
      <c r="P2766">
        <v>-0.112842427155199</v>
      </c>
      <c r="Q2766">
        <v>8.9174980759150702E-2</v>
      </c>
      <c r="R2766">
        <v>0.99705988393460099</v>
      </c>
      <c r="S2766" t="s">
        <v>9412</v>
      </c>
      <c r="T2766" t="s">
        <v>13290</v>
      </c>
      <c r="U2766" t="s">
        <v>13290</v>
      </c>
      <c r="V2766" t="s">
        <v>13290</v>
      </c>
      <c r="W2766" t="s">
        <v>16015</v>
      </c>
      <c r="X2766">
        <v>16</v>
      </c>
      <c r="Y2766" t="s">
        <v>22551</v>
      </c>
      <c r="Z2766" t="s">
        <v>29096</v>
      </c>
      <c r="AA2766">
        <v>0.54254959447758799</v>
      </c>
      <c r="AB2766" t="str">
        <f>HYPERLINK("Melting_Curves/meltCurve_P50213_IDH3A.pdf", "Melting_Curves/meltCurve_P50213_IDH3A.pdf")</f>
        <v>Melting_Curves/meltCurve_P50213_IDH3A.pdf</v>
      </c>
    </row>
    <row r="2767" spans="1:28" x14ac:dyDescent="0.25">
      <c r="A2767" t="s">
        <v>2771</v>
      </c>
      <c r="B2767">
        <v>0.99252571173614901</v>
      </c>
      <c r="C2767">
        <v>1.1784527121594</v>
      </c>
      <c r="D2767">
        <v>1.17530691956905</v>
      </c>
      <c r="E2767">
        <v>1.2317414754703899</v>
      </c>
      <c r="F2767">
        <v>0.89235723049839599</v>
      </c>
      <c r="G2767">
        <v>0.78275904589272205</v>
      </c>
      <c r="H2767">
        <v>0.88771384983774204</v>
      </c>
      <c r="I2767">
        <v>0.98704557344907196</v>
      </c>
      <c r="J2767">
        <v>1.2088535292848099</v>
      </c>
      <c r="K2767">
        <v>1.14258561923288</v>
      </c>
      <c r="L2767">
        <v>15000</v>
      </c>
      <c r="M2767">
        <v>229.39569838450299</v>
      </c>
      <c r="O2767">
        <v>65.384230721502803</v>
      </c>
      <c r="P2767">
        <v>0.15426193343250699</v>
      </c>
      <c r="Q2767">
        <v>1.1758759559854699</v>
      </c>
      <c r="R2767">
        <v>0.16914401675955801</v>
      </c>
      <c r="S2767" t="s">
        <v>9413</v>
      </c>
      <c r="T2767" t="s">
        <v>13290</v>
      </c>
      <c r="U2767" t="s">
        <v>13290</v>
      </c>
      <c r="V2767" t="s">
        <v>13290</v>
      </c>
      <c r="W2767" t="s">
        <v>16016</v>
      </c>
      <c r="X2767">
        <v>7</v>
      </c>
      <c r="Y2767" t="s">
        <v>22552</v>
      </c>
      <c r="Z2767" t="s">
        <v>29097</v>
      </c>
      <c r="AA2767">
        <v>1.0270070206511439</v>
      </c>
      <c r="AB2767" t="str">
        <f>HYPERLINK("Melting_Curves/meltCurve_P50238_CRIP1.pdf", "Melting_Curves/meltCurve_P50238_CRIP1.pdf")</f>
        <v>Melting_Curves/meltCurve_P50238_CRIP1.pdf</v>
      </c>
    </row>
    <row r="2768" spans="1:28" x14ac:dyDescent="0.25">
      <c r="A2768" t="s">
        <v>2772</v>
      </c>
      <c r="B2768">
        <v>0.99252571173614901</v>
      </c>
      <c r="C2768">
        <v>0.977972958662361</v>
      </c>
      <c r="D2768">
        <v>0.89902669362913601</v>
      </c>
      <c r="E2768">
        <v>0.68074246667277405</v>
      </c>
      <c r="F2768">
        <v>0.26147268105510901</v>
      </c>
      <c r="G2768">
        <v>0.142894391777733</v>
      </c>
      <c r="H2768">
        <v>0.129301259536546</v>
      </c>
      <c r="I2768">
        <v>0.121958063537873</v>
      </c>
      <c r="J2768">
        <v>0.111131641836728</v>
      </c>
      <c r="K2768">
        <v>0.112502167428451</v>
      </c>
      <c r="L2768">
        <v>1393.0991874905301</v>
      </c>
      <c r="M2768">
        <v>27.630299037899299</v>
      </c>
      <c r="N2768">
        <v>50.885264671129299</v>
      </c>
      <c r="O2768">
        <v>50.157373916899402</v>
      </c>
      <c r="P2768">
        <v>-0.12232421989476</v>
      </c>
      <c r="Q2768">
        <v>0.11178581804283901</v>
      </c>
      <c r="R2768">
        <v>0.99761975991631302</v>
      </c>
      <c r="S2768" t="s">
        <v>9414</v>
      </c>
      <c r="T2768" t="s">
        <v>13290</v>
      </c>
      <c r="U2768" t="s">
        <v>13290</v>
      </c>
      <c r="V2768" t="s">
        <v>13290</v>
      </c>
      <c r="W2768" t="s">
        <v>16017</v>
      </c>
      <c r="X2768">
        <v>5</v>
      </c>
      <c r="Y2768" t="s">
        <v>22553</v>
      </c>
      <c r="Z2768" t="s">
        <v>29098</v>
      </c>
      <c r="AA2768">
        <v>0.4267974582358422</v>
      </c>
      <c r="AB2768" t="str">
        <f>HYPERLINK("Melting_Curves/meltCurve_P50336_PPOX.pdf", "Melting_Curves/meltCurve_P50336_PPOX.pdf")</f>
        <v>Melting_Curves/meltCurve_P50336_PPOX.pdf</v>
      </c>
    </row>
    <row r="2769" spans="1:28" x14ac:dyDescent="0.25">
      <c r="A2769" t="s">
        <v>2773</v>
      </c>
      <c r="B2769">
        <v>0.99252571173614901</v>
      </c>
      <c r="C2769">
        <v>0.96374014250871798</v>
      </c>
      <c r="D2769">
        <v>0.99749574090036897</v>
      </c>
      <c r="E2769">
        <v>0.80986495486592103</v>
      </c>
      <c r="F2769">
        <v>0.36786995082266899</v>
      </c>
      <c r="G2769">
        <v>0.210021114307088</v>
      </c>
      <c r="H2769">
        <v>0.17911560088624401</v>
      </c>
      <c r="I2769">
        <v>0.23703047415581399</v>
      </c>
      <c r="J2769">
        <v>0.41949125893606998</v>
      </c>
      <c r="K2769">
        <v>0.55486973281026197</v>
      </c>
      <c r="L2769">
        <v>2785.1401440919599</v>
      </c>
      <c r="M2769">
        <v>55.200453886745898</v>
      </c>
      <c r="N2769">
        <v>51.4145620117025</v>
      </c>
      <c r="O2769">
        <v>50.388934372158701</v>
      </c>
      <c r="P2769">
        <v>-0.18581386239231301</v>
      </c>
      <c r="Q2769">
        <v>0.32153043620039301</v>
      </c>
      <c r="R2769">
        <v>0.89746109126982798</v>
      </c>
      <c r="S2769" t="s">
        <v>9415</v>
      </c>
      <c r="T2769" t="s">
        <v>13290</v>
      </c>
      <c r="U2769" t="s">
        <v>13290</v>
      </c>
      <c r="V2769" t="s">
        <v>13290</v>
      </c>
      <c r="W2769" t="s">
        <v>16018</v>
      </c>
      <c r="X2769">
        <v>9</v>
      </c>
      <c r="Y2769" t="s">
        <v>22554</v>
      </c>
      <c r="Z2769" t="s">
        <v>29099</v>
      </c>
      <c r="AA2769">
        <v>0.55921522051604688</v>
      </c>
      <c r="AB2769" t="str">
        <f>HYPERLINK("Melting_Curves/meltCurve_P50402_EMD.pdf", "Melting_Curves/meltCurve_P50402_EMD.pdf")</f>
        <v>Melting_Curves/meltCurve_P50402_EMD.pdf</v>
      </c>
    </row>
    <row r="2770" spans="1:28" x14ac:dyDescent="0.25">
      <c r="A2770" t="s">
        <v>2774</v>
      </c>
      <c r="B2770">
        <v>0.99252571173614901</v>
      </c>
      <c r="C2770">
        <v>0.89278780752570397</v>
      </c>
      <c r="D2770">
        <v>0.88874992738910696</v>
      </c>
      <c r="E2770">
        <v>0.494022166408561</v>
      </c>
      <c r="F2770">
        <v>0.198381680906007</v>
      </c>
      <c r="G2770">
        <v>0.110369667808983</v>
      </c>
      <c r="H2770">
        <v>7.2641903810747199E-2</v>
      </c>
      <c r="I2770">
        <v>8.0626399952052397E-2</v>
      </c>
      <c r="J2770">
        <v>0.11506685868625199</v>
      </c>
      <c r="K2770">
        <v>0.118441717848949</v>
      </c>
      <c r="L2770">
        <v>1268.7457819040301</v>
      </c>
      <c r="M2770">
        <v>25.812952437584801</v>
      </c>
      <c r="N2770">
        <v>49.539588541810097</v>
      </c>
      <c r="O2770">
        <v>48.859368482945698</v>
      </c>
      <c r="P2770">
        <v>-0.119989339096395</v>
      </c>
      <c r="Q2770">
        <v>9.1536092998550506E-2</v>
      </c>
      <c r="R2770">
        <v>0.99244526068311001</v>
      </c>
      <c r="S2770" t="s">
        <v>9416</v>
      </c>
      <c r="T2770" t="s">
        <v>13290</v>
      </c>
      <c r="U2770" t="s">
        <v>13290</v>
      </c>
      <c r="V2770" t="s">
        <v>13290</v>
      </c>
      <c r="W2770" t="s">
        <v>16019</v>
      </c>
      <c r="X2770">
        <v>4</v>
      </c>
      <c r="Y2770" t="s">
        <v>22555</v>
      </c>
      <c r="Z2770" t="s">
        <v>29100</v>
      </c>
      <c r="AA2770">
        <v>0.37620984648766492</v>
      </c>
      <c r="AB2770" t="str">
        <f>HYPERLINK("Melting_Curves/meltCurve_P50416_2_CPT1A.pdf", "Melting_Curves/meltCurve_P50416_2_CPT1A.pdf")</f>
        <v>Melting_Curves/meltCurve_P50416_2_CPT1A.pdf</v>
      </c>
    </row>
    <row r="2771" spans="1:28" x14ac:dyDescent="0.25">
      <c r="A2771" t="s">
        <v>2775</v>
      </c>
      <c r="B2771">
        <v>0.99252571173614901</v>
      </c>
      <c r="C2771">
        <v>1.0637060658789601</v>
      </c>
      <c r="D2771">
        <v>0.88005260495528004</v>
      </c>
      <c r="E2771">
        <v>1.08385149916711</v>
      </c>
      <c r="F2771">
        <v>1.1686633906453701</v>
      </c>
      <c r="G2771">
        <v>1.81351694246908</v>
      </c>
      <c r="H2771">
        <v>1.85244012940133</v>
      </c>
      <c r="I2771">
        <v>0.343019074263336</v>
      </c>
      <c r="J2771">
        <v>0.22601951527314901</v>
      </c>
      <c r="K2771">
        <v>0.16734195663572499</v>
      </c>
      <c r="L2771">
        <v>15000</v>
      </c>
      <c r="M2771">
        <v>235.87551357904701</v>
      </c>
      <c r="N2771">
        <v>63.727870600814001</v>
      </c>
      <c r="O2771">
        <v>63.588294561804297</v>
      </c>
      <c r="P2771">
        <v>-0.74499853268674698</v>
      </c>
      <c r="Q2771">
        <v>0.19664087908300201</v>
      </c>
      <c r="R2771">
        <v>0.54148492691328098</v>
      </c>
      <c r="S2771" t="s">
        <v>9417</v>
      </c>
      <c r="T2771" t="s">
        <v>13290</v>
      </c>
      <c r="U2771" t="s">
        <v>13290</v>
      </c>
      <c r="V2771" t="s">
        <v>13290</v>
      </c>
      <c r="W2771" t="s">
        <v>16020</v>
      </c>
      <c r="X2771">
        <v>6</v>
      </c>
      <c r="Y2771" t="s">
        <v>22556</v>
      </c>
      <c r="Z2771" t="s">
        <v>29101</v>
      </c>
      <c r="AA2771">
        <v>0.82852641070031374</v>
      </c>
      <c r="AB2771" t="str">
        <f>HYPERLINK("Melting_Curves/meltCurve_P50452_SERPINB8.pdf", "Melting_Curves/meltCurve_P50452_SERPINB8.pdf")</f>
        <v>Melting_Curves/meltCurve_P50452_SERPINB8.pdf</v>
      </c>
    </row>
    <row r="2772" spans="1:28" x14ac:dyDescent="0.25">
      <c r="A2772" t="s">
        <v>2776</v>
      </c>
      <c r="B2772">
        <v>0.99252571173614901</v>
      </c>
      <c r="C2772">
        <v>1.11011479254319</v>
      </c>
      <c r="D2772">
        <v>1.0084080509787099</v>
      </c>
      <c r="E2772">
        <v>0.89104618274742298</v>
      </c>
      <c r="F2772">
        <v>0.80998496630296102</v>
      </c>
      <c r="G2772">
        <v>0.67293834728656299</v>
      </c>
      <c r="H2772">
        <v>0.26654155165321203</v>
      </c>
      <c r="I2772">
        <v>0.25239291193693802</v>
      </c>
      <c r="J2772">
        <v>0.41043683372802597</v>
      </c>
      <c r="K2772">
        <v>0.42833907381634001</v>
      </c>
      <c r="L2772">
        <v>1476.95017806429</v>
      </c>
      <c r="M2772">
        <v>26.5492014452606</v>
      </c>
      <c r="N2772">
        <v>58.012792647927597</v>
      </c>
      <c r="O2772">
        <v>55.317917528402702</v>
      </c>
      <c r="P2772">
        <v>-8.0160250819421394E-2</v>
      </c>
      <c r="Q2772">
        <v>0.33191921853613998</v>
      </c>
      <c r="R2772">
        <v>0.92538481283594598</v>
      </c>
      <c r="S2772" t="s">
        <v>9418</v>
      </c>
      <c r="T2772" t="s">
        <v>13290</v>
      </c>
      <c r="U2772" t="s">
        <v>13290</v>
      </c>
      <c r="V2772" t="s">
        <v>13290</v>
      </c>
      <c r="W2772" t="s">
        <v>16021</v>
      </c>
      <c r="X2772">
        <v>5</v>
      </c>
      <c r="Y2772" t="s">
        <v>22557</v>
      </c>
      <c r="Z2772" t="s">
        <v>29102</v>
      </c>
      <c r="AA2772">
        <v>0.68555411454971471</v>
      </c>
      <c r="AB2772" t="str">
        <f>HYPERLINK("Melting_Curves/meltCurve_P50453_SERPINB9.pdf", "Melting_Curves/meltCurve_P50453_SERPINB9.pdf")</f>
        <v>Melting_Curves/meltCurve_P50453_SERPINB9.pdf</v>
      </c>
    </row>
    <row r="2773" spans="1:28" x14ac:dyDescent="0.25">
      <c r="A2773" t="s">
        <v>2777</v>
      </c>
      <c r="B2773">
        <v>0.99252571173614901</v>
      </c>
      <c r="C2773">
        <v>1.0253256031242499</v>
      </c>
      <c r="D2773">
        <v>0.93954512636264798</v>
      </c>
      <c r="E2773">
        <v>0.78904309734287303</v>
      </c>
      <c r="F2773">
        <v>0.53294690088579399</v>
      </c>
      <c r="G2773">
        <v>0.15784761010347301</v>
      </c>
      <c r="H2773">
        <v>0.103404768733189</v>
      </c>
      <c r="I2773">
        <v>0.110460960021905</v>
      </c>
      <c r="J2773">
        <v>0.143654682477344</v>
      </c>
      <c r="K2773">
        <v>0.12295112058866101</v>
      </c>
      <c r="L2773">
        <v>1288.9827555817701</v>
      </c>
      <c r="M2773">
        <v>24.574626998495201</v>
      </c>
      <c r="N2773">
        <v>52.942169108652401</v>
      </c>
      <c r="O2773">
        <v>52.108146307046297</v>
      </c>
      <c r="P2773">
        <v>-0.10590239585467701</v>
      </c>
      <c r="Q2773">
        <v>0.10178931211778</v>
      </c>
      <c r="R2773">
        <v>0.99115389301674195</v>
      </c>
      <c r="S2773" t="s">
        <v>9419</v>
      </c>
      <c r="T2773" t="s">
        <v>13290</v>
      </c>
      <c r="U2773" t="s">
        <v>13290</v>
      </c>
      <c r="V2773" t="s">
        <v>13290</v>
      </c>
      <c r="W2773" t="s">
        <v>16022</v>
      </c>
      <c r="X2773">
        <v>16</v>
      </c>
      <c r="Y2773" t="s">
        <v>22558</v>
      </c>
      <c r="Z2773" t="s">
        <v>29103</v>
      </c>
      <c r="AA2773">
        <v>0.48310687679135672</v>
      </c>
      <c r="AB2773" t="str">
        <f>HYPERLINK("Melting_Curves/meltCurve_P50454_SERPINH1.pdf", "Melting_Curves/meltCurve_P50454_SERPINH1.pdf")</f>
        <v>Melting_Curves/meltCurve_P50454_SERPINH1.pdf</v>
      </c>
    </row>
    <row r="2774" spans="1:28" x14ac:dyDescent="0.25">
      <c r="A2774" t="s">
        <v>2778</v>
      </c>
      <c r="B2774">
        <v>0.99252571173614901</v>
      </c>
      <c r="C2774">
        <v>1.00840252727799</v>
      </c>
      <c r="D2774">
        <v>0.79987533003931499</v>
      </c>
      <c r="E2774">
        <v>0.55671539997224395</v>
      </c>
      <c r="F2774">
        <v>0.17885689236837499</v>
      </c>
      <c r="G2774">
        <v>0.110989844802933</v>
      </c>
      <c r="H2774">
        <v>8.7381761046587098E-2</v>
      </c>
      <c r="I2774">
        <v>9.9063397932489902E-2</v>
      </c>
      <c r="J2774">
        <v>0.125031828427313</v>
      </c>
      <c r="K2774">
        <v>0.125065353387143</v>
      </c>
      <c r="L2774">
        <v>1188.9024748480099</v>
      </c>
      <c r="M2774">
        <v>24.164293519830299</v>
      </c>
      <c r="N2774">
        <v>49.641144924757498</v>
      </c>
      <c r="O2774">
        <v>48.867559175858503</v>
      </c>
      <c r="P2774">
        <v>-0.111697649318477</v>
      </c>
      <c r="Q2774">
        <v>9.6467404376384902E-2</v>
      </c>
      <c r="R2774">
        <v>0.99168435408784505</v>
      </c>
      <c r="S2774" t="s">
        <v>9420</v>
      </c>
      <c r="T2774" t="s">
        <v>13290</v>
      </c>
      <c r="U2774" t="s">
        <v>13290</v>
      </c>
      <c r="V2774" t="s">
        <v>13290</v>
      </c>
      <c r="W2774" t="s">
        <v>16023</v>
      </c>
      <c r="X2774">
        <v>20</v>
      </c>
      <c r="Y2774" t="s">
        <v>22559</v>
      </c>
      <c r="Z2774" t="s">
        <v>29104</v>
      </c>
      <c r="AA2774">
        <v>0.38217098950968748</v>
      </c>
      <c r="AB2774" t="str">
        <f>HYPERLINK("Melting_Curves/meltCurve_P50502_ST13.pdf", "Melting_Curves/meltCurve_P50502_ST13.pdf")</f>
        <v>Melting_Curves/meltCurve_P50502_ST13.pdf</v>
      </c>
    </row>
    <row r="2775" spans="1:28" x14ac:dyDescent="0.25">
      <c r="A2775" t="s">
        <v>2779</v>
      </c>
      <c r="B2775">
        <v>0.99252571173614901</v>
      </c>
      <c r="C2775">
        <v>0.96314404439772705</v>
      </c>
      <c r="D2775">
        <v>0.93229982845161596</v>
      </c>
      <c r="E2775">
        <v>0.517259025159304</v>
      </c>
      <c r="F2775">
        <v>0.17768920514141201</v>
      </c>
      <c r="G2775">
        <v>0.103352403416195</v>
      </c>
      <c r="H2775">
        <v>7.8340355288220698E-2</v>
      </c>
      <c r="I2775">
        <v>9.4591503068672797E-2</v>
      </c>
      <c r="J2775">
        <v>0.12913149770126101</v>
      </c>
      <c r="K2775">
        <v>0.137043729905797</v>
      </c>
      <c r="L2775">
        <v>1679.7521211529499</v>
      </c>
      <c r="M2775">
        <v>34.031586858598601</v>
      </c>
      <c r="N2775">
        <v>49.707849228326701</v>
      </c>
      <c r="O2775">
        <v>49.189119389595</v>
      </c>
      <c r="P2775">
        <v>-0.154572488778602</v>
      </c>
      <c r="Q2775">
        <v>0.10632969807723899</v>
      </c>
      <c r="R2775">
        <v>0.99743429937635697</v>
      </c>
      <c r="S2775" t="s">
        <v>9421</v>
      </c>
      <c r="T2775" t="s">
        <v>13290</v>
      </c>
      <c r="U2775" t="s">
        <v>13290</v>
      </c>
      <c r="V2775" t="s">
        <v>13290</v>
      </c>
      <c r="W2775" t="s">
        <v>16024</v>
      </c>
      <c r="X2775">
        <v>21</v>
      </c>
      <c r="Y2775" t="s">
        <v>22560</v>
      </c>
      <c r="Z2775" t="s">
        <v>29105</v>
      </c>
      <c r="AA2775">
        <v>0.38934689932596711</v>
      </c>
      <c r="AB2775" t="str">
        <f>HYPERLINK("Melting_Curves/meltCurve_P50552_VASP.pdf", "Melting_Curves/meltCurve_P50552_VASP.pdf")</f>
        <v>Melting_Curves/meltCurve_P50552_VASP.pdf</v>
      </c>
    </row>
    <row r="2776" spans="1:28" x14ac:dyDescent="0.25">
      <c r="A2776" t="s">
        <v>2780</v>
      </c>
      <c r="B2776">
        <v>0.99252571173614901</v>
      </c>
      <c r="C2776">
        <v>0.89505609221772298</v>
      </c>
      <c r="D2776">
        <v>1.02184139795875</v>
      </c>
      <c r="E2776">
        <v>0.86017005640695998</v>
      </c>
      <c r="F2776">
        <v>0.15400219129902901</v>
      </c>
      <c r="G2776">
        <v>9.4665014636571704E-2</v>
      </c>
      <c r="H2776">
        <v>6.1531741726453502E-2</v>
      </c>
      <c r="I2776">
        <v>5.9806312472316499E-2</v>
      </c>
      <c r="J2776">
        <v>6.09383579286309E-2</v>
      </c>
      <c r="K2776">
        <v>6.2046611201629603E-2</v>
      </c>
      <c r="L2776">
        <v>2928.6935181793301</v>
      </c>
      <c r="M2776">
        <v>57.309642395560601</v>
      </c>
      <c r="N2776">
        <v>51.231521472778198</v>
      </c>
      <c r="O2776">
        <v>51.040868905689102</v>
      </c>
      <c r="P2776">
        <v>-0.26191028153205398</v>
      </c>
      <c r="Q2776">
        <v>6.6954795778810194E-2</v>
      </c>
      <c r="R2776">
        <v>0.99313041287491599</v>
      </c>
      <c r="S2776" t="s">
        <v>9422</v>
      </c>
      <c r="T2776" t="s">
        <v>13290</v>
      </c>
      <c r="U2776" t="s">
        <v>13290</v>
      </c>
      <c r="V2776" t="s">
        <v>13290</v>
      </c>
      <c r="W2776" t="s">
        <v>16025</v>
      </c>
      <c r="X2776">
        <v>41</v>
      </c>
      <c r="Y2776" t="s">
        <v>21117</v>
      </c>
      <c r="Z2776" t="s">
        <v>29106</v>
      </c>
      <c r="AA2776">
        <v>0.41387299096125529</v>
      </c>
      <c r="AB2776" t="str">
        <f>HYPERLINK("Melting_Curves/meltCurve_P50570_4_DNM2.pdf", "Melting_Curves/meltCurve_P50570_4_DNM2.pdf")</f>
        <v>Melting_Curves/meltCurve_P50570_4_DNM2.pdf</v>
      </c>
    </row>
    <row r="2777" spans="1:28" x14ac:dyDescent="0.25">
      <c r="A2777" t="s">
        <v>2781</v>
      </c>
      <c r="B2777">
        <v>0.99252571173614901</v>
      </c>
      <c r="C2777">
        <v>1.0533911529226601</v>
      </c>
      <c r="D2777">
        <v>0.96469824299294604</v>
      </c>
      <c r="E2777">
        <v>0.83089217243235602</v>
      </c>
      <c r="F2777">
        <v>0.70177446887665296</v>
      </c>
      <c r="G2777">
        <v>0.50309255406866404</v>
      </c>
      <c r="H2777">
        <v>0.39950666814779401</v>
      </c>
      <c r="I2777">
        <v>0.39258278592396001</v>
      </c>
      <c r="J2777">
        <v>0.38023446125771898</v>
      </c>
      <c r="K2777">
        <v>0.228294123997524</v>
      </c>
      <c r="L2777">
        <v>793.38531997529299</v>
      </c>
      <c r="M2777">
        <v>14.6392869427844</v>
      </c>
      <c r="N2777">
        <v>57.458013208494499</v>
      </c>
      <c r="O2777">
        <v>53.214466137087001</v>
      </c>
      <c r="P2777">
        <v>-4.9369627906812E-2</v>
      </c>
      <c r="Q2777">
        <v>0.28223653265319398</v>
      </c>
      <c r="R2777">
        <v>0.97877334522709603</v>
      </c>
      <c r="S2777" t="s">
        <v>9423</v>
      </c>
      <c r="T2777" t="s">
        <v>13290</v>
      </c>
      <c r="U2777" t="s">
        <v>13290</v>
      </c>
      <c r="V2777" t="s">
        <v>13290</v>
      </c>
      <c r="W2777" t="s">
        <v>16026</v>
      </c>
      <c r="X2777">
        <v>24</v>
      </c>
      <c r="Y2777" t="s">
        <v>20617</v>
      </c>
      <c r="Z2777" t="s">
        <v>29107</v>
      </c>
      <c r="AA2777">
        <v>0.63686942060877283</v>
      </c>
      <c r="AB2777" t="str">
        <f>HYPERLINK("Melting_Curves/meltCurve_P50579_METAP2.pdf", "Melting_Curves/meltCurve_P50579_METAP2.pdf")</f>
        <v>Melting_Curves/meltCurve_P50579_METAP2.pdf</v>
      </c>
    </row>
    <row r="2778" spans="1:28" x14ac:dyDescent="0.25">
      <c r="A2778" t="s">
        <v>2782</v>
      </c>
      <c r="B2778">
        <v>0.99252571173614901</v>
      </c>
      <c r="C2778">
        <v>1.0788024839327499</v>
      </c>
      <c r="D2778">
        <v>0.96014567149392305</v>
      </c>
      <c r="E2778">
        <v>0.74906383508270902</v>
      </c>
      <c r="F2778">
        <v>0.65612226842187404</v>
      </c>
      <c r="G2778">
        <v>0.46504834807691098</v>
      </c>
      <c r="H2778">
        <v>0.253107002085668</v>
      </c>
      <c r="I2778">
        <v>0.13835481693968299</v>
      </c>
      <c r="J2778">
        <v>0.110298027119083</v>
      </c>
      <c r="K2778">
        <v>8.7402477006178203E-2</v>
      </c>
      <c r="L2778">
        <v>708.719818616221</v>
      </c>
      <c r="M2778">
        <v>12.754346598384799</v>
      </c>
      <c r="N2778">
        <v>55.645730365937098</v>
      </c>
      <c r="O2778">
        <v>54.2540597411692</v>
      </c>
      <c r="P2778">
        <v>-5.8256300360955401E-2</v>
      </c>
      <c r="Q2778">
        <v>8.9529081090916392E-3</v>
      </c>
      <c r="R2778">
        <v>0.98651748142326701</v>
      </c>
      <c r="S2778" t="s">
        <v>9424</v>
      </c>
      <c r="T2778" t="s">
        <v>13290</v>
      </c>
      <c r="U2778" t="s">
        <v>13290</v>
      </c>
      <c r="V2778" t="s">
        <v>13290</v>
      </c>
      <c r="W2778" t="s">
        <v>16027</v>
      </c>
      <c r="X2778">
        <v>7</v>
      </c>
      <c r="Y2778" t="s">
        <v>22561</v>
      </c>
      <c r="Z2778" t="s">
        <v>29108</v>
      </c>
      <c r="AA2778">
        <v>0.54401716887498142</v>
      </c>
      <c r="AB2778" t="str">
        <f>HYPERLINK("Melting_Curves/meltCurve_P50583_NUDT2.pdf", "Melting_Curves/meltCurve_P50583_NUDT2.pdf")</f>
        <v>Melting_Curves/meltCurve_P50583_NUDT2.pdf</v>
      </c>
    </row>
    <row r="2779" spans="1:28" x14ac:dyDescent="0.25">
      <c r="A2779" t="s">
        <v>2783</v>
      </c>
      <c r="B2779">
        <v>0.99252571173614901</v>
      </c>
      <c r="C2779">
        <v>0.936730017953739</v>
      </c>
      <c r="D2779">
        <v>0.99256255523216697</v>
      </c>
      <c r="E2779">
        <v>0.83845571150167797</v>
      </c>
      <c r="F2779">
        <v>0.59893320184310805</v>
      </c>
      <c r="G2779">
        <v>0.274840607851221</v>
      </c>
      <c r="H2779">
        <v>8.8787391841915406E-2</v>
      </c>
      <c r="I2779">
        <v>6.8385801313988304E-2</v>
      </c>
      <c r="J2779">
        <v>6.4454342027083597E-2</v>
      </c>
      <c r="K2779">
        <v>5.3141135627865099E-2</v>
      </c>
      <c r="L2779">
        <v>1139.75070078575</v>
      </c>
      <c r="M2779">
        <v>21.172983202255299</v>
      </c>
      <c r="N2779">
        <v>54.028066856098398</v>
      </c>
      <c r="O2779">
        <v>53.357136142165203</v>
      </c>
      <c r="P2779">
        <v>-9.5509739797556198E-2</v>
      </c>
      <c r="Q2779">
        <v>3.7264850445015901E-2</v>
      </c>
      <c r="R2779">
        <v>0.99632472015672002</v>
      </c>
      <c r="S2779" t="s">
        <v>9425</v>
      </c>
      <c r="T2779" t="s">
        <v>13290</v>
      </c>
      <c r="U2779" t="s">
        <v>13290</v>
      </c>
      <c r="V2779" t="s">
        <v>13290</v>
      </c>
      <c r="W2779" t="s">
        <v>16028</v>
      </c>
      <c r="X2779">
        <v>5</v>
      </c>
      <c r="Y2779" t="s">
        <v>22562</v>
      </c>
      <c r="Z2779" t="s">
        <v>29109</v>
      </c>
      <c r="AA2779">
        <v>0.49303475308455391</v>
      </c>
      <c r="AB2779" t="str">
        <f>HYPERLINK("Melting_Curves/meltCurve_P50613_CDK7.pdf", "Melting_Curves/meltCurve_P50613_CDK7.pdf")</f>
        <v>Melting_Curves/meltCurve_P50613_CDK7.pdf</v>
      </c>
    </row>
    <row r="2780" spans="1:28" x14ac:dyDescent="0.25">
      <c r="A2780" t="s">
        <v>2784</v>
      </c>
      <c r="B2780">
        <v>0.99252571173614901</v>
      </c>
      <c r="C2780">
        <v>1.04987288569932</v>
      </c>
      <c r="D2780">
        <v>0.87454587882830204</v>
      </c>
      <c r="E2780">
        <v>0.442741552950561</v>
      </c>
      <c r="F2780">
        <v>0.177175161562654</v>
      </c>
      <c r="G2780">
        <v>9.2368167749760602E-2</v>
      </c>
      <c r="H2780">
        <v>5.8458771102946498E-2</v>
      </c>
      <c r="I2780">
        <v>5.5246828162598897E-2</v>
      </c>
      <c r="J2780">
        <v>5.4195360684831002E-2</v>
      </c>
      <c r="K2780">
        <v>5.39841240389317E-2</v>
      </c>
      <c r="L2780">
        <v>1388.2154043446801</v>
      </c>
      <c r="M2780">
        <v>28.3049928783932</v>
      </c>
      <c r="N2780">
        <v>49.270052827663903</v>
      </c>
      <c r="O2780">
        <v>48.802055066222898</v>
      </c>
      <c r="P2780">
        <v>-0.13620358686954301</v>
      </c>
      <c r="Q2780">
        <v>6.0666166438969403E-2</v>
      </c>
      <c r="R2780">
        <v>0.99662327674973805</v>
      </c>
      <c r="S2780" t="s">
        <v>9426</v>
      </c>
      <c r="T2780" t="s">
        <v>13290</v>
      </c>
      <c r="U2780" t="s">
        <v>13290</v>
      </c>
      <c r="V2780" t="s">
        <v>13290</v>
      </c>
      <c r="W2780" t="s">
        <v>16029</v>
      </c>
      <c r="X2780">
        <v>9</v>
      </c>
      <c r="Y2780" t="s">
        <v>22563</v>
      </c>
      <c r="Z2780" t="s">
        <v>29110</v>
      </c>
      <c r="AA2780">
        <v>0.35032206493204682</v>
      </c>
      <c r="AB2780" t="str">
        <f>HYPERLINK("Melting_Curves/meltCurve_P50747_HLCS.pdf", "Melting_Curves/meltCurve_P50747_HLCS.pdf")</f>
        <v>Melting_Curves/meltCurve_P50747_HLCS.pdf</v>
      </c>
    </row>
    <row r="2781" spans="1:28" x14ac:dyDescent="0.25">
      <c r="A2781" t="s">
        <v>2785</v>
      </c>
      <c r="B2781">
        <v>0.99252571173614901</v>
      </c>
      <c r="C2781">
        <v>0.795857755179467</v>
      </c>
      <c r="D2781">
        <v>0.93817393108608405</v>
      </c>
      <c r="E2781">
        <v>0.33515378056085698</v>
      </c>
      <c r="F2781">
        <v>0.20625188096475899</v>
      </c>
      <c r="G2781">
        <v>0.119610402205413</v>
      </c>
      <c r="H2781">
        <v>8.5553120572821301E-2</v>
      </c>
      <c r="I2781">
        <v>8.7479220057632506E-2</v>
      </c>
      <c r="J2781">
        <v>0.116376574918443</v>
      </c>
      <c r="K2781">
        <v>0.12408194916797299</v>
      </c>
      <c r="L2781">
        <v>1921.74254984155</v>
      </c>
      <c r="M2781">
        <v>39.726055803738902</v>
      </c>
      <c r="N2781">
        <v>48.699771431633799</v>
      </c>
      <c r="O2781">
        <v>48.252771047586698</v>
      </c>
      <c r="P2781">
        <v>-0.18186291780269101</v>
      </c>
      <c r="Q2781">
        <v>0.116411589389034</v>
      </c>
      <c r="R2781">
        <v>0.96228366151982203</v>
      </c>
      <c r="S2781" t="s">
        <v>9427</v>
      </c>
      <c r="T2781" t="s">
        <v>13290</v>
      </c>
      <c r="U2781" t="s">
        <v>13290</v>
      </c>
      <c r="V2781" t="s">
        <v>13290</v>
      </c>
      <c r="W2781" t="s">
        <v>16030</v>
      </c>
      <c r="X2781">
        <v>11</v>
      </c>
      <c r="Y2781" t="s">
        <v>22564</v>
      </c>
      <c r="Z2781" t="s">
        <v>29111</v>
      </c>
      <c r="AA2781">
        <v>0.36607806312482633</v>
      </c>
      <c r="AB2781" t="str">
        <f>HYPERLINK("Melting_Curves/meltCurve_P50748_KNTC1.pdf", "Melting_Curves/meltCurve_P50748_KNTC1.pdf")</f>
        <v>Melting_Curves/meltCurve_P50748_KNTC1.pdf</v>
      </c>
    </row>
    <row r="2782" spans="1:28" x14ac:dyDescent="0.25">
      <c r="A2782" t="s">
        <v>2786</v>
      </c>
      <c r="B2782">
        <v>0.99252571173614901</v>
      </c>
      <c r="C2782">
        <v>0.79311907183417496</v>
      </c>
      <c r="D2782">
        <v>0.99428079287108795</v>
      </c>
      <c r="E2782">
        <v>1.05394158758946</v>
      </c>
      <c r="F2782">
        <v>0.480680908046066</v>
      </c>
      <c r="G2782">
        <v>0.10218428538275</v>
      </c>
      <c r="H2782">
        <v>5.3768017427521402E-2</v>
      </c>
      <c r="I2782">
        <v>5.1151325706978702E-2</v>
      </c>
      <c r="J2782">
        <v>4.4055928761122201E-2</v>
      </c>
      <c r="K2782">
        <v>4.2595078189664397E-2</v>
      </c>
      <c r="L2782">
        <v>4820.1439097715602</v>
      </c>
      <c r="M2782">
        <v>90.806985517330403</v>
      </c>
      <c r="N2782">
        <v>53.153591726898703</v>
      </c>
      <c r="O2782">
        <v>53.055475776888002</v>
      </c>
      <c r="P2782">
        <v>-0.40299928603987301</v>
      </c>
      <c r="Q2782">
        <v>5.8164255519122902E-2</v>
      </c>
      <c r="R2782">
        <v>0.97380720961765599</v>
      </c>
      <c r="S2782" t="s">
        <v>9428</v>
      </c>
      <c r="T2782" t="s">
        <v>13290</v>
      </c>
      <c r="U2782" t="s">
        <v>13290</v>
      </c>
      <c r="V2782" t="s">
        <v>13290</v>
      </c>
      <c r="W2782" t="s">
        <v>16031</v>
      </c>
      <c r="X2782">
        <v>8</v>
      </c>
      <c r="Y2782" t="s">
        <v>22565</v>
      </c>
      <c r="Z2782" t="s">
        <v>29112</v>
      </c>
      <c r="AA2782">
        <v>0.469508350561748</v>
      </c>
      <c r="AB2782" t="str">
        <f>HYPERLINK("Melting_Curves/meltCurve_P50750_CDK9.pdf", "Melting_Curves/meltCurve_P50750_CDK9.pdf")</f>
        <v>Melting_Curves/meltCurve_P50750_CDK9.pdf</v>
      </c>
    </row>
    <row r="2783" spans="1:28" x14ac:dyDescent="0.25">
      <c r="A2783" t="s">
        <v>2787</v>
      </c>
      <c r="B2783">
        <v>0.99252571173614901</v>
      </c>
      <c r="C2783">
        <v>0.92419867301592495</v>
      </c>
      <c r="D2783">
        <v>0.85809321797837101</v>
      </c>
      <c r="E2783">
        <v>0.80080255060958505</v>
      </c>
      <c r="F2783">
        <v>0.67388369610398402</v>
      </c>
      <c r="G2783">
        <v>0.447185742237174</v>
      </c>
      <c r="H2783">
        <v>0.308884526469689</v>
      </c>
      <c r="I2783">
        <v>0.32053271548538298</v>
      </c>
      <c r="J2783">
        <v>0.42724433315781202</v>
      </c>
      <c r="K2783">
        <v>0.339989676005724</v>
      </c>
      <c r="L2783">
        <v>741.46931234258295</v>
      </c>
      <c r="M2783">
        <v>14.2011180083156</v>
      </c>
      <c r="N2783">
        <v>56.040405269727202</v>
      </c>
      <c r="O2783">
        <v>51.2094427163034</v>
      </c>
      <c r="P2783">
        <v>-4.7809093633716999E-2</v>
      </c>
      <c r="Q2783">
        <v>0.31048520534701102</v>
      </c>
      <c r="R2783">
        <v>0.95925863842850101</v>
      </c>
      <c r="S2783" t="s">
        <v>9429</v>
      </c>
      <c r="T2783" t="s">
        <v>13290</v>
      </c>
      <c r="U2783" t="s">
        <v>13290</v>
      </c>
      <c r="V2783" t="s">
        <v>13290</v>
      </c>
      <c r="W2783" t="s">
        <v>16032</v>
      </c>
      <c r="X2783">
        <v>15</v>
      </c>
      <c r="Y2783" t="s">
        <v>22566</v>
      </c>
      <c r="Z2783" t="s">
        <v>29113</v>
      </c>
      <c r="AA2783">
        <v>0.60774632482826463</v>
      </c>
      <c r="AB2783" t="str">
        <f>HYPERLINK("Melting_Curves/meltCurve_P50895_BCAM.pdf", "Melting_Curves/meltCurve_P50895_BCAM.pdf")</f>
        <v>Melting_Curves/meltCurve_P50895_BCAM.pdf</v>
      </c>
    </row>
    <row r="2784" spans="1:28" x14ac:dyDescent="0.25">
      <c r="A2784" t="s">
        <v>2788</v>
      </c>
      <c r="B2784">
        <v>0.99252571173614901</v>
      </c>
      <c r="C2784">
        <v>1.0489333270268399</v>
      </c>
      <c r="D2784">
        <v>0.93327446574250705</v>
      </c>
      <c r="E2784">
        <v>0.84186522762107696</v>
      </c>
      <c r="F2784">
        <v>0.60471519361608195</v>
      </c>
      <c r="G2784">
        <v>0.48840806106583301</v>
      </c>
      <c r="H2784">
        <v>0.166007743180665</v>
      </c>
      <c r="I2784">
        <v>0.13694200221197</v>
      </c>
      <c r="J2784">
        <v>0.15532852426885499</v>
      </c>
      <c r="K2784">
        <v>0.14992016927567101</v>
      </c>
      <c r="L2784">
        <v>878.935696521419</v>
      </c>
      <c r="M2784">
        <v>16.124743740777401</v>
      </c>
      <c r="N2784">
        <v>55.220621643315901</v>
      </c>
      <c r="O2784">
        <v>53.690838833118903</v>
      </c>
      <c r="P2784">
        <v>-6.8038658922638301E-2</v>
      </c>
      <c r="Q2784">
        <v>9.3871189788978598E-2</v>
      </c>
      <c r="R2784">
        <v>0.98499383727175305</v>
      </c>
      <c r="S2784" t="s">
        <v>9430</v>
      </c>
      <c r="T2784" t="s">
        <v>13290</v>
      </c>
      <c r="U2784" t="s">
        <v>13290</v>
      </c>
      <c r="V2784" t="s">
        <v>13290</v>
      </c>
      <c r="W2784" t="s">
        <v>16033</v>
      </c>
      <c r="X2784">
        <v>11</v>
      </c>
      <c r="Y2784" t="s">
        <v>22567</v>
      </c>
      <c r="Z2784" t="s">
        <v>29114</v>
      </c>
      <c r="AA2784">
        <v>0.54863367248173422</v>
      </c>
      <c r="AB2784" t="str">
        <f>HYPERLINK("Melting_Curves/meltCurve_P50897_PPT1.pdf", "Melting_Curves/meltCurve_P50897_PPT1.pdf")</f>
        <v>Melting_Curves/meltCurve_P50897_PPT1.pdf</v>
      </c>
    </row>
    <row r="2785" spans="1:28" x14ac:dyDescent="0.25">
      <c r="A2785" t="s">
        <v>2789</v>
      </c>
      <c r="B2785">
        <v>0.99252571173614901</v>
      </c>
      <c r="C2785">
        <v>1.1032374192704399</v>
      </c>
      <c r="D2785">
        <v>1.0614712821955601</v>
      </c>
      <c r="E2785">
        <v>1.1091270006028799</v>
      </c>
      <c r="F2785">
        <v>1.35167046620479</v>
      </c>
      <c r="G2785">
        <v>1.59673902656036</v>
      </c>
      <c r="H2785">
        <v>1.15870435737254</v>
      </c>
      <c r="I2785">
        <v>0.334499110578513</v>
      </c>
      <c r="J2785">
        <v>0.167868129441755</v>
      </c>
      <c r="K2785">
        <v>0.141236392697592</v>
      </c>
      <c r="L2785">
        <v>15000</v>
      </c>
      <c r="M2785">
        <v>235.68272659933399</v>
      </c>
      <c r="N2785">
        <v>63.744886063800699</v>
      </c>
      <c r="O2785">
        <v>63.640288468642801</v>
      </c>
      <c r="P2785">
        <v>-0.78275529542475797</v>
      </c>
      <c r="Q2785">
        <v>0.15454502353967201</v>
      </c>
      <c r="R2785">
        <v>0.76957562303674298</v>
      </c>
      <c r="S2785" t="s">
        <v>9431</v>
      </c>
      <c r="T2785" t="s">
        <v>13290</v>
      </c>
      <c r="U2785" t="s">
        <v>13290</v>
      </c>
      <c r="V2785" t="s">
        <v>13290</v>
      </c>
      <c r="W2785" t="s">
        <v>16034</v>
      </c>
      <c r="X2785">
        <v>49</v>
      </c>
      <c r="Y2785" t="s">
        <v>22568</v>
      </c>
      <c r="Z2785" t="s">
        <v>29115</v>
      </c>
      <c r="AA2785">
        <v>0.82100746807147129</v>
      </c>
      <c r="AB2785" t="str">
        <f>HYPERLINK("Melting_Curves/meltCurve_P50990_CCT8.pdf", "Melting_Curves/meltCurve_P50990_CCT8.pdf")</f>
        <v>Melting_Curves/meltCurve_P50990_CCT8.pdf</v>
      </c>
    </row>
    <row r="2786" spans="1:28" x14ac:dyDescent="0.25">
      <c r="A2786" t="s">
        <v>2790</v>
      </c>
      <c r="B2786">
        <v>0.99252571173614901</v>
      </c>
      <c r="C2786">
        <v>1.05339382080106</v>
      </c>
      <c r="D2786">
        <v>0.97073942946339697</v>
      </c>
      <c r="E2786">
        <v>0.81346710736097105</v>
      </c>
      <c r="F2786">
        <v>0.75382088633319499</v>
      </c>
      <c r="G2786">
        <v>0.497699561499375</v>
      </c>
      <c r="H2786">
        <v>0.205860192238488</v>
      </c>
      <c r="I2786">
        <v>0.100616696049956</v>
      </c>
      <c r="J2786">
        <v>9.9938457034420905E-2</v>
      </c>
      <c r="K2786">
        <v>9.3468651139759995E-2</v>
      </c>
      <c r="L2786">
        <v>916.18651110011103</v>
      </c>
      <c r="M2786">
        <v>16.328318291813201</v>
      </c>
      <c r="N2786">
        <v>56.288454604443501</v>
      </c>
      <c r="O2786">
        <v>55.288920866977598</v>
      </c>
      <c r="P2786">
        <v>-7.1977610650053897E-2</v>
      </c>
      <c r="Q2786">
        <v>2.5184055615758798E-2</v>
      </c>
      <c r="R2786">
        <v>0.98838356203705302</v>
      </c>
      <c r="S2786" t="s">
        <v>9432</v>
      </c>
      <c r="T2786" t="s">
        <v>13290</v>
      </c>
      <c r="U2786" t="s">
        <v>13290</v>
      </c>
      <c r="V2786" t="s">
        <v>13290</v>
      </c>
      <c r="W2786" t="s">
        <v>16035</v>
      </c>
      <c r="X2786">
        <v>34</v>
      </c>
      <c r="Y2786" t="s">
        <v>22569</v>
      </c>
      <c r="Z2786" t="s">
        <v>29116</v>
      </c>
      <c r="AA2786">
        <v>0.56451381122684752</v>
      </c>
      <c r="AB2786" t="str">
        <f>HYPERLINK("Melting_Curves/meltCurve_P50991_CCT4.pdf", "Melting_Curves/meltCurve_P50991_CCT4.pdf")</f>
        <v>Melting_Curves/meltCurve_P50991_CCT4.pdf</v>
      </c>
    </row>
    <row r="2787" spans="1:28" x14ac:dyDescent="0.25">
      <c r="A2787" t="s">
        <v>2791</v>
      </c>
      <c r="B2787">
        <v>0.99252571173614901</v>
      </c>
      <c r="C2787">
        <v>0.96048258812161902</v>
      </c>
      <c r="D2787">
        <v>0.66272887625182897</v>
      </c>
      <c r="E2787">
        <v>0.30656554656250201</v>
      </c>
      <c r="F2787">
        <v>0.21261241878005899</v>
      </c>
      <c r="G2787">
        <v>0.14369407824200001</v>
      </c>
      <c r="H2787">
        <v>0.113285681252201</v>
      </c>
      <c r="I2787">
        <v>0.123932566827838</v>
      </c>
      <c r="J2787">
        <v>0.15975709945536201</v>
      </c>
      <c r="K2787">
        <v>0.123112858299235</v>
      </c>
      <c r="L2787">
        <v>1209.9192462256501</v>
      </c>
      <c r="M2787">
        <v>25.782813544500101</v>
      </c>
      <c r="N2787">
        <v>47.513348695724403</v>
      </c>
      <c r="O2787">
        <v>46.647770535793804</v>
      </c>
      <c r="P2787">
        <v>-0.11935996288881</v>
      </c>
      <c r="Q2787">
        <v>0.136198063632056</v>
      </c>
      <c r="R2787">
        <v>0.99638050189938299</v>
      </c>
      <c r="S2787" t="s">
        <v>9433</v>
      </c>
      <c r="T2787" t="s">
        <v>13290</v>
      </c>
      <c r="U2787" t="s">
        <v>13290</v>
      </c>
      <c r="V2787" t="s">
        <v>13290</v>
      </c>
      <c r="W2787" t="s">
        <v>16036</v>
      </c>
      <c r="X2787">
        <v>13</v>
      </c>
      <c r="Y2787" t="s">
        <v>22570</v>
      </c>
      <c r="Z2787" t="s">
        <v>29117</v>
      </c>
      <c r="AA2787">
        <v>0.34287541158908119</v>
      </c>
      <c r="AB2787" t="str">
        <f>HYPERLINK("Melting_Curves/meltCurve_P51116_FXR2.pdf", "Melting_Curves/meltCurve_P51116_FXR2.pdf")</f>
        <v>Melting_Curves/meltCurve_P51116_FXR2.pdf</v>
      </c>
    </row>
    <row r="2788" spans="1:28" x14ac:dyDescent="0.25">
      <c r="A2788" t="s">
        <v>2792</v>
      </c>
      <c r="B2788">
        <v>0.99252571173614901</v>
      </c>
      <c r="C2788">
        <v>0.98093266223531295</v>
      </c>
      <c r="D2788">
        <v>0.90815793860181204</v>
      </c>
      <c r="E2788">
        <v>0.83093685633178604</v>
      </c>
      <c r="F2788">
        <v>0.72405903874107203</v>
      </c>
      <c r="G2788">
        <v>0.62145191947524303</v>
      </c>
      <c r="H2788">
        <v>0.487167587006194</v>
      </c>
      <c r="I2788">
        <v>0.53632405787885495</v>
      </c>
      <c r="J2788">
        <v>0.32486584000591401</v>
      </c>
      <c r="K2788">
        <v>0.16204527811451</v>
      </c>
      <c r="L2788">
        <v>464.79843435952102</v>
      </c>
      <c r="M2788">
        <v>7.6521979261726401</v>
      </c>
      <c r="N2788">
        <v>60.740513758296899</v>
      </c>
      <c r="O2788">
        <v>57.0093184768822</v>
      </c>
      <c r="P2788">
        <v>-3.3601570098936898E-2</v>
      </c>
      <c r="Q2788">
        <v>0</v>
      </c>
      <c r="R2788">
        <v>0.95774891875271195</v>
      </c>
      <c r="S2788" t="s">
        <v>9434</v>
      </c>
      <c r="T2788" t="s">
        <v>13290</v>
      </c>
      <c r="U2788" t="s">
        <v>13290</v>
      </c>
      <c r="V2788" t="s">
        <v>13290</v>
      </c>
      <c r="W2788" t="s">
        <v>16037</v>
      </c>
      <c r="X2788">
        <v>11</v>
      </c>
      <c r="Y2788" t="s">
        <v>22571</v>
      </c>
      <c r="Z2788" t="s">
        <v>29118</v>
      </c>
      <c r="AA2788">
        <v>0.66561708858917301</v>
      </c>
      <c r="AB2788" t="str">
        <f>HYPERLINK("Melting_Curves/meltCurve_P51148_RAB5C.pdf", "Melting_Curves/meltCurve_P51148_RAB5C.pdf")</f>
        <v>Melting_Curves/meltCurve_P51148_RAB5C.pdf</v>
      </c>
    </row>
    <row r="2789" spans="1:28" x14ac:dyDescent="0.25">
      <c r="A2789" t="s">
        <v>2793</v>
      </c>
      <c r="B2789">
        <v>0.99252571173614901</v>
      </c>
      <c r="C2789">
        <v>0.93959479992385098</v>
      </c>
      <c r="D2789">
        <v>0.87565874381033004</v>
      </c>
      <c r="E2789">
        <v>0.758481285329762</v>
      </c>
      <c r="F2789">
        <v>0.66967349469350801</v>
      </c>
      <c r="G2789">
        <v>0.60640414922609698</v>
      </c>
      <c r="H2789">
        <v>0.46567980046356799</v>
      </c>
      <c r="I2789">
        <v>0.40386118622040301</v>
      </c>
      <c r="J2789">
        <v>0.32548302761273001</v>
      </c>
      <c r="K2789">
        <v>0.16566862317904499</v>
      </c>
      <c r="L2789">
        <v>420.06576680205598</v>
      </c>
      <c r="M2789">
        <v>7.1047040488047202</v>
      </c>
      <c r="N2789">
        <v>59.125021067771698</v>
      </c>
      <c r="O2789">
        <v>54.977462807935403</v>
      </c>
      <c r="P2789">
        <v>-3.23640681509519E-2</v>
      </c>
      <c r="Q2789">
        <v>0</v>
      </c>
      <c r="R2789">
        <v>0.98161568928706999</v>
      </c>
      <c r="S2789" t="s">
        <v>9435</v>
      </c>
      <c r="T2789" t="s">
        <v>13290</v>
      </c>
      <c r="U2789" t="s">
        <v>13290</v>
      </c>
      <c r="V2789" t="s">
        <v>13290</v>
      </c>
      <c r="W2789" t="s">
        <v>16038</v>
      </c>
      <c r="X2789">
        <v>24</v>
      </c>
      <c r="Y2789" t="s">
        <v>22572</v>
      </c>
      <c r="Z2789" t="s">
        <v>29119</v>
      </c>
      <c r="AA2789">
        <v>0.62480152895472163</v>
      </c>
      <c r="AB2789" t="str">
        <f>HYPERLINK("Melting_Curves/meltCurve_P51149_RAB7A.pdf", "Melting_Curves/meltCurve_P51149_RAB7A.pdf")</f>
        <v>Melting_Curves/meltCurve_P51149_RAB7A.pdf</v>
      </c>
    </row>
    <row r="2790" spans="1:28" x14ac:dyDescent="0.25">
      <c r="A2790" t="s">
        <v>2794</v>
      </c>
      <c r="B2790">
        <v>0.99252571173614901</v>
      </c>
      <c r="C2790">
        <v>0.93063399573649297</v>
      </c>
      <c r="D2790">
        <v>0.84538485285748</v>
      </c>
      <c r="E2790">
        <v>0.74412852523186301</v>
      </c>
      <c r="F2790">
        <v>0.55273547394885403</v>
      </c>
      <c r="G2790">
        <v>0.33968839852402699</v>
      </c>
      <c r="H2790">
        <v>0.13275046375177399</v>
      </c>
      <c r="I2790">
        <v>7.6646040998009896E-2</v>
      </c>
      <c r="J2790">
        <v>8.2531555162119102E-2</v>
      </c>
      <c r="K2790">
        <v>7.0383812511753893E-2</v>
      </c>
      <c r="L2790">
        <v>683.13468610503105</v>
      </c>
      <c r="M2790">
        <v>12.7609051387488</v>
      </c>
      <c r="N2790">
        <v>53.533405555447999</v>
      </c>
      <c r="O2790">
        <v>52.269834658802097</v>
      </c>
      <c r="P2790">
        <v>-6.1045384822562103E-2</v>
      </c>
      <c r="Q2790">
        <v>0</v>
      </c>
      <c r="R2790">
        <v>0.99371151161522397</v>
      </c>
      <c r="S2790" t="s">
        <v>9436</v>
      </c>
      <c r="T2790" t="s">
        <v>13290</v>
      </c>
      <c r="U2790" t="s">
        <v>13290</v>
      </c>
      <c r="V2790" t="s">
        <v>13290</v>
      </c>
      <c r="W2790" t="s">
        <v>16039</v>
      </c>
      <c r="X2790">
        <v>6</v>
      </c>
      <c r="Y2790" t="s">
        <v>22573</v>
      </c>
      <c r="Z2790" t="s">
        <v>29120</v>
      </c>
      <c r="AA2790">
        <v>0.47664641411771758</v>
      </c>
      <c r="AB2790" t="str">
        <f>HYPERLINK("Melting_Curves/meltCurve_P51151_RAB9A.pdf", "Melting_Curves/meltCurve_P51151_RAB9A.pdf")</f>
        <v>Melting_Curves/meltCurve_P51151_RAB9A.pdf</v>
      </c>
    </row>
    <row r="2791" spans="1:28" x14ac:dyDescent="0.25">
      <c r="A2791" t="s">
        <v>2795</v>
      </c>
      <c r="B2791">
        <v>0.99252571173614901</v>
      </c>
      <c r="C2791">
        <v>0.99697062618939203</v>
      </c>
      <c r="D2791">
        <v>0.94607687416089603</v>
      </c>
      <c r="E2791">
        <v>0.88135012802233503</v>
      </c>
      <c r="F2791">
        <v>0.58952678524928703</v>
      </c>
      <c r="G2791">
        <v>0.27029186574439201</v>
      </c>
      <c r="H2791">
        <v>0.132696237287419</v>
      </c>
      <c r="I2791">
        <v>9.3333869427277005E-2</v>
      </c>
      <c r="J2791">
        <v>9.2540116067557507E-2</v>
      </c>
      <c r="K2791">
        <v>8.6300451432932093E-2</v>
      </c>
      <c r="L2791">
        <v>1243.54349866538</v>
      </c>
      <c r="M2791">
        <v>23.1846532958278</v>
      </c>
      <c r="N2791">
        <v>54.032210643050199</v>
      </c>
      <c r="O2791">
        <v>53.242239387407203</v>
      </c>
      <c r="P2791">
        <v>-0.10036545422505699</v>
      </c>
      <c r="Q2791">
        <v>7.8082459328866802E-2</v>
      </c>
      <c r="R2791">
        <v>0.99906074996598904</v>
      </c>
      <c r="S2791" t="s">
        <v>9437</v>
      </c>
      <c r="T2791" t="s">
        <v>13290</v>
      </c>
      <c r="U2791" t="s">
        <v>13290</v>
      </c>
      <c r="V2791" t="s">
        <v>13290</v>
      </c>
      <c r="W2791" t="s">
        <v>16040</v>
      </c>
      <c r="X2791">
        <v>8</v>
      </c>
      <c r="Y2791" t="s">
        <v>22574</v>
      </c>
      <c r="Z2791" t="s">
        <v>29121</v>
      </c>
      <c r="AA2791">
        <v>0.50690917047353834</v>
      </c>
      <c r="AB2791" t="str">
        <f>HYPERLINK("Melting_Curves/meltCurve_P51153_RAB13.pdf", "Melting_Curves/meltCurve_P51153_RAB13.pdf")</f>
        <v>Melting_Curves/meltCurve_P51153_RAB13.pdf</v>
      </c>
    </row>
    <row r="2792" spans="1:28" x14ac:dyDescent="0.25">
      <c r="A2792" t="s">
        <v>2796</v>
      </c>
      <c r="B2792">
        <v>0.99252571173614901</v>
      </c>
      <c r="C2792">
        <v>1.00042032035553</v>
      </c>
      <c r="D2792">
        <v>0.90688436016759399</v>
      </c>
      <c r="E2792">
        <v>0.609425493631923</v>
      </c>
      <c r="F2792">
        <v>0.23411496445766999</v>
      </c>
      <c r="G2792">
        <v>0.147457801493974</v>
      </c>
      <c r="H2792">
        <v>0.12532466187069199</v>
      </c>
      <c r="I2792">
        <v>0.13735023284863501</v>
      </c>
      <c r="J2792">
        <v>0.10093830314834</v>
      </c>
      <c r="K2792">
        <v>8.6638058801166207E-2</v>
      </c>
      <c r="L2792">
        <v>1373.8012791004501</v>
      </c>
      <c r="M2792">
        <v>27.503470693588799</v>
      </c>
      <c r="N2792">
        <v>50.403053275087203</v>
      </c>
      <c r="O2792">
        <v>49.6882757600752</v>
      </c>
      <c r="P2792">
        <v>-0.123229187690595</v>
      </c>
      <c r="Q2792">
        <v>0.109495686586883</v>
      </c>
      <c r="R2792">
        <v>0.99845539305557995</v>
      </c>
      <c r="S2792" t="s">
        <v>9438</v>
      </c>
      <c r="T2792" t="s">
        <v>13290</v>
      </c>
      <c r="U2792" t="s">
        <v>13290</v>
      </c>
      <c r="V2792" t="s">
        <v>13290</v>
      </c>
      <c r="W2792" t="s">
        <v>16041</v>
      </c>
      <c r="X2792">
        <v>4</v>
      </c>
      <c r="Y2792" t="s">
        <v>22575</v>
      </c>
      <c r="Z2792" t="s">
        <v>29122</v>
      </c>
      <c r="AA2792">
        <v>0.41141085841756542</v>
      </c>
      <c r="AB2792" t="str">
        <f>HYPERLINK("Melting_Curves/meltCurve_P51157_RAB28.pdf", "Melting_Curves/meltCurve_P51157_RAB28.pdf")</f>
        <v>Melting_Curves/meltCurve_P51157_RAB28.pdf</v>
      </c>
    </row>
    <row r="2793" spans="1:28" x14ac:dyDescent="0.25">
      <c r="A2793" t="s">
        <v>2797</v>
      </c>
      <c r="B2793">
        <v>0.99252571173614901</v>
      </c>
      <c r="C2793">
        <v>1.04368443593458</v>
      </c>
      <c r="D2793">
        <v>0.84947883399754498</v>
      </c>
      <c r="E2793">
        <v>0.46251291072983303</v>
      </c>
      <c r="F2793">
        <v>0.23885568917849001</v>
      </c>
      <c r="G2793">
        <v>0.16248871602991499</v>
      </c>
      <c r="H2793">
        <v>0.124285717362693</v>
      </c>
      <c r="I2793">
        <v>0.142806507912902</v>
      </c>
      <c r="J2793">
        <v>0.14042803053212</v>
      </c>
      <c r="K2793">
        <v>0.165389885768504</v>
      </c>
      <c r="L2793">
        <v>1358.52563233715</v>
      </c>
      <c r="M2793">
        <v>27.8927208408005</v>
      </c>
      <c r="N2793">
        <v>49.314483187244498</v>
      </c>
      <c r="O2793">
        <v>48.457095377687097</v>
      </c>
      <c r="P2793">
        <v>-0.122935929939234</v>
      </c>
      <c r="Q2793">
        <v>0.14571744616823901</v>
      </c>
      <c r="R2793">
        <v>0.99575224870321899</v>
      </c>
      <c r="S2793" t="s">
        <v>9439</v>
      </c>
      <c r="T2793" t="s">
        <v>13290</v>
      </c>
      <c r="U2793" t="s">
        <v>13290</v>
      </c>
      <c r="V2793" t="s">
        <v>13290</v>
      </c>
      <c r="W2793" t="s">
        <v>16042</v>
      </c>
      <c r="X2793">
        <v>3</v>
      </c>
      <c r="Y2793" t="s">
        <v>22576</v>
      </c>
      <c r="Z2793" t="s">
        <v>29123</v>
      </c>
      <c r="AA2793">
        <v>0.39963551486306431</v>
      </c>
      <c r="AB2793" t="str">
        <f>HYPERLINK("Melting_Curves/meltCurve_P51161_FABP6.pdf", "Melting_Curves/meltCurve_P51161_FABP6.pdf")</f>
        <v>Melting_Curves/meltCurve_P51161_FABP6.pdf</v>
      </c>
    </row>
    <row r="2794" spans="1:28" x14ac:dyDescent="0.25">
      <c r="A2794" t="s">
        <v>2798</v>
      </c>
      <c r="B2794">
        <v>0.99252571173614901</v>
      </c>
      <c r="C2794">
        <v>1.2940327399079501</v>
      </c>
      <c r="D2794">
        <v>0.96625881879867404</v>
      </c>
      <c r="E2794">
        <v>1.3765631140149901</v>
      </c>
      <c r="F2794">
        <v>0.67700709810887805</v>
      </c>
      <c r="G2794">
        <v>0.42333049572569598</v>
      </c>
      <c r="H2794">
        <v>0.38178297661312</v>
      </c>
      <c r="I2794">
        <v>0.63782650720428302</v>
      </c>
      <c r="J2794">
        <v>1.01880372495712</v>
      </c>
      <c r="K2794">
        <v>0.76424784078288299</v>
      </c>
      <c r="L2794">
        <v>13176.689950716</v>
      </c>
      <c r="M2794">
        <v>250</v>
      </c>
      <c r="O2794">
        <v>52.703387054973199</v>
      </c>
      <c r="P2794">
        <v>-0.42075310108907099</v>
      </c>
      <c r="Q2794">
        <v>0.64519818466517598</v>
      </c>
      <c r="R2794">
        <v>0.50807857354010699</v>
      </c>
      <c r="S2794" t="s">
        <v>9440</v>
      </c>
      <c r="T2794" t="s">
        <v>13290</v>
      </c>
      <c r="U2794" t="s">
        <v>13290</v>
      </c>
      <c r="V2794" t="s">
        <v>13290</v>
      </c>
      <c r="W2794" t="s">
        <v>16043</v>
      </c>
      <c r="X2794">
        <v>2</v>
      </c>
      <c r="Y2794" t="s">
        <v>22577</v>
      </c>
      <c r="Z2794" t="s">
        <v>29124</v>
      </c>
      <c r="AA2794">
        <v>0.79551038517366757</v>
      </c>
      <c r="AB2794" t="str">
        <f>HYPERLINK("Melting_Curves/meltCurve_P51397_DAP.pdf", "Melting_Curves/meltCurve_P51397_DAP.pdf")</f>
        <v>Melting_Curves/meltCurve_P51397_DAP.pdf</v>
      </c>
    </row>
    <row r="2795" spans="1:28" x14ac:dyDescent="0.25">
      <c r="A2795" t="s">
        <v>2799</v>
      </c>
      <c r="B2795">
        <v>0.99252571173614901</v>
      </c>
      <c r="C2795">
        <v>0.99672895609567802</v>
      </c>
      <c r="D2795">
        <v>0.88689565161178996</v>
      </c>
      <c r="E2795">
        <v>0.55015311082137097</v>
      </c>
      <c r="F2795">
        <v>0.18202908470033999</v>
      </c>
      <c r="G2795">
        <v>9.6796568668676905E-2</v>
      </c>
      <c r="H2795">
        <v>6.1331689703669597E-2</v>
      </c>
      <c r="I2795">
        <v>5.0912556650898798E-2</v>
      </c>
      <c r="J2795">
        <v>5.9982944153432097E-2</v>
      </c>
      <c r="K2795">
        <v>5.12697270075314E-2</v>
      </c>
      <c r="L2795">
        <v>1314.91966684313</v>
      </c>
      <c r="M2795">
        <v>26.452374030454401</v>
      </c>
      <c r="N2795">
        <v>49.922165632963697</v>
      </c>
      <c r="O2795">
        <v>49.427478791261201</v>
      </c>
      <c r="P2795">
        <v>-0.12664868050661701</v>
      </c>
      <c r="Q2795">
        <v>5.3414896109388502E-2</v>
      </c>
      <c r="R2795">
        <v>0.999529509040885</v>
      </c>
      <c r="S2795" t="s">
        <v>9441</v>
      </c>
      <c r="T2795" t="s">
        <v>13290</v>
      </c>
      <c r="U2795" t="s">
        <v>13290</v>
      </c>
      <c r="V2795" t="s">
        <v>13290</v>
      </c>
      <c r="W2795" t="s">
        <v>16044</v>
      </c>
      <c r="X2795">
        <v>6</v>
      </c>
      <c r="Y2795" t="s">
        <v>22578</v>
      </c>
      <c r="Z2795" t="s">
        <v>29125</v>
      </c>
      <c r="AA2795">
        <v>0.36728368564555092</v>
      </c>
      <c r="AB2795" t="str">
        <f>HYPERLINK("Melting_Curves/meltCurve_P51398_2_DAP3.pdf", "Melting_Curves/meltCurve_P51398_2_DAP3.pdf")</f>
        <v>Melting_Curves/meltCurve_P51398_2_DAP3.pdf</v>
      </c>
    </row>
    <row r="2796" spans="1:28" x14ac:dyDescent="0.25">
      <c r="A2796" t="s">
        <v>2800</v>
      </c>
      <c r="B2796">
        <v>0.99252571173614901</v>
      </c>
      <c r="C2796">
        <v>1.0746930784686399</v>
      </c>
      <c r="D2796">
        <v>0.960802963616332</v>
      </c>
      <c r="E2796">
        <v>0.69183820246918604</v>
      </c>
      <c r="F2796">
        <v>0.24713574172927699</v>
      </c>
      <c r="G2796">
        <v>0.12863862421004499</v>
      </c>
      <c r="H2796">
        <v>8.4170918318850194E-2</v>
      </c>
      <c r="I2796">
        <v>7.7694452268137301E-2</v>
      </c>
      <c r="J2796">
        <v>7.14256103070426E-2</v>
      </c>
      <c r="K2796">
        <v>6.9525675763201997E-2</v>
      </c>
      <c r="L2796">
        <v>1577.0938741924101</v>
      </c>
      <c r="M2796">
        <v>31.103639169499498</v>
      </c>
      <c r="N2796">
        <v>50.981066158196903</v>
      </c>
      <c r="O2796">
        <v>50.496246625316999</v>
      </c>
      <c r="P2796">
        <v>-0.142035250600764</v>
      </c>
      <c r="Q2796">
        <v>7.7637215940483506E-2</v>
      </c>
      <c r="R2796">
        <v>0.99611278161030703</v>
      </c>
      <c r="S2796" t="s">
        <v>9442</v>
      </c>
      <c r="T2796" t="s">
        <v>13290</v>
      </c>
      <c r="U2796" t="s">
        <v>13290</v>
      </c>
      <c r="V2796" t="s">
        <v>13290</v>
      </c>
      <c r="W2796" t="s">
        <v>16045</v>
      </c>
      <c r="X2796">
        <v>7</v>
      </c>
      <c r="Y2796" t="s">
        <v>22579</v>
      </c>
      <c r="Z2796" t="s">
        <v>29126</v>
      </c>
      <c r="AA2796">
        <v>0.41211795651812039</v>
      </c>
      <c r="AB2796" t="str">
        <f>HYPERLINK("Melting_Curves/meltCurve_P51452_DUSP3.pdf", "Melting_Curves/meltCurve_P51452_DUSP3.pdf")</f>
        <v>Melting_Curves/meltCurve_P51452_DUSP3.pdf</v>
      </c>
    </row>
    <row r="2797" spans="1:28" x14ac:dyDescent="0.25">
      <c r="A2797" t="s">
        <v>2801</v>
      </c>
      <c r="B2797">
        <v>0.99252571173614901</v>
      </c>
      <c r="C2797">
        <v>0.89239132589965797</v>
      </c>
      <c r="D2797">
        <v>0.72845237804132101</v>
      </c>
      <c r="E2797">
        <v>0.45718797699164099</v>
      </c>
      <c r="F2797">
        <v>0.40883664773092199</v>
      </c>
      <c r="G2797">
        <v>0.31632471684085101</v>
      </c>
      <c r="H2797">
        <v>0.27520308250756698</v>
      </c>
      <c r="I2797">
        <v>0.32016460413335401</v>
      </c>
      <c r="J2797">
        <v>0.413304469578469</v>
      </c>
      <c r="K2797">
        <v>0.43173097180858899</v>
      </c>
      <c r="L2797">
        <v>1085.00297715236</v>
      </c>
      <c r="M2797">
        <v>23.3727401821426</v>
      </c>
      <c r="N2797">
        <v>48.978595152638398</v>
      </c>
      <c r="O2797">
        <v>46.085886229485801</v>
      </c>
      <c r="P2797">
        <v>-8.2109173609047501E-2</v>
      </c>
      <c r="Q2797">
        <v>0.35240635426566302</v>
      </c>
      <c r="R2797">
        <v>0.963595041947652</v>
      </c>
      <c r="S2797" t="s">
        <v>9443</v>
      </c>
      <c r="T2797" t="s">
        <v>13290</v>
      </c>
      <c r="U2797" t="s">
        <v>13290</v>
      </c>
      <c r="V2797" t="s">
        <v>13290</v>
      </c>
      <c r="W2797" t="s">
        <v>16046</v>
      </c>
      <c r="X2797">
        <v>12</v>
      </c>
      <c r="Y2797" t="s">
        <v>22580</v>
      </c>
      <c r="Z2797" t="s">
        <v>29127</v>
      </c>
      <c r="AA2797">
        <v>0.49787153185219019</v>
      </c>
      <c r="AB2797" t="str">
        <f>HYPERLINK("Melting_Curves/meltCurve_P51531_2_SMARCA2.pdf", "Melting_Curves/meltCurve_P51531_2_SMARCA2.pdf")</f>
        <v>Melting_Curves/meltCurve_P51531_2_SMARCA2.pdf</v>
      </c>
    </row>
    <row r="2798" spans="1:28" x14ac:dyDescent="0.25">
      <c r="A2798" t="s">
        <v>2802</v>
      </c>
      <c r="B2798">
        <v>0.99252571173614901</v>
      </c>
      <c r="C2798">
        <v>1.02007886320156</v>
      </c>
      <c r="D2798">
        <v>0.94252265914254696</v>
      </c>
      <c r="E2798">
        <v>0.87828727908397197</v>
      </c>
      <c r="F2798">
        <v>0.70626594023115596</v>
      </c>
      <c r="G2798">
        <v>0.364672171663458</v>
      </c>
      <c r="H2798">
        <v>0.139580799885484</v>
      </c>
      <c r="I2798">
        <v>7.9711348835141096E-2</v>
      </c>
      <c r="J2798">
        <v>7.6603379504309801E-2</v>
      </c>
      <c r="K2798">
        <v>8.6865038121247407E-2</v>
      </c>
      <c r="L2798">
        <v>1165.6178158955099</v>
      </c>
      <c r="M2798">
        <v>21.234146239377999</v>
      </c>
      <c r="N2798">
        <v>55.182856424095398</v>
      </c>
      <c r="O2798">
        <v>54.413660075942303</v>
      </c>
      <c r="P2798">
        <v>-9.2422426513770597E-2</v>
      </c>
      <c r="Q2798">
        <v>5.2674328983925198E-2</v>
      </c>
      <c r="R2798">
        <v>0.99655852868614103</v>
      </c>
      <c r="S2798" t="s">
        <v>9444</v>
      </c>
      <c r="T2798" t="s">
        <v>13290</v>
      </c>
      <c r="U2798" t="s">
        <v>13290</v>
      </c>
      <c r="V2798" t="s">
        <v>13290</v>
      </c>
      <c r="W2798" t="s">
        <v>16047</v>
      </c>
      <c r="X2798">
        <v>10</v>
      </c>
      <c r="Y2798" t="s">
        <v>22581</v>
      </c>
      <c r="Z2798" t="s">
        <v>29128</v>
      </c>
      <c r="AA2798">
        <v>0.53450363954075109</v>
      </c>
      <c r="AB2798" t="str">
        <f>HYPERLINK("Melting_Curves/meltCurve_P51553_IDH3G.pdf", "Melting_Curves/meltCurve_P51553_IDH3G.pdf")</f>
        <v>Melting_Curves/meltCurve_P51553_IDH3G.pdf</v>
      </c>
    </row>
    <row r="2799" spans="1:28" x14ac:dyDescent="0.25">
      <c r="A2799" t="s">
        <v>2803</v>
      </c>
      <c r="B2799">
        <v>0.99252571173614901</v>
      </c>
      <c r="C2799">
        <v>1.07898104721628</v>
      </c>
      <c r="D2799">
        <v>0.95906980702924605</v>
      </c>
      <c r="E2799">
        <v>0.81435319650251703</v>
      </c>
      <c r="F2799">
        <v>0.42479458527109298</v>
      </c>
      <c r="G2799">
        <v>0.134209457739253</v>
      </c>
      <c r="H2799">
        <v>8.99671829690082E-2</v>
      </c>
      <c r="I2799">
        <v>8.9165812326669799E-2</v>
      </c>
      <c r="J2799">
        <v>0.10044373882482099</v>
      </c>
      <c r="K2799">
        <v>0.10039106694437</v>
      </c>
      <c r="L2799">
        <v>1504.1956675164499</v>
      </c>
      <c r="M2799">
        <v>28.8887120305018</v>
      </c>
      <c r="N2799">
        <v>52.411050966663304</v>
      </c>
      <c r="O2799">
        <v>51.821044594034703</v>
      </c>
      <c r="P2799">
        <v>-0.12738232738562699</v>
      </c>
      <c r="Q2799">
        <v>8.6004930540414901E-2</v>
      </c>
      <c r="R2799">
        <v>0.99482544371953197</v>
      </c>
      <c r="S2799" t="s">
        <v>9445</v>
      </c>
      <c r="T2799" t="s">
        <v>13290</v>
      </c>
      <c r="U2799" t="s">
        <v>13290</v>
      </c>
      <c r="V2799" t="s">
        <v>13290</v>
      </c>
      <c r="W2799" t="s">
        <v>16048</v>
      </c>
      <c r="X2799">
        <v>18</v>
      </c>
      <c r="Y2799" t="s">
        <v>22582</v>
      </c>
      <c r="Z2799" t="s">
        <v>29129</v>
      </c>
      <c r="AA2799">
        <v>0.45999284604453811</v>
      </c>
      <c r="AB2799" t="str">
        <f>HYPERLINK("Melting_Curves/meltCurve_P51570_GALK1.pdf", "Melting_Curves/meltCurve_P51570_GALK1.pdf")</f>
        <v>Melting_Curves/meltCurve_P51570_GALK1.pdf</v>
      </c>
    </row>
    <row r="2800" spans="1:28" x14ac:dyDescent="0.25">
      <c r="A2800" t="s">
        <v>2804</v>
      </c>
      <c r="B2800">
        <v>0.99252571173614901</v>
      </c>
      <c r="C2800">
        <v>0.94023575134475601</v>
      </c>
      <c r="D2800">
        <v>0.88532519138802102</v>
      </c>
      <c r="E2800">
        <v>0.86649839234500503</v>
      </c>
      <c r="F2800">
        <v>0.58239005533353005</v>
      </c>
      <c r="G2800">
        <v>0.42870607920866899</v>
      </c>
      <c r="H2800">
        <v>0.24234172515122901</v>
      </c>
      <c r="I2800">
        <v>0.13171240647395199</v>
      </c>
      <c r="J2800">
        <v>0.12098558252524</v>
      </c>
      <c r="K2800">
        <v>0.105160640364858</v>
      </c>
      <c r="L2800">
        <v>727.77667362785201</v>
      </c>
      <c r="M2800">
        <v>13.278097829812999</v>
      </c>
      <c r="N2800">
        <v>55.1374543273283</v>
      </c>
      <c r="O2800">
        <v>53.611860878782799</v>
      </c>
      <c r="P2800">
        <v>-5.9582015385243402E-2</v>
      </c>
      <c r="Q2800">
        <v>3.78793208759612E-2</v>
      </c>
      <c r="R2800">
        <v>0.99243824909922695</v>
      </c>
      <c r="S2800" t="s">
        <v>9446</v>
      </c>
      <c r="T2800" t="s">
        <v>13290</v>
      </c>
      <c r="U2800" t="s">
        <v>13290</v>
      </c>
      <c r="V2800" t="s">
        <v>13290</v>
      </c>
      <c r="W2800" t="s">
        <v>16049</v>
      </c>
      <c r="X2800">
        <v>9</v>
      </c>
      <c r="Y2800" t="s">
        <v>22583</v>
      </c>
      <c r="Z2800" t="s">
        <v>29130</v>
      </c>
      <c r="AA2800">
        <v>0.53409450864457098</v>
      </c>
      <c r="AB2800" t="str">
        <f>HYPERLINK("Melting_Curves/meltCurve_P51571_SSR4.pdf", "Melting_Curves/meltCurve_P51571_SSR4.pdf")</f>
        <v>Melting_Curves/meltCurve_P51571_SSR4.pdf</v>
      </c>
    </row>
    <row r="2801" spans="1:28" x14ac:dyDescent="0.25">
      <c r="A2801" t="s">
        <v>2805</v>
      </c>
      <c r="B2801">
        <v>0.99252571173614901</v>
      </c>
      <c r="C2801">
        <v>0.96313335202563699</v>
      </c>
      <c r="D2801">
        <v>1.0162825174588499</v>
      </c>
      <c r="E2801">
        <v>1.0541667121067499</v>
      </c>
      <c r="F2801">
        <v>0.82172752065778099</v>
      </c>
      <c r="G2801">
        <v>0.55461137422732398</v>
      </c>
      <c r="H2801">
        <v>0.60000022485047799</v>
      </c>
      <c r="I2801">
        <v>0.72956574945325203</v>
      </c>
      <c r="J2801">
        <v>1.18074844809987</v>
      </c>
      <c r="K2801">
        <v>0.76789144572413504</v>
      </c>
      <c r="L2801">
        <v>13237.596284229299</v>
      </c>
      <c r="M2801">
        <v>250</v>
      </c>
      <c r="O2801">
        <v>52.946999671583299</v>
      </c>
      <c r="P2801">
        <v>-0.27555451783750301</v>
      </c>
      <c r="Q2801">
        <v>0.766563454077136</v>
      </c>
      <c r="R2801">
        <v>0.342229878415232</v>
      </c>
      <c r="S2801" t="s">
        <v>9447</v>
      </c>
      <c r="T2801" t="s">
        <v>13290</v>
      </c>
      <c r="U2801" t="s">
        <v>13290</v>
      </c>
      <c r="V2801" t="s">
        <v>13290</v>
      </c>
      <c r="W2801" t="s">
        <v>16050</v>
      </c>
      <c r="X2801">
        <v>25</v>
      </c>
      <c r="Y2801" t="s">
        <v>22584</v>
      </c>
      <c r="Z2801" t="s">
        <v>29131</v>
      </c>
      <c r="AA2801">
        <v>0.86735491914990059</v>
      </c>
      <c r="AB2801" t="str">
        <f>HYPERLINK("Melting_Curves/meltCurve_P51572_BCAP31.pdf", "Melting_Curves/meltCurve_P51572_BCAP31.pdf")</f>
        <v>Melting_Curves/meltCurve_P51572_BCAP31.pdf</v>
      </c>
    </row>
    <row r="2802" spans="1:28" x14ac:dyDescent="0.25">
      <c r="A2802" t="s">
        <v>2806</v>
      </c>
      <c r="B2802">
        <v>0.99252571173614901</v>
      </c>
      <c r="C2802">
        <v>1.00882488749432</v>
      </c>
      <c r="D2802">
        <v>0.89163785359306402</v>
      </c>
      <c r="E2802">
        <v>0.818016793477509</v>
      </c>
      <c r="F2802">
        <v>0.52956937113407798</v>
      </c>
      <c r="G2802">
        <v>0.219075835525952</v>
      </c>
      <c r="H2802">
        <v>7.2976140774396098E-2</v>
      </c>
      <c r="I2802">
        <v>5.7823532847195498E-2</v>
      </c>
      <c r="J2802">
        <v>6.22329978485133E-2</v>
      </c>
      <c r="K2802">
        <v>6.1263734728434299E-2</v>
      </c>
      <c r="L2802">
        <v>1084.45024514429</v>
      </c>
      <c r="M2802">
        <v>20.4351185531129</v>
      </c>
      <c r="N2802">
        <v>53.255698350262499</v>
      </c>
      <c r="O2802">
        <v>52.567620030397997</v>
      </c>
      <c r="P2802">
        <v>-9.3810475425562201E-2</v>
      </c>
      <c r="Q2802">
        <v>3.4750749494769702E-2</v>
      </c>
      <c r="R2802">
        <v>0.99542660366995905</v>
      </c>
      <c r="S2802" t="s">
        <v>9448</v>
      </c>
      <c r="T2802" t="s">
        <v>13290</v>
      </c>
      <c r="U2802" t="s">
        <v>13290</v>
      </c>
      <c r="V2802" t="s">
        <v>13290</v>
      </c>
      <c r="W2802" t="s">
        <v>16051</v>
      </c>
      <c r="X2802">
        <v>15</v>
      </c>
      <c r="Y2802" t="s">
        <v>22585</v>
      </c>
      <c r="Z2802" t="s">
        <v>29132</v>
      </c>
      <c r="AA2802">
        <v>0.46800070860550319</v>
      </c>
      <c r="AB2802" t="str">
        <f>HYPERLINK("Melting_Curves/meltCurve_P51580_TPMT.pdf", "Melting_Curves/meltCurve_P51580_TPMT.pdf")</f>
        <v>Melting_Curves/meltCurve_P51580_TPMT.pdf</v>
      </c>
    </row>
    <row r="2803" spans="1:28" x14ac:dyDescent="0.25">
      <c r="A2803" t="s">
        <v>2807</v>
      </c>
      <c r="B2803">
        <v>0.99252571173614901</v>
      </c>
      <c r="C2803">
        <v>1.0982971845959699</v>
      </c>
      <c r="D2803">
        <v>0.87888182315812202</v>
      </c>
      <c r="E2803">
        <v>0.97743830217455796</v>
      </c>
      <c r="F2803">
        <v>0.73217497860388103</v>
      </c>
      <c r="G2803">
        <v>0.451891323230734</v>
      </c>
      <c r="H2803">
        <v>0.45878981245607098</v>
      </c>
      <c r="I2803">
        <v>0.59785288334250097</v>
      </c>
      <c r="J2803">
        <v>0.90639783959683096</v>
      </c>
      <c r="K2803">
        <v>0.98473994255721198</v>
      </c>
      <c r="L2803">
        <v>3678.6425527838401</v>
      </c>
      <c r="M2803">
        <v>70.982160005841905</v>
      </c>
      <c r="O2803">
        <v>51.783799964477097</v>
      </c>
      <c r="P2803">
        <v>-0.109296233527495</v>
      </c>
      <c r="Q2803">
        <v>0.68105940467855497</v>
      </c>
      <c r="R2803">
        <v>0.43726415968983701</v>
      </c>
      <c r="S2803" t="s">
        <v>9449</v>
      </c>
      <c r="T2803" t="s">
        <v>13290</v>
      </c>
      <c r="U2803" t="s">
        <v>13290</v>
      </c>
      <c r="V2803" t="s">
        <v>13290</v>
      </c>
      <c r="W2803" t="s">
        <v>16052</v>
      </c>
      <c r="X2803">
        <v>4</v>
      </c>
      <c r="Y2803" t="s">
        <v>22586</v>
      </c>
      <c r="Z2803" t="s">
        <v>29133</v>
      </c>
      <c r="AA2803">
        <v>0.80713472210702986</v>
      </c>
      <c r="AB2803" t="str">
        <f>HYPERLINK("Melting_Curves/meltCurve_P51608_MECP2.pdf", "Melting_Curves/meltCurve_P51608_MECP2.pdf")</f>
        <v>Melting_Curves/meltCurve_P51608_MECP2.pdf</v>
      </c>
    </row>
    <row r="2804" spans="1:28" x14ac:dyDescent="0.25">
      <c r="A2804" t="s">
        <v>2808</v>
      </c>
      <c r="B2804">
        <v>0.99252571173614901</v>
      </c>
      <c r="C2804">
        <v>1.0472062424475801</v>
      </c>
      <c r="D2804">
        <v>0.81512366701678396</v>
      </c>
      <c r="E2804">
        <v>1.17772690796601</v>
      </c>
      <c r="F2804">
        <v>0.60979293459712702</v>
      </c>
      <c r="G2804">
        <v>0.34355521031144898</v>
      </c>
      <c r="H2804">
        <v>0.210578067696161</v>
      </c>
      <c r="I2804">
        <v>0.21682640663187699</v>
      </c>
      <c r="J2804">
        <v>0.37914983762655002</v>
      </c>
      <c r="K2804">
        <v>0.167268238980286</v>
      </c>
      <c r="L2804">
        <v>6779.7548863412303</v>
      </c>
      <c r="M2804">
        <v>127.55725006771399</v>
      </c>
      <c r="N2804">
        <v>53.464342491824297</v>
      </c>
      <c r="O2804">
        <v>53.137626506784699</v>
      </c>
      <c r="P2804">
        <v>-0.44204336768004598</v>
      </c>
      <c r="Q2804">
        <v>0.26341677719526602</v>
      </c>
      <c r="R2804">
        <v>0.92350417908568605</v>
      </c>
      <c r="S2804" t="s">
        <v>9450</v>
      </c>
      <c r="T2804" t="s">
        <v>13290</v>
      </c>
      <c r="U2804" t="s">
        <v>13290</v>
      </c>
      <c r="V2804" t="s">
        <v>13290</v>
      </c>
      <c r="W2804" t="s">
        <v>16053</v>
      </c>
      <c r="X2804">
        <v>39</v>
      </c>
      <c r="Y2804" t="s">
        <v>19913</v>
      </c>
      <c r="Z2804" t="s">
        <v>29134</v>
      </c>
      <c r="AA2804">
        <v>0.58656659833892644</v>
      </c>
      <c r="AB2804" t="str">
        <f>HYPERLINK("Melting_Curves/meltCurve_P51610_2_HCFC1.pdf", "Melting_Curves/meltCurve_P51610_2_HCFC1.pdf")</f>
        <v>Melting_Curves/meltCurve_P51610_2_HCFC1.pdf</v>
      </c>
    </row>
    <row r="2805" spans="1:28" x14ac:dyDescent="0.25">
      <c r="A2805" t="s">
        <v>2809</v>
      </c>
      <c r="B2805">
        <v>0.99252571173614901</v>
      </c>
      <c r="C2805">
        <v>0.83554778169302102</v>
      </c>
      <c r="D2805">
        <v>0.737792478448283</v>
      </c>
      <c r="E2805">
        <v>0.305194510380568</v>
      </c>
      <c r="F2805">
        <v>0.153311592676493</v>
      </c>
      <c r="G2805">
        <v>8.2955317239274698E-2</v>
      </c>
      <c r="H2805">
        <v>5.4577105162347199E-2</v>
      </c>
      <c r="I2805">
        <v>5.3043021771921599E-2</v>
      </c>
      <c r="J2805">
        <v>5.8339361988469202E-2</v>
      </c>
      <c r="K2805">
        <v>5.5763328741164103E-2</v>
      </c>
      <c r="L2805">
        <v>969.20954398825597</v>
      </c>
      <c r="M2805">
        <v>20.3768985738038</v>
      </c>
      <c r="N2805">
        <v>47.807123521111599</v>
      </c>
      <c r="O2805">
        <v>47.113168013582801</v>
      </c>
      <c r="P2805">
        <v>-0.102811405914859</v>
      </c>
      <c r="Q2805">
        <v>4.9193352159814498E-2</v>
      </c>
      <c r="R2805">
        <v>0.99258548545951697</v>
      </c>
      <c r="S2805" t="s">
        <v>9451</v>
      </c>
      <c r="T2805" t="s">
        <v>13290</v>
      </c>
      <c r="U2805" t="s">
        <v>13290</v>
      </c>
      <c r="V2805" t="s">
        <v>13290</v>
      </c>
      <c r="W2805" t="s">
        <v>16054</v>
      </c>
      <c r="X2805">
        <v>13</v>
      </c>
      <c r="Y2805" t="s">
        <v>22587</v>
      </c>
      <c r="Z2805" t="s">
        <v>29135</v>
      </c>
      <c r="AA2805">
        <v>0.30204324928713888</v>
      </c>
      <c r="AB2805" t="str">
        <f>HYPERLINK("Melting_Curves/meltCurve_P51648_ALDH3A2.pdf", "Melting_Curves/meltCurve_P51648_ALDH3A2.pdf")</f>
        <v>Melting_Curves/meltCurve_P51648_ALDH3A2.pdf</v>
      </c>
    </row>
    <row r="2806" spans="1:28" x14ac:dyDescent="0.25">
      <c r="A2806" t="s">
        <v>2810</v>
      </c>
      <c r="B2806">
        <v>0.99252571173614901</v>
      </c>
      <c r="C2806">
        <v>1.0059206492488499</v>
      </c>
      <c r="D2806">
        <v>1.0228142624893399</v>
      </c>
      <c r="E2806">
        <v>0.975541812157531</v>
      </c>
      <c r="F2806">
        <v>0.64302164393644601</v>
      </c>
      <c r="G2806">
        <v>0.193925827731635</v>
      </c>
      <c r="H2806">
        <v>9.9694327753555703E-2</v>
      </c>
      <c r="I2806">
        <v>9.56639496989896E-2</v>
      </c>
      <c r="J2806">
        <v>0.100518048318744</v>
      </c>
      <c r="K2806">
        <v>9.7898423681716404E-2</v>
      </c>
      <c r="L2806">
        <v>2174.1970946614301</v>
      </c>
      <c r="M2806">
        <v>40.433789633218701</v>
      </c>
      <c r="N2806">
        <v>54.058763032341801</v>
      </c>
      <c r="O2806">
        <v>53.640765515709099</v>
      </c>
      <c r="P2806">
        <v>-0.17024730822776901</v>
      </c>
      <c r="Q2806">
        <v>9.6579675317125496E-2</v>
      </c>
      <c r="R2806">
        <v>0.99957575220749495</v>
      </c>
      <c r="S2806" t="s">
        <v>9452</v>
      </c>
      <c r="T2806" t="s">
        <v>13290</v>
      </c>
      <c r="U2806" t="s">
        <v>13290</v>
      </c>
      <c r="V2806" t="s">
        <v>13290</v>
      </c>
      <c r="W2806" t="s">
        <v>16055</v>
      </c>
      <c r="X2806">
        <v>35</v>
      </c>
      <c r="Y2806" t="s">
        <v>22588</v>
      </c>
      <c r="Z2806" t="s">
        <v>29136</v>
      </c>
      <c r="AA2806">
        <v>0.51458378665675675</v>
      </c>
      <c r="AB2806" t="str">
        <f>HYPERLINK("Melting_Curves/meltCurve_P51659_HSD17B4.pdf", "Melting_Curves/meltCurve_P51659_HSD17B4.pdf")</f>
        <v>Melting_Curves/meltCurve_P51659_HSD17B4.pdf</v>
      </c>
    </row>
    <row r="2807" spans="1:28" x14ac:dyDescent="0.25">
      <c r="A2807" t="s">
        <v>2811</v>
      </c>
      <c r="B2807">
        <v>0.99252571173614901</v>
      </c>
      <c r="C2807">
        <v>0.88796053526198004</v>
      </c>
      <c r="D2807">
        <v>1.0791560947213099</v>
      </c>
      <c r="E2807">
        <v>0.78913192463468296</v>
      </c>
      <c r="F2807">
        <v>0.59371394422619495</v>
      </c>
      <c r="G2807">
        <v>0.27123477822328101</v>
      </c>
      <c r="H2807">
        <v>0.13913004617572799</v>
      </c>
      <c r="I2807">
        <v>0.129295911374574</v>
      </c>
      <c r="J2807">
        <v>0.146383282573359</v>
      </c>
      <c r="K2807">
        <v>0.137523163216801</v>
      </c>
      <c r="L2807">
        <v>1199.6684142972299</v>
      </c>
      <c r="M2807">
        <v>22.5763830067405</v>
      </c>
      <c r="N2807">
        <v>53.78497434426</v>
      </c>
      <c r="O2807">
        <v>52.726556013078799</v>
      </c>
      <c r="P2807">
        <v>-9.4321509059191205E-2</v>
      </c>
      <c r="Q2807">
        <v>0.11887603384411501</v>
      </c>
      <c r="R2807">
        <v>0.97840948904290603</v>
      </c>
      <c r="S2807" t="s">
        <v>9453</v>
      </c>
      <c r="T2807" t="s">
        <v>13290</v>
      </c>
      <c r="U2807" t="s">
        <v>13290</v>
      </c>
      <c r="V2807" t="s">
        <v>13290</v>
      </c>
      <c r="W2807" t="s">
        <v>16056</v>
      </c>
      <c r="X2807">
        <v>12</v>
      </c>
      <c r="Y2807" t="s">
        <v>22589</v>
      </c>
      <c r="Z2807" t="s">
        <v>29137</v>
      </c>
      <c r="AA2807">
        <v>0.51454812981612441</v>
      </c>
      <c r="AB2807" t="str">
        <f>HYPERLINK("Melting_Curves/meltCurve_P51665_PSMD7.pdf", "Melting_Curves/meltCurve_P51665_PSMD7.pdf")</f>
        <v>Melting_Curves/meltCurve_P51665_PSMD7.pdf</v>
      </c>
    </row>
    <row r="2808" spans="1:28" x14ac:dyDescent="0.25">
      <c r="A2808" t="s">
        <v>2812</v>
      </c>
      <c r="B2808">
        <v>0.99252571173614901</v>
      </c>
      <c r="C2808">
        <v>1.00901324827398</v>
      </c>
      <c r="D2808">
        <v>0.96725651381868305</v>
      </c>
      <c r="E2808">
        <v>0.88497828215931795</v>
      </c>
      <c r="F2808">
        <v>0.77949942648329396</v>
      </c>
      <c r="G2808">
        <v>0.63476832219938395</v>
      </c>
      <c r="H2808">
        <v>0.47008154187866402</v>
      </c>
      <c r="I2808">
        <v>0.22757200929574001</v>
      </c>
      <c r="J2808">
        <v>0.15143279540618099</v>
      </c>
      <c r="K2808">
        <v>0.106622197956041</v>
      </c>
      <c r="L2808">
        <v>757.13293892276499</v>
      </c>
      <c r="M2808">
        <v>12.834052530199401</v>
      </c>
      <c r="N2808">
        <v>58.9940658320305</v>
      </c>
      <c r="O2808">
        <v>57.6168240740135</v>
      </c>
      <c r="P2808">
        <v>-5.5697429904743703E-2</v>
      </c>
      <c r="Q2808">
        <v>0</v>
      </c>
      <c r="R2808">
        <v>0.99257713425421701</v>
      </c>
      <c r="S2808" t="s">
        <v>9454</v>
      </c>
      <c r="T2808" t="s">
        <v>13290</v>
      </c>
      <c r="U2808" t="s">
        <v>13290</v>
      </c>
      <c r="V2808" t="s">
        <v>13290</v>
      </c>
      <c r="W2808" t="s">
        <v>16057</v>
      </c>
      <c r="X2808">
        <v>14</v>
      </c>
      <c r="Y2808" t="s">
        <v>22590</v>
      </c>
      <c r="Z2808" t="s">
        <v>29138</v>
      </c>
      <c r="AA2808">
        <v>0.64217993844312882</v>
      </c>
      <c r="AB2808" t="str">
        <f>HYPERLINK("Melting_Curves/meltCurve_P51687_SUOX.pdf", "Melting_Curves/meltCurve_P51687_SUOX.pdf")</f>
        <v>Melting_Curves/meltCurve_P51687_SUOX.pdf</v>
      </c>
    </row>
    <row r="2809" spans="1:28" x14ac:dyDescent="0.25">
      <c r="A2809" t="s">
        <v>2813</v>
      </c>
      <c r="B2809">
        <v>0.99252571173614901</v>
      </c>
      <c r="C2809">
        <v>0.99641695668171404</v>
      </c>
      <c r="D2809">
        <v>0.963046916742481</v>
      </c>
      <c r="E2809">
        <v>0.91261621250311498</v>
      </c>
      <c r="F2809">
        <v>1.1027957318386701</v>
      </c>
      <c r="G2809">
        <v>0.89723458038827197</v>
      </c>
      <c r="H2809">
        <v>2.33929086209774</v>
      </c>
      <c r="I2809">
        <v>1.29511416253859</v>
      </c>
      <c r="J2809">
        <v>1.4459988987973</v>
      </c>
      <c r="K2809">
        <v>1.7429833661635299</v>
      </c>
      <c r="L2809">
        <v>14623.2883572227</v>
      </c>
      <c r="M2809">
        <v>250</v>
      </c>
      <c r="O2809">
        <v>58.489385777329304</v>
      </c>
      <c r="P2809">
        <v>0.534284750260829</v>
      </c>
      <c r="Q2809">
        <v>1.5</v>
      </c>
      <c r="R2809">
        <v>0.56756048256786096</v>
      </c>
      <c r="S2809" t="s">
        <v>9455</v>
      </c>
      <c r="T2809" t="s">
        <v>13290</v>
      </c>
      <c r="U2809" t="s">
        <v>13290</v>
      </c>
      <c r="V2809" t="s">
        <v>13290</v>
      </c>
      <c r="W2809" t="s">
        <v>16058</v>
      </c>
      <c r="X2809">
        <v>6</v>
      </c>
      <c r="Y2809" t="s">
        <v>22591</v>
      </c>
      <c r="Z2809" t="s">
        <v>29139</v>
      </c>
      <c r="AA2809">
        <v>1.1917294488981971</v>
      </c>
      <c r="AB2809" t="str">
        <f>HYPERLINK("Melting_Curves/meltCurve_P51688_SGSH.pdf", "Melting_Curves/meltCurve_P51688_SGSH.pdf")</f>
        <v>Melting_Curves/meltCurve_P51688_SGSH.pdf</v>
      </c>
    </row>
    <row r="2810" spans="1:28" x14ac:dyDescent="0.25">
      <c r="A2810" t="s">
        <v>2814</v>
      </c>
      <c r="B2810">
        <v>0.99252571173614901</v>
      </c>
      <c r="C2810">
        <v>0.89150591014601299</v>
      </c>
      <c r="D2810">
        <v>0.89652298213120496</v>
      </c>
      <c r="E2810">
        <v>0.62661198275303698</v>
      </c>
      <c r="F2810">
        <v>0.44958296031147998</v>
      </c>
      <c r="G2810">
        <v>0.27654438578323898</v>
      </c>
      <c r="H2810">
        <v>0.19509069604350801</v>
      </c>
      <c r="I2810">
        <v>0.13618712791288601</v>
      </c>
      <c r="J2810">
        <v>0.17795854417206899</v>
      </c>
      <c r="K2810">
        <v>0.148755387170287</v>
      </c>
      <c r="L2810">
        <v>755.81313412555596</v>
      </c>
      <c r="M2810">
        <v>14.837407053609301</v>
      </c>
      <c r="N2810">
        <v>51.970325382844202</v>
      </c>
      <c r="O2810">
        <v>50.041239047269798</v>
      </c>
      <c r="P2810">
        <v>-6.4685309079728706E-2</v>
      </c>
      <c r="Q2810">
        <v>0.12745084025805301</v>
      </c>
      <c r="R2810">
        <v>0.992514209583922</v>
      </c>
      <c r="S2810" t="s">
        <v>9456</v>
      </c>
      <c r="T2810" t="s">
        <v>13290</v>
      </c>
      <c r="U2810" t="s">
        <v>13290</v>
      </c>
      <c r="V2810" t="s">
        <v>13290</v>
      </c>
      <c r="W2810" t="s">
        <v>16059</v>
      </c>
      <c r="X2810">
        <v>2</v>
      </c>
      <c r="Y2810" t="s">
        <v>22592</v>
      </c>
      <c r="Z2810" t="s">
        <v>29140</v>
      </c>
      <c r="AA2810">
        <v>0.46619818466226032</v>
      </c>
      <c r="AB2810" t="str">
        <f>HYPERLINK("Melting_Curves/meltCurve_P51787_2_KCNQ1.pdf", "Melting_Curves/meltCurve_P51787_2_KCNQ1.pdf")</f>
        <v>Melting_Curves/meltCurve_P51787_2_KCNQ1.pdf</v>
      </c>
    </row>
    <row r="2811" spans="1:28" x14ac:dyDescent="0.25">
      <c r="A2811" t="s">
        <v>2815</v>
      </c>
      <c r="B2811">
        <v>0.99252571173614901</v>
      </c>
      <c r="C2811">
        <v>0.920079870353539</v>
      </c>
      <c r="D2811">
        <v>0.88239520962334705</v>
      </c>
      <c r="E2811">
        <v>0.78681053981633697</v>
      </c>
      <c r="F2811">
        <v>0.52590230241702396</v>
      </c>
      <c r="G2811">
        <v>0.26649815048882303</v>
      </c>
      <c r="H2811">
        <v>0.330526233743548</v>
      </c>
      <c r="I2811">
        <v>0.19528013234050001</v>
      </c>
      <c r="J2811">
        <v>0.22926632760407101</v>
      </c>
      <c r="K2811">
        <v>0.22682278321664601</v>
      </c>
      <c r="L2811">
        <v>918.61568267949099</v>
      </c>
      <c r="M2811">
        <v>17.759199156348998</v>
      </c>
      <c r="N2811">
        <v>53.3466190272121</v>
      </c>
      <c r="O2811">
        <v>51.083696396498603</v>
      </c>
      <c r="P2811">
        <v>-6.8797763290743594E-2</v>
      </c>
      <c r="Q2811">
        <v>0.208464036110493</v>
      </c>
      <c r="R2811">
        <v>0.97984544455300304</v>
      </c>
      <c r="S2811" t="s">
        <v>9457</v>
      </c>
      <c r="T2811" t="s">
        <v>13290</v>
      </c>
      <c r="U2811" t="s">
        <v>13290</v>
      </c>
      <c r="V2811" t="s">
        <v>13290</v>
      </c>
      <c r="W2811" t="s">
        <v>16060</v>
      </c>
      <c r="X2811">
        <v>2</v>
      </c>
      <c r="Y2811" t="s">
        <v>22593</v>
      </c>
      <c r="Z2811" t="s">
        <v>29141</v>
      </c>
      <c r="AA2811">
        <v>0.5313851409365824</v>
      </c>
      <c r="AB2811" t="str">
        <f>HYPERLINK("Melting_Curves/meltCurve_P51790_4_CLCN3.pdf", "Melting_Curves/meltCurve_P51790_4_CLCN3.pdf")</f>
        <v>Melting_Curves/meltCurve_P51790_4_CLCN3.pdf</v>
      </c>
    </row>
    <row r="2812" spans="1:28" x14ac:dyDescent="0.25">
      <c r="A2812" t="s">
        <v>2816</v>
      </c>
      <c r="B2812">
        <v>0.99252571173614901</v>
      </c>
      <c r="C2812">
        <v>1.4474632133218099</v>
      </c>
      <c r="D2812">
        <v>1.1977179919644301</v>
      </c>
      <c r="E2812">
        <v>1.6389050565351599</v>
      </c>
      <c r="F2812">
        <v>0.38049566330523699</v>
      </c>
      <c r="G2812">
        <v>0.29524217759578503</v>
      </c>
      <c r="H2812">
        <v>0.30504522203387302</v>
      </c>
      <c r="I2812">
        <v>0.67437357835173795</v>
      </c>
      <c r="J2812">
        <v>0.14559086295144899</v>
      </c>
      <c r="K2812">
        <v>0.117565378462401</v>
      </c>
      <c r="L2812">
        <v>13186.185386217299</v>
      </c>
      <c r="M2812">
        <v>250</v>
      </c>
      <c r="N2812">
        <v>52.946953749974099</v>
      </c>
      <c r="O2812">
        <v>52.741366251259798</v>
      </c>
      <c r="P2812">
        <v>-0.82055695567967601</v>
      </c>
      <c r="Q2812">
        <v>0.30756328220189699</v>
      </c>
      <c r="R2812">
        <v>0.70248523157463705</v>
      </c>
      <c r="S2812" t="s">
        <v>9458</v>
      </c>
      <c r="T2812" t="s">
        <v>13290</v>
      </c>
      <c r="U2812" t="s">
        <v>13290</v>
      </c>
      <c r="V2812" t="s">
        <v>13290</v>
      </c>
      <c r="W2812" t="s">
        <v>16061</v>
      </c>
      <c r="X2812">
        <v>2</v>
      </c>
      <c r="Y2812" t="s">
        <v>22594</v>
      </c>
      <c r="Z2812" t="s">
        <v>29142</v>
      </c>
      <c r="AA2812">
        <v>0.60179161192177699</v>
      </c>
      <c r="AB2812" t="str">
        <f>HYPERLINK("Melting_Curves/meltCurve_P51797_CLCN6.pdf", "Melting_Curves/meltCurve_P51797_CLCN6.pdf")</f>
        <v>Melting_Curves/meltCurve_P51797_CLCN6.pdf</v>
      </c>
    </row>
    <row r="2813" spans="1:28" x14ac:dyDescent="0.25">
      <c r="A2813" t="s">
        <v>2817</v>
      </c>
      <c r="B2813">
        <v>0.99252571173614901</v>
      </c>
      <c r="C2813">
        <v>0.95693214887745703</v>
      </c>
      <c r="D2813">
        <v>0.87793355532084005</v>
      </c>
      <c r="E2813">
        <v>0.75977928516911997</v>
      </c>
      <c r="F2813">
        <v>0.39697859923182</v>
      </c>
      <c r="G2813">
        <v>0.19696461644218699</v>
      </c>
      <c r="H2813">
        <v>0.12898416972190799</v>
      </c>
      <c r="I2813">
        <v>0.13327417830588401</v>
      </c>
      <c r="J2813">
        <v>0.113329378357322</v>
      </c>
      <c r="K2813">
        <v>0.15718595025944701</v>
      </c>
      <c r="L2813">
        <v>1125.3951614934599</v>
      </c>
      <c r="M2813">
        <v>21.900892098760899</v>
      </c>
      <c r="N2813">
        <v>52.025399797114403</v>
      </c>
      <c r="O2813">
        <v>50.9631554177775</v>
      </c>
      <c r="P2813">
        <v>-9.4757473130859998E-2</v>
      </c>
      <c r="Q2813">
        <v>0.118021434525485</v>
      </c>
      <c r="R2813">
        <v>0.99390722113889196</v>
      </c>
      <c r="S2813" t="s">
        <v>9459</v>
      </c>
      <c r="T2813" t="s">
        <v>13290</v>
      </c>
      <c r="U2813" t="s">
        <v>13290</v>
      </c>
      <c r="V2813" t="s">
        <v>13290</v>
      </c>
      <c r="W2813" t="s">
        <v>16062</v>
      </c>
      <c r="X2813">
        <v>2</v>
      </c>
      <c r="Y2813" t="s">
        <v>22595</v>
      </c>
      <c r="Z2813" t="s">
        <v>29143</v>
      </c>
      <c r="AA2813">
        <v>0.46307844701003059</v>
      </c>
      <c r="AB2813" t="str">
        <f>HYPERLINK("Melting_Curves/meltCurve_P51798_2_CLCN7.pdf", "Melting_Curves/meltCurve_P51798_2_CLCN7.pdf")</f>
        <v>Melting_Curves/meltCurve_P51798_2_CLCN7.pdf</v>
      </c>
    </row>
    <row r="2814" spans="1:28" x14ac:dyDescent="0.25">
      <c r="A2814" t="s">
        <v>2818</v>
      </c>
      <c r="B2814">
        <v>0.99252571173614901</v>
      </c>
      <c r="C2814">
        <v>0.95435787615902201</v>
      </c>
      <c r="D2814">
        <v>0.92676269521453403</v>
      </c>
      <c r="E2814">
        <v>0.76007677393917705</v>
      </c>
      <c r="F2814">
        <v>0.31947763123795703</v>
      </c>
      <c r="G2814">
        <v>0.15708379885109899</v>
      </c>
      <c r="H2814">
        <v>0.161152114227055</v>
      </c>
      <c r="I2814">
        <v>0.123982141142899</v>
      </c>
      <c r="J2814">
        <v>0.14813177320839599</v>
      </c>
      <c r="K2814">
        <v>0.14246455740361999</v>
      </c>
      <c r="L2814">
        <v>1571.68224222505</v>
      </c>
      <c r="M2814">
        <v>30.8194385673476</v>
      </c>
      <c r="N2814">
        <v>51.5342708685967</v>
      </c>
      <c r="O2814">
        <v>50.783197102816303</v>
      </c>
      <c r="P2814">
        <v>-0.13085701378227499</v>
      </c>
      <c r="Q2814">
        <v>0.13751855572062899</v>
      </c>
      <c r="R2814">
        <v>0.99626765154653696</v>
      </c>
      <c r="S2814" t="s">
        <v>9460</v>
      </c>
      <c r="T2814" t="s">
        <v>13290</v>
      </c>
      <c r="U2814" t="s">
        <v>13290</v>
      </c>
      <c r="V2814" t="s">
        <v>13290</v>
      </c>
      <c r="W2814" t="s">
        <v>16063</v>
      </c>
      <c r="X2814">
        <v>4</v>
      </c>
      <c r="Y2814" t="s">
        <v>22596</v>
      </c>
      <c r="Z2814" t="s">
        <v>29144</v>
      </c>
      <c r="AA2814">
        <v>0.45879730981346778</v>
      </c>
      <c r="AB2814" t="str">
        <f>HYPERLINK("Melting_Curves/meltCurve_P51805_PLXNA3.pdf", "Melting_Curves/meltCurve_P51805_PLXNA3.pdf")</f>
        <v>Melting_Curves/meltCurve_P51805_PLXNA3.pdf</v>
      </c>
    </row>
    <row r="2815" spans="1:28" x14ac:dyDescent="0.25">
      <c r="A2815" t="s">
        <v>2819</v>
      </c>
      <c r="B2815">
        <v>0.99252571173614901</v>
      </c>
      <c r="C2815">
        <v>1.0555940025227299</v>
      </c>
      <c r="D2815">
        <v>0.91425700511906105</v>
      </c>
      <c r="E2815">
        <v>0.71296041195611304</v>
      </c>
      <c r="F2815">
        <v>0.544398841301867</v>
      </c>
      <c r="G2815">
        <v>0.25163828809824401</v>
      </c>
      <c r="H2815">
        <v>0.18255994921405699</v>
      </c>
      <c r="I2815">
        <v>0.17249940418543</v>
      </c>
      <c r="J2815">
        <v>0.247277193437305</v>
      </c>
      <c r="K2815">
        <v>0.230564244795816</v>
      </c>
      <c r="L2815">
        <v>1044.3070928115101</v>
      </c>
      <c r="M2815">
        <v>20.248138186398201</v>
      </c>
      <c r="N2815">
        <v>52.831163146714303</v>
      </c>
      <c r="O2815">
        <v>51.080303083434501</v>
      </c>
      <c r="P2815">
        <v>-8.0174171842045394E-2</v>
      </c>
      <c r="Q2815">
        <v>0.19099839645045799</v>
      </c>
      <c r="R2815">
        <v>0.98231178038911404</v>
      </c>
      <c r="S2815" t="s">
        <v>9461</v>
      </c>
      <c r="T2815" t="s">
        <v>13290</v>
      </c>
      <c r="U2815" t="s">
        <v>13290</v>
      </c>
      <c r="V2815" t="s">
        <v>13290</v>
      </c>
      <c r="W2815" t="s">
        <v>16064</v>
      </c>
      <c r="X2815">
        <v>5</v>
      </c>
      <c r="Y2815" t="s">
        <v>22597</v>
      </c>
      <c r="Z2815" t="s">
        <v>29145</v>
      </c>
      <c r="AA2815">
        <v>0.5141131279225466</v>
      </c>
      <c r="AB2815" t="str">
        <f>HYPERLINK("Melting_Curves/meltCurve_P51809_VAMP7.pdf", "Melting_Curves/meltCurve_P51809_VAMP7.pdf")</f>
        <v>Melting_Curves/meltCurve_P51809_VAMP7.pdf</v>
      </c>
    </row>
    <row r="2816" spans="1:28" x14ac:dyDescent="0.25">
      <c r="A2816" t="s">
        <v>2820</v>
      </c>
      <c r="B2816">
        <v>0.99252571173614901</v>
      </c>
      <c r="C2816">
        <v>0.95913496046114199</v>
      </c>
      <c r="D2816">
        <v>0.81945644244188798</v>
      </c>
      <c r="E2816">
        <v>0.43609749137471898</v>
      </c>
      <c r="F2816">
        <v>0.18854094807993599</v>
      </c>
      <c r="G2816">
        <v>0.12891925832708101</v>
      </c>
      <c r="H2816">
        <v>9.6125016598813104E-2</v>
      </c>
      <c r="I2816">
        <v>8.1397364346022405E-2</v>
      </c>
      <c r="J2816">
        <v>8.3847962493165104E-2</v>
      </c>
      <c r="K2816">
        <v>8.0300115009329806E-2</v>
      </c>
      <c r="L2816">
        <v>1154.8906784271801</v>
      </c>
      <c r="M2816">
        <v>23.739885453483001</v>
      </c>
      <c r="N2816">
        <v>49.031802393489698</v>
      </c>
      <c r="O2816">
        <v>48.306470295890897</v>
      </c>
      <c r="P2816">
        <v>-0.112437624234977</v>
      </c>
      <c r="Q2816">
        <v>8.4852768046623894E-2</v>
      </c>
      <c r="R2816">
        <v>0.99972195096630401</v>
      </c>
      <c r="S2816" t="s">
        <v>9462</v>
      </c>
      <c r="T2816" t="s">
        <v>13290</v>
      </c>
      <c r="U2816" t="s">
        <v>13290</v>
      </c>
      <c r="V2816" t="s">
        <v>13290</v>
      </c>
      <c r="W2816" t="s">
        <v>16065</v>
      </c>
      <c r="X2816">
        <v>20</v>
      </c>
      <c r="Y2816" t="s">
        <v>22598</v>
      </c>
      <c r="Z2816" t="s">
        <v>29146</v>
      </c>
      <c r="AA2816">
        <v>0.35766450190904803</v>
      </c>
      <c r="AB2816" t="str">
        <f>HYPERLINK("Melting_Curves/meltCurve_P51812_RPS6KA3.pdf", "Melting_Curves/meltCurve_P51812_RPS6KA3.pdf")</f>
        <v>Melting_Curves/meltCurve_P51812_RPS6KA3.pdf</v>
      </c>
    </row>
    <row r="2817" spans="1:28" x14ac:dyDescent="0.25">
      <c r="A2817" t="s">
        <v>2821</v>
      </c>
      <c r="B2817">
        <v>0.99252571173614901</v>
      </c>
      <c r="C2817">
        <v>1.0313666479861601</v>
      </c>
      <c r="D2817">
        <v>0.78608337391935301</v>
      </c>
      <c r="E2817">
        <v>0.33930514548113599</v>
      </c>
      <c r="F2817">
        <v>0.14682870014274799</v>
      </c>
      <c r="G2817">
        <v>6.7863449084704403E-2</v>
      </c>
      <c r="H2817">
        <v>6.43891242305909E-2</v>
      </c>
      <c r="I2817">
        <v>7.38363203704578E-2</v>
      </c>
      <c r="J2817">
        <v>5.3624003619374902E-2</v>
      </c>
      <c r="K2817">
        <v>3.7068311288231799E-2</v>
      </c>
      <c r="L2817">
        <v>1357.97813918834</v>
      </c>
      <c r="M2817">
        <v>28.2147285461343</v>
      </c>
      <c r="N2817">
        <v>48.3499229137242</v>
      </c>
      <c r="O2817">
        <v>47.890268067253103</v>
      </c>
      <c r="P2817">
        <v>-0.13842398145221199</v>
      </c>
      <c r="Q2817">
        <v>6.01917715812256E-2</v>
      </c>
      <c r="R2817">
        <v>0.99647366198334397</v>
      </c>
      <c r="S2817" t="s">
        <v>9463</v>
      </c>
      <c r="T2817" t="s">
        <v>13290</v>
      </c>
      <c r="U2817" t="s">
        <v>13290</v>
      </c>
      <c r="V2817" t="s">
        <v>13290</v>
      </c>
      <c r="W2817" t="s">
        <v>16066</v>
      </c>
      <c r="X2817">
        <v>2</v>
      </c>
      <c r="Y2817" t="s">
        <v>22599</v>
      </c>
      <c r="Z2817" t="s">
        <v>29147</v>
      </c>
      <c r="AA2817">
        <v>0.32132097851972702</v>
      </c>
      <c r="AB2817" t="str">
        <f>HYPERLINK("Melting_Curves/meltCurve_P51817_PRKX.pdf", "Melting_Curves/meltCurve_P51817_PRKX.pdf")</f>
        <v>Melting_Curves/meltCurve_P51817_PRKX.pdf</v>
      </c>
    </row>
    <row r="2818" spans="1:28" x14ac:dyDescent="0.25">
      <c r="A2818" t="s">
        <v>2822</v>
      </c>
      <c r="B2818">
        <v>0.99252571173614901</v>
      </c>
      <c r="C2818">
        <v>1.0871023652303899</v>
      </c>
      <c r="D2818">
        <v>0.69843394892861699</v>
      </c>
      <c r="E2818">
        <v>0.31326435656044899</v>
      </c>
      <c r="F2818">
        <v>0.15214744327341001</v>
      </c>
      <c r="G2818">
        <v>0.116831300335253</v>
      </c>
      <c r="H2818">
        <v>0.100788979318129</v>
      </c>
      <c r="I2818">
        <v>9.3608151648471E-2</v>
      </c>
      <c r="J2818">
        <v>6.7569351154798299E-2</v>
      </c>
      <c r="K2818">
        <v>4.9988563373388202E-2</v>
      </c>
      <c r="L2818">
        <v>1370.0274830006699</v>
      </c>
      <c r="M2818">
        <v>28.8413715441059</v>
      </c>
      <c r="N2818">
        <v>47.827762549682603</v>
      </c>
      <c r="O2818">
        <v>47.275551548097702</v>
      </c>
      <c r="P2818">
        <v>-0.138923637922027</v>
      </c>
      <c r="Q2818">
        <v>8.9136031533997503E-2</v>
      </c>
      <c r="R2818">
        <v>0.98535305765174896</v>
      </c>
      <c r="S2818" t="s">
        <v>9464</v>
      </c>
      <c r="T2818" t="s">
        <v>13290</v>
      </c>
      <c r="U2818" t="s">
        <v>13290</v>
      </c>
      <c r="V2818" t="s">
        <v>13290</v>
      </c>
      <c r="W2818" t="s">
        <v>16067</v>
      </c>
      <c r="X2818">
        <v>2</v>
      </c>
      <c r="Y2818" t="s">
        <v>22600</v>
      </c>
      <c r="Z2818" t="s">
        <v>29148</v>
      </c>
      <c r="AA2818">
        <v>0.32285869582381349</v>
      </c>
      <c r="AB2818" t="str">
        <f>HYPERLINK("Melting_Curves/meltCurve_P51857_2_AKR1D1.pdf", "Melting_Curves/meltCurve_P51857_2_AKR1D1.pdf")</f>
        <v>Melting_Curves/meltCurve_P51857_2_AKR1D1.pdf</v>
      </c>
    </row>
    <row r="2819" spans="1:28" x14ac:dyDescent="0.25">
      <c r="A2819" t="s">
        <v>2823</v>
      </c>
      <c r="B2819">
        <v>0.99252571173614901</v>
      </c>
      <c r="C2819">
        <v>1.0733113275658399</v>
      </c>
      <c r="D2819">
        <v>0.95218650031982399</v>
      </c>
      <c r="E2819">
        <v>0.83896350126725305</v>
      </c>
      <c r="F2819">
        <v>0.52246385113885196</v>
      </c>
      <c r="G2819">
        <v>0.33077552048134601</v>
      </c>
      <c r="H2819">
        <v>0.279208561229985</v>
      </c>
      <c r="I2819">
        <v>0.35302496970599001</v>
      </c>
      <c r="J2819">
        <v>0.51854350899914303</v>
      </c>
      <c r="K2819">
        <v>0.59992411888100305</v>
      </c>
      <c r="L2819">
        <v>2030.69032157482</v>
      </c>
      <c r="M2819">
        <v>39.960338352187698</v>
      </c>
      <c r="N2819">
        <v>53.227133330175398</v>
      </c>
      <c r="O2819">
        <v>50.690893063850602</v>
      </c>
      <c r="P2819">
        <v>-0.114683216646012</v>
      </c>
      <c r="Q2819">
        <v>0.41808491792699598</v>
      </c>
      <c r="R2819">
        <v>0.89382695888077701</v>
      </c>
      <c r="S2819" t="s">
        <v>9465</v>
      </c>
      <c r="T2819" t="s">
        <v>13290</v>
      </c>
      <c r="U2819" t="s">
        <v>13290</v>
      </c>
      <c r="V2819" t="s">
        <v>13290</v>
      </c>
      <c r="W2819" t="s">
        <v>16068</v>
      </c>
      <c r="X2819">
        <v>22</v>
      </c>
      <c r="Y2819" t="s">
        <v>22601</v>
      </c>
      <c r="Z2819" t="s">
        <v>29149</v>
      </c>
      <c r="AA2819">
        <v>0.62996479688415163</v>
      </c>
      <c r="AB2819" t="str">
        <f>HYPERLINK("Melting_Curves/meltCurve_P51858_HDGF.pdf", "Melting_Curves/meltCurve_P51858_HDGF.pdf")</f>
        <v>Melting_Curves/meltCurve_P51858_HDGF.pdf</v>
      </c>
    </row>
    <row r="2820" spans="1:28" x14ac:dyDescent="0.25">
      <c r="A2820" t="s">
        <v>2824</v>
      </c>
      <c r="B2820">
        <v>0.99252571173614901</v>
      </c>
      <c r="C2820">
        <v>0.97186377199481599</v>
      </c>
      <c r="D2820">
        <v>0.96658699114206803</v>
      </c>
      <c r="E2820">
        <v>0.96738722145046996</v>
      </c>
      <c r="F2820">
        <v>0.584384414249838</v>
      </c>
      <c r="G2820">
        <v>0.26681240130510803</v>
      </c>
      <c r="H2820">
        <v>0.10550855147829601</v>
      </c>
      <c r="I2820">
        <v>0.106554781629074</v>
      </c>
      <c r="J2820">
        <v>0.14801029728676901</v>
      </c>
      <c r="K2820">
        <v>0.16165234732254</v>
      </c>
      <c r="L2820">
        <v>1790.2361759036601</v>
      </c>
      <c r="M2820">
        <v>33.4885584000913</v>
      </c>
      <c r="N2820">
        <v>53.946566685850897</v>
      </c>
      <c r="O2820">
        <v>53.268609836576204</v>
      </c>
      <c r="P2820">
        <v>-0.136615405256751</v>
      </c>
      <c r="Q2820">
        <v>0.13077407104343</v>
      </c>
      <c r="R2820">
        <v>0.995225499401729</v>
      </c>
      <c r="S2820" t="s">
        <v>9466</v>
      </c>
      <c r="T2820" t="s">
        <v>13290</v>
      </c>
      <c r="U2820" t="s">
        <v>13290</v>
      </c>
      <c r="V2820" t="s">
        <v>13290</v>
      </c>
      <c r="W2820" t="s">
        <v>16069</v>
      </c>
      <c r="X2820">
        <v>7</v>
      </c>
      <c r="Y2820" t="s">
        <v>22602</v>
      </c>
      <c r="Z2820" t="s">
        <v>29150</v>
      </c>
      <c r="AA2820">
        <v>0.52528306915948042</v>
      </c>
      <c r="AB2820" t="str">
        <f>HYPERLINK("Melting_Curves/meltCurve_P51946_CCNH.pdf", "Melting_Curves/meltCurve_P51946_CCNH.pdf")</f>
        <v>Melting_Curves/meltCurve_P51946_CCNH.pdf</v>
      </c>
    </row>
    <row r="2821" spans="1:28" x14ac:dyDescent="0.25">
      <c r="A2821" t="s">
        <v>2825</v>
      </c>
      <c r="B2821">
        <v>0.99252571173614901</v>
      </c>
      <c r="C2821">
        <v>1.02163073678801</v>
      </c>
      <c r="D2821">
        <v>1.0389401767958499</v>
      </c>
      <c r="E2821">
        <v>1.14122149093977</v>
      </c>
      <c r="F2821">
        <v>0.69284514351300996</v>
      </c>
      <c r="G2821">
        <v>0.34253710053304498</v>
      </c>
      <c r="H2821">
        <v>0.16059286058129399</v>
      </c>
      <c r="I2821">
        <v>0.16213418943369601</v>
      </c>
      <c r="J2821">
        <v>0.18371832253616899</v>
      </c>
      <c r="K2821">
        <v>0.27836143759641502</v>
      </c>
      <c r="L2821">
        <v>2294.4630120898</v>
      </c>
      <c r="M2821">
        <v>42.470397331761298</v>
      </c>
      <c r="N2821">
        <v>54.697164770825097</v>
      </c>
      <c r="O2821">
        <v>53.905629282146698</v>
      </c>
      <c r="P2821">
        <v>-0.156922511064404</v>
      </c>
      <c r="Q2821">
        <v>0.203304567164274</v>
      </c>
      <c r="R2821">
        <v>0.97337665808539298</v>
      </c>
      <c r="S2821" t="s">
        <v>9467</v>
      </c>
      <c r="T2821" t="s">
        <v>13290</v>
      </c>
      <c r="U2821" t="s">
        <v>13290</v>
      </c>
      <c r="V2821" t="s">
        <v>13290</v>
      </c>
      <c r="W2821" t="s">
        <v>16070</v>
      </c>
      <c r="X2821">
        <v>4</v>
      </c>
      <c r="Y2821" t="s">
        <v>22603</v>
      </c>
      <c r="Z2821" t="s">
        <v>29151</v>
      </c>
      <c r="AA2821">
        <v>0.57839303361716965</v>
      </c>
      <c r="AB2821" t="str">
        <f>HYPERLINK("Melting_Curves/meltCurve_P51948_2_MNAT1.pdf", "Melting_Curves/meltCurve_P51948_2_MNAT1.pdf")</f>
        <v>Melting_Curves/meltCurve_P51948_2_MNAT1.pdf</v>
      </c>
    </row>
    <row r="2822" spans="1:28" x14ac:dyDescent="0.25">
      <c r="A2822" t="s">
        <v>2826</v>
      </c>
      <c r="B2822">
        <v>0.99252571173614901</v>
      </c>
      <c r="C2822">
        <v>0.98031007173183105</v>
      </c>
      <c r="D2822">
        <v>0.93132497805270897</v>
      </c>
      <c r="E2822">
        <v>0.78061214782240096</v>
      </c>
      <c r="F2822">
        <v>0.56430712638603497</v>
      </c>
      <c r="G2822">
        <v>0.44499817237050998</v>
      </c>
      <c r="H2822">
        <v>0.44240971338356699</v>
      </c>
      <c r="I2822">
        <v>0.477712043810327</v>
      </c>
      <c r="J2822">
        <v>0.53859292041092299</v>
      </c>
      <c r="K2822">
        <v>0.60425835228813296</v>
      </c>
      <c r="L2822">
        <v>1548.7996346729201</v>
      </c>
      <c r="M2822">
        <v>31.097399475989899</v>
      </c>
      <c r="O2822">
        <v>49.600197477603501</v>
      </c>
      <c r="P2822">
        <v>-7.8259908133316403E-2</v>
      </c>
      <c r="Q2822">
        <v>0.50070616318148098</v>
      </c>
      <c r="R2822">
        <v>0.95066223070290301</v>
      </c>
      <c r="S2822" t="s">
        <v>9468</v>
      </c>
      <c r="T2822" t="s">
        <v>13290</v>
      </c>
      <c r="U2822" t="s">
        <v>13290</v>
      </c>
      <c r="V2822" t="s">
        <v>13290</v>
      </c>
      <c r="W2822" t="s">
        <v>16071</v>
      </c>
      <c r="X2822">
        <v>10</v>
      </c>
      <c r="Y2822" t="s">
        <v>22604</v>
      </c>
      <c r="Z2822" t="s">
        <v>29152</v>
      </c>
      <c r="AA2822">
        <v>0.6667508469235861</v>
      </c>
      <c r="AB2822" t="str">
        <f>HYPERLINK("Melting_Curves/meltCurve_P51970_NDUFA8.pdf", "Melting_Curves/meltCurve_P51970_NDUFA8.pdf")</f>
        <v>Melting_Curves/meltCurve_P51970_NDUFA8.pdf</v>
      </c>
    </row>
    <row r="2823" spans="1:28" x14ac:dyDescent="0.25">
      <c r="A2823" t="s">
        <v>2827</v>
      </c>
      <c r="B2823">
        <v>0.99252571173614901</v>
      </c>
      <c r="C2823">
        <v>1.02680565145519</v>
      </c>
      <c r="D2823">
        <v>0.89262448507473002</v>
      </c>
      <c r="E2823">
        <v>0.51570099099696198</v>
      </c>
      <c r="F2823">
        <v>0.25308603012379599</v>
      </c>
      <c r="G2823">
        <v>0.18458544296471599</v>
      </c>
      <c r="H2823">
        <v>0.172876598288359</v>
      </c>
      <c r="I2823">
        <v>0.20318692760999901</v>
      </c>
      <c r="J2823">
        <v>0.28799789994486302</v>
      </c>
      <c r="K2823">
        <v>0.44265437948463499</v>
      </c>
      <c r="L2823">
        <v>1765.84332258156</v>
      </c>
      <c r="M2823">
        <v>36.317775459323997</v>
      </c>
      <c r="N2823">
        <v>49.586119192894003</v>
      </c>
      <c r="O2823">
        <v>48.475299969300899</v>
      </c>
      <c r="P2823">
        <v>-0.139872525223563</v>
      </c>
      <c r="Q2823">
        <v>0.253220563209614</v>
      </c>
      <c r="R2823">
        <v>0.94955494545489805</v>
      </c>
      <c r="S2823" t="s">
        <v>9469</v>
      </c>
      <c r="T2823" t="s">
        <v>13290</v>
      </c>
      <c r="U2823" t="s">
        <v>13290</v>
      </c>
      <c r="V2823" t="s">
        <v>13290</v>
      </c>
      <c r="W2823" t="s">
        <v>16072</v>
      </c>
      <c r="X2823">
        <v>15</v>
      </c>
      <c r="Y2823" t="s">
        <v>22605</v>
      </c>
      <c r="Z2823" t="s">
        <v>29153</v>
      </c>
      <c r="AA2823">
        <v>0.47090400553867129</v>
      </c>
      <c r="AB2823" t="str">
        <f>HYPERLINK("Melting_Curves/meltCurve_P51991_HNRNPA3.pdf", "Melting_Curves/meltCurve_P51991_HNRNPA3.pdf")</f>
        <v>Melting_Curves/meltCurve_P51991_HNRNPA3.pdf</v>
      </c>
    </row>
    <row r="2824" spans="1:28" x14ac:dyDescent="0.25">
      <c r="A2824" t="s">
        <v>2828</v>
      </c>
      <c r="B2824">
        <v>0.99252571173614901</v>
      </c>
      <c r="C2824">
        <v>0.80816840435499004</v>
      </c>
      <c r="D2824">
        <v>0.47855382154366299</v>
      </c>
      <c r="E2824">
        <v>0.19401276949896401</v>
      </c>
      <c r="F2824">
        <v>0.10532506907726601</v>
      </c>
      <c r="G2824">
        <v>6.5027167636660804E-2</v>
      </c>
      <c r="H2824">
        <v>5.63799235962524E-2</v>
      </c>
      <c r="I2824">
        <v>5.58693956246573E-2</v>
      </c>
      <c r="J2824">
        <v>6.6945196064874105E-2</v>
      </c>
      <c r="K2824">
        <v>7.6332149624944501E-2</v>
      </c>
      <c r="L2824">
        <v>1044.97935169382</v>
      </c>
      <c r="M2824">
        <v>22.937498114573099</v>
      </c>
      <c r="N2824">
        <v>45.82851859678</v>
      </c>
      <c r="O2824">
        <v>45.215650885792201</v>
      </c>
      <c r="P2824">
        <v>-0.11878653146314</v>
      </c>
      <c r="Q2824">
        <v>6.3383689344807106E-2</v>
      </c>
      <c r="R2824">
        <v>0.99863984355104296</v>
      </c>
      <c r="S2824" t="s">
        <v>9470</v>
      </c>
      <c r="T2824" t="s">
        <v>13290</v>
      </c>
      <c r="U2824" t="s">
        <v>13290</v>
      </c>
      <c r="V2824" t="s">
        <v>13290</v>
      </c>
      <c r="W2824" t="s">
        <v>16073</v>
      </c>
      <c r="X2824">
        <v>37</v>
      </c>
      <c r="Y2824" t="s">
        <v>21132</v>
      </c>
      <c r="Z2824" t="s">
        <v>29154</v>
      </c>
      <c r="AA2824">
        <v>0.24778358257197169</v>
      </c>
      <c r="AB2824" t="str">
        <f>HYPERLINK("Melting_Curves/meltCurve_P52272_2_HNRNPM.pdf", "Melting_Curves/meltCurve_P52272_2_HNRNPM.pdf")</f>
        <v>Melting_Curves/meltCurve_P52272_2_HNRNPM.pdf</v>
      </c>
    </row>
    <row r="2825" spans="1:28" x14ac:dyDescent="0.25">
      <c r="A2825" t="s">
        <v>2829</v>
      </c>
      <c r="B2825">
        <v>0.99252571173614901</v>
      </c>
      <c r="C2825">
        <v>0.84101582390045804</v>
      </c>
      <c r="D2825">
        <v>0.41687252709038802</v>
      </c>
      <c r="E2825">
        <v>0.14788592664002301</v>
      </c>
      <c r="F2825">
        <v>7.1280181875123902E-2</v>
      </c>
      <c r="G2825">
        <v>4.2954890696602702E-2</v>
      </c>
      <c r="H2825">
        <v>3.35426598583837E-2</v>
      </c>
      <c r="I2825">
        <v>3.2496033030892997E-2</v>
      </c>
      <c r="J2825">
        <v>3.6979494954958399E-2</v>
      </c>
      <c r="K2825">
        <v>3.9550032419110398E-2</v>
      </c>
      <c r="L2825">
        <v>1229.4927815067399</v>
      </c>
      <c r="M2825">
        <v>27.1038847224556</v>
      </c>
      <c r="N2825">
        <v>45.505740869082601</v>
      </c>
      <c r="O2825">
        <v>45.117433982894397</v>
      </c>
      <c r="P2825">
        <v>-0.14403536536063699</v>
      </c>
      <c r="Q2825">
        <v>4.0957269380817701E-2</v>
      </c>
      <c r="R2825">
        <v>0.99887367766880997</v>
      </c>
      <c r="S2825" t="s">
        <v>9471</v>
      </c>
      <c r="T2825" t="s">
        <v>13290</v>
      </c>
      <c r="U2825" t="s">
        <v>13290</v>
      </c>
      <c r="V2825" t="s">
        <v>13290</v>
      </c>
      <c r="W2825" t="s">
        <v>16074</v>
      </c>
      <c r="X2825">
        <v>15</v>
      </c>
      <c r="Y2825" t="s">
        <v>22606</v>
      </c>
      <c r="Z2825" t="s">
        <v>29155</v>
      </c>
      <c r="AA2825">
        <v>0.22000941973364219</v>
      </c>
      <c r="AB2825" t="str">
        <f>HYPERLINK("Melting_Curves/meltCurve_P52292_KPNA2.pdf", "Melting_Curves/meltCurve_P52292_KPNA2.pdf")</f>
        <v>Melting_Curves/meltCurve_P52292_KPNA2.pdf</v>
      </c>
    </row>
    <row r="2826" spans="1:28" x14ac:dyDescent="0.25">
      <c r="A2826" t="s">
        <v>2830</v>
      </c>
      <c r="B2826">
        <v>0.99252571173614901</v>
      </c>
      <c r="C2826">
        <v>0.90691727488866303</v>
      </c>
      <c r="D2826">
        <v>0.667281510348395</v>
      </c>
      <c r="E2826">
        <v>0.35102671100765398</v>
      </c>
      <c r="F2826">
        <v>0.15711177208023999</v>
      </c>
      <c r="G2826">
        <v>0.100817445571414</v>
      </c>
      <c r="H2826">
        <v>7.5085179498423901E-2</v>
      </c>
      <c r="I2826">
        <v>7.6221201895305596E-2</v>
      </c>
      <c r="J2826">
        <v>0.115642996349845</v>
      </c>
      <c r="K2826">
        <v>0.124277783335729</v>
      </c>
      <c r="L2826">
        <v>1014.3010949980001</v>
      </c>
      <c r="M2826">
        <v>21.457557166159599</v>
      </c>
      <c r="N2826">
        <v>47.716950341329003</v>
      </c>
      <c r="O2826">
        <v>46.8652955613627</v>
      </c>
      <c r="P2826">
        <v>-0.10404785233832101</v>
      </c>
      <c r="Q2826">
        <v>9.1021750308190805E-2</v>
      </c>
      <c r="R2826">
        <v>0.99724019537361397</v>
      </c>
      <c r="S2826" t="s">
        <v>9472</v>
      </c>
      <c r="T2826" t="s">
        <v>13290</v>
      </c>
      <c r="U2826" t="s">
        <v>13290</v>
      </c>
      <c r="V2826" t="s">
        <v>13290</v>
      </c>
      <c r="W2826" t="s">
        <v>16075</v>
      </c>
      <c r="X2826">
        <v>13</v>
      </c>
      <c r="Y2826" t="s">
        <v>22607</v>
      </c>
      <c r="Z2826" t="s">
        <v>29156</v>
      </c>
      <c r="AA2826">
        <v>0.32259301360135573</v>
      </c>
      <c r="AB2826" t="str">
        <f>HYPERLINK("Melting_Curves/meltCurve_P52294_KPNA1.pdf", "Melting_Curves/meltCurve_P52294_KPNA1.pdf")</f>
        <v>Melting_Curves/meltCurve_P52294_KPNA1.pdf</v>
      </c>
    </row>
    <row r="2827" spans="1:28" x14ac:dyDescent="0.25">
      <c r="A2827" t="s">
        <v>2831</v>
      </c>
      <c r="B2827">
        <v>0.99252571173614901</v>
      </c>
      <c r="C2827">
        <v>0.98703811266723196</v>
      </c>
      <c r="D2827">
        <v>1.03429877402422</v>
      </c>
      <c r="E2827">
        <v>0.91972948324090698</v>
      </c>
      <c r="F2827">
        <v>0.448899657059534</v>
      </c>
      <c r="G2827">
        <v>0.18744318955210301</v>
      </c>
      <c r="H2827">
        <v>0.13036027610277601</v>
      </c>
      <c r="I2827">
        <v>0.13117116296018799</v>
      </c>
      <c r="J2827">
        <v>0.13064644271901699</v>
      </c>
      <c r="K2827">
        <v>0.11479837818624</v>
      </c>
      <c r="L2827">
        <v>2026.04774062004</v>
      </c>
      <c r="M2827">
        <v>38.6012725711198</v>
      </c>
      <c r="N2827">
        <v>52.892801539751801</v>
      </c>
      <c r="O2827">
        <v>52.346283206381003</v>
      </c>
      <c r="P2827">
        <v>-0.16070567389010601</v>
      </c>
      <c r="Q2827">
        <v>0.12828526920324701</v>
      </c>
      <c r="R2827">
        <v>0.99867070541011504</v>
      </c>
      <c r="S2827" t="s">
        <v>9473</v>
      </c>
      <c r="T2827" t="s">
        <v>13290</v>
      </c>
      <c r="U2827" t="s">
        <v>13290</v>
      </c>
      <c r="V2827" t="s">
        <v>13290</v>
      </c>
      <c r="W2827" t="s">
        <v>16076</v>
      </c>
      <c r="X2827">
        <v>14</v>
      </c>
      <c r="Y2827" t="s">
        <v>22608</v>
      </c>
      <c r="Z2827" t="s">
        <v>29157</v>
      </c>
      <c r="AA2827">
        <v>0.49450346275661849</v>
      </c>
      <c r="AB2827" t="str">
        <f>HYPERLINK("Melting_Curves/meltCurve_P52298_NCBP2.pdf", "Melting_Curves/meltCurve_P52298_NCBP2.pdf")</f>
        <v>Melting_Curves/meltCurve_P52298_NCBP2.pdf</v>
      </c>
    </row>
    <row r="2828" spans="1:28" x14ac:dyDescent="0.25">
      <c r="A2828" t="s">
        <v>2832</v>
      </c>
      <c r="B2828">
        <v>0.99252571173614901</v>
      </c>
      <c r="C2828">
        <v>1.05615570643496</v>
      </c>
      <c r="D2828">
        <v>0.85502042747169205</v>
      </c>
      <c r="E2828">
        <v>0.35985442759091502</v>
      </c>
      <c r="F2828">
        <v>0.13050611412937399</v>
      </c>
      <c r="G2828">
        <v>6.5326016789614402E-2</v>
      </c>
      <c r="H2828">
        <v>4.332062219959E-2</v>
      </c>
      <c r="I2828">
        <v>4.1476374492872503E-2</v>
      </c>
      <c r="J2828">
        <v>4.40901530960617E-2</v>
      </c>
      <c r="K2828">
        <v>4.3936558273511499E-2</v>
      </c>
      <c r="L2828">
        <v>1551.19349144697</v>
      </c>
      <c r="M2828">
        <v>31.959474140947201</v>
      </c>
      <c r="N2828">
        <v>48.694764352391303</v>
      </c>
      <c r="O2828">
        <v>48.347419333547002</v>
      </c>
      <c r="P2828">
        <v>-0.157096506336598</v>
      </c>
      <c r="Q2828">
        <v>4.9399590150962798E-2</v>
      </c>
      <c r="R2828">
        <v>0.99639833968557601</v>
      </c>
      <c r="S2828" t="s">
        <v>9474</v>
      </c>
      <c r="T2828" t="s">
        <v>13290</v>
      </c>
      <c r="U2828" t="s">
        <v>13290</v>
      </c>
      <c r="V2828" t="s">
        <v>13290</v>
      </c>
      <c r="W2828" t="s">
        <v>16077</v>
      </c>
      <c r="X2828">
        <v>21</v>
      </c>
      <c r="Y2828" t="s">
        <v>22609</v>
      </c>
      <c r="Z2828" t="s">
        <v>29158</v>
      </c>
      <c r="AA2828">
        <v>0.32493607842177441</v>
      </c>
      <c r="AB2828" t="str">
        <f>HYPERLINK("Melting_Curves/meltCurve_P52306_RAP1GDS1.pdf", "Melting_Curves/meltCurve_P52306_RAP1GDS1.pdf")</f>
        <v>Melting_Curves/meltCurve_P52306_RAP1GDS1.pdf</v>
      </c>
    </row>
    <row r="2829" spans="1:28" x14ac:dyDescent="0.25">
      <c r="A2829" t="s">
        <v>2833</v>
      </c>
      <c r="B2829">
        <v>0.99252571173614901</v>
      </c>
      <c r="C2829">
        <v>1.0120236619113201</v>
      </c>
      <c r="D2829">
        <v>0.82929795402326001</v>
      </c>
      <c r="E2829">
        <v>0.48047359619979002</v>
      </c>
      <c r="F2829">
        <v>0.44725239273822598</v>
      </c>
      <c r="G2829">
        <v>0.24875297748455799</v>
      </c>
      <c r="H2829">
        <v>0.14632376019919999</v>
      </c>
      <c r="I2829">
        <v>0.12568582439659701</v>
      </c>
      <c r="J2829">
        <v>0.14588198181596701</v>
      </c>
      <c r="K2829">
        <v>0.15458213379184901</v>
      </c>
      <c r="L2829">
        <v>802.19666918045903</v>
      </c>
      <c r="M2829">
        <v>16.1245969933194</v>
      </c>
      <c r="N2829">
        <v>50.709694150747097</v>
      </c>
      <c r="O2829">
        <v>49.003558265202201</v>
      </c>
      <c r="P2829">
        <v>-7.1449277385706805E-2</v>
      </c>
      <c r="Q2829">
        <v>0.13151249895099801</v>
      </c>
      <c r="R2829">
        <v>0.97862597524812001</v>
      </c>
      <c r="S2829" t="s">
        <v>9475</v>
      </c>
      <c r="T2829" t="s">
        <v>13290</v>
      </c>
      <c r="U2829" t="s">
        <v>13290</v>
      </c>
      <c r="V2829" t="s">
        <v>13290</v>
      </c>
      <c r="W2829" t="s">
        <v>16078</v>
      </c>
      <c r="X2829">
        <v>21</v>
      </c>
      <c r="Y2829" t="s">
        <v>22609</v>
      </c>
      <c r="Z2829" t="s">
        <v>29159</v>
      </c>
      <c r="AA2829">
        <v>0.43206324272737551</v>
      </c>
      <c r="AB2829" t="str">
        <f>HYPERLINK("Melting_Curves/meltCurve_P52306_4_RAP1GDS1.pdf", "Melting_Curves/meltCurve_P52306_4_RAP1GDS1.pdf")</f>
        <v>Melting_Curves/meltCurve_P52306_4_RAP1GDS1.pdf</v>
      </c>
    </row>
    <row r="2830" spans="1:28" x14ac:dyDescent="0.25">
      <c r="A2830" t="s">
        <v>2834</v>
      </c>
      <c r="B2830">
        <v>0.99252571173614901</v>
      </c>
      <c r="C2830">
        <v>1.11360489934282</v>
      </c>
      <c r="D2830">
        <v>0.99965030816255596</v>
      </c>
      <c r="E2830">
        <v>1.0126001030110201</v>
      </c>
      <c r="F2830">
        <v>0.52392199609813195</v>
      </c>
      <c r="G2830">
        <v>9.3257484527191806E-2</v>
      </c>
      <c r="H2830">
        <v>4.6851715682573701E-2</v>
      </c>
      <c r="I2830">
        <v>4.5572902068238698E-2</v>
      </c>
      <c r="J2830">
        <v>6.3198153677962401E-2</v>
      </c>
      <c r="K2830">
        <v>6.8111004405336295E-2</v>
      </c>
      <c r="L2830">
        <v>3313.0124767613001</v>
      </c>
      <c r="M2830">
        <v>62.290489780614898</v>
      </c>
      <c r="N2830">
        <v>53.295061827767299</v>
      </c>
      <c r="O2830">
        <v>53.131753354468003</v>
      </c>
      <c r="P2830">
        <v>-0.27563159512907398</v>
      </c>
      <c r="Q2830">
        <v>5.9581335850169698E-2</v>
      </c>
      <c r="R2830">
        <v>0.99319167421121202</v>
      </c>
      <c r="S2830" t="s">
        <v>9476</v>
      </c>
      <c r="T2830" t="s">
        <v>13290</v>
      </c>
      <c r="U2830" t="s">
        <v>13290</v>
      </c>
      <c r="V2830" t="s">
        <v>13290</v>
      </c>
      <c r="W2830" t="s">
        <v>16079</v>
      </c>
      <c r="X2830">
        <v>10</v>
      </c>
      <c r="Y2830" t="s">
        <v>22610</v>
      </c>
      <c r="Z2830" t="s">
        <v>29160</v>
      </c>
      <c r="AA2830">
        <v>0.4743607201908086</v>
      </c>
      <c r="AB2830" t="str">
        <f>HYPERLINK("Melting_Curves/meltCurve_P52564_MAP2K6.pdf", "Melting_Curves/meltCurve_P52564_MAP2K6.pdf")</f>
        <v>Melting_Curves/meltCurve_P52564_MAP2K6.pdf</v>
      </c>
    </row>
    <row r="2831" spans="1:28" x14ac:dyDescent="0.25">
      <c r="A2831" t="s">
        <v>2835</v>
      </c>
      <c r="B2831">
        <v>0.99252571173614901</v>
      </c>
      <c r="C2831">
        <v>1.06940545116049</v>
      </c>
      <c r="D2831">
        <v>0.884794081919686</v>
      </c>
      <c r="E2831">
        <v>0.82799425773854496</v>
      </c>
      <c r="F2831">
        <v>0.46886536169723397</v>
      </c>
      <c r="G2831">
        <v>0.16192941237017899</v>
      </c>
      <c r="H2831">
        <v>7.2513837757532507E-2</v>
      </c>
      <c r="I2831">
        <v>6.7700662385317703E-2</v>
      </c>
      <c r="J2831">
        <v>7.6250591147313099E-2</v>
      </c>
      <c r="K2831">
        <v>7.6798824155866904E-2</v>
      </c>
      <c r="L2831">
        <v>1290.34352781965</v>
      </c>
      <c r="M2831">
        <v>24.582255660033599</v>
      </c>
      <c r="N2831">
        <v>52.757480395057698</v>
      </c>
      <c r="O2831">
        <v>52.147180405632199</v>
      </c>
      <c r="P2831">
        <v>-0.110968101618238</v>
      </c>
      <c r="Q2831">
        <v>5.8411809554152198E-2</v>
      </c>
      <c r="R2831">
        <v>0.99120816275958601</v>
      </c>
      <c r="S2831" t="s">
        <v>9477</v>
      </c>
      <c r="T2831" t="s">
        <v>13290</v>
      </c>
      <c r="U2831" t="s">
        <v>13290</v>
      </c>
      <c r="V2831" t="s">
        <v>13290</v>
      </c>
      <c r="W2831" t="s">
        <v>16080</v>
      </c>
      <c r="X2831">
        <v>20</v>
      </c>
      <c r="Y2831" t="s">
        <v>22611</v>
      </c>
      <c r="Z2831" t="s">
        <v>29161</v>
      </c>
      <c r="AA2831">
        <v>0.45936845103970297</v>
      </c>
      <c r="AB2831" t="str">
        <f>HYPERLINK("Melting_Curves/meltCurve_P52565_ARHGDIA.pdf", "Melting_Curves/meltCurve_P52565_ARHGDIA.pdf")</f>
        <v>Melting_Curves/meltCurve_P52565_ARHGDIA.pdf</v>
      </c>
    </row>
    <row r="2832" spans="1:28" x14ac:dyDescent="0.25">
      <c r="A2832" t="s">
        <v>2836</v>
      </c>
      <c r="B2832">
        <v>0.99252571173614901</v>
      </c>
      <c r="C2832">
        <v>1.0994161240250999</v>
      </c>
      <c r="D2832">
        <v>0.26631820735427097</v>
      </c>
      <c r="E2832">
        <v>0.18194257934356001</v>
      </c>
      <c r="F2832">
        <v>9.4376179262635501E-2</v>
      </c>
      <c r="G2832">
        <v>4.1001566328257598E-2</v>
      </c>
      <c r="H2832">
        <v>2.7001140696425199E-2</v>
      </c>
      <c r="I2832">
        <v>2.8269098209342602E-2</v>
      </c>
      <c r="J2832">
        <v>3.6294528263387499E-2</v>
      </c>
      <c r="K2832">
        <v>3.9368177508762599E-2</v>
      </c>
      <c r="L2832">
        <v>11440.733036392099</v>
      </c>
      <c r="M2832">
        <v>250</v>
      </c>
      <c r="N2832">
        <v>45.788032380933501</v>
      </c>
      <c r="O2832">
        <v>45.760003626353601</v>
      </c>
      <c r="P2832">
        <v>-1.2783595805202099</v>
      </c>
      <c r="Q2832">
        <v>6.4036176551165502E-2</v>
      </c>
      <c r="R2832">
        <v>0.98077512553624602</v>
      </c>
      <c r="S2832" t="s">
        <v>9478</v>
      </c>
      <c r="T2832" t="s">
        <v>13290</v>
      </c>
      <c r="U2832" t="s">
        <v>13290</v>
      </c>
      <c r="V2832" t="s">
        <v>13290</v>
      </c>
      <c r="W2832" t="s">
        <v>16081</v>
      </c>
      <c r="X2832">
        <v>18</v>
      </c>
      <c r="Y2832" t="s">
        <v>22612</v>
      </c>
      <c r="Z2832" t="s">
        <v>29162</v>
      </c>
      <c r="AA2832">
        <v>0.2439078803405203</v>
      </c>
      <c r="AB2832" t="str">
        <f>HYPERLINK("Melting_Curves/meltCurve_P52597_HNRNPF.pdf", "Melting_Curves/meltCurve_P52597_HNRNPF.pdf")</f>
        <v>Melting_Curves/meltCurve_P52597_HNRNPF.pdf</v>
      </c>
    </row>
    <row r="2833" spans="1:28" x14ac:dyDescent="0.25">
      <c r="A2833" t="s">
        <v>2837</v>
      </c>
      <c r="B2833">
        <v>0.99252571173614901</v>
      </c>
      <c r="C2833">
        <v>0.83479843599495096</v>
      </c>
      <c r="D2833">
        <v>0.417254350240435</v>
      </c>
      <c r="E2833">
        <v>0.18398338393520999</v>
      </c>
      <c r="F2833">
        <v>0.1421879315067</v>
      </c>
      <c r="G2833">
        <v>6.3665896271262304E-2</v>
      </c>
      <c r="H2833">
        <v>5.12475185529764E-2</v>
      </c>
      <c r="I2833">
        <v>7.2258990367525602E-2</v>
      </c>
      <c r="J2833">
        <v>7.1604514414206802E-2</v>
      </c>
      <c r="K2833">
        <v>6.7415058234774602E-2</v>
      </c>
      <c r="L2833">
        <v>1183.84596237745</v>
      </c>
      <c r="M2833">
        <v>26.164507474469399</v>
      </c>
      <c r="N2833">
        <v>45.531788026681397</v>
      </c>
      <c r="O2833">
        <v>44.984406085447503</v>
      </c>
      <c r="P2833">
        <v>-0.13440734632792101</v>
      </c>
      <c r="Q2833">
        <v>7.5668496595797399E-2</v>
      </c>
      <c r="R2833">
        <v>0.99533136033367997</v>
      </c>
      <c r="S2833" t="s">
        <v>9479</v>
      </c>
      <c r="T2833" t="s">
        <v>13290</v>
      </c>
      <c r="U2833" t="s">
        <v>13290</v>
      </c>
      <c r="V2833" t="s">
        <v>13290</v>
      </c>
      <c r="W2833" t="s">
        <v>16082</v>
      </c>
      <c r="X2833">
        <v>3</v>
      </c>
      <c r="Y2833" t="s">
        <v>22613</v>
      </c>
      <c r="Z2833" t="s">
        <v>29163</v>
      </c>
      <c r="AA2833">
        <v>0.2453815599548286</v>
      </c>
      <c r="AB2833" t="str">
        <f>HYPERLINK("Melting_Curves/meltCurve_P52630_4_STAT2.pdf", "Melting_Curves/meltCurve_P52630_4_STAT2.pdf")</f>
        <v>Melting_Curves/meltCurve_P52630_4_STAT2.pdf</v>
      </c>
    </row>
    <row r="2834" spans="1:28" x14ac:dyDescent="0.25">
      <c r="A2834" t="s">
        <v>2838</v>
      </c>
      <c r="B2834">
        <v>0.99252571173614901</v>
      </c>
      <c r="C2834">
        <v>1.06188707087901</v>
      </c>
      <c r="D2834">
        <v>0.94231511420712899</v>
      </c>
      <c r="E2834">
        <v>0.83736719614605004</v>
      </c>
      <c r="F2834">
        <v>0.71196391747277699</v>
      </c>
      <c r="G2834">
        <v>0.62912628278299698</v>
      </c>
      <c r="H2834">
        <v>0.61511354367348503</v>
      </c>
      <c r="I2834">
        <v>0.68498164845600995</v>
      </c>
      <c r="J2834">
        <v>0.84086993813756605</v>
      </c>
      <c r="K2834">
        <v>0.81274605698740898</v>
      </c>
      <c r="L2834">
        <v>1764.97117489332</v>
      </c>
      <c r="M2834">
        <v>36.0949660474691</v>
      </c>
      <c r="O2834">
        <v>48.748624475321101</v>
      </c>
      <c r="P2834">
        <v>-5.2851238573345199E-2</v>
      </c>
      <c r="Q2834">
        <v>0.71448460554611604</v>
      </c>
      <c r="R2834">
        <v>0.76561243672048995</v>
      </c>
      <c r="S2834" t="s">
        <v>9480</v>
      </c>
      <c r="T2834" t="s">
        <v>13290</v>
      </c>
      <c r="U2834" t="s">
        <v>13290</v>
      </c>
      <c r="V2834" t="s">
        <v>13290</v>
      </c>
      <c r="W2834" t="s">
        <v>16083</v>
      </c>
      <c r="X2834">
        <v>7</v>
      </c>
      <c r="Y2834" t="s">
        <v>22614</v>
      </c>
      <c r="Z2834" t="s">
        <v>29164</v>
      </c>
      <c r="AA2834">
        <v>0.80035839662402186</v>
      </c>
      <c r="AB2834" t="str">
        <f>HYPERLINK("Melting_Curves/meltCurve_P52655_GTF2A1.pdf", "Melting_Curves/meltCurve_P52655_GTF2A1.pdf")</f>
        <v>Melting_Curves/meltCurve_P52655_GTF2A1.pdf</v>
      </c>
    </row>
    <row r="2835" spans="1:28" x14ac:dyDescent="0.25">
      <c r="A2835" t="s">
        <v>2839</v>
      </c>
      <c r="B2835">
        <v>0.99252571173614901</v>
      </c>
      <c r="C2835">
        <v>1.1492363291960399</v>
      </c>
      <c r="D2835">
        <v>1.0413479374290999</v>
      </c>
      <c r="E2835">
        <v>1.13775496910355</v>
      </c>
      <c r="F2835">
        <v>0.91865031647740003</v>
      </c>
      <c r="G2835">
        <v>0.78444246339027601</v>
      </c>
      <c r="H2835">
        <v>0.87374205231270097</v>
      </c>
      <c r="I2835">
        <v>1.2064979906539699</v>
      </c>
      <c r="J2835">
        <v>1.4355527138622499</v>
      </c>
      <c r="K2835">
        <v>1.00513759096357</v>
      </c>
      <c r="L2835">
        <v>15000</v>
      </c>
      <c r="M2835">
        <v>237.06297593263099</v>
      </c>
      <c r="O2835">
        <v>63.269822924798497</v>
      </c>
      <c r="P2835">
        <v>0.206454459823074</v>
      </c>
      <c r="Q2835">
        <v>1.2204028195313199</v>
      </c>
      <c r="R2835">
        <v>0.34967906135864302</v>
      </c>
      <c r="S2835" t="s">
        <v>9481</v>
      </c>
      <c r="T2835" t="s">
        <v>13290</v>
      </c>
      <c r="U2835" t="s">
        <v>13290</v>
      </c>
      <c r="V2835" t="s">
        <v>13290</v>
      </c>
      <c r="W2835" t="s">
        <v>16084</v>
      </c>
      <c r="X2835">
        <v>5</v>
      </c>
      <c r="Y2835" t="s">
        <v>22615</v>
      </c>
      <c r="Z2835" t="s">
        <v>29165</v>
      </c>
      <c r="AA2835">
        <v>1.0493846981968731</v>
      </c>
      <c r="AB2835" t="str">
        <f>HYPERLINK("Melting_Curves/meltCurve_P52657_GTF2A2.pdf", "Melting_Curves/meltCurve_P52657_GTF2A2.pdf")</f>
        <v>Melting_Curves/meltCurve_P52657_GTF2A2.pdf</v>
      </c>
    </row>
    <row r="2836" spans="1:28" x14ac:dyDescent="0.25">
      <c r="A2836" t="s">
        <v>2840</v>
      </c>
      <c r="B2836">
        <v>0.99252571173614901</v>
      </c>
      <c r="C2836">
        <v>0.82878905386767698</v>
      </c>
      <c r="D2836">
        <v>0.57985246145645397</v>
      </c>
      <c r="E2836">
        <v>0.15888120807933301</v>
      </c>
      <c r="F2836">
        <v>0.106094850135129</v>
      </c>
      <c r="G2836">
        <v>5.6657971973143498E-2</v>
      </c>
      <c r="H2836">
        <v>4.6147697841625E-2</v>
      </c>
      <c r="I2836">
        <v>4.9063979709787202E-2</v>
      </c>
      <c r="J2836">
        <v>5.56781298935645E-2</v>
      </c>
      <c r="K2836">
        <v>5.9256925853517599E-2</v>
      </c>
      <c r="L2836">
        <v>1117.0400779792501</v>
      </c>
      <c r="M2836">
        <v>24.204491086243099</v>
      </c>
      <c r="N2836">
        <v>46.351302807810598</v>
      </c>
      <c r="O2836">
        <v>45.8385587626112</v>
      </c>
      <c r="P2836">
        <v>-0.12542901761186101</v>
      </c>
      <c r="Q2836">
        <v>4.9862647227258201E-2</v>
      </c>
      <c r="R2836">
        <v>0.99559590436761203</v>
      </c>
      <c r="S2836" t="s">
        <v>9482</v>
      </c>
      <c r="T2836" t="s">
        <v>13290</v>
      </c>
      <c r="U2836" t="s">
        <v>13290</v>
      </c>
      <c r="V2836" t="s">
        <v>13290</v>
      </c>
      <c r="W2836" t="s">
        <v>16085</v>
      </c>
      <c r="X2836">
        <v>41</v>
      </c>
      <c r="Y2836" t="s">
        <v>22616</v>
      </c>
      <c r="Z2836" t="s">
        <v>29166</v>
      </c>
      <c r="AA2836">
        <v>0.25402906040633882</v>
      </c>
      <c r="AB2836" t="str">
        <f>HYPERLINK("Melting_Curves/meltCurve_P52701_MSH6.pdf", "Melting_Curves/meltCurve_P52701_MSH6.pdf")</f>
        <v>Melting_Curves/meltCurve_P52701_MSH6.pdf</v>
      </c>
    </row>
    <row r="2837" spans="1:28" x14ac:dyDescent="0.25">
      <c r="A2837" t="s">
        <v>2841</v>
      </c>
      <c r="B2837">
        <v>0.99252571173614901</v>
      </c>
      <c r="C2837">
        <v>0.89148051763626202</v>
      </c>
      <c r="D2837">
        <v>0.57343321651936696</v>
      </c>
      <c r="E2837">
        <v>0.33203207520046901</v>
      </c>
      <c r="F2837">
        <v>0.22959131281305001</v>
      </c>
      <c r="G2837">
        <v>0.16024238491774201</v>
      </c>
      <c r="H2837">
        <v>0.127685933796682</v>
      </c>
      <c r="I2837">
        <v>0.165352048928433</v>
      </c>
      <c r="J2837">
        <v>0.18184190452190199</v>
      </c>
      <c r="K2837">
        <v>0.18262186012937101</v>
      </c>
      <c r="L2837">
        <v>1033.57471501491</v>
      </c>
      <c r="M2837">
        <v>22.386408498491999</v>
      </c>
      <c r="N2837">
        <v>47.014790584128697</v>
      </c>
      <c r="O2837">
        <v>45.806063035427897</v>
      </c>
      <c r="P2837">
        <v>-0.101945150359668</v>
      </c>
      <c r="Q2837">
        <v>0.16563507515220599</v>
      </c>
      <c r="R2837">
        <v>0.99473415623672001</v>
      </c>
      <c r="S2837" t="s">
        <v>9483</v>
      </c>
      <c r="T2837" t="s">
        <v>13290</v>
      </c>
      <c r="U2837" t="s">
        <v>13290</v>
      </c>
      <c r="V2837" t="s">
        <v>13290</v>
      </c>
      <c r="W2837" t="s">
        <v>16086</v>
      </c>
      <c r="X2837">
        <v>8</v>
      </c>
      <c r="Y2837" t="s">
        <v>22617</v>
      </c>
      <c r="Z2837" t="s">
        <v>29167</v>
      </c>
      <c r="AA2837">
        <v>0.34707907280274619</v>
      </c>
      <c r="AB2837" t="str">
        <f>HYPERLINK("Melting_Curves/meltCurve_P52732_KIF11.pdf", "Melting_Curves/meltCurve_P52732_KIF11.pdf")</f>
        <v>Melting_Curves/meltCurve_P52732_KIF11.pdf</v>
      </c>
    </row>
    <row r="2838" spans="1:28" x14ac:dyDescent="0.25">
      <c r="A2838" t="s">
        <v>2842</v>
      </c>
      <c r="B2838">
        <v>0.99252571173614901</v>
      </c>
      <c r="C2838">
        <v>1.0317378596888001</v>
      </c>
      <c r="D2838">
        <v>0.75005338455579496</v>
      </c>
      <c r="E2838">
        <v>0.88342387433921399</v>
      </c>
      <c r="F2838">
        <v>0.24441190988914899</v>
      </c>
      <c r="G2838">
        <v>0.148797555863941</v>
      </c>
      <c r="H2838">
        <v>0.11092712278625699</v>
      </c>
      <c r="I2838">
        <v>0.11717535492018701</v>
      </c>
      <c r="J2838">
        <v>0.12933943801025399</v>
      </c>
      <c r="K2838">
        <v>0.113507046756203</v>
      </c>
      <c r="L2838">
        <v>2543.20405030048</v>
      </c>
      <c r="M2838">
        <v>49.530874821744298</v>
      </c>
      <c r="N2838">
        <v>51.634692028847397</v>
      </c>
      <c r="O2838">
        <v>51.2623431735718</v>
      </c>
      <c r="P2838">
        <v>-0.21232683469106101</v>
      </c>
      <c r="Q2838">
        <v>0.121003896430059</v>
      </c>
      <c r="R2838">
        <v>0.957508159197763</v>
      </c>
      <c r="S2838" t="s">
        <v>9484</v>
      </c>
      <c r="T2838" t="s">
        <v>13290</v>
      </c>
      <c r="U2838" t="s">
        <v>13290</v>
      </c>
      <c r="V2838" t="s">
        <v>13290</v>
      </c>
      <c r="W2838" t="s">
        <v>16087</v>
      </c>
      <c r="X2838">
        <v>4</v>
      </c>
      <c r="Y2838" t="s">
        <v>22618</v>
      </c>
      <c r="Z2838" t="s">
        <v>29168</v>
      </c>
      <c r="AA2838">
        <v>0.45546418240363151</v>
      </c>
      <c r="AB2838" t="str">
        <f>HYPERLINK("Melting_Curves/meltCurve_P52735_3_VAV2.pdf", "Melting_Curves/meltCurve_P52735_3_VAV2.pdf")</f>
        <v>Melting_Curves/meltCurve_P52735_3_VAV2.pdf</v>
      </c>
    </row>
    <row r="2839" spans="1:28" x14ac:dyDescent="0.25">
      <c r="A2839" t="s">
        <v>2843</v>
      </c>
      <c r="B2839">
        <v>0.99252571173614901</v>
      </c>
      <c r="C2839">
        <v>1.0066419966620701</v>
      </c>
      <c r="D2839">
        <v>0.60513459185589602</v>
      </c>
      <c r="E2839">
        <v>0.82462945983412705</v>
      </c>
      <c r="F2839">
        <v>0.81372964829347705</v>
      </c>
      <c r="G2839">
        <v>0.79117608971855902</v>
      </c>
      <c r="H2839">
        <v>0.635707047856376</v>
      </c>
      <c r="I2839">
        <v>0.79405877537311098</v>
      </c>
      <c r="J2839">
        <v>0.65533981812919295</v>
      </c>
      <c r="K2839">
        <v>0.35427480860938798</v>
      </c>
      <c r="L2839">
        <v>233.39870483091201</v>
      </c>
      <c r="M2839">
        <v>3.13100241655654</v>
      </c>
      <c r="O2839">
        <v>55.909230547246402</v>
      </c>
      <c r="P2839">
        <v>-1.4382359812797899E-2</v>
      </c>
      <c r="Q2839">
        <v>0</v>
      </c>
      <c r="R2839">
        <v>0.51627823186527499</v>
      </c>
      <c r="S2839" t="s">
        <v>9485</v>
      </c>
      <c r="T2839" t="s">
        <v>13290</v>
      </c>
      <c r="U2839" t="s">
        <v>13290</v>
      </c>
      <c r="V2839" t="s">
        <v>13290</v>
      </c>
      <c r="W2839" t="s">
        <v>16088</v>
      </c>
      <c r="X2839">
        <v>10</v>
      </c>
      <c r="Y2839" t="s">
        <v>22619</v>
      </c>
      <c r="Z2839" t="s">
        <v>29169</v>
      </c>
      <c r="AA2839">
        <v>0.75025445365406918</v>
      </c>
      <c r="AB2839" t="str">
        <f>HYPERLINK("Melting_Curves/meltCurve_P52756_RBM5.pdf", "Melting_Curves/meltCurve_P52756_RBM5.pdf")</f>
        <v>Melting_Curves/meltCurve_P52756_RBM5.pdf</v>
      </c>
    </row>
    <row r="2840" spans="1:28" x14ac:dyDescent="0.25">
      <c r="A2840" t="s">
        <v>2844</v>
      </c>
      <c r="B2840">
        <v>0.99252571173614901</v>
      </c>
      <c r="C2840">
        <v>1.0556907086627501</v>
      </c>
      <c r="D2840">
        <v>0.95714681437278903</v>
      </c>
      <c r="E2840">
        <v>0.85872592218400601</v>
      </c>
      <c r="F2840">
        <v>0.84068556693719398</v>
      </c>
      <c r="G2840">
        <v>0.79079933216535003</v>
      </c>
      <c r="H2840">
        <v>0.84645305161852002</v>
      </c>
      <c r="I2840">
        <v>1.09626389720502</v>
      </c>
      <c r="J2840">
        <v>1.5476607644176701</v>
      </c>
      <c r="K2840">
        <v>1.67851629893696</v>
      </c>
      <c r="L2840">
        <v>15000</v>
      </c>
      <c r="M2840">
        <v>232.94164684352</v>
      </c>
      <c r="O2840">
        <v>64.389081825318101</v>
      </c>
      <c r="P2840">
        <v>0.45221508894413998</v>
      </c>
      <c r="Q2840">
        <v>1.5</v>
      </c>
      <c r="R2840">
        <v>0.81992960686880401</v>
      </c>
      <c r="S2840" t="s">
        <v>9486</v>
      </c>
      <c r="T2840" t="s">
        <v>13290</v>
      </c>
      <c r="U2840" t="s">
        <v>13290</v>
      </c>
      <c r="V2840" t="s">
        <v>13290</v>
      </c>
      <c r="W2840" t="s">
        <v>16089</v>
      </c>
      <c r="X2840">
        <v>7</v>
      </c>
      <c r="Y2840" t="s">
        <v>22620</v>
      </c>
      <c r="Z2840" t="s">
        <v>29170</v>
      </c>
      <c r="AA2840">
        <v>1.0933714246076029</v>
      </c>
      <c r="AB2840" t="str">
        <f>HYPERLINK("Melting_Curves/meltCurve_P52758_HRSP12.pdf", "Melting_Curves/meltCurve_P52758_HRSP12.pdf")</f>
        <v>Melting_Curves/meltCurve_P52758_HRSP12.pdf</v>
      </c>
    </row>
    <row r="2841" spans="1:28" x14ac:dyDescent="0.25">
      <c r="A2841" t="s">
        <v>2845</v>
      </c>
      <c r="B2841">
        <v>0.99252571173614901</v>
      </c>
      <c r="C2841">
        <v>1.0672199612636599</v>
      </c>
      <c r="D2841">
        <v>0.99208573019533797</v>
      </c>
      <c r="E2841">
        <v>0.883713779122972</v>
      </c>
      <c r="F2841">
        <v>0.74863598667778397</v>
      </c>
      <c r="G2841">
        <v>0.53764644337755096</v>
      </c>
      <c r="H2841">
        <v>0.20451868504557</v>
      </c>
      <c r="I2841">
        <v>7.9348729257908396E-2</v>
      </c>
      <c r="J2841">
        <v>7.5569614222245604E-2</v>
      </c>
      <c r="K2841">
        <v>6.6670198255281296E-2</v>
      </c>
      <c r="L2841">
        <v>1018.82636686653</v>
      </c>
      <c r="M2841">
        <v>17.999299918028701</v>
      </c>
      <c r="N2841">
        <v>56.659552492514102</v>
      </c>
      <c r="O2841">
        <v>55.918849819695801</v>
      </c>
      <c r="P2841">
        <v>-7.9766545143916706E-2</v>
      </c>
      <c r="Q2841">
        <v>8.7984809186337793E-3</v>
      </c>
      <c r="R2841">
        <v>0.99213404710039399</v>
      </c>
      <c r="S2841" t="s">
        <v>9487</v>
      </c>
      <c r="T2841" t="s">
        <v>13290</v>
      </c>
      <c r="U2841" t="s">
        <v>13290</v>
      </c>
      <c r="V2841" t="s">
        <v>13290</v>
      </c>
      <c r="W2841" t="s">
        <v>16090</v>
      </c>
      <c r="X2841">
        <v>21</v>
      </c>
      <c r="Y2841" t="s">
        <v>22621</v>
      </c>
      <c r="Z2841" t="s">
        <v>29171</v>
      </c>
      <c r="AA2841">
        <v>0.57141923821384821</v>
      </c>
      <c r="AB2841" t="str">
        <f>HYPERLINK("Melting_Curves/meltCurve_P52788_SMS.pdf", "Melting_Curves/meltCurve_P52788_SMS.pdf")</f>
        <v>Melting_Curves/meltCurve_P52788_SMS.pdf</v>
      </c>
    </row>
    <row r="2842" spans="1:28" x14ac:dyDescent="0.25">
      <c r="A2842" t="s">
        <v>2846</v>
      </c>
      <c r="B2842">
        <v>0.99252571173614901</v>
      </c>
      <c r="C2842">
        <v>0.91624046218504096</v>
      </c>
      <c r="D2842">
        <v>0.64925141104403505</v>
      </c>
      <c r="E2842">
        <v>0.20646203992089199</v>
      </c>
      <c r="F2842">
        <v>0.102428441023607</v>
      </c>
      <c r="G2842">
        <v>5.7731811067921399E-2</v>
      </c>
      <c r="H2842">
        <v>4.6648896270286601E-2</v>
      </c>
      <c r="I2842">
        <v>4.98819315825864E-2</v>
      </c>
      <c r="J2842">
        <v>6.1116405866078999E-2</v>
      </c>
      <c r="K2842">
        <v>6.2721549763904802E-2</v>
      </c>
      <c r="L2842">
        <v>1299.95257746265</v>
      </c>
      <c r="M2842">
        <v>27.774973523923201</v>
      </c>
      <c r="N2842">
        <v>47.000800714584003</v>
      </c>
      <c r="O2842">
        <v>46.562418291126001</v>
      </c>
      <c r="P2842">
        <v>-0.14090398481362201</v>
      </c>
      <c r="Q2842">
        <v>5.51534156904461E-2</v>
      </c>
      <c r="R2842">
        <v>0.99932940937515502</v>
      </c>
      <c r="S2842" t="s">
        <v>9488</v>
      </c>
      <c r="T2842" t="s">
        <v>13290</v>
      </c>
      <c r="U2842" t="s">
        <v>13290</v>
      </c>
      <c r="V2842" t="s">
        <v>13290</v>
      </c>
      <c r="W2842" t="s">
        <v>16091</v>
      </c>
      <c r="X2842">
        <v>50</v>
      </c>
      <c r="Y2842" t="s">
        <v>22622</v>
      </c>
      <c r="Z2842" t="s">
        <v>29172</v>
      </c>
      <c r="AA2842">
        <v>0.27612721901875698</v>
      </c>
      <c r="AB2842" t="str">
        <f>HYPERLINK("Melting_Curves/meltCurve_P52789_HK2.pdf", "Melting_Curves/meltCurve_P52789_HK2.pdf")</f>
        <v>Melting_Curves/meltCurve_P52789_HK2.pdf</v>
      </c>
    </row>
    <row r="2843" spans="1:28" x14ac:dyDescent="0.25">
      <c r="A2843" t="s">
        <v>2847</v>
      </c>
      <c r="B2843">
        <v>0.99252571173614901</v>
      </c>
      <c r="C2843">
        <v>0.96060122561706296</v>
      </c>
      <c r="D2843">
        <v>0.90845348437178897</v>
      </c>
      <c r="E2843">
        <v>0.80801711112661601</v>
      </c>
      <c r="F2843">
        <v>0.62317068777891005</v>
      </c>
      <c r="G2843">
        <v>0.42129078558400201</v>
      </c>
      <c r="H2843">
        <v>0.35709412949367503</v>
      </c>
      <c r="I2843">
        <v>0.35894260776265802</v>
      </c>
      <c r="J2843">
        <v>0.51297882395828798</v>
      </c>
      <c r="K2843">
        <v>0.41843715670306902</v>
      </c>
      <c r="L2843">
        <v>1095.13967825911</v>
      </c>
      <c r="M2843">
        <v>21.389698749756899</v>
      </c>
      <c r="N2843">
        <v>55.374829383767398</v>
      </c>
      <c r="O2843">
        <v>50.758178088089402</v>
      </c>
      <c r="P2843">
        <v>-6.3176289298256902E-2</v>
      </c>
      <c r="Q2843">
        <v>0.40034053865583302</v>
      </c>
      <c r="R2843">
        <v>0.95880899512925899</v>
      </c>
      <c r="S2843" t="s">
        <v>9489</v>
      </c>
      <c r="T2843" t="s">
        <v>13290</v>
      </c>
      <c r="U2843" t="s">
        <v>13290</v>
      </c>
      <c r="V2843" t="s">
        <v>13290</v>
      </c>
      <c r="W2843" t="s">
        <v>16092</v>
      </c>
      <c r="X2843">
        <v>1</v>
      </c>
      <c r="Y2843" t="s">
        <v>22623</v>
      </c>
      <c r="Z2843" t="s">
        <v>29173</v>
      </c>
      <c r="AA2843">
        <v>0.63153641491997214</v>
      </c>
      <c r="AB2843" t="str">
        <f>HYPERLINK("Melting_Curves/meltCurve_P52798_2_EFNA4.pdf", "Melting_Curves/meltCurve_P52798_2_EFNA4.pdf")</f>
        <v>Melting_Curves/meltCurve_P52798_2_EFNA4.pdf</v>
      </c>
    </row>
    <row r="2844" spans="1:28" x14ac:dyDescent="0.25">
      <c r="A2844" t="s">
        <v>2848</v>
      </c>
      <c r="B2844">
        <v>0.99252571173614901</v>
      </c>
      <c r="C2844">
        <v>0.95574435737403696</v>
      </c>
      <c r="D2844">
        <v>0.92871149355537697</v>
      </c>
      <c r="E2844">
        <v>0.82889501730794801</v>
      </c>
      <c r="F2844">
        <v>0.49053909552892</v>
      </c>
      <c r="G2844">
        <v>0.43513962232581399</v>
      </c>
      <c r="H2844">
        <v>0.322250180316905</v>
      </c>
      <c r="I2844">
        <v>0.32919777461472499</v>
      </c>
      <c r="J2844">
        <v>0.467857503829544</v>
      </c>
      <c r="K2844">
        <v>0.39491583796785701</v>
      </c>
      <c r="L2844">
        <v>1574.3618287547799</v>
      </c>
      <c r="M2844">
        <v>30.9379507136039</v>
      </c>
      <c r="N2844">
        <v>53.374845995382799</v>
      </c>
      <c r="O2844">
        <v>50.676532226722102</v>
      </c>
      <c r="P2844">
        <v>-9.4364041518292904E-2</v>
      </c>
      <c r="Q2844">
        <v>0.38172833895544001</v>
      </c>
      <c r="R2844">
        <v>0.97046476605012899</v>
      </c>
      <c r="S2844" t="s">
        <v>9490</v>
      </c>
      <c r="T2844" t="s">
        <v>13290</v>
      </c>
      <c r="U2844" t="s">
        <v>13290</v>
      </c>
      <c r="V2844" t="s">
        <v>13290</v>
      </c>
      <c r="W2844" t="s">
        <v>16093</v>
      </c>
      <c r="X2844">
        <v>6</v>
      </c>
      <c r="Y2844" t="s">
        <v>22624</v>
      </c>
      <c r="Z2844" t="s">
        <v>29174</v>
      </c>
      <c r="AA2844">
        <v>0.60976173305066295</v>
      </c>
      <c r="AB2844" t="str">
        <f>HYPERLINK("Melting_Curves/meltCurve_P52799_EFNB2.pdf", "Melting_Curves/meltCurve_P52799_EFNB2.pdf")</f>
        <v>Melting_Curves/meltCurve_P52799_EFNB2.pdf</v>
      </c>
    </row>
    <row r="2845" spans="1:28" x14ac:dyDescent="0.25">
      <c r="A2845" t="s">
        <v>2849</v>
      </c>
      <c r="B2845">
        <v>0.99252571173614901</v>
      </c>
      <c r="C2845">
        <v>1.0458572449376999</v>
      </c>
      <c r="D2845">
        <v>0.98071896516173895</v>
      </c>
      <c r="E2845">
        <v>0.84981285708667298</v>
      </c>
      <c r="F2845">
        <v>0.77601780410742205</v>
      </c>
      <c r="G2845">
        <v>0.61896876763129305</v>
      </c>
      <c r="H2845">
        <v>0.459762023329429</v>
      </c>
      <c r="I2845">
        <v>0.23695439011434899</v>
      </c>
      <c r="J2845">
        <v>0.143299953745018</v>
      </c>
      <c r="K2845">
        <v>0.136968463688385</v>
      </c>
      <c r="L2845">
        <v>717.46586892169205</v>
      </c>
      <c r="M2845">
        <v>12.1955441225178</v>
      </c>
      <c r="N2845">
        <v>58.830164697476299</v>
      </c>
      <c r="O2845">
        <v>57.3154021188248</v>
      </c>
      <c r="P2845">
        <v>-5.3206903835141602E-2</v>
      </c>
      <c r="Q2845">
        <v>0</v>
      </c>
      <c r="R2845">
        <v>0.98886471457328595</v>
      </c>
      <c r="S2845" t="s">
        <v>9491</v>
      </c>
      <c r="T2845" t="s">
        <v>13290</v>
      </c>
      <c r="U2845" t="s">
        <v>13290</v>
      </c>
      <c r="V2845" t="s">
        <v>13290</v>
      </c>
      <c r="W2845" t="s">
        <v>16094</v>
      </c>
      <c r="X2845">
        <v>49</v>
      </c>
      <c r="Y2845" t="s">
        <v>22625</v>
      </c>
      <c r="Z2845" t="s">
        <v>29175</v>
      </c>
      <c r="AA2845">
        <v>0.63671771955580048</v>
      </c>
      <c r="AB2845" t="str">
        <f>HYPERLINK("Melting_Curves/meltCurve_P52888_THOP1.pdf", "Melting_Curves/meltCurve_P52888_THOP1.pdf")</f>
        <v>Melting_Curves/meltCurve_P52888_THOP1.pdf</v>
      </c>
    </row>
    <row r="2846" spans="1:28" x14ac:dyDescent="0.25">
      <c r="A2846" t="s">
        <v>2850</v>
      </c>
      <c r="B2846">
        <v>0.99252571173614901</v>
      </c>
      <c r="C2846">
        <v>1.0760507769382099</v>
      </c>
      <c r="D2846">
        <v>0.79714445820032398</v>
      </c>
      <c r="E2846">
        <v>0.87770965635507903</v>
      </c>
      <c r="F2846">
        <v>0.58494943693865598</v>
      </c>
      <c r="G2846">
        <v>0.30829523752097299</v>
      </c>
      <c r="H2846">
        <v>0.27870427584980201</v>
      </c>
      <c r="I2846">
        <v>0.34653039375299599</v>
      </c>
      <c r="J2846">
        <v>0.30664478768546</v>
      </c>
      <c r="K2846">
        <v>0.31716256032589502</v>
      </c>
      <c r="L2846">
        <v>1313.84469451479</v>
      </c>
      <c r="M2846">
        <v>25.227223915406999</v>
      </c>
      <c r="N2846">
        <v>53.996854059396597</v>
      </c>
      <c r="O2846">
        <v>51.756480415675199</v>
      </c>
      <c r="P2846">
        <v>-8.5815620420309102E-2</v>
      </c>
      <c r="Q2846">
        <v>0.29576762156633701</v>
      </c>
      <c r="R2846">
        <v>0.94747475289727101</v>
      </c>
      <c r="S2846" t="s">
        <v>9492</v>
      </c>
      <c r="T2846" t="s">
        <v>13290</v>
      </c>
      <c r="U2846" t="s">
        <v>13290</v>
      </c>
      <c r="V2846" t="s">
        <v>13290</v>
      </c>
      <c r="W2846" t="s">
        <v>16095</v>
      </c>
      <c r="X2846">
        <v>21</v>
      </c>
      <c r="Y2846" t="s">
        <v>22626</v>
      </c>
      <c r="Z2846" t="s">
        <v>29176</v>
      </c>
      <c r="AA2846">
        <v>0.58567160726949441</v>
      </c>
      <c r="AB2846" t="str">
        <f>HYPERLINK("Melting_Curves/meltCurve_P52895_AKR1C2.pdf", "Melting_Curves/meltCurve_P52895_AKR1C2.pdf")</f>
        <v>Melting_Curves/meltCurve_P52895_AKR1C2.pdf</v>
      </c>
    </row>
    <row r="2847" spans="1:28" x14ac:dyDescent="0.25">
      <c r="A2847" t="s">
        <v>2851</v>
      </c>
      <c r="B2847">
        <v>0.99252571173614901</v>
      </c>
      <c r="C2847">
        <v>1.07201795091062</v>
      </c>
      <c r="D2847">
        <v>1.0734856021260999</v>
      </c>
      <c r="E2847">
        <v>0.99460565124547795</v>
      </c>
      <c r="F2847">
        <v>0.46250291824099099</v>
      </c>
      <c r="G2847">
        <v>0.24881924592510099</v>
      </c>
      <c r="H2847">
        <v>0.17283438093115799</v>
      </c>
      <c r="I2847">
        <v>0.16151561216185301</v>
      </c>
      <c r="J2847">
        <v>0.148579215482776</v>
      </c>
      <c r="K2847">
        <v>0.13950789527294399</v>
      </c>
      <c r="L2847">
        <v>2740.17883496182</v>
      </c>
      <c r="M2847">
        <v>52.058687908680497</v>
      </c>
      <c r="N2847">
        <v>53.057209389561201</v>
      </c>
      <c r="O2847">
        <v>52.558842401884498</v>
      </c>
      <c r="P2847">
        <v>-0.205735853697605</v>
      </c>
      <c r="Q2847">
        <v>0.169150748020306</v>
      </c>
      <c r="R2847">
        <v>0.98990857660530696</v>
      </c>
      <c r="S2847" t="s">
        <v>9493</v>
      </c>
      <c r="T2847" t="s">
        <v>13290</v>
      </c>
      <c r="U2847" t="s">
        <v>13290</v>
      </c>
      <c r="V2847" t="s">
        <v>13290</v>
      </c>
      <c r="W2847" t="s">
        <v>16096</v>
      </c>
      <c r="X2847">
        <v>19</v>
      </c>
      <c r="Y2847" t="s">
        <v>22627</v>
      </c>
      <c r="Z2847" t="s">
        <v>29177</v>
      </c>
      <c r="AA2847">
        <v>0.52089250513633378</v>
      </c>
      <c r="AB2847" t="str">
        <f>HYPERLINK("Melting_Curves/meltCurve_P52907_CAPZA1.pdf", "Melting_Curves/meltCurve_P52907_CAPZA1.pdf")</f>
        <v>Melting_Curves/meltCurve_P52907_CAPZA1.pdf</v>
      </c>
    </row>
    <row r="2848" spans="1:28" x14ac:dyDescent="0.25">
      <c r="A2848" t="s">
        <v>2852</v>
      </c>
      <c r="B2848">
        <v>0.99252571173614901</v>
      </c>
      <c r="C2848">
        <v>1.11478146595542</v>
      </c>
      <c r="D2848">
        <v>0.99550765291582399</v>
      </c>
      <c r="E2848">
        <v>0.94011617540869796</v>
      </c>
      <c r="F2848">
        <v>0.69338197675528201</v>
      </c>
      <c r="G2848">
        <v>0.63071160061044196</v>
      </c>
      <c r="H2848">
        <v>0.56370954795872197</v>
      </c>
      <c r="I2848">
        <v>0.58111596932074705</v>
      </c>
      <c r="J2848">
        <v>0.59468643740729998</v>
      </c>
      <c r="K2848">
        <v>0.556802849872019</v>
      </c>
      <c r="L2848">
        <v>1865.7907418249299</v>
      </c>
      <c r="M2848">
        <v>35.940630339553103</v>
      </c>
      <c r="O2848">
        <v>51.7532031258174</v>
      </c>
      <c r="P2848">
        <v>-7.2977167299068502E-2</v>
      </c>
      <c r="Q2848">
        <v>0.57966344838308403</v>
      </c>
      <c r="R2848">
        <v>0.96356977339549998</v>
      </c>
      <c r="S2848" t="s">
        <v>9494</v>
      </c>
      <c r="T2848" t="s">
        <v>13290</v>
      </c>
      <c r="U2848" t="s">
        <v>13290</v>
      </c>
      <c r="V2848" t="s">
        <v>13290</v>
      </c>
      <c r="W2848" t="s">
        <v>16097</v>
      </c>
      <c r="X2848">
        <v>7</v>
      </c>
      <c r="Y2848" t="s">
        <v>22628</v>
      </c>
      <c r="Z2848" t="s">
        <v>29178</v>
      </c>
      <c r="AA2848">
        <v>0.74845034928377119</v>
      </c>
      <c r="AB2848" t="str">
        <f>HYPERLINK("Melting_Curves/meltCurve_P52943_CRIP2.pdf", "Melting_Curves/meltCurve_P52943_CRIP2.pdf")</f>
        <v>Melting_Curves/meltCurve_P52943_CRIP2.pdf</v>
      </c>
    </row>
    <row r="2849" spans="1:28" x14ac:dyDescent="0.25">
      <c r="A2849" t="s">
        <v>2853</v>
      </c>
      <c r="B2849">
        <v>0.99252571173614901</v>
      </c>
      <c r="C2849">
        <v>0.82399042852816795</v>
      </c>
      <c r="D2849">
        <v>0.73857541112795699</v>
      </c>
      <c r="E2849">
        <v>0.380089837935769</v>
      </c>
      <c r="F2849">
        <v>0.220344149785309</v>
      </c>
      <c r="G2849">
        <v>0.142537077970499</v>
      </c>
      <c r="H2849">
        <v>0.12802183470887099</v>
      </c>
      <c r="I2849">
        <v>0.14458573590131599</v>
      </c>
      <c r="J2849">
        <v>0.171733403202318</v>
      </c>
      <c r="K2849">
        <v>0.272211015200161</v>
      </c>
      <c r="L2849">
        <v>977.87798758578697</v>
      </c>
      <c r="M2849">
        <v>20.733770844932199</v>
      </c>
      <c r="N2849">
        <v>48.077636838402903</v>
      </c>
      <c r="O2849">
        <v>46.731380517539002</v>
      </c>
      <c r="P2849">
        <v>-9.2854400979100596E-2</v>
      </c>
      <c r="Q2849">
        <v>0.16289383244111899</v>
      </c>
      <c r="R2849">
        <v>0.97310738594775703</v>
      </c>
      <c r="S2849" t="s">
        <v>9495</v>
      </c>
      <c r="T2849" t="s">
        <v>13290</v>
      </c>
      <c r="U2849" t="s">
        <v>13290</v>
      </c>
      <c r="V2849" t="s">
        <v>13290</v>
      </c>
      <c r="W2849" t="s">
        <v>16098</v>
      </c>
      <c r="X2849">
        <v>10</v>
      </c>
      <c r="Y2849" t="s">
        <v>22629</v>
      </c>
      <c r="Z2849" t="s">
        <v>29179</v>
      </c>
      <c r="AA2849">
        <v>0.37403240106452729</v>
      </c>
      <c r="AB2849" t="str">
        <f>HYPERLINK("Melting_Curves/meltCurve_P52948_6_NUP98.pdf", "Melting_Curves/meltCurve_P52948_6_NUP98.pdf")</f>
        <v>Melting_Curves/meltCurve_P52948_6_NUP98.pdf</v>
      </c>
    </row>
    <row r="2850" spans="1:28" x14ac:dyDescent="0.25">
      <c r="A2850" t="s">
        <v>2854</v>
      </c>
      <c r="B2850">
        <v>0.99252571173614901</v>
      </c>
      <c r="C2850">
        <v>1.05420824982454</v>
      </c>
      <c r="D2850">
        <v>0.91339874487543304</v>
      </c>
      <c r="E2850">
        <v>0.71580829962676895</v>
      </c>
      <c r="F2850">
        <v>0.46020128817331202</v>
      </c>
      <c r="G2850">
        <v>0.14882275131376499</v>
      </c>
      <c r="H2850">
        <v>6.9771428250503101E-2</v>
      </c>
      <c r="I2850">
        <v>6.8664745005641306E-2</v>
      </c>
      <c r="J2850">
        <v>7.8940594320250607E-2</v>
      </c>
      <c r="K2850">
        <v>8.4516330731866096E-2</v>
      </c>
      <c r="L2850">
        <v>1083.44653289387</v>
      </c>
      <c r="M2850">
        <v>20.8702714831288</v>
      </c>
      <c r="N2850">
        <v>52.2024622505308</v>
      </c>
      <c r="O2850">
        <v>51.443815116242497</v>
      </c>
      <c r="P2850">
        <v>-9.5890578649112906E-2</v>
      </c>
      <c r="Q2850">
        <v>5.4570643714746798E-2</v>
      </c>
      <c r="R2850">
        <v>0.99281674776157003</v>
      </c>
      <c r="S2850" t="s">
        <v>9496</v>
      </c>
      <c r="T2850" t="s">
        <v>13290</v>
      </c>
      <c r="U2850" t="s">
        <v>13290</v>
      </c>
      <c r="V2850" t="s">
        <v>13290</v>
      </c>
      <c r="W2850" t="s">
        <v>16099</v>
      </c>
      <c r="X2850">
        <v>11</v>
      </c>
      <c r="Y2850" t="s">
        <v>22630</v>
      </c>
      <c r="Z2850" t="s">
        <v>29180</v>
      </c>
      <c r="AA2850">
        <v>0.44212767807442482</v>
      </c>
      <c r="AB2850" t="str">
        <f>HYPERLINK("Melting_Curves/meltCurve_P53004_BLVRA.pdf", "Melting_Curves/meltCurve_P53004_BLVRA.pdf")</f>
        <v>Melting_Curves/meltCurve_P53004_BLVRA.pdf</v>
      </c>
    </row>
    <row r="2851" spans="1:28" x14ac:dyDescent="0.25">
      <c r="A2851" t="s">
        <v>2855</v>
      </c>
      <c r="B2851">
        <v>0.99252571173614901</v>
      </c>
      <c r="C2851">
        <v>0.90501291288619301</v>
      </c>
      <c r="D2851">
        <v>0.85278166419627399</v>
      </c>
      <c r="E2851">
        <v>0.77076355869206303</v>
      </c>
      <c r="F2851">
        <v>0.633211975218676</v>
      </c>
      <c r="G2851">
        <v>0.50394759185396398</v>
      </c>
      <c r="H2851">
        <v>0.48384377061987799</v>
      </c>
      <c r="I2851">
        <v>0.66520861770025397</v>
      </c>
      <c r="J2851">
        <v>0.91972500745597896</v>
      </c>
      <c r="K2851">
        <v>0.77013028821849705</v>
      </c>
      <c r="L2851">
        <v>1028.70033904768</v>
      </c>
      <c r="M2851">
        <v>22.320046021117001</v>
      </c>
      <c r="O2851">
        <v>45.723449988297602</v>
      </c>
      <c r="P2851">
        <v>-4.0712092393048897E-2</v>
      </c>
      <c r="Q2851">
        <v>0.66640602106501301</v>
      </c>
      <c r="R2851">
        <v>0.479411558229066</v>
      </c>
      <c r="S2851" t="s">
        <v>9497</v>
      </c>
      <c r="T2851" t="s">
        <v>13290</v>
      </c>
      <c r="U2851" t="s">
        <v>13290</v>
      </c>
      <c r="V2851" t="s">
        <v>13290</v>
      </c>
      <c r="W2851" t="s">
        <v>16100</v>
      </c>
      <c r="X2851">
        <v>16</v>
      </c>
      <c r="Y2851" t="s">
        <v>22631</v>
      </c>
      <c r="Z2851" t="s">
        <v>29181</v>
      </c>
      <c r="AA2851">
        <v>0.73809402142665348</v>
      </c>
      <c r="AB2851" t="str">
        <f>HYPERLINK("Melting_Curves/meltCurve_P53007_SLC25A1.pdf", "Melting_Curves/meltCurve_P53007_SLC25A1.pdf")</f>
        <v>Melting_Curves/meltCurve_P53007_SLC25A1.pdf</v>
      </c>
    </row>
    <row r="2852" spans="1:28" x14ac:dyDescent="0.25">
      <c r="A2852" t="s">
        <v>2856</v>
      </c>
      <c r="B2852">
        <v>0.99252571173614901</v>
      </c>
      <c r="C2852">
        <v>1.0013926912220901</v>
      </c>
      <c r="D2852">
        <v>0.84399544953507899</v>
      </c>
      <c r="E2852">
        <v>0.51296420924431496</v>
      </c>
      <c r="F2852">
        <v>0.17339951064794901</v>
      </c>
      <c r="G2852">
        <v>9.3706904123359094E-2</v>
      </c>
      <c r="H2852">
        <v>6.4078950247995897E-2</v>
      </c>
      <c r="I2852">
        <v>6.7573542724261207E-2</v>
      </c>
      <c r="J2852">
        <v>7.0642545725849895E-2</v>
      </c>
      <c r="K2852">
        <v>7.0057435160847406E-2</v>
      </c>
      <c r="L2852">
        <v>1240.8976053599199</v>
      </c>
      <c r="M2852">
        <v>25.172635493905901</v>
      </c>
      <c r="N2852">
        <v>49.559086259504198</v>
      </c>
      <c r="O2852">
        <v>48.987554103666803</v>
      </c>
      <c r="P2852">
        <v>-0.120417181254053</v>
      </c>
      <c r="Q2852">
        <v>6.2654206409887295E-2</v>
      </c>
      <c r="R2852">
        <v>0.99878027830960203</v>
      </c>
      <c r="S2852" t="s">
        <v>9498</v>
      </c>
      <c r="T2852" t="s">
        <v>13290</v>
      </c>
      <c r="U2852" t="s">
        <v>13290</v>
      </c>
      <c r="V2852" t="s">
        <v>13290</v>
      </c>
      <c r="W2852" t="s">
        <v>16101</v>
      </c>
      <c r="X2852">
        <v>17</v>
      </c>
      <c r="Y2852" t="s">
        <v>22632</v>
      </c>
      <c r="Z2852" t="s">
        <v>29182</v>
      </c>
      <c r="AA2852">
        <v>0.36129829571289379</v>
      </c>
      <c r="AB2852" t="str">
        <f>HYPERLINK("Melting_Curves/meltCurve_P53365_ARFIP2.pdf", "Melting_Curves/meltCurve_P53365_ARFIP2.pdf")</f>
        <v>Melting_Curves/meltCurve_P53365_ARFIP2.pdf</v>
      </c>
    </row>
    <row r="2853" spans="1:28" x14ac:dyDescent="0.25">
      <c r="A2853" t="s">
        <v>2857</v>
      </c>
      <c r="B2853">
        <v>0.99252571173614901</v>
      </c>
      <c r="C2853">
        <v>0.98128836110955697</v>
      </c>
      <c r="D2853">
        <v>0.74841320709152104</v>
      </c>
      <c r="E2853">
        <v>0.39921689890609502</v>
      </c>
      <c r="F2853">
        <v>0.14026570386905801</v>
      </c>
      <c r="G2853">
        <v>7.7766642778938994E-2</v>
      </c>
      <c r="H2853">
        <v>5.5359036093765697E-2</v>
      </c>
      <c r="I2853">
        <v>6.2405142738254003E-2</v>
      </c>
      <c r="J2853">
        <v>6.3551331466472294E-2</v>
      </c>
      <c r="K2853">
        <v>5.90505726041596E-2</v>
      </c>
      <c r="L2853">
        <v>1125.52969119864</v>
      </c>
      <c r="M2853">
        <v>23.328368384615299</v>
      </c>
      <c r="N2853">
        <v>48.4897631132377</v>
      </c>
      <c r="O2853">
        <v>47.896916589442597</v>
      </c>
      <c r="P2853">
        <v>-0.115061012951506</v>
      </c>
      <c r="Q2853">
        <v>5.5061187650149897E-2</v>
      </c>
      <c r="R2853">
        <v>0.99859674464293902</v>
      </c>
      <c r="S2853" t="s">
        <v>9499</v>
      </c>
      <c r="T2853" t="s">
        <v>13290</v>
      </c>
      <c r="U2853" t="s">
        <v>13290</v>
      </c>
      <c r="V2853" t="s">
        <v>13290</v>
      </c>
      <c r="W2853" t="s">
        <v>16102</v>
      </c>
      <c r="X2853">
        <v>14</v>
      </c>
      <c r="Y2853" t="s">
        <v>22633</v>
      </c>
      <c r="Z2853" t="s">
        <v>29183</v>
      </c>
      <c r="AA2853">
        <v>0.32449527691699681</v>
      </c>
      <c r="AB2853" t="str">
        <f>HYPERLINK("Melting_Curves/meltCurve_P53367_2_ARFIP1.pdf", "Melting_Curves/meltCurve_P53367_2_ARFIP1.pdf")</f>
        <v>Melting_Curves/meltCurve_P53367_2_ARFIP1.pdf</v>
      </c>
    </row>
    <row r="2854" spans="1:28" x14ac:dyDescent="0.25">
      <c r="A2854" t="s">
        <v>2858</v>
      </c>
      <c r="B2854">
        <v>0.99252571173614901</v>
      </c>
      <c r="C2854">
        <v>1.0219841717826601</v>
      </c>
      <c r="D2854">
        <v>0.960790692074449</v>
      </c>
      <c r="E2854">
        <v>0.79010837070384998</v>
      </c>
      <c r="F2854">
        <v>0.687863440498792</v>
      </c>
      <c r="G2854">
        <v>0.39724616711687</v>
      </c>
      <c r="H2854">
        <v>0.14156305650293299</v>
      </c>
      <c r="I2854">
        <v>0.101934356418012</v>
      </c>
      <c r="J2854">
        <v>0.111130038902485</v>
      </c>
      <c r="K2854">
        <v>0.10812814642667</v>
      </c>
      <c r="L2854">
        <v>939.27661806645199</v>
      </c>
      <c r="M2854">
        <v>17.184671374310199</v>
      </c>
      <c r="N2854">
        <v>55.032482860411498</v>
      </c>
      <c r="O2854">
        <v>53.9337692478463</v>
      </c>
      <c r="P2854">
        <v>-7.5263392893192907E-2</v>
      </c>
      <c r="Q2854">
        <v>5.5204960667870499E-2</v>
      </c>
      <c r="R2854">
        <v>0.99041023432721198</v>
      </c>
      <c r="S2854" t="s">
        <v>9500</v>
      </c>
      <c r="T2854" t="s">
        <v>13290</v>
      </c>
      <c r="U2854" t="s">
        <v>13290</v>
      </c>
      <c r="V2854" t="s">
        <v>13290</v>
      </c>
      <c r="W2854" t="s">
        <v>16103</v>
      </c>
      <c r="X2854">
        <v>5</v>
      </c>
      <c r="Y2854" t="s">
        <v>22634</v>
      </c>
      <c r="Z2854" t="s">
        <v>29184</v>
      </c>
      <c r="AA2854">
        <v>0.53259999910382294</v>
      </c>
      <c r="AB2854" t="str">
        <f>HYPERLINK("Melting_Curves/meltCurve_P53370_NUDT6.pdf", "Melting_Curves/meltCurve_P53370_NUDT6.pdf")</f>
        <v>Melting_Curves/meltCurve_P53370_NUDT6.pdf</v>
      </c>
    </row>
    <row r="2855" spans="1:28" x14ac:dyDescent="0.25">
      <c r="A2855" t="s">
        <v>2859</v>
      </c>
      <c r="B2855">
        <v>0.99252571173614901</v>
      </c>
      <c r="C2855">
        <v>1.1163348564742499</v>
      </c>
      <c r="D2855">
        <v>1.0204973959121899</v>
      </c>
      <c r="E2855">
        <v>0.93638831095693098</v>
      </c>
      <c r="F2855">
        <v>0.6300603046969</v>
      </c>
      <c r="G2855">
        <v>0.242439963901803</v>
      </c>
      <c r="H2855">
        <v>0.105834529685016</v>
      </c>
      <c r="I2855">
        <v>9.9658398282009106E-2</v>
      </c>
      <c r="J2855">
        <v>0.107907194467055</v>
      </c>
      <c r="K2855">
        <v>0.118125526785416</v>
      </c>
      <c r="L2855">
        <v>1744.06483384852</v>
      </c>
      <c r="M2855">
        <v>32.430765874854004</v>
      </c>
      <c r="N2855">
        <v>54.159245157251902</v>
      </c>
      <c r="O2855">
        <v>53.574856145163402</v>
      </c>
      <c r="P2855">
        <v>-0.13589373765556301</v>
      </c>
      <c r="Q2855">
        <v>0.102031370715403</v>
      </c>
      <c r="R2855">
        <v>0.99155567054740901</v>
      </c>
      <c r="S2855" t="s">
        <v>9501</v>
      </c>
      <c r="T2855" t="s">
        <v>13290</v>
      </c>
      <c r="U2855" t="s">
        <v>13290</v>
      </c>
      <c r="V2855" t="s">
        <v>13290</v>
      </c>
      <c r="W2855" t="s">
        <v>16104</v>
      </c>
      <c r="X2855">
        <v>8</v>
      </c>
      <c r="Y2855" t="s">
        <v>22635</v>
      </c>
      <c r="Z2855" t="s">
        <v>29185</v>
      </c>
      <c r="AA2855">
        <v>0.51949502099246847</v>
      </c>
      <c r="AB2855" t="str">
        <f>HYPERLINK("Melting_Curves/meltCurve_P53384_2_NUBP1.pdf", "Melting_Curves/meltCurve_P53384_2_NUBP1.pdf")</f>
        <v>Melting_Curves/meltCurve_P53384_2_NUBP1.pdf</v>
      </c>
    </row>
    <row r="2856" spans="1:28" x14ac:dyDescent="0.25">
      <c r="A2856" t="s">
        <v>2860</v>
      </c>
      <c r="B2856">
        <v>0.99252571173614901</v>
      </c>
      <c r="C2856">
        <v>0.80659363489101199</v>
      </c>
      <c r="D2856">
        <v>1.3716868281667001</v>
      </c>
      <c r="E2856">
        <v>1.0977962994186601</v>
      </c>
      <c r="F2856">
        <v>0.43120341444204702</v>
      </c>
      <c r="G2856">
        <v>0.121485759179717</v>
      </c>
      <c r="H2856">
        <v>7.6637518771610805E-2</v>
      </c>
      <c r="I2856">
        <v>6.7471619799498103E-2</v>
      </c>
      <c r="J2856">
        <v>7.3049553180551202E-2</v>
      </c>
      <c r="K2856">
        <v>7.0902407733207107E-2</v>
      </c>
      <c r="L2856">
        <v>11771.600946328501</v>
      </c>
      <c r="M2856">
        <v>221.75830312966499</v>
      </c>
      <c r="N2856">
        <v>53.1258924115333</v>
      </c>
      <c r="O2856">
        <v>53.078716667665198</v>
      </c>
      <c r="P2856">
        <v>-0.95892621328828698</v>
      </c>
      <c r="Q2856">
        <v>8.1909251301307398E-2</v>
      </c>
      <c r="R2856">
        <v>0.91977977535719102</v>
      </c>
      <c r="S2856" t="s">
        <v>9502</v>
      </c>
      <c r="T2856" t="s">
        <v>13290</v>
      </c>
      <c r="U2856" t="s">
        <v>13290</v>
      </c>
      <c r="V2856" t="s">
        <v>13290</v>
      </c>
      <c r="W2856" t="s">
        <v>16105</v>
      </c>
      <c r="X2856">
        <v>51</v>
      </c>
      <c r="Y2856" t="s">
        <v>22636</v>
      </c>
      <c r="Z2856" t="s">
        <v>29186</v>
      </c>
      <c r="AA2856">
        <v>0.48239801653837849</v>
      </c>
      <c r="AB2856" t="str">
        <f>HYPERLINK("Melting_Curves/meltCurve_P53396_ACLY.pdf", "Melting_Curves/meltCurve_P53396_ACLY.pdf")</f>
        <v>Melting_Curves/meltCurve_P53396_ACLY.pdf</v>
      </c>
    </row>
    <row r="2857" spans="1:28" x14ac:dyDescent="0.25">
      <c r="A2857" t="s">
        <v>2861</v>
      </c>
      <c r="B2857">
        <v>0.99252571173614901</v>
      </c>
      <c r="C2857">
        <v>1.07643243987894</v>
      </c>
      <c r="D2857">
        <v>1.17539853989135</v>
      </c>
      <c r="E2857">
        <v>1.6217015606813301</v>
      </c>
      <c r="F2857">
        <v>0.79432431405811399</v>
      </c>
      <c r="G2857">
        <v>0.64966169324235301</v>
      </c>
      <c r="H2857">
        <v>0.82110561822537198</v>
      </c>
      <c r="I2857">
        <v>1.2207465711705301</v>
      </c>
      <c r="J2857">
        <v>1.8384234149810299</v>
      </c>
      <c r="K2857">
        <v>1.69713947881928</v>
      </c>
      <c r="L2857">
        <v>15000</v>
      </c>
      <c r="M2857">
        <v>234.14015441211001</v>
      </c>
      <c r="O2857">
        <v>64.059519021208402</v>
      </c>
      <c r="P2857">
        <v>0.45688009842375199</v>
      </c>
      <c r="Q2857">
        <v>1.5</v>
      </c>
      <c r="R2857">
        <v>0.48482046411088298</v>
      </c>
      <c r="S2857" t="s">
        <v>9503</v>
      </c>
      <c r="T2857" t="s">
        <v>13290</v>
      </c>
      <c r="U2857" t="s">
        <v>13290</v>
      </c>
      <c r="V2857" t="s">
        <v>13290</v>
      </c>
      <c r="W2857" t="s">
        <v>16106</v>
      </c>
      <c r="X2857">
        <v>2</v>
      </c>
      <c r="Y2857" t="s">
        <v>22637</v>
      </c>
      <c r="Z2857" t="s">
        <v>29187</v>
      </c>
      <c r="AA2857">
        <v>1.0988660281390199</v>
      </c>
      <c r="AB2857" t="str">
        <f>HYPERLINK("Melting_Curves/meltCurve_P53567_CEBPG.pdf", "Melting_Curves/meltCurve_P53567_CEBPG.pdf")</f>
        <v>Melting_Curves/meltCurve_P53567_CEBPG.pdf</v>
      </c>
    </row>
    <row r="2858" spans="1:28" x14ac:dyDescent="0.25">
      <c r="A2858" t="s">
        <v>2862</v>
      </c>
      <c r="B2858">
        <v>0.99252571173614901</v>
      </c>
      <c r="C2858">
        <v>0.92152304266531704</v>
      </c>
      <c r="D2858">
        <v>0.48739614265535097</v>
      </c>
      <c r="E2858">
        <v>0.254879838693574</v>
      </c>
      <c r="F2858">
        <v>0.13559645859316599</v>
      </c>
      <c r="G2858">
        <v>7.4299988532813596E-2</v>
      </c>
      <c r="H2858">
        <v>5.0092258207445298E-2</v>
      </c>
      <c r="I2858">
        <v>5.5678476415556899E-2</v>
      </c>
      <c r="J2858">
        <v>6.6184915570183606E-2</v>
      </c>
      <c r="K2858">
        <v>6.0656697718761497E-2</v>
      </c>
      <c r="L2858">
        <v>1112.79137235947</v>
      </c>
      <c r="M2858">
        <v>24.152378346778001</v>
      </c>
      <c r="N2858">
        <v>46.356422617339902</v>
      </c>
      <c r="O2858">
        <v>45.7613970341664</v>
      </c>
      <c r="P2858">
        <v>-0.122915896957089</v>
      </c>
      <c r="Q2858">
        <v>6.8461390405068601E-2</v>
      </c>
      <c r="R2858">
        <v>0.99165172063573204</v>
      </c>
      <c r="S2858" t="s">
        <v>9504</v>
      </c>
      <c r="T2858" t="s">
        <v>13290</v>
      </c>
      <c r="U2858" t="s">
        <v>13290</v>
      </c>
      <c r="V2858" t="s">
        <v>13290</v>
      </c>
      <c r="W2858" t="s">
        <v>16107</v>
      </c>
      <c r="X2858">
        <v>12</v>
      </c>
      <c r="Y2858" t="s">
        <v>22638</v>
      </c>
      <c r="Z2858" t="s">
        <v>29188</v>
      </c>
      <c r="AA2858">
        <v>0.26634227978637848</v>
      </c>
      <c r="AB2858" t="str">
        <f>HYPERLINK("Melting_Curves/meltCurve_P53582_METAP1.pdf", "Melting_Curves/meltCurve_P53582_METAP1.pdf")</f>
        <v>Melting_Curves/meltCurve_P53582_METAP1.pdf</v>
      </c>
    </row>
    <row r="2859" spans="1:28" x14ac:dyDescent="0.25">
      <c r="A2859" t="s">
        <v>2863</v>
      </c>
      <c r="B2859">
        <v>0.99252571173614901</v>
      </c>
      <c r="C2859">
        <v>0.96151855285355003</v>
      </c>
      <c r="D2859">
        <v>1.02865234223421</v>
      </c>
      <c r="E2859">
        <v>0.95799653439779198</v>
      </c>
      <c r="F2859">
        <v>0.17410254318864299</v>
      </c>
      <c r="G2859">
        <v>9.0033213410656607E-2</v>
      </c>
      <c r="H2859">
        <v>5.8179073685844601E-2</v>
      </c>
      <c r="I2859">
        <v>6.1476415757698397E-2</v>
      </c>
      <c r="J2859">
        <v>7.3930116539064103E-2</v>
      </c>
      <c r="K2859">
        <v>6.7880301009749303E-2</v>
      </c>
      <c r="L2859">
        <v>3744.0134493078699</v>
      </c>
      <c r="M2859">
        <v>72.441705090266893</v>
      </c>
      <c r="N2859">
        <v>51.790873106351199</v>
      </c>
      <c r="O2859">
        <v>51.643777742405398</v>
      </c>
      <c r="P2859">
        <v>-0.32615319675285198</v>
      </c>
      <c r="Q2859">
        <v>6.9940177998248199E-2</v>
      </c>
      <c r="R2859">
        <v>0.99848624290365096</v>
      </c>
      <c r="S2859" t="s">
        <v>9505</v>
      </c>
      <c r="T2859" t="s">
        <v>13290</v>
      </c>
      <c r="U2859" t="s">
        <v>13290</v>
      </c>
      <c r="V2859" t="s">
        <v>13290</v>
      </c>
      <c r="W2859" t="s">
        <v>16108</v>
      </c>
      <c r="X2859">
        <v>11</v>
      </c>
      <c r="Y2859" t="s">
        <v>22639</v>
      </c>
      <c r="Z2859" t="s">
        <v>29189</v>
      </c>
      <c r="AA2859">
        <v>0.43314737926902358</v>
      </c>
      <c r="AB2859" t="str">
        <f>HYPERLINK("Melting_Curves/meltCurve_P53597_SUCLG1.pdf", "Melting_Curves/meltCurve_P53597_SUCLG1.pdf")</f>
        <v>Melting_Curves/meltCurve_P53597_SUCLG1.pdf</v>
      </c>
    </row>
    <row r="2860" spans="1:28" x14ac:dyDescent="0.25">
      <c r="A2860" t="s">
        <v>2864</v>
      </c>
      <c r="B2860">
        <v>0.99252571173614901</v>
      </c>
      <c r="C2860">
        <v>1.0435643612827601</v>
      </c>
      <c r="D2860">
        <v>0.98550603934251602</v>
      </c>
      <c r="E2860">
        <v>0.91656008158870295</v>
      </c>
      <c r="F2860">
        <v>0.53622129996882495</v>
      </c>
      <c r="G2860">
        <v>0.129901792070066</v>
      </c>
      <c r="H2860">
        <v>8.3957596488413999E-2</v>
      </c>
      <c r="I2860">
        <v>7.4302236466186194E-2</v>
      </c>
      <c r="J2860">
        <v>8.8111417289032004E-2</v>
      </c>
      <c r="K2860">
        <v>8.8699495403919595E-2</v>
      </c>
      <c r="L2860">
        <v>1988.5798270446501</v>
      </c>
      <c r="M2860">
        <v>37.443252222828498</v>
      </c>
      <c r="N2860">
        <v>53.348814896235702</v>
      </c>
      <c r="O2860">
        <v>52.958360406949701</v>
      </c>
      <c r="P2860">
        <v>-0.16307577935443701</v>
      </c>
      <c r="Q2860">
        <v>7.7408990443258704E-2</v>
      </c>
      <c r="R2860">
        <v>0.99803464641016904</v>
      </c>
      <c r="S2860" t="s">
        <v>9506</v>
      </c>
      <c r="T2860" t="s">
        <v>13290</v>
      </c>
      <c r="U2860" t="s">
        <v>13290</v>
      </c>
      <c r="V2860" t="s">
        <v>13290</v>
      </c>
      <c r="W2860" t="s">
        <v>16109</v>
      </c>
      <c r="X2860">
        <v>19</v>
      </c>
      <c r="Y2860" t="s">
        <v>22640</v>
      </c>
      <c r="Z2860" t="s">
        <v>29190</v>
      </c>
      <c r="AA2860">
        <v>0.48441713062586989</v>
      </c>
      <c r="AB2860" t="str">
        <f>HYPERLINK("Melting_Curves/meltCurve_P53602_MVD.pdf", "Melting_Curves/meltCurve_P53602_MVD.pdf")</f>
        <v>Melting_Curves/meltCurve_P53602_MVD.pdf</v>
      </c>
    </row>
    <row r="2861" spans="1:28" x14ac:dyDescent="0.25">
      <c r="A2861" t="s">
        <v>2865</v>
      </c>
      <c r="B2861">
        <v>0.99252571173614901</v>
      </c>
      <c r="C2861">
        <v>1.0633161745462301</v>
      </c>
      <c r="D2861">
        <v>0.970993850693053</v>
      </c>
      <c r="E2861">
        <v>0.89597553310620703</v>
      </c>
      <c r="F2861">
        <v>0.43731788677754702</v>
      </c>
      <c r="G2861">
        <v>9.7316824438551996E-2</v>
      </c>
      <c r="H2861">
        <v>4.9945208201728097E-2</v>
      </c>
      <c r="I2861">
        <v>3.4539769926855403E-2</v>
      </c>
      <c r="J2861">
        <v>4.8677981616267102E-2</v>
      </c>
      <c r="K2861">
        <v>4.4976743121173002E-2</v>
      </c>
      <c r="L2861">
        <v>1848.08271740957</v>
      </c>
      <c r="M2861">
        <v>35.107468391126503</v>
      </c>
      <c r="N2861">
        <v>52.765597232743403</v>
      </c>
      <c r="O2861">
        <v>52.470809716471898</v>
      </c>
      <c r="P2861">
        <v>-0.160604175303656</v>
      </c>
      <c r="Q2861">
        <v>3.9862213234265503E-2</v>
      </c>
      <c r="R2861">
        <v>0.99742843361841704</v>
      </c>
      <c r="S2861" t="s">
        <v>9507</v>
      </c>
      <c r="T2861" t="s">
        <v>13290</v>
      </c>
      <c r="U2861" t="s">
        <v>13290</v>
      </c>
      <c r="V2861" t="s">
        <v>13290</v>
      </c>
      <c r="W2861" t="s">
        <v>16110</v>
      </c>
      <c r="X2861">
        <v>12</v>
      </c>
      <c r="Y2861" t="s">
        <v>22641</v>
      </c>
      <c r="Z2861" t="s">
        <v>29191</v>
      </c>
      <c r="AA2861">
        <v>0.44895739544631658</v>
      </c>
      <c r="AB2861" t="str">
        <f>HYPERLINK("Melting_Curves/meltCurve_P53609_PGGT1B.pdf", "Melting_Curves/meltCurve_P53609_PGGT1B.pdf")</f>
        <v>Melting_Curves/meltCurve_P53609_PGGT1B.pdf</v>
      </c>
    </row>
    <row r="2862" spans="1:28" x14ac:dyDescent="0.25">
      <c r="A2862" t="s">
        <v>2866</v>
      </c>
      <c r="B2862">
        <v>0.99252571173614901</v>
      </c>
      <c r="C2862">
        <v>0.98904985359440001</v>
      </c>
      <c r="D2862">
        <v>0.90818320178044898</v>
      </c>
      <c r="E2862">
        <v>0.64884417678145001</v>
      </c>
      <c r="F2862">
        <v>0.30049847255085299</v>
      </c>
      <c r="G2862">
        <v>0.122281512121748</v>
      </c>
      <c r="H2862">
        <v>8.7508288556097699E-2</v>
      </c>
      <c r="I2862">
        <v>9.9430064370715707E-2</v>
      </c>
      <c r="J2862">
        <v>0.108609766208107</v>
      </c>
      <c r="K2862">
        <v>9.3786066286137296E-2</v>
      </c>
      <c r="L2862">
        <v>1235.7765913282201</v>
      </c>
      <c r="M2862">
        <v>24.471279610311399</v>
      </c>
      <c r="N2862">
        <v>50.902739614691001</v>
      </c>
      <c r="O2862">
        <v>50.165456118462302</v>
      </c>
      <c r="P2862">
        <v>-0.111198388005271</v>
      </c>
      <c r="Q2862">
        <v>8.8198691403650303E-2</v>
      </c>
      <c r="R2862">
        <v>0.99897785694540597</v>
      </c>
      <c r="S2862" t="s">
        <v>9508</v>
      </c>
      <c r="T2862" t="s">
        <v>13290</v>
      </c>
      <c r="U2862" t="s">
        <v>13290</v>
      </c>
      <c r="V2862" t="s">
        <v>13290</v>
      </c>
      <c r="W2862" t="s">
        <v>16111</v>
      </c>
      <c r="X2862">
        <v>5</v>
      </c>
      <c r="Y2862" t="s">
        <v>22642</v>
      </c>
      <c r="Z2862" t="s">
        <v>29192</v>
      </c>
      <c r="AA2862">
        <v>0.41584822880818451</v>
      </c>
      <c r="AB2862" t="str">
        <f>HYPERLINK("Melting_Curves/meltCurve_P53611_RABGGTB.pdf", "Melting_Curves/meltCurve_P53611_RABGGTB.pdf")</f>
        <v>Melting_Curves/meltCurve_P53611_RABGGTB.pdf</v>
      </c>
    </row>
    <row r="2863" spans="1:28" x14ac:dyDescent="0.25">
      <c r="A2863" t="s">
        <v>2867</v>
      </c>
      <c r="B2863">
        <v>0.99252571173614901</v>
      </c>
      <c r="C2863">
        <v>0.82716225568608603</v>
      </c>
      <c r="D2863">
        <v>1.22289862637432</v>
      </c>
      <c r="E2863">
        <v>1.1467005191191799</v>
      </c>
      <c r="F2863">
        <v>0.57249150152803197</v>
      </c>
      <c r="G2863">
        <v>0.15241989672237199</v>
      </c>
      <c r="H2863">
        <v>9.8118375855829706E-2</v>
      </c>
      <c r="I2863">
        <v>8.6038059491852406E-2</v>
      </c>
      <c r="J2863">
        <v>9.2750551087626004E-2</v>
      </c>
      <c r="K2863">
        <v>9.1200441784225303E-2</v>
      </c>
      <c r="L2863">
        <v>6204.5100724349604</v>
      </c>
      <c r="M2863">
        <v>116.533413954032</v>
      </c>
      <c r="N2863">
        <v>53.349030968320697</v>
      </c>
      <c r="O2863">
        <v>53.2266630890012</v>
      </c>
      <c r="P2863">
        <v>-0.49044306761865802</v>
      </c>
      <c r="Q2863">
        <v>0.10396029155714499</v>
      </c>
      <c r="R2863">
        <v>0.94980717814677895</v>
      </c>
      <c r="S2863" t="s">
        <v>9509</v>
      </c>
      <c r="T2863" t="s">
        <v>13290</v>
      </c>
      <c r="U2863" t="s">
        <v>13290</v>
      </c>
      <c r="V2863" t="s">
        <v>13290</v>
      </c>
      <c r="W2863" t="s">
        <v>15770</v>
      </c>
      <c r="X2863">
        <v>32</v>
      </c>
      <c r="Y2863" t="s">
        <v>22643</v>
      </c>
      <c r="Z2863" t="s">
        <v>29193</v>
      </c>
      <c r="AA2863">
        <v>0.49986761143847491</v>
      </c>
      <c r="AB2863" t="str">
        <f>HYPERLINK("Melting_Curves/meltCurve_P53618_COPB1.pdf", "Melting_Curves/meltCurve_P53618_COPB1.pdf")</f>
        <v>Melting_Curves/meltCurve_P53618_COPB1.pdf</v>
      </c>
    </row>
    <row r="2864" spans="1:28" x14ac:dyDescent="0.25">
      <c r="A2864" t="s">
        <v>2868</v>
      </c>
      <c r="B2864">
        <v>0.99252571173614901</v>
      </c>
      <c r="C2864">
        <v>0.85354892580327002</v>
      </c>
      <c r="D2864">
        <v>1.2930157320394899</v>
      </c>
      <c r="E2864">
        <v>1.24496731873547</v>
      </c>
      <c r="F2864">
        <v>0.545808972351566</v>
      </c>
      <c r="G2864">
        <v>0.140321434131427</v>
      </c>
      <c r="H2864">
        <v>9.46471664695413E-2</v>
      </c>
      <c r="I2864">
        <v>8.7868276147903907E-2</v>
      </c>
      <c r="J2864">
        <v>9.9211718226183396E-2</v>
      </c>
      <c r="K2864">
        <v>0.10519949789831801</v>
      </c>
      <c r="L2864">
        <v>12455.1275988863</v>
      </c>
      <c r="M2864">
        <v>234.14986599429301</v>
      </c>
      <c r="N2864">
        <v>53.246837607263402</v>
      </c>
      <c r="O2864">
        <v>53.189087754123001</v>
      </c>
      <c r="P2864">
        <v>-0.98450104217017298</v>
      </c>
      <c r="Q2864">
        <v>0.10544954223151801</v>
      </c>
      <c r="R2864">
        <v>0.92690165821181703</v>
      </c>
      <c r="S2864" t="s">
        <v>9510</v>
      </c>
      <c r="T2864" t="s">
        <v>13290</v>
      </c>
      <c r="U2864" t="s">
        <v>13290</v>
      </c>
      <c r="V2864" t="s">
        <v>13290</v>
      </c>
      <c r="W2864" t="s">
        <v>16112</v>
      </c>
      <c r="X2864">
        <v>56</v>
      </c>
      <c r="Y2864" t="s">
        <v>22644</v>
      </c>
      <c r="Z2864" t="s">
        <v>29194</v>
      </c>
      <c r="AA2864">
        <v>0.4989374229687516</v>
      </c>
      <c r="AB2864" t="str">
        <f>HYPERLINK("Melting_Curves/meltCurve_P53621_COPA.pdf", "Melting_Curves/meltCurve_P53621_COPA.pdf")</f>
        <v>Melting_Curves/meltCurve_P53621_COPA.pdf</v>
      </c>
    </row>
    <row r="2865" spans="1:28" x14ac:dyDescent="0.25">
      <c r="A2865" t="s">
        <v>2869</v>
      </c>
      <c r="B2865">
        <v>0.99252571173614901</v>
      </c>
      <c r="C2865">
        <v>0.97779049966707099</v>
      </c>
      <c r="D2865">
        <v>1.0885667001525099</v>
      </c>
      <c r="E2865">
        <v>1.0134605804835699</v>
      </c>
      <c r="F2865">
        <v>1.0564627792030299</v>
      </c>
      <c r="G2865">
        <v>0.85291318704759</v>
      </c>
      <c r="H2865">
        <v>0.77483710609730205</v>
      </c>
      <c r="I2865">
        <v>0.48066293776583802</v>
      </c>
      <c r="J2865">
        <v>0.453494941354598</v>
      </c>
      <c r="K2865">
        <v>0.37036389011008802</v>
      </c>
      <c r="L2865">
        <v>1470.8728417795201</v>
      </c>
      <c r="M2865">
        <v>23.8858786433705</v>
      </c>
      <c r="N2865">
        <v>64.702769626811204</v>
      </c>
      <c r="O2865">
        <v>61.152434246172703</v>
      </c>
      <c r="P2865">
        <v>-6.42370635661388E-2</v>
      </c>
      <c r="Q2865">
        <v>0.34217379889940902</v>
      </c>
      <c r="R2865">
        <v>0.96275203103610296</v>
      </c>
      <c r="S2865" t="s">
        <v>9511</v>
      </c>
      <c r="T2865" t="s">
        <v>13290</v>
      </c>
      <c r="U2865" t="s">
        <v>13290</v>
      </c>
      <c r="V2865" t="s">
        <v>13290</v>
      </c>
      <c r="W2865" t="s">
        <v>16113</v>
      </c>
      <c r="X2865">
        <v>14</v>
      </c>
      <c r="Y2865" t="s">
        <v>22645</v>
      </c>
      <c r="Z2865" t="s">
        <v>29195</v>
      </c>
      <c r="AA2865">
        <v>0.81886568606612675</v>
      </c>
      <c r="AB2865" t="str">
        <f>HYPERLINK("Melting_Curves/meltCurve_P53634_CTSC.pdf", "Melting_Curves/meltCurve_P53634_CTSC.pdf")</f>
        <v>Melting_Curves/meltCurve_P53634_CTSC.pdf</v>
      </c>
    </row>
    <row r="2866" spans="1:28" x14ac:dyDescent="0.25">
      <c r="A2866" t="s">
        <v>2870</v>
      </c>
      <c r="B2866">
        <v>0.99252571173614901</v>
      </c>
      <c r="C2866">
        <v>0.94513880335611899</v>
      </c>
      <c r="D2866">
        <v>1.00636529820751</v>
      </c>
      <c r="E2866">
        <v>0.7661529911953</v>
      </c>
      <c r="F2866">
        <v>0.33252573025314702</v>
      </c>
      <c r="G2866">
        <v>0.17595029203384299</v>
      </c>
      <c r="H2866">
        <v>0.13921413420311901</v>
      </c>
      <c r="I2866">
        <v>0.111334197861443</v>
      </c>
      <c r="J2866">
        <v>9.5865764965419001E-2</v>
      </c>
      <c r="K2866">
        <v>7.4928823449400897E-2</v>
      </c>
      <c r="L2866">
        <v>1518.65653999916</v>
      </c>
      <c r="M2866">
        <v>29.5687697803235</v>
      </c>
      <c r="N2866">
        <v>51.774488429420401</v>
      </c>
      <c r="O2866">
        <v>51.126971654446002</v>
      </c>
      <c r="P2866">
        <v>-0.12935267939464901</v>
      </c>
      <c r="Q2866">
        <v>0.10535838424511899</v>
      </c>
      <c r="R2866">
        <v>0.99593586751611596</v>
      </c>
      <c r="S2866" t="s">
        <v>9512</v>
      </c>
      <c r="T2866" t="s">
        <v>13290</v>
      </c>
      <c r="U2866" t="s">
        <v>13290</v>
      </c>
      <c r="V2866" t="s">
        <v>13290</v>
      </c>
      <c r="W2866" t="s">
        <v>16114</v>
      </c>
      <c r="X2866">
        <v>9</v>
      </c>
      <c r="Y2866" t="s">
        <v>22646</v>
      </c>
      <c r="Z2866" t="s">
        <v>29196</v>
      </c>
      <c r="AA2866">
        <v>0.44995786768960921</v>
      </c>
      <c r="AB2866" t="str">
        <f>HYPERLINK("Melting_Curves/meltCurve_P53677_AP3M2.pdf", "Melting_Curves/meltCurve_P53677_AP3M2.pdf")</f>
        <v>Melting_Curves/meltCurve_P53677_AP3M2.pdf</v>
      </c>
    </row>
    <row r="2867" spans="1:28" x14ac:dyDescent="0.25">
      <c r="A2867" t="s">
        <v>2871</v>
      </c>
      <c r="B2867">
        <v>0.99252571173614901</v>
      </c>
      <c r="C2867">
        <v>0.95230495287140404</v>
      </c>
      <c r="D2867">
        <v>0.92241887961816604</v>
      </c>
      <c r="E2867">
        <v>0.95030156100305396</v>
      </c>
      <c r="F2867">
        <v>0.61865940761244598</v>
      </c>
      <c r="G2867">
        <v>0.390077224730834</v>
      </c>
      <c r="H2867">
        <v>0.22924107643619801</v>
      </c>
      <c r="I2867">
        <v>0.18708218153196701</v>
      </c>
      <c r="J2867">
        <v>0.212004730858049</v>
      </c>
      <c r="K2867">
        <v>0.19434261468751901</v>
      </c>
      <c r="L2867">
        <v>1284.87331415774</v>
      </c>
      <c r="M2867">
        <v>23.894846321318401</v>
      </c>
      <c r="N2867">
        <v>54.866102335572997</v>
      </c>
      <c r="O2867">
        <v>53.3996117967937</v>
      </c>
      <c r="P2867">
        <v>-9.0667847323202003E-2</v>
      </c>
      <c r="Q2867">
        <v>0.18952394184283999</v>
      </c>
      <c r="R2867">
        <v>0.99108552790988003</v>
      </c>
      <c r="S2867" t="s">
        <v>9513</v>
      </c>
      <c r="T2867" t="s">
        <v>13290</v>
      </c>
      <c r="U2867" t="s">
        <v>13290</v>
      </c>
      <c r="V2867" t="s">
        <v>13290</v>
      </c>
      <c r="W2867" t="s">
        <v>16115</v>
      </c>
      <c r="X2867">
        <v>13</v>
      </c>
      <c r="Y2867" t="s">
        <v>22647</v>
      </c>
      <c r="Z2867" t="s">
        <v>29197</v>
      </c>
      <c r="AA2867">
        <v>0.56972245710022451</v>
      </c>
      <c r="AB2867" t="str">
        <f>HYPERLINK("Melting_Curves/meltCurve_P53701_HCCS.pdf", "Melting_Curves/meltCurve_P53701_HCCS.pdf")</f>
        <v>Melting_Curves/meltCurve_P53701_HCCS.pdf</v>
      </c>
    </row>
    <row r="2868" spans="1:28" x14ac:dyDescent="0.25">
      <c r="A2868" t="s">
        <v>2872</v>
      </c>
      <c r="B2868">
        <v>0.99252571173614901</v>
      </c>
      <c r="C2868">
        <v>1.0718844112749999</v>
      </c>
      <c r="D2868">
        <v>0.95961551619298002</v>
      </c>
      <c r="E2868">
        <v>0.77259479206590198</v>
      </c>
      <c r="F2868">
        <v>0.45850873142293802</v>
      </c>
      <c r="G2868">
        <v>0.10676878169333701</v>
      </c>
      <c r="H2868">
        <v>6.3206087947827699E-2</v>
      </c>
      <c r="I2868">
        <v>4.6582713166924201E-2</v>
      </c>
      <c r="J2868">
        <v>4.2900032206691703E-2</v>
      </c>
      <c r="K2868">
        <v>4.4037409719842303E-2</v>
      </c>
      <c r="L2868">
        <v>1288.8495923852599</v>
      </c>
      <c r="M2868">
        <v>24.6330502175399</v>
      </c>
      <c r="N2868">
        <v>52.461673687237898</v>
      </c>
      <c r="O2868">
        <v>51.9807959370441</v>
      </c>
      <c r="P2868">
        <v>-0.114713005447831</v>
      </c>
      <c r="Q2868">
        <v>3.1741790157705903E-2</v>
      </c>
      <c r="R2868">
        <v>0.99410631905778302</v>
      </c>
      <c r="S2868" t="s">
        <v>9514</v>
      </c>
      <c r="T2868" t="s">
        <v>13290</v>
      </c>
      <c r="U2868" t="s">
        <v>13290</v>
      </c>
      <c r="V2868" t="s">
        <v>13290</v>
      </c>
      <c r="W2868" t="s">
        <v>16116</v>
      </c>
      <c r="X2868">
        <v>4</v>
      </c>
      <c r="Y2868" t="s">
        <v>22648</v>
      </c>
      <c r="Z2868" t="s">
        <v>29198</v>
      </c>
      <c r="AA2868">
        <v>0.43855617175958811</v>
      </c>
      <c r="AB2868" t="str">
        <f>HYPERLINK("Melting_Curves/meltCurve_P53778_MAPK12.pdf", "Melting_Curves/meltCurve_P53778_MAPK12.pdf")</f>
        <v>Melting_Curves/meltCurve_P53778_MAPK12.pdf</v>
      </c>
    </row>
    <row r="2869" spans="1:28" x14ac:dyDescent="0.25">
      <c r="A2869" t="s">
        <v>2873</v>
      </c>
      <c r="B2869">
        <v>0.99252571173614901</v>
      </c>
      <c r="C2869">
        <v>1.0641918228851399</v>
      </c>
      <c r="D2869">
        <v>0.91899565344244505</v>
      </c>
      <c r="E2869">
        <v>0.81036873333162496</v>
      </c>
      <c r="F2869">
        <v>0.75154019375376901</v>
      </c>
      <c r="G2869">
        <v>0.63914564404044105</v>
      </c>
      <c r="H2869">
        <v>0.51413530112037198</v>
      </c>
      <c r="I2869">
        <v>0.57574489299026499</v>
      </c>
      <c r="J2869">
        <v>0.65086749511775999</v>
      </c>
      <c r="K2869">
        <v>0.61221019338240301</v>
      </c>
      <c r="L2869">
        <v>955.241961851459</v>
      </c>
      <c r="M2869">
        <v>18.862087551172401</v>
      </c>
      <c r="O2869">
        <v>50.084552625887603</v>
      </c>
      <c r="P2869">
        <v>-3.8825148033911697E-2</v>
      </c>
      <c r="Q2869">
        <v>0.58764683020096697</v>
      </c>
      <c r="R2869">
        <v>0.930575213593133</v>
      </c>
      <c r="S2869" t="s">
        <v>9515</v>
      </c>
      <c r="T2869" t="s">
        <v>13290</v>
      </c>
      <c r="U2869" t="s">
        <v>13290</v>
      </c>
      <c r="V2869" t="s">
        <v>13290</v>
      </c>
      <c r="W2869" t="s">
        <v>16117</v>
      </c>
      <c r="X2869">
        <v>3</v>
      </c>
      <c r="Y2869" t="s">
        <v>22649</v>
      </c>
      <c r="Z2869" t="s">
        <v>29199</v>
      </c>
      <c r="AA2869">
        <v>0.74034033303689994</v>
      </c>
      <c r="AB2869" t="str">
        <f>HYPERLINK("Melting_Curves/meltCurve_P53794_SLC5A3.pdf", "Melting_Curves/meltCurve_P53794_SLC5A3.pdf")</f>
        <v>Melting_Curves/meltCurve_P53794_SLC5A3.pdf</v>
      </c>
    </row>
    <row r="2870" spans="1:28" x14ac:dyDescent="0.25">
      <c r="A2870" t="s">
        <v>2874</v>
      </c>
      <c r="B2870">
        <v>0.99252571173614901</v>
      </c>
      <c r="C2870">
        <v>1.0594308850269301</v>
      </c>
      <c r="D2870">
        <v>1.0222479312633299</v>
      </c>
      <c r="E2870">
        <v>0.84091535060017897</v>
      </c>
      <c r="F2870">
        <v>0.92989817036382105</v>
      </c>
      <c r="G2870">
        <v>0.70168734405912303</v>
      </c>
      <c r="H2870">
        <v>0.58292030210550905</v>
      </c>
      <c r="I2870">
        <v>0.53656659511846505</v>
      </c>
      <c r="J2870">
        <v>0.62683430670200102</v>
      </c>
      <c r="K2870">
        <v>0.49379295797941403</v>
      </c>
      <c r="L2870">
        <v>1000.3951483181399</v>
      </c>
      <c r="M2870">
        <v>17.979246295625099</v>
      </c>
      <c r="O2870">
        <v>54.967010919418698</v>
      </c>
      <c r="P2870">
        <v>-3.9098169490625799E-2</v>
      </c>
      <c r="Q2870">
        <v>0.52189251934729697</v>
      </c>
      <c r="R2870">
        <v>0.920650531538318</v>
      </c>
      <c r="S2870" t="s">
        <v>9516</v>
      </c>
      <c r="T2870" t="s">
        <v>13290</v>
      </c>
      <c r="U2870" t="s">
        <v>13290</v>
      </c>
      <c r="V2870" t="s">
        <v>13290</v>
      </c>
      <c r="W2870" t="s">
        <v>16118</v>
      </c>
      <c r="X2870">
        <v>3</v>
      </c>
      <c r="Y2870" t="s">
        <v>22650</v>
      </c>
      <c r="Z2870" t="s">
        <v>29200</v>
      </c>
      <c r="AA2870">
        <v>0.77836565217162967</v>
      </c>
      <c r="AB2870" t="str">
        <f>HYPERLINK("Melting_Curves/meltCurve_P53803_POLR2K.pdf", "Melting_Curves/meltCurve_P53803_POLR2K.pdf")</f>
        <v>Melting_Curves/meltCurve_P53803_POLR2K.pdf</v>
      </c>
    </row>
    <row r="2871" spans="1:28" x14ac:dyDescent="0.25">
      <c r="A2871" t="s">
        <v>2875</v>
      </c>
      <c r="B2871">
        <v>0.99252571173614901</v>
      </c>
      <c r="C2871">
        <v>0.97059520293733503</v>
      </c>
      <c r="D2871">
        <v>0.74736050789723596</v>
      </c>
      <c r="E2871">
        <v>0.50191669575313103</v>
      </c>
      <c r="F2871">
        <v>0.210894891795815</v>
      </c>
      <c r="G2871">
        <v>0.12628943649580701</v>
      </c>
      <c r="H2871">
        <v>9.9627115501825694E-2</v>
      </c>
      <c r="I2871">
        <v>0.114847715015976</v>
      </c>
      <c r="J2871">
        <v>0.149426422663231</v>
      </c>
      <c r="K2871">
        <v>0.16579024449876001</v>
      </c>
      <c r="L2871">
        <v>1033.7755820058501</v>
      </c>
      <c r="M2871">
        <v>21.3197578889515</v>
      </c>
      <c r="N2871">
        <v>49.1191417098877</v>
      </c>
      <c r="O2871">
        <v>48.068527458580903</v>
      </c>
      <c r="P2871">
        <v>-9.7619472818196204E-2</v>
      </c>
      <c r="Q2871">
        <v>0.11963251354144901</v>
      </c>
      <c r="R2871">
        <v>0.991995219362234</v>
      </c>
      <c r="S2871" t="s">
        <v>9517</v>
      </c>
      <c r="T2871" t="s">
        <v>13290</v>
      </c>
      <c r="U2871" t="s">
        <v>13290</v>
      </c>
      <c r="V2871" t="s">
        <v>13290</v>
      </c>
      <c r="W2871" t="s">
        <v>16119</v>
      </c>
      <c r="X2871">
        <v>15</v>
      </c>
      <c r="Y2871" t="s">
        <v>22651</v>
      </c>
      <c r="Z2871" t="s">
        <v>29201</v>
      </c>
      <c r="AA2871">
        <v>0.3796091426463164</v>
      </c>
      <c r="AB2871" t="str">
        <f>HYPERLINK("Melting_Curves/meltCurve_P53814_5_SMTN.pdf", "Melting_Curves/meltCurve_P53814_5_SMTN.pdf")</f>
        <v>Melting_Curves/meltCurve_P53814_5_SMTN.pdf</v>
      </c>
    </row>
    <row r="2872" spans="1:28" x14ac:dyDescent="0.25">
      <c r="A2872" t="s">
        <v>2876</v>
      </c>
      <c r="B2872">
        <v>0.99252571173614901</v>
      </c>
      <c r="C2872">
        <v>0.90697653815528601</v>
      </c>
      <c r="D2872">
        <v>0.79678412683425903</v>
      </c>
      <c r="E2872">
        <v>0.61445038772955995</v>
      </c>
      <c r="F2872">
        <v>0.45440080448366199</v>
      </c>
      <c r="G2872">
        <v>0.32345427223397999</v>
      </c>
      <c r="H2872">
        <v>0.22216427197507399</v>
      </c>
      <c r="I2872">
        <v>0.20155852775455901</v>
      </c>
      <c r="J2872">
        <v>0.23885398863756099</v>
      </c>
      <c r="K2872">
        <v>0.22489084442847301</v>
      </c>
      <c r="L2872">
        <v>672.74917791569897</v>
      </c>
      <c r="M2872">
        <v>13.472627066324799</v>
      </c>
      <c r="N2872">
        <v>51.753800061941902</v>
      </c>
      <c r="O2872">
        <v>48.872886702312698</v>
      </c>
      <c r="P2872">
        <v>-5.5926185971180299E-2</v>
      </c>
      <c r="Q2872">
        <v>0.188620291229847</v>
      </c>
      <c r="R2872">
        <v>0.99546415533412402</v>
      </c>
      <c r="S2872" t="s">
        <v>9518</v>
      </c>
      <c r="T2872" t="s">
        <v>13290</v>
      </c>
      <c r="U2872" t="s">
        <v>13290</v>
      </c>
      <c r="V2872" t="s">
        <v>13290</v>
      </c>
      <c r="W2872" t="s">
        <v>16120</v>
      </c>
      <c r="X2872">
        <v>2</v>
      </c>
      <c r="Y2872" t="s">
        <v>22652</v>
      </c>
      <c r="Z2872" t="s">
        <v>29202</v>
      </c>
      <c r="AA2872">
        <v>0.48066336629415829</v>
      </c>
      <c r="AB2872" t="str">
        <f>HYPERLINK("Melting_Curves/meltCurve_P53816_PLA2G16.pdf", "Melting_Curves/meltCurve_P53816_PLA2G16.pdf")</f>
        <v>Melting_Curves/meltCurve_P53816_PLA2G16.pdf</v>
      </c>
    </row>
    <row r="2873" spans="1:28" x14ac:dyDescent="0.25">
      <c r="A2873" t="s">
        <v>2877</v>
      </c>
      <c r="B2873">
        <v>0.99252571173614901</v>
      </c>
      <c r="C2873">
        <v>0.87318867254350996</v>
      </c>
      <c r="D2873">
        <v>0.81543185224799797</v>
      </c>
      <c r="E2873">
        <v>0.97986411039570998</v>
      </c>
      <c r="F2873">
        <v>0.76615997549297199</v>
      </c>
      <c r="G2873">
        <v>0.55266456048513002</v>
      </c>
      <c r="H2873">
        <v>0.59211746618469896</v>
      </c>
      <c r="I2873">
        <v>0.84677326186841995</v>
      </c>
      <c r="J2873">
        <v>1.46640403637886</v>
      </c>
      <c r="K2873">
        <v>1.2044460894086799</v>
      </c>
      <c r="L2873">
        <v>10100.781165869899</v>
      </c>
      <c r="M2873">
        <v>250</v>
      </c>
      <c r="O2873">
        <v>40.400538034525397</v>
      </c>
      <c r="P2873">
        <v>-0.155207980795149</v>
      </c>
      <c r="Q2873">
        <v>0.899672222490284</v>
      </c>
      <c r="R2873">
        <v>1.15523684742148E-2</v>
      </c>
      <c r="S2873" t="s">
        <v>9519</v>
      </c>
      <c r="T2873" t="s">
        <v>13290</v>
      </c>
      <c r="U2873" t="s">
        <v>13290</v>
      </c>
      <c r="V2873" t="s">
        <v>13290</v>
      </c>
      <c r="W2873" t="s">
        <v>16121</v>
      </c>
      <c r="X2873">
        <v>8</v>
      </c>
      <c r="Y2873" t="s">
        <v>22653</v>
      </c>
      <c r="Z2873" t="s">
        <v>29203</v>
      </c>
      <c r="AA2873">
        <v>0.90106817605401868</v>
      </c>
      <c r="AB2873" t="str">
        <f>HYPERLINK("Melting_Curves/meltCurve_P53985_SLC16A1.pdf", "Melting_Curves/meltCurve_P53985_SLC16A1.pdf")</f>
        <v>Melting_Curves/meltCurve_P53985_SLC16A1.pdf</v>
      </c>
    </row>
    <row r="2874" spans="1:28" x14ac:dyDescent="0.25">
      <c r="A2874" t="s">
        <v>2878</v>
      </c>
      <c r="B2874">
        <v>0.99252571173614901</v>
      </c>
      <c r="C2874">
        <v>1.0921044476542601</v>
      </c>
      <c r="D2874">
        <v>0.96411132880496897</v>
      </c>
      <c r="E2874">
        <v>0.628242993948958</v>
      </c>
      <c r="F2874">
        <v>0.22025259965045399</v>
      </c>
      <c r="G2874">
        <v>0.16382455646865099</v>
      </c>
      <c r="H2874">
        <v>0.14156419950249899</v>
      </c>
      <c r="I2874">
        <v>0.16580929565986599</v>
      </c>
      <c r="J2874">
        <v>0.20685841245314299</v>
      </c>
      <c r="K2874">
        <v>0.175109187767922</v>
      </c>
      <c r="L2874">
        <v>2134.8664344291301</v>
      </c>
      <c r="M2874">
        <v>42.839220224186597</v>
      </c>
      <c r="N2874">
        <v>50.320950314451899</v>
      </c>
      <c r="O2874">
        <v>49.726167870351901</v>
      </c>
      <c r="P2874">
        <v>-0.17885453419202099</v>
      </c>
      <c r="Q2874">
        <v>0.16957069425694099</v>
      </c>
      <c r="R2874">
        <v>0.99222602101885105</v>
      </c>
      <c r="S2874" t="s">
        <v>9520</v>
      </c>
      <c r="T2874" t="s">
        <v>13290</v>
      </c>
      <c r="U2874" t="s">
        <v>13290</v>
      </c>
      <c r="V2874" t="s">
        <v>13290</v>
      </c>
      <c r="W2874" t="s">
        <v>16122</v>
      </c>
      <c r="X2874">
        <v>10</v>
      </c>
      <c r="Y2874" t="s">
        <v>22654</v>
      </c>
      <c r="Z2874" t="s">
        <v>29204</v>
      </c>
      <c r="AA2874">
        <v>0.44428831123346779</v>
      </c>
      <c r="AB2874" t="str">
        <f>HYPERLINK("Melting_Curves/meltCurve_P53990_2_IST1.pdf", "Melting_Curves/meltCurve_P53990_2_IST1.pdf")</f>
        <v>Melting_Curves/meltCurve_P53990_2_IST1.pdf</v>
      </c>
    </row>
    <row r="2875" spans="1:28" x14ac:dyDescent="0.25">
      <c r="A2875" t="s">
        <v>2879</v>
      </c>
      <c r="B2875">
        <v>0.99252571173614901</v>
      </c>
      <c r="C2875">
        <v>0.86793829707635295</v>
      </c>
      <c r="D2875">
        <v>0.95124461661098503</v>
      </c>
      <c r="E2875">
        <v>0.55553443119220003</v>
      </c>
      <c r="F2875">
        <v>0.138091245421572</v>
      </c>
      <c r="G2875">
        <v>8.2268290038013198E-2</v>
      </c>
      <c r="H2875">
        <v>6.1025474476883397E-2</v>
      </c>
      <c r="I2875">
        <v>6.5138684008350295E-2</v>
      </c>
      <c r="J2875">
        <v>6.5804831543060896E-2</v>
      </c>
      <c r="K2875">
        <v>7.2761260700898098E-2</v>
      </c>
      <c r="L2875">
        <v>1739.1217524751</v>
      </c>
      <c r="M2875">
        <v>34.985499394095903</v>
      </c>
      <c r="N2875">
        <v>49.907851651156498</v>
      </c>
      <c r="O2875">
        <v>49.5482165711582</v>
      </c>
      <c r="P2875">
        <v>-0.165082060306595</v>
      </c>
      <c r="Q2875">
        <v>6.4813405578873398E-2</v>
      </c>
      <c r="R2875">
        <v>0.98883778697288904</v>
      </c>
      <c r="S2875" t="s">
        <v>9521</v>
      </c>
      <c r="T2875" t="s">
        <v>13290</v>
      </c>
      <c r="U2875" t="s">
        <v>13290</v>
      </c>
      <c r="V2875" t="s">
        <v>13290</v>
      </c>
      <c r="W2875" t="s">
        <v>16123</v>
      </c>
      <c r="X2875">
        <v>29</v>
      </c>
      <c r="Y2875" t="s">
        <v>22655</v>
      </c>
      <c r="Z2875" t="s">
        <v>29205</v>
      </c>
      <c r="AA2875">
        <v>0.3717107004858638</v>
      </c>
      <c r="AB2875" t="str">
        <f>HYPERLINK("Melting_Curves/meltCurve_P53992_SEC24C.pdf", "Melting_Curves/meltCurve_P53992_SEC24C.pdf")</f>
        <v>Melting_Curves/meltCurve_P53992_SEC24C.pdf</v>
      </c>
    </row>
    <row r="2876" spans="1:28" x14ac:dyDescent="0.25">
      <c r="A2876" t="s">
        <v>2880</v>
      </c>
      <c r="B2876">
        <v>0.99252571173614901</v>
      </c>
      <c r="C2876">
        <v>1.08454311869738</v>
      </c>
      <c r="D2876">
        <v>0.88440971319606898</v>
      </c>
      <c r="E2876">
        <v>0.85610610221637795</v>
      </c>
      <c r="F2876">
        <v>0.67835267240010799</v>
      </c>
      <c r="G2876">
        <v>0.46620598199494301</v>
      </c>
      <c r="H2876">
        <v>0.27461119129338901</v>
      </c>
      <c r="I2876">
        <v>0.24494999381677501</v>
      </c>
      <c r="J2876">
        <v>0.32044778842240101</v>
      </c>
      <c r="K2876">
        <v>0.32268126121845297</v>
      </c>
      <c r="L2876">
        <v>1028.54241299609</v>
      </c>
      <c r="M2876">
        <v>19.233815235310999</v>
      </c>
      <c r="N2876">
        <v>55.703065278771803</v>
      </c>
      <c r="O2876">
        <v>52.907715655200398</v>
      </c>
      <c r="P2876">
        <v>-6.6503981069820806E-2</v>
      </c>
      <c r="Q2876">
        <v>0.268280119263132</v>
      </c>
      <c r="R2876">
        <v>0.97188324863270004</v>
      </c>
      <c r="S2876" t="s">
        <v>9522</v>
      </c>
      <c r="T2876" t="s">
        <v>13290</v>
      </c>
      <c r="U2876" t="s">
        <v>13290</v>
      </c>
      <c r="V2876" t="s">
        <v>13290</v>
      </c>
      <c r="W2876" t="s">
        <v>16124</v>
      </c>
      <c r="X2876">
        <v>13</v>
      </c>
      <c r="Y2876" t="s">
        <v>22656</v>
      </c>
      <c r="Z2876" t="s">
        <v>29206</v>
      </c>
      <c r="AA2876">
        <v>0.60764185930545977</v>
      </c>
      <c r="AB2876" t="str">
        <f>HYPERLINK("Melting_Curves/meltCurve_P53999_SUB1.pdf", "Melting_Curves/meltCurve_P53999_SUB1.pdf")</f>
        <v>Melting_Curves/meltCurve_P53999_SUB1.pdf</v>
      </c>
    </row>
    <row r="2877" spans="1:28" x14ac:dyDescent="0.25">
      <c r="A2877" t="s">
        <v>2881</v>
      </c>
      <c r="B2877">
        <v>0.99252571173614901</v>
      </c>
      <c r="C2877">
        <v>0.81344900014468502</v>
      </c>
      <c r="D2877">
        <v>0.58988905971597505</v>
      </c>
      <c r="E2877">
        <v>0.39007998357579299</v>
      </c>
      <c r="F2877">
        <v>0.18252692828071199</v>
      </c>
      <c r="G2877">
        <v>0.117959722208225</v>
      </c>
      <c r="H2877">
        <v>7.6592521076237097E-2</v>
      </c>
      <c r="I2877">
        <v>0.10547913784653599</v>
      </c>
      <c r="J2877">
        <v>0.117869449293892</v>
      </c>
      <c r="K2877">
        <v>0.14388291617384999</v>
      </c>
      <c r="L2877">
        <v>788.39859565450695</v>
      </c>
      <c r="M2877">
        <v>16.875548013747299</v>
      </c>
      <c r="N2877">
        <v>47.333370153911197</v>
      </c>
      <c r="O2877">
        <v>46.0771666670502</v>
      </c>
      <c r="P2877">
        <v>-8.2553240373136993E-2</v>
      </c>
      <c r="Q2877">
        <v>9.8440593604928905E-2</v>
      </c>
      <c r="R2877">
        <v>0.99082994427755999</v>
      </c>
      <c r="S2877" t="s">
        <v>9523</v>
      </c>
      <c r="T2877" t="s">
        <v>13290</v>
      </c>
      <c r="U2877" t="s">
        <v>13290</v>
      </c>
      <c r="V2877" t="s">
        <v>13290</v>
      </c>
      <c r="W2877" t="s">
        <v>16125</v>
      </c>
      <c r="X2877">
        <v>4</v>
      </c>
      <c r="Y2877" t="s">
        <v>22657</v>
      </c>
      <c r="Z2877" t="s">
        <v>29207</v>
      </c>
      <c r="AA2877">
        <v>0.31977309321279801</v>
      </c>
      <c r="AB2877" t="str">
        <f>HYPERLINK("Melting_Curves/meltCurve_P54098_POLG.pdf", "Melting_Curves/meltCurve_P54098_POLG.pdf")</f>
        <v>Melting_Curves/meltCurve_P54098_POLG.pdf</v>
      </c>
    </row>
    <row r="2878" spans="1:28" x14ac:dyDescent="0.25">
      <c r="A2878" t="s">
        <v>2882</v>
      </c>
      <c r="B2878">
        <v>0.99252571173614901</v>
      </c>
      <c r="C2878">
        <v>0.92017396427764997</v>
      </c>
      <c r="D2878">
        <v>0.61807647582463698</v>
      </c>
      <c r="E2878">
        <v>0.253106431476113</v>
      </c>
      <c r="F2878">
        <v>0.14544635501412301</v>
      </c>
      <c r="G2878">
        <v>9.0755391550974798E-2</v>
      </c>
      <c r="H2878">
        <v>6.92033790203396E-2</v>
      </c>
      <c r="I2878">
        <v>7.2847542822511602E-2</v>
      </c>
      <c r="J2878">
        <v>8.3987413560552698E-2</v>
      </c>
      <c r="K2878">
        <v>8.8390431252864998E-2</v>
      </c>
      <c r="L2878">
        <v>1161.0774969886299</v>
      </c>
      <c r="M2878">
        <v>24.867371024466902</v>
      </c>
      <c r="N2878">
        <v>47.027454970236697</v>
      </c>
      <c r="O2878">
        <v>46.3920022662763</v>
      </c>
      <c r="P2878">
        <v>-0.12308224222221199</v>
      </c>
      <c r="Q2878">
        <v>8.1534903941252998E-2</v>
      </c>
      <c r="R2878">
        <v>0.99908906591847901</v>
      </c>
      <c r="S2878" t="s">
        <v>9524</v>
      </c>
      <c r="T2878" t="s">
        <v>13290</v>
      </c>
      <c r="U2878" t="s">
        <v>13290</v>
      </c>
      <c r="V2878" t="s">
        <v>13290</v>
      </c>
      <c r="W2878" t="s">
        <v>16126</v>
      </c>
      <c r="X2878">
        <v>25</v>
      </c>
      <c r="Y2878" t="s">
        <v>22658</v>
      </c>
      <c r="Z2878" t="s">
        <v>29208</v>
      </c>
      <c r="AA2878">
        <v>0.29473640292113779</v>
      </c>
      <c r="AB2878" t="str">
        <f>HYPERLINK("Melting_Curves/meltCurve_P54136_RARS.pdf", "Melting_Curves/meltCurve_P54136_RARS.pdf")</f>
        <v>Melting_Curves/meltCurve_P54136_RARS.pdf</v>
      </c>
    </row>
    <row r="2879" spans="1:28" x14ac:dyDescent="0.25">
      <c r="A2879" t="s">
        <v>2883</v>
      </c>
      <c r="B2879">
        <v>0.99252571173614901</v>
      </c>
      <c r="C2879">
        <v>0.99001698969716201</v>
      </c>
      <c r="D2879">
        <v>0.53133553117449905</v>
      </c>
      <c r="E2879">
        <v>0.148943114158017</v>
      </c>
      <c r="F2879">
        <v>7.4532650438502795E-2</v>
      </c>
      <c r="G2879">
        <v>3.5495832593877397E-2</v>
      </c>
      <c r="H2879">
        <v>2.8968557053202001E-2</v>
      </c>
      <c r="I2879">
        <v>3.06029299814423E-2</v>
      </c>
      <c r="J2879">
        <v>2.6433557678086101E-2</v>
      </c>
      <c r="K2879">
        <v>3.1497659883142799E-2</v>
      </c>
      <c r="L2879">
        <v>1644.7284665681</v>
      </c>
      <c r="M2879">
        <v>35.616253569226203</v>
      </c>
      <c r="N2879">
        <v>46.287730906740101</v>
      </c>
      <c r="O2879">
        <v>46.034297058539401</v>
      </c>
      <c r="P2879">
        <v>-0.18567179264403699</v>
      </c>
      <c r="Q2879">
        <v>4.0073920927871903E-2</v>
      </c>
      <c r="R2879">
        <v>0.99640961352907698</v>
      </c>
      <c r="S2879" t="s">
        <v>9525</v>
      </c>
      <c r="T2879" t="s">
        <v>13290</v>
      </c>
      <c r="U2879" t="s">
        <v>13290</v>
      </c>
      <c r="V2879" t="s">
        <v>13290</v>
      </c>
      <c r="W2879" t="s">
        <v>16127</v>
      </c>
      <c r="X2879">
        <v>26</v>
      </c>
      <c r="Y2879" t="s">
        <v>22658</v>
      </c>
      <c r="Z2879" t="s">
        <v>29209</v>
      </c>
      <c r="AA2879">
        <v>0.24178699244972229</v>
      </c>
      <c r="AB2879" t="str">
        <f>HYPERLINK("Melting_Curves/meltCurve_P54136_2_RARS.pdf", "Melting_Curves/meltCurve_P54136_2_RARS.pdf")</f>
        <v>Melting_Curves/meltCurve_P54136_2_RARS.pdf</v>
      </c>
    </row>
    <row r="2880" spans="1:28" x14ac:dyDescent="0.25">
      <c r="A2880" t="s">
        <v>2884</v>
      </c>
      <c r="B2880">
        <v>0.99252571173614901</v>
      </c>
      <c r="C2880">
        <v>0.91736267538574301</v>
      </c>
      <c r="D2880">
        <v>0.70967737596819602</v>
      </c>
      <c r="E2880">
        <v>0.54774388969379695</v>
      </c>
      <c r="F2880">
        <v>0.37870480793528</v>
      </c>
      <c r="G2880">
        <v>0.253556073363992</v>
      </c>
      <c r="H2880">
        <v>0.181575815937247</v>
      </c>
      <c r="I2880">
        <v>0.143519322447834</v>
      </c>
      <c r="J2880">
        <v>0.16632204577166099</v>
      </c>
      <c r="K2880">
        <v>0.15289024052194</v>
      </c>
      <c r="L2880">
        <v>660.02854813899205</v>
      </c>
      <c r="M2880">
        <v>13.425581931818201</v>
      </c>
      <c r="N2880">
        <v>50.286222229759296</v>
      </c>
      <c r="O2880">
        <v>48.109702288273297</v>
      </c>
      <c r="P2880">
        <v>-6.0730145331953402E-2</v>
      </c>
      <c r="Q2880">
        <v>0.12964520148695899</v>
      </c>
      <c r="R2880">
        <v>0.99515670943137202</v>
      </c>
      <c r="S2880" t="s">
        <v>9526</v>
      </c>
      <c r="T2880" t="s">
        <v>13290</v>
      </c>
      <c r="U2880" t="s">
        <v>13290</v>
      </c>
      <c r="V2880" t="s">
        <v>13290</v>
      </c>
      <c r="W2880" t="s">
        <v>16128</v>
      </c>
      <c r="X2880">
        <v>2</v>
      </c>
      <c r="Y2880" t="s">
        <v>22659</v>
      </c>
      <c r="Z2880" t="s">
        <v>29210</v>
      </c>
      <c r="AA2880">
        <v>0.42157351907451629</v>
      </c>
      <c r="AB2880" t="str">
        <f>HYPERLINK("Melting_Curves/meltCurve_P54253_ATXN1.pdf", "Melting_Curves/meltCurve_P54253_ATXN1.pdf")</f>
        <v>Melting_Curves/meltCurve_P54253_ATXN1.pdf</v>
      </c>
    </row>
    <row r="2881" spans="1:28" x14ac:dyDescent="0.25">
      <c r="A2881" t="s">
        <v>2885</v>
      </c>
      <c r="B2881">
        <v>0.99252571173614901</v>
      </c>
      <c r="C2881">
        <v>0.97027222861951801</v>
      </c>
      <c r="D2881">
        <v>0.92850276331056103</v>
      </c>
      <c r="E2881">
        <v>0.84852680932639102</v>
      </c>
      <c r="F2881">
        <v>0.69052904219753397</v>
      </c>
      <c r="G2881">
        <v>0.48937344023337198</v>
      </c>
      <c r="H2881">
        <v>0.477148807244685</v>
      </c>
      <c r="I2881">
        <v>0.74350474325336502</v>
      </c>
      <c r="J2881">
        <v>1.15942347349968</v>
      </c>
      <c r="K2881">
        <v>1.2050681282735001</v>
      </c>
      <c r="L2881">
        <v>1745.5341518366499</v>
      </c>
      <c r="M2881">
        <v>37.313518370829598</v>
      </c>
      <c r="O2881">
        <v>46.646454855847303</v>
      </c>
      <c r="P2881">
        <v>-4.0375052817361201E-2</v>
      </c>
      <c r="Q2881">
        <v>0.79810558122837005</v>
      </c>
      <c r="R2881">
        <v>0.101052009949284</v>
      </c>
      <c r="S2881" t="s">
        <v>9527</v>
      </c>
      <c r="T2881" t="s">
        <v>13290</v>
      </c>
      <c r="U2881" t="s">
        <v>13290</v>
      </c>
      <c r="V2881" t="s">
        <v>13290</v>
      </c>
      <c r="W2881" t="s">
        <v>16129</v>
      </c>
      <c r="X2881">
        <v>5</v>
      </c>
      <c r="Y2881" t="s">
        <v>22660</v>
      </c>
      <c r="Z2881" t="s">
        <v>29211</v>
      </c>
      <c r="AA2881">
        <v>0.84449704835074457</v>
      </c>
      <c r="AB2881" t="str">
        <f>HYPERLINK("Melting_Curves/meltCurve_P54259_ATN1.pdf", "Melting_Curves/meltCurve_P54259_ATN1.pdf")</f>
        <v>Melting_Curves/meltCurve_P54259_ATN1.pdf</v>
      </c>
    </row>
    <row r="2882" spans="1:28" x14ac:dyDescent="0.25">
      <c r="A2882" t="s">
        <v>2886</v>
      </c>
      <c r="B2882">
        <v>0.99252571173614901</v>
      </c>
      <c r="C2882">
        <v>0.92003289840111602</v>
      </c>
      <c r="D2882">
        <v>0.53965025334416095</v>
      </c>
      <c r="E2882">
        <v>0.24596106724123301</v>
      </c>
      <c r="F2882">
        <v>0.1244295437068</v>
      </c>
      <c r="G2882">
        <v>6.7039630997692501E-2</v>
      </c>
      <c r="H2882">
        <v>5.0055552294184999E-2</v>
      </c>
      <c r="I2882">
        <v>5.0474247024550799E-2</v>
      </c>
      <c r="J2882">
        <v>5.8318990213044097E-2</v>
      </c>
      <c r="K2882">
        <v>5.7883653119149003E-2</v>
      </c>
      <c r="L2882">
        <v>1109.7726167102901</v>
      </c>
      <c r="M2882">
        <v>23.933234419375101</v>
      </c>
      <c r="N2882">
        <v>46.616365102873303</v>
      </c>
      <c r="O2882">
        <v>46.049417565413997</v>
      </c>
      <c r="P2882">
        <v>-0.12220146114076</v>
      </c>
      <c r="Q2882">
        <v>5.9514045797969997E-2</v>
      </c>
      <c r="R2882">
        <v>0.99659421456281705</v>
      </c>
      <c r="S2882" t="s">
        <v>9528</v>
      </c>
      <c r="T2882" t="s">
        <v>13290</v>
      </c>
      <c r="U2882" t="s">
        <v>13290</v>
      </c>
      <c r="V2882" t="s">
        <v>13290</v>
      </c>
      <c r="W2882" t="s">
        <v>16130</v>
      </c>
      <c r="X2882">
        <v>40</v>
      </c>
      <c r="Y2882" t="s">
        <v>22661</v>
      </c>
      <c r="Z2882" t="s">
        <v>29212</v>
      </c>
      <c r="AA2882">
        <v>0.26863281202837769</v>
      </c>
      <c r="AB2882" t="str">
        <f>HYPERLINK("Melting_Curves/meltCurve_P54577_YARS.pdf", "Melting_Curves/meltCurve_P54577_YARS.pdf")</f>
        <v>Melting_Curves/meltCurve_P54577_YARS.pdf</v>
      </c>
    </row>
    <row r="2883" spans="1:28" x14ac:dyDescent="0.25">
      <c r="A2883" t="s">
        <v>2887</v>
      </c>
      <c r="B2883">
        <v>0.99252571173614901</v>
      </c>
      <c r="C2883">
        <v>1.04276552023067</v>
      </c>
      <c r="D2883">
        <v>0.88564212722360203</v>
      </c>
      <c r="E2883">
        <v>0.62729901923059606</v>
      </c>
      <c r="F2883">
        <v>0.16612123749024599</v>
      </c>
      <c r="G2883">
        <v>0.100781043913642</v>
      </c>
      <c r="H2883">
        <v>8.0895275918965101E-2</v>
      </c>
      <c r="I2883">
        <v>7.9977020102148494E-2</v>
      </c>
      <c r="J2883">
        <v>9.2004449316217707E-2</v>
      </c>
      <c r="K2883">
        <v>8.4914202338899805E-2</v>
      </c>
      <c r="L2883">
        <v>1605.1820519923201</v>
      </c>
      <c r="M2883">
        <v>32.094519656820999</v>
      </c>
      <c r="N2883">
        <v>50.284528525130703</v>
      </c>
      <c r="O2883">
        <v>49.821238931227498</v>
      </c>
      <c r="P2883">
        <v>-0.148288992117032</v>
      </c>
      <c r="Q2883">
        <v>7.9231645416262306E-2</v>
      </c>
      <c r="R2883">
        <v>0.99503355312812503</v>
      </c>
      <c r="S2883" t="s">
        <v>9529</v>
      </c>
      <c r="T2883" t="s">
        <v>13290</v>
      </c>
      <c r="U2883" t="s">
        <v>13290</v>
      </c>
      <c r="V2883" t="s">
        <v>13290</v>
      </c>
      <c r="W2883" t="s">
        <v>16131</v>
      </c>
      <c r="X2883">
        <v>21</v>
      </c>
      <c r="Y2883" t="s">
        <v>22662</v>
      </c>
      <c r="Z2883" t="s">
        <v>29213</v>
      </c>
      <c r="AA2883">
        <v>0.39155983291466862</v>
      </c>
      <c r="AB2883" t="str">
        <f>HYPERLINK("Melting_Curves/meltCurve_P54578_USP14.pdf", "Melting_Curves/meltCurve_P54578_USP14.pdf")</f>
        <v>Melting_Curves/meltCurve_P54578_USP14.pdf</v>
      </c>
    </row>
    <row r="2884" spans="1:28" x14ac:dyDescent="0.25">
      <c r="A2884" t="s">
        <v>2888</v>
      </c>
      <c r="B2884">
        <v>0.99252571173614901</v>
      </c>
      <c r="C2884">
        <v>0.87713667398762696</v>
      </c>
      <c r="D2884">
        <v>0.87669364698006402</v>
      </c>
      <c r="E2884">
        <v>0.64144274591503703</v>
      </c>
      <c r="F2884">
        <v>0.34721975087648499</v>
      </c>
      <c r="G2884">
        <v>0.16296468834250399</v>
      </c>
      <c r="H2884">
        <v>0.100308311968825</v>
      </c>
      <c r="I2884">
        <v>6.6080303866599896E-2</v>
      </c>
      <c r="J2884">
        <v>6.4431130591749999E-2</v>
      </c>
      <c r="K2884">
        <v>5.42174712195631E-2</v>
      </c>
      <c r="L2884">
        <v>845.14418347075798</v>
      </c>
      <c r="M2884">
        <v>16.606698922936499</v>
      </c>
      <c r="N2884">
        <v>51.1353333983403</v>
      </c>
      <c r="O2884">
        <v>50.170980854715999</v>
      </c>
      <c r="P2884">
        <v>-7.9609261802412304E-2</v>
      </c>
      <c r="Q2884">
        <v>3.8025774114162497E-2</v>
      </c>
      <c r="R2884">
        <v>0.99418914263541303</v>
      </c>
      <c r="S2884" t="s">
        <v>9530</v>
      </c>
      <c r="T2884" t="s">
        <v>13290</v>
      </c>
      <c r="U2884" t="s">
        <v>13290</v>
      </c>
      <c r="V2884" t="s">
        <v>13290</v>
      </c>
      <c r="W2884" t="s">
        <v>16132</v>
      </c>
      <c r="X2884">
        <v>6</v>
      </c>
      <c r="Y2884" t="s">
        <v>22663</v>
      </c>
      <c r="Z2884" t="s">
        <v>29214</v>
      </c>
      <c r="AA2884">
        <v>0.40601730654480062</v>
      </c>
      <c r="AB2884" t="str">
        <f>HYPERLINK("Melting_Curves/meltCurve_P54619_2_PRKAG1.pdf", "Melting_Curves/meltCurve_P54619_2_PRKAG1.pdf")</f>
        <v>Melting_Curves/meltCurve_P54619_2_PRKAG1.pdf</v>
      </c>
    </row>
    <row r="2885" spans="1:28" x14ac:dyDescent="0.25">
      <c r="A2885" t="s">
        <v>2889</v>
      </c>
      <c r="B2885">
        <v>0.99252571173614901</v>
      </c>
      <c r="C2885">
        <v>0.90729908789672398</v>
      </c>
      <c r="D2885">
        <v>0.84523099321120199</v>
      </c>
      <c r="E2885">
        <v>0.92019935802702202</v>
      </c>
      <c r="F2885">
        <v>0.68288888720071095</v>
      </c>
      <c r="G2885">
        <v>0.57308478214708303</v>
      </c>
      <c r="H2885">
        <v>0.375781351696507</v>
      </c>
      <c r="I2885">
        <v>0.37397104484621801</v>
      </c>
      <c r="J2885">
        <v>0.50612849851285402</v>
      </c>
      <c r="K2885">
        <v>0.37037936899048102</v>
      </c>
      <c r="L2885">
        <v>756.64771078729598</v>
      </c>
      <c r="M2885">
        <v>14.1961364672405</v>
      </c>
      <c r="N2885">
        <v>58.710596764378799</v>
      </c>
      <c r="O2885">
        <v>52.275369205330001</v>
      </c>
      <c r="P2885">
        <v>-4.3124993030880902E-2</v>
      </c>
      <c r="Q2885">
        <v>0.364871581455676</v>
      </c>
      <c r="R2885">
        <v>0.922605267768834</v>
      </c>
      <c r="S2885" t="s">
        <v>9531</v>
      </c>
      <c r="T2885" t="s">
        <v>13290</v>
      </c>
      <c r="U2885" t="s">
        <v>13290</v>
      </c>
      <c r="V2885" t="s">
        <v>13290</v>
      </c>
      <c r="W2885" t="s">
        <v>16133</v>
      </c>
      <c r="X2885">
        <v>13</v>
      </c>
      <c r="Y2885" t="s">
        <v>22664</v>
      </c>
      <c r="Z2885" t="s">
        <v>29215</v>
      </c>
      <c r="AA2885">
        <v>0.6609371910037054</v>
      </c>
      <c r="AB2885" t="str">
        <f>HYPERLINK("Melting_Curves/meltCurve_P54709_ATP1B3.pdf", "Melting_Curves/meltCurve_P54709_ATP1B3.pdf")</f>
        <v>Melting_Curves/meltCurve_P54709_ATP1B3.pdf</v>
      </c>
    </row>
    <row r="2886" spans="1:28" x14ac:dyDescent="0.25">
      <c r="A2886" t="s">
        <v>2890</v>
      </c>
      <c r="B2886">
        <v>0.99252571173614901</v>
      </c>
      <c r="C2886">
        <v>1.04038874010538</v>
      </c>
      <c r="D2886">
        <v>0.92964960898357896</v>
      </c>
      <c r="E2886">
        <v>0.715701906519155</v>
      </c>
      <c r="F2886">
        <v>0.78047780506636699</v>
      </c>
      <c r="G2886">
        <v>0.62187214485315701</v>
      </c>
      <c r="H2886">
        <v>0.53005128737862806</v>
      </c>
      <c r="I2886">
        <v>0.58846947054721599</v>
      </c>
      <c r="J2886">
        <v>0.739991718771984</v>
      </c>
      <c r="K2886">
        <v>0.75854129018598104</v>
      </c>
      <c r="L2886">
        <v>1626.4216020003</v>
      </c>
      <c r="M2886">
        <v>34.054011046273999</v>
      </c>
      <c r="O2886">
        <v>47.596264660343401</v>
      </c>
      <c r="P2886">
        <v>-5.9976560585139997E-2</v>
      </c>
      <c r="Q2886">
        <v>0.664691596342047</v>
      </c>
      <c r="R2886">
        <v>0.79428023273819703</v>
      </c>
      <c r="S2886" t="s">
        <v>9532</v>
      </c>
      <c r="T2886" t="s">
        <v>13290</v>
      </c>
      <c r="U2886" t="s">
        <v>13290</v>
      </c>
      <c r="V2886" t="s">
        <v>13290</v>
      </c>
      <c r="W2886" t="s">
        <v>16134</v>
      </c>
      <c r="X2886">
        <v>20</v>
      </c>
      <c r="Y2886" t="s">
        <v>22665</v>
      </c>
      <c r="Z2886" t="s">
        <v>29216</v>
      </c>
      <c r="AA2886">
        <v>0.7529717172428062</v>
      </c>
      <c r="AB2886" t="str">
        <f>HYPERLINK("Melting_Curves/meltCurve_P54727_RAD23B.pdf", "Melting_Curves/meltCurve_P54727_RAD23B.pdf")</f>
        <v>Melting_Curves/meltCurve_P54727_RAD23B.pdf</v>
      </c>
    </row>
    <row r="2887" spans="1:28" x14ac:dyDescent="0.25">
      <c r="A2887" t="s">
        <v>2891</v>
      </c>
      <c r="B2887">
        <v>0.99252571173614901</v>
      </c>
      <c r="C2887">
        <v>0.93485794837587999</v>
      </c>
      <c r="D2887">
        <v>0.79498929284486997</v>
      </c>
      <c r="E2887">
        <v>0.63083689591715397</v>
      </c>
      <c r="F2887">
        <v>0.18654931638094499</v>
      </c>
      <c r="G2887">
        <v>0.102345135907881</v>
      </c>
      <c r="H2887">
        <v>6.28156579230391E-2</v>
      </c>
      <c r="I2887">
        <v>8.4888048893128301E-2</v>
      </c>
      <c r="J2887">
        <v>0.114909599825333</v>
      </c>
      <c r="K2887">
        <v>0.14699171395579899</v>
      </c>
      <c r="L2887">
        <v>1125.53667874539</v>
      </c>
      <c r="M2887">
        <v>22.676777061372398</v>
      </c>
      <c r="N2887">
        <v>50.040662435369399</v>
      </c>
      <c r="O2887">
        <v>49.252744023590203</v>
      </c>
      <c r="P2887">
        <v>-0.10541777975121699</v>
      </c>
      <c r="Q2887">
        <v>8.4171068736881002E-2</v>
      </c>
      <c r="R2887">
        <v>0.98129252503337205</v>
      </c>
      <c r="S2887" t="s">
        <v>9533</v>
      </c>
      <c r="T2887" t="s">
        <v>13290</v>
      </c>
      <c r="U2887" t="s">
        <v>13290</v>
      </c>
      <c r="V2887" t="s">
        <v>13290</v>
      </c>
      <c r="W2887" t="s">
        <v>16135</v>
      </c>
      <c r="X2887">
        <v>5</v>
      </c>
      <c r="Y2887" t="s">
        <v>22666</v>
      </c>
      <c r="Z2887" t="s">
        <v>29217</v>
      </c>
      <c r="AA2887">
        <v>0.38820563867905722</v>
      </c>
      <c r="AB2887" t="str">
        <f>HYPERLINK("Melting_Curves/meltCurve_P54753_EPHB3.pdf", "Melting_Curves/meltCurve_P54753_EPHB3.pdf")</f>
        <v>Melting_Curves/meltCurve_P54753_EPHB3.pdf</v>
      </c>
    </row>
    <row r="2888" spans="1:28" x14ac:dyDescent="0.25">
      <c r="A2888" t="s">
        <v>2892</v>
      </c>
      <c r="B2888">
        <v>0.99252571173614901</v>
      </c>
      <c r="C2888">
        <v>0.96346177347685802</v>
      </c>
      <c r="D2888">
        <v>0.89132358091908603</v>
      </c>
      <c r="E2888">
        <v>0.79049644043693301</v>
      </c>
      <c r="F2888">
        <v>0.44740987896534501</v>
      </c>
      <c r="G2888">
        <v>0.22505400265144199</v>
      </c>
      <c r="H2888">
        <v>0.14201791766083699</v>
      </c>
      <c r="I2888">
        <v>0.13610642033647</v>
      </c>
      <c r="J2888">
        <v>0.148887790894663</v>
      </c>
      <c r="K2888">
        <v>0.16096380623441101</v>
      </c>
      <c r="L2888">
        <v>1145.78180913198</v>
      </c>
      <c r="M2888">
        <v>22.113741748389199</v>
      </c>
      <c r="N2888">
        <v>52.540732750945097</v>
      </c>
      <c r="O2888">
        <v>51.394996444264102</v>
      </c>
      <c r="P2888">
        <v>-9.3381772150513701E-2</v>
      </c>
      <c r="Q2888">
        <v>0.13189723504765799</v>
      </c>
      <c r="R2888">
        <v>0.99483298732013203</v>
      </c>
      <c r="S2888" t="s">
        <v>9534</v>
      </c>
      <c r="T2888" t="s">
        <v>13290</v>
      </c>
      <c r="U2888" t="s">
        <v>13290</v>
      </c>
      <c r="V2888" t="s">
        <v>13290</v>
      </c>
      <c r="W2888" t="s">
        <v>16136</v>
      </c>
      <c r="X2888">
        <v>18</v>
      </c>
      <c r="Y2888" t="s">
        <v>22667</v>
      </c>
      <c r="Z2888" t="s">
        <v>29218</v>
      </c>
      <c r="AA2888">
        <v>0.48372251995685522</v>
      </c>
      <c r="AB2888" t="str">
        <f>HYPERLINK("Melting_Curves/meltCurve_P54764_EPHA4.pdf", "Melting_Curves/meltCurve_P54764_EPHA4.pdf")</f>
        <v>Melting_Curves/meltCurve_P54764_EPHA4.pdf</v>
      </c>
    </row>
    <row r="2889" spans="1:28" x14ac:dyDescent="0.25">
      <c r="A2889" t="s">
        <v>2893</v>
      </c>
      <c r="B2889">
        <v>0.99252571173614901</v>
      </c>
      <c r="C2889">
        <v>0.92324795712395202</v>
      </c>
      <c r="D2889">
        <v>0.99302941470144601</v>
      </c>
      <c r="E2889">
        <v>0.90220927233084802</v>
      </c>
      <c r="F2889">
        <v>0.95191082090432499</v>
      </c>
      <c r="G2889">
        <v>0.74441114829009902</v>
      </c>
      <c r="H2889">
        <v>0.55197757720886997</v>
      </c>
      <c r="I2889">
        <v>0.19184968485068901</v>
      </c>
      <c r="J2889">
        <v>0.196302045988859</v>
      </c>
      <c r="K2889">
        <v>0.16876042285717899</v>
      </c>
      <c r="L2889">
        <v>1227.17163697508</v>
      </c>
      <c r="M2889">
        <v>20.511081725318402</v>
      </c>
      <c r="N2889">
        <v>60.466204696443</v>
      </c>
      <c r="O2889">
        <v>59.269695289931498</v>
      </c>
      <c r="P2889">
        <v>-7.81174065049174E-2</v>
      </c>
      <c r="Q2889">
        <v>9.7101152006188601E-2</v>
      </c>
      <c r="R2889">
        <v>0.97367751964730298</v>
      </c>
      <c r="S2889" t="s">
        <v>9535</v>
      </c>
      <c r="T2889" t="s">
        <v>13290</v>
      </c>
      <c r="U2889" t="s">
        <v>13290</v>
      </c>
      <c r="V2889" t="s">
        <v>13290</v>
      </c>
      <c r="W2889" t="s">
        <v>16137</v>
      </c>
      <c r="X2889">
        <v>22</v>
      </c>
      <c r="Y2889" t="s">
        <v>22668</v>
      </c>
      <c r="Z2889" t="s">
        <v>29219</v>
      </c>
      <c r="AA2889">
        <v>0.7016939582521905</v>
      </c>
      <c r="AB2889" t="str">
        <f>HYPERLINK("Melting_Curves/meltCurve_P54802_NAGLU.pdf", "Melting_Curves/meltCurve_P54802_NAGLU.pdf")</f>
        <v>Melting_Curves/meltCurve_P54802_NAGLU.pdf</v>
      </c>
    </row>
    <row r="2890" spans="1:28" x14ac:dyDescent="0.25">
      <c r="A2890" t="s">
        <v>2894</v>
      </c>
      <c r="B2890">
        <v>0.99252571173614901</v>
      </c>
      <c r="C2890">
        <v>1.0659780313932601</v>
      </c>
      <c r="D2890">
        <v>0.99861355742737201</v>
      </c>
      <c r="E2890">
        <v>0.92782334751404805</v>
      </c>
      <c r="F2890">
        <v>0.88552830930614401</v>
      </c>
      <c r="G2890">
        <v>0.72035173102209105</v>
      </c>
      <c r="H2890">
        <v>0.58365678163438806</v>
      </c>
      <c r="I2890">
        <v>0.25288146127503303</v>
      </c>
      <c r="J2890">
        <v>0.15584566522979901</v>
      </c>
      <c r="K2890">
        <v>0.136102136189337</v>
      </c>
      <c r="L2890">
        <v>944.44240803240302</v>
      </c>
      <c r="M2890">
        <v>15.5512185507426</v>
      </c>
      <c r="N2890">
        <v>60.731087094832603</v>
      </c>
      <c r="O2890">
        <v>59.753444414128602</v>
      </c>
      <c r="P2890">
        <v>-6.5069815347274601E-2</v>
      </c>
      <c r="Q2890">
        <v>0</v>
      </c>
      <c r="R2890">
        <v>0.98360419333833704</v>
      </c>
      <c r="S2890" t="s">
        <v>9536</v>
      </c>
      <c r="T2890" t="s">
        <v>13290</v>
      </c>
      <c r="U2890" t="s">
        <v>13290</v>
      </c>
      <c r="V2890" t="s">
        <v>13290</v>
      </c>
      <c r="W2890" t="s">
        <v>16138</v>
      </c>
      <c r="X2890">
        <v>22</v>
      </c>
      <c r="Y2890" t="s">
        <v>22669</v>
      </c>
      <c r="Z2890" t="s">
        <v>29220</v>
      </c>
      <c r="AA2890">
        <v>0.69541946588035086</v>
      </c>
      <c r="AB2890" t="str">
        <f>HYPERLINK("Melting_Curves/meltCurve_P54819_AK2.pdf", "Melting_Curves/meltCurve_P54819_AK2.pdf")</f>
        <v>Melting_Curves/meltCurve_P54819_AK2.pdf</v>
      </c>
    </row>
    <row r="2891" spans="1:28" x14ac:dyDescent="0.25">
      <c r="A2891" t="s">
        <v>2895</v>
      </c>
      <c r="B2891">
        <v>0.99252571173614901</v>
      </c>
      <c r="C2891">
        <v>0.84692166430522098</v>
      </c>
      <c r="D2891">
        <v>1.0718236833730901</v>
      </c>
      <c r="E2891">
        <v>0.94123359889041502</v>
      </c>
      <c r="F2891">
        <v>0.58827313908188605</v>
      </c>
      <c r="G2891">
        <v>0.147259784396434</v>
      </c>
      <c r="H2891">
        <v>9.3680800898330793E-2</v>
      </c>
      <c r="I2891">
        <v>9.0254786948481505E-2</v>
      </c>
      <c r="J2891">
        <v>7.4509562413784494E-2</v>
      </c>
      <c r="K2891">
        <v>6.7028193404176206E-2</v>
      </c>
      <c r="L2891">
        <v>2131.5768483304601</v>
      </c>
      <c r="M2891">
        <v>39.8760948502198</v>
      </c>
      <c r="N2891">
        <v>53.680698006429701</v>
      </c>
      <c r="O2891">
        <v>53.321107056544598</v>
      </c>
      <c r="P2891">
        <v>-0.172532338574683</v>
      </c>
      <c r="Q2891">
        <v>7.7182029768257998E-2</v>
      </c>
      <c r="R2891">
        <v>0.98272237793039297</v>
      </c>
      <c r="S2891" t="s">
        <v>9537</v>
      </c>
      <c r="T2891" t="s">
        <v>13290</v>
      </c>
      <c r="U2891" t="s">
        <v>13290</v>
      </c>
      <c r="V2891" t="s">
        <v>13290</v>
      </c>
      <c r="W2891" t="s">
        <v>16139</v>
      </c>
      <c r="X2891">
        <v>32</v>
      </c>
      <c r="Y2891" t="s">
        <v>22670</v>
      </c>
      <c r="Z2891" t="s">
        <v>29221</v>
      </c>
      <c r="AA2891">
        <v>0.49449213436654799</v>
      </c>
      <c r="AB2891" t="str">
        <f>HYPERLINK("Melting_Curves/meltCurve_P54886_2_ALDH18A1.pdf", "Melting_Curves/meltCurve_P54886_2_ALDH18A1.pdf")</f>
        <v>Melting_Curves/meltCurve_P54886_2_ALDH18A1.pdf</v>
      </c>
    </row>
    <row r="2892" spans="1:28" x14ac:dyDescent="0.25">
      <c r="A2892" t="s">
        <v>2896</v>
      </c>
      <c r="B2892">
        <v>0.99252571173614901</v>
      </c>
      <c r="C2892">
        <v>0.91635267153084099</v>
      </c>
      <c r="D2892">
        <v>0.88253253179917002</v>
      </c>
      <c r="E2892">
        <v>0.754351804849267</v>
      </c>
      <c r="F2892">
        <v>0.52464138061742005</v>
      </c>
      <c r="G2892">
        <v>0.223563971214747</v>
      </c>
      <c r="H2892">
        <v>0.134499698245067</v>
      </c>
      <c r="I2892">
        <v>0.11084843075112399</v>
      </c>
      <c r="J2892">
        <v>0.110365003261563</v>
      </c>
      <c r="K2892">
        <v>9.5458756845919104E-2</v>
      </c>
      <c r="L2892">
        <v>868.26530179376596</v>
      </c>
      <c r="M2892">
        <v>16.548918096894699</v>
      </c>
      <c r="N2892">
        <v>52.923680470934897</v>
      </c>
      <c r="O2892">
        <v>51.718428013995997</v>
      </c>
      <c r="P2892">
        <v>-7.4673324548442693E-2</v>
      </c>
      <c r="Q2892">
        <v>6.6592357099072894E-2</v>
      </c>
      <c r="R2892">
        <v>0.991990552438484</v>
      </c>
      <c r="S2892" t="s">
        <v>9538</v>
      </c>
      <c r="T2892" t="s">
        <v>13290</v>
      </c>
      <c r="U2892" t="s">
        <v>13290</v>
      </c>
      <c r="V2892" t="s">
        <v>13290</v>
      </c>
      <c r="W2892" t="s">
        <v>16140</v>
      </c>
      <c r="X2892">
        <v>22</v>
      </c>
      <c r="Y2892" t="s">
        <v>22671</v>
      </c>
      <c r="Z2892" t="s">
        <v>29222</v>
      </c>
      <c r="AA2892">
        <v>0.47214320463911419</v>
      </c>
      <c r="AB2892" t="str">
        <f>HYPERLINK("Melting_Curves/meltCurve_P54920_NAPA.pdf", "Melting_Curves/meltCurve_P54920_NAPA.pdf")</f>
        <v>Melting_Curves/meltCurve_P54920_NAPA.pdf</v>
      </c>
    </row>
    <row r="2893" spans="1:28" x14ac:dyDescent="0.25">
      <c r="A2893" t="s">
        <v>2897</v>
      </c>
      <c r="B2893">
        <v>0.99252571173614901</v>
      </c>
      <c r="C2893">
        <v>1.08345500537315</v>
      </c>
      <c r="D2893">
        <v>0.81002651210283505</v>
      </c>
      <c r="E2893">
        <v>0.85954123355847001</v>
      </c>
      <c r="F2893">
        <v>0.29641641264470903</v>
      </c>
      <c r="G2893">
        <v>0.118100131452505</v>
      </c>
      <c r="H2893">
        <v>7.3488958386463493E-2</v>
      </c>
      <c r="I2893">
        <v>7.4377356275864004E-2</v>
      </c>
      <c r="J2893">
        <v>8.8626012356121803E-2</v>
      </c>
      <c r="K2893">
        <v>8.6926877210914896E-2</v>
      </c>
      <c r="L2893">
        <v>1900.59641515413</v>
      </c>
      <c r="M2893">
        <v>36.824581391520802</v>
      </c>
      <c r="N2893">
        <v>51.857173024616102</v>
      </c>
      <c r="O2893">
        <v>51.460659577221101</v>
      </c>
      <c r="P2893">
        <v>-0.16461328817878099</v>
      </c>
      <c r="Q2893">
        <v>7.9844493391195995E-2</v>
      </c>
      <c r="R2893">
        <v>0.97564272108108396</v>
      </c>
      <c r="S2893" t="s">
        <v>9539</v>
      </c>
      <c r="T2893" t="s">
        <v>13290</v>
      </c>
      <c r="U2893" t="s">
        <v>13290</v>
      </c>
      <c r="V2893" t="s">
        <v>13290</v>
      </c>
      <c r="W2893" t="s">
        <v>16141</v>
      </c>
      <c r="X2893">
        <v>26</v>
      </c>
      <c r="Y2893" t="s">
        <v>22672</v>
      </c>
      <c r="Z2893" t="s">
        <v>29223</v>
      </c>
      <c r="AA2893">
        <v>0.43988692621042391</v>
      </c>
      <c r="AB2893" t="str">
        <f>HYPERLINK("Melting_Curves/meltCurve_P55010_EIF5.pdf", "Melting_Curves/meltCurve_P55010_EIF5.pdf")</f>
        <v>Melting_Curves/meltCurve_P55010_EIF5.pdf</v>
      </c>
    </row>
    <row r="2894" spans="1:28" x14ac:dyDescent="0.25">
      <c r="A2894" t="s">
        <v>2898</v>
      </c>
      <c r="B2894">
        <v>0.99252571173614901</v>
      </c>
      <c r="C2894">
        <v>0.94003771941370695</v>
      </c>
      <c r="D2894">
        <v>0.83370995678487103</v>
      </c>
      <c r="E2894">
        <v>0.77508649395638196</v>
      </c>
      <c r="F2894">
        <v>0.66756648871911495</v>
      </c>
      <c r="G2894">
        <v>0.434661862646187</v>
      </c>
      <c r="H2894">
        <v>0.28438284013300502</v>
      </c>
      <c r="I2894">
        <v>0.31831285082427901</v>
      </c>
      <c r="J2894">
        <v>0.37998419582881199</v>
      </c>
      <c r="K2894">
        <v>0.381396506336174</v>
      </c>
      <c r="L2894">
        <v>719.28235159646204</v>
      </c>
      <c r="M2894">
        <v>13.8867092135789</v>
      </c>
      <c r="N2894">
        <v>55.5794955589067</v>
      </c>
      <c r="O2894">
        <v>50.757792536065402</v>
      </c>
      <c r="P2894">
        <v>-4.7494550964919099E-2</v>
      </c>
      <c r="Q2894">
        <v>0.30569890889921397</v>
      </c>
      <c r="R2894">
        <v>0.95719204898246502</v>
      </c>
      <c r="S2894" t="s">
        <v>9540</v>
      </c>
      <c r="T2894" t="s">
        <v>13290</v>
      </c>
      <c r="U2894" t="s">
        <v>13290</v>
      </c>
      <c r="V2894" t="s">
        <v>13290</v>
      </c>
      <c r="W2894" t="s">
        <v>16142</v>
      </c>
      <c r="X2894">
        <v>9</v>
      </c>
      <c r="Y2894" t="s">
        <v>22673</v>
      </c>
      <c r="Z2894" t="s">
        <v>29224</v>
      </c>
      <c r="AA2894">
        <v>0.59627639977232338</v>
      </c>
      <c r="AB2894" t="str">
        <f>HYPERLINK("Melting_Curves/meltCurve_P55011_3_SLC12A2.pdf", "Melting_Curves/meltCurve_P55011_3_SLC12A2.pdf")</f>
        <v>Melting_Curves/meltCurve_P55011_3_SLC12A2.pdf</v>
      </c>
    </row>
    <row r="2895" spans="1:28" x14ac:dyDescent="0.25">
      <c r="A2895" t="s">
        <v>2899</v>
      </c>
      <c r="B2895">
        <v>0.99252571173614901</v>
      </c>
      <c r="C2895">
        <v>1.0037926157658601</v>
      </c>
      <c r="D2895">
        <v>1.0235571272276101</v>
      </c>
      <c r="E2895">
        <v>0.88740396439410396</v>
      </c>
      <c r="F2895">
        <v>0.78716218648371195</v>
      </c>
      <c r="G2895">
        <v>0.54122181209533005</v>
      </c>
      <c r="H2895">
        <v>0.2541142038841</v>
      </c>
      <c r="I2895">
        <v>0.227548749964154</v>
      </c>
      <c r="J2895">
        <v>0.26726767859733103</v>
      </c>
      <c r="K2895">
        <v>0.29693325455674002</v>
      </c>
      <c r="L2895">
        <v>1314.46805668928</v>
      </c>
      <c r="M2895">
        <v>23.7896661993979</v>
      </c>
      <c r="N2895">
        <v>56.803255143901502</v>
      </c>
      <c r="O2895">
        <v>54.867775933571203</v>
      </c>
      <c r="P2895">
        <v>-8.2522535323198101E-2</v>
      </c>
      <c r="Q2895">
        <v>0.238702662814407</v>
      </c>
      <c r="R2895">
        <v>0.98549792101315903</v>
      </c>
      <c r="S2895" t="s">
        <v>9541</v>
      </c>
      <c r="T2895" t="s">
        <v>13290</v>
      </c>
      <c r="U2895" t="s">
        <v>13290</v>
      </c>
      <c r="V2895" t="s">
        <v>13290</v>
      </c>
      <c r="W2895" t="s">
        <v>16143</v>
      </c>
      <c r="X2895">
        <v>16</v>
      </c>
      <c r="Y2895" t="s">
        <v>22674</v>
      </c>
      <c r="Z2895" t="s">
        <v>29225</v>
      </c>
      <c r="AA2895">
        <v>0.63344688912574065</v>
      </c>
      <c r="AB2895" t="str">
        <f>HYPERLINK("Melting_Curves/meltCurve_P55036_PSMD4.pdf", "Melting_Curves/meltCurve_P55036_PSMD4.pdf")</f>
        <v>Melting_Curves/meltCurve_P55036_PSMD4.pdf</v>
      </c>
    </row>
    <row r="2896" spans="1:28" x14ac:dyDescent="0.25">
      <c r="A2896" t="s">
        <v>2900</v>
      </c>
      <c r="B2896">
        <v>0.99252571173614901</v>
      </c>
      <c r="C2896">
        <v>1.0907408622109001</v>
      </c>
      <c r="D2896">
        <v>0.91763039110355205</v>
      </c>
      <c r="E2896">
        <v>0.70630164363800296</v>
      </c>
      <c r="F2896">
        <v>0.28787760146665597</v>
      </c>
      <c r="G2896">
        <v>0.12964603078422399</v>
      </c>
      <c r="H2896">
        <v>0.103318536372297</v>
      </c>
      <c r="I2896">
        <v>0.11307707263582301</v>
      </c>
      <c r="J2896">
        <v>0.14907872142158099</v>
      </c>
      <c r="K2896">
        <v>0.148388773285551</v>
      </c>
      <c r="L2896">
        <v>1558.55684920675</v>
      </c>
      <c r="M2896">
        <v>30.777657466064099</v>
      </c>
      <c r="N2896">
        <v>51.104589067224801</v>
      </c>
      <c r="O2896">
        <v>50.426884683872302</v>
      </c>
      <c r="P2896">
        <v>-0.13393928069611599</v>
      </c>
      <c r="Q2896">
        <v>0.122207215065332</v>
      </c>
      <c r="R2896">
        <v>0.99114414875805801</v>
      </c>
      <c r="S2896" t="s">
        <v>9542</v>
      </c>
      <c r="T2896" t="s">
        <v>13290</v>
      </c>
      <c r="U2896" t="s">
        <v>13290</v>
      </c>
      <c r="V2896" t="s">
        <v>13290</v>
      </c>
      <c r="W2896" t="s">
        <v>16144</v>
      </c>
      <c r="X2896">
        <v>16</v>
      </c>
      <c r="Y2896" t="s">
        <v>22675</v>
      </c>
      <c r="Z2896" t="s">
        <v>29226</v>
      </c>
      <c r="AA2896">
        <v>0.43871969280214879</v>
      </c>
      <c r="AB2896" t="str">
        <f>HYPERLINK("Melting_Curves/meltCurve_P55039_DRG2.pdf", "Melting_Curves/meltCurve_P55039_DRG2.pdf")</f>
        <v>Melting_Curves/meltCurve_P55039_DRG2.pdf</v>
      </c>
    </row>
    <row r="2897" spans="1:28" x14ac:dyDescent="0.25">
      <c r="A2897" t="s">
        <v>2901</v>
      </c>
      <c r="B2897">
        <v>0.99252571173614901</v>
      </c>
      <c r="C2897">
        <v>1.10074296394404</v>
      </c>
      <c r="D2897">
        <v>0.607839829141813</v>
      </c>
      <c r="E2897">
        <v>0.35069380130410299</v>
      </c>
      <c r="F2897">
        <v>0.104180886996753</v>
      </c>
      <c r="G2897">
        <v>5.6089253639667998E-2</v>
      </c>
      <c r="H2897">
        <v>4.1282438450814002E-2</v>
      </c>
      <c r="I2897">
        <v>4.2667548879138699E-2</v>
      </c>
      <c r="J2897">
        <v>5.39590214947323E-2</v>
      </c>
      <c r="K2897">
        <v>4.6715382873213501E-2</v>
      </c>
      <c r="L2897">
        <v>1178.9020708395699</v>
      </c>
      <c r="M2897">
        <v>24.8285275936788</v>
      </c>
      <c r="N2897">
        <v>47.673408904814799</v>
      </c>
      <c r="O2897">
        <v>47.176951230205503</v>
      </c>
      <c r="P2897">
        <v>-0.125323739296717</v>
      </c>
      <c r="Q2897">
        <v>4.7497248052999597E-2</v>
      </c>
      <c r="R2897">
        <v>0.97448540252254501</v>
      </c>
      <c r="S2897" t="s">
        <v>9543</v>
      </c>
      <c r="T2897" t="s">
        <v>13290</v>
      </c>
      <c r="U2897" t="s">
        <v>13290</v>
      </c>
      <c r="V2897" t="s">
        <v>13290</v>
      </c>
      <c r="W2897" t="s">
        <v>16145</v>
      </c>
      <c r="X2897">
        <v>41</v>
      </c>
      <c r="Y2897" t="s">
        <v>22676</v>
      </c>
      <c r="Z2897" t="s">
        <v>29227</v>
      </c>
      <c r="AA2897">
        <v>0.29361506868612108</v>
      </c>
      <c r="AB2897" t="str">
        <f>HYPERLINK("Melting_Curves/meltCurve_P55060_3_CSE1L.pdf", "Melting_Curves/meltCurve_P55060_3_CSE1L.pdf")</f>
        <v>Melting_Curves/meltCurve_P55060_3_CSE1L.pdf</v>
      </c>
    </row>
    <row r="2898" spans="1:28" x14ac:dyDescent="0.25">
      <c r="A2898" t="s">
        <v>2902</v>
      </c>
      <c r="B2898">
        <v>0.99252571173614901</v>
      </c>
      <c r="C2898">
        <v>0.90904733669100202</v>
      </c>
      <c r="D2898">
        <v>1.23479481639611</v>
      </c>
      <c r="E2898">
        <v>1.30546499381053</v>
      </c>
      <c r="F2898">
        <v>1.4070135763495599</v>
      </c>
      <c r="G2898">
        <v>1.1349551603363299</v>
      </c>
      <c r="H2898">
        <v>1.52920193397531</v>
      </c>
      <c r="I2898">
        <v>1.78608073275794</v>
      </c>
      <c r="J2898">
        <v>1.1449759886902999</v>
      </c>
      <c r="K2898">
        <v>0.37968302255508901</v>
      </c>
      <c r="L2898">
        <v>15000</v>
      </c>
      <c r="M2898">
        <v>214.77620219932399</v>
      </c>
      <c r="N2898">
        <v>69.840136538554106</v>
      </c>
      <c r="O2898">
        <v>69.834084395334699</v>
      </c>
      <c r="P2898">
        <v>-0.76888028192586999</v>
      </c>
      <c r="Q2898">
        <v>0</v>
      </c>
      <c r="R2898">
        <v>3.9749375904781198E-2</v>
      </c>
      <c r="S2898" t="s">
        <v>9544</v>
      </c>
      <c r="T2898" t="s">
        <v>13290</v>
      </c>
      <c r="U2898" t="s">
        <v>13290</v>
      </c>
      <c r="V2898" t="s">
        <v>13290</v>
      </c>
      <c r="W2898" t="s">
        <v>16146</v>
      </c>
      <c r="X2898">
        <v>68</v>
      </c>
      <c r="Y2898" t="s">
        <v>22677</v>
      </c>
      <c r="Z2898" t="s">
        <v>29228</v>
      </c>
      <c r="AA2898">
        <v>0.98958053704734117</v>
      </c>
      <c r="AB2898" t="str">
        <f>HYPERLINK("Melting_Curves/meltCurve_P55072_VCP.pdf", "Melting_Curves/meltCurve_P55072_VCP.pdf")</f>
        <v>Melting_Curves/meltCurve_P55072_VCP.pdf</v>
      </c>
    </row>
    <row r="2899" spans="1:28" x14ac:dyDescent="0.25">
      <c r="A2899" t="s">
        <v>2903</v>
      </c>
      <c r="B2899">
        <v>0.99252571173614901</v>
      </c>
      <c r="C2899">
        <v>1.1008960839756801</v>
      </c>
      <c r="D2899">
        <v>1.05630050226038</v>
      </c>
      <c r="E2899">
        <v>1.1334533529183399</v>
      </c>
      <c r="F2899">
        <v>0.91007567099457698</v>
      </c>
      <c r="G2899">
        <v>0.719711608650626</v>
      </c>
      <c r="H2899">
        <v>0.72982319643148397</v>
      </c>
      <c r="I2899">
        <v>0.93293250336828204</v>
      </c>
      <c r="J2899">
        <v>1.39570234209875</v>
      </c>
      <c r="K2899">
        <v>1.7444927697478601</v>
      </c>
      <c r="L2899">
        <v>15000</v>
      </c>
      <c r="M2899">
        <v>224.88043706871699</v>
      </c>
      <c r="O2899">
        <v>66.696845742350504</v>
      </c>
      <c r="P2899">
        <v>0.42146009048413702</v>
      </c>
      <c r="Q2899">
        <v>1.5</v>
      </c>
      <c r="R2899">
        <v>0.70156876527383105</v>
      </c>
      <c r="S2899" t="s">
        <v>9545</v>
      </c>
      <c r="T2899" t="s">
        <v>13290</v>
      </c>
      <c r="U2899" t="s">
        <v>13290</v>
      </c>
      <c r="V2899" t="s">
        <v>13290</v>
      </c>
      <c r="W2899" t="s">
        <v>16147</v>
      </c>
      <c r="X2899">
        <v>24</v>
      </c>
      <c r="Y2899" t="s">
        <v>22678</v>
      </c>
      <c r="Z2899" t="s">
        <v>29229</v>
      </c>
      <c r="AA2899">
        <v>1.054892604456199</v>
      </c>
      <c r="AB2899" t="str">
        <f>HYPERLINK("Melting_Curves/meltCurve_P55081_MFAP1.pdf", "Melting_Curves/meltCurve_P55081_MFAP1.pdf")</f>
        <v>Melting_Curves/meltCurve_P55081_MFAP1.pdf</v>
      </c>
    </row>
    <row r="2900" spans="1:28" x14ac:dyDescent="0.25">
      <c r="A2900" t="s">
        <v>2904</v>
      </c>
      <c r="B2900">
        <v>0.99252571173614901</v>
      </c>
      <c r="C2900">
        <v>0.97940238015913095</v>
      </c>
      <c r="D2900">
        <v>0.90059689949140997</v>
      </c>
      <c r="E2900">
        <v>0.85545787927031602</v>
      </c>
      <c r="F2900">
        <v>0.69073255913447895</v>
      </c>
      <c r="G2900">
        <v>0.50056714199672703</v>
      </c>
      <c r="H2900">
        <v>0.307888777234335</v>
      </c>
      <c r="I2900">
        <v>0.25075476126714402</v>
      </c>
      <c r="J2900">
        <v>0.240048507822472</v>
      </c>
      <c r="K2900">
        <v>0.19050262225999701</v>
      </c>
      <c r="L2900">
        <v>737.28795057247305</v>
      </c>
      <c r="M2900">
        <v>13.3581790088211</v>
      </c>
      <c r="N2900">
        <v>56.622987162645501</v>
      </c>
      <c r="O2900">
        <v>54.000825016375799</v>
      </c>
      <c r="P2900">
        <v>-5.3000713697039702E-2</v>
      </c>
      <c r="Q2900">
        <v>0.14310850666180699</v>
      </c>
      <c r="R2900">
        <v>0.99607695580192601</v>
      </c>
      <c r="S2900" t="s">
        <v>9546</v>
      </c>
      <c r="T2900" t="s">
        <v>13290</v>
      </c>
      <c r="U2900" t="s">
        <v>13290</v>
      </c>
      <c r="V2900" t="s">
        <v>13290</v>
      </c>
      <c r="W2900" t="s">
        <v>16148</v>
      </c>
      <c r="X2900">
        <v>5</v>
      </c>
      <c r="Y2900" t="s">
        <v>22679</v>
      </c>
      <c r="Z2900" t="s">
        <v>29230</v>
      </c>
      <c r="AA2900">
        <v>0.59522312462008697</v>
      </c>
      <c r="AB2900" t="str">
        <f>HYPERLINK("Melting_Curves/meltCurve_P55082_2_MFAP3.pdf", "Melting_Curves/meltCurve_P55082_2_MFAP3.pdf")</f>
        <v>Melting_Curves/meltCurve_P55082_2_MFAP3.pdf</v>
      </c>
    </row>
    <row r="2901" spans="1:28" x14ac:dyDescent="0.25">
      <c r="A2901" t="s">
        <v>2905</v>
      </c>
      <c r="B2901">
        <v>0.99252571173614901</v>
      </c>
      <c r="C2901">
        <v>1.0570302735797099</v>
      </c>
      <c r="D2901">
        <v>0.97976017963690398</v>
      </c>
      <c r="E2901">
        <v>0.80223231808796502</v>
      </c>
      <c r="F2901">
        <v>0.83956875302558298</v>
      </c>
      <c r="G2901">
        <v>0.71990932025439003</v>
      </c>
      <c r="H2901">
        <v>0.77246020390427295</v>
      </c>
      <c r="I2901">
        <v>1.0038632871682001</v>
      </c>
      <c r="J2901">
        <v>1.5048465273343301</v>
      </c>
      <c r="K2901">
        <v>1.6804611101942499</v>
      </c>
      <c r="L2901">
        <v>15000</v>
      </c>
      <c r="M2901">
        <v>229.78210273532801</v>
      </c>
      <c r="O2901">
        <v>65.274276341140506</v>
      </c>
      <c r="P2901">
        <v>0.44003178835539603</v>
      </c>
      <c r="Q2901">
        <v>1.5</v>
      </c>
      <c r="R2901">
        <v>0.74410835336181502</v>
      </c>
      <c r="S2901" t="s">
        <v>9547</v>
      </c>
      <c r="T2901" t="s">
        <v>13290</v>
      </c>
      <c r="U2901" t="s">
        <v>13290</v>
      </c>
      <c r="V2901" t="s">
        <v>13290</v>
      </c>
      <c r="W2901" t="s">
        <v>16149</v>
      </c>
      <c r="X2901">
        <v>23</v>
      </c>
      <c r="Y2901" t="s">
        <v>22680</v>
      </c>
      <c r="Z2901" t="s">
        <v>29231</v>
      </c>
      <c r="AA2901">
        <v>1.0786116008050839</v>
      </c>
      <c r="AB2901" t="str">
        <f>HYPERLINK("Melting_Curves/meltCurve_P55145_MANF.pdf", "Melting_Curves/meltCurve_P55145_MANF.pdf")</f>
        <v>Melting_Curves/meltCurve_P55145_MANF.pdf</v>
      </c>
    </row>
    <row r="2902" spans="1:28" x14ac:dyDescent="0.25">
      <c r="A2902" t="s">
        <v>2906</v>
      </c>
      <c r="B2902">
        <v>0.99252571173614901</v>
      </c>
      <c r="C2902">
        <v>0.82898984306122403</v>
      </c>
      <c r="D2902">
        <v>0.62444553071994402</v>
      </c>
      <c r="E2902">
        <v>0.43438698853041302</v>
      </c>
      <c r="F2902">
        <v>0.239256812418735</v>
      </c>
      <c r="G2902">
        <v>0.102768472052336</v>
      </c>
      <c r="H2902">
        <v>7.1194104790651802E-2</v>
      </c>
      <c r="I2902">
        <v>0.120456366104618</v>
      </c>
      <c r="J2902">
        <v>9.6920954918522997E-2</v>
      </c>
      <c r="K2902">
        <v>0.13300771345044601</v>
      </c>
      <c r="L2902">
        <v>733.54738529870497</v>
      </c>
      <c r="M2902">
        <v>15.470226958098699</v>
      </c>
      <c r="N2902">
        <v>47.997458073086896</v>
      </c>
      <c r="O2902">
        <v>46.645628307472798</v>
      </c>
      <c r="P2902">
        <v>-7.5843491986607697E-2</v>
      </c>
      <c r="Q2902">
        <v>8.5352955817412104E-2</v>
      </c>
      <c r="R2902">
        <v>0.989417333805788</v>
      </c>
      <c r="S2902" t="s">
        <v>9548</v>
      </c>
      <c r="T2902" t="s">
        <v>13290</v>
      </c>
      <c r="U2902" t="s">
        <v>13290</v>
      </c>
      <c r="V2902" t="s">
        <v>13290</v>
      </c>
      <c r="W2902" t="s">
        <v>16150</v>
      </c>
      <c r="X2902">
        <v>2</v>
      </c>
      <c r="Y2902" t="s">
        <v>22681</v>
      </c>
      <c r="Z2902" t="s">
        <v>29232</v>
      </c>
      <c r="AA2902">
        <v>0.33424464700600898</v>
      </c>
      <c r="AB2902" t="str">
        <f>HYPERLINK("Melting_Curves/meltCurve_P55198_MLLT6.pdf", "Melting_Curves/meltCurve_P55198_MLLT6.pdf")</f>
        <v>Melting_Curves/meltCurve_P55198_MLLT6.pdf</v>
      </c>
    </row>
    <row r="2903" spans="1:28" x14ac:dyDescent="0.25">
      <c r="A2903" t="s">
        <v>2907</v>
      </c>
      <c r="B2903">
        <v>0.99252571173614901</v>
      </c>
      <c r="C2903">
        <v>0.93450093167834902</v>
      </c>
      <c r="D2903">
        <v>0.54921442400634801</v>
      </c>
      <c r="E2903">
        <v>0.25088596215182701</v>
      </c>
      <c r="F2903">
        <v>0.17733656734008901</v>
      </c>
      <c r="G2903">
        <v>9.9455514186842994E-2</v>
      </c>
      <c r="H2903">
        <v>9.63668286728077E-2</v>
      </c>
      <c r="I2903">
        <v>0.109782016561613</v>
      </c>
      <c r="J2903">
        <v>0.14571586563455699</v>
      </c>
      <c r="K2903">
        <v>0.122899434092662</v>
      </c>
      <c r="L2903">
        <v>1287.62962860073</v>
      </c>
      <c r="M2903">
        <v>27.934883272152899</v>
      </c>
      <c r="N2903">
        <v>46.562287366255902</v>
      </c>
      <c r="O2903">
        <v>45.859697167842697</v>
      </c>
      <c r="P2903">
        <v>-0.13363491577314199</v>
      </c>
      <c r="Q2903">
        <v>0.122472992006044</v>
      </c>
      <c r="R2903">
        <v>0.995068184485705</v>
      </c>
      <c r="S2903" t="s">
        <v>9549</v>
      </c>
      <c r="T2903" t="s">
        <v>13290</v>
      </c>
      <c r="U2903" t="s">
        <v>13290</v>
      </c>
      <c r="V2903" t="s">
        <v>13290</v>
      </c>
      <c r="W2903" t="s">
        <v>16151</v>
      </c>
      <c r="X2903">
        <v>5</v>
      </c>
      <c r="Y2903" t="s">
        <v>22682</v>
      </c>
      <c r="Z2903" t="s">
        <v>29233</v>
      </c>
      <c r="AA2903">
        <v>0.30698974711265758</v>
      </c>
      <c r="AB2903" t="str">
        <f>HYPERLINK("Melting_Curves/meltCurve_P55199_ELL.pdf", "Melting_Curves/meltCurve_P55199_ELL.pdf")</f>
        <v>Melting_Curves/meltCurve_P55199_ELL.pdf</v>
      </c>
    </row>
    <row r="2904" spans="1:28" x14ac:dyDescent="0.25">
      <c r="A2904" t="s">
        <v>2908</v>
      </c>
      <c r="B2904">
        <v>0.99252571173614901</v>
      </c>
      <c r="C2904">
        <v>1.0806793761342099</v>
      </c>
      <c r="D2904">
        <v>1.0002949830622001</v>
      </c>
      <c r="E2904">
        <v>0.839824022892811</v>
      </c>
      <c r="F2904">
        <v>0.708915551322161</v>
      </c>
      <c r="G2904">
        <v>0.50264213922214696</v>
      </c>
      <c r="H2904">
        <v>0.32782012755547502</v>
      </c>
      <c r="I2904">
        <v>0.19787307364587201</v>
      </c>
      <c r="J2904">
        <v>0.13942850924502401</v>
      </c>
      <c r="K2904">
        <v>0.113549957627283</v>
      </c>
      <c r="L2904">
        <v>781.99068561420404</v>
      </c>
      <c r="M2904">
        <v>13.864705070776299</v>
      </c>
      <c r="N2904">
        <v>56.8570318051732</v>
      </c>
      <c r="O2904">
        <v>55.267046516714203</v>
      </c>
      <c r="P2904">
        <v>-5.94284203982446E-2</v>
      </c>
      <c r="Q2904">
        <v>5.2563367882402297E-2</v>
      </c>
      <c r="R2904">
        <v>0.99073719155403905</v>
      </c>
      <c r="S2904" t="s">
        <v>9550</v>
      </c>
      <c r="T2904" t="s">
        <v>13290</v>
      </c>
      <c r="U2904" t="s">
        <v>13290</v>
      </c>
      <c r="V2904" t="s">
        <v>13290</v>
      </c>
      <c r="W2904" t="s">
        <v>16152</v>
      </c>
      <c r="X2904">
        <v>17</v>
      </c>
      <c r="Y2904" t="s">
        <v>22683</v>
      </c>
      <c r="Z2904" t="s">
        <v>29234</v>
      </c>
      <c r="AA2904">
        <v>0.58753128308092173</v>
      </c>
      <c r="AB2904" t="str">
        <f>HYPERLINK("Melting_Curves/meltCurve_P55210_CASP7.pdf", "Melting_Curves/meltCurve_P55210_CASP7.pdf")</f>
        <v>Melting_Curves/meltCurve_P55210_CASP7.pdf</v>
      </c>
    </row>
    <row r="2905" spans="1:28" x14ac:dyDescent="0.25">
      <c r="A2905" t="s">
        <v>2909</v>
      </c>
      <c r="B2905">
        <v>0.99252571173614901</v>
      </c>
      <c r="C2905">
        <v>1.1201699683367701</v>
      </c>
      <c r="D2905">
        <v>0.80620822315875595</v>
      </c>
      <c r="E2905">
        <v>0.38475383277397002</v>
      </c>
      <c r="F2905">
        <v>0.24017748724086699</v>
      </c>
      <c r="G2905">
        <v>0.107144493349178</v>
      </c>
      <c r="H2905">
        <v>9.8667954068938399E-2</v>
      </c>
      <c r="I2905">
        <v>0.139419597708585</v>
      </c>
      <c r="J2905">
        <v>0.17312330951103999</v>
      </c>
      <c r="K2905">
        <v>0.137094369640508</v>
      </c>
      <c r="L2905">
        <v>1477.4561888119199</v>
      </c>
      <c r="M2905">
        <v>30.6776245730013</v>
      </c>
      <c r="N2905">
        <v>48.676534382701597</v>
      </c>
      <c r="O2905">
        <v>47.957465128183401</v>
      </c>
      <c r="P2905">
        <v>-0.137729807995256</v>
      </c>
      <c r="Q2905">
        <v>0.138768864980439</v>
      </c>
      <c r="R2905">
        <v>0.98022547485074996</v>
      </c>
      <c r="S2905" t="s">
        <v>9551</v>
      </c>
      <c r="T2905" t="s">
        <v>13290</v>
      </c>
      <c r="U2905" t="s">
        <v>13290</v>
      </c>
      <c r="V2905" t="s">
        <v>13290</v>
      </c>
      <c r="W2905" t="s">
        <v>16153</v>
      </c>
      <c r="X2905">
        <v>2</v>
      </c>
      <c r="Y2905" t="s">
        <v>22684</v>
      </c>
      <c r="Z2905" t="s">
        <v>29235</v>
      </c>
      <c r="AA2905">
        <v>0.37799977426188602</v>
      </c>
      <c r="AB2905" t="str">
        <f>HYPERLINK("Melting_Curves/meltCurve_P55211_CASP9.pdf", "Melting_Curves/meltCurve_P55211_CASP9.pdf")</f>
        <v>Melting_Curves/meltCurve_P55211_CASP9.pdf</v>
      </c>
    </row>
    <row r="2906" spans="1:28" x14ac:dyDescent="0.25">
      <c r="A2906" t="s">
        <v>2910</v>
      </c>
      <c r="B2906">
        <v>0.99252571173614901</v>
      </c>
      <c r="C2906">
        <v>1.0350953349157299</v>
      </c>
      <c r="D2906">
        <v>0.98455928246400004</v>
      </c>
      <c r="E2906">
        <v>0.89154761602126698</v>
      </c>
      <c r="F2906">
        <v>0.79686434711758203</v>
      </c>
      <c r="G2906">
        <v>0.75000912575773104</v>
      </c>
      <c r="H2906">
        <v>0.75007971635819404</v>
      </c>
      <c r="I2906">
        <v>0.93950141592994696</v>
      </c>
      <c r="J2906">
        <v>1.2049068884822001</v>
      </c>
      <c r="K2906">
        <v>1.0423052759923199</v>
      </c>
      <c r="L2906">
        <v>1750.97796715762</v>
      </c>
      <c r="M2906">
        <v>25.6982611794988</v>
      </c>
      <c r="O2906">
        <v>67.727471421534105</v>
      </c>
      <c r="P2906">
        <v>1.19791276692935E-2</v>
      </c>
      <c r="Q2906">
        <v>1.1262818899656299</v>
      </c>
      <c r="R2906">
        <v>-0.13329606109898401</v>
      </c>
      <c r="S2906" t="s">
        <v>9552</v>
      </c>
      <c r="T2906" t="s">
        <v>13290</v>
      </c>
      <c r="U2906" t="s">
        <v>13290</v>
      </c>
      <c r="V2906" t="s">
        <v>13290</v>
      </c>
      <c r="W2906" t="s">
        <v>16154</v>
      </c>
      <c r="X2906">
        <v>19</v>
      </c>
      <c r="Y2906" t="s">
        <v>22685</v>
      </c>
      <c r="Z2906" t="s">
        <v>29236</v>
      </c>
      <c r="AA2906">
        <v>1.0116878538916301</v>
      </c>
      <c r="AB2906" t="str">
        <f>HYPERLINK("Melting_Curves/meltCurve_P55212_CASP6.pdf", "Melting_Curves/meltCurve_P55212_CASP6.pdf")</f>
        <v>Melting_Curves/meltCurve_P55212_CASP6.pdf</v>
      </c>
    </row>
    <row r="2907" spans="1:28" x14ac:dyDescent="0.25">
      <c r="A2907" t="s">
        <v>2911</v>
      </c>
      <c r="B2907">
        <v>0.99252571173614901</v>
      </c>
      <c r="C2907">
        <v>1.0907672124396799</v>
      </c>
      <c r="D2907">
        <v>0.98396981580742704</v>
      </c>
      <c r="E2907">
        <v>0.85718582616984895</v>
      </c>
      <c r="F2907">
        <v>0.72837808074125798</v>
      </c>
      <c r="G2907">
        <v>0.56032391820529903</v>
      </c>
      <c r="H2907">
        <v>0.29951584719699997</v>
      </c>
      <c r="I2907">
        <v>0.14719644104833399</v>
      </c>
      <c r="J2907">
        <v>0.17259761779419</v>
      </c>
      <c r="K2907">
        <v>0.16568823621664999</v>
      </c>
      <c r="L2907">
        <v>891.44047742887301</v>
      </c>
      <c r="M2907">
        <v>15.8513438397872</v>
      </c>
      <c r="N2907">
        <v>56.999371999051199</v>
      </c>
      <c r="O2907">
        <v>55.365313868484797</v>
      </c>
      <c r="P2907">
        <v>-6.4748523790221404E-2</v>
      </c>
      <c r="Q2907">
        <v>9.5463265903217007E-2</v>
      </c>
      <c r="R2907">
        <v>0.98498960041435002</v>
      </c>
      <c r="S2907" t="s">
        <v>9553</v>
      </c>
      <c r="T2907" t="s">
        <v>13290</v>
      </c>
      <c r="U2907" t="s">
        <v>13290</v>
      </c>
      <c r="V2907" t="s">
        <v>13290</v>
      </c>
      <c r="W2907" t="s">
        <v>16155</v>
      </c>
      <c r="X2907">
        <v>23</v>
      </c>
      <c r="Y2907" t="s">
        <v>22686</v>
      </c>
      <c r="Z2907" t="s">
        <v>29237</v>
      </c>
      <c r="AA2907">
        <v>0.60000004719981193</v>
      </c>
      <c r="AB2907" t="str">
        <f>HYPERLINK("Melting_Curves/meltCurve_P55263_ADK.pdf", "Melting_Curves/meltCurve_P55263_ADK.pdf")</f>
        <v>Melting_Curves/meltCurve_P55263_ADK.pdf</v>
      </c>
    </row>
    <row r="2908" spans="1:28" x14ac:dyDescent="0.25">
      <c r="A2908" t="s">
        <v>2912</v>
      </c>
      <c r="B2908">
        <v>0.99252571173614901</v>
      </c>
      <c r="C2908">
        <v>0.95410307020684504</v>
      </c>
      <c r="D2908">
        <v>0.94959685898416202</v>
      </c>
      <c r="E2908">
        <v>0.78961041399438703</v>
      </c>
      <c r="F2908">
        <v>0.40095328394587798</v>
      </c>
      <c r="G2908">
        <v>0.25030764582520698</v>
      </c>
      <c r="H2908">
        <v>0.226515437452326</v>
      </c>
      <c r="I2908">
        <v>0.25806555432365302</v>
      </c>
      <c r="J2908">
        <v>0.27032118811481398</v>
      </c>
      <c r="K2908">
        <v>0.22659802787362601</v>
      </c>
      <c r="L2908">
        <v>1638.80673216737</v>
      </c>
      <c r="M2908">
        <v>32.1264179312209</v>
      </c>
      <c r="N2908">
        <v>52.071986952058602</v>
      </c>
      <c r="O2908">
        <v>50.814758029916497</v>
      </c>
      <c r="P2908">
        <v>-0.12010161168047299</v>
      </c>
      <c r="Q2908">
        <v>0.24013887244548501</v>
      </c>
      <c r="R2908">
        <v>0.99542999754288997</v>
      </c>
      <c r="S2908" t="s">
        <v>9554</v>
      </c>
      <c r="T2908" t="s">
        <v>13290</v>
      </c>
      <c r="U2908" t="s">
        <v>13290</v>
      </c>
      <c r="V2908" t="s">
        <v>13290</v>
      </c>
      <c r="W2908" t="s">
        <v>16156</v>
      </c>
      <c r="X2908">
        <v>25</v>
      </c>
      <c r="Y2908" t="s">
        <v>22687</v>
      </c>
      <c r="Z2908" t="s">
        <v>29238</v>
      </c>
      <c r="AA2908">
        <v>0.52320307580027792</v>
      </c>
      <c r="AB2908" t="str">
        <f>HYPERLINK("Melting_Curves/meltCurve_P55268_LAMB2.pdf", "Melting_Curves/meltCurve_P55268_LAMB2.pdf")</f>
        <v>Melting_Curves/meltCurve_P55268_LAMB2.pdf</v>
      </c>
    </row>
    <row r="2909" spans="1:28" x14ac:dyDescent="0.25">
      <c r="A2909" t="s">
        <v>2913</v>
      </c>
      <c r="B2909">
        <v>0.99252571173614901</v>
      </c>
      <c r="C2909">
        <v>0.99475211457000901</v>
      </c>
      <c r="D2909">
        <v>0.98210151004791801</v>
      </c>
      <c r="E2909">
        <v>0.907165702995686</v>
      </c>
      <c r="F2909">
        <v>0.57380452693152695</v>
      </c>
      <c r="G2909">
        <v>0.28625902406449799</v>
      </c>
      <c r="H2909">
        <v>0.16338766852370701</v>
      </c>
      <c r="I2909">
        <v>0.16474511800059299</v>
      </c>
      <c r="J2909">
        <v>0.221608201194923</v>
      </c>
      <c r="K2909">
        <v>0.238601716126496</v>
      </c>
      <c r="L2909">
        <v>1668.2478721007799</v>
      </c>
      <c r="M2909">
        <v>31.496198993778702</v>
      </c>
      <c r="N2909">
        <v>53.807387578250697</v>
      </c>
      <c r="O2909">
        <v>52.754512639493697</v>
      </c>
      <c r="P2909">
        <v>-0.12025229311965401</v>
      </c>
      <c r="Q2909">
        <v>0.19433901753400201</v>
      </c>
      <c r="R2909">
        <v>0.99529846941803801</v>
      </c>
      <c r="S2909" t="s">
        <v>9555</v>
      </c>
      <c r="T2909" t="s">
        <v>13290</v>
      </c>
      <c r="U2909" t="s">
        <v>13290</v>
      </c>
      <c r="V2909" t="s">
        <v>13290</v>
      </c>
      <c r="W2909" t="s">
        <v>16157</v>
      </c>
      <c r="X2909">
        <v>4</v>
      </c>
      <c r="Y2909" t="s">
        <v>22688</v>
      </c>
      <c r="Z2909" t="s">
        <v>29239</v>
      </c>
      <c r="AA2909">
        <v>0.54730844990005001</v>
      </c>
      <c r="AB2909" t="str">
        <f>HYPERLINK("Melting_Curves/meltCurve_P55273_CDKN2D.pdf", "Melting_Curves/meltCurve_P55273_CDKN2D.pdf")</f>
        <v>Melting_Curves/meltCurve_P55273_CDKN2D.pdf</v>
      </c>
    </row>
    <row r="2910" spans="1:28" x14ac:dyDescent="0.25">
      <c r="A2910" t="s">
        <v>2914</v>
      </c>
      <c r="B2910">
        <v>0.99252571173614901</v>
      </c>
      <c r="C2910">
        <v>1.08894573160694</v>
      </c>
      <c r="D2910">
        <v>0.89770188096662296</v>
      </c>
      <c r="E2910">
        <v>0.75974697800857105</v>
      </c>
      <c r="F2910">
        <v>0.971587868101353</v>
      </c>
      <c r="G2910">
        <v>1.0075134566747701</v>
      </c>
      <c r="H2910">
        <v>1.0494674010526901</v>
      </c>
      <c r="I2910">
        <v>1.5062601708418599</v>
      </c>
      <c r="J2910">
        <v>2.15465261209309</v>
      </c>
      <c r="K2910">
        <v>2.40957389097075</v>
      </c>
      <c r="L2910">
        <v>15000</v>
      </c>
      <c r="M2910">
        <v>244.50147313107701</v>
      </c>
      <c r="O2910">
        <v>61.345219170550799</v>
      </c>
      <c r="P2910">
        <v>0.49820808561715801</v>
      </c>
      <c r="Q2910">
        <v>1.5</v>
      </c>
      <c r="R2910">
        <v>0.53237555255388003</v>
      </c>
      <c r="S2910" t="s">
        <v>9556</v>
      </c>
      <c r="T2910" t="s">
        <v>13290</v>
      </c>
      <c r="U2910" t="s">
        <v>13290</v>
      </c>
      <c r="V2910" t="s">
        <v>13290</v>
      </c>
      <c r="W2910" t="s">
        <v>16158</v>
      </c>
      <c r="X2910">
        <v>18</v>
      </c>
      <c r="Y2910" t="s">
        <v>20541</v>
      </c>
      <c r="Z2910" t="s">
        <v>29240</v>
      </c>
      <c r="AA2910">
        <v>1.144121657070778</v>
      </c>
      <c r="AB2910" t="str">
        <f>HYPERLINK("Melting_Curves/meltCurve_P55327_2_TPD52.pdf", "Melting_Curves/meltCurve_P55327_2_TPD52.pdf")</f>
        <v>Melting_Curves/meltCurve_P55327_2_TPD52.pdf</v>
      </c>
    </row>
    <row r="2911" spans="1:28" x14ac:dyDescent="0.25">
      <c r="A2911" t="s">
        <v>2915</v>
      </c>
      <c r="B2911">
        <v>0.99252571173614901</v>
      </c>
      <c r="C2911">
        <v>0.90345465424598403</v>
      </c>
      <c r="D2911">
        <v>0.92176249370142105</v>
      </c>
      <c r="E2911">
        <v>0.54683242680368305</v>
      </c>
      <c r="F2911">
        <v>0.41145960683398602</v>
      </c>
      <c r="G2911">
        <v>0.20554053999925601</v>
      </c>
      <c r="H2911">
        <v>8.6298718487459E-2</v>
      </c>
      <c r="I2911">
        <v>6.3958678087418799E-2</v>
      </c>
      <c r="J2911">
        <v>5.5838545134542901E-2</v>
      </c>
      <c r="K2911">
        <v>5.5819198784012397E-2</v>
      </c>
      <c r="L2911">
        <v>776.484170049162</v>
      </c>
      <c r="M2911">
        <v>15.2196528292521</v>
      </c>
      <c r="N2911">
        <v>51.224632636790403</v>
      </c>
      <c r="O2911">
        <v>50.162059425827699</v>
      </c>
      <c r="P2911">
        <v>-7.3606530689218394E-2</v>
      </c>
      <c r="Q2911">
        <v>2.9701169970932799E-2</v>
      </c>
      <c r="R2911">
        <v>0.98864792091156595</v>
      </c>
      <c r="S2911" t="s">
        <v>9557</v>
      </c>
      <c r="T2911" t="s">
        <v>13290</v>
      </c>
      <c r="U2911" t="s">
        <v>13290</v>
      </c>
      <c r="V2911" t="s">
        <v>13290</v>
      </c>
      <c r="W2911" t="s">
        <v>16159</v>
      </c>
      <c r="X2911">
        <v>6</v>
      </c>
      <c r="Y2911" t="s">
        <v>22689</v>
      </c>
      <c r="Z2911" t="s">
        <v>29241</v>
      </c>
      <c r="AA2911">
        <v>0.40794829382759629</v>
      </c>
      <c r="AB2911" t="str">
        <f>HYPERLINK("Melting_Curves/meltCurve_P55735_SEC13.pdf", "Melting_Curves/meltCurve_P55735_SEC13.pdf")</f>
        <v>Melting_Curves/meltCurve_P55735_SEC13.pdf</v>
      </c>
    </row>
    <row r="2912" spans="1:28" x14ac:dyDescent="0.25">
      <c r="A2912" t="s">
        <v>2916</v>
      </c>
      <c r="B2912">
        <v>0.99252571173614901</v>
      </c>
      <c r="C2912">
        <v>1.0348215288259099</v>
      </c>
      <c r="D2912">
        <v>0.90894041826789196</v>
      </c>
      <c r="E2912">
        <v>0.84115666413836898</v>
      </c>
      <c r="F2912">
        <v>0.71641427403582603</v>
      </c>
      <c r="G2912">
        <v>0.57965787073657604</v>
      </c>
      <c r="H2912">
        <v>0.54722138751501104</v>
      </c>
      <c r="I2912">
        <v>0.71447733579664197</v>
      </c>
      <c r="J2912">
        <v>1.02453413946204</v>
      </c>
      <c r="K2912">
        <v>1.1287507685579099</v>
      </c>
      <c r="L2912">
        <v>1878.2685751593499</v>
      </c>
      <c r="M2912">
        <v>40.301461340972502</v>
      </c>
      <c r="O2912">
        <v>46.491162497573399</v>
      </c>
      <c r="P2912">
        <v>-4.5575683558630099E-2</v>
      </c>
      <c r="Q2912">
        <v>0.78969871763313804</v>
      </c>
      <c r="R2912">
        <v>0.21712421147042699</v>
      </c>
      <c r="S2912" t="s">
        <v>9558</v>
      </c>
      <c r="T2912" t="s">
        <v>13290</v>
      </c>
      <c r="U2912" t="s">
        <v>13290</v>
      </c>
      <c r="V2912" t="s">
        <v>13290</v>
      </c>
      <c r="W2912" t="s">
        <v>16160</v>
      </c>
      <c r="X2912">
        <v>8</v>
      </c>
      <c r="Y2912" t="s">
        <v>22690</v>
      </c>
      <c r="Z2912" t="s">
        <v>29242</v>
      </c>
      <c r="AA2912">
        <v>0.83667818792411219</v>
      </c>
      <c r="AB2912" t="str">
        <f>HYPERLINK("Melting_Curves/meltCurve_P55789_GFER.pdf", "Melting_Curves/meltCurve_P55789_GFER.pdf")</f>
        <v>Melting_Curves/meltCurve_P55789_GFER.pdf</v>
      </c>
    </row>
    <row r="2913" spans="1:28" x14ac:dyDescent="0.25">
      <c r="A2913" t="s">
        <v>2917</v>
      </c>
      <c r="B2913">
        <v>0.99252571173614901</v>
      </c>
      <c r="C2913">
        <v>0.43465899551790899</v>
      </c>
      <c r="D2913">
        <v>0.24818482037973599</v>
      </c>
      <c r="E2913">
        <v>0.20266450640573599</v>
      </c>
      <c r="F2913">
        <v>0.149030087134706</v>
      </c>
      <c r="G2913">
        <v>9.7681334440156795E-2</v>
      </c>
      <c r="H2913">
        <v>7.0391524300297603E-2</v>
      </c>
      <c r="I2913">
        <v>7.1718307160885994E-2</v>
      </c>
      <c r="J2913">
        <v>5.6694113610621703E-2</v>
      </c>
      <c r="K2913">
        <v>5.7212560806918701E-2</v>
      </c>
      <c r="L2913">
        <v>1671.1004530724699</v>
      </c>
      <c r="M2913">
        <v>39.327966560119997</v>
      </c>
      <c r="N2913">
        <v>42.763403954383001</v>
      </c>
      <c r="O2913">
        <v>42.381984226476298</v>
      </c>
      <c r="P2913">
        <v>-0.20631366169272899</v>
      </c>
      <c r="Q2913">
        <v>0.11066209123448199</v>
      </c>
      <c r="R2913">
        <v>0.95651473263874498</v>
      </c>
      <c r="S2913" t="s">
        <v>9559</v>
      </c>
      <c r="T2913" t="s">
        <v>13290</v>
      </c>
      <c r="U2913" t="s">
        <v>13290</v>
      </c>
      <c r="V2913" t="s">
        <v>13290</v>
      </c>
      <c r="W2913" t="s">
        <v>16161</v>
      </c>
      <c r="X2913">
        <v>9</v>
      </c>
      <c r="Y2913" t="s">
        <v>22691</v>
      </c>
      <c r="Z2913" t="s">
        <v>29243</v>
      </c>
      <c r="AA2913">
        <v>0.18946554030373311</v>
      </c>
      <c r="AB2913" t="str">
        <f>HYPERLINK("Melting_Curves/meltCurve_P55795_HNRNPH2.pdf", "Melting_Curves/meltCurve_P55795_HNRNPH2.pdf")</f>
        <v>Melting_Curves/meltCurve_P55795_HNRNPH2.pdf</v>
      </c>
    </row>
    <row r="2914" spans="1:28" x14ac:dyDescent="0.25">
      <c r="A2914" t="s">
        <v>2918</v>
      </c>
      <c r="B2914">
        <v>0.99252571173614901</v>
      </c>
      <c r="C2914">
        <v>0.87235755379495095</v>
      </c>
      <c r="D2914">
        <v>0.89317227207990901</v>
      </c>
      <c r="E2914">
        <v>0.83524795144883601</v>
      </c>
      <c r="F2914">
        <v>0.41125012212119</v>
      </c>
      <c r="G2914">
        <v>0.111405086716879</v>
      </c>
      <c r="H2914">
        <v>7.0116614405044297E-2</v>
      </c>
      <c r="I2914">
        <v>7.4185032916948002E-2</v>
      </c>
      <c r="J2914">
        <v>7.45172445716588E-2</v>
      </c>
      <c r="K2914">
        <v>7.5101513768376302E-2</v>
      </c>
      <c r="L2914">
        <v>1464.2572497942899</v>
      </c>
      <c r="M2914">
        <v>28.0941117909396</v>
      </c>
      <c r="N2914">
        <v>52.364585102399197</v>
      </c>
      <c r="O2914">
        <v>51.857791644747003</v>
      </c>
      <c r="P2914">
        <v>-0.12710252727707799</v>
      </c>
      <c r="Q2914">
        <v>6.1554155544352097E-2</v>
      </c>
      <c r="R2914">
        <v>0.98332568493114902</v>
      </c>
      <c r="S2914" t="s">
        <v>9560</v>
      </c>
      <c r="T2914" t="s">
        <v>13290</v>
      </c>
      <c r="U2914" t="s">
        <v>13290</v>
      </c>
      <c r="V2914" t="s">
        <v>13290</v>
      </c>
      <c r="W2914" t="s">
        <v>16162</v>
      </c>
      <c r="X2914">
        <v>23</v>
      </c>
      <c r="Y2914" t="s">
        <v>22692</v>
      </c>
      <c r="Z2914" t="s">
        <v>29244</v>
      </c>
      <c r="AA2914">
        <v>0.44751482803371201</v>
      </c>
      <c r="AB2914" t="str">
        <f>HYPERLINK("Melting_Curves/meltCurve_P55809_OXCT1.pdf", "Melting_Curves/meltCurve_P55809_OXCT1.pdf")</f>
        <v>Melting_Curves/meltCurve_P55809_OXCT1.pdf</v>
      </c>
    </row>
    <row r="2915" spans="1:28" x14ac:dyDescent="0.25">
      <c r="A2915" t="s">
        <v>2919</v>
      </c>
      <c r="B2915">
        <v>0.99252571173614901</v>
      </c>
      <c r="C2915">
        <v>0.86870874837863898</v>
      </c>
      <c r="D2915">
        <v>0.85066389014274302</v>
      </c>
      <c r="E2915">
        <v>0.40631516908333198</v>
      </c>
      <c r="F2915">
        <v>0.21221381164800299</v>
      </c>
      <c r="G2915">
        <v>0.10031237315647901</v>
      </c>
      <c r="H2915">
        <v>7.8529617210761196E-2</v>
      </c>
      <c r="I2915">
        <v>8.4762330825164697E-2</v>
      </c>
      <c r="J2915">
        <v>9.3611843024959104E-2</v>
      </c>
      <c r="K2915">
        <v>8.62456381069025E-2</v>
      </c>
      <c r="L2915">
        <v>1106.7098593698599</v>
      </c>
      <c r="M2915">
        <v>22.785285542505601</v>
      </c>
      <c r="N2915">
        <v>48.949626512485601</v>
      </c>
      <c r="O2915">
        <v>48.201772383382902</v>
      </c>
      <c r="P2915">
        <v>-0.108636639970925</v>
      </c>
      <c r="Q2915">
        <v>8.0744269774124702E-2</v>
      </c>
      <c r="R2915">
        <v>0.99064565206796895</v>
      </c>
      <c r="S2915" t="s">
        <v>9561</v>
      </c>
      <c r="T2915" t="s">
        <v>13290</v>
      </c>
      <c r="U2915" t="s">
        <v>13290</v>
      </c>
      <c r="V2915" t="s">
        <v>13290</v>
      </c>
      <c r="W2915" t="s">
        <v>16163</v>
      </c>
      <c r="X2915">
        <v>28</v>
      </c>
      <c r="Y2915" t="s">
        <v>22693</v>
      </c>
      <c r="Z2915" t="s">
        <v>29245</v>
      </c>
      <c r="AA2915">
        <v>0.35324814299942098</v>
      </c>
      <c r="AB2915" t="str">
        <f>HYPERLINK("Melting_Curves/meltCurve_P55884_EIF3B.pdf", "Melting_Curves/meltCurve_P55884_EIF3B.pdf")</f>
        <v>Melting_Curves/meltCurve_P55884_EIF3B.pdf</v>
      </c>
    </row>
    <row r="2916" spans="1:28" x14ac:dyDescent="0.25">
      <c r="A2916" t="s">
        <v>2920</v>
      </c>
      <c r="B2916">
        <v>0.99252571173614901</v>
      </c>
      <c r="C2916">
        <v>1.0467264918877699</v>
      </c>
      <c r="D2916">
        <v>0.97819041311451604</v>
      </c>
      <c r="E2916">
        <v>0.91895836690183696</v>
      </c>
      <c r="F2916">
        <v>0.816543902002696</v>
      </c>
      <c r="G2916">
        <v>0.672995568348425</v>
      </c>
      <c r="H2916">
        <v>0.59212942963377502</v>
      </c>
      <c r="I2916">
        <v>0.68199935519612298</v>
      </c>
      <c r="J2916">
        <v>0.81086597070056199</v>
      </c>
      <c r="K2916">
        <v>0.69807884127650499</v>
      </c>
      <c r="L2916">
        <v>1598.42989008985</v>
      </c>
      <c r="M2916">
        <v>30.842322586549699</v>
      </c>
      <c r="O2916">
        <v>51.609447362282999</v>
      </c>
      <c r="P2916">
        <v>-4.6255432079649397E-2</v>
      </c>
      <c r="Q2916">
        <v>0.69039901581100704</v>
      </c>
      <c r="R2916">
        <v>0.865593991182805</v>
      </c>
      <c r="S2916" t="s">
        <v>9562</v>
      </c>
      <c r="T2916" t="s">
        <v>13290</v>
      </c>
      <c r="U2916" t="s">
        <v>13290</v>
      </c>
      <c r="V2916" t="s">
        <v>13290</v>
      </c>
      <c r="W2916" t="s">
        <v>16164</v>
      </c>
      <c r="X2916">
        <v>8</v>
      </c>
      <c r="Y2916" t="s">
        <v>22694</v>
      </c>
      <c r="Z2916" t="s">
        <v>29246</v>
      </c>
      <c r="AA2916">
        <v>0.81430931006284746</v>
      </c>
      <c r="AB2916" t="str">
        <f>HYPERLINK("Melting_Curves/meltCurve_P55957_BID.pdf", "Melting_Curves/meltCurve_P55957_BID.pdf")</f>
        <v>Melting_Curves/meltCurve_P55957_BID.pdf</v>
      </c>
    </row>
    <row r="2917" spans="1:28" x14ac:dyDescent="0.25">
      <c r="A2917" t="s">
        <v>2921</v>
      </c>
      <c r="B2917">
        <v>0.99252571173614901</v>
      </c>
      <c r="C2917">
        <v>1.10025360304256</v>
      </c>
      <c r="D2917">
        <v>1.1189469584804701</v>
      </c>
      <c r="E2917">
        <v>1.2977624771351901</v>
      </c>
      <c r="F2917">
        <v>1.5537735358504801</v>
      </c>
      <c r="G2917">
        <v>1.33330825030978</v>
      </c>
      <c r="H2917">
        <v>1.24320280057836</v>
      </c>
      <c r="I2917">
        <v>1.56898235622705</v>
      </c>
      <c r="J2917">
        <v>2.4498715992769799</v>
      </c>
      <c r="K2917">
        <v>3.2000986725516301</v>
      </c>
      <c r="L2917">
        <v>1125.43041346523</v>
      </c>
      <c r="M2917">
        <v>23.382564494221199</v>
      </c>
      <c r="O2917">
        <v>47.783285937929698</v>
      </c>
      <c r="P2917">
        <v>6.1169336385767402E-2</v>
      </c>
      <c r="Q2917">
        <v>1.5</v>
      </c>
      <c r="R2917">
        <v>0.11732477985291501</v>
      </c>
      <c r="S2917" t="s">
        <v>9563</v>
      </c>
      <c r="T2917" t="s">
        <v>13290</v>
      </c>
      <c r="U2917" t="s">
        <v>13290</v>
      </c>
      <c r="V2917" t="s">
        <v>13290</v>
      </c>
      <c r="W2917" t="s">
        <v>16165</v>
      </c>
      <c r="X2917">
        <v>3</v>
      </c>
      <c r="Y2917" t="s">
        <v>22695</v>
      </c>
      <c r="Z2917" t="s">
        <v>29247</v>
      </c>
      <c r="AA2917">
        <v>1.359389645445493</v>
      </c>
      <c r="AB2917" t="str">
        <f>HYPERLINK("Melting_Curves/meltCurve_P56181_NDUFV3.pdf", "Melting_Curves/meltCurve_P56181_NDUFV3.pdf")</f>
        <v>Melting_Curves/meltCurve_P56181_NDUFV3.pdf</v>
      </c>
    </row>
    <row r="2918" spans="1:28" x14ac:dyDescent="0.25">
      <c r="A2918" t="s">
        <v>2922</v>
      </c>
      <c r="B2918">
        <v>0.99252571173614901</v>
      </c>
      <c r="C2918">
        <v>1.04950910039122</v>
      </c>
      <c r="D2918">
        <v>0.99133292822000896</v>
      </c>
      <c r="E2918">
        <v>1.23138312967272</v>
      </c>
      <c r="F2918">
        <v>1.4401671232908499</v>
      </c>
      <c r="G2918">
        <v>1.3300778008973999</v>
      </c>
      <c r="H2918">
        <v>1.4100402020063001</v>
      </c>
      <c r="I2918">
        <v>1.9626747605225701</v>
      </c>
      <c r="J2918">
        <v>3.05700052656226</v>
      </c>
      <c r="K2918">
        <v>3.3602923580461401</v>
      </c>
      <c r="L2918">
        <v>1562.3741270881701</v>
      </c>
      <c r="M2918">
        <v>31.225997416717799</v>
      </c>
      <c r="O2918">
        <v>49.830538800824201</v>
      </c>
      <c r="P2918">
        <v>7.83309079690305E-2</v>
      </c>
      <c r="Q2918">
        <v>1.5</v>
      </c>
      <c r="R2918">
        <v>6.9832478053217101E-2</v>
      </c>
      <c r="S2918" t="s">
        <v>9564</v>
      </c>
      <c r="T2918" t="s">
        <v>13290</v>
      </c>
      <c r="U2918" t="s">
        <v>13290</v>
      </c>
      <c r="V2918" t="s">
        <v>13290</v>
      </c>
      <c r="W2918" t="s">
        <v>16166</v>
      </c>
      <c r="X2918">
        <v>21</v>
      </c>
      <c r="Y2918" t="s">
        <v>22695</v>
      </c>
      <c r="Z2918" t="s">
        <v>29248</v>
      </c>
      <c r="AA2918">
        <v>1.329906503265901</v>
      </c>
      <c r="AB2918" t="str">
        <f>HYPERLINK("Melting_Curves/meltCurve_P56181_2_NDUFV3.pdf", "Melting_Curves/meltCurve_P56181_2_NDUFV3.pdf")</f>
        <v>Melting_Curves/meltCurve_P56181_2_NDUFV3.pdf</v>
      </c>
    </row>
    <row r="2919" spans="1:28" x14ac:dyDescent="0.25">
      <c r="A2919" t="s">
        <v>2923</v>
      </c>
      <c r="B2919">
        <v>0.99252571173614901</v>
      </c>
      <c r="C2919">
        <v>0.97228793306592598</v>
      </c>
      <c r="D2919">
        <v>0.71671716058909396</v>
      </c>
      <c r="E2919">
        <v>0.42269555131626302</v>
      </c>
      <c r="F2919">
        <v>0.165440214725905</v>
      </c>
      <c r="G2919">
        <v>8.3363674808109606E-2</v>
      </c>
      <c r="H2919">
        <v>5.3936022195573398E-2</v>
      </c>
      <c r="I2919">
        <v>3.4431888958163501E-2</v>
      </c>
      <c r="J2919">
        <v>4.2512808081498397E-2</v>
      </c>
      <c r="K2919">
        <v>4.9534516642806198E-2</v>
      </c>
      <c r="L2919">
        <v>974.86158734102901</v>
      </c>
      <c r="M2919">
        <v>20.1455952912901</v>
      </c>
      <c r="N2919">
        <v>48.5816534076924</v>
      </c>
      <c r="O2919">
        <v>47.921555854835198</v>
      </c>
      <c r="P2919">
        <v>-0.101101563939745</v>
      </c>
      <c r="Q2919">
        <v>3.8044604252294299E-2</v>
      </c>
      <c r="R2919">
        <v>0.99760370347740801</v>
      </c>
      <c r="S2919" t="s">
        <v>9565</v>
      </c>
      <c r="T2919" t="s">
        <v>13290</v>
      </c>
      <c r="U2919" t="s">
        <v>13290</v>
      </c>
      <c r="V2919" t="s">
        <v>13290</v>
      </c>
      <c r="W2919" t="s">
        <v>16167</v>
      </c>
      <c r="X2919">
        <v>4</v>
      </c>
      <c r="Y2919" t="s">
        <v>22696</v>
      </c>
      <c r="Z2919" t="s">
        <v>29249</v>
      </c>
      <c r="AA2919">
        <v>0.32046853217346172</v>
      </c>
      <c r="AB2919" t="str">
        <f>HYPERLINK("Melting_Curves/meltCurve_P56182_RRP1.pdf", "Melting_Curves/meltCurve_P56182_RRP1.pdf")</f>
        <v>Melting_Curves/meltCurve_P56182_RRP1.pdf</v>
      </c>
    </row>
    <row r="2920" spans="1:28" x14ac:dyDescent="0.25">
      <c r="A2920" t="s">
        <v>2924</v>
      </c>
      <c r="B2920">
        <v>0.99252571173614901</v>
      </c>
      <c r="C2920">
        <v>0.90095894213249506</v>
      </c>
      <c r="D2920">
        <v>0.76583935449773399</v>
      </c>
      <c r="E2920">
        <v>0.51166205573867296</v>
      </c>
      <c r="F2920">
        <v>0.162288054133916</v>
      </c>
      <c r="G2920">
        <v>0.10416504422705899</v>
      </c>
      <c r="H2920">
        <v>7.4956549516110096E-2</v>
      </c>
      <c r="I2920">
        <v>8.2043446110946203E-2</v>
      </c>
      <c r="J2920">
        <v>9.0539064296409302E-2</v>
      </c>
      <c r="K2920">
        <v>8.54223404065131E-2</v>
      </c>
      <c r="L2920">
        <v>965.61702108684199</v>
      </c>
      <c r="M2920">
        <v>19.800783176508599</v>
      </c>
      <c r="N2920">
        <v>49.119865322718503</v>
      </c>
      <c r="O2920">
        <v>48.277400965957398</v>
      </c>
      <c r="P2920">
        <v>-9.5735077014340503E-2</v>
      </c>
      <c r="Q2920">
        <v>6.6363825724978301E-2</v>
      </c>
      <c r="R2920">
        <v>0.99296663375526495</v>
      </c>
      <c r="S2920" t="s">
        <v>9566</v>
      </c>
      <c r="T2920" t="s">
        <v>13290</v>
      </c>
      <c r="U2920" t="s">
        <v>13290</v>
      </c>
      <c r="V2920" t="s">
        <v>13290</v>
      </c>
      <c r="W2920" t="s">
        <v>16168</v>
      </c>
      <c r="X2920">
        <v>19</v>
      </c>
      <c r="Y2920" t="s">
        <v>22697</v>
      </c>
      <c r="Z2920" t="s">
        <v>29250</v>
      </c>
      <c r="AA2920">
        <v>0.35257293942013151</v>
      </c>
      <c r="AB2920" t="str">
        <f>HYPERLINK("Melting_Curves/meltCurve_P56192_MARS.pdf", "Melting_Curves/meltCurve_P56192_MARS.pdf")</f>
        <v>Melting_Curves/meltCurve_P56192_MARS.pdf</v>
      </c>
    </row>
    <row r="2921" spans="1:28" x14ac:dyDescent="0.25">
      <c r="A2921" t="s">
        <v>2925</v>
      </c>
      <c r="B2921">
        <v>0.99252571173614901</v>
      </c>
      <c r="C2921">
        <v>0.87247283573622603</v>
      </c>
      <c r="D2921">
        <v>0.92718897923524002</v>
      </c>
      <c r="E2921">
        <v>0.94884185405141797</v>
      </c>
      <c r="F2921">
        <v>0.837935133359892</v>
      </c>
      <c r="G2921">
        <v>0.641996222255384</v>
      </c>
      <c r="H2921">
        <v>0.59589902938132</v>
      </c>
      <c r="I2921">
        <v>0.67319204581854197</v>
      </c>
      <c r="J2921">
        <v>1.0708576513522801</v>
      </c>
      <c r="K2921">
        <v>0.70705585031777896</v>
      </c>
      <c r="L2921">
        <v>2208.6649512438498</v>
      </c>
      <c r="M2921">
        <v>42.510284358468098</v>
      </c>
      <c r="O2921">
        <v>51.841437058629801</v>
      </c>
      <c r="P2921">
        <v>-5.3221487366255302E-2</v>
      </c>
      <c r="Q2921">
        <v>0.74038529242134099</v>
      </c>
      <c r="R2921">
        <v>0.29234928536694299</v>
      </c>
      <c r="S2921" t="s">
        <v>9567</v>
      </c>
      <c r="T2921" t="s">
        <v>13290</v>
      </c>
      <c r="U2921" t="s">
        <v>13290</v>
      </c>
      <c r="V2921" t="s">
        <v>13290</v>
      </c>
      <c r="W2921" t="s">
        <v>16169</v>
      </c>
      <c r="X2921">
        <v>20</v>
      </c>
      <c r="Y2921" t="s">
        <v>22698</v>
      </c>
      <c r="Z2921" t="s">
        <v>29251</v>
      </c>
      <c r="AA2921">
        <v>0.84467509299808397</v>
      </c>
      <c r="AB2921" t="str">
        <f>HYPERLINK("Melting_Curves/meltCurve_P56199_ITGA1.pdf", "Melting_Curves/meltCurve_P56199_ITGA1.pdf")</f>
        <v>Melting_Curves/meltCurve_P56199_ITGA1.pdf</v>
      </c>
    </row>
    <row r="2922" spans="1:28" x14ac:dyDescent="0.25">
      <c r="A2922" t="s">
        <v>2926</v>
      </c>
      <c r="B2922">
        <v>0.99252571173614901</v>
      </c>
      <c r="C2922">
        <v>1.05990685679064</v>
      </c>
      <c r="D2922">
        <v>0.93540067275086303</v>
      </c>
      <c r="E2922">
        <v>0.86549690945083002</v>
      </c>
      <c r="F2922">
        <v>0.68309688119836798</v>
      </c>
      <c r="G2922">
        <v>0.55419529082338304</v>
      </c>
      <c r="H2922">
        <v>0.589514006508157</v>
      </c>
      <c r="I2922">
        <v>0.71224962015391702</v>
      </c>
      <c r="J2922">
        <v>1.0020689253500701</v>
      </c>
      <c r="K2922">
        <v>1.0145852730037901</v>
      </c>
      <c r="L2922">
        <v>1956.0558530483299</v>
      </c>
      <c r="M2922">
        <v>40.254437854047502</v>
      </c>
      <c r="O2922">
        <v>48.472849879635397</v>
      </c>
      <c r="P2922">
        <v>-4.9526843221012903E-2</v>
      </c>
      <c r="Q2922">
        <v>0.76144720903584295</v>
      </c>
      <c r="R2922">
        <v>0.34754271570665601</v>
      </c>
      <c r="S2922" t="s">
        <v>9568</v>
      </c>
      <c r="T2922" t="s">
        <v>13290</v>
      </c>
      <c r="U2922" t="s">
        <v>13290</v>
      </c>
      <c r="V2922" t="s">
        <v>13290</v>
      </c>
      <c r="W2922" t="s">
        <v>16170</v>
      </c>
      <c r="X2922">
        <v>6</v>
      </c>
      <c r="Y2922" t="s">
        <v>22699</v>
      </c>
      <c r="Z2922" t="s">
        <v>29252</v>
      </c>
      <c r="AA2922">
        <v>0.83056344416621386</v>
      </c>
      <c r="AB2922" t="str">
        <f>HYPERLINK("Melting_Curves/meltCurve_P56211_ARPP19.pdf", "Melting_Curves/meltCurve_P56211_ARPP19.pdf")</f>
        <v>Melting_Curves/meltCurve_P56211_ARPP19.pdf</v>
      </c>
    </row>
    <row r="2923" spans="1:28" x14ac:dyDescent="0.25">
      <c r="A2923" t="s">
        <v>2927</v>
      </c>
      <c r="B2923">
        <v>0.99252571173614901</v>
      </c>
      <c r="C2923">
        <v>1.10219853944107</v>
      </c>
      <c r="D2923">
        <v>0.91305063524037899</v>
      </c>
      <c r="E2923">
        <v>0.99564868916042304</v>
      </c>
      <c r="F2923">
        <v>0.52236592222556899</v>
      </c>
      <c r="G2923">
        <v>0.42352909851241699</v>
      </c>
      <c r="H2923">
        <v>0.37875643541169601</v>
      </c>
      <c r="I2923">
        <v>0.49283898248131502</v>
      </c>
      <c r="J2923">
        <v>0.65551179933820702</v>
      </c>
      <c r="K2923">
        <v>0.80266739545277299</v>
      </c>
      <c r="L2923">
        <v>12629.9602418139</v>
      </c>
      <c r="M2923">
        <v>250</v>
      </c>
      <c r="O2923">
        <v>50.516608049484297</v>
      </c>
      <c r="P2923">
        <v>-0.56176487050075896</v>
      </c>
      <c r="Q2923">
        <v>0.54594470821975705</v>
      </c>
      <c r="R2923">
        <v>0.77731907116864496</v>
      </c>
      <c r="S2923" t="s">
        <v>9569</v>
      </c>
      <c r="T2923" t="s">
        <v>13290</v>
      </c>
      <c r="U2923" t="s">
        <v>13290</v>
      </c>
      <c r="V2923" t="s">
        <v>13290</v>
      </c>
      <c r="W2923" t="s">
        <v>16171</v>
      </c>
      <c r="X2923">
        <v>7</v>
      </c>
      <c r="Y2923" t="s">
        <v>20173</v>
      </c>
      <c r="Z2923" t="s">
        <v>29253</v>
      </c>
      <c r="AA2923">
        <v>0.70520461412103519</v>
      </c>
      <c r="AB2923" t="str">
        <f>HYPERLINK("Melting_Curves/meltCurve_P56270_2_MAZ.pdf", "Melting_Curves/meltCurve_P56270_2_MAZ.pdf")</f>
        <v>Melting_Curves/meltCurve_P56270_2_MAZ.pdf</v>
      </c>
    </row>
    <row r="2924" spans="1:28" x14ac:dyDescent="0.25">
      <c r="A2924" t="s">
        <v>2928</v>
      </c>
      <c r="B2924">
        <v>0.99252571173614901</v>
      </c>
      <c r="C2924">
        <v>1.1272969519924601</v>
      </c>
      <c r="D2924">
        <v>0.99432936632032198</v>
      </c>
      <c r="E2924">
        <v>1.0665443398724399</v>
      </c>
      <c r="F2924">
        <v>0.74254678265059104</v>
      </c>
      <c r="G2924">
        <v>0.71064128732283105</v>
      </c>
      <c r="H2924">
        <v>0.80105088668851598</v>
      </c>
      <c r="I2924">
        <v>1.1277148908456101</v>
      </c>
      <c r="J2924">
        <v>1.5998245447761601</v>
      </c>
      <c r="K2924">
        <v>1.8675651863468901</v>
      </c>
      <c r="L2924">
        <v>15000</v>
      </c>
      <c r="M2924">
        <v>233.30544291905301</v>
      </c>
      <c r="O2924">
        <v>64.288672037689196</v>
      </c>
      <c r="P2924">
        <v>0.45362857996620398</v>
      </c>
      <c r="Q2924">
        <v>1.5</v>
      </c>
      <c r="R2924">
        <v>0.71176648970699197</v>
      </c>
      <c r="S2924" t="s">
        <v>9570</v>
      </c>
      <c r="T2924" t="s">
        <v>13290</v>
      </c>
      <c r="U2924" t="s">
        <v>13290</v>
      </c>
      <c r="V2924" t="s">
        <v>13290</v>
      </c>
      <c r="W2924" t="s">
        <v>16172</v>
      </c>
      <c r="X2924">
        <v>7</v>
      </c>
      <c r="Y2924" t="s">
        <v>22700</v>
      </c>
      <c r="Z2924" t="s">
        <v>29254</v>
      </c>
      <c r="AA2924">
        <v>1.095045229754894</v>
      </c>
      <c r="AB2924" t="str">
        <f>HYPERLINK("Melting_Curves/meltCurve_P56277_CMC4.pdf", "Melting_Curves/meltCurve_P56277_CMC4.pdf")</f>
        <v>Melting_Curves/meltCurve_P56277_CMC4.pdf</v>
      </c>
    </row>
    <row r="2925" spans="1:28" x14ac:dyDescent="0.25">
      <c r="A2925" t="s">
        <v>2929</v>
      </c>
      <c r="B2925">
        <v>0.99252571173614901</v>
      </c>
      <c r="C2925">
        <v>0.97279874973284897</v>
      </c>
      <c r="D2925">
        <v>0.94839159537330997</v>
      </c>
      <c r="E2925">
        <v>0.90635347491454099</v>
      </c>
      <c r="F2925">
        <v>0.59110539574181098</v>
      </c>
      <c r="G2925">
        <v>0.44586571931915803</v>
      </c>
      <c r="H2925">
        <v>0.449107396493091</v>
      </c>
      <c r="I2925">
        <v>0.42890792463466998</v>
      </c>
      <c r="J2925">
        <v>0.440135449571599</v>
      </c>
      <c r="K2925">
        <v>0.29591545495441801</v>
      </c>
      <c r="L2925">
        <v>1548.9842625387</v>
      </c>
      <c r="M2925">
        <v>29.773742285476199</v>
      </c>
      <c r="N2925">
        <v>54.984861362758998</v>
      </c>
      <c r="O2925">
        <v>51.792188984635303</v>
      </c>
      <c r="P2925">
        <v>-8.6329061548501701E-2</v>
      </c>
      <c r="Q2925">
        <v>0.39931768200080597</v>
      </c>
      <c r="R2925">
        <v>0.97392430125505802</v>
      </c>
      <c r="S2925" t="s">
        <v>9571</v>
      </c>
      <c r="T2925" t="s">
        <v>13290</v>
      </c>
      <c r="U2925" t="s">
        <v>13290</v>
      </c>
      <c r="V2925" t="s">
        <v>13290</v>
      </c>
      <c r="W2925" t="s">
        <v>16173</v>
      </c>
      <c r="X2925">
        <v>3</v>
      </c>
      <c r="Y2925" t="s">
        <v>22701</v>
      </c>
      <c r="Z2925" t="s">
        <v>29255</v>
      </c>
      <c r="AA2925">
        <v>0.64399224172980907</v>
      </c>
      <c r="AB2925" t="str">
        <f>HYPERLINK("Melting_Curves/meltCurve_P56378_MP68.pdf", "Melting_Curves/meltCurve_P56378_MP68.pdf")</f>
        <v>Melting_Curves/meltCurve_P56378_MP68.pdf</v>
      </c>
    </row>
    <row r="2926" spans="1:28" x14ac:dyDescent="0.25">
      <c r="A2926" t="s">
        <v>2930</v>
      </c>
      <c r="B2926">
        <v>0.99252571173614901</v>
      </c>
      <c r="C2926">
        <v>0.95024941917065897</v>
      </c>
      <c r="D2926">
        <v>1.0859370383090201</v>
      </c>
      <c r="E2926">
        <v>0.92657382915424302</v>
      </c>
      <c r="F2926">
        <v>0.82553946005450496</v>
      </c>
      <c r="G2926">
        <v>0.77569785943590497</v>
      </c>
      <c r="H2926">
        <v>1.0641908726604601</v>
      </c>
      <c r="I2926">
        <v>1.5737636400889301</v>
      </c>
      <c r="J2926">
        <v>0.98698594241126203</v>
      </c>
      <c r="K2926">
        <v>0.73550873446562604</v>
      </c>
      <c r="L2926">
        <v>15000</v>
      </c>
      <c r="M2926">
        <v>220.58266940388199</v>
      </c>
      <c r="O2926">
        <v>67.996126688515204</v>
      </c>
      <c r="P2926">
        <v>-0.21490069164429801</v>
      </c>
      <c r="Q2926">
        <v>0.73502153057698605</v>
      </c>
      <c r="R2926">
        <v>0.13920019342371001</v>
      </c>
      <c r="S2926" t="s">
        <v>9572</v>
      </c>
      <c r="T2926" t="s">
        <v>13290</v>
      </c>
      <c r="U2926" t="s">
        <v>13290</v>
      </c>
      <c r="V2926" t="s">
        <v>13290</v>
      </c>
      <c r="W2926" t="s">
        <v>16174</v>
      </c>
      <c r="X2926">
        <v>3</v>
      </c>
      <c r="Y2926" t="s">
        <v>22702</v>
      </c>
      <c r="Z2926" t="s">
        <v>29256</v>
      </c>
      <c r="AA2926">
        <v>0.98238518666992436</v>
      </c>
      <c r="AB2926" t="str">
        <f>HYPERLINK("Melting_Curves/meltCurve_P56381_ATP5E.pdf", "Melting_Curves/meltCurve_P56381_ATP5E.pdf")</f>
        <v>Melting_Curves/meltCurve_P56381_ATP5E.pdf</v>
      </c>
    </row>
    <row r="2927" spans="1:28" x14ac:dyDescent="0.25">
      <c r="A2927" t="s">
        <v>2931</v>
      </c>
      <c r="B2927">
        <v>0.99252571173614901</v>
      </c>
      <c r="C2927">
        <v>0.961526299657956</v>
      </c>
      <c r="D2927">
        <v>0.99479675756670405</v>
      </c>
      <c r="E2927">
        <v>0.974105633098723</v>
      </c>
      <c r="F2927">
        <v>0.79869048212896798</v>
      </c>
      <c r="G2927">
        <v>0.64948845650488196</v>
      </c>
      <c r="H2927">
        <v>0.74818592501106596</v>
      </c>
      <c r="I2927">
        <v>0.84591647947022197</v>
      </c>
      <c r="J2927">
        <v>1.01779217408143</v>
      </c>
      <c r="K2927">
        <v>0.92278311355685605</v>
      </c>
      <c r="L2927">
        <v>12484.9751921069</v>
      </c>
      <c r="M2927">
        <v>250</v>
      </c>
      <c r="O2927">
        <v>49.936720407681399</v>
      </c>
      <c r="P2927">
        <v>-0.212173463881904</v>
      </c>
      <c r="Q2927">
        <v>0.830476101333114</v>
      </c>
      <c r="R2927">
        <v>0.38310556617613001</v>
      </c>
      <c r="S2927" t="s">
        <v>9573</v>
      </c>
      <c r="T2927" t="s">
        <v>13290</v>
      </c>
      <c r="U2927" t="s">
        <v>13290</v>
      </c>
      <c r="V2927" t="s">
        <v>13290</v>
      </c>
      <c r="W2927" t="s">
        <v>16175</v>
      </c>
      <c r="X2927">
        <v>5</v>
      </c>
      <c r="Y2927" t="s">
        <v>22703</v>
      </c>
      <c r="Z2927" t="s">
        <v>29257</v>
      </c>
      <c r="AA2927">
        <v>0.88665931673060006</v>
      </c>
      <c r="AB2927" t="str">
        <f>HYPERLINK("Melting_Curves/meltCurve_P56385_ATP5I.pdf", "Melting_Curves/meltCurve_P56385_ATP5I.pdf")</f>
        <v>Melting_Curves/meltCurve_P56385_ATP5I.pdf</v>
      </c>
    </row>
    <row r="2928" spans="1:28" x14ac:dyDescent="0.25">
      <c r="A2928" t="s">
        <v>2932</v>
      </c>
      <c r="B2928">
        <v>0.99252571173614901</v>
      </c>
      <c r="C2928">
        <v>1.0342048233665899</v>
      </c>
      <c r="D2928">
        <v>0.96319128854232094</v>
      </c>
      <c r="E2928">
        <v>0.92546613923830501</v>
      </c>
      <c r="F2928">
        <v>0.65274223504587103</v>
      </c>
      <c r="G2928">
        <v>0.41217831155288198</v>
      </c>
      <c r="H2928">
        <v>0.267562630313468</v>
      </c>
      <c r="I2928">
        <v>0.24609258553924701</v>
      </c>
      <c r="J2928">
        <v>0.24402124478967199</v>
      </c>
      <c r="K2928">
        <v>0.22503736066736801</v>
      </c>
      <c r="L2928">
        <v>1275.6146192275601</v>
      </c>
      <c r="M2928">
        <v>23.710632652893</v>
      </c>
      <c r="N2928">
        <v>55.221861062669198</v>
      </c>
      <c r="O2928">
        <v>53.420959495539101</v>
      </c>
      <c r="P2928">
        <v>-8.5602780768701606E-2</v>
      </c>
      <c r="Q2928">
        <v>0.22854743552869</v>
      </c>
      <c r="R2928">
        <v>0.99761859433391598</v>
      </c>
      <c r="S2928" t="s">
        <v>9574</v>
      </c>
      <c r="T2928" t="s">
        <v>13290</v>
      </c>
      <c r="U2928" t="s">
        <v>13290</v>
      </c>
      <c r="V2928" t="s">
        <v>13290</v>
      </c>
      <c r="W2928" t="s">
        <v>16176</v>
      </c>
      <c r="X2928">
        <v>19</v>
      </c>
      <c r="Y2928" t="s">
        <v>22704</v>
      </c>
      <c r="Z2928" t="s">
        <v>29258</v>
      </c>
      <c r="AA2928">
        <v>0.5912499547267499</v>
      </c>
      <c r="AB2928" t="str">
        <f>HYPERLINK("Melting_Curves/meltCurve_P56524_HDAC4.pdf", "Melting_Curves/meltCurve_P56524_HDAC4.pdf")</f>
        <v>Melting_Curves/meltCurve_P56524_HDAC4.pdf</v>
      </c>
    </row>
    <row r="2929" spans="1:28" x14ac:dyDescent="0.25">
      <c r="A2929" t="s">
        <v>2933</v>
      </c>
      <c r="B2929">
        <v>0.99252571173614901</v>
      </c>
      <c r="C2929">
        <v>1.0885784968004899</v>
      </c>
      <c r="D2929">
        <v>1.03386957321345</v>
      </c>
      <c r="E2929">
        <v>1.04147176602161</v>
      </c>
      <c r="F2929">
        <v>1.0312631056322099</v>
      </c>
      <c r="G2929">
        <v>0.94944307144960804</v>
      </c>
      <c r="H2929">
        <v>0.76942355373820703</v>
      </c>
      <c r="I2929">
        <v>0.25251266321313198</v>
      </c>
      <c r="J2929">
        <v>0.12027168403001701</v>
      </c>
      <c r="K2929">
        <v>0.10654736215270801</v>
      </c>
      <c r="L2929">
        <v>3171.0193322034602</v>
      </c>
      <c r="M2929">
        <v>51.118381671146203</v>
      </c>
      <c r="N2929">
        <v>62.310004201954598</v>
      </c>
      <c r="O2929">
        <v>61.938142955032397</v>
      </c>
      <c r="P2929">
        <v>-0.18534786721590599</v>
      </c>
      <c r="Q2929">
        <v>0.101685666669872</v>
      </c>
      <c r="R2929">
        <v>0.99101833322874899</v>
      </c>
      <c r="S2929" t="s">
        <v>9575</v>
      </c>
      <c r="T2929" t="s">
        <v>13290</v>
      </c>
      <c r="U2929" t="s">
        <v>13290</v>
      </c>
      <c r="V2929" t="s">
        <v>13290</v>
      </c>
      <c r="W2929" t="s">
        <v>16177</v>
      </c>
      <c r="X2929">
        <v>8</v>
      </c>
      <c r="Y2929" t="s">
        <v>22705</v>
      </c>
      <c r="Z2929" t="s">
        <v>29259</v>
      </c>
      <c r="AA2929">
        <v>0.76364063874831556</v>
      </c>
      <c r="AB2929" t="str">
        <f>HYPERLINK("Melting_Curves/meltCurve_P56537_EIF6.pdf", "Melting_Curves/meltCurve_P56537_EIF6.pdf")</f>
        <v>Melting_Curves/meltCurve_P56537_EIF6.pdf</v>
      </c>
    </row>
    <row r="2930" spans="1:28" x14ac:dyDescent="0.25">
      <c r="A2930" t="s">
        <v>2934</v>
      </c>
      <c r="B2930">
        <v>0.99252571173614901</v>
      </c>
      <c r="C2930">
        <v>0.90623289696672504</v>
      </c>
      <c r="D2930">
        <v>1.0275421135431999</v>
      </c>
      <c r="E2930">
        <v>0.91882674205364001</v>
      </c>
      <c r="F2930">
        <v>0.87859213413082804</v>
      </c>
      <c r="G2930">
        <v>0.62452843428158999</v>
      </c>
      <c r="H2930">
        <v>0.33399064541618101</v>
      </c>
      <c r="I2930">
        <v>0.129600770056508</v>
      </c>
      <c r="J2930">
        <v>0.114432447263997</v>
      </c>
      <c r="K2930">
        <v>0.106742719349636</v>
      </c>
      <c r="L2930">
        <v>1201.15871284892</v>
      </c>
      <c r="M2930">
        <v>20.748572419508601</v>
      </c>
      <c r="N2930">
        <v>58.2493107766104</v>
      </c>
      <c r="O2930">
        <v>57.361440974112199</v>
      </c>
      <c r="P2930">
        <v>-8.5016043140891895E-2</v>
      </c>
      <c r="Q2930">
        <v>5.9886075808788401E-2</v>
      </c>
      <c r="R2930">
        <v>0.98882639225552704</v>
      </c>
      <c r="S2930" t="s">
        <v>9576</v>
      </c>
      <c r="T2930" t="s">
        <v>13290</v>
      </c>
      <c r="U2930" t="s">
        <v>13290</v>
      </c>
      <c r="V2930" t="s">
        <v>13290</v>
      </c>
      <c r="W2930" t="s">
        <v>16178</v>
      </c>
      <c r="X2930">
        <v>16</v>
      </c>
      <c r="Y2930" t="s">
        <v>22706</v>
      </c>
      <c r="Z2930" t="s">
        <v>29260</v>
      </c>
      <c r="AA2930">
        <v>0.6309049921003107</v>
      </c>
      <c r="AB2930" t="str">
        <f>HYPERLINK("Melting_Curves/meltCurve_P56545_2_CTBP2.pdf", "Melting_Curves/meltCurve_P56545_2_CTBP2.pdf")</f>
        <v>Melting_Curves/meltCurve_P56545_2_CTBP2.pdf</v>
      </c>
    </row>
    <row r="2931" spans="1:28" x14ac:dyDescent="0.25">
      <c r="A2931" t="s">
        <v>2935</v>
      </c>
      <c r="B2931">
        <v>0.99252571173614901</v>
      </c>
      <c r="C2931">
        <v>0.84368140932611801</v>
      </c>
      <c r="D2931">
        <v>0.57165966187983996</v>
      </c>
      <c r="E2931">
        <v>0.42055982553302501</v>
      </c>
      <c r="F2931">
        <v>0.172774877320019</v>
      </c>
      <c r="G2931">
        <v>0.11180515067159599</v>
      </c>
      <c r="H2931">
        <v>0.120841604806962</v>
      </c>
      <c r="I2931">
        <v>8.3949694433134395E-2</v>
      </c>
      <c r="J2931">
        <v>9.482649125466E-2</v>
      </c>
      <c r="K2931">
        <v>8.5717426541777303E-2</v>
      </c>
      <c r="L2931">
        <v>759.93555222586201</v>
      </c>
      <c r="M2931">
        <v>16.1610622191616</v>
      </c>
      <c r="N2931">
        <v>47.533452902970097</v>
      </c>
      <c r="O2931">
        <v>46.320342856892601</v>
      </c>
      <c r="P2931">
        <v>-8.0277375031436796E-2</v>
      </c>
      <c r="Q2931">
        <v>7.9715504220550695E-2</v>
      </c>
      <c r="R2931">
        <v>0.99036349705264404</v>
      </c>
      <c r="S2931" t="s">
        <v>9577</v>
      </c>
      <c r="T2931" t="s">
        <v>13290</v>
      </c>
      <c r="U2931" t="s">
        <v>13290</v>
      </c>
      <c r="V2931" t="s">
        <v>13290</v>
      </c>
      <c r="W2931" t="s">
        <v>16179</v>
      </c>
      <c r="X2931">
        <v>5</v>
      </c>
      <c r="Y2931" t="s">
        <v>22707</v>
      </c>
      <c r="Z2931" t="s">
        <v>29261</v>
      </c>
      <c r="AA2931">
        <v>0.31651544916751623</v>
      </c>
      <c r="AB2931" t="str">
        <f>HYPERLINK("Melting_Curves/meltCurve_P56556_NDUFA6.pdf", "Melting_Curves/meltCurve_P56556_NDUFA6.pdf")</f>
        <v>Melting_Curves/meltCurve_P56556_NDUFA6.pdf</v>
      </c>
    </row>
    <row r="2932" spans="1:28" x14ac:dyDescent="0.25">
      <c r="A2932" t="s">
        <v>2936</v>
      </c>
      <c r="B2932">
        <v>0.99252571173614901</v>
      </c>
      <c r="C2932">
        <v>0.95417822322468904</v>
      </c>
      <c r="D2932">
        <v>0.90277059950965999</v>
      </c>
      <c r="E2932">
        <v>1.2387372942253301</v>
      </c>
      <c r="F2932">
        <v>0.793697398285789</v>
      </c>
      <c r="G2932">
        <v>0.70096775370897602</v>
      </c>
      <c r="H2932">
        <v>0.76057905150738003</v>
      </c>
      <c r="I2932">
        <v>2.3424532520790402</v>
      </c>
      <c r="J2932">
        <v>5.0353958795285596</v>
      </c>
      <c r="K2932">
        <v>6.5015958298665</v>
      </c>
      <c r="L2932">
        <v>7633.7524005290297</v>
      </c>
      <c r="M2932">
        <v>123.038554337607</v>
      </c>
      <c r="O2932">
        <v>62.027194530041001</v>
      </c>
      <c r="P2932">
        <v>0.247952853111882</v>
      </c>
      <c r="Q2932">
        <v>1.5</v>
      </c>
      <c r="R2932">
        <v>-9.4394802053872108E-3</v>
      </c>
      <c r="S2932" t="s">
        <v>9578</v>
      </c>
      <c r="T2932" t="s">
        <v>13290</v>
      </c>
      <c r="U2932" t="s">
        <v>13290</v>
      </c>
      <c r="V2932" t="s">
        <v>13290</v>
      </c>
      <c r="W2932" t="s">
        <v>16180</v>
      </c>
      <c r="X2932">
        <v>1</v>
      </c>
      <c r="Y2932" t="s">
        <v>22708</v>
      </c>
      <c r="Z2932" t="s">
        <v>29262</v>
      </c>
      <c r="AA2932">
        <v>1.1323820821612161</v>
      </c>
      <c r="AB2932" t="str">
        <f>HYPERLINK("Melting_Curves/meltCurve_P56559_ARL4C.pdf", "Melting_Curves/meltCurve_P56559_ARL4C.pdf")</f>
        <v>Melting_Curves/meltCurve_P56559_ARL4C.pdf</v>
      </c>
    </row>
    <row r="2933" spans="1:28" x14ac:dyDescent="0.25">
      <c r="A2933" t="s">
        <v>2937</v>
      </c>
      <c r="B2933">
        <v>0.99252571173614901</v>
      </c>
      <c r="C2933">
        <v>0.77427471211340104</v>
      </c>
      <c r="D2933">
        <v>0.57746752550724501</v>
      </c>
      <c r="E2933">
        <v>0.28813509507944501</v>
      </c>
      <c r="F2933">
        <v>0.14500925235794701</v>
      </c>
      <c r="G2933">
        <v>8.24913059149672E-2</v>
      </c>
      <c r="H2933">
        <v>5.9327901440613402E-2</v>
      </c>
      <c r="I2933">
        <v>7.3173193722086902E-2</v>
      </c>
      <c r="J2933">
        <v>7.1014435162105802E-2</v>
      </c>
      <c r="K2933">
        <v>5.0883979972642698E-2</v>
      </c>
      <c r="L2933">
        <v>805.86461992191698</v>
      </c>
      <c r="M2933">
        <v>17.372089035030999</v>
      </c>
      <c r="N2933">
        <v>46.697799227919901</v>
      </c>
      <c r="O2933">
        <v>45.786857719088303</v>
      </c>
      <c r="P2933">
        <v>-8.9702841587371407E-2</v>
      </c>
      <c r="Q2933">
        <v>5.4349943459930099E-2</v>
      </c>
      <c r="R2933">
        <v>0.99562444385465299</v>
      </c>
      <c r="S2933" t="s">
        <v>9579</v>
      </c>
      <c r="T2933" t="s">
        <v>13290</v>
      </c>
      <c r="U2933" t="s">
        <v>13290</v>
      </c>
      <c r="V2933" t="s">
        <v>13290</v>
      </c>
      <c r="W2933" t="s">
        <v>16181</v>
      </c>
      <c r="X2933">
        <v>3</v>
      </c>
      <c r="Y2933" t="s">
        <v>22709</v>
      </c>
      <c r="Z2933" t="s">
        <v>29263</v>
      </c>
      <c r="AA2933">
        <v>0.27526309363328311</v>
      </c>
      <c r="AB2933" t="str">
        <f>HYPERLINK("Melting_Curves/meltCurve_P56589_PEX3.pdf", "Melting_Curves/meltCurve_P56589_PEX3.pdf")</f>
        <v>Melting_Curves/meltCurve_P56589_PEX3.pdf</v>
      </c>
    </row>
    <row r="2934" spans="1:28" x14ac:dyDescent="0.25">
      <c r="A2934" t="s">
        <v>2938</v>
      </c>
      <c r="B2934">
        <v>0.99252571173614901</v>
      </c>
      <c r="C2934">
        <v>0.99074327898226899</v>
      </c>
      <c r="D2934">
        <v>0.90400217622993795</v>
      </c>
      <c r="E2934">
        <v>0.63603591094518297</v>
      </c>
      <c r="F2934">
        <v>0.210635450128104</v>
      </c>
      <c r="G2934">
        <v>0.113591060911339</v>
      </c>
      <c r="H2934">
        <v>8.1388491756112194E-2</v>
      </c>
      <c r="I2934">
        <v>8.0190455706515507E-2</v>
      </c>
      <c r="J2934">
        <v>9.71819069551626E-2</v>
      </c>
      <c r="K2934">
        <v>9.7277728996953805E-2</v>
      </c>
      <c r="L2934">
        <v>1467.59296792583</v>
      </c>
      <c r="M2934">
        <v>29.260700108322499</v>
      </c>
      <c r="N2934">
        <v>50.475626812187102</v>
      </c>
      <c r="O2934">
        <v>49.923252488562497</v>
      </c>
      <c r="P2934">
        <v>-0.13413000488451801</v>
      </c>
      <c r="Q2934">
        <v>8.4620855441400494E-2</v>
      </c>
      <c r="R2934">
        <v>0.99839625754847805</v>
      </c>
      <c r="S2934" t="s">
        <v>9580</v>
      </c>
      <c r="T2934" t="s">
        <v>13290</v>
      </c>
      <c r="U2934" t="s">
        <v>13290</v>
      </c>
      <c r="V2934" t="s">
        <v>13290</v>
      </c>
      <c r="W2934" t="s">
        <v>16182</v>
      </c>
      <c r="X2934">
        <v>7</v>
      </c>
      <c r="Y2934" t="s">
        <v>22710</v>
      </c>
      <c r="Z2934" t="s">
        <v>29264</v>
      </c>
      <c r="AA2934">
        <v>0.40046971678698268</v>
      </c>
      <c r="AB2934" t="str">
        <f>HYPERLINK("Melting_Curves/meltCurve_P56937_3_HSD17B7.pdf", "Melting_Curves/meltCurve_P56937_3_HSD17B7.pdf")</f>
        <v>Melting_Curves/meltCurve_P56937_3_HSD17B7.pdf</v>
      </c>
    </row>
    <row r="2935" spans="1:28" x14ac:dyDescent="0.25">
      <c r="A2935" t="s">
        <v>2939</v>
      </c>
      <c r="B2935">
        <v>0.99252571173614901</v>
      </c>
      <c r="C2935">
        <v>1.0307716211717299</v>
      </c>
      <c r="D2935">
        <v>0.79364473685926895</v>
      </c>
      <c r="E2935">
        <v>0.54984888767898299</v>
      </c>
      <c r="F2935">
        <v>0.278066048766481</v>
      </c>
      <c r="G2935">
        <v>0.18256405462872799</v>
      </c>
      <c r="H2935">
        <v>0.14072367880468201</v>
      </c>
      <c r="I2935">
        <v>0.158588320672365</v>
      </c>
      <c r="J2935">
        <v>0.184413331275641</v>
      </c>
      <c r="K2935">
        <v>0.188971242900349</v>
      </c>
      <c r="L2935">
        <v>1095.1075957329899</v>
      </c>
      <c r="M2935">
        <v>22.352526051735101</v>
      </c>
      <c r="N2935">
        <v>49.859408882090598</v>
      </c>
      <c r="O2935">
        <v>48.605494521192902</v>
      </c>
      <c r="P2935">
        <v>-9.6460908340794294E-2</v>
      </c>
      <c r="Q2935">
        <v>0.161001893510686</v>
      </c>
      <c r="R2935">
        <v>0.99188528714445701</v>
      </c>
      <c r="S2935" t="s">
        <v>9581</v>
      </c>
      <c r="T2935" t="s">
        <v>13290</v>
      </c>
      <c r="U2935" t="s">
        <v>13290</v>
      </c>
      <c r="V2935" t="s">
        <v>13290</v>
      </c>
      <c r="W2935" t="s">
        <v>16183</v>
      </c>
      <c r="X2935">
        <v>7</v>
      </c>
      <c r="Y2935" t="s">
        <v>22711</v>
      </c>
      <c r="Z2935" t="s">
        <v>29265</v>
      </c>
      <c r="AA2935">
        <v>0.42185499821123262</v>
      </c>
      <c r="AB2935" t="str">
        <f>HYPERLINK("Melting_Curves/meltCurve_P56945_5_BCAR1.pdf", "Melting_Curves/meltCurve_P56945_5_BCAR1.pdf")</f>
        <v>Melting_Curves/meltCurve_P56945_5_BCAR1.pdf</v>
      </c>
    </row>
    <row r="2936" spans="1:28" x14ac:dyDescent="0.25">
      <c r="A2936" t="s">
        <v>2940</v>
      </c>
      <c r="B2936">
        <v>0.99252571173614901</v>
      </c>
      <c r="C2936">
        <v>0.91550411119287201</v>
      </c>
      <c r="D2936">
        <v>0.85123024265760106</v>
      </c>
      <c r="E2936">
        <v>0.52144481910192197</v>
      </c>
      <c r="F2936">
        <v>0.17980956081852201</v>
      </c>
      <c r="G2936">
        <v>9.3281925944155006E-2</v>
      </c>
      <c r="H2936">
        <v>6.8598913919660498E-2</v>
      </c>
      <c r="I2936">
        <v>8.20234442075089E-2</v>
      </c>
      <c r="J2936">
        <v>0.109375948860591</v>
      </c>
      <c r="K2936">
        <v>9.7957476657317799E-2</v>
      </c>
      <c r="L2936">
        <v>1200.16480472632</v>
      </c>
      <c r="M2936">
        <v>24.387307321265901</v>
      </c>
      <c r="N2936">
        <v>49.559936333055497</v>
      </c>
      <c r="O2936">
        <v>48.885359312211101</v>
      </c>
      <c r="P2936">
        <v>-0.11492372750853</v>
      </c>
      <c r="Q2936">
        <v>7.8536342468539994E-2</v>
      </c>
      <c r="R2936">
        <v>0.99491028578373997</v>
      </c>
      <c r="S2936" t="s">
        <v>9582</v>
      </c>
      <c r="T2936" t="s">
        <v>13290</v>
      </c>
      <c r="U2936" t="s">
        <v>13290</v>
      </c>
      <c r="V2936" t="s">
        <v>13290</v>
      </c>
      <c r="W2936" t="s">
        <v>16184</v>
      </c>
      <c r="X2936">
        <v>5</v>
      </c>
      <c r="Y2936" t="s">
        <v>22712</v>
      </c>
      <c r="Z2936" t="s">
        <v>29266</v>
      </c>
      <c r="AA2936">
        <v>0.37011212853986941</v>
      </c>
      <c r="AB2936" t="str">
        <f>HYPERLINK("Melting_Curves/meltCurve_P56962_STX17.pdf", "Melting_Curves/meltCurve_P56962_STX17.pdf")</f>
        <v>Melting_Curves/meltCurve_P56962_STX17.pdf</v>
      </c>
    </row>
    <row r="2937" spans="1:28" x14ac:dyDescent="0.25">
      <c r="A2937" t="s">
        <v>2941</v>
      </c>
      <c r="B2937">
        <v>0.99252571173614901</v>
      </c>
      <c r="C2937">
        <v>0.98105387252333098</v>
      </c>
      <c r="D2937">
        <v>0.88492929357018302</v>
      </c>
      <c r="E2937">
        <v>0.701518752014895</v>
      </c>
      <c r="F2937">
        <v>0.48045241086581503</v>
      </c>
      <c r="G2937">
        <v>0.39709502982644401</v>
      </c>
      <c r="H2937">
        <v>0.314192278772011</v>
      </c>
      <c r="I2937">
        <v>0.37371445581047102</v>
      </c>
      <c r="J2937">
        <v>0.52356364748833795</v>
      </c>
      <c r="K2937">
        <v>0.50685035575384396</v>
      </c>
      <c r="L2937">
        <v>1280.08512925128</v>
      </c>
      <c r="M2937">
        <v>26.053499302408301</v>
      </c>
      <c r="N2937">
        <v>52.8363631858468</v>
      </c>
      <c r="O2937">
        <v>48.846221438564498</v>
      </c>
      <c r="P2937">
        <v>-7.7409513431142996E-2</v>
      </c>
      <c r="Q2937">
        <v>0.41948388096026401</v>
      </c>
      <c r="R2937">
        <v>0.93940189052014</v>
      </c>
      <c r="S2937" t="s">
        <v>9583</v>
      </c>
      <c r="T2937" t="s">
        <v>13290</v>
      </c>
      <c r="U2937" t="s">
        <v>13290</v>
      </c>
      <c r="V2937" t="s">
        <v>13290</v>
      </c>
      <c r="W2937" t="s">
        <v>16185</v>
      </c>
      <c r="X2937">
        <v>1</v>
      </c>
      <c r="Y2937" t="s">
        <v>22713</v>
      </c>
      <c r="Z2937" t="s">
        <v>29267</v>
      </c>
      <c r="AA2937">
        <v>0.60094166584890185</v>
      </c>
      <c r="AB2937" t="str">
        <f>HYPERLINK("Melting_Curves/meltCurve_P57054_3_PIGP.pdf", "Melting_Curves/meltCurve_P57054_3_PIGP.pdf")</f>
        <v>Melting_Curves/meltCurve_P57054_3_PIGP.pdf</v>
      </c>
    </row>
    <row r="2938" spans="1:28" x14ac:dyDescent="0.25">
      <c r="A2938" t="s">
        <v>2942</v>
      </c>
      <c r="B2938">
        <v>0.99252571173614901</v>
      </c>
      <c r="C2938">
        <v>1.07883771444037</v>
      </c>
      <c r="D2938">
        <v>0.85778789922325205</v>
      </c>
      <c r="E2938">
        <v>0.73140679855021196</v>
      </c>
      <c r="F2938">
        <v>0.365959517242051</v>
      </c>
      <c r="G2938">
        <v>0.252291195113379</v>
      </c>
      <c r="H2938">
        <v>0.221779158915939</v>
      </c>
      <c r="I2938">
        <v>0.309717304624329</v>
      </c>
      <c r="J2938">
        <v>0.32558330352882398</v>
      </c>
      <c r="K2938">
        <v>0.29640178076259299</v>
      </c>
      <c r="L2938">
        <v>1485.8020456623201</v>
      </c>
      <c r="M2938">
        <v>29.643682390742899</v>
      </c>
      <c r="N2938">
        <v>51.507906122920403</v>
      </c>
      <c r="O2938">
        <v>49.895604877846402</v>
      </c>
      <c r="P2938">
        <v>-0.107714826289044</v>
      </c>
      <c r="Q2938">
        <v>0.27479180583773199</v>
      </c>
      <c r="R2938">
        <v>0.97298530316577203</v>
      </c>
      <c r="S2938" t="s">
        <v>9584</v>
      </c>
      <c r="T2938" t="s">
        <v>13290</v>
      </c>
      <c r="U2938" t="s">
        <v>13290</v>
      </c>
      <c r="V2938" t="s">
        <v>13290</v>
      </c>
      <c r="W2938" t="s">
        <v>16186</v>
      </c>
      <c r="X2938">
        <v>4</v>
      </c>
      <c r="Y2938" t="s">
        <v>22714</v>
      </c>
      <c r="Z2938" t="s">
        <v>29268</v>
      </c>
      <c r="AA2938">
        <v>0.52408244963609474</v>
      </c>
      <c r="AB2938" t="str">
        <f>HYPERLINK("Melting_Curves/meltCurve_P57060_RWDD2B.pdf", "Melting_Curves/meltCurve_P57060_RWDD2B.pdf")</f>
        <v>Melting_Curves/meltCurve_P57060_RWDD2B.pdf</v>
      </c>
    </row>
    <row r="2939" spans="1:28" x14ac:dyDescent="0.25">
      <c r="A2939" t="s">
        <v>2943</v>
      </c>
      <c r="B2939">
        <v>0.99252571173614901</v>
      </c>
      <c r="C2939">
        <v>0.97562859911017996</v>
      </c>
      <c r="D2939">
        <v>0.314075700455065</v>
      </c>
      <c r="E2939">
        <v>0.13796551402804599</v>
      </c>
      <c r="F2939">
        <v>6.9625870109940896E-2</v>
      </c>
      <c r="G2939">
        <v>3.8693164120681002E-2</v>
      </c>
      <c r="H2939">
        <v>2.62766032310204E-2</v>
      </c>
      <c r="I2939">
        <v>3.1251586251777402E-2</v>
      </c>
      <c r="J2939">
        <v>3.2996627545953498E-2</v>
      </c>
      <c r="K2939">
        <v>3.11953044593699E-2</v>
      </c>
      <c r="L2939">
        <v>2616.9397198524398</v>
      </c>
      <c r="M2939">
        <v>57.822513316875899</v>
      </c>
      <c r="N2939">
        <v>45.342826207593497</v>
      </c>
      <c r="O2939">
        <v>45.204099927251001</v>
      </c>
      <c r="P2939">
        <v>-0.3034197636814</v>
      </c>
      <c r="Q2939">
        <v>5.11783492697441E-2</v>
      </c>
      <c r="R2939">
        <v>0.99337395614346902</v>
      </c>
      <c r="S2939" t="s">
        <v>9585</v>
      </c>
      <c r="T2939" t="s">
        <v>13290</v>
      </c>
      <c r="U2939" t="s">
        <v>13290</v>
      </c>
      <c r="V2939" t="s">
        <v>13290</v>
      </c>
      <c r="W2939" t="s">
        <v>16187</v>
      </c>
      <c r="X2939">
        <v>8</v>
      </c>
      <c r="Y2939" t="s">
        <v>22715</v>
      </c>
      <c r="Z2939" t="s">
        <v>29269</v>
      </c>
      <c r="AA2939">
        <v>0.21890347748203731</v>
      </c>
      <c r="AB2939" t="str">
        <f>HYPERLINK("Melting_Curves/meltCurve_P57076_C21orf59.pdf", "Melting_Curves/meltCurve_P57076_C21orf59.pdf")</f>
        <v>Melting_Curves/meltCurve_P57076_C21orf59.pdf</v>
      </c>
    </row>
    <row r="2940" spans="1:28" x14ac:dyDescent="0.25">
      <c r="A2940" t="s">
        <v>2944</v>
      </c>
      <c r="B2940">
        <v>0.99252571173614901</v>
      </c>
      <c r="C2940">
        <v>1.03687486148293</v>
      </c>
      <c r="D2940">
        <v>1.05818304373358</v>
      </c>
      <c r="E2940">
        <v>1.0501522051068599</v>
      </c>
      <c r="F2940">
        <v>0.66195583893394705</v>
      </c>
      <c r="G2940">
        <v>0.154683508013989</v>
      </c>
      <c r="H2940">
        <v>8.0279824680380904E-2</v>
      </c>
      <c r="I2940">
        <v>8.8462749329118406E-2</v>
      </c>
      <c r="J2940">
        <v>0.101851399636322</v>
      </c>
      <c r="K2940">
        <v>9.29987931232127E-2</v>
      </c>
      <c r="L2940">
        <v>2947.5898670892202</v>
      </c>
      <c r="M2940">
        <v>54.859525532424698</v>
      </c>
      <c r="N2940">
        <v>53.934468409712899</v>
      </c>
      <c r="O2940">
        <v>53.658519117082101</v>
      </c>
      <c r="P2940">
        <v>-0.23157484688895399</v>
      </c>
      <c r="Q2940">
        <v>9.3980057208842602E-2</v>
      </c>
      <c r="R2940">
        <v>0.99539884458220396</v>
      </c>
      <c r="S2940" t="s">
        <v>9586</v>
      </c>
      <c r="T2940" t="s">
        <v>13290</v>
      </c>
      <c r="U2940" t="s">
        <v>13290</v>
      </c>
      <c r="V2940" t="s">
        <v>13290</v>
      </c>
      <c r="W2940" t="s">
        <v>16188</v>
      </c>
      <c r="X2940">
        <v>7</v>
      </c>
      <c r="Y2940" t="s">
        <v>22716</v>
      </c>
      <c r="Z2940" t="s">
        <v>29270</v>
      </c>
      <c r="AA2940">
        <v>0.51041021834851363</v>
      </c>
      <c r="AB2940" t="str">
        <f>HYPERLINK("Melting_Curves/meltCurve_P57081_2_WDR4.pdf", "Melting_Curves/meltCurve_P57081_2_WDR4.pdf")</f>
        <v>Melting_Curves/meltCurve_P57081_2_WDR4.pdf</v>
      </c>
    </row>
    <row r="2941" spans="1:28" x14ac:dyDescent="0.25">
      <c r="A2941" t="s">
        <v>2945</v>
      </c>
      <c r="B2941">
        <v>0.99252571173614901</v>
      </c>
      <c r="C2941">
        <v>0.81951786647095604</v>
      </c>
      <c r="D2941">
        <v>0.78162660444426502</v>
      </c>
      <c r="E2941">
        <v>0.57709991647752801</v>
      </c>
      <c r="F2941">
        <v>0.55757458845275298</v>
      </c>
      <c r="G2941">
        <v>0.38082344763005299</v>
      </c>
      <c r="H2941">
        <v>0.258260374880803</v>
      </c>
      <c r="I2941">
        <v>0.12770305045053801</v>
      </c>
      <c r="J2941">
        <v>7.4246907137558604E-2</v>
      </c>
      <c r="K2941">
        <v>6.3948202238221799E-2</v>
      </c>
      <c r="L2941">
        <v>471.34937711876398</v>
      </c>
      <c r="M2941">
        <v>8.9491474640179298</v>
      </c>
      <c r="N2941">
        <v>52.6697502332906</v>
      </c>
      <c r="O2941">
        <v>50.239062733368698</v>
      </c>
      <c r="P2941">
        <v>-4.4565859416336701E-2</v>
      </c>
      <c r="Q2941">
        <v>0</v>
      </c>
      <c r="R2941">
        <v>0.97581418525485897</v>
      </c>
      <c r="S2941" t="s">
        <v>9587</v>
      </c>
      <c r="T2941" t="s">
        <v>13290</v>
      </c>
      <c r="U2941" t="s">
        <v>13290</v>
      </c>
      <c r="V2941" t="s">
        <v>13290</v>
      </c>
      <c r="W2941" t="s">
        <v>16189</v>
      </c>
      <c r="X2941">
        <v>7</v>
      </c>
      <c r="Y2941" t="s">
        <v>22717</v>
      </c>
      <c r="Z2941" t="s">
        <v>29271</v>
      </c>
      <c r="AA2941">
        <v>0.461543757731673</v>
      </c>
      <c r="AB2941" t="str">
        <f>HYPERLINK("Melting_Curves/meltCurve_P57088_TMEM33.pdf", "Melting_Curves/meltCurve_P57088_TMEM33.pdf")</f>
        <v>Melting_Curves/meltCurve_P57088_TMEM33.pdf</v>
      </c>
    </row>
    <row r="2942" spans="1:28" x14ac:dyDescent="0.25">
      <c r="A2942" t="s">
        <v>2946</v>
      </c>
      <c r="B2942">
        <v>0.99252571173614901</v>
      </c>
      <c r="C2942">
        <v>0.89777499461503496</v>
      </c>
      <c r="D2942">
        <v>0.79024006112276202</v>
      </c>
      <c r="E2942">
        <v>0.62166536580805698</v>
      </c>
      <c r="F2942">
        <v>0.33272818865820503</v>
      </c>
      <c r="G2942">
        <v>0.228663642493902</v>
      </c>
      <c r="H2942">
        <v>0.192835722528478</v>
      </c>
      <c r="I2942">
        <v>0.23893283833944901</v>
      </c>
      <c r="J2942">
        <v>0.25060245625342098</v>
      </c>
      <c r="K2942">
        <v>0.25054433656338898</v>
      </c>
      <c r="L2942">
        <v>887.47948452764604</v>
      </c>
      <c r="M2942">
        <v>18.131355066808599</v>
      </c>
      <c r="N2942">
        <v>50.494485201408501</v>
      </c>
      <c r="O2942">
        <v>48.363464848185203</v>
      </c>
      <c r="P2942">
        <v>-7.3752383479436398E-2</v>
      </c>
      <c r="Q2942">
        <v>0.213131148483345</v>
      </c>
      <c r="R2942">
        <v>0.98480055548875101</v>
      </c>
      <c r="S2942" t="s">
        <v>9588</v>
      </c>
      <c r="T2942" t="s">
        <v>13290</v>
      </c>
      <c r="U2942" t="s">
        <v>13290</v>
      </c>
      <c r="V2942" t="s">
        <v>13290</v>
      </c>
      <c r="W2942" t="s">
        <v>16190</v>
      </c>
      <c r="X2942">
        <v>3</v>
      </c>
      <c r="Y2942" t="s">
        <v>22718</v>
      </c>
      <c r="Z2942" t="s">
        <v>29272</v>
      </c>
      <c r="AA2942">
        <v>0.46125343560174181</v>
      </c>
      <c r="AB2942" t="str">
        <f>HYPERLINK("Melting_Curves/meltCurve_P57105_SYNJ2BP.pdf", "Melting_Curves/meltCurve_P57105_SYNJ2BP.pdf")</f>
        <v>Melting_Curves/meltCurve_P57105_SYNJ2BP.pdf</v>
      </c>
    </row>
    <row r="2943" spans="1:28" x14ac:dyDescent="0.25">
      <c r="A2943" t="s">
        <v>2947</v>
      </c>
      <c r="B2943">
        <v>0.99252571173614901</v>
      </c>
      <c r="C2943">
        <v>1.06436113576164</v>
      </c>
      <c r="D2943">
        <v>0.84796190686128703</v>
      </c>
      <c r="E2943">
        <v>0.73481879488539603</v>
      </c>
      <c r="F2943">
        <v>0.56522365781468298</v>
      </c>
      <c r="G2943">
        <v>0.42556715779342602</v>
      </c>
      <c r="H2943">
        <v>0.415998369158258</v>
      </c>
      <c r="I2943">
        <v>0.44539562498437302</v>
      </c>
      <c r="J2943">
        <v>0.663818267256719</v>
      </c>
      <c r="K2943">
        <v>0.78450408120511195</v>
      </c>
      <c r="L2943">
        <v>1340.8646939264599</v>
      </c>
      <c r="M2943">
        <v>27.8372105892546</v>
      </c>
      <c r="O2943">
        <v>47.921549463063599</v>
      </c>
      <c r="P2943">
        <v>-6.5645066243784397E-2</v>
      </c>
      <c r="Q2943">
        <v>0.54797400731616697</v>
      </c>
      <c r="R2943">
        <v>0.74191587549202298</v>
      </c>
      <c r="S2943" t="s">
        <v>9589</v>
      </c>
      <c r="T2943" t="s">
        <v>13290</v>
      </c>
      <c r="U2943" t="s">
        <v>13290</v>
      </c>
      <c r="V2943" t="s">
        <v>13290</v>
      </c>
      <c r="W2943" t="s">
        <v>16191</v>
      </c>
      <c r="X2943">
        <v>2</v>
      </c>
      <c r="Y2943" t="s">
        <v>22719</v>
      </c>
      <c r="Z2943" t="s">
        <v>29273</v>
      </c>
      <c r="AA2943">
        <v>0.67423240519734651</v>
      </c>
      <c r="AB2943" t="str">
        <f>HYPERLINK("Melting_Curves/meltCurve_P57682_KLF3.pdf", "Melting_Curves/meltCurve_P57682_KLF3.pdf")</f>
        <v>Melting_Curves/meltCurve_P57682_KLF3.pdf</v>
      </c>
    </row>
    <row r="2944" spans="1:28" x14ac:dyDescent="0.25">
      <c r="A2944" t="s">
        <v>2948</v>
      </c>
      <c r="B2944">
        <v>0.99252571173614901</v>
      </c>
      <c r="C2944">
        <v>0.89173654139257696</v>
      </c>
      <c r="D2944">
        <v>0.78671678405951895</v>
      </c>
      <c r="E2944">
        <v>0.67666979287648998</v>
      </c>
      <c r="F2944">
        <v>0.51613317155336302</v>
      </c>
      <c r="G2944">
        <v>0.36156040617833501</v>
      </c>
      <c r="H2944">
        <v>0.1616628798051</v>
      </c>
      <c r="I2944">
        <v>0.101150859339141</v>
      </c>
      <c r="J2944">
        <v>9.4096963913091705E-2</v>
      </c>
      <c r="K2944">
        <v>7.9672919223199898E-2</v>
      </c>
      <c r="L2944">
        <v>555.99377097748595</v>
      </c>
      <c r="M2944">
        <v>10.5147642552822</v>
      </c>
      <c r="N2944">
        <v>52.877433359200303</v>
      </c>
      <c r="O2944">
        <v>51.072259395590699</v>
      </c>
      <c r="P2944">
        <v>-5.14906914438268E-2</v>
      </c>
      <c r="Q2944">
        <v>0</v>
      </c>
      <c r="R2944">
        <v>0.99231309274727197</v>
      </c>
      <c r="S2944" t="s">
        <v>9590</v>
      </c>
      <c r="T2944" t="s">
        <v>13290</v>
      </c>
      <c r="U2944" t="s">
        <v>13290</v>
      </c>
      <c r="V2944" t="s">
        <v>13290</v>
      </c>
      <c r="W2944" t="s">
        <v>16192</v>
      </c>
      <c r="X2944">
        <v>6</v>
      </c>
      <c r="Y2944" t="s">
        <v>22720</v>
      </c>
      <c r="Z2944" t="s">
        <v>29274</v>
      </c>
      <c r="AA2944">
        <v>0.46230871824287068</v>
      </c>
      <c r="AB2944" t="str">
        <f>HYPERLINK("Melting_Curves/meltCurve_P57735_RAB25.pdf", "Melting_Curves/meltCurve_P57735_RAB25.pdf")</f>
        <v>Melting_Curves/meltCurve_P57735_RAB25.pdf</v>
      </c>
    </row>
    <row r="2945" spans="1:28" x14ac:dyDescent="0.25">
      <c r="A2945" t="s">
        <v>2949</v>
      </c>
      <c r="B2945">
        <v>0.99252571173614901</v>
      </c>
      <c r="C2945">
        <v>0.91676869242549697</v>
      </c>
      <c r="D2945">
        <v>0.67213185348635895</v>
      </c>
      <c r="E2945">
        <v>0.55813380719485906</v>
      </c>
      <c r="F2945">
        <v>0.36867890650719298</v>
      </c>
      <c r="G2945">
        <v>0.28227326838332001</v>
      </c>
      <c r="H2945">
        <v>0.18423071910817301</v>
      </c>
      <c r="I2945">
        <v>0.204201053556339</v>
      </c>
      <c r="J2945">
        <v>0.284096210147954</v>
      </c>
      <c r="K2945">
        <v>0.27835682676898299</v>
      </c>
      <c r="L2945">
        <v>751.93850959602298</v>
      </c>
      <c r="M2945">
        <v>15.712636593964399</v>
      </c>
      <c r="N2945">
        <v>49.790641600608701</v>
      </c>
      <c r="O2945">
        <v>47.100593418403101</v>
      </c>
      <c r="P2945">
        <v>-6.4348312709714098E-2</v>
      </c>
      <c r="Q2945">
        <v>0.22849614795074899</v>
      </c>
      <c r="R2945">
        <v>0.97718154289047199</v>
      </c>
      <c r="S2945" t="s">
        <v>9591</v>
      </c>
      <c r="T2945" t="s">
        <v>13290</v>
      </c>
      <c r="U2945" t="s">
        <v>13290</v>
      </c>
      <c r="V2945" t="s">
        <v>13290</v>
      </c>
      <c r="W2945" t="s">
        <v>16193</v>
      </c>
      <c r="X2945">
        <v>27</v>
      </c>
      <c r="Y2945" t="s">
        <v>22721</v>
      </c>
      <c r="Z2945" t="s">
        <v>29275</v>
      </c>
      <c r="AA2945">
        <v>0.44872975980768698</v>
      </c>
      <c r="AB2945" t="str">
        <f>HYPERLINK("Melting_Curves/meltCurve_P57737_3_CORO7.pdf", "Melting_Curves/meltCurve_P57737_3_CORO7.pdf")</f>
        <v>Melting_Curves/meltCurve_P57737_3_CORO7.pdf</v>
      </c>
    </row>
    <row r="2946" spans="1:28" x14ac:dyDescent="0.25">
      <c r="A2946" t="s">
        <v>2950</v>
      </c>
      <c r="B2946">
        <v>0.99252571173614901</v>
      </c>
      <c r="C2946">
        <v>0.84337600306965599</v>
      </c>
      <c r="D2946">
        <v>0.80475912783409498</v>
      </c>
      <c r="E2946">
        <v>0.77882712021325895</v>
      </c>
      <c r="F2946">
        <v>0.29085952681984001</v>
      </c>
      <c r="G2946">
        <v>0.14109713253924799</v>
      </c>
      <c r="H2946">
        <v>0.122643060738213</v>
      </c>
      <c r="I2946">
        <v>0.146704488053473</v>
      </c>
      <c r="J2946">
        <v>0.22138921377533399</v>
      </c>
      <c r="K2946">
        <v>0.18225939581463499</v>
      </c>
      <c r="L2946">
        <v>1439.7480354177601</v>
      </c>
      <c r="M2946">
        <v>28.397485935781301</v>
      </c>
      <c r="N2946">
        <v>51.349744542603403</v>
      </c>
      <c r="O2946">
        <v>50.450421192367401</v>
      </c>
      <c r="P2946">
        <v>-0.119478258415532</v>
      </c>
      <c r="Q2946">
        <v>0.150955918696383</v>
      </c>
      <c r="R2946">
        <v>0.94480452445184904</v>
      </c>
      <c r="S2946" t="s">
        <v>9592</v>
      </c>
      <c r="T2946" t="s">
        <v>13290</v>
      </c>
      <c r="U2946" t="s">
        <v>13290</v>
      </c>
      <c r="V2946" t="s">
        <v>13290</v>
      </c>
      <c r="W2946" t="s">
        <v>16194</v>
      </c>
      <c r="X2946">
        <v>5</v>
      </c>
      <c r="Y2946" t="s">
        <v>22722</v>
      </c>
      <c r="Z2946" t="s">
        <v>29276</v>
      </c>
      <c r="AA2946">
        <v>0.45970766660566309</v>
      </c>
      <c r="AB2946" t="str">
        <f>HYPERLINK("Melting_Curves/meltCurve_P57740_NUP107.pdf", "Melting_Curves/meltCurve_P57740_NUP107.pdf")</f>
        <v>Melting_Curves/meltCurve_P57740_NUP107.pdf</v>
      </c>
    </row>
    <row r="2947" spans="1:28" x14ac:dyDescent="0.25">
      <c r="A2947" t="s">
        <v>2951</v>
      </c>
      <c r="B2947">
        <v>0.99252571173614901</v>
      </c>
      <c r="C2947">
        <v>1.00382041904548</v>
      </c>
      <c r="D2947">
        <v>0.83826983311907199</v>
      </c>
      <c r="E2947">
        <v>0.494650874289077</v>
      </c>
      <c r="F2947">
        <v>0.117976988575884</v>
      </c>
      <c r="G2947">
        <v>7.4253780312701606E-2</v>
      </c>
      <c r="H2947">
        <v>5.9523945115813E-2</v>
      </c>
      <c r="I2947">
        <v>4.1406964013141499E-2</v>
      </c>
      <c r="J2947">
        <v>4.8717392081065701E-2</v>
      </c>
      <c r="K2947">
        <v>4.4961398910614299E-2</v>
      </c>
      <c r="L2947">
        <v>1315.40263044166</v>
      </c>
      <c r="M2947">
        <v>26.748274340910399</v>
      </c>
      <c r="N2947">
        <v>49.341713920259302</v>
      </c>
      <c r="O2947">
        <v>48.904705755886503</v>
      </c>
      <c r="P2947">
        <v>-0.13090145203467299</v>
      </c>
      <c r="Q2947">
        <v>4.2685068926229003E-2</v>
      </c>
      <c r="R2947">
        <v>0.99759256024444998</v>
      </c>
      <c r="S2947" t="s">
        <v>9593</v>
      </c>
      <c r="T2947" t="s">
        <v>13290</v>
      </c>
      <c r="U2947" t="s">
        <v>13290</v>
      </c>
      <c r="V2947" t="s">
        <v>13290</v>
      </c>
      <c r="W2947" t="s">
        <v>16195</v>
      </c>
      <c r="X2947">
        <v>16</v>
      </c>
      <c r="Y2947" t="s">
        <v>22723</v>
      </c>
      <c r="Z2947" t="s">
        <v>29277</v>
      </c>
      <c r="AA2947">
        <v>0.34292491064860131</v>
      </c>
      <c r="AB2947" t="str">
        <f>HYPERLINK("Melting_Curves/meltCurve_P57772_EEFSEC.pdf", "Melting_Curves/meltCurve_P57772_EEFSEC.pdf")</f>
        <v>Melting_Curves/meltCurve_P57772_EEFSEC.pdf</v>
      </c>
    </row>
    <row r="2948" spans="1:28" x14ac:dyDescent="0.25">
      <c r="A2948" t="s">
        <v>2952</v>
      </c>
      <c r="B2948">
        <v>0.99252571173614901</v>
      </c>
      <c r="C2948">
        <v>1.0037416990538399</v>
      </c>
      <c r="D2948">
        <v>0.58032980110147303</v>
      </c>
      <c r="E2948">
        <v>0.63241370587360102</v>
      </c>
      <c r="F2948">
        <v>0.220463710615311</v>
      </c>
      <c r="G2948">
        <v>0.110139994562784</v>
      </c>
      <c r="H2948">
        <v>8.4434967703687303E-2</v>
      </c>
      <c r="I2948">
        <v>0.100774178889121</v>
      </c>
      <c r="J2948">
        <v>0.12533710804037401</v>
      </c>
      <c r="K2948">
        <v>0.13666776983362999</v>
      </c>
      <c r="L2948">
        <v>793.84123532320302</v>
      </c>
      <c r="M2948">
        <v>16.290519207232599</v>
      </c>
      <c r="N2948">
        <v>49.291459367490802</v>
      </c>
      <c r="O2948">
        <v>48.013698565236197</v>
      </c>
      <c r="P2948">
        <v>-7.7648200865996206E-2</v>
      </c>
      <c r="Q2948">
        <v>8.4644312144589604E-2</v>
      </c>
      <c r="R2948">
        <v>0.94317924488057603</v>
      </c>
      <c r="S2948" t="s">
        <v>9594</v>
      </c>
      <c r="T2948" t="s">
        <v>13290</v>
      </c>
      <c r="U2948" t="s">
        <v>13290</v>
      </c>
      <c r="V2948" t="s">
        <v>13290</v>
      </c>
      <c r="W2948" t="s">
        <v>16196</v>
      </c>
      <c r="X2948">
        <v>6</v>
      </c>
      <c r="Y2948" t="s">
        <v>22724</v>
      </c>
      <c r="Z2948" t="s">
        <v>29278</v>
      </c>
      <c r="AA2948">
        <v>0.37047193271354112</v>
      </c>
      <c r="AB2948" t="str">
        <f>HYPERLINK("Melting_Curves/meltCurve_P58546_MTPN.pdf", "Melting_Curves/meltCurve_P58546_MTPN.pdf")</f>
        <v>Melting_Curves/meltCurve_P58546_MTPN.pdf</v>
      </c>
    </row>
    <row r="2949" spans="1:28" x14ac:dyDescent="0.25">
      <c r="A2949" t="s">
        <v>2953</v>
      </c>
      <c r="B2949">
        <v>0.99252571173614901</v>
      </c>
      <c r="C2949">
        <v>0.92042479652954801</v>
      </c>
      <c r="D2949">
        <v>1.1347260162859101</v>
      </c>
      <c r="E2949">
        <v>1.1186447285560901</v>
      </c>
      <c r="F2949">
        <v>1.11138943435319</v>
      </c>
      <c r="G2949">
        <v>0.97074858344934001</v>
      </c>
      <c r="H2949">
        <v>0.81571801553897705</v>
      </c>
      <c r="I2949">
        <v>0.43120766244521802</v>
      </c>
      <c r="J2949">
        <v>0.11580847104594499</v>
      </c>
      <c r="K2949">
        <v>0.12570404641657301</v>
      </c>
      <c r="L2949">
        <v>2481.2833861695299</v>
      </c>
      <c r="M2949">
        <v>39.343404990815898</v>
      </c>
      <c r="N2949">
        <v>63.343714602268399</v>
      </c>
      <c r="O2949">
        <v>62.905027050123202</v>
      </c>
      <c r="P2949">
        <v>-0.14402843279841299</v>
      </c>
      <c r="Q2949">
        <v>7.8870188247647105E-2</v>
      </c>
      <c r="R2949">
        <v>0.96216336431360405</v>
      </c>
      <c r="S2949" t="s">
        <v>9595</v>
      </c>
      <c r="T2949" t="s">
        <v>13290</v>
      </c>
      <c r="U2949" t="s">
        <v>13290</v>
      </c>
      <c r="V2949" t="s">
        <v>13290</v>
      </c>
      <c r="W2949" t="s">
        <v>16197</v>
      </c>
      <c r="X2949">
        <v>10</v>
      </c>
      <c r="Y2949" t="s">
        <v>22725</v>
      </c>
      <c r="Z2949" t="s">
        <v>29279</v>
      </c>
      <c r="AA2949">
        <v>0.78999499488055713</v>
      </c>
      <c r="AB2949" t="str">
        <f>HYPERLINK("Melting_Curves/meltCurve_P59998_ARPC4.pdf", "Melting_Curves/meltCurve_P59998_ARPC4.pdf")</f>
        <v>Melting_Curves/meltCurve_P59998_ARPC4.pdf</v>
      </c>
    </row>
    <row r="2950" spans="1:28" x14ac:dyDescent="0.25">
      <c r="A2950" t="s">
        <v>2954</v>
      </c>
      <c r="B2950">
        <v>0.99252571173614901</v>
      </c>
      <c r="C2950">
        <v>1.0454055269798499</v>
      </c>
      <c r="D2950">
        <v>1.0843231935567501</v>
      </c>
      <c r="E2950">
        <v>1.3082967049258201</v>
      </c>
      <c r="F2950">
        <v>0.84709659071089105</v>
      </c>
      <c r="G2950">
        <v>0.78085734967298903</v>
      </c>
      <c r="H2950">
        <v>0.78132130779629205</v>
      </c>
      <c r="I2950">
        <v>1.1539018084651</v>
      </c>
      <c r="J2950">
        <v>2.2996877931734301</v>
      </c>
      <c r="K2950">
        <v>1.96783155846263</v>
      </c>
      <c r="L2950">
        <v>15000</v>
      </c>
      <c r="M2950">
        <v>233.566141169297</v>
      </c>
      <c r="O2950">
        <v>64.216923506805898</v>
      </c>
      <c r="P2950">
        <v>0.45464285164700602</v>
      </c>
      <c r="Q2950">
        <v>1.5</v>
      </c>
      <c r="R2950">
        <v>0.54190625823886096</v>
      </c>
      <c r="S2950" t="s">
        <v>9596</v>
      </c>
      <c r="T2950" t="s">
        <v>13290</v>
      </c>
      <c r="U2950" t="s">
        <v>13290</v>
      </c>
      <c r="V2950" t="s">
        <v>13290</v>
      </c>
      <c r="W2950" t="s">
        <v>16198</v>
      </c>
      <c r="X2950">
        <v>3</v>
      </c>
      <c r="Y2950" t="s">
        <v>22726</v>
      </c>
      <c r="Z2950" t="s">
        <v>29280</v>
      </c>
      <c r="AA2950">
        <v>1.0962414800317151</v>
      </c>
      <c r="AB2950" t="str">
        <f>HYPERLINK("Melting_Curves/meltCurve_P60059_SEC61G.pdf", "Melting_Curves/meltCurve_P60059_SEC61G.pdf")</f>
        <v>Melting_Curves/meltCurve_P60059_SEC61G.pdf</v>
      </c>
    </row>
    <row r="2951" spans="1:28" x14ac:dyDescent="0.25">
      <c r="A2951" t="s">
        <v>2955</v>
      </c>
      <c r="B2951">
        <v>0.99252571173614901</v>
      </c>
      <c r="C2951">
        <v>1.07493323273178</v>
      </c>
      <c r="D2951">
        <v>0.94159753044736805</v>
      </c>
      <c r="E2951">
        <v>0.92520178677673903</v>
      </c>
      <c r="F2951">
        <v>0.813158508122928</v>
      </c>
      <c r="G2951">
        <v>0.78786238836653899</v>
      </c>
      <c r="H2951">
        <v>0.542956348758727</v>
      </c>
      <c r="I2951">
        <v>0.19782689213376201</v>
      </c>
      <c r="J2951">
        <v>0.108020455299924</v>
      </c>
      <c r="K2951">
        <v>0.11234336450890001</v>
      </c>
      <c r="L2951">
        <v>1048.04818539809</v>
      </c>
      <c r="M2951">
        <v>17.367862744615099</v>
      </c>
      <c r="N2951">
        <v>60.344108088703898</v>
      </c>
      <c r="O2951">
        <v>59.561150250478597</v>
      </c>
      <c r="P2951">
        <v>-7.2903435037836306E-2</v>
      </c>
      <c r="Q2951">
        <v>0</v>
      </c>
      <c r="R2951">
        <v>0.97223606168424304</v>
      </c>
      <c r="S2951" t="s">
        <v>9597</v>
      </c>
      <c r="T2951" t="s">
        <v>13290</v>
      </c>
      <c r="U2951" t="s">
        <v>13290</v>
      </c>
      <c r="V2951" t="s">
        <v>13290</v>
      </c>
      <c r="W2951" t="s">
        <v>16199</v>
      </c>
      <c r="X2951">
        <v>28</v>
      </c>
      <c r="Y2951" t="s">
        <v>22727</v>
      </c>
      <c r="Z2951" t="s">
        <v>29281</v>
      </c>
      <c r="AA2951">
        <v>0.68523774189377229</v>
      </c>
      <c r="AB2951" t="str">
        <f>HYPERLINK("Melting_Curves/meltCurve_P60174_TPI1.pdf", "Melting_Curves/meltCurve_P60174_TPI1.pdf")</f>
        <v>Melting_Curves/meltCurve_P60174_TPI1.pdf</v>
      </c>
    </row>
    <row r="2952" spans="1:28" x14ac:dyDescent="0.25">
      <c r="A2952" t="s">
        <v>2956</v>
      </c>
      <c r="B2952">
        <v>0.99252571173614901</v>
      </c>
      <c r="C2952">
        <v>0.87048199460750697</v>
      </c>
      <c r="D2952">
        <v>1.1606118576116999</v>
      </c>
      <c r="E2952">
        <v>0.42722121301367699</v>
      </c>
      <c r="F2952">
        <v>0.200222116801751</v>
      </c>
      <c r="G2952">
        <v>0.10526241290315499</v>
      </c>
      <c r="H2952">
        <v>6.5487156694392007E-2</v>
      </c>
      <c r="I2952">
        <v>6.5553019784601999E-2</v>
      </c>
      <c r="J2952">
        <v>8.9343263125622505E-2</v>
      </c>
      <c r="K2952">
        <v>9.0188573866574098E-2</v>
      </c>
      <c r="L2952">
        <v>8239.7037612959193</v>
      </c>
      <c r="M2952">
        <v>166.69110349297</v>
      </c>
      <c r="N2952">
        <v>49.499229971171303</v>
      </c>
      <c r="O2952">
        <v>49.423860557256297</v>
      </c>
      <c r="P2952">
        <v>-0.75659908430379996</v>
      </c>
      <c r="Q2952">
        <v>0.10267442725807301</v>
      </c>
      <c r="R2952">
        <v>0.96739426972210596</v>
      </c>
      <c r="S2952" t="s">
        <v>9598</v>
      </c>
      <c r="T2952" t="s">
        <v>13290</v>
      </c>
      <c r="U2952" t="s">
        <v>13290</v>
      </c>
      <c r="V2952" t="s">
        <v>13290</v>
      </c>
      <c r="W2952" t="s">
        <v>16200</v>
      </c>
      <c r="X2952">
        <v>10</v>
      </c>
      <c r="Y2952" t="s">
        <v>22728</v>
      </c>
      <c r="Z2952" t="s">
        <v>29282</v>
      </c>
      <c r="AA2952">
        <v>0.38493807224591647</v>
      </c>
      <c r="AB2952" t="str">
        <f>HYPERLINK("Melting_Curves/meltCurve_P60228_EIF3E.pdf", "Melting_Curves/meltCurve_P60228_EIF3E.pdf")</f>
        <v>Melting_Curves/meltCurve_P60228_EIF3E.pdf</v>
      </c>
    </row>
    <row r="2953" spans="1:28" x14ac:dyDescent="0.25">
      <c r="A2953" t="s">
        <v>2957</v>
      </c>
      <c r="B2953">
        <v>0.99252571173614901</v>
      </c>
      <c r="C2953">
        <v>1.0568876216716401</v>
      </c>
      <c r="D2953">
        <v>0.98384339440847302</v>
      </c>
      <c r="E2953">
        <v>1.29441790956245</v>
      </c>
      <c r="F2953">
        <v>0.68564221333971898</v>
      </c>
      <c r="G2953">
        <v>0.62931854916284702</v>
      </c>
      <c r="H2953">
        <v>0.66694457094159798</v>
      </c>
      <c r="I2953">
        <v>0.96991732260935903</v>
      </c>
      <c r="J2953">
        <v>1.33709755353955</v>
      </c>
      <c r="K2953">
        <v>1.0280324799582501</v>
      </c>
      <c r="L2953">
        <v>1794.1842444315</v>
      </c>
      <c r="M2953">
        <v>26.948690042664701</v>
      </c>
      <c r="O2953">
        <v>66.214403935322096</v>
      </c>
      <c r="P2953">
        <v>1.7323396134015699E-2</v>
      </c>
      <c r="Q2953">
        <v>1.1702564631939001</v>
      </c>
      <c r="R2953">
        <v>3.2176035015819303E-2</v>
      </c>
      <c r="S2953" t="s">
        <v>9599</v>
      </c>
      <c r="T2953" t="s">
        <v>13290</v>
      </c>
      <c r="U2953" t="s">
        <v>13290</v>
      </c>
      <c r="V2953" t="s">
        <v>13290</v>
      </c>
      <c r="W2953" t="s">
        <v>16201</v>
      </c>
      <c r="X2953">
        <v>8</v>
      </c>
      <c r="Y2953" t="s">
        <v>22729</v>
      </c>
      <c r="Z2953" t="s">
        <v>29283</v>
      </c>
      <c r="AA2953">
        <v>1.0217023713817059</v>
      </c>
      <c r="AB2953" t="str">
        <f>HYPERLINK("Melting_Curves/meltCurve_P60468_SEC61B.pdf", "Melting_Curves/meltCurve_P60468_SEC61B.pdf")</f>
        <v>Melting_Curves/meltCurve_P60468_SEC61B.pdf</v>
      </c>
    </row>
    <row r="2954" spans="1:28" x14ac:dyDescent="0.25">
      <c r="A2954" t="s">
        <v>2958</v>
      </c>
      <c r="B2954">
        <v>0.99252571173614901</v>
      </c>
      <c r="C2954">
        <v>1.0307468440789</v>
      </c>
      <c r="D2954">
        <v>0.77485249648617205</v>
      </c>
      <c r="E2954">
        <v>0.48898363697709801</v>
      </c>
      <c r="F2954">
        <v>0.36668693940466401</v>
      </c>
      <c r="G2954">
        <v>0.19594896550301</v>
      </c>
      <c r="H2954">
        <v>0.166411198979278</v>
      </c>
      <c r="I2954">
        <v>0.158151406397224</v>
      </c>
      <c r="J2954">
        <v>0.15479379816149899</v>
      </c>
      <c r="K2954">
        <v>0.13756839860711201</v>
      </c>
      <c r="L2954">
        <v>912.28972142924499</v>
      </c>
      <c r="M2954">
        <v>18.6292011280248</v>
      </c>
      <c r="N2954">
        <v>49.912966395919902</v>
      </c>
      <c r="O2954">
        <v>48.417137054954303</v>
      </c>
      <c r="P2954">
        <v>-8.1937628744437399E-2</v>
      </c>
      <c r="Q2954">
        <v>0.14821598435104799</v>
      </c>
      <c r="R2954">
        <v>0.98810089557066505</v>
      </c>
      <c r="S2954" t="s">
        <v>9600</v>
      </c>
      <c r="T2954" t="s">
        <v>13290</v>
      </c>
      <c r="U2954" t="s">
        <v>13290</v>
      </c>
      <c r="V2954" t="s">
        <v>13290</v>
      </c>
      <c r="W2954" t="s">
        <v>16202</v>
      </c>
      <c r="X2954">
        <v>2</v>
      </c>
      <c r="Y2954" t="s">
        <v>22730</v>
      </c>
      <c r="Z2954" t="s">
        <v>29284</v>
      </c>
      <c r="AA2954">
        <v>0.41670584766305302</v>
      </c>
      <c r="AB2954" t="str">
        <f>HYPERLINK("Melting_Curves/meltCurve_P60484_PTEN.pdf", "Melting_Curves/meltCurve_P60484_PTEN.pdf")</f>
        <v>Melting_Curves/meltCurve_P60484_PTEN.pdf</v>
      </c>
    </row>
    <row r="2955" spans="1:28" x14ac:dyDescent="0.25">
      <c r="A2955" t="s">
        <v>2959</v>
      </c>
      <c r="B2955">
        <v>0.99252571173614901</v>
      </c>
      <c r="C2955">
        <v>0.987826921237829</v>
      </c>
      <c r="D2955">
        <v>0.94336392231497401</v>
      </c>
      <c r="E2955">
        <v>0.81255724755842895</v>
      </c>
      <c r="F2955">
        <v>0.74330411299927601</v>
      </c>
      <c r="G2955">
        <v>0.57007330630865405</v>
      </c>
      <c r="H2955">
        <v>0.37578195088424099</v>
      </c>
      <c r="I2955">
        <v>0.259632067185122</v>
      </c>
      <c r="J2955">
        <v>0.231456000563526</v>
      </c>
      <c r="K2955">
        <v>0.18953992631838901</v>
      </c>
      <c r="L2955">
        <v>633.64239784440895</v>
      </c>
      <c r="M2955">
        <v>11.0863258198246</v>
      </c>
      <c r="N2955">
        <v>57.954744683055701</v>
      </c>
      <c r="O2955">
        <v>55.390174500392099</v>
      </c>
      <c r="P2955">
        <v>-4.6504824165633799E-2</v>
      </c>
      <c r="Q2955">
        <v>7.0903248567339996E-2</v>
      </c>
      <c r="R2955">
        <v>0.99567697757854701</v>
      </c>
      <c r="S2955" t="s">
        <v>9601</v>
      </c>
      <c r="T2955" t="s">
        <v>13290</v>
      </c>
      <c r="U2955" t="s">
        <v>13290</v>
      </c>
      <c r="V2955" t="s">
        <v>13290</v>
      </c>
      <c r="W2955" t="s">
        <v>16203</v>
      </c>
      <c r="X2955">
        <v>19</v>
      </c>
      <c r="Y2955" t="s">
        <v>22731</v>
      </c>
      <c r="Z2955" t="s">
        <v>29285</v>
      </c>
      <c r="AA2955">
        <v>0.61697362284284085</v>
      </c>
      <c r="AB2955" t="str">
        <f>HYPERLINK("Melting_Curves/meltCurve_P60510_PPP4C.pdf", "Melting_Curves/meltCurve_P60510_PPP4C.pdf")</f>
        <v>Melting_Curves/meltCurve_P60510_PPP4C.pdf</v>
      </c>
    </row>
    <row r="2956" spans="1:28" x14ac:dyDescent="0.25">
      <c r="A2956" t="s">
        <v>2960</v>
      </c>
      <c r="B2956">
        <v>0.99252571173614901</v>
      </c>
      <c r="C2956">
        <v>0.91888286079848502</v>
      </c>
      <c r="D2956">
        <v>0.93828681055390295</v>
      </c>
      <c r="E2956">
        <v>0.85585727593774297</v>
      </c>
      <c r="F2956">
        <v>0.68332239134768002</v>
      </c>
      <c r="G2956">
        <v>0.58938905575456102</v>
      </c>
      <c r="H2956">
        <v>0.63515877421162004</v>
      </c>
      <c r="I2956">
        <v>0.88103820294811197</v>
      </c>
      <c r="J2956">
        <v>1.13054286713491</v>
      </c>
      <c r="K2956">
        <v>1.1648619763224199</v>
      </c>
      <c r="L2956">
        <v>1125.29655568936</v>
      </c>
      <c r="M2956">
        <v>25.621723514413699</v>
      </c>
      <c r="O2956">
        <v>43.654702086639503</v>
      </c>
      <c r="P2956">
        <v>-2.17508420924943E-2</v>
      </c>
      <c r="Q2956">
        <v>0.85176407141805099</v>
      </c>
      <c r="R2956">
        <v>5.8256814002385998E-2</v>
      </c>
      <c r="S2956" t="s">
        <v>9602</v>
      </c>
      <c r="T2956" t="s">
        <v>13290</v>
      </c>
      <c r="U2956" t="s">
        <v>13290</v>
      </c>
      <c r="V2956" t="s">
        <v>13290</v>
      </c>
      <c r="W2956" t="s">
        <v>16204</v>
      </c>
      <c r="X2956">
        <v>4</v>
      </c>
      <c r="Y2956" t="s">
        <v>22732</v>
      </c>
      <c r="Z2956" t="s">
        <v>29286</v>
      </c>
      <c r="AA2956">
        <v>0.87275417002192623</v>
      </c>
      <c r="AB2956" t="str">
        <f>HYPERLINK("Melting_Curves/meltCurve_P60602_ROMO1.pdf", "Melting_Curves/meltCurve_P60602_ROMO1.pdf")</f>
        <v>Melting_Curves/meltCurve_P60602_ROMO1.pdf</v>
      </c>
    </row>
    <row r="2957" spans="1:28" x14ac:dyDescent="0.25">
      <c r="A2957" t="s">
        <v>2961</v>
      </c>
      <c r="B2957">
        <v>0.99252571173614901</v>
      </c>
      <c r="C2957">
        <v>0.90614413766258295</v>
      </c>
      <c r="D2957">
        <v>0.83261824885777302</v>
      </c>
      <c r="E2957">
        <v>0.50124939829713899</v>
      </c>
      <c r="F2957">
        <v>0.17420532102120201</v>
      </c>
      <c r="G2957">
        <v>0.108070687092061</v>
      </c>
      <c r="H2957">
        <v>8.2914762841902495E-2</v>
      </c>
      <c r="I2957">
        <v>9.1391240513363101E-2</v>
      </c>
      <c r="J2957">
        <v>0.102365217175969</v>
      </c>
      <c r="K2957">
        <v>9.5879497652102394E-2</v>
      </c>
      <c r="L2957">
        <v>1132.7987121941701</v>
      </c>
      <c r="M2957">
        <v>23.130826175044799</v>
      </c>
      <c r="N2957">
        <v>49.357462903714101</v>
      </c>
      <c r="O2957">
        <v>48.6119160641435</v>
      </c>
      <c r="P2957">
        <v>-0.10916493519319299</v>
      </c>
      <c r="Q2957">
        <v>8.2329443021311205E-2</v>
      </c>
      <c r="R2957">
        <v>0.99524911330481902</v>
      </c>
      <c r="S2957" t="s">
        <v>9603</v>
      </c>
      <c r="T2957" t="s">
        <v>13290</v>
      </c>
      <c r="U2957" t="s">
        <v>13290</v>
      </c>
      <c r="V2957" t="s">
        <v>13290</v>
      </c>
      <c r="W2957" t="s">
        <v>16205</v>
      </c>
      <c r="X2957">
        <v>4</v>
      </c>
      <c r="Y2957" t="s">
        <v>22733</v>
      </c>
      <c r="Z2957" t="s">
        <v>29287</v>
      </c>
      <c r="AA2957">
        <v>0.36636462888353433</v>
      </c>
      <c r="AB2957" t="str">
        <f>HYPERLINK("Melting_Curves/meltCurve_P60604_2_UBE2G2.pdf", "Melting_Curves/meltCurve_P60604_2_UBE2G2.pdf")</f>
        <v>Melting_Curves/meltCurve_P60604_2_UBE2G2.pdf</v>
      </c>
    </row>
    <row r="2958" spans="1:28" x14ac:dyDescent="0.25">
      <c r="A2958" t="s">
        <v>2962</v>
      </c>
      <c r="B2958">
        <v>0.99252571173614901</v>
      </c>
      <c r="C2958">
        <v>0.958987190266823</v>
      </c>
      <c r="D2958">
        <v>0.91384236593465995</v>
      </c>
      <c r="E2958">
        <v>0.80854055005452197</v>
      </c>
      <c r="F2958">
        <v>0.41318251089640601</v>
      </c>
      <c r="G2958">
        <v>0.169520514537992</v>
      </c>
      <c r="H2958">
        <v>0.11846329951522699</v>
      </c>
      <c r="I2958">
        <v>0.15171351948923201</v>
      </c>
      <c r="J2958">
        <v>0.25146075391921802</v>
      </c>
      <c r="K2958">
        <v>0.122030636489018</v>
      </c>
      <c r="L2958">
        <v>1512.1783012789399</v>
      </c>
      <c r="M2958">
        <v>29.3094524227824</v>
      </c>
      <c r="N2958">
        <v>52.236902313815001</v>
      </c>
      <c r="O2958">
        <v>51.355166308752203</v>
      </c>
      <c r="P2958">
        <v>-0.121063929111784</v>
      </c>
      <c r="Q2958">
        <v>0.15150765873474301</v>
      </c>
      <c r="R2958">
        <v>0.98500123864096101</v>
      </c>
      <c r="S2958" t="s">
        <v>9604</v>
      </c>
      <c r="T2958" t="s">
        <v>13290</v>
      </c>
      <c r="U2958" t="s">
        <v>13290</v>
      </c>
      <c r="V2958" t="s">
        <v>13290</v>
      </c>
      <c r="W2958" t="s">
        <v>16206</v>
      </c>
      <c r="X2958">
        <v>40</v>
      </c>
      <c r="Y2958" t="s">
        <v>22734</v>
      </c>
      <c r="Z2958" t="s">
        <v>29288</v>
      </c>
      <c r="AA2958">
        <v>0.48505045636433353</v>
      </c>
      <c r="AB2958" t="str">
        <f>HYPERLINK("Melting_Curves/meltCurve_P60709_ACTB.pdf", "Melting_Curves/meltCurve_P60709_ACTB.pdf")</f>
        <v>Melting_Curves/meltCurve_P60709_ACTB.pdf</v>
      </c>
    </row>
    <row r="2959" spans="1:28" x14ac:dyDescent="0.25">
      <c r="A2959" t="s">
        <v>2963</v>
      </c>
      <c r="B2959">
        <v>0.99252571173614901</v>
      </c>
      <c r="C2959">
        <v>1.03503683166757</v>
      </c>
      <c r="D2959">
        <v>0.88897525576023195</v>
      </c>
      <c r="E2959">
        <v>0.69108842246333801</v>
      </c>
      <c r="F2959">
        <v>0.48467023358170502</v>
      </c>
      <c r="G2959">
        <v>0.29029855558255802</v>
      </c>
      <c r="H2959">
        <v>0.152843833736548</v>
      </c>
      <c r="I2959">
        <v>0.104792362030907</v>
      </c>
      <c r="J2959">
        <v>0.10950378729023</v>
      </c>
      <c r="K2959">
        <v>0.117531380990537</v>
      </c>
      <c r="L2959">
        <v>829.46162444630102</v>
      </c>
      <c r="M2959">
        <v>15.9173525516228</v>
      </c>
      <c r="N2959">
        <v>52.705440137175501</v>
      </c>
      <c r="O2959">
        <v>51.3088094804123</v>
      </c>
      <c r="P2959">
        <v>-7.1185132728971701E-2</v>
      </c>
      <c r="Q2959">
        <v>8.2225805888926598E-2</v>
      </c>
      <c r="R2959">
        <v>0.99508638436612395</v>
      </c>
      <c r="S2959" t="s">
        <v>9605</v>
      </c>
      <c r="T2959" t="s">
        <v>13290</v>
      </c>
      <c r="U2959" t="s">
        <v>13290</v>
      </c>
      <c r="V2959" t="s">
        <v>13290</v>
      </c>
      <c r="W2959" t="s">
        <v>16207</v>
      </c>
      <c r="X2959">
        <v>11</v>
      </c>
      <c r="Y2959" t="s">
        <v>22735</v>
      </c>
      <c r="Z2959" t="s">
        <v>29289</v>
      </c>
      <c r="AA2959">
        <v>0.47136447069161092</v>
      </c>
      <c r="AB2959" t="str">
        <f>HYPERLINK("Melting_Curves/meltCurve_P60763_RAC3.pdf", "Melting_Curves/meltCurve_P60763_RAC3.pdf")</f>
        <v>Melting_Curves/meltCurve_P60763_RAC3.pdf</v>
      </c>
    </row>
    <row r="2960" spans="1:28" x14ac:dyDescent="0.25">
      <c r="A2960" t="s">
        <v>2964</v>
      </c>
      <c r="B2960">
        <v>0.99252571173614901</v>
      </c>
      <c r="C2960">
        <v>1.0545254655395</v>
      </c>
      <c r="D2960">
        <v>0.70447522870162105</v>
      </c>
      <c r="E2960">
        <v>0.65305653392066798</v>
      </c>
      <c r="F2960">
        <v>0.256317090429239</v>
      </c>
      <c r="G2960">
        <v>0.12280336992678299</v>
      </c>
      <c r="H2960">
        <v>6.8124059712603796E-2</v>
      </c>
      <c r="I2960">
        <v>6.2761804854643694E-2</v>
      </c>
      <c r="J2960">
        <v>6.5025027515783096E-2</v>
      </c>
      <c r="K2960">
        <v>6.1809320832669899E-2</v>
      </c>
      <c r="L2960">
        <v>890.934835914372</v>
      </c>
      <c r="M2960">
        <v>17.790784701106201</v>
      </c>
      <c r="N2960">
        <v>50.317006402021299</v>
      </c>
      <c r="O2960">
        <v>49.458580010393902</v>
      </c>
      <c r="P2960">
        <v>-8.6295044941758797E-2</v>
      </c>
      <c r="Q2960">
        <v>4.0444802202331702E-2</v>
      </c>
      <c r="R2960">
        <v>0.97432535535532705</v>
      </c>
      <c r="S2960" t="s">
        <v>9606</v>
      </c>
      <c r="T2960" t="s">
        <v>13290</v>
      </c>
      <c r="U2960" t="s">
        <v>13290</v>
      </c>
      <c r="V2960" t="s">
        <v>13290</v>
      </c>
      <c r="W2960" t="s">
        <v>16208</v>
      </c>
      <c r="X2960">
        <v>34</v>
      </c>
      <c r="Y2960" t="s">
        <v>22736</v>
      </c>
      <c r="Z2960" t="s">
        <v>29290</v>
      </c>
      <c r="AA2960">
        <v>0.37951766778436002</v>
      </c>
      <c r="AB2960" t="str">
        <f>HYPERLINK("Melting_Curves/meltCurve_P60842_EIF4A1.pdf", "Melting_Curves/meltCurve_P60842_EIF4A1.pdf")</f>
        <v>Melting_Curves/meltCurve_P60842_EIF4A1.pdf</v>
      </c>
    </row>
    <row r="2961" spans="1:28" x14ac:dyDescent="0.25">
      <c r="A2961" t="s">
        <v>2965</v>
      </c>
      <c r="B2961">
        <v>0.99252571173614901</v>
      </c>
      <c r="C2961">
        <v>1.08542665120188</v>
      </c>
      <c r="D2961">
        <v>0.91045342041164901</v>
      </c>
      <c r="E2961">
        <v>0.96450473833094996</v>
      </c>
      <c r="F2961">
        <v>0.58797260997391698</v>
      </c>
      <c r="G2961">
        <v>0.36622641936933997</v>
      </c>
      <c r="H2961">
        <v>0.19722590894147399</v>
      </c>
      <c r="I2961">
        <v>0.163990423259123</v>
      </c>
      <c r="J2961">
        <v>0.199471376906936</v>
      </c>
      <c r="K2961">
        <v>0.203039030398833</v>
      </c>
      <c r="L2961">
        <v>1443.4270725450201</v>
      </c>
      <c r="M2961">
        <v>26.979325455093999</v>
      </c>
      <c r="N2961">
        <v>54.435108915424102</v>
      </c>
      <c r="O2961">
        <v>53.2098790142445</v>
      </c>
      <c r="P2961">
        <v>-0.10327697912308299</v>
      </c>
      <c r="Q2961">
        <v>0.185257391025103</v>
      </c>
      <c r="R2961">
        <v>0.98414739839055598</v>
      </c>
      <c r="S2961" t="s">
        <v>9607</v>
      </c>
      <c r="T2961" t="s">
        <v>13290</v>
      </c>
      <c r="U2961" t="s">
        <v>13290</v>
      </c>
      <c r="V2961" t="s">
        <v>13290</v>
      </c>
      <c r="W2961" t="s">
        <v>16209</v>
      </c>
      <c r="X2961">
        <v>12</v>
      </c>
      <c r="Y2961" t="s">
        <v>22737</v>
      </c>
      <c r="Z2961" t="s">
        <v>29291</v>
      </c>
      <c r="AA2961">
        <v>0.5584480069791482</v>
      </c>
      <c r="AB2961" t="str">
        <f>HYPERLINK("Melting_Curves/meltCurve_P60866_RPS20.pdf", "Melting_Curves/meltCurve_P60866_RPS20.pdf")</f>
        <v>Melting_Curves/meltCurve_P60866_RPS20.pdf</v>
      </c>
    </row>
    <row r="2962" spans="1:28" x14ac:dyDescent="0.25">
      <c r="A2962" t="s">
        <v>2966</v>
      </c>
      <c r="B2962">
        <v>0.99252571173614901</v>
      </c>
      <c r="C2962">
        <v>0.83008167719918702</v>
      </c>
      <c r="D2962">
        <v>1.03134648115627</v>
      </c>
      <c r="E2962">
        <v>0.86530584646129405</v>
      </c>
      <c r="F2962">
        <v>0.96662166949634698</v>
      </c>
      <c r="G2962">
        <v>0.88193964992287699</v>
      </c>
      <c r="H2962">
        <v>1.07835406694619</v>
      </c>
      <c r="I2962">
        <v>0.83559547379482901</v>
      </c>
      <c r="J2962">
        <v>0.34918077963500899</v>
      </c>
      <c r="K2962">
        <v>0.27491961089695199</v>
      </c>
      <c r="L2962">
        <v>4909.3262871284396</v>
      </c>
      <c r="M2962">
        <v>75.442735630036196</v>
      </c>
      <c r="N2962">
        <v>65.773650911657896</v>
      </c>
      <c r="O2962">
        <v>65.027870896526906</v>
      </c>
      <c r="P2962">
        <v>-0.20998670934077299</v>
      </c>
      <c r="Q2962">
        <v>0.27600794258313799</v>
      </c>
      <c r="R2962">
        <v>0.89822593734020895</v>
      </c>
      <c r="S2962" t="s">
        <v>9608</v>
      </c>
      <c r="T2962" t="s">
        <v>13290</v>
      </c>
      <c r="U2962" t="s">
        <v>13290</v>
      </c>
      <c r="V2962" t="s">
        <v>13290</v>
      </c>
      <c r="W2962" t="s">
        <v>16210</v>
      </c>
      <c r="X2962">
        <v>11</v>
      </c>
      <c r="Y2962" t="s">
        <v>22738</v>
      </c>
      <c r="Z2962" t="s">
        <v>29292</v>
      </c>
      <c r="AA2962">
        <v>0.88189713984712692</v>
      </c>
      <c r="AB2962" t="str">
        <f>HYPERLINK("Melting_Curves/meltCurve_P60891_PRPS1.pdf", "Melting_Curves/meltCurve_P60891_PRPS1.pdf")</f>
        <v>Melting_Curves/meltCurve_P60891_PRPS1.pdf</v>
      </c>
    </row>
    <row r="2963" spans="1:28" x14ac:dyDescent="0.25">
      <c r="A2963" t="s">
        <v>2967</v>
      </c>
      <c r="B2963">
        <v>0.99252571173614901</v>
      </c>
      <c r="C2963">
        <v>0.98432942009947999</v>
      </c>
      <c r="D2963">
        <v>0.91269472524778095</v>
      </c>
      <c r="E2963">
        <v>1.12317457291995</v>
      </c>
      <c r="F2963">
        <v>0.84001891114113902</v>
      </c>
      <c r="G2963">
        <v>1.0144663619315599</v>
      </c>
      <c r="H2963">
        <v>1.7737926284954399</v>
      </c>
      <c r="I2963">
        <v>2.5495276061302601</v>
      </c>
      <c r="J2963">
        <v>3.48273105287437</v>
      </c>
      <c r="K2963">
        <v>3.40740699168974</v>
      </c>
      <c r="L2963">
        <v>14399.492098533001</v>
      </c>
      <c r="M2963">
        <v>250</v>
      </c>
      <c r="O2963">
        <v>57.594274352626499</v>
      </c>
      <c r="P2963">
        <v>0.54258858114005704</v>
      </c>
      <c r="Q2963">
        <v>1.5</v>
      </c>
      <c r="R2963">
        <v>0.120072162680755</v>
      </c>
      <c r="S2963" t="s">
        <v>9609</v>
      </c>
      <c r="T2963" t="s">
        <v>13290</v>
      </c>
      <c r="U2963" t="s">
        <v>13290</v>
      </c>
      <c r="V2963" t="s">
        <v>13290</v>
      </c>
      <c r="W2963" t="s">
        <v>16211</v>
      </c>
      <c r="X2963">
        <v>2</v>
      </c>
      <c r="Y2963" t="s">
        <v>22739</v>
      </c>
      <c r="Z2963" t="s">
        <v>29293</v>
      </c>
      <c r="AA2963">
        <v>1.206649984995412</v>
      </c>
      <c r="AB2963" t="str">
        <f>HYPERLINK("Melting_Curves/meltCurve_P60896_SHFM1.pdf", "Melting_Curves/meltCurve_P60896_SHFM1.pdf")</f>
        <v>Melting_Curves/meltCurve_P60896_SHFM1.pdf</v>
      </c>
    </row>
    <row r="2964" spans="1:28" x14ac:dyDescent="0.25">
      <c r="A2964" t="s">
        <v>2968</v>
      </c>
      <c r="B2964">
        <v>0.99252571173614901</v>
      </c>
      <c r="C2964">
        <v>0.92086181208590101</v>
      </c>
      <c r="D2964">
        <v>0.55119339161146996</v>
      </c>
      <c r="E2964">
        <v>0.68070988618110795</v>
      </c>
      <c r="F2964">
        <v>0.42316427199444401</v>
      </c>
      <c r="G2964">
        <v>0.139104627992368</v>
      </c>
      <c r="H2964">
        <v>0.10578961818386801</v>
      </c>
      <c r="I2964">
        <v>0.11181542954962601</v>
      </c>
      <c r="J2964">
        <v>0.13158963534524001</v>
      </c>
      <c r="K2964">
        <v>0.13333072356740899</v>
      </c>
      <c r="L2964">
        <v>572.13921277757402</v>
      </c>
      <c r="M2964">
        <v>11.4796227490743</v>
      </c>
      <c r="N2964">
        <v>50.340945424117002</v>
      </c>
      <c r="O2964">
        <v>48.399090814527398</v>
      </c>
      <c r="P2964">
        <v>-5.6109445671810802E-2</v>
      </c>
      <c r="Q2964">
        <v>5.4021485827785799E-2</v>
      </c>
      <c r="R2964">
        <v>0.92830879620155504</v>
      </c>
      <c r="S2964" t="s">
        <v>9610</v>
      </c>
      <c r="T2964" t="s">
        <v>13290</v>
      </c>
      <c r="U2964" t="s">
        <v>13290</v>
      </c>
      <c r="V2964" t="s">
        <v>13290</v>
      </c>
      <c r="W2964" t="s">
        <v>16212</v>
      </c>
      <c r="X2964">
        <v>7</v>
      </c>
      <c r="Y2964" t="s">
        <v>22740</v>
      </c>
      <c r="Z2964" t="s">
        <v>29294</v>
      </c>
      <c r="AA2964">
        <v>0.39970832213018181</v>
      </c>
      <c r="AB2964" t="str">
        <f>HYPERLINK("Melting_Curves/meltCurve_P60903_S100A10.pdf", "Melting_Curves/meltCurve_P60903_S100A10.pdf")</f>
        <v>Melting_Curves/meltCurve_P60903_S100A10.pdf</v>
      </c>
    </row>
    <row r="2965" spans="1:28" x14ac:dyDescent="0.25">
      <c r="A2965" t="s">
        <v>2969</v>
      </c>
      <c r="B2965">
        <v>0.99252571173614901</v>
      </c>
      <c r="C2965">
        <v>1.06458429019923</v>
      </c>
      <c r="D2965">
        <v>0.98693436333694096</v>
      </c>
      <c r="E2965">
        <v>0.86013991210000196</v>
      </c>
      <c r="F2965">
        <v>0.67045279520716905</v>
      </c>
      <c r="G2965">
        <v>0.510631374553288</v>
      </c>
      <c r="H2965">
        <v>0.49638390287996798</v>
      </c>
      <c r="I2965">
        <v>0.58930688547476395</v>
      </c>
      <c r="J2965">
        <v>0.36411785718467998</v>
      </c>
      <c r="K2965">
        <v>0.17974019744039399</v>
      </c>
      <c r="L2965">
        <v>531.01132008817103</v>
      </c>
      <c r="M2965">
        <v>9.2195337703387903</v>
      </c>
      <c r="N2965">
        <v>60.2311525328304</v>
      </c>
      <c r="O2965">
        <v>55.080975382739197</v>
      </c>
      <c r="P2965">
        <v>-3.4924366086726097E-2</v>
      </c>
      <c r="Q2965">
        <v>0.16594751497083099</v>
      </c>
      <c r="R2965">
        <v>0.90169632375964603</v>
      </c>
      <c r="S2965" t="s">
        <v>9611</v>
      </c>
      <c r="T2965" t="s">
        <v>13290</v>
      </c>
      <c r="U2965" t="s">
        <v>13290</v>
      </c>
      <c r="V2965" t="s">
        <v>13290</v>
      </c>
      <c r="W2965" t="s">
        <v>16213</v>
      </c>
      <c r="X2965">
        <v>11</v>
      </c>
      <c r="Y2965" t="s">
        <v>22741</v>
      </c>
      <c r="Z2965" t="s">
        <v>29295</v>
      </c>
      <c r="AA2965">
        <v>0.66414906084289127</v>
      </c>
      <c r="AB2965" t="str">
        <f>HYPERLINK("Melting_Curves/meltCurve_P60953_CDC42.pdf", "Melting_Curves/meltCurve_P60953_CDC42.pdf")</f>
        <v>Melting_Curves/meltCurve_P60953_CDC42.pdf</v>
      </c>
    </row>
    <row r="2966" spans="1:28" x14ac:dyDescent="0.25">
      <c r="A2966" t="s">
        <v>2970</v>
      </c>
      <c r="B2966">
        <v>0.99252571173614901</v>
      </c>
      <c r="C2966">
        <v>1.2281729646686901</v>
      </c>
      <c r="D2966">
        <v>0.75375525524890996</v>
      </c>
      <c r="E2966">
        <v>0.71710738373170602</v>
      </c>
      <c r="F2966">
        <v>0.37359886277203402</v>
      </c>
      <c r="G2966">
        <v>0.13061214342425601</v>
      </c>
      <c r="H2966">
        <v>7.4922843759470198E-2</v>
      </c>
      <c r="I2966">
        <v>7.2538231410568199E-2</v>
      </c>
      <c r="J2966">
        <v>7.7417617182661699E-2</v>
      </c>
      <c r="K2966">
        <v>8.8314836793402393E-2</v>
      </c>
      <c r="L2966">
        <v>1042.1329887509701</v>
      </c>
      <c r="M2966">
        <v>20.364712313746701</v>
      </c>
      <c r="N2966">
        <v>51.487534182825499</v>
      </c>
      <c r="O2966">
        <v>50.687688022538097</v>
      </c>
      <c r="P2966">
        <v>-9.4578504255725795E-2</v>
      </c>
      <c r="Q2966">
        <v>5.8406408905240403E-2</v>
      </c>
      <c r="R2966">
        <v>0.94728706487138103</v>
      </c>
      <c r="S2966" t="s">
        <v>9612</v>
      </c>
      <c r="T2966" t="s">
        <v>13290</v>
      </c>
      <c r="U2966" t="s">
        <v>13290</v>
      </c>
      <c r="V2966" t="s">
        <v>13290</v>
      </c>
      <c r="W2966" t="s">
        <v>16214</v>
      </c>
      <c r="X2966">
        <v>22</v>
      </c>
      <c r="Y2966" t="s">
        <v>22742</v>
      </c>
      <c r="Z2966" t="s">
        <v>29296</v>
      </c>
      <c r="AA2966">
        <v>0.42173442777212</v>
      </c>
      <c r="AB2966" t="str">
        <f>HYPERLINK("Melting_Curves/meltCurve_P60981_DSTN.pdf", "Melting_Curves/meltCurve_P60981_DSTN.pdf")</f>
        <v>Melting_Curves/meltCurve_P60981_DSTN.pdf</v>
      </c>
    </row>
    <row r="2967" spans="1:28" x14ac:dyDescent="0.25">
      <c r="A2967" t="s">
        <v>2971</v>
      </c>
      <c r="B2967">
        <v>0.99252571173614901</v>
      </c>
      <c r="C2967">
        <v>1.0930722845221901</v>
      </c>
      <c r="D2967">
        <v>1.03394819378883</v>
      </c>
      <c r="E2967">
        <v>0.92724856263131195</v>
      </c>
      <c r="F2967">
        <v>0.78949250318581499</v>
      </c>
      <c r="G2967">
        <v>0.65979050967252895</v>
      </c>
      <c r="H2967">
        <v>0.52976112363897798</v>
      </c>
      <c r="I2967">
        <v>0.43448259818934198</v>
      </c>
      <c r="J2967">
        <v>0.42187710422599001</v>
      </c>
      <c r="K2967">
        <v>0.31907014650145998</v>
      </c>
      <c r="L2967">
        <v>814.81093128440602</v>
      </c>
      <c r="M2967">
        <v>14.2949559885716</v>
      </c>
      <c r="N2967">
        <v>61.240393150229004</v>
      </c>
      <c r="O2967">
        <v>55.919222793023302</v>
      </c>
      <c r="P2967">
        <v>-4.3835378445718297E-2</v>
      </c>
      <c r="Q2967">
        <v>0.31418009809693498</v>
      </c>
      <c r="R2967">
        <v>0.97665341316841003</v>
      </c>
      <c r="S2967" t="s">
        <v>9613</v>
      </c>
      <c r="T2967" t="s">
        <v>13290</v>
      </c>
      <c r="U2967" t="s">
        <v>13290</v>
      </c>
      <c r="V2967" t="s">
        <v>13290</v>
      </c>
      <c r="W2967" t="s">
        <v>16215</v>
      </c>
      <c r="X2967">
        <v>12</v>
      </c>
      <c r="Y2967" t="s">
        <v>22743</v>
      </c>
      <c r="Z2967" t="s">
        <v>29297</v>
      </c>
      <c r="AA2967">
        <v>0.71392849425834382</v>
      </c>
      <c r="AB2967" t="str">
        <f>HYPERLINK("Melting_Curves/meltCurve_P60983_GMFB.pdf", "Melting_Curves/meltCurve_P60983_GMFB.pdf")</f>
        <v>Melting_Curves/meltCurve_P60983_GMFB.pdf</v>
      </c>
    </row>
    <row r="2968" spans="1:28" x14ac:dyDescent="0.25">
      <c r="A2968" t="s">
        <v>2972</v>
      </c>
      <c r="B2968">
        <v>0.99252571173614901</v>
      </c>
      <c r="C2968">
        <v>0.98315330810114698</v>
      </c>
      <c r="D2968">
        <v>0.93540466680314804</v>
      </c>
      <c r="E2968">
        <v>0.903217164118993</v>
      </c>
      <c r="F2968">
        <v>0.67998387755904099</v>
      </c>
      <c r="G2968">
        <v>0.53275181575280395</v>
      </c>
      <c r="H2968">
        <v>0.39424299977313598</v>
      </c>
      <c r="I2968">
        <v>0.35869995230949098</v>
      </c>
      <c r="J2968">
        <v>0.13915611780626</v>
      </c>
      <c r="K2968">
        <v>0.122309507916169</v>
      </c>
      <c r="L2968">
        <v>608.89045560415798</v>
      </c>
      <c r="M2968">
        <v>10.4927305669747</v>
      </c>
      <c r="N2968">
        <v>58.029740476032401</v>
      </c>
      <c r="O2968">
        <v>56.040811141496903</v>
      </c>
      <c r="P2968">
        <v>-4.6827370458573998E-2</v>
      </c>
      <c r="Q2968">
        <v>0</v>
      </c>
      <c r="R2968">
        <v>0.98527448664442696</v>
      </c>
      <c r="S2968" t="s">
        <v>9614</v>
      </c>
      <c r="T2968" t="s">
        <v>13290</v>
      </c>
      <c r="U2968" t="s">
        <v>13290</v>
      </c>
      <c r="V2968" t="s">
        <v>13290</v>
      </c>
      <c r="W2968" t="s">
        <v>16216</v>
      </c>
      <c r="X2968">
        <v>19</v>
      </c>
      <c r="Y2968" t="s">
        <v>22744</v>
      </c>
      <c r="Z2968" t="s">
        <v>29298</v>
      </c>
      <c r="AA2968">
        <v>0.61167839917786715</v>
      </c>
      <c r="AB2968" t="str">
        <f>HYPERLINK("Melting_Curves/meltCurve_P61006_RAB8A.pdf", "Melting_Curves/meltCurve_P61006_RAB8A.pdf")</f>
        <v>Melting_Curves/meltCurve_P61006_RAB8A.pdf</v>
      </c>
    </row>
    <row r="2969" spans="1:28" x14ac:dyDescent="0.25">
      <c r="A2969" t="s">
        <v>2973</v>
      </c>
      <c r="B2969">
        <v>0.99252571173614901</v>
      </c>
      <c r="C2969">
        <v>1.0018019527573701</v>
      </c>
      <c r="D2969">
        <v>0.90117270333472199</v>
      </c>
      <c r="E2969">
        <v>0.90485967059393702</v>
      </c>
      <c r="F2969">
        <v>0.45314345193129402</v>
      </c>
      <c r="G2969">
        <v>0.22075647979581001</v>
      </c>
      <c r="H2969">
        <v>0.108549363658845</v>
      </c>
      <c r="I2969">
        <v>7.5721109548343296E-2</v>
      </c>
      <c r="J2969">
        <v>0.13163017854377601</v>
      </c>
      <c r="K2969">
        <v>0.132392607671345</v>
      </c>
      <c r="L2969">
        <v>1603.90907328403</v>
      </c>
      <c r="M2969">
        <v>30.532055405008801</v>
      </c>
      <c r="N2969">
        <v>52.970652581830201</v>
      </c>
      <c r="O2969">
        <v>52.308139227970003</v>
      </c>
      <c r="P2969">
        <v>-0.12962362821288101</v>
      </c>
      <c r="Q2969">
        <v>0.11170965795276699</v>
      </c>
      <c r="R2969">
        <v>0.99178316960562896</v>
      </c>
      <c r="S2969" t="s">
        <v>9615</v>
      </c>
      <c r="T2969" t="s">
        <v>13290</v>
      </c>
      <c r="U2969" t="s">
        <v>13290</v>
      </c>
      <c r="V2969" t="s">
        <v>13290</v>
      </c>
      <c r="W2969" t="s">
        <v>16217</v>
      </c>
      <c r="X2969">
        <v>4</v>
      </c>
      <c r="Y2969" t="s">
        <v>22745</v>
      </c>
      <c r="Z2969" t="s">
        <v>29299</v>
      </c>
      <c r="AA2969">
        <v>0.48830403976560188</v>
      </c>
      <c r="AB2969" t="str">
        <f>HYPERLINK("Melting_Curves/meltCurve_P61009_SPCS3.pdf", "Melting_Curves/meltCurve_P61009_SPCS3.pdf")</f>
        <v>Melting_Curves/meltCurve_P61009_SPCS3.pdf</v>
      </c>
    </row>
    <row r="2970" spans="1:28" x14ac:dyDescent="0.25">
      <c r="A2970" t="s">
        <v>2974</v>
      </c>
      <c r="B2970">
        <v>0.99252571173614901</v>
      </c>
      <c r="C2970">
        <v>0.89457233692597105</v>
      </c>
      <c r="D2970">
        <v>1.0031536195191799</v>
      </c>
      <c r="E2970">
        <v>0.72757768991030702</v>
      </c>
      <c r="F2970">
        <v>0.293613932506744</v>
      </c>
      <c r="G2970">
        <v>0.114989941850331</v>
      </c>
      <c r="H2970">
        <v>7.2394123738147506E-2</v>
      </c>
      <c r="I2970">
        <v>7.3554048799906901E-2</v>
      </c>
      <c r="J2970">
        <v>8.2694894727736695E-2</v>
      </c>
      <c r="K2970">
        <v>8.5338486384671397E-2</v>
      </c>
      <c r="L2970">
        <v>1556.6471381920801</v>
      </c>
      <c r="M2970">
        <v>30.471936513871299</v>
      </c>
      <c r="N2970">
        <v>51.363310041923903</v>
      </c>
      <c r="O2970">
        <v>50.866117792729902</v>
      </c>
      <c r="P2970">
        <v>-0.13835455601315599</v>
      </c>
      <c r="Q2970">
        <v>7.6197078960123302E-2</v>
      </c>
      <c r="R2970">
        <v>0.99225479052063803</v>
      </c>
      <c r="S2970" t="s">
        <v>9616</v>
      </c>
      <c r="T2970" t="s">
        <v>13290</v>
      </c>
      <c r="U2970" t="s">
        <v>13290</v>
      </c>
      <c r="V2970" t="s">
        <v>13290</v>
      </c>
      <c r="W2970" t="s">
        <v>16218</v>
      </c>
      <c r="X2970">
        <v>19</v>
      </c>
      <c r="Y2970" t="s">
        <v>22746</v>
      </c>
      <c r="Z2970" t="s">
        <v>29300</v>
      </c>
      <c r="AA2970">
        <v>0.42316785087076958</v>
      </c>
      <c r="AB2970" t="str">
        <f>HYPERLINK("Melting_Curves/meltCurve_P61011_SRP54.pdf", "Melting_Curves/meltCurve_P61011_SRP54.pdf")</f>
        <v>Melting_Curves/meltCurve_P61011_SRP54.pdf</v>
      </c>
    </row>
    <row r="2971" spans="1:28" x14ac:dyDescent="0.25">
      <c r="A2971" t="s">
        <v>2975</v>
      </c>
      <c r="B2971">
        <v>0.99252571173614901</v>
      </c>
      <c r="C2971">
        <v>0.97039632516684304</v>
      </c>
      <c r="D2971">
        <v>0.82645778026190098</v>
      </c>
      <c r="E2971">
        <v>0.71532668530396304</v>
      </c>
      <c r="F2971">
        <v>0.71496319944226705</v>
      </c>
      <c r="G2971">
        <v>0.64291702508795201</v>
      </c>
      <c r="H2971">
        <v>0.48505948473493998</v>
      </c>
      <c r="I2971">
        <v>0.30366325020371598</v>
      </c>
      <c r="J2971">
        <v>0.13466264669511899</v>
      </c>
      <c r="K2971">
        <v>0.149210913407297</v>
      </c>
      <c r="L2971">
        <v>499.30623084215</v>
      </c>
      <c r="M2971">
        <v>8.5922797871074792</v>
      </c>
      <c r="N2971">
        <v>58.111028958040698</v>
      </c>
      <c r="O2971">
        <v>55.220207100459497</v>
      </c>
      <c r="P2971">
        <v>-3.8933710235395401E-2</v>
      </c>
      <c r="Q2971">
        <v>0</v>
      </c>
      <c r="R2971">
        <v>0.94971599676294705</v>
      </c>
      <c r="S2971" t="s">
        <v>9617</v>
      </c>
      <c r="T2971" t="s">
        <v>13290</v>
      </c>
      <c r="U2971" t="s">
        <v>13290</v>
      </c>
      <c r="V2971" t="s">
        <v>13290</v>
      </c>
      <c r="W2971" t="s">
        <v>16219</v>
      </c>
      <c r="X2971">
        <v>4</v>
      </c>
      <c r="Y2971" t="s">
        <v>22747</v>
      </c>
      <c r="Z2971" t="s">
        <v>29301</v>
      </c>
      <c r="AA2971">
        <v>0.60877434630816307</v>
      </c>
      <c r="AB2971" t="str">
        <f>HYPERLINK("Melting_Curves/meltCurve_P61018_RAB4B.pdf", "Melting_Curves/meltCurve_P61018_RAB4B.pdf")</f>
        <v>Melting_Curves/meltCurve_P61018_RAB4B.pdf</v>
      </c>
    </row>
    <row r="2972" spans="1:28" x14ac:dyDescent="0.25">
      <c r="A2972" t="s">
        <v>2976</v>
      </c>
      <c r="B2972">
        <v>0.99252571173614901</v>
      </c>
      <c r="C2972">
        <v>0.93123595387885605</v>
      </c>
      <c r="D2972">
        <v>0.87145642813901003</v>
      </c>
      <c r="E2972">
        <v>0.78048881130632497</v>
      </c>
      <c r="F2972">
        <v>0.69077545496356496</v>
      </c>
      <c r="G2972">
        <v>0.63404250259948103</v>
      </c>
      <c r="H2972">
        <v>0.53055656933255402</v>
      </c>
      <c r="I2972">
        <v>0.52315389100561105</v>
      </c>
      <c r="J2972">
        <v>0.17878140527390499</v>
      </c>
      <c r="K2972">
        <v>0.12660343777949001</v>
      </c>
      <c r="L2972">
        <v>467.87400557193303</v>
      </c>
      <c r="M2972">
        <v>7.8445692078942404</v>
      </c>
      <c r="N2972">
        <v>59.643046433002603</v>
      </c>
      <c r="O2972">
        <v>56.139898129874801</v>
      </c>
      <c r="P2972">
        <v>-3.4975634397896201E-2</v>
      </c>
      <c r="Q2972">
        <v>0</v>
      </c>
      <c r="R2972">
        <v>0.92189814920187896</v>
      </c>
      <c r="S2972" t="s">
        <v>9618</v>
      </c>
      <c r="T2972" t="s">
        <v>13290</v>
      </c>
      <c r="U2972" t="s">
        <v>13290</v>
      </c>
      <c r="V2972" t="s">
        <v>13290</v>
      </c>
      <c r="W2972" t="s">
        <v>16220</v>
      </c>
      <c r="X2972">
        <v>21</v>
      </c>
      <c r="Y2972" t="s">
        <v>22748</v>
      </c>
      <c r="Z2972" t="s">
        <v>29302</v>
      </c>
      <c r="AA2972">
        <v>0.64212754684493623</v>
      </c>
      <c r="AB2972" t="str">
        <f>HYPERLINK("Melting_Curves/meltCurve_P61019_RAB2A.pdf", "Melting_Curves/meltCurve_P61019_RAB2A.pdf")</f>
        <v>Melting_Curves/meltCurve_P61019_RAB2A.pdf</v>
      </c>
    </row>
    <row r="2973" spans="1:28" x14ac:dyDescent="0.25">
      <c r="A2973" t="s">
        <v>2977</v>
      </c>
      <c r="B2973">
        <v>0.99252571173614901</v>
      </c>
      <c r="C2973">
        <v>0.95860564008916305</v>
      </c>
      <c r="D2973">
        <v>0.91150370742405296</v>
      </c>
      <c r="E2973">
        <v>0.79425044005465295</v>
      </c>
      <c r="F2973">
        <v>0.74307232338416396</v>
      </c>
      <c r="G2973">
        <v>0.57377413997974303</v>
      </c>
      <c r="H2973">
        <v>0.44004005789664502</v>
      </c>
      <c r="I2973">
        <v>0.481703087214361</v>
      </c>
      <c r="J2973">
        <v>0.289156140814188</v>
      </c>
      <c r="K2973">
        <v>0.133435975165032</v>
      </c>
      <c r="L2973">
        <v>477.92678431590099</v>
      </c>
      <c r="M2973">
        <v>8.0301263153028906</v>
      </c>
      <c r="N2973">
        <v>59.516720584820597</v>
      </c>
      <c r="O2973">
        <v>56.166133762070999</v>
      </c>
      <c r="P2973">
        <v>-3.5782601497194401E-2</v>
      </c>
      <c r="Q2973">
        <v>0</v>
      </c>
      <c r="R2973">
        <v>0.96616943159050594</v>
      </c>
      <c r="S2973" t="s">
        <v>9619</v>
      </c>
      <c r="T2973" t="s">
        <v>13290</v>
      </c>
      <c r="U2973" t="s">
        <v>13290</v>
      </c>
      <c r="V2973" t="s">
        <v>13290</v>
      </c>
      <c r="W2973" t="s">
        <v>16221</v>
      </c>
      <c r="X2973">
        <v>8</v>
      </c>
      <c r="Y2973" t="s">
        <v>22749</v>
      </c>
      <c r="Z2973" t="s">
        <v>29303</v>
      </c>
      <c r="AA2973">
        <v>0.64040962179796912</v>
      </c>
      <c r="AB2973" t="str">
        <f>HYPERLINK("Melting_Curves/meltCurve_P61020_RAB5B.pdf", "Melting_Curves/meltCurve_P61020_RAB5B.pdf")</f>
        <v>Melting_Curves/meltCurve_P61020_RAB5B.pdf</v>
      </c>
    </row>
    <row r="2974" spans="1:28" x14ac:dyDescent="0.25">
      <c r="A2974" t="s">
        <v>2978</v>
      </c>
      <c r="B2974">
        <v>0.99252571173614901</v>
      </c>
      <c r="C2974">
        <v>1.0654223222966701</v>
      </c>
      <c r="D2974">
        <v>0.88672293330757201</v>
      </c>
      <c r="E2974">
        <v>0.62636347915426005</v>
      </c>
      <c r="F2974">
        <v>0.46143838266795301</v>
      </c>
      <c r="G2974">
        <v>0.40015761938261601</v>
      </c>
      <c r="H2974">
        <v>0.42146400756157598</v>
      </c>
      <c r="I2974">
        <v>0.52637381261229299</v>
      </c>
      <c r="J2974">
        <v>0.74946967494348105</v>
      </c>
      <c r="K2974">
        <v>0.72944850234727898</v>
      </c>
      <c r="L2974">
        <v>2071.2936669420601</v>
      </c>
      <c r="M2974">
        <v>43.775774171536497</v>
      </c>
      <c r="O2974">
        <v>47.217559283856403</v>
      </c>
      <c r="P2974">
        <v>-0.10416877719772601</v>
      </c>
      <c r="Q2974">
        <v>0.55056528137425498</v>
      </c>
      <c r="R2974">
        <v>0.75581222015312299</v>
      </c>
      <c r="S2974" t="s">
        <v>9620</v>
      </c>
      <c r="T2974" t="s">
        <v>13290</v>
      </c>
      <c r="U2974" t="s">
        <v>13290</v>
      </c>
      <c r="V2974" t="s">
        <v>13290</v>
      </c>
      <c r="W2974" t="s">
        <v>16222</v>
      </c>
      <c r="X2974">
        <v>4</v>
      </c>
      <c r="Y2974" t="s">
        <v>22750</v>
      </c>
      <c r="Z2974" t="s">
        <v>29304</v>
      </c>
      <c r="AA2974">
        <v>0.66139666882050585</v>
      </c>
      <c r="AB2974" t="str">
        <f>HYPERLINK("Melting_Curves/meltCurve_P61024_CKS1B.pdf", "Melting_Curves/meltCurve_P61024_CKS1B.pdf")</f>
        <v>Melting_Curves/meltCurve_P61024_CKS1B.pdf</v>
      </c>
    </row>
    <row r="2975" spans="1:28" x14ac:dyDescent="0.25">
      <c r="A2975" t="s">
        <v>2979</v>
      </c>
      <c r="B2975">
        <v>0.99252571173614901</v>
      </c>
      <c r="C2975">
        <v>0.98327190000219999</v>
      </c>
      <c r="D2975">
        <v>0.91927367119285897</v>
      </c>
      <c r="E2975">
        <v>0.87928293464595997</v>
      </c>
      <c r="F2975">
        <v>0.67247705748128495</v>
      </c>
      <c r="G2975">
        <v>0.55783583868907904</v>
      </c>
      <c r="H2975">
        <v>0.46858243951608303</v>
      </c>
      <c r="I2975">
        <v>0.50472154368838495</v>
      </c>
      <c r="J2975">
        <v>0.26907921300339399</v>
      </c>
      <c r="K2975">
        <v>0.16345187423431801</v>
      </c>
      <c r="L2975">
        <v>481.23942145282001</v>
      </c>
      <c r="M2975">
        <v>8.0566131748166399</v>
      </c>
      <c r="N2975">
        <v>59.732223768849202</v>
      </c>
      <c r="O2975">
        <v>56.389578532053399</v>
      </c>
      <c r="P2975">
        <v>-3.5757884261430999E-2</v>
      </c>
      <c r="Q2975">
        <v>0</v>
      </c>
      <c r="R2975">
        <v>0.96030574166280103</v>
      </c>
      <c r="S2975" t="s">
        <v>9621</v>
      </c>
      <c r="T2975" t="s">
        <v>13290</v>
      </c>
      <c r="U2975" t="s">
        <v>13290</v>
      </c>
      <c r="V2975" t="s">
        <v>13290</v>
      </c>
      <c r="W2975" t="s">
        <v>16223</v>
      </c>
      <c r="X2975">
        <v>10</v>
      </c>
      <c r="Y2975" t="s">
        <v>22751</v>
      </c>
      <c r="Z2975" t="s">
        <v>29305</v>
      </c>
      <c r="AA2975">
        <v>0.64567261312530422</v>
      </c>
      <c r="AB2975" t="str">
        <f>HYPERLINK("Melting_Curves/meltCurve_P61026_RAB10.pdf", "Melting_Curves/meltCurve_P61026_RAB10.pdf")</f>
        <v>Melting_Curves/meltCurve_P61026_RAB10.pdf</v>
      </c>
    </row>
    <row r="2976" spans="1:28" x14ac:dyDescent="0.25">
      <c r="A2976" t="s">
        <v>2980</v>
      </c>
      <c r="B2976">
        <v>0.99252571173614901</v>
      </c>
      <c r="C2976">
        <v>1.11659052204433</v>
      </c>
      <c r="D2976">
        <v>0.97470719992227495</v>
      </c>
      <c r="E2976">
        <v>0.71756954064728495</v>
      </c>
      <c r="F2976">
        <v>0.30306549891054202</v>
      </c>
      <c r="G2976">
        <v>0.18745546636671201</v>
      </c>
      <c r="H2976">
        <v>0.102239040372229</v>
      </c>
      <c r="I2976">
        <v>0.106956977255802</v>
      </c>
      <c r="J2976">
        <v>0.122692666913205</v>
      </c>
      <c r="K2976">
        <v>0.10359953730667699</v>
      </c>
      <c r="L2976">
        <v>1512.84699835577</v>
      </c>
      <c r="M2976">
        <v>29.707800267724899</v>
      </c>
      <c r="N2976">
        <v>51.369499238710098</v>
      </c>
      <c r="O2976">
        <v>50.695161516895702</v>
      </c>
      <c r="P2976">
        <v>-0.129873715014764</v>
      </c>
      <c r="Q2976">
        <v>0.11350904437857801</v>
      </c>
      <c r="R2976">
        <v>0.98997483364796501</v>
      </c>
      <c r="S2976" t="s">
        <v>9622</v>
      </c>
      <c r="T2976" t="s">
        <v>13290</v>
      </c>
      <c r="U2976" t="s">
        <v>13290</v>
      </c>
      <c r="V2976" t="s">
        <v>13290</v>
      </c>
      <c r="W2976" t="s">
        <v>16224</v>
      </c>
      <c r="X2976">
        <v>5</v>
      </c>
      <c r="Y2976" t="s">
        <v>22752</v>
      </c>
      <c r="Z2976" t="s">
        <v>29306</v>
      </c>
      <c r="AA2976">
        <v>0.44199398629869152</v>
      </c>
      <c r="AB2976" t="str">
        <f>HYPERLINK("Melting_Curves/meltCurve_P61077_UBE2D3.pdf", "Melting_Curves/meltCurve_P61077_UBE2D3.pdf")</f>
        <v>Melting_Curves/meltCurve_P61077_UBE2D3.pdf</v>
      </c>
    </row>
    <row r="2977" spans="1:28" x14ac:dyDescent="0.25">
      <c r="A2977" t="s">
        <v>2981</v>
      </c>
      <c r="B2977">
        <v>0.99252571173614901</v>
      </c>
      <c r="C2977">
        <v>1.06591390244664</v>
      </c>
      <c r="D2977">
        <v>0.97980885066475598</v>
      </c>
      <c r="E2977">
        <v>0.77452645683912003</v>
      </c>
      <c r="F2977">
        <v>0.216975102203077</v>
      </c>
      <c r="G2977">
        <v>0.125175531917287</v>
      </c>
      <c r="H2977">
        <v>7.5834037688174705E-2</v>
      </c>
      <c r="I2977">
        <v>6.9306748036150806E-2</v>
      </c>
      <c r="J2977">
        <v>7.1362293085015502E-2</v>
      </c>
      <c r="K2977">
        <v>6.5008486594398604E-2</v>
      </c>
      <c r="L2977">
        <v>2028.6566362896201</v>
      </c>
      <c r="M2977">
        <v>39.788195903518599</v>
      </c>
      <c r="N2977">
        <v>51.200403040687597</v>
      </c>
      <c r="O2977">
        <v>50.858107414610501</v>
      </c>
      <c r="P2977">
        <v>-0.18060214665688801</v>
      </c>
      <c r="Q2977">
        <v>7.6604131803545195E-2</v>
      </c>
      <c r="R2977">
        <v>0.99670210845285201</v>
      </c>
      <c r="S2977" t="s">
        <v>9623</v>
      </c>
      <c r="T2977" t="s">
        <v>13290</v>
      </c>
      <c r="U2977" t="s">
        <v>13290</v>
      </c>
      <c r="V2977" t="s">
        <v>13290</v>
      </c>
      <c r="W2977" t="s">
        <v>16225</v>
      </c>
      <c r="X2977">
        <v>12</v>
      </c>
      <c r="Y2977" t="s">
        <v>22753</v>
      </c>
      <c r="Z2977" t="s">
        <v>29307</v>
      </c>
      <c r="AA2977">
        <v>0.41805297536750502</v>
      </c>
      <c r="AB2977" t="str">
        <f>HYPERLINK("Melting_Curves/meltCurve_P61081_UBE2M.pdf", "Melting_Curves/meltCurve_P61081_UBE2M.pdf")</f>
        <v>Melting_Curves/meltCurve_P61081_UBE2M.pdf</v>
      </c>
    </row>
    <row r="2978" spans="1:28" x14ac:dyDescent="0.25">
      <c r="A2978" t="s">
        <v>2982</v>
      </c>
      <c r="B2978">
        <v>0.99252571173614901</v>
      </c>
      <c r="C2978">
        <v>1.0602746208709699</v>
      </c>
      <c r="D2978">
        <v>0.97577864432797101</v>
      </c>
      <c r="E2978">
        <v>0.78966289191750005</v>
      </c>
      <c r="F2978">
        <v>0.45142898410865701</v>
      </c>
      <c r="G2978">
        <v>0.16065585094993301</v>
      </c>
      <c r="H2978">
        <v>9.9883328075297206E-2</v>
      </c>
      <c r="I2978">
        <v>7.7290009950827604E-2</v>
      </c>
      <c r="J2978">
        <v>9.1385963456358799E-2</v>
      </c>
      <c r="K2978">
        <v>8.2382554970954397E-2</v>
      </c>
      <c r="L2978">
        <v>1325.3314273706801</v>
      </c>
      <c r="M2978">
        <v>25.381875281602699</v>
      </c>
      <c r="N2978">
        <v>52.556196795416199</v>
      </c>
      <c r="O2978">
        <v>51.894790912610901</v>
      </c>
      <c r="P2978">
        <v>-0.113005708986657</v>
      </c>
      <c r="Q2978">
        <v>7.5823705721831405E-2</v>
      </c>
      <c r="R2978">
        <v>0.99664801452519303</v>
      </c>
      <c r="S2978" t="s">
        <v>9624</v>
      </c>
      <c r="T2978" t="s">
        <v>13290</v>
      </c>
      <c r="U2978" t="s">
        <v>13290</v>
      </c>
      <c r="V2978" t="s">
        <v>13290</v>
      </c>
      <c r="W2978" t="s">
        <v>16226</v>
      </c>
      <c r="X2978">
        <v>14</v>
      </c>
      <c r="Y2978" t="s">
        <v>22754</v>
      </c>
      <c r="Z2978" t="s">
        <v>29308</v>
      </c>
      <c r="AA2978">
        <v>0.46034972055335721</v>
      </c>
      <c r="AB2978" t="str">
        <f>HYPERLINK("Melting_Curves/meltCurve_P61086_UBE2K.pdf", "Melting_Curves/meltCurve_P61086_UBE2K.pdf")</f>
        <v>Melting_Curves/meltCurve_P61086_UBE2K.pdf</v>
      </c>
    </row>
    <row r="2979" spans="1:28" x14ac:dyDescent="0.25">
      <c r="A2979" t="s">
        <v>2983</v>
      </c>
      <c r="B2979">
        <v>0.99252571173614901</v>
      </c>
      <c r="C2979">
        <v>1.0777282568311</v>
      </c>
      <c r="D2979">
        <v>0.93472385923577095</v>
      </c>
      <c r="E2979">
        <v>0.70244455698109898</v>
      </c>
      <c r="F2979">
        <v>0.41092043946199502</v>
      </c>
      <c r="G2979">
        <v>0.15024364794171999</v>
      </c>
      <c r="H2979">
        <v>9.0060900649235096E-2</v>
      </c>
      <c r="I2979">
        <v>7.9066894729829598E-2</v>
      </c>
      <c r="J2979">
        <v>9.2369522746715102E-2</v>
      </c>
      <c r="K2979">
        <v>7.7732996829115802E-2</v>
      </c>
      <c r="L2979">
        <v>1150.6520045479799</v>
      </c>
      <c r="M2979">
        <v>22.327346107551801</v>
      </c>
      <c r="N2979">
        <v>51.889871714268303</v>
      </c>
      <c r="O2979">
        <v>51.127486649099197</v>
      </c>
      <c r="P2979">
        <v>-0.101458230518142</v>
      </c>
      <c r="Q2979">
        <v>7.0701168518860394E-2</v>
      </c>
      <c r="R2979">
        <v>0.993554560901032</v>
      </c>
      <c r="S2979" t="s">
        <v>9625</v>
      </c>
      <c r="T2979" t="s">
        <v>13290</v>
      </c>
      <c r="U2979" t="s">
        <v>13290</v>
      </c>
      <c r="V2979" t="s">
        <v>13290</v>
      </c>
      <c r="W2979" t="s">
        <v>16227</v>
      </c>
      <c r="X2979">
        <v>14</v>
      </c>
      <c r="Y2979" t="s">
        <v>22755</v>
      </c>
      <c r="Z2979" t="s">
        <v>29309</v>
      </c>
      <c r="AA2979">
        <v>0.43852594435637449</v>
      </c>
      <c r="AB2979" t="str">
        <f>HYPERLINK("Melting_Curves/meltCurve_P61088_UBE2N.pdf", "Melting_Curves/meltCurve_P61088_UBE2N.pdf")</f>
        <v>Melting_Curves/meltCurve_P61088_UBE2N.pdf</v>
      </c>
    </row>
    <row r="2980" spans="1:28" x14ac:dyDescent="0.25">
      <c r="A2980" t="s">
        <v>2984</v>
      </c>
      <c r="B2980">
        <v>0.99252571173614901</v>
      </c>
      <c r="C2980">
        <v>0.96351669513962102</v>
      </c>
      <c r="D2980">
        <v>0.88361476491364199</v>
      </c>
      <c r="E2980">
        <v>0.78932500911638903</v>
      </c>
      <c r="F2980">
        <v>0.79645062916424503</v>
      </c>
      <c r="G2980">
        <v>0.65697671591353501</v>
      </c>
      <c r="H2980">
        <v>0.480326357990425</v>
      </c>
      <c r="I2980">
        <v>0.39827320929160698</v>
      </c>
      <c r="J2980">
        <v>0.170522497471124</v>
      </c>
      <c r="K2980">
        <v>0.133947247160868</v>
      </c>
      <c r="L2980">
        <v>584.14295292186603</v>
      </c>
      <c r="M2980">
        <v>9.8049576924873598</v>
      </c>
      <c r="N2980">
        <v>59.576275365878701</v>
      </c>
      <c r="O2980">
        <v>57.256721159385499</v>
      </c>
      <c r="P2980">
        <v>-4.2833832901371202E-2</v>
      </c>
      <c r="Q2980">
        <v>0</v>
      </c>
      <c r="R2980">
        <v>0.96794009389825297</v>
      </c>
      <c r="S2980" t="s">
        <v>9626</v>
      </c>
      <c r="T2980" t="s">
        <v>13290</v>
      </c>
      <c r="U2980" t="s">
        <v>13290</v>
      </c>
      <c r="V2980" t="s">
        <v>13290</v>
      </c>
      <c r="W2980" t="s">
        <v>16228</v>
      </c>
      <c r="X2980">
        <v>22</v>
      </c>
      <c r="Y2980" t="s">
        <v>22756</v>
      </c>
      <c r="Z2980" t="s">
        <v>29310</v>
      </c>
      <c r="AA2980">
        <v>0.65100187606049753</v>
      </c>
      <c r="AB2980" t="str">
        <f>HYPERLINK("Melting_Curves/meltCurve_P61106_RAB14.pdf", "Melting_Curves/meltCurve_P61106_RAB14.pdf")</f>
        <v>Melting_Curves/meltCurve_P61106_RAB14.pdf</v>
      </c>
    </row>
    <row r="2981" spans="1:28" x14ac:dyDescent="0.25">
      <c r="A2981" t="s">
        <v>2985</v>
      </c>
      <c r="B2981">
        <v>0.99252571173614901</v>
      </c>
      <c r="C2981">
        <v>1.2893681519475799</v>
      </c>
      <c r="D2981">
        <v>1.1060968580608099</v>
      </c>
      <c r="E2981">
        <v>1.11912165128661</v>
      </c>
      <c r="F2981">
        <v>0.78933035440749999</v>
      </c>
      <c r="G2981">
        <v>0.49768116398974099</v>
      </c>
      <c r="H2981">
        <v>0.29502344280152798</v>
      </c>
      <c r="I2981">
        <v>0.31615825580042001</v>
      </c>
      <c r="J2981">
        <v>0.38187418576377402</v>
      </c>
      <c r="K2981">
        <v>0.35801194320594798</v>
      </c>
      <c r="L2981">
        <v>2106.62978168272</v>
      </c>
      <c r="M2981">
        <v>38.577306325881104</v>
      </c>
      <c r="N2981">
        <v>56.268629263250901</v>
      </c>
      <c r="O2981">
        <v>54.461891703923797</v>
      </c>
      <c r="P2981">
        <v>-0.116901697426033</v>
      </c>
      <c r="Q2981">
        <v>0.33985317355316902</v>
      </c>
      <c r="R2981">
        <v>0.91013783008147797</v>
      </c>
      <c r="S2981" t="s">
        <v>9627</v>
      </c>
      <c r="T2981" t="s">
        <v>13290</v>
      </c>
      <c r="U2981" t="s">
        <v>13290</v>
      </c>
      <c r="V2981" t="s">
        <v>13290</v>
      </c>
      <c r="W2981" t="s">
        <v>16229</v>
      </c>
      <c r="X2981">
        <v>1</v>
      </c>
      <c r="Y2981" t="s">
        <v>22757</v>
      </c>
      <c r="Z2981" t="s">
        <v>29311</v>
      </c>
      <c r="AA2981">
        <v>0.66397101702441563</v>
      </c>
      <c r="AB2981" t="str">
        <f>HYPERLINK("Melting_Curves/meltCurve_P61129_ZC3H6.pdf", "Melting_Curves/meltCurve_P61129_ZC3H6.pdf")</f>
        <v>Melting_Curves/meltCurve_P61129_ZC3H6.pdf</v>
      </c>
    </row>
    <row r="2982" spans="1:28" x14ac:dyDescent="0.25">
      <c r="A2982" t="s">
        <v>2986</v>
      </c>
      <c r="B2982">
        <v>0.99252571173614901</v>
      </c>
      <c r="C2982">
        <v>0.94740933493023505</v>
      </c>
      <c r="D2982">
        <v>1.1019504901634001</v>
      </c>
      <c r="E2982">
        <v>1.0812098405744499</v>
      </c>
      <c r="F2982">
        <v>0.97825401041764404</v>
      </c>
      <c r="G2982">
        <v>0.845244208914398</v>
      </c>
      <c r="H2982">
        <v>0.69430935093469304</v>
      </c>
      <c r="I2982">
        <v>0.38971752502833301</v>
      </c>
      <c r="J2982">
        <v>0.17311868093942501</v>
      </c>
      <c r="K2982">
        <v>0.15668051252908599</v>
      </c>
      <c r="L2982">
        <v>1377.18733461325</v>
      </c>
      <c r="M2982">
        <v>22.0914581825906</v>
      </c>
      <c r="N2982">
        <v>62.638569559535497</v>
      </c>
      <c r="O2982">
        <v>61.836170849467301</v>
      </c>
      <c r="P2982">
        <v>-8.4856764687188196E-2</v>
      </c>
      <c r="Q2982">
        <v>4.9930838636312203E-2</v>
      </c>
      <c r="R2982">
        <v>0.97710791444311196</v>
      </c>
      <c r="S2982" t="s">
        <v>9628</v>
      </c>
      <c r="T2982" t="s">
        <v>13290</v>
      </c>
      <c r="U2982" t="s">
        <v>13290</v>
      </c>
      <c r="V2982" t="s">
        <v>13290</v>
      </c>
      <c r="W2982" t="s">
        <v>16230</v>
      </c>
      <c r="X2982">
        <v>27</v>
      </c>
      <c r="Y2982" t="s">
        <v>22758</v>
      </c>
      <c r="Z2982" t="s">
        <v>29312</v>
      </c>
      <c r="AA2982">
        <v>0.76031717185629299</v>
      </c>
      <c r="AB2982" t="str">
        <f>HYPERLINK("Melting_Curves/meltCurve_P61158_ACTR3.pdf", "Melting_Curves/meltCurve_P61158_ACTR3.pdf")</f>
        <v>Melting_Curves/meltCurve_P61158_ACTR3.pdf</v>
      </c>
    </row>
    <row r="2983" spans="1:28" x14ac:dyDescent="0.25">
      <c r="A2983" t="s">
        <v>2987</v>
      </c>
      <c r="B2983">
        <v>0.99252571173614901</v>
      </c>
      <c r="C2983">
        <v>0.95822105257755097</v>
      </c>
      <c r="D2983">
        <v>1.07470064364189</v>
      </c>
      <c r="E2983">
        <v>1.01707369153784</v>
      </c>
      <c r="F2983">
        <v>0.99874899820458196</v>
      </c>
      <c r="G2983">
        <v>0.83128492701699797</v>
      </c>
      <c r="H2983">
        <v>0.69015589589937099</v>
      </c>
      <c r="I2983">
        <v>0.37723979642258598</v>
      </c>
      <c r="J2983">
        <v>0.160629458352781</v>
      </c>
      <c r="K2983">
        <v>0.14883366310589899</v>
      </c>
      <c r="L2983">
        <v>1352.79749122726</v>
      </c>
      <c r="M2983">
        <v>21.714449410091898</v>
      </c>
      <c r="N2983">
        <v>62.515539313706498</v>
      </c>
      <c r="O2983">
        <v>61.778266058453198</v>
      </c>
      <c r="P2983">
        <v>-8.4696994866150899E-2</v>
      </c>
      <c r="Q2983">
        <v>3.6160601562030201E-2</v>
      </c>
      <c r="R2983">
        <v>0.98533648982812405</v>
      </c>
      <c r="S2983" t="s">
        <v>9629</v>
      </c>
      <c r="T2983" t="s">
        <v>13290</v>
      </c>
      <c r="U2983" t="s">
        <v>13290</v>
      </c>
      <c r="V2983" t="s">
        <v>13290</v>
      </c>
      <c r="W2983" t="s">
        <v>16231</v>
      </c>
      <c r="X2983">
        <v>21</v>
      </c>
      <c r="Y2983" t="s">
        <v>22759</v>
      </c>
      <c r="Z2983" t="s">
        <v>29313</v>
      </c>
      <c r="AA2983">
        <v>0.7554878521260695</v>
      </c>
      <c r="AB2983" t="str">
        <f>HYPERLINK("Melting_Curves/meltCurve_P61160_ACTR2.pdf", "Melting_Curves/meltCurve_P61160_ACTR2.pdf")</f>
        <v>Melting_Curves/meltCurve_P61160_ACTR2.pdf</v>
      </c>
    </row>
    <row r="2984" spans="1:28" x14ac:dyDescent="0.25">
      <c r="A2984" t="s">
        <v>2988</v>
      </c>
      <c r="B2984">
        <v>0.99252571173614901</v>
      </c>
      <c r="C2984">
        <v>0.95650424207879203</v>
      </c>
      <c r="D2984">
        <v>0.93821880917120404</v>
      </c>
      <c r="E2984">
        <v>0.87946219436229001</v>
      </c>
      <c r="F2984">
        <v>0.92213509753286504</v>
      </c>
      <c r="G2984">
        <v>0.70928463446134205</v>
      </c>
      <c r="H2984">
        <v>0.42421366315921</v>
      </c>
      <c r="I2984">
        <v>0.24546039313405901</v>
      </c>
      <c r="J2984">
        <v>0.226252331985554</v>
      </c>
      <c r="K2984">
        <v>0.20432088987668101</v>
      </c>
      <c r="L2984">
        <v>1186.29532882021</v>
      </c>
      <c r="M2984">
        <v>20.314981537004599</v>
      </c>
      <c r="N2984">
        <v>59.531035562748897</v>
      </c>
      <c r="O2984">
        <v>57.838090357647502</v>
      </c>
      <c r="P2984">
        <v>-7.3703472995599997E-2</v>
      </c>
      <c r="Q2984">
        <v>0.160671117345769</v>
      </c>
      <c r="R2984">
        <v>0.98295643176359304</v>
      </c>
      <c r="S2984" t="s">
        <v>9630</v>
      </c>
      <c r="T2984" t="s">
        <v>13290</v>
      </c>
      <c r="U2984" t="s">
        <v>13290</v>
      </c>
      <c r="V2984" t="s">
        <v>13290</v>
      </c>
      <c r="W2984" t="s">
        <v>16232</v>
      </c>
      <c r="X2984">
        <v>14</v>
      </c>
      <c r="Y2984" t="s">
        <v>22760</v>
      </c>
      <c r="Z2984" t="s">
        <v>29314</v>
      </c>
      <c r="AA2984">
        <v>0.68433074589861997</v>
      </c>
      <c r="AB2984" t="str">
        <f>HYPERLINK("Melting_Curves/meltCurve_P61163_ACTR1A.pdf", "Melting_Curves/meltCurve_P61163_ACTR1A.pdf")</f>
        <v>Melting_Curves/meltCurve_P61163_ACTR1A.pdf</v>
      </c>
    </row>
    <row r="2985" spans="1:28" x14ac:dyDescent="0.25">
      <c r="A2985" t="s">
        <v>2989</v>
      </c>
      <c r="B2985">
        <v>0.99252571173614901</v>
      </c>
      <c r="C2985">
        <v>0.93654079218097397</v>
      </c>
      <c r="D2985">
        <v>1.1732480667829199</v>
      </c>
      <c r="E2985">
        <v>1.0722716727117501</v>
      </c>
      <c r="F2985">
        <v>0.795609839919456</v>
      </c>
      <c r="G2985">
        <v>0.19352559841780501</v>
      </c>
      <c r="H2985">
        <v>0.11452275140344099</v>
      </c>
      <c r="I2985">
        <v>0.109732223248326</v>
      </c>
      <c r="J2985">
        <v>0.13375770117146599</v>
      </c>
      <c r="K2985">
        <v>0.121460228734574</v>
      </c>
      <c r="L2985">
        <v>3117.8553779542299</v>
      </c>
      <c r="M2985">
        <v>57.385420944867398</v>
      </c>
      <c r="N2985">
        <v>54.594294389841501</v>
      </c>
      <c r="O2985">
        <v>54.265994450336599</v>
      </c>
      <c r="P2985">
        <v>-0.23250239843294501</v>
      </c>
      <c r="Q2985">
        <v>0.120545729286194</v>
      </c>
      <c r="R2985">
        <v>0.97915078195982896</v>
      </c>
      <c r="S2985" t="s">
        <v>9631</v>
      </c>
      <c r="T2985" t="s">
        <v>13290</v>
      </c>
      <c r="U2985" t="s">
        <v>13290</v>
      </c>
      <c r="V2985" t="s">
        <v>13290</v>
      </c>
      <c r="W2985" t="s">
        <v>16233</v>
      </c>
      <c r="X2985">
        <v>19</v>
      </c>
      <c r="Y2985" t="s">
        <v>22761</v>
      </c>
      <c r="Z2985" t="s">
        <v>29315</v>
      </c>
      <c r="AA2985">
        <v>0.54228339444540508</v>
      </c>
      <c r="AB2985" t="str">
        <f>HYPERLINK("Melting_Curves/meltCurve_P61201_COPS2.pdf", "Melting_Curves/meltCurve_P61201_COPS2.pdf")</f>
        <v>Melting_Curves/meltCurve_P61201_COPS2.pdf</v>
      </c>
    </row>
    <row r="2986" spans="1:28" x14ac:dyDescent="0.25">
      <c r="A2986" t="s">
        <v>2990</v>
      </c>
      <c r="B2986">
        <v>0.99252571173614901</v>
      </c>
      <c r="C2986">
        <v>0.97100771855583701</v>
      </c>
      <c r="D2986">
        <v>0.89257470943333905</v>
      </c>
      <c r="E2986">
        <v>0.63878678992828597</v>
      </c>
      <c r="F2986">
        <v>0.76184489350754203</v>
      </c>
      <c r="G2986">
        <v>0.61962318516263304</v>
      </c>
      <c r="H2986">
        <v>0.495349337074943</v>
      </c>
      <c r="I2986">
        <v>0.29788024817105702</v>
      </c>
      <c r="J2986">
        <v>0.14059049625134001</v>
      </c>
      <c r="K2986">
        <v>0.11749865136721099</v>
      </c>
      <c r="L2986">
        <v>514.60558057589503</v>
      </c>
      <c r="M2986">
        <v>8.8629807319376894</v>
      </c>
      <c r="N2986">
        <v>58.062362048607397</v>
      </c>
      <c r="O2986">
        <v>55.334449086218797</v>
      </c>
      <c r="P2986">
        <v>-4.0073597500650898E-2</v>
      </c>
      <c r="Q2986">
        <v>0</v>
      </c>
      <c r="R2986">
        <v>0.93230750366776105</v>
      </c>
      <c r="S2986" t="s">
        <v>9632</v>
      </c>
      <c r="T2986" t="s">
        <v>13290</v>
      </c>
      <c r="U2986" t="s">
        <v>13290</v>
      </c>
      <c r="V2986" t="s">
        <v>13290</v>
      </c>
      <c r="W2986" t="s">
        <v>16234</v>
      </c>
      <c r="X2986">
        <v>15</v>
      </c>
      <c r="Y2986" t="s">
        <v>22762</v>
      </c>
      <c r="Z2986" t="s">
        <v>29316</v>
      </c>
      <c r="AA2986">
        <v>0.60848864740815578</v>
      </c>
      <c r="AB2986" t="str">
        <f>HYPERLINK("Melting_Curves/meltCurve_P61204_ARF3.pdf", "Melting_Curves/meltCurve_P61204_ARF3.pdf")</f>
        <v>Melting_Curves/meltCurve_P61204_ARF3.pdf</v>
      </c>
    </row>
    <row r="2987" spans="1:28" x14ac:dyDescent="0.25">
      <c r="A2987" t="s">
        <v>2991</v>
      </c>
      <c r="B2987">
        <v>0.99252571173614901</v>
      </c>
      <c r="C2987">
        <v>1.08793958355898</v>
      </c>
      <c r="D2987">
        <v>1.0543778773361501</v>
      </c>
      <c r="E2987">
        <v>1.1110478741044301</v>
      </c>
      <c r="F2987">
        <v>1.0535443574384</v>
      </c>
      <c r="G2987">
        <v>0.97418350808773102</v>
      </c>
      <c r="H2987">
        <v>0.88130683462957105</v>
      </c>
      <c r="I2987">
        <v>1.0300572330311799</v>
      </c>
      <c r="J2987">
        <v>1.3648714587552599</v>
      </c>
      <c r="K2987">
        <v>1.3560736088032399</v>
      </c>
      <c r="L2987">
        <v>15000</v>
      </c>
      <c r="M2987">
        <v>231.97807368311501</v>
      </c>
      <c r="O2987">
        <v>64.656478288320201</v>
      </c>
      <c r="P2987">
        <v>0.32336513820346602</v>
      </c>
      <c r="Q2987">
        <v>1.3605108107953201</v>
      </c>
      <c r="R2987">
        <v>0.81436107093098098</v>
      </c>
      <c r="S2987" t="s">
        <v>9633</v>
      </c>
      <c r="T2987" t="s">
        <v>13290</v>
      </c>
      <c r="U2987" t="s">
        <v>13290</v>
      </c>
      <c r="V2987" t="s">
        <v>13290</v>
      </c>
      <c r="W2987" t="s">
        <v>16235</v>
      </c>
      <c r="X2987">
        <v>3</v>
      </c>
      <c r="Y2987" t="s">
        <v>22763</v>
      </c>
      <c r="Z2987" t="s">
        <v>29317</v>
      </c>
      <c r="AA2987">
        <v>1.064107984194385</v>
      </c>
      <c r="AB2987" t="str">
        <f>HYPERLINK("Melting_Curves/meltCurve_P61218_POLR2F.pdf", "Melting_Curves/meltCurve_P61218_POLR2F.pdf")</f>
        <v>Melting_Curves/meltCurve_P61218_POLR2F.pdf</v>
      </c>
    </row>
    <row r="2988" spans="1:28" x14ac:dyDescent="0.25">
      <c r="A2988" t="s">
        <v>2992</v>
      </c>
      <c r="B2988">
        <v>0.99252571173614901</v>
      </c>
      <c r="C2988">
        <v>1.04608476101125</v>
      </c>
      <c r="D2988">
        <v>1.01603655564968</v>
      </c>
      <c r="E2988">
        <v>0.96841602755475498</v>
      </c>
      <c r="F2988">
        <v>0.96727915054503999</v>
      </c>
      <c r="G2988">
        <v>0.90232981839822102</v>
      </c>
      <c r="H2988">
        <v>0.82243438127565904</v>
      </c>
      <c r="I2988">
        <v>0.53607485443001501</v>
      </c>
      <c r="J2988">
        <v>0.14401494893968</v>
      </c>
      <c r="K2988">
        <v>0.138433724434674</v>
      </c>
      <c r="L2988">
        <v>1983.5344793409899</v>
      </c>
      <c r="M2988">
        <v>31.102071083403999</v>
      </c>
      <c r="N2988">
        <v>63.958314275364899</v>
      </c>
      <c r="O2988">
        <v>63.513095274030498</v>
      </c>
      <c r="P2988">
        <v>-0.117204211472712</v>
      </c>
      <c r="Q2988">
        <v>4.2641346127818003E-2</v>
      </c>
      <c r="R2988">
        <v>0.98393864757015503</v>
      </c>
      <c r="S2988" t="s">
        <v>9634</v>
      </c>
      <c r="T2988" t="s">
        <v>13290</v>
      </c>
      <c r="U2988" t="s">
        <v>13290</v>
      </c>
      <c r="V2988" t="s">
        <v>13290</v>
      </c>
      <c r="W2988" t="s">
        <v>16236</v>
      </c>
      <c r="X2988">
        <v>39</v>
      </c>
      <c r="Y2988" t="s">
        <v>22764</v>
      </c>
      <c r="Z2988" t="s">
        <v>29318</v>
      </c>
      <c r="AA2988">
        <v>0.80317334854016709</v>
      </c>
      <c r="AB2988" t="str">
        <f>HYPERLINK("Melting_Curves/meltCurve_P61221_ABCE1.pdf", "Melting_Curves/meltCurve_P61221_ABCE1.pdf")</f>
        <v>Melting_Curves/meltCurve_P61221_ABCE1.pdf</v>
      </c>
    </row>
    <row r="2989" spans="1:28" x14ac:dyDescent="0.25">
      <c r="A2989" t="s">
        <v>2993</v>
      </c>
      <c r="B2989">
        <v>0.99252571173614901</v>
      </c>
      <c r="C2989">
        <v>0.92345230674850898</v>
      </c>
      <c r="D2989">
        <v>0.86422177843336201</v>
      </c>
      <c r="E2989">
        <v>0.83344531229475705</v>
      </c>
      <c r="F2989">
        <v>0.70977783196372601</v>
      </c>
      <c r="G2989">
        <v>0.645939622942307</v>
      </c>
      <c r="H2989">
        <v>0.52361166613936805</v>
      </c>
      <c r="I2989">
        <v>0.61204619620018597</v>
      </c>
      <c r="J2989">
        <v>0.51272086428167996</v>
      </c>
      <c r="K2989">
        <v>0.23311010469548599</v>
      </c>
      <c r="L2989">
        <v>345.09216746750002</v>
      </c>
      <c r="M2989">
        <v>5.4318338480713404</v>
      </c>
      <c r="N2989">
        <v>63.531420984260798</v>
      </c>
      <c r="O2989">
        <v>56.467431803641396</v>
      </c>
      <c r="P2989">
        <v>-2.4159171222143901E-2</v>
      </c>
      <c r="Q2989">
        <v>0</v>
      </c>
      <c r="R2989">
        <v>0.90058669999838403</v>
      </c>
      <c r="S2989" t="s">
        <v>9635</v>
      </c>
      <c r="T2989" t="s">
        <v>13290</v>
      </c>
      <c r="U2989" t="s">
        <v>13290</v>
      </c>
      <c r="V2989" t="s">
        <v>13290</v>
      </c>
      <c r="W2989" t="s">
        <v>16237</v>
      </c>
      <c r="X2989">
        <v>14</v>
      </c>
      <c r="Y2989" t="s">
        <v>22765</v>
      </c>
      <c r="Z2989" t="s">
        <v>29319</v>
      </c>
      <c r="AA2989">
        <v>0.68942827157723063</v>
      </c>
      <c r="AB2989" t="str">
        <f>HYPERLINK("Melting_Curves/meltCurve_P61224_RAP1B.pdf", "Melting_Curves/meltCurve_P61224_RAP1B.pdf")</f>
        <v>Melting_Curves/meltCurve_P61224_RAP1B.pdf</v>
      </c>
    </row>
    <row r="2990" spans="1:28" x14ac:dyDescent="0.25">
      <c r="A2990" t="s">
        <v>2994</v>
      </c>
      <c r="B2990">
        <v>0.99252571173614901</v>
      </c>
      <c r="C2990">
        <v>0.95901239287894002</v>
      </c>
      <c r="D2990">
        <v>0.89111680423899198</v>
      </c>
      <c r="E2990">
        <v>0.83076133242574701</v>
      </c>
      <c r="F2990">
        <v>0.71104849492157096</v>
      </c>
      <c r="G2990">
        <v>0.59968143716653499</v>
      </c>
      <c r="H2990">
        <v>0.41945579203487898</v>
      </c>
      <c r="I2990">
        <v>0.382597922144636</v>
      </c>
      <c r="J2990">
        <v>0.166156010770346</v>
      </c>
      <c r="K2990">
        <v>9.3904957199842806E-2</v>
      </c>
      <c r="L2990">
        <v>569.32997101915305</v>
      </c>
      <c r="M2990">
        <v>9.7411280248368897</v>
      </c>
      <c r="N2990">
        <v>58.445999239188403</v>
      </c>
      <c r="O2990">
        <v>56.142461125708799</v>
      </c>
      <c r="P2990">
        <v>-4.3400158511358498E-2</v>
      </c>
      <c r="Q2990">
        <v>0</v>
      </c>
      <c r="R2990">
        <v>0.98051140073117404</v>
      </c>
      <c r="S2990" t="s">
        <v>9636</v>
      </c>
      <c r="T2990" t="s">
        <v>13290</v>
      </c>
      <c r="U2990" t="s">
        <v>13290</v>
      </c>
      <c r="V2990" t="s">
        <v>13290</v>
      </c>
      <c r="W2990" t="s">
        <v>16238</v>
      </c>
      <c r="X2990">
        <v>6</v>
      </c>
      <c r="Y2990" t="s">
        <v>22766</v>
      </c>
      <c r="Z2990" t="s">
        <v>29320</v>
      </c>
      <c r="AA2990">
        <v>0.62123510697688267</v>
      </c>
      <c r="AB2990" t="str">
        <f>HYPERLINK("Melting_Curves/meltCurve_P61225_RAP2B.pdf", "Melting_Curves/meltCurve_P61225_RAP2B.pdf")</f>
        <v>Melting_Curves/meltCurve_P61225_RAP2B.pdf</v>
      </c>
    </row>
    <row r="2991" spans="1:28" x14ac:dyDescent="0.25">
      <c r="A2991" t="s">
        <v>2995</v>
      </c>
      <c r="B2991">
        <v>0.99252571173614901</v>
      </c>
      <c r="C2991">
        <v>1.02581999399902</v>
      </c>
      <c r="D2991">
        <v>0.93884785171944896</v>
      </c>
      <c r="E2991">
        <v>0.96828546891954703</v>
      </c>
      <c r="F2991">
        <v>0.62995118645311698</v>
      </c>
      <c r="G2991">
        <v>0.47653171900670999</v>
      </c>
      <c r="H2991">
        <v>0.45420659999055102</v>
      </c>
      <c r="I2991">
        <v>0.62368368348268599</v>
      </c>
      <c r="J2991">
        <v>0.97964414308639802</v>
      </c>
      <c r="K2991">
        <v>1.0786008813843899</v>
      </c>
      <c r="L2991">
        <v>12504.578412385399</v>
      </c>
      <c r="M2991">
        <v>250</v>
      </c>
      <c r="O2991">
        <v>50.0150998982487</v>
      </c>
      <c r="P2991">
        <v>-0.36601058556760702</v>
      </c>
      <c r="Q2991">
        <v>0.707103028413263</v>
      </c>
      <c r="R2991">
        <v>0.34188549519373501</v>
      </c>
      <c r="S2991" t="s">
        <v>9637</v>
      </c>
      <c r="T2991" t="s">
        <v>13290</v>
      </c>
      <c r="U2991" t="s">
        <v>13290</v>
      </c>
      <c r="V2991" t="s">
        <v>13290</v>
      </c>
      <c r="W2991" t="s">
        <v>16239</v>
      </c>
      <c r="X2991">
        <v>3</v>
      </c>
      <c r="Y2991" t="s">
        <v>22767</v>
      </c>
      <c r="Z2991" t="s">
        <v>29321</v>
      </c>
      <c r="AA2991">
        <v>0.80493986358691394</v>
      </c>
      <c r="AB2991" t="str">
        <f>HYPERLINK("Melting_Curves/meltCurve_P61244_2_MAX.pdf", "Melting_Curves/meltCurve_P61244_2_MAX.pdf")</f>
        <v>Melting_Curves/meltCurve_P61244_2_MAX.pdf</v>
      </c>
    </row>
    <row r="2992" spans="1:28" x14ac:dyDescent="0.25">
      <c r="A2992" t="s">
        <v>2996</v>
      </c>
      <c r="B2992">
        <v>0.99252571173614901</v>
      </c>
      <c r="C2992">
        <v>1.0204535599684801</v>
      </c>
      <c r="D2992">
        <v>0.88844484392754697</v>
      </c>
      <c r="E2992">
        <v>0.74670244616354498</v>
      </c>
      <c r="F2992">
        <v>0.60834293736047795</v>
      </c>
      <c r="G2992">
        <v>0.31004618613333101</v>
      </c>
      <c r="H2992">
        <v>0.14160162125717399</v>
      </c>
      <c r="I2992">
        <v>0.13582828015735199</v>
      </c>
      <c r="J2992">
        <v>0.169562714948025</v>
      </c>
      <c r="K2992">
        <v>0.19723487445752799</v>
      </c>
      <c r="L2992">
        <v>908.20051925228904</v>
      </c>
      <c r="M2992">
        <v>17.201931784639701</v>
      </c>
      <c r="N2992">
        <v>53.709985652000697</v>
      </c>
      <c r="O2992">
        <v>52.098408407341999</v>
      </c>
      <c r="P2992">
        <v>-7.2079962145930904E-2</v>
      </c>
      <c r="Q2992">
        <v>0.12683532666231101</v>
      </c>
      <c r="R2992">
        <v>0.98373759807108097</v>
      </c>
      <c r="S2992" t="s">
        <v>9638</v>
      </c>
      <c r="T2992" t="s">
        <v>13290</v>
      </c>
      <c r="U2992" t="s">
        <v>13290</v>
      </c>
      <c r="V2992" t="s">
        <v>13290</v>
      </c>
      <c r="W2992" t="s">
        <v>16240</v>
      </c>
      <c r="X2992">
        <v>20</v>
      </c>
      <c r="Y2992" t="s">
        <v>22768</v>
      </c>
      <c r="Z2992" t="s">
        <v>29322</v>
      </c>
      <c r="AA2992">
        <v>0.51471201331419669</v>
      </c>
      <c r="AB2992" t="str">
        <f>HYPERLINK("Melting_Curves/meltCurve_P61247_RPS3A.pdf", "Melting_Curves/meltCurve_P61247_RPS3A.pdf")</f>
        <v>Melting_Curves/meltCurve_P61247_RPS3A.pdf</v>
      </c>
    </row>
    <row r="2993" spans="1:28" x14ac:dyDescent="0.25">
      <c r="A2993" t="s">
        <v>2997</v>
      </c>
      <c r="B2993">
        <v>0.99252571173614901</v>
      </c>
      <c r="C2993">
        <v>0.98818365801312802</v>
      </c>
      <c r="D2993">
        <v>0.88285146017889804</v>
      </c>
      <c r="E2993">
        <v>0.902061589347812</v>
      </c>
      <c r="F2993">
        <v>0.528965395289278</v>
      </c>
      <c r="G2993">
        <v>0.272583883154905</v>
      </c>
      <c r="H2993">
        <v>0.122262700767447</v>
      </c>
      <c r="I2993">
        <v>0.121900082891126</v>
      </c>
      <c r="J2993">
        <v>0.14155793642775399</v>
      </c>
      <c r="K2993">
        <v>0.15792207891321</v>
      </c>
      <c r="L2993">
        <v>1371.7635112138501</v>
      </c>
      <c r="M2993">
        <v>25.897218869192098</v>
      </c>
      <c r="N2993">
        <v>53.578464334394297</v>
      </c>
      <c r="O2993">
        <v>52.656713662992303</v>
      </c>
      <c r="P2993">
        <v>-0.107280053035578</v>
      </c>
      <c r="Q2993">
        <v>0.12748176713211501</v>
      </c>
      <c r="R2993">
        <v>0.98988207149506602</v>
      </c>
      <c r="S2993" t="s">
        <v>9639</v>
      </c>
      <c r="T2993" t="s">
        <v>13290</v>
      </c>
      <c r="U2993" t="s">
        <v>13290</v>
      </c>
      <c r="V2993" t="s">
        <v>13290</v>
      </c>
      <c r="W2993" t="s">
        <v>16241</v>
      </c>
      <c r="X2993">
        <v>12</v>
      </c>
      <c r="Y2993" t="s">
        <v>22769</v>
      </c>
      <c r="Z2993" t="s">
        <v>29323</v>
      </c>
      <c r="AA2993">
        <v>0.51220099824950971</v>
      </c>
      <c r="AB2993" t="str">
        <f>HYPERLINK("Melting_Curves/meltCurve_P61254_RPL26.pdf", "Melting_Curves/meltCurve_P61254_RPL26.pdf")</f>
        <v>Melting_Curves/meltCurve_P61254_RPL26.pdf</v>
      </c>
    </row>
    <row r="2994" spans="1:28" x14ac:dyDescent="0.25">
      <c r="A2994" t="s">
        <v>2998</v>
      </c>
      <c r="B2994">
        <v>0.99252571173614901</v>
      </c>
      <c r="C2994">
        <v>0.97401609466542205</v>
      </c>
      <c r="D2994">
        <v>1.0152461124134</v>
      </c>
      <c r="E2994">
        <v>0.98278482176596205</v>
      </c>
      <c r="F2994">
        <v>0.91951605259380798</v>
      </c>
      <c r="G2994">
        <v>0.808073594788288</v>
      </c>
      <c r="H2994">
        <v>0.85918136385136201</v>
      </c>
      <c r="I2994">
        <v>1.1801819175263299</v>
      </c>
      <c r="J2994">
        <v>1.7156069365215001</v>
      </c>
      <c r="K2994">
        <v>1.7747293190971101</v>
      </c>
      <c r="L2994">
        <v>15000</v>
      </c>
      <c r="M2994">
        <v>233.80148719856601</v>
      </c>
      <c r="O2994">
        <v>64.152297246574307</v>
      </c>
      <c r="P2994">
        <v>0.45555946098918798</v>
      </c>
      <c r="Q2994">
        <v>1.5</v>
      </c>
      <c r="R2994">
        <v>0.82415472705470205</v>
      </c>
      <c r="S2994" t="s">
        <v>9640</v>
      </c>
      <c r="T2994" t="s">
        <v>13290</v>
      </c>
      <c r="U2994" t="s">
        <v>13290</v>
      </c>
      <c r="V2994" t="s">
        <v>13290</v>
      </c>
      <c r="W2994" t="s">
        <v>16242</v>
      </c>
      <c r="X2994">
        <v>24</v>
      </c>
      <c r="Y2994" t="s">
        <v>22770</v>
      </c>
      <c r="Z2994" t="s">
        <v>29324</v>
      </c>
      <c r="AA2994">
        <v>1.097319106488877</v>
      </c>
      <c r="AB2994" t="str">
        <f>HYPERLINK("Melting_Curves/meltCurve_P61289_PSME3.pdf", "Melting_Curves/meltCurve_P61289_PSME3.pdf")</f>
        <v>Melting_Curves/meltCurve_P61289_PSME3.pdf</v>
      </c>
    </row>
    <row r="2995" spans="1:28" x14ac:dyDescent="0.25">
      <c r="A2995" t="s">
        <v>2999</v>
      </c>
      <c r="B2995">
        <v>0.99252571173614901</v>
      </c>
      <c r="C2995">
        <v>1.0836513612636001</v>
      </c>
      <c r="D2995">
        <v>0.98244251395256899</v>
      </c>
      <c r="E2995">
        <v>0.83613159960247296</v>
      </c>
      <c r="F2995">
        <v>0.47679238029031401</v>
      </c>
      <c r="G2995">
        <v>0.28784941797063202</v>
      </c>
      <c r="H2995">
        <v>0.11230514289539099</v>
      </c>
      <c r="I2995">
        <v>7.2535221173800901E-2</v>
      </c>
      <c r="J2995">
        <v>8.3680395684438205E-2</v>
      </c>
      <c r="K2995">
        <v>8.3484462331366693E-2</v>
      </c>
      <c r="L2995">
        <v>1164.8897966063701</v>
      </c>
      <c r="M2995">
        <v>22.0115090518117</v>
      </c>
      <c r="N2995">
        <v>53.304320832899997</v>
      </c>
      <c r="O2995">
        <v>52.490862307163503</v>
      </c>
      <c r="P2995">
        <v>-9.7179171367965597E-2</v>
      </c>
      <c r="Q2995">
        <v>7.3047797707311596E-2</v>
      </c>
      <c r="R2995">
        <v>0.99269142845066205</v>
      </c>
      <c r="S2995" t="s">
        <v>9641</v>
      </c>
      <c r="T2995" t="s">
        <v>13290</v>
      </c>
      <c r="U2995" t="s">
        <v>13290</v>
      </c>
      <c r="V2995" t="s">
        <v>13290</v>
      </c>
      <c r="W2995" t="s">
        <v>16243</v>
      </c>
      <c r="X2995">
        <v>11</v>
      </c>
      <c r="Y2995" t="s">
        <v>22771</v>
      </c>
      <c r="Z2995" t="s">
        <v>29325</v>
      </c>
      <c r="AA2995">
        <v>0.48309439218437689</v>
      </c>
      <c r="AB2995" t="str">
        <f>HYPERLINK("Melting_Curves/meltCurve_P61326_MAGOH.pdf", "Melting_Curves/meltCurve_P61326_MAGOH.pdf")</f>
        <v>Melting_Curves/meltCurve_P61326_MAGOH.pdf</v>
      </c>
    </row>
    <row r="2996" spans="1:28" x14ac:dyDescent="0.25">
      <c r="A2996" t="s">
        <v>3000</v>
      </c>
      <c r="B2996">
        <v>0.99252571173614901</v>
      </c>
      <c r="C2996">
        <v>0.88722002488137697</v>
      </c>
      <c r="D2996">
        <v>0.80237457008888302</v>
      </c>
      <c r="E2996">
        <v>0.59973691608556901</v>
      </c>
      <c r="F2996">
        <v>0.52880716912375703</v>
      </c>
      <c r="G2996">
        <v>0.39922046735557098</v>
      </c>
      <c r="H2996">
        <v>0.27398043560684199</v>
      </c>
      <c r="I2996">
        <v>0.21545159882107501</v>
      </c>
      <c r="J2996">
        <v>0.20005108496582</v>
      </c>
      <c r="K2996">
        <v>0.19130943268367501</v>
      </c>
      <c r="L2996">
        <v>503.10518131770499</v>
      </c>
      <c r="M2996">
        <v>9.7329582750740808</v>
      </c>
      <c r="N2996">
        <v>53.145971606412402</v>
      </c>
      <c r="O2996">
        <v>49.650371911721599</v>
      </c>
      <c r="P2996">
        <v>-4.3298693592711497E-2</v>
      </c>
      <c r="Q2996">
        <v>0.116964316855648</v>
      </c>
      <c r="R2996">
        <v>0.99255358452363196</v>
      </c>
      <c r="S2996" t="s">
        <v>9642</v>
      </c>
      <c r="T2996" t="s">
        <v>13290</v>
      </c>
      <c r="U2996" t="s">
        <v>13290</v>
      </c>
      <c r="V2996" t="s">
        <v>13290</v>
      </c>
      <c r="W2996" t="s">
        <v>16244</v>
      </c>
      <c r="X2996">
        <v>6</v>
      </c>
      <c r="Y2996" t="s">
        <v>22772</v>
      </c>
      <c r="Z2996" t="s">
        <v>29326</v>
      </c>
      <c r="AA2996">
        <v>0.4966638588348723</v>
      </c>
      <c r="AB2996" t="str">
        <f>HYPERLINK("Melting_Curves/meltCurve_P61353_RPL27.pdf", "Melting_Curves/meltCurve_P61353_RPL27.pdf")</f>
        <v>Melting_Curves/meltCurve_P61353_RPL27.pdf</v>
      </c>
    </row>
    <row r="2997" spans="1:28" x14ac:dyDescent="0.25">
      <c r="A2997" t="s">
        <v>3001</v>
      </c>
      <c r="B2997">
        <v>0.99252571173614901</v>
      </c>
      <c r="C2997">
        <v>1.2834251820212601</v>
      </c>
      <c r="D2997">
        <v>1.03842180347681</v>
      </c>
      <c r="E2997">
        <v>0.76215132845974598</v>
      </c>
      <c r="F2997">
        <v>0.69384922756502299</v>
      </c>
      <c r="G2997">
        <v>0.17068209784097199</v>
      </c>
      <c r="H2997">
        <v>0.145795034179104</v>
      </c>
      <c r="I2997">
        <v>0.21170427032877001</v>
      </c>
      <c r="J2997">
        <v>0.177213877797568</v>
      </c>
      <c r="K2997">
        <v>0.138085716154215</v>
      </c>
      <c r="L2997">
        <v>1488.49662702706</v>
      </c>
      <c r="M2997">
        <v>27.9194061675665</v>
      </c>
      <c r="N2997">
        <v>53.979942154546499</v>
      </c>
      <c r="O2997">
        <v>53.042799251790598</v>
      </c>
      <c r="P2997">
        <v>-0.11241942782841501</v>
      </c>
      <c r="Q2997">
        <v>0.14568558950765001</v>
      </c>
      <c r="R2997">
        <v>0.92542185942416799</v>
      </c>
      <c r="S2997" t="s">
        <v>9643</v>
      </c>
      <c r="T2997" t="s">
        <v>13290</v>
      </c>
      <c r="U2997" t="s">
        <v>13290</v>
      </c>
      <c r="V2997" t="s">
        <v>13290</v>
      </c>
      <c r="W2997" t="s">
        <v>16245</v>
      </c>
      <c r="X2997">
        <v>4</v>
      </c>
      <c r="Y2997" t="s">
        <v>22773</v>
      </c>
      <c r="Z2997" t="s">
        <v>29327</v>
      </c>
      <c r="AA2997">
        <v>0.53122672433030926</v>
      </c>
      <c r="AB2997" t="str">
        <f>HYPERLINK("Melting_Curves/meltCurve_P61457_PCBD1.pdf", "Melting_Curves/meltCurve_P61457_PCBD1.pdf")</f>
        <v>Melting_Curves/meltCurve_P61457_PCBD1.pdf</v>
      </c>
    </row>
    <row r="2998" spans="1:28" x14ac:dyDescent="0.25">
      <c r="A2998" t="s">
        <v>3002</v>
      </c>
      <c r="B2998">
        <v>0.99252571173614901</v>
      </c>
      <c r="C2998">
        <v>1.0348920316431101</v>
      </c>
      <c r="D2998">
        <v>0.94240130941414602</v>
      </c>
      <c r="E2998">
        <v>0.83156129686142199</v>
      </c>
      <c r="F2998">
        <v>0.61255176585673698</v>
      </c>
      <c r="G2998">
        <v>0.477936278696452</v>
      </c>
      <c r="H2998">
        <v>0.396211116724211</v>
      </c>
      <c r="I2998">
        <v>0.43691077643309401</v>
      </c>
      <c r="J2998">
        <v>0.377078326679264</v>
      </c>
      <c r="K2998">
        <v>0.221444776868399</v>
      </c>
      <c r="L2998">
        <v>831.90998590592903</v>
      </c>
      <c r="M2998">
        <v>15.7416708647922</v>
      </c>
      <c r="N2998">
        <v>56.385601059144498</v>
      </c>
      <c r="O2998">
        <v>52.016823114439298</v>
      </c>
      <c r="P2998">
        <v>-5.1920763201595603E-2</v>
      </c>
      <c r="Q2998">
        <v>0.31378889196575799</v>
      </c>
      <c r="R2998">
        <v>0.97014411032069503</v>
      </c>
      <c r="S2998" t="s">
        <v>9644</v>
      </c>
      <c r="T2998" t="s">
        <v>13290</v>
      </c>
      <c r="U2998" t="s">
        <v>13290</v>
      </c>
      <c r="V2998" t="s">
        <v>13290</v>
      </c>
      <c r="W2998" t="s">
        <v>16246</v>
      </c>
      <c r="X2998">
        <v>14</v>
      </c>
      <c r="Y2998" t="s">
        <v>22774</v>
      </c>
      <c r="Z2998" t="s">
        <v>29328</v>
      </c>
      <c r="AA2998">
        <v>0.62152290477350491</v>
      </c>
      <c r="AB2998" t="str">
        <f>HYPERLINK("Melting_Curves/meltCurve_P61586_RHOA.pdf", "Melting_Curves/meltCurve_P61586_RHOA.pdf")</f>
        <v>Melting_Curves/meltCurve_P61586_RHOA.pdf</v>
      </c>
    </row>
    <row r="2999" spans="1:28" x14ac:dyDescent="0.25">
      <c r="A2999" t="s">
        <v>3003</v>
      </c>
      <c r="B2999">
        <v>0.99252571173614901</v>
      </c>
      <c r="C2999">
        <v>0.93505856290484501</v>
      </c>
      <c r="D2999">
        <v>0.89589458575216097</v>
      </c>
      <c r="E2999">
        <v>0.61334547143385598</v>
      </c>
      <c r="F2999">
        <v>0.114982873646451</v>
      </c>
      <c r="G2999">
        <v>5.4412217944595997E-2</v>
      </c>
      <c r="H2999">
        <v>3.1622617844222198E-2</v>
      </c>
      <c r="I2999">
        <v>3.0621399661942099E-2</v>
      </c>
      <c r="J2999">
        <v>3.6176827739695598E-2</v>
      </c>
      <c r="K2999">
        <v>3.95497079882553E-2</v>
      </c>
      <c r="L2999">
        <v>1645.6737036217401</v>
      </c>
      <c r="M2999">
        <v>32.882177044187799</v>
      </c>
      <c r="N2999">
        <v>50.139847281412301</v>
      </c>
      <c r="O2999">
        <v>49.8635742491415</v>
      </c>
      <c r="P2999">
        <v>-0.16002219454986</v>
      </c>
      <c r="Q2999">
        <v>2.9353508549945902E-2</v>
      </c>
      <c r="R2999">
        <v>0.99471178561726503</v>
      </c>
      <c r="S2999" t="s">
        <v>9645</v>
      </c>
      <c r="T2999" t="s">
        <v>13290</v>
      </c>
      <c r="U2999" t="s">
        <v>13290</v>
      </c>
      <c r="V2999" t="s">
        <v>13290</v>
      </c>
      <c r="W2999" t="s">
        <v>16247</v>
      </c>
      <c r="X2999">
        <v>4</v>
      </c>
      <c r="Y2999" t="s">
        <v>22775</v>
      </c>
      <c r="Z2999" t="s">
        <v>29329</v>
      </c>
      <c r="AA2999">
        <v>0.35943273024741051</v>
      </c>
      <c r="AB2999" t="str">
        <f>HYPERLINK("Melting_Curves/meltCurve_P61599_NAA20.pdf", "Melting_Curves/meltCurve_P61599_NAA20.pdf")</f>
        <v>Melting_Curves/meltCurve_P61599_NAA20.pdf</v>
      </c>
    </row>
    <row r="3000" spans="1:28" x14ac:dyDescent="0.25">
      <c r="A3000" t="s">
        <v>3004</v>
      </c>
      <c r="B3000">
        <v>0.99252571173614901</v>
      </c>
      <c r="C3000">
        <v>1.0585087456587801</v>
      </c>
      <c r="D3000">
        <v>0.96062087063150403</v>
      </c>
      <c r="E3000">
        <v>1.00472446537865</v>
      </c>
      <c r="F3000">
        <v>0.43160071359268598</v>
      </c>
      <c r="G3000">
        <v>0.222682155113823</v>
      </c>
      <c r="H3000">
        <v>0.14237379071346201</v>
      </c>
      <c r="I3000">
        <v>0.138791348305594</v>
      </c>
      <c r="J3000">
        <v>0.180614546291614</v>
      </c>
      <c r="K3000">
        <v>0.13286433371065201</v>
      </c>
      <c r="L3000">
        <v>3420.94451017344</v>
      </c>
      <c r="M3000">
        <v>65.027445009042793</v>
      </c>
      <c r="N3000">
        <v>52.925334498017001</v>
      </c>
      <c r="O3000">
        <v>52.558018214076199</v>
      </c>
      <c r="P3000">
        <v>-0.259341319197957</v>
      </c>
      <c r="Q3000">
        <v>0.16155638888099999</v>
      </c>
      <c r="R3000">
        <v>0.99340760137084205</v>
      </c>
      <c r="S3000" t="s">
        <v>9646</v>
      </c>
      <c r="T3000" t="s">
        <v>13290</v>
      </c>
      <c r="U3000" t="s">
        <v>13290</v>
      </c>
      <c r="V3000" t="s">
        <v>13290</v>
      </c>
      <c r="W3000" t="s">
        <v>16248</v>
      </c>
      <c r="X3000">
        <v>4</v>
      </c>
      <c r="Y3000" t="s">
        <v>22776</v>
      </c>
      <c r="Z3000" t="s">
        <v>29330</v>
      </c>
      <c r="AA3000">
        <v>0.5150656474952281</v>
      </c>
      <c r="AB3000" t="str">
        <f>HYPERLINK("Melting_Curves/meltCurve_P61601_NCALD.pdf", "Melting_Curves/meltCurve_P61601_NCALD.pdf")</f>
        <v>Melting_Curves/meltCurve_P61601_NCALD.pdf</v>
      </c>
    </row>
    <row r="3001" spans="1:28" x14ac:dyDescent="0.25">
      <c r="A3001" t="s">
        <v>3005</v>
      </c>
      <c r="B3001">
        <v>0.99252571173614901</v>
      </c>
      <c r="C3001">
        <v>1.0658199954660199</v>
      </c>
      <c r="D3001">
        <v>0.99622766984114997</v>
      </c>
      <c r="E3001">
        <v>0.94059450290148705</v>
      </c>
      <c r="F3001">
        <v>0.93579686658821004</v>
      </c>
      <c r="G3001">
        <v>0.83988319775437903</v>
      </c>
      <c r="H3001">
        <v>0.83914060467752505</v>
      </c>
      <c r="I3001">
        <v>1.1134583866802199</v>
      </c>
      <c r="J3001">
        <v>1.5366615072652401</v>
      </c>
      <c r="K3001">
        <v>1.57472297131137</v>
      </c>
      <c r="L3001">
        <v>15000</v>
      </c>
      <c r="M3001">
        <v>233.149344245229</v>
      </c>
      <c r="O3001">
        <v>64.331711508493797</v>
      </c>
      <c r="P3001">
        <v>0.45302180519895802</v>
      </c>
      <c r="Q3001">
        <v>1.5</v>
      </c>
      <c r="R3001">
        <v>0.88721536819344504</v>
      </c>
      <c r="S3001" t="s">
        <v>9647</v>
      </c>
      <c r="T3001" t="s">
        <v>13290</v>
      </c>
      <c r="U3001" t="s">
        <v>13290</v>
      </c>
      <c r="V3001" t="s">
        <v>13290</v>
      </c>
      <c r="W3001" t="s">
        <v>16249</v>
      </c>
      <c r="X3001">
        <v>16</v>
      </c>
      <c r="Y3001" t="s">
        <v>22777</v>
      </c>
      <c r="Z3001" t="s">
        <v>29331</v>
      </c>
      <c r="AA3001">
        <v>1.0943276685079271</v>
      </c>
      <c r="AB3001" t="str">
        <f>HYPERLINK("Melting_Curves/meltCurve_P61604_HSPE1.pdf", "Melting_Curves/meltCurve_P61604_HSPE1.pdf")</f>
        <v>Melting_Curves/meltCurve_P61604_HSPE1.pdf</v>
      </c>
    </row>
    <row r="3002" spans="1:28" x14ac:dyDescent="0.25">
      <c r="A3002" t="s">
        <v>3006</v>
      </c>
      <c r="B3002">
        <v>0.99252571173614901</v>
      </c>
      <c r="C3002">
        <v>1.0342274978975501</v>
      </c>
      <c r="D3002">
        <v>1.0315562788703401</v>
      </c>
      <c r="E3002">
        <v>0.97493855327848</v>
      </c>
      <c r="F3002">
        <v>0.90850367534618703</v>
      </c>
      <c r="G3002">
        <v>0.765922047908971</v>
      </c>
      <c r="H3002">
        <v>0.63368289618192297</v>
      </c>
      <c r="I3002">
        <v>0.445633943353137</v>
      </c>
      <c r="J3002">
        <v>0.24472683593354599</v>
      </c>
      <c r="K3002">
        <v>0.23309457136299599</v>
      </c>
      <c r="L3002">
        <v>840.17162823532999</v>
      </c>
      <c r="M3002">
        <v>13.4438214867901</v>
      </c>
      <c r="N3002">
        <v>62.6628923315902</v>
      </c>
      <c r="O3002">
        <v>61.160848642805298</v>
      </c>
      <c r="P3002">
        <v>-5.3989032145611099E-2</v>
      </c>
      <c r="Q3002">
        <v>1.7689438942017702E-2</v>
      </c>
      <c r="R3002">
        <v>0.99041774894066503</v>
      </c>
      <c r="S3002" t="s">
        <v>9648</v>
      </c>
      <c r="T3002" t="s">
        <v>13290</v>
      </c>
      <c r="U3002" t="s">
        <v>13290</v>
      </c>
      <c r="V3002" t="s">
        <v>13290</v>
      </c>
      <c r="W3002" t="s">
        <v>16250</v>
      </c>
      <c r="X3002">
        <v>17</v>
      </c>
      <c r="Y3002" t="s">
        <v>22778</v>
      </c>
      <c r="Z3002" t="s">
        <v>29332</v>
      </c>
      <c r="AA3002">
        <v>0.74441905117950957</v>
      </c>
      <c r="AB3002" t="str">
        <f>HYPERLINK("Melting_Curves/meltCurve_P61758_VBP1.pdf", "Melting_Curves/meltCurve_P61758_VBP1.pdf")</f>
        <v>Melting_Curves/meltCurve_P61758_VBP1.pdf</v>
      </c>
    </row>
    <row r="3003" spans="1:28" x14ac:dyDescent="0.25">
      <c r="A3003" t="s">
        <v>3007</v>
      </c>
      <c r="B3003">
        <v>0.99252571173614901</v>
      </c>
      <c r="C3003">
        <v>0.958280289468318</v>
      </c>
      <c r="D3003">
        <v>0.78272390600741404</v>
      </c>
      <c r="E3003">
        <v>0.32364900847732597</v>
      </c>
      <c r="F3003">
        <v>0.186619352168126</v>
      </c>
      <c r="G3003">
        <v>0.118637675060536</v>
      </c>
      <c r="H3003">
        <v>7.2192653100973794E-2</v>
      </c>
      <c r="I3003">
        <v>7.2374574880943607E-2</v>
      </c>
      <c r="J3003">
        <v>6.7186705933703503E-2</v>
      </c>
      <c r="K3003">
        <v>7.1165457415392805E-2</v>
      </c>
      <c r="L3003">
        <v>1241.6864669055301</v>
      </c>
      <c r="M3003">
        <v>25.906131612164199</v>
      </c>
      <c r="N3003">
        <v>48.256202997010099</v>
      </c>
      <c r="O3003">
        <v>47.647348740668299</v>
      </c>
      <c r="P3003">
        <v>-0.12501676660342501</v>
      </c>
      <c r="Q3003">
        <v>8.02720621482063E-2</v>
      </c>
      <c r="R3003">
        <v>0.99731164112336701</v>
      </c>
      <c r="S3003" t="s">
        <v>9649</v>
      </c>
      <c r="T3003" t="s">
        <v>13290</v>
      </c>
      <c r="U3003" t="s">
        <v>13290</v>
      </c>
      <c r="V3003" t="s">
        <v>13290</v>
      </c>
      <c r="W3003" t="s">
        <v>16251</v>
      </c>
      <c r="X3003">
        <v>11</v>
      </c>
      <c r="Y3003" t="s">
        <v>22779</v>
      </c>
      <c r="Z3003" t="s">
        <v>29333</v>
      </c>
      <c r="AA3003">
        <v>0.33093135399635948</v>
      </c>
      <c r="AB3003" t="str">
        <f>HYPERLINK("Melting_Curves/meltCurve_P61764_STXBP1.pdf", "Melting_Curves/meltCurve_P61764_STXBP1.pdf")</f>
        <v>Melting_Curves/meltCurve_P61764_STXBP1.pdf</v>
      </c>
    </row>
    <row r="3004" spans="1:28" x14ac:dyDescent="0.25">
      <c r="A3004" t="s">
        <v>3008</v>
      </c>
      <c r="B3004">
        <v>0.99252571173614901</v>
      </c>
      <c r="C3004">
        <v>0.97522786740206902</v>
      </c>
      <c r="D3004">
        <v>0.97667330152852005</v>
      </c>
      <c r="E3004">
        <v>0.87840008825455496</v>
      </c>
      <c r="F3004">
        <v>0.703870891244188</v>
      </c>
      <c r="G3004">
        <v>0.47750652018543599</v>
      </c>
      <c r="H3004">
        <v>0.41841288327332199</v>
      </c>
      <c r="I3004">
        <v>0.36909769909402301</v>
      </c>
      <c r="J3004">
        <v>0.39209185706595701</v>
      </c>
      <c r="K3004">
        <v>0.31596891616566603</v>
      </c>
      <c r="L3004">
        <v>1052.70885135043</v>
      </c>
      <c r="M3004">
        <v>19.691517842198401</v>
      </c>
      <c r="N3004">
        <v>56.856978410390099</v>
      </c>
      <c r="O3004">
        <v>52.917848001995203</v>
      </c>
      <c r="P3004">
        <v>-6.0859700748983697E-2</v>
      </c>
      <c r="Q3004">
        <v>0.34581945739181602</v>
      </c>
      <c r="R3004">
        <v>0.99435965864793796</v>
      </c>
      <c r="S3004" t="s">
        <v>9650</v>
      </c>
      <c r="T3004" t="s">
        <v>13290</v>
      </c>
      <c r="U3004" t="s">
        <v>13290</v>
      </c>
      <c r="V3004" t="s">
        <v>13290</v>
      </c>
      <c r="W3004" t="s">
        <v>16252</v>
      </c>
      <c r="X3004">
        <v>6</v>
      </c>
      <c r="Y3004" t="s">
        <v>22780</v>
      </c>
      <c r="Z3004" t="s">
        <v>29334</v>
      </c>
      <c r="AA3004">
        <v>0.64851864985953023</v>
      </c>
      <c r="AB3004" t="str">
        <f>HYPERLINK("Melting_Curves/meltCurve_P61769_B2M.pdf", "Melting_Curves/meltCurve_P61769_B2M.pdf")</f>
        <v>Melting_Curves/meltCurve_P61769_B2M.pdf</v>
      </c>
    </row>
    <row r="3005" spans="1:28" x14ac:dyDescent="0.25">
      <c r="A3005" t="s">
        <v>3009</v>
      </c>
      <c r="B3005">
        <v>0.99252571173614901</v>
      </c>
      <c r="C3005">
        <v>0.97683177803559096</v>
      </c>
      <c r="D3005">
        <v>0.848483581219455</v>
      </c>
      <c r="E3005">
        <v>0.61403208479361504</v>
      </c>
      <c r="F3005">
        <v>0.29585029825875497</v>
      </c>
      <c r="G3005">
        <v>0.21404727161067699</v>
      </c>
      <c r="H3005">
        <v>0.17869042949809899</v>
      </c>
      <c r="I3005">
        <v>0.16231942917370801</v>
      </c>
      <c r="J3005">
        <v>0.15836886060448499</v>
      </c>
      <c r="K3005">
        <v>0.14119096434416101</v>
      </c>
      <c r="L3005">
        <v>1049.66841788223</v>
      </c>
      <c r="M3005">
        <v>21.101630951749101</v>
      </c>
      <c r="N3005">
        <v>50.603324709032698</v>
      </c>
      <c r="O3005">
        <v>49.3031811709564</v>
      </c>
      <c r="P3005">
        <v>-9.0881657380497194E-2</v>
      </c>
      <c r="Q3005">
        <v>0.15065553409707699</v>
      </c>
      <c r="R3005">
        <v>0.998120928053989</v>
      </c>
      <c r="S3005" t="s">
        <v>9651</v>
      </c>
      <c r="T3005" t="s">
        <v>13290</v>
      </c>
      <c r="U3005" t="s">
        <v>13290</v>
      </c>
      <c r="V3005" t="s">
        <v>13290</v>
      </c>
      <c r="W3005" t="s">
        <v>16253</v>
      </c>
      <c r="X3005">
        <v>3</v>
      </c>
      <c r="Y3005" t="s">
        <v>22781</v>
      </c>
      <c r="Z3005" t="s">
        <v>29335</v>
      </c>
      <c r="AA3005">
        <v>0.43715205797541551</v>
      </c>
      <c r="AB3005" t="str">
        <f>HYPERLINK("Melting_Curves/meltCurve_P61812_TGFB2.pdf", "Melting_Curves/meltCurve_P61812_TGFB2.pdf")</f>
        <v>Melting_Curves/meltCurve_P61812_TGFB2.pdf</v>
      </c>
    </row>
    <row r="3006" spans="1:28" x14ac:dyDescent="0.25">
      <c r="A3006" t="s">
        <v>3010</v>
      </c>
      <c r="B3006">
        <v>0.99252571173614901</v>
      </c>
      <c r="C3006">
        <v>1.1302116401598301</v>
      </c>
      <c r="D3006">
        <v>1.20446710612146</v>
      </c>
      <c r="E3006">
        <v>1.3744164692864</v>
      </c>
      <c r="F3006">
        <v>0.35341610236759802</v>
      </c>
      <c r="G3006">
        <v>0.214803329787496</v>
      </c>
      <c r="H3006">
        <v>0.13356582820033699</v>
      </c>
      <c r="I3006">
        <v>0.14618889485797901</v>
      </c>
      <c r="J3006">
        <v>0.16598935155566699</v>
      </c>
      <c r="K3006">
        <v>0.151937902985044</v>
      </c>
      <c r="L3006">
        <v>13235.103844928901</v>
      </c>
      <c r="M3006">
        <v>250</v>
      </c>
      <c r="N3006">
        <v>53.023797265714599</v>
      </c>
      <c r="O3006">
        <v>52.937024381040402</v>
      </c>
      <c r="P3006">
        <v>-0.98879626575976098</v>
      </c>
      <c r="Q3006">
        <v>0.16249703843538299</v>
      </c>
      <c r="R3006">
        <v>0.91614128665305505</v>
      </c>
      <c r="S3006" t="s">
        <v>9652</v>
      </c>
      <c r="T3006" t="s">
        <v>13290</v>
      </c>
      <c r="U3006" t="s">
        <v>13290</v>
      </c>
      <c r="V3006" t="s">
        <v>13290</v>
      </c>
      <c r="W3006" t="s">
        <v>16254</v>
      </c>
      <c r="X3006">
        <v>2</v>
      </c>
      <c r="Y3006" t="s">
        <v>22782</v>
      </c>
      <c r="Z3006" t="s">
        <v>29336</v>
      </c>
      <c r="AA3006">
        <v>0.52382939065104828</v>
      </c>
      <c r="AB3006" t="str">
        <f>HYPERLINK("Melting_Curves/meltCurve_P61927_RPL37.pdf", "Melting_Curves/meltCurve_P61927_RPL37.pdf")</f>
        <v>Melting_Curves/meltCurve_P61927_RPL37.pdf</v>
      </c>
    </row>
    <row r="3007" spans="1:28" x14ac:dyDescent="0.25">
      <c r="A3007" t="s">
        <v>3011</v>
      </c>
      <c r="B3007">
        <v>0.99252571173614901</v>
      </c>
      <c r="C3007">
        <v>0.94308545502959396</v>
      </c>
      <c r="D3007">
        <v>0.89676382408605304</v>
      </c>
      <c r="E3007">
        <v>0.78664802460905203</v>
      </c>
      <c r="F3007">
        <v>0.48468990557931502</v>
      </c>
      <c r="G3007">
        <v>0.27754201017277003</v>
      </c>
      <c r="H3007">
        <v>0.18512426996547099</v>
      </c>
      <c r="I3007">
        <v>0.16513919234631999</v>
      </c>
      <c r="J3007">
        <v>0.13617409767260499</v>
      </c>
      <c r="K3007">
        <v>0.16137465779351901</v>
      </c>
      <c r="L3007">
        <v>960.06325120601502</v>
      </c>
      <c r="M3007">
        <v>18.4158871083104</v>
      </c>
      <c r="N3007">
        <v>53.0256099076529</v>
      </c>
      <c r="O3007">
        <v>51.529298770925301</v>
      </c>
      <c r="P3007">
        <v>-7.7434488584176703E-2</v>
      </c>
      <c r="Q3007">
        <v>0.13336474405351101</v>
      </c>
      <c r="R3007">
        <v>0.99617319972726603</v>
      </c>
      <c r="S3007" t="s">
        <v>9653</v>
      </c>
      <c r="T3007" t="s">
        <v>13290</v>
      </c>
      <c r="U3007" t="s">
        <v>13290</v>
      </c>
      <c r="V3007" t="s">
        <v>13290</v>
      </c>
      <c r="W3007" t="s">
        <v>16255</v>
      </c>
      <c r="X3007">
        <v>6</v>
      </c>
      <c r="Y3007" t="s">
        <v>22783</v>
      </c>
      <c r="Z3007" t="s">
        <v>29337</v>
      </c>
      <c r="AA3007">
        <v>0.4976875127344082</v>
      </c>
      <c r="AB3007" t="str">
        <f>HYPERLINK("Melting_Curves/meltCurve_P61962_DCAF7.pdf", "Melting_Curves/meltCurve_P61962_DCAF7.pdf")</f>
        <v>Melting_Curves/meltCurve_P61962_DCAF7.pdf</v>
      </c>
    </row>
    <row r="3008" spans="1:28" x14ac:dyDescent="0.25">
      <c r="A3008" t="s">
        <v>3012</v>
      </c>
      <c r="B3008">
        <v>0.99252571173614901</v>
      </c>
      <c r="C3008">
        <v>0.92848285109247697</v>
      </c>
      <c r="D3008">
        <v>0.95075328982735297</v>
      </c>
      <c r="E3008">
        <v>0.78659856426461205</v>
      </c>
      <c r="F3008">
        <v>0.77077557434856103</v>
      </c>
      <c r="G3008">
        <v>0.69323633216036395</v>
      </c>
      <c r="H3008">
        <v>0.74073947079994495</v>
      </c>
      <c r="I3008">
        <v>1.0354199509875399</v>
      </c>
      <c r="J3008">
        <v>1.51919578420603</v>
      </c>
      <c r="K3008">
        <v>1.3558445648096999</v>
      </c>
      <c r="L3008">
        <v>15000</v>
      </c>
      <c r="M3008">
        <v>231.95292918821701</v>
      </c>
      <c r="O3008">
        <v>64.663486657554699</v>
      </c>
      <c r="P3008">
        <v>0.39238143149551102</v>
      </c>
      <c r="Q3008">
        <v>1.43755000056739</v>
      </c>
      <c r="R3008">
        <v>0.57477554234128103</v>
      </c>
      <c r="S3008" t="s">
        <v>9654</v>
      </c>
      <c r="T3008" t="s">
        <v>13290</v>
      </c>
      <c r="U3008" t="s">
        <v>13290</v>
      </c>
      <c r="V3008" t="s">
        <v>13290</v>
      </c>
      <c r="W3008" t="s">
        <v>16256</v>
      </c>
      <c r="X3008">
        <v>11</v>
      </c>
      <c r="Y3008" t="s">
        <v>22784</v>
      </c>
      <c r="Z3008" t="s">
        <v>29338</v>
      </c>
      <c r="AA3008">
        <v>1.077705257618512</v>
      </c>
      <c r="AB3008" t="str">
        <f>HYPERLINK("Melting_Curves/meltCurve_P61964_WDR5.pdf", "Melting_Curves/meltCurve_P61964_WDR5.pdf")</f>
        <v>Melting_Curves/meltCurve_P61964_WDR5.pdf</v>
      </c>
    </row>
    <row r="3009" spans="1:28" x14ac:dyDescent="0.25">
      <c r="A3009" t="s">
        <v>3013</v>
      </c>
      <c r="B3009">
        <v>0.99252571173614901</v>
      </c>
      <c r="C3009">
        <v>0.89120166384451105</v>
      </c>
      <c r="D3009">
        <v>0.74997312132915395</v>
      </c>
      <c r="E3009">
        <v>0.35868024333842602</v>
      </c>
      <c r="F3009">
        <v>0.25324412239837002</v>
      </c>
      <c r="G3009">
        <v>0.1580084298968</v>
      </c>
      <c r="H3009">
        <v>0.117874645771767</v>
      </c>
      <c r="I3009">
        <v>7.4607615786235398E-2</v>
      </c>
      <c r="J3009">
        <v>8.19189863815495E-2</v>
      </c>
      <c r="K3009">
        <v>6.3328629973330899E-2</v>
      </c>
      <c r="L3009">
        <v>871.97349066083495</v>
      </c>
      <c r="M3009">
        <v>18.1564110295947</v>
      </c>
      <c r="N3009">
        <v>48.50539789914</v>
      </c>
      <c r="O3009">
        <v>47.4544430365493</v>
      </c>
      <c r="P3009">
        <v>-8.7794356210602303E-2</v>
      </c>
      <c r="Q3009">
        <v>8.2190281979631297E-2</v>
      </c>
      <c r="R3009">
        <v>0.99366586519631905</v>
      </c>
      <c r="S3009" t="s">
        <v>9655</v>
      </c>
      <c r="T3009" t="s">
        <v>13290</v>
      </c>
      <c r="U3009" t="s">
        <v>13290</v>
      </c>
      <c r="V3009" t="s">
        <v>13290</v>
      </c>
      <c r="W3009" t="s">
        <v>16257</v>
      </c>
      <c r="X3009">
        <v>1</v>
      </c>
      <c r="Y3009" t="s">
        <v>22785</v>
      </c>
      <c r="Z3009" t="s">
        <v>29339</v>
      </c>
      <c r="AA3009">
        <v>0.34370475537064232</v>
      </c>
      <c r="AB3009" t="str">
        <f>HYPERLINK("Melting_Curves/meltCurve_P61966_AP1S1.pdf", "Melting_Curves/meltCurve_P61966_AP1S1.pdf")</f>
        <v>Melting_Curves/meltCurve_P61966_AP1S1.pdf</v>
      </c>
    </row>
    <row r="3010" spans="1:28" x14ac:dyDescent="0.25">
      <c r="A3010" t="s">
        <v>3014</v>
      </c>
      <c r="B3010">
        <v>0.99252571173614901</v>
      </c>
      <c r="C3010">
        <v>1.02454212842584</v>
      </c>
      <c r="D3010">
        <v>0.990443802946534</v>
      </c>
      <c r="E3010">
        <v>0.88610935884597897</v>
      </c>
      <c r="F3010">
        <v>0.92582679770505805</v>
      </c>
      <c r="G3010">
        <v>0.83918206405852003</v>
      </c>
      <c r="H3010">
        <v>0.80966500191298096</v>
      </c>
      <c r="I3010">
        <v>0.86654522251459498</v>
      </c>
      <c r="J3010">
        <v>0.94469808400203104</v>
      </c>
      <c r="K3010">
        <v>0.670749220208951</v>
      </c>
      <c r="S3010" t="s">
        <v>9656</v>
      </c>
      <c r="T3010" t="s">
        <v>13290</v>
      </c>
      <c r="U3010" t="s">
        <v>13291</v>
      </c>
      <c r="V3010" t="s">
        <v>13290</v>
      </c>
      <c r="W3010" t="s">
        <v>16258</v>
      </c>
      <c r="X3010">
        <v>5</v>
      </c>
      <c r="Y3010" t="s">
        <v>22786</v>
      </c>
      <c r="Z3010" t="s">
        <v>29340</v>
      </c>
      <c r="AB3010" t="str">
        <f>HYPERLINK("Melting_Curves/meltCurve_P61970_NUTF2.pdf", "Melting_Curves/meltCurve_P61970_NUTF2.pdf")</f>
        <v>Melting_Curves/meltCurve_P61970_NUTF2.pdf</v>
      </c>
    </row>
    <row r="3011" spans="1:28" x14ac:dyDescent="0.25">
      <c r="A3011" t="s">
        <v>3015</v>
      </c>
      <c r="B3011">
        <v>0.99252571173614901</v>
      </c>
      <c r="C3011">
        <v>1.1084127207002601</v>
      </c>
      <c r="D3011">
        <v>0.82196428895046802</v>
      </c>
      <c r="E3011">
        <v>0.58306906391977298</v>
      </c>
      <c r="F3011">
        <v>0.21906833691483399</v>
      </c>
      <c r="G3011">
        <v>0.13282926215034699</v>
      </c>
      <c r="H3011">
        <v>9.7131824905991801E-2</v>
      </c>
      <c r="I3011">
        <v>0.100464820386977</v>
      </c>
      <c r="J3011">
        <v>0.124393422340418</v>
      </c>
      <c r="K3011">
        <v>0.13997991919421099</v>
      </c>
      <c r="L3011">
        <v>1273.3638058973199</v>
      </c>
      <c r="M3011">
        <v>25.693499554394901</v>
      </c>
      <c r="N3011">
        <v>50.037458116971997</v>
      </c>
      <c r="O3011">
        <v>49.262472965650304</v>
      </c>
      <c r="P3011">
        <v>-0.116211292527041</v>
      </c>
      <c r="Q3011">
        <v>0.10875722688595101</v>
      </c>
      <c r="R3011">
        <v>0.98394244224051297</v>
      </c>
      <c r="S3011" t="s">
        <v>9657</v>
      </c>
      <c r="T3011" t="s">
        <v>13290</v>
      </c>
      <c r="U3011" t="s">
        <v>13290</v>
      </c>
      <c r="V3011" t="s">
        <v>13290</v>
      </c>
      <c r="W3011" t="s">
        <v>16259</v>
      </c>
      <c r="X3011">
        <v>33</v>
      </c>
      <c r="Y3011" t="s">
        <v>22787</v>
      </c>
      <c r="Z3011" t="s">
        <v>29341</v>
      </c>
      <c r="AA3011">
        <v>0.40026267854862718</v>
      </c>
      <c r="AB3011" t="str">
        <f>HYPERLINK("Melting_Curves/meltCurve_P61978_3_HNRNPK.pdf", "Melting_Curves/meltCurve_P61978_3_HNRNPK.pdf")</f>
        <v>Melting_Curves/meltCurve_P61978_3_HNRNPK.pdf</v>
      </c>
    </row>
    <row r="3012" spans="1:28" x14ac:dyDescent="0.25">
      <c r="A3012" t="s">
        <v>3016</v>
      </c>
      <c r="B3012">
        <v>0.99252571173614901</v>
      </c>
      <c r="C3012">
        <v>1.070777425757</v>
      </c>
      <c r="D3012">
        <v>1.00723472848478</v>
      </c>
      <c r="E3012">
        <v>1.07060684343561</v>
      </c>
      <c r="F3012">
        <v>0.83342867414032196</v>
      </c>
      <c r="G3012">
        <v>0.64615748730003497</v>
      </c>
      <c r="H3012">
        <v>0.35506887143064703</v>
      </c>
      <c r="I3012">
        <v>0.21659001828681401</v>
      </c>
      <c r="J3012">
        <v>0.13095382559296501</v>
      </c>
      <c r="K3012">
        <v>0.101427853183244</v>
      </c>
      <c r="L3012">
        <v>1159.1828293804999</v>
      </c>
      <c r="M3012">
        <v>19.9296506761874</v>
      </c>
      <c r="N3012">
        <v>58.6497295861653</v>
      </c>
      <c r="O3012">
        <v>57.587627388503797</v>
      </c>
      <c r="P3012">
        <v>-7.9936158356492801E-2</v>
      </c>
      <c r="Q3012">
        <v>7.6113948527301495E-2</v>
      </c>
      <c r="R3012">
        <v>0.98838195915801697</v>
      </c>
      <c r="S3012" t="s">
        <v>9658</v>
      </c>
      <c r="T3012" t="s">
        <v>13290</v>
      </c>
      <c r="U3012" t="s">
        <v>13290</v>
      </c>
      <c r="V3012" t="s">
        <v>13290</v>
      </c>
      <c r="W3012" t="s">
        <v>16260</v>
      </c>
      <c r="X3012">
        <v>30</v>
      </c>
      <c r="Y3012" t="s">
        <v>22788</v>
      </c>
      <c r="Z3012" t="s">
        <v>29342</v>
      </c>
      <c r="AA3012">
        <v>0.64582206567253375</v>
      </c>
      <c r="AB3012" t="str">
        <f>HYPERLINK("Melting_Curves/meltCurve_P61981_YWHAG.pdf", "Melting_Curves/meltCurve_P61981_YWHAG.pdf")</f>
        <v>Melting_Curves/meltCurve_P61981_YWHAG.pdf</v>
      </c>
    </row>
    <row r="3013" spans="1:28" x14ac:dyDescent="0.25">
      <c r="A3013" t="s">
        <v>3017</v>
      </c>
      <c r="B3013">
        <v>0.99252571173614901</v>
      </c>
      <c r="C3013">
        <v>1.1062985338048901</v>
      </c>
      <c r="D3013">
        <v>1.0272945431775</v>
      </c>
      <c r="E3013">
        <v>1.0246677944028899</v>
      </c>
      <c r="F3013">
        <v>0.76484135163683398</v>
      </c>
      <c r="G3013">
        <v>0.63310052104258996</v>
      </c>
      <c r="H3013">
        <v>0.39101200316784701</v>
      </c>
      <c r="I3013">
        <v>0.130502458731968</v>
      </c>
      <c r="J3013">
        <v>0.10682583737685</v>
      </c>
      <c r="K3013">
        <v>0.109312751268672</v>
      </c>
      <c r="L3013">
        <v>1020.24239967977</v>
      </c>
      <c r="M3013">
        <v>17.541188078440602</v>
      </c>
      <c r="N3013">
        <v>58.3779055266725</v>
      </c>
      <c r="O3013">
        <v>57.4225549402748</v>
      </c>
      <c r="P3013">
        <v>-7.3981658481272902E-2</v>
      </c>
      <c r="Q3013">
        <v>3.1312341661338401E-2</v>
      </c>
      <c r="R3013">
        <v>0.97932954026128205</v>
      </c>
      <c r="S3013" t="s">
        <v>9659</v>
      </c>
      <c r="T3013" t="s">
        <v>13290</v>
      </c>
      <c r="U3013" t="s">
        <v>13290</v>
      </c>
      <c r="V3013" t="s">
        <v>13290</v>
      </c>
      <c r="W3013" t="s">
        <v>16261</v>
      </c>
      <c r="X3013">
        <v>8</v>
      </c>
      <c r="Y3013" t="s">
        <v>22789</v>
      </c>
      <c r="Z3013" t="s">
        <v>29343</v>
      </c>
      <c r="AA3013">
        <v>0.62969782936900953</v>
      </c>
      <c r="AB3013" t="str">
        <f>HYPERLINK("Melting_Curves/meltCurve_P62070_RRAS2.pdf", "Melting_Curves/meltCurve_P62070_RRAS2.pdf")</f>
        <v>Melting_Curves/meltCurve_P62070_RRAS2.pdf</v>
      </c>
    </row>
    <row r="3014" spans="1:28" x14ac:dyDescent="0.25">
      <c r="A3014" t="s">
        <v>3018</v>
      </c>
      <c r="B3014">
        <v>0.99252571173614901</v>
      </c>
      <c r="C3014">
        <v>0.98334056392672597</v>
      </c>
      <c r="D3014">
        <v>0.91614228540421005</v>
      </c>
      <c r="E3014">
        <v>0.94150192694743495</v>
      </c>
      <c r="F3014">
        <v>0.86804187702542102</v>
      </c>
      <c r="G3014">
        <v>0.841164991141789</v>
      </c>
      <c r="H3014">
        <v>0.93479681276527005</v>
      </c>
      <c r="I3014">
        <v>1.2418853510916801</v>
      </c>
      <c r="J3014">
        <v>1.8280357703377601</v>
      </c>
      <c r="K3014">
        <v>1.8789946843444301</v>
      </c>
      <c r="L3014">
        <v>15000</v>
      </c>
      <c r="M3014">
        <v>234.31027401116401</v>
      </c>
      <c r="O3014">
        <v>64.013015769475601</v>
      </c>
      <c r="P3014">
        <v>0.45754420341709301</v>
      </c>
      <c r="Q3014">
        <v>1.5</v>
      </c>
      <c r="R3014">
        <v>0.77466551467877398</v>
      </c>
      <c r="S3014" t="s">
        <v>9660</v>
      </c>
      <c r="T3014" t="s">
        <v>13290</v>
      </c>
      <c r="U3014" t="s">
        <v>13290</v>
      </c>
      <c r="V3014" t="s">
        <v>13290</v>
      </c>
      <c r="W3014" t="s">
        <v>16262</v>
      </c>
      <c r="X3014">
        <v>10</v>
      </c>
      <c r="Y3014" t="s">
        <v>22790</v>
      </c>
      <c r="Z3014" t="s">
        <v>29344</v>
      </c>
      <c r="AA3014">
        <v>1.09964139151121</v>
      </c>
      <c r="AB3014" t="str">
        <f>HYPERLINK("Melting_Curves/meltCurve_P62072_TIMM10.pdf", "Melting_Curves/meltCurve_P62072_TIMM10.pdf")</f>
        <v>Melting_Curves/meltCurve_P62072_TIMM10.pdf</v>
      </c>
    </row>
    <row r="3015" spans="1:28" x14ac:dyDescent="0.25">
      <c r="A3015" t="s">
        <v>3019</v>
      </c>
      <c r="B3015">
        <v>0.99252571173614901</v>
      </c>
      <c r="C3015">
        <v>1.1273087358092899</v>
      </c>
      <c r="D3015">
        <v>1.03083774878051</v>
      </c>
      <c r="E3015">
        <v>0.92670595831314895</v>
      </c>
      <c r="F3015">
        <v>0.59488228149128597</v>
      </c>
      <c r="G3015">
        <v>0.32026139284668897</v>
      </c>
      <c r="H3015">
        <v>0.13690645076635</v>
      </c>
      <c r="I3015">
        <v>0.109587254058146</v>
      </c>
      <c r="J3015">
        <v>0.11190405881358</v>
      </c>
      <c r="K3015">
        <v>0.121555801820315</v>
      </c>
      <c r="L3015">
        <v>1400.9862326653499</v>
      </c>
      <c r="M3015">
        <v>26.035361085087299</v>
      </c>
      <c r="N3015">
        <v>54.320337437215599</v>
      </c>
      <c r="O3015">
        <v>53.4964578392063</v>
      </c>
      <c r="P3015">
        <v>-0.108490430836632</v>
      </c>
      <c r="Q3015">
        <v>0.108322564555594</v>
      </c>
      <c r="R3015">
        <v>0.98785682511769402</v>
      </c>
      <c r="S3015" t="s">
        <v>9661</v>
      </c>
      <c r="T3015" t="s">
        <v>13290</v>
      </c>
      <c r="U3015" t="s">
        <v>13290</v>
      </c>
      <c r="V3015" t="s">
        <v>13290</v>
      </c>
      <c r="W3015" t="s">
        <v>16263</v>
      </c>
      <c r="X3015">
        <v>11</v>
      </c>
      <c r="Y3015" t="s">
        <v>22791</v>
      </c>
      <c r="Z3015" t="s">
        <v>29345</v>
      </c>
      <c r="AA3015">
        <v>0.52646909116642859</v>
      </c>
      <c r="AB3015" t="str">
        <f>HYPERLINK("Melting_Curves/meltCurve_P62081_RPS7.pdf", "Melting_Curves/meltCurve_P62081_RPS7.pdf")</f>
        <v>Melting_Curves/meltCurve_P62081_RPS7.pdf</v>
      </c>
    </row>
    <row r="3016" spans="1:28" x14ac:dyDescent="0.25">
      <c r="A3016" t="s">
        <v>3020</v>
      </c>
      <c r="B3016">
        <v>0.99252571173614901</v>
      </c>
      <c r="C3016">
        <v>1.03212384752039</v>
      </c>
      <c r="D3016">
        <v>0.96801721210160896</v>
      </c>
      <c r="E3016">
        <v>0.74268508287742396</v>
      </c>
      <c r="F3016">
        <v>0.55051035416875105</v>
      </c>
      <c r="G3016">
        <v>0.33511873156954097</v>
      </c>
      <c r="H3016">
        <v>0.15399402559564801</v>
      </c>
      <c r="I3016">
        <v>0.10134143504488501</v>
      </c>
      <c r="J3016">
        <v>9.4934713553363595E-2</v>
      </c>
      <c r="K3016">
        <v>8.6121310554594294E-2</v>
      </c>
      <c r="L3016">
        <v>867.42844223938505</v>
      </c>
      <c r="M3016">
        <v>16.257437996652101</v>
      </c>
      <c r="N3016">
        <v>53.757484344374099</v>
      </c>
      <c r="O3016">
        <v>52.568093096324098</v>
      </c>
      <c r="P3016">
        <v>-7.2899190525895996E-2</v>
      </c>
      <c r="Q3016">
        <v>5.7197290111146701E-2</v>
      </c>
      <c r="R3016">
        <v>0.99533732938707098</v>
      </c>
      <c r="S3016" t="s">
        <v>9662</v>
      </c>
      <c r="T3016" t="s">
        <v>13290</v>
      </c>
      <c r="U3016" t="s">
        <v>13290</v>
      </c>
      <c r="V3016" t="s">
        <v>13290</v>
      </c>
      <c r="W3016" t="s">
        <v>16264</v>
      </c>
      <c r="X3016">
        <v>22</v>
      </c>
      <c r="Y3016" t="s">
        <v>22792</v>
      </c>
      <c r="Z3016" t="s">
        <v>29346</v>
      </c>
      <c r="AA3016">
        <v>0.49478436708332513</v>
      </c>
      <c r="AB3016" t="str">
        <f>HYPERLINK("Melting_Curves/meltCurve_P62136_PPP1CA.pdf", "Melting_Curves/meltCurve_P62136_PPP1CA.pdf")</f>
        <v>Melting_Curves/meltCurve_P62136_PPP1CA.pdf</v>
      </c>
    </row>
    <row r="3017" spans="1:28" x14ac:dyDescent="0.25">
      <c r="A3017" t="s">
        <v>3021</v>
      </c>
      <c r="B3017">
        <v>0.99252571173614901</v>
      </c>
      <c r="C3017">
        <v>1.0325341163517301</v>
      </c>
      <c r="D3017">
        <v>0.94853916057170096</v>
      </c>
      <c r="E3017">
        <v>0.90560368287095505</v>
      </c>
      <c r="F3017">
        <v>0.54991489060749899</v>
      </c>
      <c r="G3017">
        <v>0.35237153712866498</v>
      </c>
      <c r="H3017">
        <v>0.168050416353899</v>
      </c>
      <c r="I3017">
        <v>0.10483063590276299</v>
      </c>
      <c r="J3017">
        <v>0.10955415382714</v>
      </c>
      <c r="K3017">
        <v>0.101019403769684</v>
      </c>
      <c r="L3017">
        <v>1110.7243109333201</v>
      </c>
      <c r="M3017">
        <v>20.6638610227327</v>
      </c>
      <c r="N3017">
        <v>54.283960006969103</v>
      </c>
      <c r="O3017">
        <v>53.256212588751197</v>
      </c>
      <c r="P3017">
        <v>-8.8113969953916293E-2</v>
      </c>
      <c r="Q3017">
        <v>9.1654437615499407E-2</v>
      </c>
      <c r="R3017">
        <v>0.99500353654320695</v>
      </c>
      <c r="S3017" t="s">
        <v>9663</v>
      </c>
      <c r="T3017" t="s">
        <v>13290</v>
      </c>
      <c r="U3017" t="s">
        <v>13290</v>
      </c>
      <c r="V3017" t="s">
        <v>13290</v>
      </c>
      <c r="W3017" t="s">
        <v>16265</v>
      </c>
      <c r="X3017">
        <v>20</v>
      </c>
      <c r="Y3017" t="s">
        <v>22793</v>
      </c>
      <c r="Z3017" t="s">
        <v>29347</v>
      </c>
      <c r="AA3017">
        <v>0.51978028192373427</v>
      </c>
      <c r="AB3017" t="str">
        <f>HYPERLINK("Melting_Curves/meltCurve_P62140_PPP1CB.pdf", "Melting_Curves/meltCurve_P62140_PPP1CB.pdf")</f>
        <v>Melting_Curves/meltCurve_P62140_PPP1CB.pdf</v>
      </c>
    </row>
    <row r="3018" spans="1:28" x14ac:dyDescent="0.25">
      <c r="A3018" t="s">
        <v>3022</v>
      </c>
      <c r="B3018">
        <v>0.99252571173614901</v>
      </c>
      <c r="C3018">
        <v>0.84742495276925101</v>
      </c>
      <c r="D3018">
        <v>1.1513754062769599</v>
      </c>
      <c r="E3018">
        <v>1.0896896012913899</v>
      </c>
      <c r="F3018">
        <v>0.78388250549905103</v>
      </c>
      <c r="G3018">
        <v>0.312286638235798</v>
      </c>
      <c r="H3018">
        <v>0.113168944274955</v>
      </c>
      <c r="I3018">
        <v>0.109767425989129</v>
      </c>
      <c r="J3018">
        <v>0.12786371426076401</v>
      </c>
      <c r="K3018">
        <v>0.13659390863853901</v>
      </c>
      <c r="L3018">
        <v>2215.9871495663101</v>
      </c>
      <c r="M3018">
        <v>40.397956742790903</v>
      </c>
      <c r="N3018">
        <v>55.227125850075602</v>
      </c>
      <c r="O3018">
        <v>54.7200426991105</v>
      </c>
      <c r="P3018">
        <v>-0.162522230017841</v>
      </c>
      <c r="Q3018">
        <v>0.119440070223513</v>
      </c>
      <c r="R3018">
        <v>0.96715696234439397</v>
      </c>
      <c r="S3018" t="s">
        <v>9664</v>
      </c>
      <c r="T3018" t="s">
        <v>13290</v>
      </c>
      <c r="U3018" t="s">
        <v>13290</v>
      </c>
      <c r="V3018" t="s">
        <v>13290</v>
      </c>
      <c r="W3018" t="s">
        <v>16266</v>
      </c>
      <c r="X3018">
        <v>22</v>
      </c>
      <c r="Y3018" t="s">
        <v>22794</v>
      </c>
      <c r="Z3018" t="s">
        <v>29348</v>
      </c>
      <c r="AA3018">
        <v>0.55869552513198262</v>
      </c>
      <c r="AB3018" t="str">
        <f>HYPERLINK("Melting_Curves/meltCurve_P62191_PSMC1.pdf", "Melting_Curves/meltCurve_P62191_PSMC1.pdf")</f>
        <v>Melting_Curves/meltCurve_P62191_PSMC1.pdf</v>
      </c>
    </row>
    <row r="3019" spans="1:28" x14ac:dyDescent="0.25">
      <c r="A3019" t="s">
        <v>3023</v>
      </c>
      <c r="B3019">
        <v>0.99252571173614901</v>
      </c>
      <c r="C3019">
        <v>0.85324948584066695</v>
      </c>
      <c r="D3019">
        <v>1.2001162767723199</v>
      </c>
      <c r="E3019">
        <v>1.1079348667806199</v>
      </c>
      <c r="F3019">
        <v>0.94830201354419597</v>
      </c>
      <c r="G3019">
        <v>0.33758711822404802</v>
      </c>
      <c r="H3019">
        <v>0.10636266374898699</v>
      </c>
      <c r="I3019">
        <v>8.1939795661937903E-2</v>
      </c>
      <c r="J3019">
        <v>8.8418696445440106E-2</v>
      </c>
      <c r="K3019">
        <v>9.4805165899118193E-2</v>
      </c>
      <c r="L3019">
        <v>3223.6698481900298</v>
      </c>
      <c r="M3019">
        <v>57.740820758063698</v>
      </c>
      <c r="N3019">
        <v>56.024119849721998</v>
      </c>
      <c r="O3019">
        <v>55.763148150447101</v>
      </c>
      <c r="P3019">
        <v>-0.23539670150196301</v>
      </c>
      <c r="Q3019">
        <v>9.0663785899915E-2</v>
      </c>
      <c r="R3019">
        <v>0.964131262249038</v>
      </c>
      <c r="S3019" t="s">
        <v>9665</v>
      </c>
      <c r="T3019" t="s">
        <v>13290</v>
      </c>
      <c r="U3019" t="s">
        <v>13290</v>
      </c>
      <c r="V3019" t="s">
        <v>13290</v>
      </c>
      <c r="W3019" t="s">
        <v>16267</v>
      </c>
      <c r="X3019">
        <v>23</v>
      </c>
      <c r="Y3019" t="s">
        <v>22795</v>
      </c>
      <c r="Z3019" t="s">
        <v>29349</v>
      </c>
      <c r="AA3019">
        <v>0.57216655805807792</v>
      </c>
      <c r="AB3019" t="str">
        <f>HYPERLINK("Melting_Curves/meltCurve_P62195_2_PSMC5.pdf", "Melting_Curves/meltCurve_P62195_2_PSMC5.pdf")</f>
        <v>Melting_Curves/meltCurve_P62195_2_PSMC5.pdf</v>
      </c>
    </row>
    <row r="3020" spans="1:28" x14ac:dyDescent="0.25">
      <c r="A3020" t="s">
        <v>3024</v>
      </c>
      <c r="B3020">
        <v>0.99252571173614901</v>
      </c>
      <c r="C3020">
        <v>0.96159600288146296</v>
      </c>
      <c r="D3020">
        <v>0.85261391761861005</v>
      </c>
      <c r="E3020">
        <v>0.74821469422943798</v>
      </c>
      <c r="F3020">
        <v>0.544755111756688</v>
      </c>
      <c r="G3020">
        <v>0.30820254641785899</v>
      </c>
      <c r="H3020">
        <v>0.18482415700641899</v>
      </c>
      <c r="I3020">
        <v>0.19742182124334301</v>
      </c>
      <c r="J3020">
        <v>0.22522045931903201</v>
      </c>
      <c r="K3020">
        <v>0.244761080258243</v>
      </c>
      <c r="L3020">
        <v>855.93366788846299</v>
      </c>
      <c r="M3020">
        <v>16.543861228253199</v>
      </c>
      <c r="N3020">
        <v>53.209569850376802</v>
      </c>
      <c r="O3020">
        <v>50.999034590808499</v>
      </c>
      <c r="P3020">
        <v>-6.6209193233322805E-2</v>
      </c>
      <c r="Q3020">
        <v>0.18365545520146401</v>
      </c>
      <c r="R3020">
        <v>0.98647317757759401</v>
      </c>
      <c r="S3020" t="s">
        <v>9666</v>
      </c>
      <c r="T3020" t="s">
        <v>13290</v>
      </c>
      <c r="U3020" t="s">
        <v>13290</v>
      </c>
      <c r="V3020" t="s">
        <v>13290</v>
      </c>
      <c r="W3020" t="s">
        <v>16268</v>
      </c>
      <c r="X3020">
        <v>13</v>
      </c>
      <c r="Y3020" t="s">
        <v>22796</v>
      </c>
      <c r="Z3020" t="s">
        <v>29350</v>
      </c>
      <c r="AA3020">
        <v>0.51877122157679889</v>
      </c>
      <c r="AB3020" t="str">
        <f>HYPERLINK("Melting_Curves/meltCurve_P62241_RPS8.pdf", "Melting_Curves/meltCurve_P62241_RPS8.pdf")</f>
        <v>Melting_Curves/meltCurve_P62241_RPS8.pdf</v>
      </c>
    </row>
    <row r="3021" spans="1:28" x14ac:dyDescent="0.25">
      <c r="A3021" t="s">
        <v>3025</v>
      </c>
      <c r="B3021">
        <v>0.99252571173614901</v>
      </c>
      <c r="C3021">
        <v>0.98713811951049302</v>
      </c>
      <c r="D3021">
        <v>0.96513394448892298</v>
      </c>
      <c r="E3021">
        <v>0.90945980145875405</v>
      </c>
      <c r="F3021">
        <v>0.68120912635274899</v>
      </c>
      <c r="G3021">
        <v>0.38091887945026398</v>
      </c>
      <c r="H3021">
        <v>0.19093107957230199</v>
      </c>
      <c r="I3021">
        <v>0.160037575231125</v>
      </c>
      <c r="J3021">
        <v>0.20687732410519</v>
      </c>
      <c r="K3021">
        <v>0.23221856023329199</v>
      </c>
      <c r="L3021">
        <v>1390.28445089653</v>
      </c>
      <c r="M3021">
        <v>25.7233024699635</v>
      </c>
      <c r="N3021">
        <v>55.032407598061901</v>
      </c>
      <c r="O3021">
        <v>53.724193792211302</v>
      </c>
      <c r="P3021">
        <v>-9.7623017629664702E-2</v>
      </c>
      <c r="Q3021">
        <v>0.184450758328562</v>
      </c>
      <c r="R3021">
        <v>0.99454691328014</v>
      </c>
      <c r="S3021" t="s">
        <v>9667</v>
      </c>
      <c r="T3021" t="s">
        <v>13290</v>
      </c>
      <c r="U3021" t="s">
        <v>13290</v>
      </c>
      <c r="V3021" t="s">
        <v>13290</v>
      </c>
      <c r="W3021" t="s">
        <v>16269</v>
      </c>
      <c r="X3021">
        <v>6</v>
      </c>
      <c r="Y3021" t="s">
        <v>22797</v>
      </c>
      <c r="Z3021" t="s">
        <v>29351</v>
      </c>
      <c r="AA3021">
        <v>0.57350042528640333</v>
      </c>
      <c r="AB3021" t="str">
        <f>HYPERLINK("Melting_Curves/meltCurve_P62249_RPS16.pdf", "Melting_Curves/meltCurve_P62249_RPS16.pdf")</f>
        <v>Melting_Curves/meltCurve_P62249_RPS16.pdf</v>
      </c>
    </row>
    <row r="3022" spans="1:28" x14ac:dyDescent="0.25">
      <c r="A3022" t="s">
        <v>3026</v>
      </c>
      <c r="B3022">
        <v>0.99252571173614901</v>
      </c>
      <c r="C3022">
        <v>1.0013603115426899</v>
      </c>
      <c r="D3022">
        <v>0.948448504559951</v>
      </c>
      <c r="E3022">
        <v>0.78469894348693103</v>
      </c>
      <c r="F3022">
        <v>0.83373528781593498</v>
      </c>
      <c r="G3022">
        <v>0.57098159805910098</v>
      </c>
      <c r="H3022">
        <v>0.23176702862488999</v>
      </c>
      <c r="I3022">
        <v>0.12521848566692501</v>
      </c>
      <c r="J3022">
        <v>9.3734467998507806E-2</v>
      </c>
      <c r="K3022">
        <v>8.0572661918885499E-2</v>
      </c>
      <c r="L3022">
        <v>906.46719457781796</v>
      </c>
      <c r="M3022">
        <v>15.848583911389801</v>
      </c>
      <c r="N3022">
        <v>57.195469415416802</v>
      </c>
      <c r="O3022">
        <v>56.308091276850803</v>
      </c>
      <c r="P3022">
        <v>-7.0371210477204599E-2</v>
      </c>
      <c r="Q3022">
        <v>0</v>
      </c>
      <c r="R3022">
        <v>0.97886049309642298</v>
      </c>
      <c r="S3022" t="s">
        <v>9668</v>
      </c>
      <c r="T3022" t="s">
        <v>13290</v>
      </c>
      <c r="U3022" t="s">
        <v>13290</v>
      </c>
      <c r="V3022" t="s">
        <v>13290</v>
      </c>
      <c r="W3022" t="s">
        <v>16270</v>
      </c>
      <c r="X3022">
        <v>33</v>
      </c>
      <c r="Y3022" t="s">
        <v>22798</v>
      </c>
      <c r="Z3022" t="s">
        <v>29352</v>
      </c>
      <c r="AA3022">
        <v>0.58809621500768949</v>
      </c>
      <c r="AB3022" t="str">
        <f>HYPERLINK("Melting_Curves/meltCurve_P62258_YWHAE.pdf", "Melting_Curves/meltCurve_P62258_YWHAE.pdf")</f>
        <v>Melting_Curves/meltCurve_P62258_YWHAE.pdf</v>
      </c>
    </row>
    <row r="3023" spans="1:28" x14ac:dyDescent="0.25">
      <c r="A3023" t="s">
        <v>3027</v>
      </c>
      <c r="B3023">
        <v>0.99252571173614901</v>
      </c>
      <c r="C3023">
        <v>1.0199888742752801</v>
      </c>
      <c r="D3023">
        <v>0.94800458105068797</v>
      </c>
      <c r="E3023">
        <v>0.78958339780095999</v>
      </c>
      <c r="F3023">
        <v>0.96105445462768402</v>
      </c>
      <c r="G3023">
        <v>0.40470646912345798</v>
      </c>
      <c r="H3023">
        <v>0.18416807378112199</v>
      </c>
      <c r="I3023">
        <v>0.17176748710187401</v>
      </c>
      <c r="J3023">
        <v>0.18912007338029399</v>
      </c>
      <c r="K3023">
        <v>0.20227783002890101</v>
      </c>
      <c r="L3023">
        <v>3252.2509248393899</v>
      </c>
      <c r="M3023">
        <v>58.254359405866303</v>
      </c>
      <c r="N3023">
        <v>56.274818787595201</v>
      </c>
      <c r="O3023">
        <v>55.762779834983299</v>
      </c>
      <c r="P3023">
        <v>-0.21285205384497799</v>
      </c>
      <c r="Q3023">
        <v>0.18500748557223801</v>
      </c>
      <c r="R3023">
        <v>0.96426893902105404</v>
      </c>
      <c r="S3023" t="s">
        <v>9669</v>
      </c>
      <c r="T3023" t="s">
        <v>13290</v>
      </c>
      <c r="U3023" t="s">
        <v>13290</v>
      </c>
      <c r="V3023" t="s">
        <v>13290</v>
      </c>
      <c r="W3023" t="s">
        <v>16271</v>
      </c>
      <c r="X3023">
        <v>9</v>
      </c>
      <c r="Y3023" t="s">
        <v>22799</v>
      </c>
      <c r="Z3023" t="s">
        <v>29353</v>
      </c>
      <c r="AA3023">
        <v>0.61648594819540181</v>
      </c>
      <c r="AB3023" t="str">
        <f>HYPERLINK("Melting_Curves/meltCurve_P62263_RPS14.pdf", "Melting_Curves/meltCurve_P62263_RPS14.pdf")</f>
        <v>Melting_Curves/meltCurve_P62263_RPS14.pdf</v>
      </c>
    </row>
    <row r="3024" spans="1:28" x14ac:dyDescent="0.25">
      <c r="A3024" t="s">
        <v>3028</v>
      </c>
      <c r="B3024">
        <v>0.99252571173614901</v>
      </c>
      <c r="C3024">
        <v>1.04783810632911</v>
      </c>
      <c r="D3024">
        <v>1.01381221332029</v>
      </c>
      <c r="E3024">
        <v>0.80890904326012403</v>
      </c>
      <c r="F3024">
        <v>0.57600695047421302</v>
      </c>
      <c r="G3024">
        <v>0.32230754722886601</v>
      </c>
      <c r="H3024">
        <v>0.156977904810392</v>
      </c>
      <c r="I3024">
        <v>0.145013713704575</v>
      </c>
      <c r="J3024">
        <v>0.16926573684608301</v>
      </c>
      <c r="K3024">
        <v>0.146514775993487</v>
      </c>
      <c r="L3024">
        <v>1139.4891746295</v>
      </c>
      <c r="M3024">
        <v>21.444081542876301</v>
      </c>
      <c r="N3024">
        <v>53.931918860646498</v>
      </c>
      <c r="O3024">
        <v>52.6820722574288</v>
      </c>
      <c r="P3024">
        <v>-8.7986050051857098E-2</v>
      </c>
      <c r="Q3024">
        <v>0.13539352734066501</v>
      </c>
      <c r="R3024">
        <v>0.99404134263069399</v>
      </c>
      <c r="S3024" t="s">
        <v>9670</v>
      </c>
      <c r="T3024" t="s">
        <v>13290</v>
      </c>
      <c r="U3024" t="s">
        <v>13290</v>
      </c>
      <c r="V3024" t="s">
        <v>13290</v>
      </c>
      <c r="W3024" t="s">
        <v>16272</v>
      </c>
      <c r="X3024">
        <v>5</v>
      </c>
      <c r="Y3024" t="s">
        <v>22800</v>
      </c>
      <c r="Z3024" t="s">
        <v>29354</v>
      </c>
      <c r="AA3024">
        <v>0.52455499033195874</v>
      </c>
      <c r="AB3024" t="str">
        <f>HYPERLINK("Melting_Curves/meltCurve_P62266_RPS23.pdf", "Melting_Curves/meltCurve_P62266_RPS23.pdf")</f>
        <v>Melting_Curves/meltCurve_P62266_RPS23.pdf</v>
      </c>
    </row>
    <row r="3025" spans="1:28" x14ac:dyDescent="0.25">
      <c r="A3025" t="s">
        <v>3029</v>
      </c>
      <c r="B3025">
        <v>0.99252571173614901</v>
      </c>
      <c r="C3025">
        <v>0.95817279237122099</v>
      </c>
      <c r="D3025">
        <v>0.84901283754203904</v>
      </c>
      <c r="E3025">
        <v>0.83502808911387605</v>
      </c>
      <c r="F3025">
        <v>0.591752975564518</v>
      </c>
      <c r="G3025">
        <v>0.29380013172455</v>
      </c>
      <c r="H3025">
        <v>0.1390113341749</v>
      </c>
      <c r="I3025">
        <v>0.14864522390214599</v>
      </c>
      <c r="J3025">
        <v>0.186704694107824</v>
      </c>
      <c r="K3025">
        <v>0.190857221859351</v>
      </c>
      <c r="L3025">
        <v>1046.9874183632301</v>
      </c>
      <c r="M3025">
        <v>19.7805900069032</v>
      </c>
      <c r="N3025">
        <v>53.827670915296203</v>
      </c>
      <c r="O3025">
        <v>52.397975456505101</v>
      </c>
      <c r="P3025">
        <v>-8.1120804221638407E-2</v>
      </c>
      <c r="Q3025">
        <v>0.14048644370060401</v>
      </c>
      <c r="R3025">
        <v>0.98041900163200102</v>
      </c>
      <c r="S3025" t="s">
        <v>9671</v>
      </c>
      <c r="T3025" t="s">
        <v>13290</v>
      </c>
      <c r="U3025" t="s">
        <v>13290</v>
      </c>
      <c r="V3025" t="s">
        <v>13290</v>
      </c>
      <c r="W3025" t="s">
        <v>16273</v>
      </c>
      <c r="X3025">
        <v>8</v>
      </c>
      <c r="Y3025" t="s">
        <v>22801</v>
      </c>
      <c r="Z3025" t="s">
        <v>29355</v>
      </c>
      <c r="AA3025">
        <v>0.52299141032580454</v>
      </c>
      <c r="AB3025" t="str">
        <f>HYPERLINK("Melting_Curves/meltCurve_P62269_RPS18.pdf", "Melting_Curves/meltCurve_P62269_RPS18.pdf")</f>
        <v>Melting_Curves/meltCurve_P62269_RPS18.pdf</v>
      </c>
    </row>
    <row r="3026" spans="1:28" x14ac:dyDescent="0.25">
      <c r="A3026" t="s">
        <v>3030</v>
      </c>
      <c r="B3026">
        <v>0.99252571173614901</v>
      </c>
      <c r="C3026">
        <v>0.98701191709414704</v>
      </c>
      <c r="D3026">
        <v>0.94965323069440699</v>
      </c>
      <c r="E3026">
        <v>0.94587216409095198</v>
      </c>
      <c r="F3026">
        <v>0.63207651035760104</v>
      </c>
      <c r="G3026">
        <v>0.32687151440030499</v>
      </c>
      <c r="H3026">
        <v>0.20104131014674301</v>
      </c>
      <c r="I3026">
        <v>0.15978448841933299</v>
      </c>
      <c r="J3026">
        <v>0.22602342883242699</v>
      </c>
      <c r="K3026">
        <v>0.27204251045329098</v>
      </c>
      <c r="L3026">
        <v>1722.0713200140699</v>
      </c>
      <c r="M3026">
        <v>32.220523083608697</v>
      </c>
      <c r="N3026">
        <v>54.377643726107699</v>
      </c>
      <c r="O3026">
        <v>53.241812209264999</v>
      </c>
      <c r="P3026">
        <v>-0.119213750212043</v>
      </c>
      <c r="Q3026">
        <v>0.212039716258734</v>
      </c>
      <c r="R3026">
        <v>0.99165041928975795</v>
      </c>
      <c r="S3026" t="s">
        <v>9672</v>
      </c>
      <c r="T3026" t="s">
        <v>13290</v>
      </c>
      <c r="U3026" t="s">
        <v>13290</v>
      </c>
      <c r="V3026" t="s">
        <v>13290</v>
      </c>
      <c r="W3026" t="s">
        <v>16274</v>
      </c>
      <c r="X3026">
        <v>4</v>
      </c>
      <c r="Y3026" t="s">
        <v>22802</v>
      </c>
      <c r="Z3026" t="s">
        <v>29356</v>
      </c>
      <c r="AA3026">
        <v>0.56968429058830472</v>
      </c>
      <c r="AB3026" t="str">
        <f>HYPERLINK("Melting_Curves/meltCurve_P62273_RPS29.pdf", "Melting_Curves/meltCurve_P62273_RPS29.pdf")</f>
        <v>Melting_Curves/meltCurve_P62273_RPS29.pdf</v>
      </c>
    </row>
    <row r="3027" spans="1:28" x14ac:dyDescent="0.25">
      <c r="A3027" t="s">
        <v>3031</v>
      </c>
      <c r="B3027">
        <v>0.99252571173614901</v>
      </c>
      <c r="C3027">
        <v>1.0638563443445499</v>
      </c>
      <c r="D3027">
        <v>1.0125620120243199</v>
      </c>
      <c r="E3027">
        <v>0.89331673255981103</v>
      </c>
      <c r="F3027">
        <v>0.600593276553399</v>
      </c>
      <c r="G3027">
        <v>0.30650222649726799</v>
      </c>
      <c r="H3027">
        <v>0.102911944396264</v>
      </c>
      <c r="I3027">
        <v>8.7090590819904598E-2</v>
      </c>
      <c r="J3027">
        <v>9.58756030194719E-2</v>
      </c>
      <c r="K3027">
        <v>9.2627911071624505E-2</v>
      </c>
      <c r="L3027">
        <v>1310.11068873505</v>
      </c>
      <c r="M3027">
        <v>24.3138566736699</v>
      </c>
      <c r="N3027">
        <v>54.258319177475002</v>
      </c>
      <c r="O3027">
        <v>53.522763623400103</v>
      </c>
      <c r="P3027">
        <v>-0.104785418044658</v>
      </c>
      <c r="Q3027">
        <v>7.7345762474616206E-2</v>
      </c>
      <c r="R3027">
        <v>0.99585555654977997</v>
      </c>
      <c r="S3027" t="s">
        <v>9673</v>
      </c>
      <c r="T3027" t="s">
        <v>13290</v>
      </c>
      <c r="U3027" t="s">
        <v>13290</v>
      </c>
      <c r="V3027" t="s">
        <v>13290</v>
      </c>
      <c r="W3027" t="s">
        <v>16275</v>
      </c>
      <c r="X3027">
        <v>7</v>
      </c>
      <c r="Y3027" t="s">
        <v>22803</v>
      </c>
      <c r="Z3027" t="s">
        <v>29357</v>
      </c>
      <c r="AA3027">
        <v>0.51330629101464198</v>
      </c>
      <c r="AB3027" t="str">
        <f>HYPERLINK("Melting_Curves/meltCurve_P62277_RPS13.pdf", "Melting_Curves/meltCurve_P62277_RPS13.pdf")</f>
        <v>Melting_Curves/meltCurve_P62277_RPS13.pdf</v>
      </c>
    </row>
    <row r="3028" spans="1:28" x14ac:dyDescent="0.25">
      <c r="A3028" t="s">
        <v>3032</v>
      </c>
      <c r="B3028">
        <v>0.99252571173614901</v>
      </c>
      <c r="C3028">
        <v>1.07677044823757</v>
      </c>
      <c r="D3028">
        <v>0.60307078119205704</v>
      </c>
      <c r="E3028">
        <v>0.90555622277309999</v>
      </c>
      <c r="F3028">
        <v>0.74705038277957203</v>
      </c>
      <c r="G3028">
        <v>0.34987926601682501</v>
      </c>
      <c r="H3028">
        <v>0.129790410162967</v>
      </c>
      <c r="I3028">
        <v>0.12392803514510101</v>
      </c>
      <c r="J3028">
        <v>0.161627250591871</v>
      </c>
      <c r="K3028">
        <v>0.17743691083341701</v>
      </c>
      <c r="S3028" t="s">
        <v>9674</v>
      </c>
      <c r="T3028" t="s">
        <v>13290</v>
      </c>
      <c r="U3028" t="s">
        <v>13291</v>
      </c>
      <c r="V3028" t="s">
        <v>13290</v>
      </c>
      <c r="W3028" t="s">
        <v>16276</v>
      </c>
      <c r="X3028">
        <v>11</v>
      </c>
      <c r="Y3028" t="s">
        <v>22804</v>
      </c>
      <c r="Z3028" t="s">
        <v>29358</v>
      </c>
      <c r="AB3028" t="str">
        <f>HYPERLINK("Melting_Curves/meltCurve_P62280_RPS11.pdf", "Melting_Curves/meltCurve_P62280_RPS11.pdf")</f>
        <v>Melting_Curves/meltCurve_P62280_RPS11.pdf</v>
      </c>
    </row>
    <row r="3029" spans="1:28" x14ac:dyDescent="0.25">
      <c r="A3029" t="s">
        <v>3033</v>
      </c>
      <c r="B3029">
        <v>0.99252571173614901</v>
      </c>
      <c r="C3029">
        <v>0.97875334647114198</v>
      </c>
      <c r="D3029">
        <v>1.10626823659395</v>
      </c>
      <c r="E3029">
        <v>1.1641908187521099</v>
      </c>
      <c r="F3029">
        <v>1.09525516359676</v>
      </c>
      <c r="G3029">
        <v>0.81631855263401698</v>
      </c>
      <c r="H3029">
        <v>0.761142238988742</v>
      </c>
      <c r="I3029">
        <v>0.97851982305204199</v>
      </c>
      <c r="J3029">
        <v>1.01821824326938</v>
      </c>
      <c r="K3029">
        <v>0.626200370009802</v>
      </c>
      <c r="L3029">
        <v>15000</v>
      </c>
      <c r="M3029">
        <v>213.769744871478</v>
      </c>
      <c r="Q3029">
        <v>0</v>
      </c>
      <c r="R3029">
        <v>0.45907525834238699</v>
      </c>
      <c r="S3029" t="s">
        <v>9675</v>
      </c>
      <c r="T3029" t="s">
        <v>13290</v>
      </c>
      <c r="U3029" t="s">
        <v>13290</v>
      </c>
      <c r="V3029" t="s">
        <v>13290</v>
      </c>
      <c r="W3029" t="s">
        <v>13336</v>
      </c>
      <c r="X3029">
        <v>4</v>
      </c>
      <c r="Y3029" t="s">
        <v>19921</v>
      </c>
      <c r="Z3029" t="s">
        <v>29359</v>
      </c>
      <c r="AA3029">
        <v>0.99495579890698249</v>
      </c>
      <c r="AB3029" t="str">
        <f>HYPERLINK("Melting_Curves/meltCurve_P62304_SNRPE.pdf", "Melting_Curves/meltCurve_P62304_SNRPE.pdf")</f>
        <v>Melting_Curves/meltCurve_P62304_SNRPE.pdf</v>
      </c>
    </row>
    <row r="3030" spans="1:28" x14ac:dyDescent="0.25">
      <c r="A3030" t="s">
        <v>3034</v>
      </c>
      <c r="B3030">
        <v>0.99252571173614901</v>
      </c>
      <c r="C3030">
        <v>0.95545085288242204</v>
      </c>
      <c r="D3030">
        <v>1.0787649765076599</v>
      </c>
      <c r="E3030">
        <v>1.14948498490773</v>
      </c>
      <c r="F3030">
        <v>1.03111280777508</v>
      </c>
      <c r="G3030">
        <v>0.77194189248064804</v>
      </c>
      <c r="H3030">
        <v>0.77519015288348403</v>
      </c>
      <c r="I3030">
        <v>1.07870317776446</v>
      </c>
      <c r="J3030">
        <v>1.27836547866235</v>
      </c>
      <c r="K3030">
        <v>0.88180706454774005</v>
      </c>
      <c r="S3030" t="s">
        <v>9676</v>
      </c>
      <c r="T3030" t="s">
        <v>13290</v>
      </c>
      <c r="U3030" t="s">
        <v>13291</v>
      </c>
      <c r="V3030" t="s">
        <v>13290</v>
      </c>
      <c r="W3030" t="s">
        <v>16277</v>
      </c>
      <c r="X3030">
        <v>2</v>
      </c>
      <c r="Y3030" t="s">
        <v>22805</v>
      </c>
      <c r="Z3030" t="s">
        <v>29360</v>
      </c>
      <c r="AB3030" t="str">
        <f>HYPERLINK("Melting_Curves/meltCurve_P62306_SNRPF.pdf", "Melting_Curves/meltCurve_P62306_SNRPF.pdf")</f>
        <v>Melting_Curves/meltCurve_P62306_SNRPF.pdf</v>
      </c>
    </row>
    <row r="3031" spans="1:28" x14ac:dyDescent="0.25">
      <c r="A3031" t="s">
        <v>3035</v>
      </c>
      <c r="B3031">
        <v>0.99252571173614901</v>
      </c>
      <c r="C3031">
        <v>0.98491549883173202</v>
      </c>
      <c r="D3031">
        <v>1.15634086013425</v>
      </c>
      <c r="E3031">
        <v>1.3634962229148</v>
      </c>
      <c r="F3031">
        <v>1.07558703095881</v>
      </c>
      <c r="G3031">
        <v>0.77690415712697203</v>
      </c>
      <c r="H3031">
        <v>0.717545971674034</v>
      </c>
      <c r="I3031">
        <v>1.03321744709078</v>
      </c>
      <c r="J3031">
        <v>1.1256116105793501</v>
      </c>
      <c r="K3031">
        <v>0.79666838892253999</v>
      </c>
      <c r="L3031">
        <v>3303.77863521171</v>
      </c>
      <c r="M3031">
        <v>60.341779500068498</v>
      </c>
      <c r="O3031">
        <v>54.691059759246599</v>
      </c>
      <c r="P3031">
        <v>-2.9468182176092102E-2</v>
      </c>
      <c r="Q3031">
        <v>0.89316553283163802</v>
      </c>
      <c r="R3031">
        <v>0.15674615141449399</v>
      </c>
      <c r="S3031" t="s">
        <v>9677</v>
      </c>
      <c r="T3031" t="s">
        <v>13290</v>
      </c>
      <c r="U3031" t="s">
        <v>13290</v>
      </c>
      <c r="V3031" t="s">
        <v>13290</v>
      </c>
      <c r="W3031" t="s">
        <v>16278</v>
      </c>
      <c r="X3031">
        <v>6</v>
      </c>
      <c r="Y3031" t="s">
        <v>22806</v>
      </c>
      <c r="Z3031" t="s">
        <v>29361</v>
      </c>
      <c r="AA3031">
        <v>0.94587321733814511</v>
      </c>
      <c r="AB3031" t="str">
        <f>HYPERLINK("Melting_Curves/meltCurve_P62308_SNRPG.pdf", "Melting_Curves/meltCurve_P62308_SNRPG.pdf")</f>
        <v>Melting_Curves/meltCurve_P62308_SNRPG.pdf</v>
      </c>
    </row>
    <row r="3032" spans="1:28" x14ac:dyDescent="0.25">
      <c r="A3032" t="s">
        <v>3036</v>
      </c>
      <c r="B3032">
        <v>0.99252571173614901</v>
      </c>
      <c r="C3032">
        <v>1.05702005764324</v>
      </c>
      <c r="D3032">
        <v>1.0744784449198601</v>
      </c>
      <c r="E3032">
        <v>1.12316955915876</v>
      </c>
      <c r="F3032">
        <v>1.0946230104335699</v>
      </c>
      <c r="G3032">
        <v>0.93749449527811601</v>
      </c>
      <c r="H3032">
        <v>0.86388776536036804</v>
      </c>
      <c r="I3032">
        <v>1.17579988934072</v>
      </c>
      <c r="J3032">
        <v>1.56773654930154</v>
      </c>
      <c r="K3032">
        <v>1.5952461187059299</v>
      </c>
      <c r="L3032">
        <v>15000</v>
      </c>
      <c r="M3032">
        <v>233.76306829279201</v>
      </c>
      <c r="O3032">
        <v>64.162839190489294</v>
      </c>
      <c r="P3032">
        <v>0.45540976666723898</v>
      </c>
      <c r="Q3032">
        <v>1.5</v>
      </c>
      <c r="R3032">
        <v>0.87286848022021302</v>
      </c>
      <c r="S3032" t="s">
        <v>9678</v>
      </c>
      <c r="T3032" t="s">
        <v>13290</v>
      </c>
      <c r="U3032" t="s">
        <v>13290</v>
      </c>
      <c r="V3032" t="s">
        <v>13290</v>
      </c>
      <c r="W3032" t="s">
        <v>16279</v>
      </c>
      <c r="X3032">
        <v>4</v>
      </c>
      <c r="Y3032" t="s">
        <v>22807</v>
      </c>
      <c r="Z3032" t="s">
        <v>29362</v>
      </c>
      <c r="AA3032">
        <v>1.09714333829828</v>
      </c>
      <c r="AB3032" t="str">
        <f>HYPERLINK("Melting_Curves/meltCurve_P62310_LSM3.pdf", "Melting_Curves/meltCurve_P62310_LSM3.pdf")</f>
        <v>Melting_Curves/meltCurve_P62310_LSM3.pdf</v>
      </c>
    </row>
    <row r="3033" spans="1:28" x14ac:dyDescent="0.25">
      <c r="A3033" t="s">
        <v>3037</v>
      </c>
      <c r="B3033">
        <v>0.99252571173614901</v>
      </c>
      <c r="C3033">
        <v>1.1443669635237701</v>
      </c>
      <c r="D3033">
        <v>1.26227492715273</v>
      </c>
      <c r="E3033">
        <v>1.4383642700286301</v>
      </c>
      <c r="F3033">
        <v>1.3928833495781401</v>
      </c>
      <c r="G3033">
        <v>1.30395172126286</v>
      </c>
      <c r="H3033">
        <v>1.39437022258229</v>
      </c>
      <c r="I3033">
        <v>1.90788746418453</v>
      </c>
      <c r="J3033">
        <v>2.6363005616530599</v>
      </c>
      <c r="K3033">
        <v>2.5679707436633001</v>
      </c>
      <c r="L3033">
        <v>912.248888355948</v>
      </c>
      <c r="M3033">
        <v>20.0127425228623</v>
      </c>
      <c r="O3033">
        <v>45.135591525090803</v>
      </c>
      <c r="P3033">
        <v>5.5425760080122101E-2</v>
      </c>
      <c r="Q3033">
        <v>1.5</v>
      </c>
      <c r="R3033">
        <v>0.112923038028937</v>
      </c>
      <c r="S3033" t="s">
        <v>9679</v>
      </c>
      <c r="T3033" t="s">
        <v>13290</v>
      </c>
      <c r="U3033" t="s">
        <v>13290</v>
      </c>
      <c r="V3033" t="s">
        <v>13290</v>
      </c>
      <c r="W3033" t="s">
        <v>16280</v>
      </c>
      <c r="X3033">
        <v>8</v>
      </c>
      <c r="Y3033" t="s">
        <v>22808</v>
      </c>
      <c r="Z3033" t="s">
        <v>29363</v>
      </c>
      <c r="AA3033">
        <v>1.3989684668851941</v>
      </c>
      <c r="AB3033" t="str">
        <f>HYPERLINK("Melting_Curves/meltCurve_P62312_LSM6.pdf", "Melting_Curves/meltCurve_P62312_LSM6.pdf")</f>
        <v>Melting_Curves/meltCurve_P62312_LSM6.pdf</v>
      </c>
    </row>
    <row r="3034" spans="1:28" x14ac:dyDescent="0.25">
      <c r="A3034" t="s">
        <v>3038</v>
      </c>
      <c r="B3034">
        <v>0.99252571173614901</v>
      </c>
      <c r="C3034">
        <v>1.0040873491762601</v>
      </c>
      <c r="D3034">
        <v>1.10807663693662</v>
      </c>
      <c r="E3034">
        <v>1.0779158252129899</v>
      </c>
      <c r="F3034">
        <v>1.04119135810041</v>
      </c>
      <c r="G3034">
        <v>0.82131536380111803</v>
      </c>
      <c r="H3034">
        <v>0.86736609591924696</v>
      </c>
      <c r="I3034">
        <v>1.04945549111446</v>
      </c>
      <c r="J3034">
        <v>1.2522468658661301</v>
      </c>
      <c r="K3034">
        <v>0.856541626282039</v>
      </c>
      <c r="L3034">
        <v>15000</v>
      </c>
      <c r="M3034">
        <v>212.49859034851801</v>
      </c>
      <c r="Q3034">
        <v>0</v>
      </c>
      <c r="R3034">
        <v>0.12933465008169201</v>
      </c>
      <c r="S3034" t="s">
        <v>9680</v>
      </c>
      <c r="T3034" t="s">
        <v>13290</v>
      </c>
      <c r="U3034" t="s">
        <v>13290</v>
      </c>
      <c r="V3034" t="s">
        <v>13290</v>
      </c>
      <c r="W3034" t="s">
        <v>16281</v>
      </c>
      <c r="X3034">
        <v>3</v>
      </c>
      <c r="Y3034" t="s">
        <v>22809</v>
      </c>
      <c r="Z3034" t="s">
        <v>29364</v>
      </c>
      <c r="AA3034">
        <v>0.99833036915977291</v>
      </c>
      <c r="AB3034" t="str">
        <f>HYPERLINK("Melting_Curves/meltCurve_P62314_SNRPD1.pdf", "Melting_Curves/meltCurve_P62314_SNRPD1.pdf")</f>
        <v>Melting_Curves/meltCurve_P62314_SNRPD1.pdf</v>
      </c>
    </row>
    <row r="3035" spans="1:28" x14ac:dyDescent="0.25">
      <c r="A3035" t="s">
        <v>3039</v>
      </c>
      <c r="B3035">
        <v>0.99252571173614901</v>
      </c>
      <c r="C3035">
        <v>0.99332761764664701</v>
      </c>
      <c r="D3035">
        <v>1.1085302104148</v>
      </c>
      <c r="E3035">
        <v>1.0924510275564401</v>
      </c>
      <c r="F3035">
        <v>1.07987855729118</v>
      </c>
      <c r="G3035">
        <v>0.78142646569673002</v>
      </c>
      <c r="H3035">
        <v>0.718646250413986</v>
      </c>
      <c r="I3035">
        <v>0.916673964631048</v>
      </c>
      <c r="J3035">
        <v>0.98814699958623198</v>
      </c>
      <c r="K3035">
        <v>0.63739534693036504</v>
      </c>
      <c r="L3035">
        <v>5909.0411040101299</v>
      </c>
      <c r="M3035">
        <v>107.091612543907</v>
      </c>
      <c r="O3035">
        <v>55.158215222308499</v>
      </c>
      <c r="P3035">
        <v>-9.3508633663444904E-2</v>
      </c>
      <c r="Q3035">
        <v>0.80735117297773196</v>
      </c>
      <c r="R3035">
        <v>0.55032561201403196</v>
      </c>
      <c r="S3035" t="s">
        <v>9681</v>
      </c>
      <c r="T3035" t="s">
        <v>13290</v>
      </c>
      <c r="U3035" t="s">
        <v>13290</v>
      </c>
      <c r="V3035" t="s">
        <v>13290</v>
      </c>
      <c r="W3035" t="s">
        <v>16282</v>
      </c>
      <c r="X3035">
        <v>16</v>
      </c>
      <c r="Y3035" t="s">
        <v>22810</v>
      </c>
      <c r="Z3035" t="s">
        <v>29365</v>
      </c>
      <c r="AA3035">
        <v>0.90491680982024214</v>
      </c>
      <c r="AB3035" t="str">
        <f>HYPERLINK("Melting_Curves/meltCurve_P62316_SNRPD2.pdf", "Melting_Curves/meltCurve_P62316_SNRPD2.pdf")</f>
        <v>Melting_Curves/meltCurve_P62316_SNRPD2.pdf</v>
      </c>
    </row>
    <row r="3036" spans="1:28" x14ac:dyDescent="0.25">
      <c r="A3036" t="s">
        <v>3040</v>
      </c>
      <c r="B3036">
        <v>0.99252571173614901</v>
      </c>
      <c r="C3036">
        <v>0.98633726673095101</v>
      </c>
      <c r="D3036">
        <v>0.73178043174530805</v>
      </c>
      <c r="E3036">
        <v>0.78963979857024702</v>
      </c>
      <c r="F3036">
        <v>0.35130960382091497</v>
      </c>
      <c r="G3036">
        <v>0.30866096875070598</v>
      </c>
      <c r="H3036">
        <v>0.18282670100848999</v>
      </c>
      <c r="I3036">
        <v>0.209609424400832</v>
      </c>
      <c r="J3036">
        <v>0.21826372253300999</v>
      </c>
      <c r="K3036">
        <v>0.26061909726173399</v>
      </c>
      <c r="L3036">
        <v>859.54658856203901</v>
      </c>
      <c r="M3036">
        <v>17.068341531117401</v>
      </c>
      <c r="N3036">
        <v>51.883313293203202</v>
      </c>
      <c r="O3036">
        <v>49.683107627918801</v>
      </c>
      <c r="P3036">
        <v>-6.8956440151257695E-2</v>
      </c>
      <c r="Q3036">
        <v>0.19716611749683599</v>
      </c>
      <c r="R3036">
        <v>0.94927494912511501</v>
      </c>
      <c r="S3036" t="s">
        <v>9682</v>
      </c>
      <c r="T3036" t="s">
        <v>13290</v>
      </c>
      <c r="U3036" t="s">
        <v>13290</v>
      </c>
      <c r="V3036" t="s">
        <v>13290</v>
      </c>
      <c r="W3036" t="s">
        <v>16283</v>
      </c>
      <c r="X3036">
        <v>3</v>
      </c>
      <c r="Y3036" t="s">
        <v>22811</v>
      </c>
      <c r="Z3036" t="s">
        <v>29366</v>
      </c>
      <c r="AA3036">
        <v>0.48942364070356481</v>
      </c>
      <c r="AB3036" t="str">
        <f>HYPERLINK("Melting_Curves/meltCurve_P62324_BTG1.pdf", "Melting_Curves/meltCurve_P62324_BTG1.pdf")</f>
        <v>Melting_Curves/meltCurve_P62324_BTG1.pdf</v>
      </c>
    </row>
    <row r="3037" spans="1:28" x14ac:dyDescent="0.25">
      <c r="A3037" t="s">
        <v>3041</v>
      </c>
      <c r="B3037">
        <v>0.99252571173614901</v>
      </c>
      <c r="C3037">
        <v>1.2747873091389701</v>
      </c>
      <c r="D3037">
        <v>0.99661924265103796</v>
      </c>
      <c r="E3037">
        <v>0.88487036678815301</v>
      </c>
      <c r="F3037">
        <v>0.924721981989444</v>
      </c>
      <c r="G3037">
        <v>0.92305464777175805</v>
      </c>
      <c r="H3037">
        <v>1.0294691040574899</v>
      </c>
      <c r="I3037">
        <v>1.4030040958349299</v>
      </c>
      <c r="J3037">
        <v>2.1577705373119902</v>
      </c>
      <c r="K3037">
        <v>2.3779538846357902</v>
      </c>
      <c r="L3037">
        <v>15000</v>
      </c>
      <c r="M3037">
        <v>235.79957889143199</v>
      </c>
      <c r="O3037">
        <v>63.608769067491302</v>
      </c>
      <c r="P3037">
        <v>0.463378677578761</v>
      </c>
      <c r="Q3037">
        <v>1.5</v>
      </c>
      <c r="R3037">
        <v>0.50274214813874896</v>
      </c>
      <c r="S3037" t="s">
        <v>9683</v>
      </c>
      <c r="T3037" t="s">
        <v>13290</v>
      </c>
      <c r="U3037" t="s">
        <v>13290</v>
      </c>
      <c r="V3037" t="s">
        <v>13290</v>
      </c>
      <c r="W3037" t="s">
        <v>16284</v>
      </c>
      <c r="X3037">
        <v>8</v>
      </c>
      <c r="Y3037" t="s">
        <v>22812</v>
      </c>
      <c r="Z3037" t="s">
        <v>29367</v>
      </c>
      <c r="AA3037">
        <v>1.1063814997383461</v>
      </c>
      <c r="AB3037" t="str">
        <f>HYPERLINK("Melting_Curves/meltCurve_P62328_TMSB4X.pdf", "Melting_Curves/meltCurve_P62328_TMSB4X.pdf")</f>
        <v>Melting_Curves/meltCurve_P62328_TMSB4X.pdf</v>
      </c>
    </row>
    <row r="3038" spans="1:28" x14ac:dyDescent="0.25">
      <c r="A3038" t="s">
        <v>3042</v>
      </c>
      <c r="B3038">
        <v>0.99252571173614901</v>
      </c>
      <c r="C3038">
        <v>1.0058805464542599</v>
      </c>
      <c r="D3038">
        <v>0.87355401546199796</v>
      </c>
      <c r="E3038">
        <v>0.64091807019321201</v>
      </c>
      <c r="F3038">
        <v>0.55536390202983199</v>
      </c>
      <c r="G3038">
        <v>0.34909170095582598</v>
      </c>
      <c r="H3038">
        <v>0.223431255672917</v>
      </c>
      <c r="I3038">
        <v>0.15831382209070799</v>
      </c>
      <c r="J3038">
        <v>0.12803392873993999</v>
      </c>
      <c r="K3038">
        <v>0.104341463295881</v>
      </c>
      <c r="L3038">
        <v>634.87030812409603</v>
      </c>
      <c r="M3038">
        <v>11.9979219156619</v>
      </c>
      <c r="N3038">
        <v>53.474256499057198</v>
      </c>
      <c r="O3038">
        <v>51.509310017127298</v>
      </c>
      <c r="P3038">
        <v>-5.4811634397638101E-2</v>
      </c>
      <c r="Q3038">
        <v>5.8960840904051799E-2</v>
      </c>
      <c r="R3038">
        <v>0.99141413016861002</v>
      </c>
      <c r="S3038" t="s">
        <v>9684</v>
      </c>
      <c r="T3038" t="s">
        <v>13290</v>
      </c>
      <c r="U3038" t="s">
        <v>13290</v>
      </c>
      <c r="V3038" t="s">
        <v>13290</v>
      </c>
      <c r="W3038" t="s">
        <v>16285</v>
      </c>
      <c r="X3038">
        <v>6</v>
      </c>
      <c r="Y3038" t="s">
        <v>22813</v>
      </c>
      <c r="Z3038" t="s">
        <v>29368</v>
      </c>
      <c r="AA3038">
        <v>0.49105381400421011</v>
      </c>
      <c r="AB3038" t="str">
        <f>HYPERLINK("Melting_Curves/meltCurve_P62330_ARF6.pdf", "Melting_Curves/meltCurve_P62330_ARF6.pdf")</f>
        <v>Melting_Curves/meltCurve_P62330_ARF6.pdf</v>
      </c>
    </row>
    <row r="3039" spans="1:28" x14ac:dyDescent="0.25">
      <c r="A3039" t="s">
        <v>3043</v>
      </c>
      <c r="B3039">
        <v>0.99252571173614901</v>
      </c>
      <c r="C3039">
        <v>0.91876437470415795</v>
      </c>
      <c r="D3039">
        <v>0.99258179086007303</v>
      </c>
      <c r="E3039">
        <v>0.91520030863436896</v>
      </c>
      <c r="F3039">
        <v>0.62049401035915397</v>
      </c>
      <c r="G3039">
        <v>0.23305125785568101</v>
      </c>
      <c r="H3039">
        <v>6.6257537574215306E-2</v>
      </c>
      <c r="I3039">
        <v>6.2596573221250507E-2</v>
      </c>
      <c r="J3039">
        <v>6.7806815392223996E-2</v>
      </c>
      <c r="K3039">
        <v>6.81085409355838E-2</v>
      </c>
      <c r="L3039">
        <v>1550.3119180127501</v>
      </c>
      <c r="M3039">
        <v>28.767945608299801</v>
      </c>
      <c r="N3039">
        <v>54.108952890453601</v>
      </c>
      <c r="O3039">
        <v>53.631876434610298</v>
      </c>
      <c r="P3039">
        <v>-0.12674010320066501</v>
      </c>
      <c r="Q3039">
        <v>5.4884752486722699E-2</v>
      </c>
      <c r="R3039">
        <v>0.99549342312547495</v>
      </c>
      <c r="S3039" t="s">
        <v>9685</v>
      </c>
      <c r="T3039" t="s">
        <v>13290</v>
      </c>
      <c r="U3039" t="s">
        <v>13290</v>
      </c>
      <c r="V3039" t="s">
        <v>13290</v>
      </c>
      <c r="W3039" t="s">
        <v>16286</v>
      </c>
      <c r="X3039">
        <v>31</v>
      </c>
      <c r="Y3039" t="s">
        <v>22814</v>
      </c>
      <c r="Z3039" t="s">
        <v>29369</v>
      </c>
      <c r="AA3039">
        <v>0.49920215232041809</v>
      </c>
      <c r="AB3039" t="str">
        <f>HYPERLINK("Melting_Curves/meltCurve_P62333_PSMC6.pdf", "Melting_Curves/meltCurve_P62333_PSMC6.pdf")</f>
        <v>Melting_Curves/meltCurve_P62333_PSMC6.pdf</v>
      </c>
    </row>
    <row r="3040" spans="1:28" x14ac:dyDescent="0.25">
      <c r="A3040" t="s">
        <v>3044</v>
      </c>
      <c r="B3040">
        <v>0.99252571173614901</v>
      </c>
      <c r="C3040">
        <v>0.90287829772428096</v>
      </c>
      <c r="D3040">
        <v>0.79327212967937599</v>
      </c>
      <c r="E3040">
        <v>0.61999603835128803</v>
      </c>
      <c r="F3040">
        <v>0.44713045852962402</v>
      </c>
      <c r="G3040">
        <v>0.31825760597872499</v>
      </c>
      <c r="H3040">
        <v>0.241590985937643</v>
      </c>
      <c r="I3040">
        <v>0.26845505180986101</v>
      </c>
      <c r="J3040">
        <v>0.22327283182792201</v>
      </c>
      <c r="K3040">
        <v>0.15956039753739601</v>
      </c>
      <c r="L3040">
        <v>629.54695083469096</v>
      </c>
      <c r="M3040">
        <v>12.553724774068501</v>
      </c>
      <c r="N3040">
        <v>51.919050704329401</v>
      </c>
      <c r="O3040">
        <v>48.926739468586497</v>
      </c>
      <c r="P3040">
        <v>-5.2985208535112897E-2</v>
      </c>
      <c r="Q3040">
        <v>0.17415140602492099</v>
      </c>
      <c r="R3040">
        <v>0.99459557688483802</v>
      </c>
      <c r="S3040" t="s">
        <v>9686</v>
      </c>
      <c r="T3040" t="s">
        <v>13290</v>
      </c>
      <c r="U3040" t="s">
        <v>13290</v>
      </c>
      <c r="V3040" t="s">
        <v>13290</v>
      </c>
      <c r="W3040" t="s">
        <v>16287</v>
      </c>
      <c r="X3040">
        <v>1</v>
      </c>
      <c r="Y3040" t="s">
        <v>22815</v>
      </c>
      <c r="Z3040" t="s">
        <v>29370</v>
      </c>
      <c r="AA3040">
        <v>0.47992076850554521</v>
      </c>
      <c r="AB3040" t="str">
        <f>HYPERLINK("Melting_Curves/meltCurve_P62341_SELT.pdf", "Melting_Curves/meltCurve_P62341_SELT.pdf")</f>
        <v>Melting_Curves/meltCurve_P62341_SELT.pdf</v>
      </c>
    </row>
    <row r="3041" spans="1:28" x14ac:dyDescent="0.25">
      <c r="A3041" t="s">
        <v>3045</v>
      </c>
      <c r="B3041">
        <v>0.99252571173614901</v>
      </c>
      <c r="C3041">
        <v>1.03488649387244</v>
      </c>
      <c r="D3041">
        <v>0.74351643484787799</v>
      </c>
      <c r="E3041">
        <v>0.34349344988916902</v>
      </c>
      <c r="F3041">
        <v>0.15765688677892201</v>
      </c>
      <c r="G3041">
        <v>8.8397392810204298E-2</v>
      </c>
      <c r="H3041">
        <v>7.5051694718388906E-2</v>
      </c>
      <c r="I3041">
        <v>8.30732572043721E-2</v>
      </c>
      <c r="J3041">
        <v>0.119823930688627</v>
      </c>
      <c r="K3041">
        <v>0.121151152136767</v>
      </c>
      <c r="L3041">
        <v>1349.08932658296</v>
      </c>
      <c r="M3041">
        <v>28.250035061267301</v>
      </c>
      <c r="N3041">
        <v>48.127465657412998</v>
      </c>
      <c r="O3041">
        <v>47.517959630611799</v>
      </c>
      <c r="P3041">
        <v>-0.13404637569157599</v>
      </c>
      <c r="Q3041">
        <v>9.8117237204747604E-2</v>
      </c>
      <c r="R3041">
        <v>0.994056054663642</v>
      </c>
      <c r="S3041" t="s">
        <v>9687</v>
      </c>
      <c r="T3041" t="s">
        <v>13290</v>
      </c>
      <c r="U3041" t="s">
        <v>13290</v>
      </c>
      <c r="V3041" t="s">
        <v>13290</v>
      </c>
      <c r="W3041" t="s">
        <v>16288</v>
      </c>
      <c r="X3041">
        <v>5</v>
      </c>
      <c r="Y3041" t="s">
        <v>22816</v>
      </c>
      <c r="Z3041" t="s">
        <v>29371</v>
      </c>
      <c r="AA3041">
        <v>0.33741355521971528</v>
      </c>
      <c r="AB3041" t="str">
        <f>HYPERLINK("Melting_Curves/meltCurve_P62380_TBPL1.pdf", "Melting_Curves/meltCurve_P62380_TBPL1.pdf")</f>
        <v>Melting_Curves/meltCurve_P62380_TBPL1.pdf</v>
      </c>
    </row>
    <row r="3042" spans="1:28" x14ac:dyDescent="0.25">
      <c r="A3042" t="s">
        <v>3046</v>
      </c>
      <c r="B3042">
        <v>0.99252571173614901</v>
      </c>
      <c r="C3042">
        <v>0.99003125316432605</v>
      </c>
      <c r="D3042">
        <v>0.96173505449556296</v>
      </c>
      <c r="E3042">
        <v>0.91311358419823996</v>
      </c>
      <c r="F3042">
        <v>0.613989423018657</v>
      </c>
      <c r="G3042">
        <v>0.44494808349764597</v>
      </c>
      <c r="H3042">
        <v>0.29976476735317598</v>
      </c>
      <c r="I3042">
        <v>0.25679590162242899</v>
      </c>
      <c r="J3042">
        <v>0.30352940458698102</v>
      </c>
      <c r="K3042">
        <v>0.30935853045170197</v>
      </c>
      <c r="L3042">
        <v>1265.93621698829</v>
      </c>
      <c r="M3042">
        <v>23.816064094768599</v>
      </c>
      <c r="N3042">
        <v>55.094170916773102</v>
      </c>
      <c r="O3042">
        <v>52.784213448458601</v>
      </c>
      <c r="P3042">
        <v>-8.0788582240654605E-2</v>
      </c>
      <c r="Q3042">
        <v>0.28379563927370199</v>
      </c>
      <c r="R3042">
        <v>0.99420571610617903</v>
      </c>
      <c r="S3042" t="s">
        <v>9688</v>
      </c>
      <c r="T3042" t="s">
        <v>13290</v>
      </c>
      <c r="U3042" t="s">
        <v>13290</v>
      </c>
      <c r="V3042" t="s">
        <v>13290</v>
      </c>
      <c r="W3042" t="s">
        <v>16289</v>
      </c>
      <c r="X3042">
        <v>11</v>
      </c>
      <c r="Y3042" t="s">
        <v>22817</v>
      </c>
      <c r="Z3042" t="s">
        <v>29372</v>
      </c>
      <c r="AA3042">
        <v>0.60506697426955003</v>
      </c>
      <c r="AB3042" t="str">
        <f>HYPERLINK("Melting_Curves/meltCurve_P62424_RPL7A.pdf", "Melting_Curves/meltCurve_P62424_RPL7A.pdf")</f>
        <v>Melting_Curves/meltCurve_P62424_RPL7A.pdf</v>
      </c>
    </row>
    <row r="3043" spans="1:28" x14ac:dyDescent="0.25">
      <c r="A3043" t="s">
        <v>3047</v>
      </c>
      <c r="B3043">
        <v>0.99252571173614901</v>
      </c>
      <c r="C3043">
        <v>1.06690956556283</v>
      </c>
      <c r="D3043">
        <v>1.0678034200181401</v>
      </c>
      <c r="E3043">
        <v>1.0559583594425901</v>
      </c>
      <c r="F3043">
        <v>1.39925841895651</v>
      </c>
      <c r="G3043">
        <v>1.3223457555734699</v>
      </c>
      <c r="H3043">
        <v>1.2227731134334801</v>
      </c>
      <c r="I3043">
        <v>0.81433845542962202</v>
      </c>
      <c r="J3043">
        <v>0.202420507250757</v>
      </c>
      <c r="K3043">
        <v>0.18956870666228101</v>
      </c>
      <c r="L3043">
        <v>12848.4692758439</v>
      </c>
      <c r="M3043">
        <v>199.55385852425999</v>
      </c>
      <c r="N3043">
        <v>64.5467761576638</v>
      </c>
      <c r="O3043">
        <v>64.379510992362896</v>
      </c>
      <c r="P3043">
        <v>-0.62313287754465696</v>
      </c>
      <c r="Q3043">
        <v>0.195866475668626</v>
      </c>
      <c r="R3043">
        <v>0.797737815893791</v>
      </c>
      <c r="S3043" t="s">
        <v>9689</v>
      </c>
      <c r="T3043" t="s">
        <v>13290</v>
      </c>
      <c r="U3043" t="s">
        <v>13290</v>
      </c>
      <c r="V3043" t="s">
        <v>13290</v>
      </c>
      <c r="W3043" t="s">
        <v>16290</v>
      </c>
      <c r="X3043">
        <v>6</v>
      </c>
      <c r="Y3043" t="s">
        <v>22818</v>
      </c>
      <c r="Z3043" t="s">
        <v>29373</v>
      </c>
      <c r="AA3043">
        <v>0.84966170749970926</v>
      </c>
      <c r="AB3043" t="str">
        <f>HYPERLINK("Melting_Curves/meltCurve_P62487_POLR2G.pdf", "Melting_Curves/meltCurve_P62487_POLR2G.pdf")</f>
        <v>Melting_Curves/meltCurve_P62487_POLR2G.pdf</v>
      </c>
    </row>
    <row r="3044" spans="1:28" x14ac:dyDescent="0.25">
      <c r="A3044" t="s">
        <v>3048</v>
      </c>
      <c r="B3044">
        <v>0.99252571173614901</v>
      </c>
      <c r="C3044">
        <v>1.0041904092095399</v>
      </c>
      <c r="D3044">
        <v>0.90375629756105902</v>
      </c>
      <c r="E3044">
        <v>0.68614467374513699</v>
      </c>
      <c r="F3044">
        <v>0.17563867189551699</v>
      </c>
      <c r="G3044">
        <v>8.8000467894607595E-2</v>
      </c>
      <c r="H3044">
        <v>5.3521826564977899E-2</v>
      </c>
      <c r="I3044">
        <v>4.37938053995292E-2</v>
      </c>
      <c r="J3044">
        <v>4.5913461476098698E-2</v>
      </c>
      <c r="K3044">
        <v>4.2534721438844798E-2</v>
      </c>
      <c r="L3044">
        <v>1649.3870544399699</v>
      </c>
      <c r="M3044">
        <v>32.644660975991002</v>
      </c>
      <c r="N3044">
        <v>50.673699863690203</v>
      </c>
      <c r="O3044">
        <v>50.337013800765803</v>
      </c>
      <c r="P3044">
        <v>-0.15474906418106801</v>
      </c>
      <c r="Q3044">
        <v>4.5532309145774101E-2</v>
      </c>
      <c r="R3044">
        <v>0.99702010126683904</v>
      </c>
      <c r="S3044" t="s">
        <v>9690</v>
      </c>
      <c r="T3044" t="s">
        <v>13290</v>
      </c>
      <c r="U3044" t="s">
        <v>13290</v>
      </c>
      <c r="V3044" t="s">
        <v>13290</v>
      </c>
      <c r="W3044" t="s">
        <v>16291</v>
      </c>
      <c r="X3044">
        <v>12</v>
      </c>
      <c r="Y3044" t="s">
        <v>22819</v>
      </c>
      <c r="Z3044" t="s">
        <v>29374</v>
      </c>
      <c r="AA3044">
        <v>0.38542911864109192</v>
      </c>
      <c r="AB3044" t="str">
        <f>HYPERLINK("Melting_Curves/meltCurve_P62495_ETF1.pdf", "Melting_Curves/meltCurve_P62495_ETF1.pdf")</f>
        <v>Melting_Curves/meltCurve_P62495_ETF1.pdf</v>
      </c>
    </row>
    <row r="3045" spans="1:28" x14ac:dyDescent="0.25">
      <c r="A3045" t="s">
        <v>3049</v>
      </c>
      <c r="B3045">
        <v>0.99252571173614901</v>
      </c>
      <c r="C3045">
        <v>1.0623811065656199</v>
      </c>
      <c r="D3045">
        <v>0.98160927208819404</v>
      </c>
      <c r="E3045">
        <v>0.86692899333692197</v>
      </c>
      <c r="F3045">
        <v>0.761387273119848</v>
      </c>
      <c r="G3045">
        <v>0.65124033380202895</v>
      </c>
      <c r="H3045">
        <v>0.72034707581624902</v>
      </c>
      <c r="I3045">
        <v>1.10697507913153</v>
      </c>
      <c r="J3045">
        <v>1.7719402974495699</v>
      </c>
      <c r="K3045">
        <v>1.8782680021190501</v>
      </c>
      <c r="L3045">
        <v>15000</v>
      </c>
      <c r="M3045">
        <v>233.07509718665801</v>
      </c>
      <c r="O3045">
        <v>64.352199124382494</v>
      </c>
      <c r="P3045">
        <v>0.452733340243958</v>
      </c>
      <c r="Q3045">
        <v>1.5</v>
      </c>
      <c r="R3045">
        <v>0.68903502826979102</v>
      </c>
      <c r="S3045" t="s">
        <v>9691</v>
      </c>
      <c r="T3045" t="s">
        <v>13290</v>
      </c>
      <c r="U3045" t="s">
        <v>13290</v>
      </c>
      <c r="V3045" t="s">
        <v>13290</v>
      </c>
      <c r="W3045" t="s">
        <v>16292</v>
      </c>
      <c r="X3045">
        <v>15</v>
      </c>
      <c r="Y3045" t="s">
        <v>22820</v>
      </c>
      <c r="Z3045" t="s">
        <v>29375</v>
      </c>
      <c r="AA3045">
        <v>1.0939860289982759</v>
      </c>
      <c r="AB3045" t="str">
        <f>HYPERLINK("Melting_Curves/meltCurve_P62633_2_CNBP.pdf", "Melting_Curves/meltCurve_P62633_2_CNBP.pdf")</f>
        <v>Melting_Curves/meltCurve_P62633_2_CNBP.pdf</v>
      </c>
    </row>
    <row r="3046" spans="1:28" x14ac:dyDescent="0.25">
      <c r="A3046" t="s">
        <v>3050</v>
      </c>
      <c r="B3046">
        <v>0.99252571173614901</v>
      </c>
      <c r="C3046">
        <v>1.10765240007046</v>
      </c>
      <c r="D3046">
        <v>1.0076274257733999</v>
      </c>
      <c r="E3046">
        <v>0.98511400050934605</v>
      </c>
      <c r="F3046">
        <v>0.846973454332968</v>
      </c>
      <c r="G3046">
        <v>0.71390314816080103</v>
      </c>
      <c r="H3046">
        <v>0.74745362839875995</v>
      </c>
      <c r="I3046">
        <v>1.1085548615654901</v>
      </c>
      <c r="J3046">
        <v>1.6938506509067901</v>
      </c>
      <c r="K3046">
        <v>1.7627437367155701</v>
      </c>
      <c r="L3046">
        <v>15000</v>
      </c>
      <c r="M3046">
        <v>233.093347340436</v>
      </c>
      <c r="O3046">
        <v>64.347164966551304</v>
      </c>
      <c r="P3046">
        <v>0.452804237300101</v>
      </c>
      <c r="Q3046">
        <v>1.5</v>
      </c>
      <c r="R3046">
        <v>0.75261779617394997</v>
      </c>
      <c r="S3046" t="s">
        <v>9692</v>
      </c>
      <c r="T3046" t="s">
        <v>13290</v>
      </c>
      <c r="U3046" t="s">
        <v>13290</v>
      </c>
      <c r="V3046" t="s">
        <v>13290</v>
      </c>
      <c r="W3046" t="s">
        <v>16293</v>
      </c>
      <c r="X3046">
        <v>15</v>
      </c>
      <c r="Y3046" t="s">
        <v>22820</v>
      </c>
      <c r="Z3046" t="s">
        <v>29376</v>
      </c>
      <c r="AA3046">
        <v>1.0940700252107891</v>
      </c>
      <c r="AB3046" t="str">
        <f>HYPERLINK("Melting_Curves/meltCurve_P62633_4_CNBP.pdf", "Melting_Curves/meltCurve_P62633_4_CNBP.pdf")</f>
        <v>Melting_Curves/meltCurve_P62633_4_CNBP.pdf</v>
      </c>
    </row>
    <row r="3047" spans="1:28" x14ac:dyDescent="0.25">
      <c r="A3047" t="s">
        <v>3051</v>
      </c>
      <c r="B3047">
        <v>0.99252571173614901</v>
      </c>
      <c r="C3047">
        <v>1.0375283406245599</v>
      </c>
      <c r="D3047">
        <v>0.92421051500636597</v>
      </c>
      <c r="E3047">
        <v>0.87864004194075995</v>
      </c>
      <c r="F3047">
        <v>0.72845761815958299</v>
      </c>
      <c r="G3047">
        <v>0.47548573049804799</v>
      </c>
      <c r="H3047">
        <v>0.51318202389964196</v>
      </c>
      <c r="I3047">
        <v>0.68190542494422202</v>
      </c>
      <c r="J3047">
        <v>1.0648101075190499</v>
      </c>
      <c r="K3047">
        <v>1.2366164234736501</v>
      </c>
      <c r="L3047">
        <v>1671.5260462548899</v>
      </c>
      <c r="M3047">
        <v>34.981200132149397</v>
      </c>
      <c r="O3047">
        <v>47.628226208707602</v>
      </c>
      <c r="P3047">
        <v>-3.8988470954824897E-2</v>
      </c>
      <c r="Q3047">
        <v>0.787663744363862</v>
      </c>
      <c r="R3047">
        <v>0.14812687197076699</v>
      </c>
      <c r="S3047" t="s">
        <v>9693</v>
      </c>
      <c r="T3047" t="s">
        <v>13290</v>
      </c>
      <c r="U3047" t="s">
        <v>13290</v>
      </c>
      <c r="V3047" t="s">
        <v>13290</v>
      </c>
      <c r="W3047" t="s">
        <v>16294</v>
      </c>
      <c r="X3047">
        <v>14</v>
      </c>
      <c r="Y3047" t="s">
        <v>22820</v>
      </c>
      <c r="Z3047" t="s">
        <v>29377</v>
      </c>
      <c r="AA3047">
        <v>0.84368138265419057</v>
      </c>
      <c r="AB3047" t="str">
        <f>HYPERLINK("Melting_Curves/meltCurve_P62633_5_CNBP.pdf", "Melting_Curves/meltCurve_P62633_5_CNBP.pdf")</f>
        <v>Melting_Curves/meltCurve_P62633_5_CNBP.pdf</v>
      </c>
    </row>
    <row r="3048" spans="1:28" x14ac:dyDescent="0.25">
      <c r="A3048" t="s">
        <v>3052</v>
      </c>
      <c r="B3048">
        <v>0.99252571173614901</v>
      </c>
      <c r="C3048">
        <v>1.0656424326943501</v>
      </c>
      <c r="D3048">
        <v>1.0023264985427101</v>
      </c>
      <c r="E3048">
        <v>0.84670680058025005</v>
      </c>
      <c r="F3048">
        <v>0.58030376537421202</v>
      </c>
      <c r="G3048">
        <v>0.28778863488546502</v>
      </c>
      <c r="H3048">
        <v>0.11837020113993101</v>
      </c>
      <c r="I3048">
        <v>0.109981903404915</v>
      </c>
      <c r="J3048">
        <v>0.117894435862808</v>
      </c>
      <c r="K3048">
        <v>0.13239858761522799</v>
      </c>
      <c r="L3048">
        <v>1262.42049070966</v>
      </c>
      <c r="M3048">
        <v>23.650589768100701</v>
      </c>
      <c r="N3048">
        <v>53.909106642919397</v>
      </c>
      <c r="O3048">
        <v>53.000745236576499</v>
      </c>
      <c r="P3048">
        <v>-9.9965403134816E-2</v>
      </c>
      <c r="Q3048">
        <v>0.103928979644468</v>
      </c>
      <c r="R3048">
        <v>0.99485663855785</v>
      </c>
      <c r="S3048" t="s">
        <v>9694</v>
      </c>
      <c r="T3048" t="s">
        <v>13290</v>
      </c>
      <c r="U3048" t="s">
        <v>13290</v>
      </c>
      <c r="V3048" t="s">
        <v>13290</v>
      </c>
      <c r="W3048" t="s">
        <v>16295</v>
      </c>
      <c r="X3048">
        <v>20</v>
      </c>
      <c r="Y3048" t="s">
        <v>22821</v>
      </c>
      <c r="Z3048" t="s">
        <v>29378</v>
      </c>
      <c r="AA3048">
        <v>0.51267445749656859</v>
      </c>
      <c r="AB3048" t="str">
        <f>HYPERLINK("Melting_Curves/meltCurve_P62701_RPS4X.pdf", "Melting_Curves/meltCurve_P62701_RPS4X.pdf")</f>
        <v>Melting_Curves/meltCurve_P62701_RPS4X.pdf</v>
      </c>
    </row>
    <row r="3049" spans="1:28" x14ac:dyDescent="0.25">
      <c r="A3049" t="s">
        <v>3053</v>
      </c>
      <c r="B3049">
        <v>0.99252571173614901</v>
      </c>
      <c r="C3049">
        <v>0.96045850128030796</v>
      </c>
      <c r="D3049">
        <v>0.97936763812892302</v>
      </c>
      <c r="E3049">
        <v>0.83468420468401905</v>
      </c>
      <c r="F3049">
        <v>0.78851688968405198</v>
      </c>
      <c r="G3049">
        <v>0.56026977015000001</v>
      </c>
      <c r="H3049">
        <v>0.31123493595724699</v>
      </c>
      <c r="I3049">
        <v>0.11838544450224001</v>
      </c>
      <c r="J3049">
        <v>9.73510575342902E-2</v>
      </c>
      <c r="K3049">
        <v>0.10483695650075001</v>
      </c>
      <c r="L3049">
        <v>840.94169892880302</v>
      </c>
      <c r="M3049">
        <v>14.6642463570247</v>
      </c>
      <c r="N3049">
        <v>57.346397433949797</v>
      </c>
      <c r="O3049">
        <v>56.311619097641398</v>
      </c>
      <c r="P3049">
        <v>-6.5110297918571397E-2</v>
      </c>
      <c r="Q3049">
        <v>0</v>
      </c>
      <c r="R3049">
        <v>0.98993811218826699</v>
      </c>
      <c r="S3049" t="s">
        <v>9695</v>
      </c>
      <c r="T3049" t="s">
        <v>13290</v>
      </c>
      <c r="U3049" t="s">
        <v>13290</v>
      </c>
      <c r="V3049" t="s">
        <v>13290</v>
      </c>
      <c r="W3049" t="s">
        <v>16296</v>
      </c>
      <c r="X3049">
        <v>20</v>
      </c>
      <c r="Y3049" t="s">
        <v>22822</v>
      </c>
      <c r="Z3049" t="s">
        <v>29379</v>
      </c>
      <c r="AA3049">
        <v>0.59340683528167504</v>
      </c>
      <c r="AB3049" t="str">
        <f>HYPERLINK("Melting_Curves/meltCurve_P62714_PPP2CB.pdf", "Melting_Curves/meltCurve_P62714_PPP2CB.pdf")</f>
        <v>Melting_Curves/meltCurve_P62714_PPP2CB.pdf</v>
      </c>
    </row>
    <row r="3050" spans="1:28" x14ac:dyDescent="0.25">
      <c r="A3050" t="s">
        <v>3054</v>
      </c>
      <c r="B3050">
        <v>0.99252571173614901</v>
      </c>
      <c r="C3050">
        <v>0.98342971092180798</v>
      </c>
      <c r="D3050">
        <v>0.92032494636734596</v>
      </c>
      <c r="E3050">
        <v>0.90963734612255498</v>
      </c>
      <c r="F3050">
        <v>0.65167058839865899</v>
      </c>
      <c r="G3050">
        <v>0.583450458539293</v>
      </c>
      <c r="H3050">
        <v>0.49614592911265698</v>
      </c>
      <c r="I3050">
        <v>0.51116842964365306</v>
      </c>
      <c r="J3050">
        <v>0.40192500704888501</v>
      </c>
      <c r="K3050">
        <v>0.29013120347114801</v>
      </c>
      <c r="L3050">
        <v>567.79429380669001</v>
      </c>
      <c r="M3050">
        <v>10.179382815191699</v>
      </c>
      <c r="N3050">
        <v>60.504845600764099</v>
      </c>
      <c r="O3050">
        <v>53.7546583953377</v>
      </c>
      <c r="P3050">
        <v>-3.43747804400166E-2</v>
      </c>
      <c r="Q3050">
        <v>0.27423288997335799</v>
      </c>
      <c r="R3050">
        <v>0.96301086203804098</v>
      </c>
      <c r="S3050" t="s">
        <v>9696</v>
      </c>
      <c r="T3050" t="s">
        <v>13290</v>
      </c>
      <c r="U3050" t="s">
        <v>13290</v>
      </c>
      <c r="V3050" t="s">
        <v>13290</v>
      </c>
      <c r="W3050" t="s">
        <v>16297</v>
      </c>
      <c r="X3050">
        <v>8</v>
      </c>
      <c r="Y3050" t="s">
        <v>22823</v>
      </c>
      <c r="Z3050" t="s">
        <v>29380</v>
      </c>
      <c r="AA3050">
        <v>0.67203706909524741</v>
      </c>
      <c r="AB3050" t="str">
        <f>HYPERLINK("Melting_Curves/meltCurve_P62745_RHOB.pdf", "Melting_Curves/meltCurve_P62745_RHOB.pdf")</f>
        <v>Melting_Curves/meltCurve_P62745_RHOB.pdf</v>
      </c>
    </row>
    <row r="3051" spans="1:28" x14ac:dyDescent="0.25">
      <c r="A3051" t="s">
        <v>3055</v>
      </c>
      <c r="B3051">
        <v>0.99252571173614901</v>
      </c>
      <c r="C3051">
        <v>0.96025142411315501</v>
      </c>
      <c r="D3051">
        <v>0.93055790975984898</v>
      </c>
      <c r="E3051">
        <v>0.89382721249794195</v>
      </c>
      <c r="F3051">
        <v>0.56247790574775103</v>
      </c>
      <c r="G3051">
        <v>0.29479615844625401</v>
      </c>
      <c r="H3051">
        <v>0.16789926077489101</v>
      </c>
      <c r="I3051">
        <v>0.16364986637962101</v>
      </c>
      <c r="J3051">
        <v>0.18361854523179599</v>
      </c>
      <c r="K3051">
        <v>0.19677264405216899</v>
      </c>
      <c r="L3051">
        <v>1405.5223546244099</v>
      </c>
      <c r="M3051">
        <v>26.5272478960601</v>
      </c>
      <c r="N3051">
        <v>53.825011398343698</v>
      </c>
      <c r="O3051">
        <v>52.685746038789297</v>
      </c>
      <c r="P3051">
        <v>-0.10452208919658</v>
      </c>
      <c r="Q3051">
        <v>0.16964387020449601</v>
      </c>
      <c r="R3051">
        <v>0.99480697468063795</v>
      </c>
      <c r="S3051" t="s">
        <v>9697</v>
      </c>
      <c r="T3051" t="s">
        <v>13290</v>
      </c>
      <c r="U3051" t="s">
        <v>13290</v>
      </c>
      <c r="V3051" t="s">
        <v>13290</v>
      </c>
      <c r="W3051" t="s">
        <v>16298</v>
      </c>
      <c r="X3051">
        <v>8</v>
      </c>
      <c r="Y3051" t="s">
        <v>22824</v>
      </c>
      <c r="Z3051" t="s">
        <v>29381</v>
      </c>
      <c r="AA3051">
        <v>0.53585680770663535</v>
      </c>
      <c r="AB3051" t="str">
        <f>HYPERLINK("Melting_Curves/meltCurve_P62750_RPL23A.pdf", "Melting_Curves/meltCurve_P62750_RPL23A.pdf")</f>
        <v>Melting_Curves/meltCurve_P62750_RPL23A.pdf</v>
      </c>
    </row>
    <row r="3052" spans="1:28" x14ac:dyDescent="0.25">
      <c r="A3052" t="s">
        <v>3056</v>
      </c>
      <c r="B3052">
        <v>0.99252571173614901</v>
      </c>
      <c r="C3052">
        <v>1.00538967883094</v>
      </c>
      <c r="D3052">
        <v>0.95966831314414502</v>
      </c>
      <c r="E3052">
        <v>0.81263371368801296</v>
      </c>
      <c r="F3052">
        <v>0.38010375299817001</v>
      </c>
      <c r="G3052">
        <v>0.20459055602027501</v>
      </c>
      <c r="H3052">
        <v>0.112901776588699</v>
      </c>
      <c r="I3052">
        <v>0.119239664958289</v>
      </c>
      <c r="J3052">
        <v>0.15008876133624</v>
      </c>
      <c r="K3052">
        <v>0.16239030783644601</v>
      </c>
      <c r="L3052">
        <v>1565.9740591710499</v>
      </c>
      <c r="M3052">
        <v>30.3329914829988</v>
      </c>
      <c r="N3052">
        <v>52.173580945948103</v>
      </c>
      <c r="O3052">
        <v>51.403276105012402</v>
      </c>
      <c r="P3052">
        <v>-0.12741746518955599</v>
      </c>
      <c r="Q3052">
        <v>0.13630226532988099</v>
      </c>
      <c r="R3052">
        <v>0.99783311917244599</v>
      </c>
      <c r="S3052" t="s">
        <v>9698</v>
      </c>
      <c r="T3052" t="s">
        <v>13290</v>
      </c>
      <c r="U3052" t="s">
        <v>13290</v>
      </c>
      <c r="V3052" t="s">
        <v>13290</v>
      </c>
      <c r="W3052" t="s">
        <v>16299</v>
      </c>
      <c r="X3052">
        <v>14</v>
      </c>
      <c r="Y3052" t="s">
        <v>22825</v>
      </c>
      <c r="Z3052" t="s">
        <v>29382</v>
      </c>
      <c r="AA3052">
        <v>0.47638345745981481</v>
      </c>
      <c r="AB3052" t="str">
        <f>HYPERLINK("Melting_Curves/meltCurve_P62753_RPS6.pdf", "Melting_Curves/meltCurve_P62753_RPS6.pdf")</f>
        <v>Melting_Curves/meltCurve_P62753_RPS6.pdf</v>
      </c>
    </row>
    <row r="3053" spans="1:28" x14ac:dyDescent="0.25">
      <c r="A3053" t="s">
        <v>3057</v>
      </c>
      <c r="B3053">
        <v>0.99252571173614901</v>
      </c>
      <c r="C3053">
        <v>0.92700009967326402</v>
      </c>
      <c r="D3053">
        <v>0.88880982036041001</v>
      </c>
      <c r="E3053">
        <v>0.70776303138611596</v>
      </c>
      <c r="F3053">
        <v>0.359091255788832</v>
      </c>
      <c r="G3053">
        <v>0.17398376135063501</v>
      </c>
      <c r="H3053">
        <v>0.118914072820272</v>
      </c>
      <c r="I3053">
        <v>0.1161180047906</v>
      </c>
      <c r="J3053">
        <v>0.12958675856316501</v>
      </c>
      <c r="K3053">
        <v>0.11595907815114501</v>
      </c>
      <c r="L3053">
        <v>1081.6682902391599</v>
      </c>
      <c r="M3053">
        <v>21.226348891548199</v>
      </c>
      <c r="N3053">
        <v>51.526603615678297</v>
      </c>
      <c r="O3053">
        <v>50.512929982295198</v>
      </c>
      <c r="P3053">
        <v>-9.4100445307537597E-2</v>
      </c>
      <c r="Q3053">
        <v>0.104289302258911</v>
      </c>
      <c r="R3053">
        <v>0.99537101803054795</v>
      </c>
      <c r="S3053" t="s">
        <v>9699</v>
      </c>
      <c r="T3053" t="s">
        <v>13290</v>
      </c>
      <c r="U3053" t="s">
        <v>13290</v>
      </c>
      <c r="V3053" t="s">
        <v>13290</v>
      </c>
      <c r="W3053" t="s">
        <v>16300</v>
      </c>
      <c r="X3053">
        <v>17</v>
      </c>
      <c r="Y3053" t="s">
        <v>22826</v>
      </c>
      <c r="Z3053" t="s">
        <v>29383</v>
      </c>
      <c r="AA3053">
        <v>0.44259651821507601</v>
      </c>
      <c r="AB3053" t="str">
        <f>HYPERLINK("Melting_Curves/meltCurve_P62760_VSNL1.pdf", "Melting_Curves/meltCurve_P62760_VSNL1.pdf")</f>
        <v>Melting_Curves/meltCurve_P62760_VSNL1.pdf</v>
      </c>
    </row>
    <row r="3054" spans="1:28" x14ac:dyDescent="0.25">
      <c r="A3054" t="s">
        <v>3058</v>
      </c>
      <c r="B3054">
        <v>0.99252571173614901</v>
      </c>
      <c r="C3054">
        <v>0.98031672991042695</v>
      </c>
      <c r="D3054">
        <v>0.91526559386925899</v>
      </c>
      <c r="E3054">
        <v>0.67820623055135398</v>
      </c>
      <c r="F3054">
        <v>0.652259355482388</v>
      </c>
      <c r="G3054">
        <v>0.53053221006582996</v>
      </c>
      <c r="H3054">
        <v>0.53314639610504999</v>
      </c>
      <c r="I3054">
        <v>0.61231120823400897</v>
      </c>
      <c r="J3054">
        <v>0.85214766286311805</v>
      </c>
      <c r="K3054">
        <v>0.700760701288346</v>
      </c>
      <c r="L3054">
        <v>2164.8923682198701</v>
      </c>
      <c r="M3054">
        <v>45.931257051891798</v>
      </c>
      <c r="O3054">
        <v>47.044233058068599</v>
      </c>
      <c r="P3054">
        <v>-8.6303162368055297E-2</v>
      </c>
      <c r="Q3054">
        <v>0.64642283140533396</v>
      </c>
      <c r="R3054">
        <v>0.73963343150448801</v>
      </c>
      <c r="S3054" t="s">
        <v>9700</v>
      </c>
      <c r="T3054" t="s">
        <v>13290</v>
      </c>
      <c r="U3054" t="s">
        <v>13290</v>
      </c>
      <c r="V3054" t="s">
        <v>13290</v>
      </c>
      <c r="W3054" t="s">
        <v>16301</v>
      </c>
      <c r="X3054">
        <v>14</v>
      </c>
      <c r="Y3054" t="s">
        <v>22827</v>
      </c>
      <c r="Z3054" t="s">
        <v>29384</v>
      </c>
      <c r="AA3054">
        <v>0.7313697480383563</v>
      </c>
      <c r="AB3054" t="str">
        <f>HYPERLINK("Melting_Curves/meltCurve_P62805_HIST1H4A.pdf", "Melting_Curves/meltCurve_P62805_HIST1H4A.pdf")</f>
        <v>Melting_Curves/meltCurve_P62805_HIST1H4A.pdf</v>
      </c>
    </row>
    <row r="3055" spans="1:28" x14ac:dyDescent="0.25">
      <c r="A3055" t="s">
        <v>3059</v>
      </c>
      <c r="B3055">
        <v>0.99252571173614901</v>
      </c>
      <c r="C3055">
        <v>0.91831947415479598</v>
      </c>
      <c r="D3055">
        <v>0.86179534310525696</v>
      </c>
      <c r="E3055">
        <v>0.80612168065425105</v>
      </c>
      <c r="F3055">
        <v>0.72210341514213605</v>
      </c>
      <c r="G3055">
        <v>0.66404070144847005</v>
      </c>
      <c r="H3055">
        <v>0.50821226392433205</v>
      </c>
      <c r="I3055">
        <v>0.58981428463163399</v>
      </c>
      <c r="J3055">
        <v>0.471397203103957</v>
      </c>
      <c r="K3055">
        <v>0.179716407949084</v>
      </c>
      <c r="L3055">
        <v>371.93396982123897</v>
      </c>
      <c r="M3055">
        <v>5.9578320411672303</v>
      </c>
      <c r="N3055">
        <v>62.427744034513097</v>
      </c>
      <c r="O3055">
        <v>56.4815473697493</v>
      </c>
      <c r="P3055">
        <v>-2.6458274003270901E-2</v>
      </c>
      <c r="Q3055">
        <v>0</v>
      </c>
      <c r="R3055">
        <v>0.90204672471049996</v>
      </c>
      <c r="S3055" t="s">
        <v>9701</v>
      </c>
      <c r="T3055" t="s">
        <v>13290</v>
      </c>
      <c r="U3055" t="s">
        <v>13290</v>
      </c>
      <c r="V3055" t="s">
        <v>13290</v>
      </c>
      <c r="W3055" t="s">
        <v>16302</v>
      </c>
      <c r="X3055">
        <v>21</v>
      </c>
      <c r="Y3055" t="s">
        <v>22828</v>
      </c>
      <c r="Z3055" t="s">
        <v>29385</v>
      </c>
      <c r="AA3055">
        <v>0.67923635940087024</v>
      </c>
      <c r="AB3055" t="str">
        <f>HYPERLINK("Melting_Curves/meltCurve_P62820_RAB1A.pdf", "Melting_Curves/meltCurve_P62820_RAB1A.pdf")</f>
        <v>Melting_Curves/meltCurve_P62820_RAB1A.pdf</v>
      </c>
    </row>
    <row r="3056" spans="1:28" x14ac:dyDescent="0.25">
      <c r="A3056" t="s">
        <v>3060</v>
      </c>
      <c r="B3056">
        <v>0.99252571173614901</v>
      </c>
      <c r="C3056">
        <v>0.95736690268928903</v>
      </c>
      <c r="D3056">
        <v>0.93916986067340202</v>
      </c>
      <c r="E3056">
        <v>0.78691450199336499</v>
      </c>
      <c r="F3056">
        <v>0.42774204191651</v>
      </c>
      <c r="G3056">
        <v>0.17980497757434299</v>
      </c>
      <c r="H3056">
        <v>6.1636438598198499E-2</v>
      </c>
      <c r="I3056">
        <v>5.5122209188176299E-2</v>
      </c>
      <c r="J3056">
        <v>5.6972029221389303E-2</v>
      </c>
      <c r="K3056">
        <v>5.6760268060445901E-2</v>
      </c>
      <c r="L3056">
        <v>1171.9237627853699</v>
      </c>
      <c r="M3056">
        <v>22.4260477110717</v>
      </c>
      <c r="N3056">
        <v>52.463402716285799</v>
      </c>
      <c r="O3056">
        <v>51.847060256027497</v>
      </c>
      <c r="P3056">
        <v>-0.103576695862671</v>
      </c>
      <c r="Q3056">
        <v>4.2178782861056002E-2</v>
      </c>
      <c r="R3056">
        <v>0.998571890919004</v>
      </c>
      <c r="S3056" t="s">
        <v>9702</v>
      </c>
      <c r="T3056" t="s">
        <v>13290</v>
      </c>
      <c r="U3056" t="s">
        <v>13290</v>
      </c>
      <c r="V3056" t="s">
        <v>13290</v>
      </c>
      <c r="W3056" t="s">
        <v>16303</v>
      </c>
      <c r="X3056">
        <v>11</v>
      </c>
      <c r="Y3056" t="s">
        <v>22829</v>
      </c>
      <c r="Z3056" t="s">
        <v>29386</v>
      </c>
      <c r="AA3056">
        <v>0.44427793796155568</v>
      </c>
      <c r="AB3056" t="str">
        <f>HYPERLINK("Melting_Curves/meltCurve_P62829_RPL23.pdf", "Melting_Curves/meltCurve_P62829_RPL23.pdf")</f>
        <v>Melting_Curves/meltCurve_P62829_RPL23.pdf</v>
      </c>
    </row>
    <row r="3057" spans="1:28" x14ac:dyDescent="0.25">
      <c r="A3057" t="s">
        <v>3061</v>
      </c>
      <c r="B3057">
        <v>0.99252571173614901</v>
      </c>
      <c r="C3057">
        <v>0.91182423429314896</v>
      </c>
      <c r="D3057">
        <v>0.84657294499056202</v>
      </c>
      <c r="E3057">
        <v>0.79795049750458702</v>
      </c>
      <c r="F3057">
        <v>0.66111878761162801</v>
      </c>
      <c r="G3057">
        <v>0.57827373159917705</v>
      </c>
      <c r="H3057">
        <v>0.48010760653177098</v>
      </c>
      <c r="I3057">
        <v>0.56335081781334395</v>
      </c>
      <c r="J3057">
        <v>0.46435068055176398</v>
      </c>
      <c r="K3057">
        <v>0.24339614574680901</v>
      </c>
      <c r="L3057">
        <v>325.33532556430202</v>
      </c>
      <c r="M3057">
        <v>5.27853631228579</v>
      </c>
      <c r="N3057">
        <v>61.633626448860198</v>
      </c>
      <c r="O3057">
        <v>54.4508773680842</v>
      </c>
      <c r="P3057">
        <v>-2.43585207599753E-2</v>
      </c>
      <c r="Q3057">
        <v>0</v>
      </c>
      <c r="R3057">
        <v>0.928929749708991</v>
      </c>
      <c r="S3057" t="s">
        <v>9703</v>
      </c>
      <c r="T3057" t="s">
        <v>13290</v>
      </c>
      <c r="U3057" t="s">
        <v>13290</v>
      </c>
      <c r="V3057" t="s">
        <v>13290</v>
      </c>
      <c r="W3057" t="s">
        <v>16304</v>
      </c>
      <c r="X3057">
        <v>14</v>
      </c>
      <c r="Y3057" t="s">
        <v>22830</v>
      </c>
      <c r="Z3057" t="s">
        <v>29387</v>
      </c>
      <c r="AA3057">
        <v>0.65322776114099024</v>
      </c>
      <c r="AB3057" t="str">
        <f>HYPERLINK("Melting_Curves/meltCurve_P62834_RAP1A.pdf", "Melting_Curves/meltCurve_P62834_RAP1A.pdf")</f>
        <v>Melting_Curves/meltCurve_P62834_RAP1A.pdf</v>
      </c>
    </row>
    <row r="3058" spans="1:28" x14ac:dyDescent="0.25">
      <c r="A3058" t="s">
        <v>3062</v>
      </c>
      <c r="B3058">
        <v>0.99252571173614901</v>
      </c>
      <c r="C3058">
        <v>1.1635560985595299</v>
      </c>
      <c r="D3058">
        <v>0.73779013728634701</v>
      </c>
      <c r="E3058">
        <v>0.781788851140095</v>
      </c>
      <c r="F3058">
        <v>0.66634206745886604</v>
      </c>
      <c r="G3058">
        <v>0.29287834543477997</v>
      </c>
      <c r="H3058">
        <v>8.6439598305784696E-2</v>
      </c>
      <c r="I3058">
        <v>7.7822494060898501E-2</v>
      </c>
      <c r="J3058">
        <v>7.5060712931845602E-2</v>
      </c>
      <c r="K3058">
        <v>6.4195780639626096E-2</v>
      </c>
      <c r="L3058">
        <v>821.35513104246104</v>
      </c>
      <c r="M3058">
        <v>15.1949315927006</v>
      </c>
      <c r="N3058">
        <v>54.060097075861499</v>
      </c>
      <c r="O3058">
        <v>53.144249022324203</v>
      </c>
      <c r="P3058">
        <v>-7.1430810191466895E-2</v>
      </c>
      <c r="Q3058">
        <v>7.7945274019649701E-4</v>
      </c>
      <c r="R3058">
        <v>0.94334542747591699</v>
      </c>
      <c r="S3058" t="s">
        <v>9704</v>
      </c>
      <c r="T3058" t="s">
        <v>13290</v>
      </c>
      <c r="U3058" t="s">
        <v>13290</v>
      </c>
      <c r="V3058" t="s">
        <v>13290</v>
      </c>
      <c r="W3058" t="s">
        <v>16305</v>
      </c>
      <c r="X3058">
        <v>5</v>
      </c>
      <c r="Y3058" t="s">
        <v>22831</v>
      </c>
      <c r="Z3058" t="s">
        <v>29388</v>
      </c>
      <c r="AA3058">
        <v>0.48901545721513873</v>
      </c>
      <c r="AB3058" t="str">
        <f>HYPERLINK("Melting_Curves/meltCurve_P62837_UBE2D2.pdf", "Melting_Curves/meltCurve_P62837_UBE2D2.pdf")</f>
        <v>Melting_Curves/meltCurve_P62837_UBE2D2.pdf</v>
      </c>
    </row>
    <row r="3059" spans="1:28" x14ac:dyDescent="0.25">
      <c r="A3059" t="s">
        <v>3063</v>
      </c>
      <c r="B3059">
        <v>0.99252571173614901</v>
      </c>
      <c r="C3059">
        <v>1.0637451493977801</v>
      </c>
      <c r="D3059">
        <v>0.93703701144226503</v>
      </c>
      <c r="E3059">
        <v>0.97909999811108706</v>
      </c>
      <c r="F3059">
        <v>0.77072852839388795</v>
      </c>
      <c r="G3059">
        <v>0.62611198755004904</v>
      </c>
      <c r="H3059">
        <v>0.43819949065834501</v>
      </c>
      <c r="I3059">
        <v>0.45764344338885599</v>
      </c>
      <c r="J3059">
        <v>0.63023736407278896</v>
      </c>
      <c r="K3059">
        <v>0.677563887565242</v>
      </c>
      <c r="L3059">
        <v>2000.17658562109</v>
      </c>
      <c r="M3059">
        <v>37.612237941056897</v>
      </c>
      <c r="O3059">
        <v>53.029219167490098</v>
      </c>
      <c r="P3059">
        <v>-7.8601010533872695E-2</v>
      </c>
      <c r="Q3059">
        <v>0.55672521452452595</v>
      </c>
      <c r="R3059">
        <v>0.88317807497859102</v>
      </c>
      <c r="S3059" t="s">
        <v>9705</v>
      </c>
      <c r="T3059" t="s">
        <v>13290</v>
      </c>
      <c r="U3059" t="s">
        <v>13290</v>
      </c>
      <c r="V3059" t="s">
        <v>13290</v>
      </c>
      <c r="W3059" t="s">
        <v>16306</v>
      </c>
      <c r="X3059">
        <v>7</v>
      </c>
      <c r="Y3059" t="s">
        <v>22832</v>
      </c>
      <c r="Z3059" t="s">
        <v>29389</v>
      </c>
      <c r="AA3059">
        <v>0.75329498819483121</v>
      </c>
      <c r="AB3059" t="str">
        <f>HYPERLINK("Melting_Curves/meltCurve_P62851_RPS25.pdf", "Melting_Curves/meltCurve_P62851_RPS25.pdf")</f>
        <v>Melting_Curves/meltCurve_P62851_RPS25.pdf</v>
      </c>
    </row>
    <row r="3060" spans="1:28" x14ac:dyDescent="0.25">
      <c r="A3060" t="s">
        <v>3064</v>
      </c>
      <c r="B3060">
        <v>0.99252571173614901</v>
      </c>
      <c r="C3060">
        <v>1.0229882760757401</v>
      </c>
      <c r="D3060">
        <v>0.97922219781214404</v>
      </c>
      <c r="E3060">
        <v>0.78155663978487899</v>
      </c>
      <c r="F3060">
        <v>0.51620075494009199</v>
      </c>
      <c r="G3060">
        <v>0.29643376446893999</v>
      </c>
      <c r="H3060">
        <v>0.16475797013280899</v>
      </c>
      <c r="I3060">
        <v>0.14481525317618399</v>
      </c>
      <c r="J3060">
        <v>0.183631882361184</v>
      </c>
      <c r="K3060">
        <v>0.17640712303778</v>
      </c>
      <c r="L3060">
        <v>1134.05074109516</v>
      </c>
      <c r="M3060">
        <v>21.665059564041499</v>
      </c>
      <c r="N3060">
        <v>53.252152541221101</v>
      </c>
      <c r="O3060">
        <v>51.904845556788402</v>
      </c>
      <c r="P3060">
        <v>-8.8245172458076906E-2</v>
      </c>
      <c r="Q3060">
        <v>0.15435397143371099</v>
      </c>
      <c r="R3060">
        <v>0.99658037215226003</v>
      </c>
      <c r="S3060" t="s">
        <v>9706</v>
      </c>
      <c r="T3060" t="s">
        <v>13290</v>
      </c>
      <c r="U3060" t="s">
        <v>13290</v>
      </c>
      <c r="V3060" t="s">
        <v>13290</v>
      </c>
      <c r="W3060" t="s">
        <v>16307</v>
      </c>
      <c r="X3060">
        <v>3</v>
      </c>
      <c r="Y3060" t="s">
        <v>22833</v>
      </c>
      <c r="Z3060" t="s">
        <v>29390</v>
      </c>
      <c r="AA3060">
        <v>0.51244998986025947</v>
      </c>
      <c r="AB3060" t="str">
        <f>HYPERLINK("Melting_Curves/meltCurve_P62854_RPS26.pdf", "Melting_Curves/meltCurve_P62854_RPS26.pdf")</f>
        <v>Melting_Curves/meltCurve_P62854_RPS26.pdf</v>
      </c>
    </row>
    <row r="3061" spans="1:28" x14ac:dyDescent="0.25">
      <c r="A3061" t="s">
        <v>3065</v>
      </c>
      <c r="B3061">
        <v>0.99252571173614901</v>
      </c>
      <c r="C3061">
        <v>1.0965037841229299</v>
      </c>
      <c r="D3061">
        <v>1.0051387097328199</v>
      </c>
      <c r="E3061">
        <v>1.08259795548368</v>
      </c>
      <c r="F3061">
        <v>1.0965000903253199</v>
      </c>
      <c r="G3061">
        <v>1.1186250559103801</v>
      </c>
      <c r="H3061">
        <v>1.21887467169402</v>
      </c>
      <c r="I3061">
        <v>1.52362793375844</v>
      </c>
      <c r="J3061">
        <v>2.3178795923056299</v>
      </c>
      <c r="K3061">
        <v>2.4167670722871</v>
      </c>
      <c r="L3061">
        <v>15000</v>
      </c>
      <c r="M3061">
        <v>246.460229520094</v>
      </c>
      <c r="O3061">
        <v>60.857739070658297</v>
      </c>
      <c r="P3061">
        <v>0.50622203872751603</v>
      </c>
      <c r="Q3061">
        <v>1.5</v>
      </c>
      <c r="R3061">
        <v>0.40602587485216401</v>
      </c>
      <c r="S3061" t="s">
        <v>9707</v>
      </c>
      <c r="T3061" t="s">
        <v>13290</v>
      </c>
      <c r="U3061" t="s">
        <v>13290</v>
      </c>
      <c r="V3061" t="s">
        <v>13290</v>
      </c>
      <c r="W3061" t="s">
        <v>16308</v>
      </c>
      <c r="X3061">
        <v>10</v>
      </c>
      <c r="Y3061" t="s">
        <v>22834</v>
      </c>
      <c r="Z3061" t="s">
        <v>29391</v>
      </c>
      <c r="AA3061">
        <v>1.1522492746199759</v>
      </c>
      <c r="AB3061" t="str">
        <f>HYPERLINK("Melting_Curves/meltCurve_P62857_RPS28.pdf", "Melting_Curves/meltCurve_P62857_RPS28.pdf")</f>
        <v>Melting_Curves/meltCurve_P62857_RPS28.pdf</v>
      </c>
    </row>
    <row r="3062" spans="1:28" x14ac:dyDescent="0.25">
      <c r="A3062" t="s">
        <v>3066</v>
      </c>
      <c r="B3062">
        <v>0.99252571173614901</v>
      </c>
      <c r="C3062">
        <v>0.84566640091021295</v>
      </c>
      <c r="D3062">
        <v>0.86020809947972099</v>
      </c>
      <c r="E3062">
        <v>0.85209838674511196</v>
      </c>
      <c r="F3062">
        <v>0.63690809237255996</v>
      </c>
      <c r="G3062">
        <v>0.27034050026075201</v>
      </c>
      <c r="H3062">
        <v>0.10382146241732899</v>
      </c>
      <c r="I3062">
        <v>8.19237956957512E-2</v>
      </c>
      <c r="J3062">
        <v>8.4023153024957303E-2</v>
      </c>
      <c r="K3062">
        <v>7.4885549635698503E-2</v>
      </c>
      <c r="L3062">
        <v>1008.60851593069</v>
      </c>
      <c r="M3062">
        <v>18.7068599127659</v>
      </c>
      <c r="N3062">
        <v>54.150776808464698</v>
      </c>
      <c r="O3062">
        <v>53.311711828311097</v>
      </c>
      <c r="P3062">
        <v>-8.4317648787907207E-2</v>
      </c>
      <c r="Q3062">
        <v>3.8870729529061898E-2</v>
      </c>
      <c r="R3062">
        <v>0.97130715738481399</v>
      </c>
      <c r="S3062" t="s">
        <v>9708</v>
      </c>
      <c r="T3062" t="s">
        <v>13290</v>
      </c>
      <c r="U3062" t="s">
        <v>13290</v>
      </c>
      <c r="V3062" t="s">
        <v>13290</v>
      </c>
      <c r="W3062" t="s">
        <v>16309</v>
      </c>
      <c r="X3062">
        <v>14</v>
      </c>
      <c r="Y3062" t="s">
        <v>22835</v>
      </c>
      <c r="Z3062" t="s">
        <v>29392</v>
      </c>
      <c r="AA3062">
        <v>0.49926026339588842</v>
      </c>
      <c r="AB3062" t="str">
        <f>HYPERLINK("Melting_Curves/meltCurve_P62873_GNB1.pdf", "Melting_Curves/meltCurve_P62873_GNB1.pdf")</f>
        <v>Melting_Curves/meltCurve_P62873_GNB1.pdf</v>
      </c>
    </row>
    <row r="3063" spans="1:28" x14ac:dyDescent="0.25">
      <c r="A3063" t="s">
        <v>3067</v>
      </c>
      <c r="B3063">
        <v>0.99252571173614901</v>
      </c>
      <c r="C3063">
        <v>1.00895647118712</v>
      </c>
      <c r="D3063">
        <v>1.1604309787931</v>
      </c>
      <c r="E3063">
        <v>1.2733162341737401</v>
      </c>
      <c r="F3063">
        <v>0.93109406574211395</v>
      </c>
      <c r="G3063">
        <v>0.585206265914608</v>
      </c>
      <c r="H3063">
        <v>0.41456556409399498</v>
      </c>
      <c r="I3063">
        <v>0.36104644145772902</v>
      </c>
      <c r="J3063">
        <v>0.38071518234719398</v>
      </c>
      <c r="K3063">
        <v>0.37432797159527098</v>
      </c>
      <c r="L3063">
        <v>2577.3629651812498</v>
      </c>
      <c r="M3063">
        <v>46.071292127899703</v>
      </c>
      <c r="N3063">
        <v>57.710278223740602</v>
      </c>
      <c r="O3063">
        <v>55.837810669842597</v>
      </c>
      <c r="P3063">
        <v>-0.128293827149497</v>
      </c>
      <c r="Q3063">
        <v>0.37803864811213</v>
      </c>
      <c r="R3063">
        <v>0.91225720523799703</v>
      </c>
      <c r="S3063" t="s">
        <v>9709</v>
      </c>
      <c r="T3063" t="s">
        <v>13290</v>
      </c>
      <c r="U3063" t="s">
        <v>13290</v>
      </c>
      <c r="V3063" t="s">
        <v>13290</v>
      </c>
      <c r="W3063" t="s">
        <v>16310</v>
      </c>
      <c r="X3063">
        <v>4</v>
      </c>
      <c r="Y3063" t="s">
        <v>22836</v>
      </c>
      <c r="Z3063" t="s">
        <v>29393</v>
      </c>
      <c r="AA3063">
        <v>0.710373667452872</v>
      </c>
      <c r="AB3063" t="str">
        <f>HYPERLINK("Melting_Curves/meltCurve_P62877_RBX1.pdf", "Melting_Curves/meltCurve_P62877_RBX1.pdf")</f>
        <v>Melting_Curves/meltCurve_P62877_RBX1.pdf</v>
      </c>
    </row>
    <row r="3064" spans="1:28" x14ac:dyDescent="0.25">
      <c r="A3064" t="s">
        <v>3068</v>
      </c>
      <c r="B3064">
        <v>0.99252571173614901</v>
      </c>
      <c r="C3064">
        <v>0.92127792519689</v>
      </c>
      <c r="D3064">
        <v>0.89667262950012205</v>
      </c>
      <c r="E3064">
        <v>0.83537378040134802</v>
      </c>
      <c r="F3064">
        <v>0.43564428256045901</v>
      </c>
      <c r="G3064">
        <v>0.13080843334985801</v>
      </c>
      <c r="H3064">
        <v>7.9233316946311597E-2</v>
      </c>
      <c r="I3064">
        <v>6.9871763082317795E-2</v>
      </c>
      <c r="J3064">
        <v>8.2385115888926802E-2</v>
      </c>
      <c r="K3064">
        <v>7.3469193374079797E-2</v>
      </c>
      <c r="L3064">
        <v>1398.68850896349</v>
      </c>
      <c r="M3064">
        <v>26.7616577009933</v>
      </c>
      <c r="N3064">
        <v>52.530429430431901</v>
      </c>
      <c r="O3064">
        <v>51.9754325917079</v>
      </c>
      <c r="P3064">
        <v>-0.120573332781463</v>
      </c>
      <c r="Q3064">
        <v>6.3318688915480897E-2</v>
      </c>
      <c r="R3064">
        <v>0.99089119673404102</v>
      </c>
      <c r="S3064" t="s">
        <v>9710</v>
      </c>
      <c r="T3064" t="s">
        <v>13290</v>
      </c>
      <c r="U3064" t="s">
        <v>13290</v>
      </c>
      <c r="V3064" t="s">
        <v>13290</v>
      </c>
      <c r="W3064" t="s">
        <v>16311</v>
      </c>
      <c r="X3064">
        <v>13</v>
      </c>
      <c r="Y3064" t="s">
        <v>22837</v>
      </c>
      <c r="Z3064" t="s">
        <v>29394</v>
      </c>
      <c r="AA3064">
        <v>0.45377189958358038</v>
      </c>
      <c r="AB3064" t="str">
        <f>HYPERLINK("Melting_Curves/meltCurve_P62879_GNB2.pdf", "Melting_Curves/meltCurve_P62879_GNB2.pdf")</f>
        <v>Melting_Curves/meltCurve_P62879_GNB2.pdf</v>
      </c>
    </row>
    <row r="3065" spans="1:28" x14ac:dyDescent="0.25">
      <c r="A3065" t="s">
        <v>3069</v>
      </c>
      <c r="B3065">
        <v>0.99252571173614901</v>
      </c>
      <c r="C3065">
        <v>1.0134212274137</v>
      </c>
      <c r="D3065">
        <v>0.97351377828577701</v>
      </c>
      <c r="E3065">
        <v>0.98988923144491103</v>
      </c>
      <c r="F3065">
        <v>0.67686811631384203</v>
      </c>
      <c r="G3065">
        <v>0.43069671782605001</v>
      </c>
      <c r="H3065">
        <v>0.19551942448082599</v>
      </c>
      <c r="I3065">
        <v>0.205943905243025</v>
      </c>
      <c r="J3065">
        <v>0.20123027819380701</v>
      </c>
      <c r="K3065">
        <v>0.186289811720381</v>
      </c>
      <c r="L3065">
        <v>1415.7375239477001</v>
      </c>
      <c r="M3065">
        <v>25.994816421168</v>
      </c>
      <c r="N3065">
        <v>55.437936132369899</v>
      </c>
      <c r="O3065">
        <v>54.1430744155033</v>
      </c>
      <c r="P3065">
        <v>-9.7997168697663603E-2</v>
      </c>
      <c r="Q3065">
        <v>0.18355952819547899</v>
      </c>
      <c r="R3065">
        <v>0.99414654462461505</v>
      </c>
      <c r="S3065" t="s">
        <v>9711</v>
      </c>
      <c r="T3065" t="s">
        <v>13290</v>
      </c>
      <c r="U3065" t="s">
        <v>13290</v>
      </c>
      <c r="V3065" t="s">
        <v>13290</v>
      </c>
      <c r="W3065" t="s">
        <v>16312</v>
      </c>
      <c r="X3065">
        <v>4</v>
      </c>
      <c r="Y3065" t="s">
        <v>22838</v>
      </c>
      <c r="Z3065" t="s">
        <v>29395</v>
      </c>
      <c r="AA3065">
        <v>0.58419213866532316</v>
      </c>
      <c r="AB3065" t="str">
        <f>HYPERLINK("Melting_Curves/meltCurve_P62906_RPL10A.pdf", "Melting_Curves/meltCurve_P62906_RPL10A.pdf")</f>
        <v>Melting_Curves/meltCurve_P62906_RPL10A.pdf</v>
      </c>
    </row>
    <row r="3066" spans="1:28" x14ac:dyDescent="0.25">
      <c r="A3066" t="s">
        <v>3070</v>
      </c>
      <c r="B3066">
        <v>0.99252571173614901</v>
      </c>
      <c r="C3066">
        <v>0.97242283832981102</v>
      </c>
      <c r="D3066">
        <v>0.84095102178985504</v>
      </c>
      <c r="E3066">
        <v>0.95884467718227995</v>
      </c>
      <c r="F3066">
        <v>0.91669702782432005</v>
      </c>
      <c r="G3066">
        <v>0.53312044632344102</v>
      </c>
      <c r="H3066">
        <v>0.12828446791106399</v>
      </c>
      <c r="I3066">
        <v>8.3545420449627802E-2</v>
      </c>
      <c r="J3066">
        <v>7.6730228157392E-2</v>
      </c>
      <c r="K3066">
        <v>7.5067149740107905E-2</v>
      </c>
      <c r="L3066">
        <v>2062.4497274843902</v>
      </c>
      <c r="M3066">
        <v>36.347755868071602</v>
      </c>
      <c r="N3066">
        <v>56.972209516959403</v>
      </c>
      <c r="O3066">
        <v>56.571217337612403</v>
      </c>
      <c r="P3066">
        <v>-0.14966429242120299</v>
      </c>
      <c r="Q3066">
        <v>6.82599356959534E-2</v>
      </c>
      <c r="R3066">
        <v>0.98269470049327001</v>
      </c>
      <c r="S3066" t="s">
        <v>9712</v>
      </c>
      <c r="T3066" t="s">
        <v>13290</v>
      </c>
      <c r="U3066" t="s">
        <v>13290</v>
      </c>
      <c r="V3066" t="s">
        <v>13290</v>
      </c>
      <c r="W3066" t="s">
        <v>16313</v>
      </c>
      <c r="X3066">
        <v>8</v>
      </c>
      <c r="Y3066" t="s">
        <v>22839</v>
      </c>
      <c r="Z3066" t="s">
        <v>29396</v>
      </c>
      <c r="AA3066">
        <v>0.59259174635662903</v>
      </c>
      <c r="AB3066" t="str">
        <f>HYPERLINK("Melting_Curves/meltCurve_P62913_2_RPL11.pdf", "Melting_Curves/meltCurve_P62913_2_RPL11.pdf")</f>
        <v>Melting_Curves/meltCurve_P62913_2_RPL11.pdf</v>
      </c>
    </row>
    <row r="3067" spans="1:28" x14ac:dyDescent="0.25">
      <c r="A3067" t="s">
        <v>3071</v>
      </c>
      <c r="B3067">
        <v>0.99252571173614901</v>
      </c>
      <c r="C3067">
        <v>1.05856220543463</v>
      </c>
      <c r="D3067">
        <v>1.03144667593533</v>
      </c>
      <c r="E3067">
        <v>1.0262890546227601</v>
      </c>
      <c r="F3067">
        <v>0.63930579116458897</v>
      </c>
      <c r="G3067">
        <v>0.45804822699818898</v>
      </c>
      <c r="H3067">
        <v>0.287766305329414</v>
      </c>
      <c r="I3067">
        <v>0.345151735033425</v>
      </c>
      <c r="J3067">
        <v>0.39928970404472902</v>
      </c>
      <c r="K3067">
        <v>0.43225599182949198</v>
      </c>
      <c r="L3067">
        <v>2766.33302497048</v>
      </c>
      <c r="M3067">
        <v>52.2521829368658</v>
      </c>
      <c r="N3067">
        <v>54.424314663338897</v>
      </c>
      <c r="O3067">
        <v>52.864604484421598</v>
      </c>
      <c r="P3067">
        <v>-0.153320623539628</v>
      </c>
      <c r="Q3067">
        <v>0.37953017363967301</v>
      </c>
      <c r="R3067">
        <v>0.97529485688552897</v>
      </c>
      <c r="S3067" t="s">
        <v>9713</v>
      </c>
      <c r="T3067" t="s">
        <v>13290</v>
      </c>
      <c r="U3067" t="s">
        <v>13290</v>
      </c>
      <c r="V3067" t="s">
        <v>13290</v>
      </c>
      <c r="W3067" t="s">
        <v>16314</v>
      </c>
      <c r="X3067">
        <v>8</v>
      </c>
      <c r="Y3067" t="s">
        <v>22840</v>
      </c>
      <c r="Z3067" t="s">
        <v>29397</v>
      </c>
      <c r="AA3067">
        <v>0.64852606662341949</v>
      </c>
      <c r="AB3067" t="str">
        <f>HYPERLINK("Melting_Curves/meltCurve_P62917_RPL8.pdf", "Melting_Curves/meltCurve_P62917_RPL8.pdf")</f>
        <v>Melting_Curves/meltCurve_P62917_RPL8.pdf</v>
      </c>
    </row>
    <row r="3068" spans="1:28" x14ac:dyDescent="0.25">
      <c r="A3068" t="s">
        <v>3072</v>
      </c>
      <c r="B3068">
        <v>0.99252571173614901</v>
      </c>
      <c r="C3068">
        <v>1.0817371541438701</v>
      </c>
      <c r="D3068">
        <v>0.80178916791062704</v>
      </c>
      <c r="E3068">
        <v>0.68774234397623901</v>
      </c>
      <c r="F3068">
        <v>0.20653400755520601</v>
      </c>
      <c r="G3068">
        <v>0.10694005787265</v>
      </c>
      <c r="H3068">
        <v>6.9671084234403796E-2</v>
      </c>
      <c r="I3068">
        <v>6.6339462395193394E-2</v>
      </c>
      <c r="J3068">
        <v>7.6423876226840895E-2</v>
      </c>
      <c r="K3068">
        <v>8.8789174926059006E-2</v>
      </c>
      <c r="L3068">
        <v>1291.84275896234</v>
      </c>
      <c r="M3068">
        <v>25.659031556922901</v>
      </c>
      <c r="N3068">
        <v>50.620032131559</v>
      </c>
      <c r="O3068">
        <v>50.0436997130573</v>
      </c>
      <c r="P3068">
        <v>-0.119887072976055</v>
      </c>
      <c r="Q3068">
        <v>6.47317378332945E-2</v>
      </c>
      <c r="R3068">
        <v>0.980770570429777</v>
      </c>
      <c r="S3068" t="s">
        <v>9714</v>
      </c>
      <c r="T3068" t="s">
        <v>13290</v>
      </c>
      <c r="U3068" t="s">
        <v>13290</v>
      </c>
      <c r="V3068" t="s">
        <v>13290</v>
      </c>
      <c r="W3068" t="s">
        <v>16315</v>
      </c>
      <c r="X3068">
        <v>20</v>
      </c>
      <c r="Y3068" t="s">
        <v>22841</v>
      </c>
      <c r="Z3068" t="s">
        <v>29398</v>
      </c>
      <c r="AA3068">
        <v>0.39525503764256831</v>
      </c>
      <c r="AB3068" t="str">
        <f>HYPERLINK("Melting_Curves/meltCurve_P62937_PPIA.pdf", "Melting_Curves/meltCurve_P62937_PPIA.pdf")</f>
        <v>Melting_Curves/meltCurve_P62937_PPIA.pdf</v>
      </c>
    </row>
    <row r="3069" spans="1:28" x14ac:dyDescent="0.25">
      <c r="A3069" t="s">
        <v>3073</v>
      </c>
      <c r="B3069">
        <v>0.99252571173614901</v>
      </c>
      <c r="C3069">
        <v>1.0892047038900401</v>
      </c>
      <c r="D3069">
        <v>0.99177368603759397</v>
      </c>
      <c r="E3069">
        <v>0.77862120319994099</v>
      </c>
      <c r="F3069">
        <v>0.67725211639576</v>
      </c>
      <c r="G3069">
        <v>0.429325032287872</v>
      </c>
      <c r="H3069">
        <v>0.26898630149214597</v>
      </c>
      <c r="I3069">
        <v>0.25244988410291802</v>
      </c>
      <c r="J3069">
        <v>0.296462744250716</v>
      </c>
      <c r="K3069">
        <v>0.28085590922055897</v>
      </c>
      <c r="L3069">
        <v>1010.51831935554</v>
      </c>
      <c r="M3069">
        <v>18.981578957261402</v>
      </c>
      <c r="N3069">
        <v>55.260769978302001</v>
      </c>
      <c r="O3069">
        <v>52.656476825303997</v>
      </c>
      <c r="P3069">
        <v>-6.7545977766626894E-2</v>
      </c>
      <c r="Q3069">
        <v>0.25051746928452201</v>
      </c>
      <c r="R3069">
        <v>0.97856598931302696</v>
      </c>
      <c r="S3069" t="s">
        <v>9715</v>
      </c>
      <c r="T3069" t="s">
        <v>13290</v>
      </c>
      <c r="U3069" t="s">
        <v>13290</v>
      </c>
      <c r="V3069" t="s">
        <v>13290</v>
      </c>
      <c r="W3069" t="s">
        <v>16316</v>
      </c>
      <c r="X3069">
        <v>12</v>
      </c>
      <c r="Y3069" t="s">
        <v>22842</v>
      </c>
      <c r="Z3069" t="s">
        <v>29399</v>
      </c>
      <c r="AA3069">
        <v>0.5924260754268289</v>
      </c>
      <c r="AB3069" t="str">
        <f>HYPERLINK("Melting_Curves/meltCurve_P62942_FKBP1A.pdf", "Melting_Curves/meltCurve_P62942_FKBP1A.pdf")</f>
        <v>Melting_Curves/meltCurve_P62942_FKBP1A.pdf</v>
      </c>
    </row>
    <row r="3070" spans="1:28" x14ac:dyDescent="0.25">
      <c r="A3070" t="s">
        <v>3074</v>
      </c>
      <c r="B3070">
        <v>0.99252571173614901</v>
      </c>
      <c r="C3070">
        <v>1.0473193162372201</v>
      </c>
      <c r="D3070">
        <v>0.96357730836208999</v>
      </c>
      <c r="E3070">
        <v>0.75312256246899001</v>
      </c>
      <c r="F3070">
        <v>0.73050892604893303</v>
      </c>
      <c r="G3070">
        <v>0.56487240546930195</v>
      </c>
      <c r="H3070">
        <v>0.55992476428429505</v>
      </c>
      <c r="I3070">
        <v>0.596143901122134</v>
      </c>
      <c r="J3070">
        <v>0.83609078500588696</v>
      </c>
      <c r="K3070">
        <v>0.86680974381929998</v>
      </c>
      <c r="L3070">
        <v>2177.3311336890902</v>
      </c>
      <c r="M3070">
        <v>45.2483712153984</v>
      </c>
      <c r="O3070">
        <v>48.025841863362402</v>
      </c>
      <c r="P3070">
        <v>-7.2696359978713099E-2</v>
      </c>
      <c r="Q3070">
        <v>0.69136573365290999</v>
      </c>
      <c r="R3070">
        <v>0.66442463271414898</v>
      </c>
      <c r="S3070" t="s">
        <v>9716</v>
      </c>
      <c r="T3070" t="s">
        <v>13290</v>
      </c>
      <c r="U3070" t="s">
        <v>13290</v>
      </c>
      <c r="V3070" t="s">
        <v>13290</v>
      </c>
      <c r="W3070" t="s">
        <v>16317</v>
      </c>
      <c r="X3070">
        <v>12</v>
      </c>
      <c r="Y3070" t="s">
        <v>22843</v>
      </c>
      <c r="Z3070" t="s">
        <v>29400</v>
      </c>
      <c r="AA3070">
        <v>0.77569972389735642</v>
      </c>
      <c r="AB3070" t="str">
        <f>HYPERLINK("Melting_Curves/meltCurve_P62979_RPS27A.pdf", "Melting_Curves/meltCurve_P62979_RPS27A.pdf")</f>
        <v>Melting_Curves/meltCurve_P62979_RPS27A.pdf</v>
      </c>
    </row>
    <row r="3071" spans="1:28" x14ac:dyDescent="0.25">
      <c r="A3071" t="s">
        <v>3075</v>
      </c>
      <c r="B3071">
        <v>0.99252571173614901</v>
      </c>
      <c r="C3071">
        <v>1.34113262288478</v>
      </c>
      <c r="D3071">
        <v>1.281458159005</v>
      </c>
      <c r="E3071">
        <v>2.5442180329967101</v>
      </c>
      <c r="F3071">
        <v>0.84971654581899803</v>
      </c>
      <c r="G3071">
        <v>0.59303205680271998</v>
      </c>
      <c r="H3071">
        <v>0.454501595360641</v>
      </c>
      <c r="I3071">
        <v>0.52290421494942996</v>
      </c>
      <c r="J3071">
        <v>0.65410865355512204</v>
      </c>
      <c r="K3071">
        <v>0.67594904117226295</v>
      </c>
      <c r="L3071">
        <v>13331.094419115399</v>
      </c>
      <c r="M3071">
        <v>250</v>
      </c>
      <c r="O3071">
        <v>53.320952637101101</v>
      </c>
      <c r="P3071">
        <v>-0.49218551492638102</v>
      </c>
      <c r="Q3071">
        <v>0.58009909215880295</v>
      </c>
      <c r="R3071">
        <v>0.25681729312475399</v>
      </c>
      <c r="S3071" t="s">
        <v>9717</v>
      </c>
      <c r="T3071" t="s">
        <v>13290</v>
      </c>
      <c r="U3071" t="s">
        <v>13290</v>
      </c>
      <c r="V3071" t="s">
        <v>13290</v>
      </c>
      <c r="W3071" t="s">
        <v>16318</v>
      </c>
      <c r="X3071">
        <v>11</v>
      </c>
      <c r="Y3071" t="s">
        <v>22844</v>
      </c>
      <c r="Z3071" t="s">
        <v>29401</v>
      </c>
      <c r="AA3071">
        <v>0.76663566402781214</v>
      </c>
      <c r="AB3071" t="str">
        <f>HYPERLINK("Melting_Curves/meltCurve_P62987_UBA52.pdf", "Melting_Curves/meltCurve_P62987_UBA52.pdf")</f>
        <v>Melting_Curves/meltCurve_P62987_UBA52.pdf</v>
      </c>
    </row>
    <row r="3072" spans="1:28" x14ac:dyDescent="0.25">
      <c r="A3072" t="s">
        <v>3076</v>
      </c>
      <c r="B3072">
        <v>0.99252571173614901</v>
      </c>
      <c r="C3072">
        <v>0.89420102906867405</v>
      </c>
      <c r="D3072">
        <v>0.72052180133016097</v>
      </c>
      <c r="E3072">
        <v>0.64128343105235697</v>
      </c>
      <c r="F3072">
        <v>0.34041890331984498</v>
      </c>
      <c r="G3072">
        <v>0.148537424012155</v>
      </c>
      <c r="H3072">
        <v>9.8749390150322802E-2</v>
      </c>
      <c r="I3072">
        <v>9.4676212213393104E-2</v>
      </c>
      <c r="J3072">
        <v>9.4779177126747299E-2</v>
      </c>
      <c r="K3072">
        <v>9.8859499748247495E-2</v>
      </c>
      <c r="L3072">
        <v>696.28887893308297</v>
      </c>
      <c r="M3072">
        <v>13.9044641917927</v>
      </c>
      <c r="N3072">
        <v>50.459992052939199</v>
      </c>
      <c r="O3072">
        <v>49.074942763575301</v>
      </c>
      <c r="P3072">
        <v>-6.7291608842444894E-2</v>
      </c>
      <c r="Q3072">
        <v>5.0122889349516399E-2</v>
      </c>
      <c r="R3072">
        <v>0.98549148754628502</v>
      </c>
      <c r="S3072" t="s">
        <v>9718</v>
      </c>
      <c r="T3072" t="s">
        <v>13290</v>
      </c>
      <c r="U3072" t="s">
        <v>13290</v>
      </c>
      <c r="V3072" t="s">
        <v>13290</v>
      </c>
      <c r="W3072" t="s">
        <v>16319</v>
      </c>
      <c r="X3072">
        <v>14</v>
      </c>
      <c r="Y3072" t="s">
        <v>22845</v>
      </c>
      <c r="Z3072" t="s">
        <v>29402</v>
      </c>
      <c r="AA3072">
        <v>0.3949382691569393</v>
      </c>
      <c r="AB3072" t="str">
        <f>HYPERLINK("Melting_Curves/meltCurve_P62993_GRB2.pdf", "Melting_Curves/meltCurve_P62993_GRB2.pdf")</f>
        <v>Melting_Curves/meltCurve_P62993_GRB2.pdf</v>
      </c>
    </row>
    <row r="3073" spans="1:28" x14ac:dyDescent="0.25">
      <c r="A3073" t="s">
        <v>3077</v>
      </c>
      <c r="B3073">
        <v>0.99252571173614901</v>
      </c>
      <c r="C3073">
        <v>1.0095826528644301</v>
      </c>
      <c r="D3073">
        <v>0.81798921308833095</v>
      </c>
      <c r="E3073">
        <v>0.63470787232382797</v>
      </c>
      <c r="F3073">
        <v>0.47026063027600801</v>
      </c>
      <c r="G3073">
        <v>0.333981270190983</v>
      </c>
      <c r="H3073">
        <v>0.331345422190783</v>
      </c>
      <c r="I3073">
        <v>0.44173179262588702</v>
      </c>
      <c r="J3073">
        <v>0.69352737283196197</v>
      </c>
      <c r="K3073">
        <v>0.96682351488982399</v>
      </c>
      <c r="L3073">
        <v>1674.11149163647</v>
      </c>
      <c r="M3073">
        <v>35.839490736381101</v>
      </c>
      <c r="O3073">
        <v>46.566659566437998</v>
      </c>
      <c r="P3073">
        <v>-8.77454677827358E-2</v>
      </c>
      <c r="Q3073">
        <v>0.54396681144848802</v>
      </c>
      <c r="R3073">
        <v>0.523157571932231</v>
      </c>
      <c r="S3073" t="s">
        <v>9719</v>
      </c>
      <c r="T3073" t="s">
        <v>13290</v>
      </c>
      <c r="U3073" t="s">
        <v>13290</v>
      </c>
      <c r="V3073" t="s">
        <v>13290</v>
      </c>
      <c r="W3073" t="s">
        <v>16320</v>
      </c>
      <c r="X3073">
        <v>8</v>
      </c>
      <c r="Y3073" t="s">
        <v>22846</v>
      </c>
      <c r="Z3073" t="s">
        <v>29403</v>
      </c>
      <c r="AA3073">
        <v>0.64785927634847928</v>
      </c>
      <c r="AB3073" t="str">
        <f>HYPERLINK("Melting_Curves/meltCurve_P62995_3_TRA2B.pdf", "Melting_Curves/meltCurve_P62995_3_TRA2B.pdf")</f>
        <v>Melting_Curves/meltCurve_P62995_3_TRA2B.pdf</v>
      </c>
    </row>
    <row r="3074" spans="1:28" x14ac:dyDescent="0.25">
      <c r="A3074" t="s">
        <v>3078</v>
      </c>
      <c r="B3074">
        <v>0.99252571173614901</v>
      </c>
      <c r="C3074">
        <v>1.0783144451276501</v>
      </c>
      <c r="D3074">
        <v>0.95621734780143397</v>
      </c>
      <c r="E3074">
        <v>0.93250509844776697</v>
      </c>
      <c r="F3074">
        <v>0.69967754685734496</v>
      </c>
      <c r="G3074">
        <v>0.42284374768194</v>
      </c>
      <c r="H3074">
        <v>0.29962712255099999</v>
      </c>
      <c r="I3074">
        <v>0.24542738186848301</v>
      </c>
      <c r="J3074">
        <v>8.3844746468487399E-2</v>
      </c>
      <c r="K3074">
        <v>7.1252812654569994E-2</v>
      </c>
      <c r="L3074">
        <v>881.26653568325798</v>
      </c>
      <c r="M3074">
        <v>15.7597040888294</v>
      </c>
      <c r="N3074">
        <v>56.378713966378399</v>
      </c>
      <c r="O3074">
        <v>55.041845831078497</v>
      </c>
      <c r="P3074">
        <v>-6.7269966643392201E-2</v>
      </c>
      <c r="Q3074">
        <v>6.0298360941830401E-2</v>
      </c>
      <c r="R3074">
        <v>0.98538771007857195</v>
      </c>
      <c r="S3074" t="s">
        <v>9720</v>
      </c>
      <c r="T3074" t="s">
        <v>13290</v>
      </c>
      <c r="U3074" t="s">
        <v>13290</v>
      </c>
      <c r="V3074" t="s">
        <v>13290</v>
      </c>
      <c r="W3074" t="s">
        <v>16321</v>
      </c>
      <c r="X3074">
        <v>11</v>
      </c>
      <c r="Y3074" t="s">
        <v>22847</v>
      </c>
      <c r="Z3074" t="s">
        <v>29404</v>
      </c>
      <c r="AA3074">
        <v>0.57499438617573539</v>
      </c>
      <c r="AB3074" t="str">
        <f>HYPERLINK("Melting_Curves/meltCurve_P63000_RAC1.pdf", "Melting_Curves/meltCurve_P63000_RAC1.pdf")</f>
        <v>Melting_Curves/meltCurve_P63000_RAC1.pdf</v>
      </c>
    </row>
    <row r="3075" spans="1:28" x14ac:dyDescent="0.25">
      <c r="A3075" t="s">
        <v>3079</v>
      </c>
      <c r="B3075">
        <v>0.99252571173614901</v>
      </c>
      <c r="C3075">
        <v>0.91020708853069499</v>
      </c>
      <c r="D3075">
        <v>0.97352810435386805</v>
      </c>
      <c r="E3075">
        <v>0.79172829246200904</v>
      </c>
      <c r="F3075">
        <v>0.36535830247629902</v>
      </c>
      <c r="G3075">
        <v>0.14854259767729899</v>
      </c>
      <c r="H3075">
        <v>0.11249923518122699</v>
      </c>
      <c r="I3075">
        <v>9.7961300372660806E-2</v>
      </c>
      <c r="J3075">
        <v>8.1469683586950906E-2</v>
      </c>
      <c r="K3075">
        <v>7.4133431678433198E-2</v>
      </c>
      <c r="L3075">
        <v>1457.5871459729599</v>
      </c>
      <c r="M3075">
        <v>28.200041878830302</v>
      </c>
      <c r="N3075">
        <v>52.0333037191063</v>
      </c>
      <c r="O3075">
        <v>51.4295861873766</v>
      </c>
      <c r="P3075">
        <v>-0.12536569613828799</v>
      </c>
      <c r="Q3075">
        <v>8.5469138854483706E-2</v>
      </c>
      <c r="R3075">
        <v>0.99462933237514695</v>
      </c>
      <c r="S3075" t="s">
        <v>9721</v>
      </c>
      <c r="T3075" t="s">
        <v>13290</v>
      </c>
      <c r="U3075" t="s">
        <v>13290</v>
      </c>
      <c r="V3075" t="s">
        <v>13290</v>
      </c>
      <c r="W3075" t="s">
        <v>16322</v>
      </c>
      <c r="X3075">
        <v>33</v>
      </c>
      <c r="Y3075" t="s">
        <v>22848</v>
      </c>
      <c r="Z3075" t="s">
        <v>29405</v>
      </c>
      <c r="AA3075">
        <v>0.44832591916013148</v>
      </c>
      <c r="AB3075" t="str">
        <f>HYPERLINK("Melting_Curves/meltCurve_P63010_AP2B1.pdf", "Melting_Curves/meltCurve_P63010_AP2B1.pdf")</f>
        <v>Melting_Curves/meltCurve_P63010_AP2B1.pdf</v>
      </c>
    </row>
    <row r="3076" spans="1:28" x14ac:dyDescent="0.25">
      <c r="A3076" t="s">
        <v>3080</v>
      </c>
      <c r="B3076">
        <v>0.99252571173614901</v>
      </c>
      <c r="C3076">
        <v>0.93915503373707698</v>
      </c>
      <c r="D3076">
        <v>0.82565028070313495</v>
      </c>
      <c r="E3076">
        <v>0.724672031527264</v>
      </c>
      <c r="F3076">
        <v>0.38226883101263298</v>
      </c>
      <c r="G3076">
        <v>0.172233634144183</v>
      </c>
      <c r="H3076">
        <v>8.7670685372235393E-2</v>
      </c>
      <c r="I3076">
        <v>9.3068372087455803E-2</v>
      </c>
      <c r="J3076">
        <v>0.112262817818077</v>
      </c>
      <c r="K3076">
        <v>0.11650173536399699</v>
      </c>
      <c r="L3076">
        <v>939.71361690517494</v>
      </c>
      <c r="M3076">
        <v>18.370374556844499</v>
      </c>
      <c r="N3076">
        <v>51.6217562983664</v>
      </c>
      <c r="O3076">
        <v>50.559146167725203</v>
      </c>
      <c r="P3076">
        <v>-8.3872164411805297E-2</v>
      </c>
      <c r="Q3076">
        <v>7.6706483850582499E-2</v>
      </c>
      <c r="R3076">
        <v>0.98977983572405004</v>
      </c>
      <c r="S3076" t="s">
        <v>9722</v>
      </c>
      <c r="T3076" t="s">
        <v>13290</v>
      </c>
      <c r="U3076" t="s">
        <v>13290</v>
      </c>
      <c r="V3076" t="s">
        <v>13290</v>
      </c>
      <c r="W3076" t="s">
        <v>16323</v>
      </c>
      <c r="X3076">
        <v>18</v>
      </c>
      <c r="Y3076" t="s">
        <v>22849</v>
      </c>
      <c r="Z3076" t="s">
        <v>29406</v>
      </c>
      <c r="AA3076">
        <v>0.43495048255880742</v>
      </c>
      <c r="AB3076" t="str">
        <f>HYPERLINK("Melting_Curves/meltCurve_P63092_3_GNAS.pdf", "Melting_Curves/meltCurve_P63092_3_GNAS.pdf")</f>
        <v>Melting_Curves/meltCurve_P63092_3_GNAS.pdf</v>
      </c>
    </row>
    <row r="3077" spans="1:28" x14ac:dyDescent="0.25">
      <c r="A3077" t="s">
        <v>3081</v>
      </c>
      <c r="B3077">
        <v>0.99252571173614901</v>
      </c>
      <c r="C3077">
        <v>0.929648906162444</v>
      </c>
      <c r="D3077">
        <v>0.87801582318754401</v>
      </c>
      <c r="E3077">
        <v>0.87254785226915399</v>
      </c>
      <c r="F3077">
        <v>0.63510648599950204</v>
      </c>
      <c r="G3077">
        <v>0.38706666838563197</v>
      </c>
      <c r="H3077">
        <v>0.10500685007070799</v>
      </c>
      <c r="I3077">
        <v>0.123026868200051</v>
      </c>
      <c r="J3077">
        <v>0.15278154490581999</v>
      </c>
      <c r="K3077">
        <v>0.15586625783458199</v>
      </c>
      <c r="L3077">
        <v>1055.1227156652401</v>
      </c>
      <c r="M3077">
        <v>19.5259037137603</v>
      </c>
      <c r="N3077">
        <v>54.682025058581097</v>
      </c>
      <c r="O3077">
        <v>53.479845736734802</v>
      </c>
      <c r="P3077">
        <v>-8.1891804417342104E-2</v>
      </c>
      <c r="Q3077">
        <v>0.10285213883764099</v>
      </c>
      <c r="R3077">
        <v>0.97988894400424498</v>
      </c>
      <c r="S3077" t="s">
        <v>9723</v>
      </c>
      <c r="T3077" t="s">
        <v>13290</v>
      </c>
      <c r="U3077" t="s">
        <v>13290</v>
      </c>
      <c r="V3077" t="s">
        <v>13290</v>
      </c>
      <c r="W3077" t="s">
        <v>16324</v>
      </c>
      <c r="X3077">
        <v>10</v>
      </c>
      <c r="Y3077" t="s">
        <v>22850</v>
      </c>
      <c r="Z3077" t="s">
        <v>29407</v>
      </c>
      <c r="AA3077">
        <v>0.53529081201009554</v>
      </c>
      <c r="AB3077" t="str">
        <f>HYPERLINK("Melting_Curves/meltCurve_P63096_GNAI1.pdf", "Melting_Curves/meltCurve_P63096_GNAI1.pdf")</f>
        <v>Melting_Curves/meltCurve_P63096_GNAI1.pdf</v>
      </c>
    </row>
    <row r="3078" spans="1:28" x14ac:dyDescent="0.25">
      <c r="A3078" t="s">
        <v>3082</v>
      </c>
      <c r="B3078">
        <v>0.99252571173614901</v>
      </c>
      <c r="C3078">
        <v>1.0711076377802999</v>
      </c>
      <c r="D3078">
        <v>0.99249268288605097</v>
      </c>
      <c r="E3078">
        <v>0.91035176945150598</v>
      </c>
      <c r="F3078">
        <v>0.86660307527918601</v>
      </c>
      <c r="G3078">
        <v>0.66797980108375699</v>
      </c>
      <c r="H3078">
        <v>0.25226960507679103</v>
      </c>
      <c r="I3078">
        <v>0.127116054125162</v>
      </c>
      <c r="J3078">
        <v>0.12097394085870999</v>
      </c>
      <c r="K3078">
        <v>0.118333343094081</v>
      </c>
      <c r="L3078">
        <v>1458.84881985432</v>
      </c>
      <c r="M3078">
        <v>25.314649329403299</v>
      </c>
      <c r="N3078">
        <v>58.058156261986397</v>
      </c>
      <c r="O3078">
        <v>57.272626108515503</v>
      </c>
      <c r="P3078">
        <v>-0.101065678311737</v>
      </c>
      <c r="Q3078">
        <v>8.5395542420923801E-2</v>
      </c>
      <c r="R3078">
        <v>0.98960579346229105</v>
      </c>
      <c r="S3078" t="s">
        <v>9724</v>
      </c>
      <c r="T3078" t="s">
        <v>13290</v>
      </c>
      <c r="U3078" t="s">
        <v>13290</v>
      </c>
      <c r="V3078" t="s">
        <v>13290</v>
      </c>
      <c r="W3078" t="s">
        <v>16325</v>
      </c>
      <c r="X3078">
        <v>26</v>
      </c>
      <c r="Y3078" t="s">
        <v>22851</v>
      </c>
      <c r="Z3078" t="s">
        <v>29408</v>
      </c>
      <c r="AA3078">
        <v>0.63076861150938213</v>
      </c>
      <c r="AB3078" t="str">
        <f>HYPERLINK("Melting_Curves/meltCurve_P63104_YWHAZ.pdf", "Melting_Curves/meltCurve_P63104_YWHAZ.pdf")</f>
        <v>Melting_Curves/meltCurve_P63104_YWHAZ.pdf</v>
      </c>
    </row>
    <row r="3079" spans="1:28" x14ac:dyDescent="0.25">
      <c r="A3079" t="s">
        <v>3083</v>
      </c>
      <c r="B3079">
        <v>0.99252571173614901</v>
      </c>
      <c r="C3079">
        <v>0.96457962834104505</v>
      </c>
      <c r="D3079">
        <v>1.06018637738641</v>
      </c>
      <c r="E3079">
        <v>1.0248535075301399</v>
      </c>
      <c r="F3079">
        <v>0.94372619168140004</v>
      </c>
      <c r="G3079">
        <v>0.48070167721234702</v>
      </c>
      <c r="H3079">
        <v>0.21304944015692001</v>
      </c>
      <c r="I3079">
        <v>0.13108075144991299</v>
      </c>
      <c r="J3079">
        <v>0.121050283447753</v>
      </c>
      <c r="K3079">
        <v>0.10513220207466099</v>
      </c>
      <c r="L3079">
        <v>2235.1835420601201</v>
      </c>
      <c r="M3079">
        <v>39.663642645181199</v>
      </c>
      <c r="N3079">
        <v>56.771336819917401</v>
      </c>
      <c r="O3079">
        <v>56.210767217603397</v>
      </c>
      <c r="P3079">
        <v>-0.15407362904390801</v>
      </c>
      <c r="Q3079">
        <v>0.126597552972882</v>
      </c>
      <c r="R3079">
        <v>0.99480386356582595</v>
      </c>
      <c r="S3079" t="s">
        <v>9725</v>
      </c>
      <c r="T3079" t="s">
        <v>13290</v>
      </c>
      <c r="U3079" t="s">
        <v>13290</v>
      </c>
      <c r="V3079" t="s">
        <v>13290</v>
      </c>
      <c r="W3079" t="s">
        <v>16326</v>
      </c>
      <c r="X3079">
        <v>16</v>
      </c>
      <c r="Y3079" t="s">
        <v>22852</v>
      </c>
      <c r="Z3079" t="s">
        <v>29409</v>
      </c>
      <c r="AA3079">
        <v>0.60613438528673969</v>
      </c>
      <c r="AB3079" t="str">
        <f>HYPERLINK("Melting_Curves/meltCurve_P63151_PPP2R2A.pdf", "Melting_Curves/meltCurve_P63151_PPP2R2A.pdf")</f>
        <v>Melting_Curves/meltCurve_P63151_PPP2R2A.pdf</v>
      </c>
    </row>
    <row r="3080" spans="1:28" x14ac:dyDescent="0.25">
      <c r="A3080" t="s">
        <v>3084</v>
      </c>
      <c r="B3080">
        <v>0.99252571173614901</v>
      </c>
      <c r="C3080">
        <v>0.98897401892623105</v>
      </c>
      <c r="D3080">
        <v>0.87029916720664702</v>
      </c>
      <c r="E3080">
        <v>0.70632396955278198</v>
      </c>
      <c r="F3080">
        <v>0.35712872389523598</v>
      </c>
      <c r="G3080">
        <v>0.202139669680691</v>
      </c>
      <c r="H3080">
        <v>0.12417497538614999</v>
      </c>
      <c r="I3080">
        <v>0.122271376481307</v>
      </c>
      <c r="J3080">
        <v>0.15650582320282999</v>
      </c>
      <c r="K3080">
        <v>0.15132816942003199</v>
      </c>
      <c r="L3080">
        <v>1101.08654005374</v>
      </c>
      <c r="M3080">
        <v>21.671395719353601</v>
      </c>
      <c r="N3080">
        <v>51.506475417731799</v>
      </c>
      <c r="O3080">
        <v>50.381602444877998</v>
      </c>
      <c r="P3080">
        <v>-9.3852190289363799E-2</v>
      </c>
      <c r="Q3080">
        <v>0.127271456003195</v>
      </c>
      <c r="R3080">
        <v>0.99580094584863399</v>
      </c>
      <c r="S3080" t="s">
        <v>9726</v>
      </c>
      <c r="T3080" t="s">
        <v>13290</v>
      </c>
      <c r="U3080" t="s">
        <v>13290</v>
      </c>
      <c r="V3080" t="s">
        <v>13290</v>
      </c>
      <c r="W3080" t="s">
        <v>16327</v>
      </c>
      <c r="X3080">
        <v>8</v>
      </c>
      <c r="Y3080" t="s">
        <v>22853</v>
      </c>
      <c r="Z3080" t="s">
        <v>29410</v>
      </c>
      <c r="AA3080">
        <v>0.45209502526087808</v>
      </c>
      <c r="AB3080" t="str">
        <f>HYPERLINK("Melting_Curves/meltCurve_P63167_DYNLL1.pdf", "Melting_Curves/meltCurve_P63167_DYNLL1.pdf")</f>
        <v>Melting_Curves/meltCurve_P63167_DYNLL1.pdf</v>
      </c>
    </row>
    <row r="3081" spans="1:28" x14ac:dyDescent="0.25">
      <c r="A3081" t="s">
        <v>3085</v>
      </c>
      <c r="B3081">
        <v>0.99252571173614901</v>
      </c>
      <c r="C3081">
        <v>1.06359056046862</v>
      </c>
      <c r="D3081">
        <v>0.83703091018318398</v>
      </c>
      <c r="E3081">
        <v>0.71363872309306997</v>
      </c>
      <c r="F3081">
        <v>0.46059405278749099</v>
      </c>
      <c r="G3081">
        <v>0.25151359771586101</v>
      </c>
      <c r="H3081">
        <v>0.10636329401586</v>
      </c>
      <c r="I3081">
        <v>9.4882098506625406E-2</v>
      </c>
      <c r="J3081">
        <v>0.10815762233213599</v>
      </c>
      <c r="K3081">
        <v>0.101403261427757</v>
      </c>
      <c r="L3081">
        <v>868.71849384656105</v>
      </c>
      <c r="M3081">
        <v>16.7352861451234</v>
      </c>
      <c r="N3081">
        <v>52.382726148511097</v>
      </c>
      <c r="O3081">
        <v>51.185210803205599</v>
      </c>
      <c r="P3081">
        <v>-7.6008171139980304E-2</v>
      </c>
      <c r="Q3081">
        <v>7.0171404553634797E-2</v>
      </c>
      <c r="R3081">
        <v>0.98919551185600296</v>
      </c>
      <c r="S3081" t="s">
        <v>9727</v>
      </c>
      <c r="T3081" t="s">
        <v>13290</v>
      </c>
      <c r="U3081" t="s">
        <v>13290</v>
      </c>
      <c r="V3081" t="s">
        <v>13290</v>
      </c>
      <c r="W3081" t="s">
        <v>16328</v>
      </c>
      <c r="X3081">
        <v>3</v>
      </c>
      <c r="Y3081" t="s">
        <v>22854</v>
      </c>
      <c r="Z3081" t="s">
        <v>29411</v>
      </c>
      <c r="AA3081">
        <v>0.45680658534978458</v>
      </c>
      <c r="AB3081" t="str">
        <f>HYPERLINK("Melting_Curves/meltCurve_P63173_RPL38.pdf", "Melting_Curves/meltCurve_P63173_RPL38.pdf")</f>
        <v>Melting_Curves/meltCurve_P63173_RPL38.pdf</v>
      </c>
    </row>
    <row r="3082" spans="1:28" x14ac:dyDescent="0.25">
      <c r="A3082" t="s">
        <v>3086</v>
      </c>
      <c r="B3082">
        <v>0.99252571173614901</v>
      </c>
      <c r="C3082">
        <v>0.93420840322085497</v>
      </c>
      <c r="D3082">
        <v>0.90179726005784899</v>
      </c>
      <c r="E3082">
        <v>1.0287644003070699</v>
      </c>
      <c r="F3082">
        <v>0.77100786993231296</v>
      </c>
      <c r="G3082">
        <v>0.64366849623010003</v>
      </c>
      <c r="H3082">
        <v>0.49116963297550498</v>
      </c>
      <c r="I3082">
        <v>0.62449687006565902</v>
      </c>
      <c r="J3082">
        <v>0.99157716319751998</v>
      </c>
      <c r="K3082">
        <v>0.83118925446196201</v>
      </c>
      <c r="L3082">
        <v>13223.717520952099</v>
      </c>
      <c r="M3082">
        <v>250</v>
      </c>
      <c r="O3082">
        <v>52.891509034882098</v>
      </c>
      <c r="P3082">
        <v>-0.33509613579466402</v>
      </c>
      <c r="Q3082">
        <v>0.71642028271762803</v>
      </c>
      <c r="R3082">
        <v>0.44386434426340299</v>
      </c>
      <c r="S3082" t="s">
        <v>9728</v>
      </c>
      <c r="T3082" t="s">
        <v>13290</v>
      </c>
      <c r="U3082" t="s">
        <v>13290</v>
      </c>
      <c r="V3082" t="s">
        <v>13290</v>
      </c>
      <c r="W3082" t="s">
        <v>16329</v>
      </c>
      <c r="X3082">
        <v>3</v>
      </c>
      <c r="Y3082" t="s">
        <v>22855</v>
      </c>
      <c r="Z3082" t="s">
        <v>29412</v>
      </c>
      <c r="AA3082">
        <v>0.83833739442224842</v>
      </c>
      <c r="AB3082" t="str">
        <f>HYPERLINK("Melting_Curves/meltCurve_P63218_GNG5.pdf", "Melting_Curves/meltCurve_P63218_GNG5.pdf")</f>
        <v>Melting_Curves/meltCurve_P63218_GNG5.pdf</v>
      </c>
    </row>
    <row r="3083" spans="1:28" x14ac:dyDescent="0.25">
      <c r="A3083" t="s">
        <v>3087</v>
      </c>
      <c r="B3083">
        <v>0.99252571173614901</v>
      </c>
      <c r="C3083">
        <v>0.88320899244343898</v>
      </c>
      <c r="D3083">
        <v>0.67637417129197397</v>
      </c>
      <c r="E3083">
        <v>0.38085023311195598</v>
      </c>
      <c r="F3083">
        <v>0.35078741967495303</v>
      </c>
      <c r="G3083">
        <v>0.16632544542941399</v>
      </c>
      <c r="H3083">
        <v>6.8967817632102399E-2</v>
      </c>
      <c r="I3083">
        <v>5.7459877340208299E-2</v>
      </c>
      <c r="J3083">
        <v>5.8603370068104899E-2</v>
      </c>
      <c r="K3083">
        <v>5.6405455273784502E-2</v>
      </c>
      <c r="L3083">
        <v>651.17155664359996</v>
      </c>
      <c r="M3083">
        <v>13.4125396024012</v>
      </c>
      <c r="N3083">
        <v>48.823581179003398</v>
      </c>
      <c r="O3083">
        <v>47.508331903203</v>
      </c>
      <c r="P3083">
        <v>-6.8030663575480196E-2</v>
      </c>
      <c r="Q3083">
        <v>3.6269655248800499E-2</v>
      </c>
      <c r="R3083">
        <v>0.98619709944439304</v>
      </c>
      <c r="S3083" t="s">
        <v>9729</v>
      </c>
      <c r="T3083" t="s">
        <v>13290</v>
      </c>
      <c r="U3083" t="s">
        <v>13290</v>
      </c>
      <c r="V3083" t="s">
        <v>13290</v>
      </c>
      <c r="W3083" t="s">
        <v>16330</v>
      </c>
      <c r="X3083">
        <v>23</v>
      </c>
      <c r="Y3083" t="s">
        <v>22856</v>
      </c>
      <c r="Z3083" t="s">
        <v>29413</v>
      </c>
      <c r="AA3083">
        <v>0.34079091807436229</v>
      </c>
      <c r="AB3083" t="str">
        <f>HYPERLINK("Melting_Curves/meltCurve_P63244_GNB2L1.pdf", "Melting_Curves/meltCurve_P63244_GNB2L1.pdf")</f>
        <v>Melting_Curves/meltCurve_P63244_GNB2L1.pdf</v>
      </c>
    </row>
    <row r="3084" spans="1:28" x14ac:dyDescent="0.25">
      <c r="A3084" t="s">
        <v>3088</v>
      </c>
      <c r="B3084">
        <v>0.99252571173614901</v>
      </c>
      <c r="C3084">
        <v>0.881986497665321</v>
      </c>
      <c r="D3084">
        <v>0.93935412974968102</v>
      </c>
      <c r="E3084">
        <v>0.51094626412464705</v>
      </c>
      <c r="F3084">
        <v>0.25292528246058998</v>
      </c>
      <c r="G3084">
        <v>0.16817191760480901</v>
      </c>
      <c r="H3084">
        <v>0.10132472659203701</v>
      </c>
      <c r="I3084">
        <v>5.7484991004592603E-2</v>
      </c>
      <c r="J3084">
        <v>5.5404791384956999E-2</v>
      </c>
      <c r="K3084">
        <v>6.7648002890048506E-2</v>
      </c>
      <c r="L3084">
        <v>1086.79821816717</v>
      </c>
      <c r="M3084">
        <v>21.855073407104602</v>
      </c>
      <c r="N3084">
        <v>50.076300929576199</v>
      </c>
      <c r="O3084">
        <v>49.316783401501198</v>
      </c>
      <c r="P3084">
        <v>-0.10296947371814601</v>
      </c>
      <c r="Q3084">
        <v>7.0603558468776195E-2</v>
      </c>
      <c r="R3084">
        <v>0.98735765927599595</v>
      </c>
      <c r="S3084" t="s">
        <v>9730</v>
      </c>
      <c r="T3084" t="s">
        <v>13290</v>
      </c>
      <c r="U3084" t="s">
        <v>13290</v>
      </c>
      <c r="V3084" t="s">
        <v>13290</v>
      </c>
      <c r="W3084" t="s">
        <v>16331</v>
      </c>
      <c r="X3084">
        <v>2</v>
      </c>
      <c r="Y3084" t="s">
        <v>22857</v>
      </c>
      <c r="Z3084" t="s">
        <v>29414</v>
      </c>
      <c r="AA3084">
        <v>0.38282056997303748</v>
      </c>
      <c r="AB3084" t="str">
        <f>HYPERLINK("Melting_Curves/meltCurve_P63272_SUPT4H1.pdf", "Melting_Curves/meltCurve_P63272_SUPT4H1.pdf")</f>
        <v>Melting_Curves/meltCurve_P63272_SUPT4H1.pdf</v>
      </c>
    </row>
    <row r="3085" spans="1:28" x14ac:dyDescent="0.25">
      <c r="A3085" t="s">
        <v>3089</v>
      </c>
      <c r="B3085">
        <v>0.99252571173614901</v>
      </c>
      <c r="C3085">
        <v>0.99093990695072098</v>
      </c>
      <c r="D3085">
        <v>1.0592842348406899</v>
      </c>
      <c r="E3085">
        <v>1.01769334389716</v>
      </c>
      <c r="F3085">
        <v>0.84957563182386298</v>
      </c>
      <c r="G3085">
        <v>0.71010734389309005</v>
      </c>
      <c r="H3085">
        <v>0.40132387945582598</v>
      </c>
      <c r="I3085">
        <v>0.16906841432877501</v>
      </c>
      <c r="J3085">
        <v>0.14154766288460499</v>
      </c>
      <c r="K3085">
        <v>0.12878255622930801</v>
      </c>
      <c r="L3085">
        <v>1223.55950206784</v>
      </c>
      <c r="M3085">
        <v>20.850343054404</v>
      </c>
      <c r="N3085">
        <v>59.156309361340597</v>
      </c>
      <c r="O3085">
        <v>58.151146084341804</v>
      </c>
      <c r="P3085">
        <v>-8.27538921298413E-2</v>
      </c>
      <c r="Q3085">
        <v>7.6830479689592904E-2</v>
      </c>
      <c r="R3085">
        <v>0.991566968752432</v>
      </c>
      <c r="S3085" t="s">
        <v>9731</v>
      </c>
      <c r="T3085" t="s">
        <v>13290</v>
      </c>
      <c r="U3085" t="s">
        <v>13290</v>
      </c>
      <c r="V3085" t="s">
        <v>13290</v>
      </c>
      <c r="W3085" t="s">
        <v>16332</v>
      </c>
      <c r="X3085">
        <v>22</v>
      </c>
      <c r="Y3085" t="s">
        <v>22858</v>
      </c>
      <c r="Z3085" t="s">
        <v>29415</v>
      </c>
      <c r="AA3085">
        <v>0.66113255433746088</v>
      </c>
      <c r="AB3085" t="str">
        <f>HYPERLINK("Melting_Curves/meltCurve_P67775_PPP2CA.pdf", "Melting_Curves/meltCurve_P67775_PPP2CA.pdf")</f>
        <v>Melting_Curves/meltCurve_P67775_PPP2CA.pdf</v>
      </c>
    </row>
    <row r="3086" spans="1:28" x14ac:dyDescent="0.25">
      <c r="A3086" t="s">
        <v>3090</v>
      </c>
      <c r="B3086">
        <v>0.99252571173614901</v>
      </c>
      <c r="C3086">
        <v>0.97102475129490395</v>
      </c>
      <c r="D3086">
        <v>0.95258685799292797</v>
      </c>
      <c r="E3086">
        <v>0.82904882016246695</v>
      </c>
      <c r="F3086">
        <v>0.65882295559940196</v>
      </c>
      <c r="G3086">
        <v>0.46923141194596002</v>
      </c>
      <c r="H3086">
        <v>0.48685038293971</v>
      </c>
      <c r="I3086">
        <v>0.60412020320567905</v>
      </c>
      <c r="J3086">
        <v>0.88355524359199999</v>
      </c>
      <c r="K3086">
        <v>1.0779997492592199</v>
      </c>
      <c r="L3086">
        <v>12387.2817834492</v>
      </c>
      <c r="M3086">
        <v>250</v>
      </c>
      <c r="O3086">
        <v>49.545966302637602</v>
      </c>
      <c r="P3086">
        <v>-0.38251945680843102</v>
      </c>
      <c r="Q3086">
        <v>0.69676332339641001</v>
      </c>
      <c r="R3086">
        <v>0.34254457626638501</v>
      </c>
      <c r="S3086" t="s">
        <v>9732</v>
      </c>
      <c r="T3086" t="s">
        <v>13290</v>
      </c>
      <c r="U3086" t="s">
        <v>13290</v>
      </c>
      <c r="V3086" t="s">
        <v>13290</v>
      </c>
      <c r="W3086" t="s">
        <v>16333</v>
      </c>
      <c r="X3086">
        <v>8</v>
      </c>
      <c r="Y3086" t="s">
        <v>22859</v>
      </c>
      <c r="Z3086" t="s">
        <v>29416</v>
      </c>
      <c r="AA3086">
        <v>0.79331121145250838</v>
      </c>
      <c r="AB3086" t="str">
        <f>HYPERLINK("Melting_Curves/meltCurve_P67809_YBX1.pdf", "Melting_Curves/meltCurve_P67809_YBX1.pdf")</f>
        <v>Melting_Curves/meltCurve_P67809_YBX1.pdf</v>
      </c>
    </row>
    <row r="3087" spans="1:28" x14ac:dyDescent="0.25">
      <c r="A3087" t="s">
        <v>3091</v>
      </c>
      <c r="B3087">
        <v>0.99252571173614901</v>
      </c>
      <c r="C3087">
        <v>1.0692346408273199</v>
      </c>
      <c r="D3087">
        <v>0.95368272329252401</v>
      </c>
      <c r="E3087">
        <v>0.90277984177644699</v>
      </c>
      <c r="F3087">
        <v>0.96542725203312996</v>
      </c>
      <c r="G3087">
        <v>0.87485252339737796</v>
      </c>
      <c r="H3087">
        <v>0.92058857744727796</v>
      </c>
      <c r="I3087">
        <v>1.2905190807787801</v>
      </c>
      <c r="J3087">
        <v>1.8912903383320201</v>
      </c>
      <c r="K3087">
        <v>2.0738747298546301</v>
      </c>
      <c r="L3087">
        <v>15000</v>
      </c>
      <c r="M3087">
        <v>234.70220914331799</v>
      </c>
      <c r="O3087">
        <v>63.906134876319598</v>
      </c>
      <c r="P3087">
        <v>0.45907605733241802</v>
      </c>
      <c r="Q3087">
        <v>1.5</v>
      </c>
      <c r="R3087">
        <v>0.69241619101907703</v>
      </c>
      <c r="S3087" t="s">
        <v>9733</v>
      </c>
      <c r="T3087" t="s">
        <v>13290</v>
      </c>
      <c r="U3087" t="s">
        <v>13290</v>
      </c>
      <c r="V3087" t="s">
        <v>13290</v>
      </c>
      <c r="W3087" t="s">
        <v>16334</v>
      </c>
      <c r="X3087">
        <v>43</v>
      </c>
      <c r="Y3087" t="s">
        <v>21110</v>
      </c>
      <c r="Z3087" t="s">
        <v>29417</v>
      </c>
      <c r="AA3087">
        <v>1.101423457006089</v>
      </c>
      <c r="AB3087" t="str">
        <f>HYPERLINK("Melting_Curves/meltCurve_P67936_TPM4.pdf", "Melting_Curves/meltCurve_P67936_TPM4.pdf")</f>
        <v>Melting_Curves/meltCurve_P67936_TPM4.pdf</v>
      </c>
    </row>
    <row r="3088" spans="1:28" x14ac:dyDescent="0.25">
      <c r="A3088" t="s">
        <v>3092</v>
      </c>
      <c r="B3088">
        <v>0.99252571173614901</v>
      </c>
      <c r="C3088">
        <v>1.1342773707981</v>
      </c>
      <c r="D3088">
        <v>1.02652007198698</v>
      </c>
      <c r="E3088">
        <v>0.91312619562328201</v>
      </c>
      <c r="F3088">
        <v>0.67538065046485696</v>
      </c>
      <c r="G3088">
        <v>0.42955037903649401</v>
      </c>
      <c r="H3088">
        <v>0.23267581839048601</v>
      </c>
      <c r="I3088">
        <v>0.193880280300954</v>
      </c>
      <c r="J3088">
        <v>0.21219749873176</v>
      </c>
      <c r="K3088">
        <v>0.21059017529993199</v>
      </c>
      <c r="L3088">
        <v>1274.2771540318599</v>
      </c>
      <c r="M3088">
        <v>23.4772768831806</v>
      </c>
      <c r="N3088">
        <v>55.424235153730898</v>
      </c>
      <c r="O3088">
        <v>53.887836221453902</v>
      </c>
      <c r="P3088">
        <v>-8.7958984269665696E-2</v>
      </c>
      <c r="Q3088">
        <v>0.19243812751321501</v>
      </c>
      <c r="R3088">
        <v>0.983701048878591</v>
      </c>
      <c r="S3088" t="s">
        <v>9734</v>
      </c>
      <c r="T3088" t="s">
        <v>13290</v>
      </c>
      <c r="U3088" t="s">
        <v>13290</v>
      </c>
      <c r="V3088" t="s">
        <v>13290</v>
      </c>
      <c r="W3088" t="s">
        <v>16335</v>
      </c>
      <c r="X3088">
        <v>17</v>
      </c>
      <c r="Y3088" t="s">
        <v>22860</v>
      </c>
      <c r="Z3088" t="s">
        <v>29418</v>
      </c>
      <c r="AA3088">
        <v>0.58511842766145217</v>
      </c>
      <c r="AB3088" t="str">
        <f>HYPERLINK("Melting_Curves/meltCurve_P68036_UBE2L3.pdf", "Melting_Curves/meltCurve_P68036_UBE2L3.pdf")</f>
        <v>Melting_Curves/meltCurve_P68036_UBE2L3.pdf</v>
      </c>
    </row>
    <row r="3089" spans="1:28" x14ac:dyDescent="0.25">
      <c r="A3089" t="s">
        <v>3093</v>
      </c>
      <c r="B3089">
        <v>0.99252571173614901</v>
      </c>
      <c r="C3089">
        <v>0.87666381104826796</v>
      </c>
      <c r="D3089">
        <v>1.08713888532439</v>
      </c>
      <c r="E3089">
        <v>0.83371373328587095</v>
      </c>
      <c r="F3089">
        <v>0.58975307012570799</v>
      </c>
      <c r="G3089">
        <v>0.235005714246386</v>
      </c>
      <c r="H3089">
        <v>7.0493398933046403E-2</v>
      </c>
      <c r="I3089">
        <v>6.6508774893069195E-2</v>
      </c>
      <c r="J3089">
        <v>6.8731535248798103E-2</v>
      </c>
      <c r="K3089">
        <v>6.7239571719986999E-2</v>
      </c>
      <c r="L3089">
        <v>1319.4651691609599</v>
      </c>
      <c r="M3089">
        <v>24.628568274807499</v>
      </c>
      <c r="N3089">
        <v>53.808072525669402</v>
      </c>
      <c r="O3089">
        <v>53.225095317016901</v>
      </c>
      <c r="P3089">
        <v>-0.10981998354144699</v>
      </c>
      <c r="Q3089">
        <v>5.0680027951052302E-2</v>
      </c>
      <c r="R3089">
        <v>0.98216400299574802</v>
      </c>
      <c r="S3089" t="s">
        <v>9735</v>
      </c>
      <c r="T3089" t="s">
        <v>13290</v>
      </c>
      <c r="U3089" t="s">
        <v>13290</v>
      </c>
      <c r="V3089" t="s">
        <v>13290</v>
      </c>
      <c r="W3089" t="s">
        <v>16336</v>
      </c>
      <c r="X3089">
        <v>40</v>
      </c>
      <c r="Y3089" t="s">
        <v>22861</v>
      </c>
      <c r="Z3089" t="s">
        <v>29419</v>
      </c>
      <c r="AA3089">
        <v>0.48924966262392938</v>
      </c>
      <c r="AB3089" t="str">
        <f>HYPERLINK("Melting_Curves/meltCurve_P68104_EEF1A1.pdf", "Melting_Curves/meltCurve_P68104_EEF1A1.pdf")</f>
        <v>Melting_Curves/meltCurve_P68104_EEF1A1.pdf</v>
      </c>
    </row>
    <row r="3090" spans="1:28" x14ac:dyDescent="0.25">
      <c r="A3090" t="s">
        <v>3094</v>
      </c>
      <c r="B3090">
        <v>0.99252571173614901</v>
      </c>
      <c r="C3090">
        <v>0.97266815442760901</v>
      </c>
      <c r="D3090">
        <v>0.88458364746443197</v>
      </c>
      <c r="E3090">
        <v>0.62914070005337697</v>
      </c>
      <c r="F3090">
        <v>0.454550529542045</v>
      </c>
      <c r="G3090">
        <v>0.21100510284759999</v>
      </c>
      <c r="H3090">
        <v>0.13941127087522101</v>
      </c>
      <c r="I3090">
        <v>0.146237665308383</v>
      </c>
      <c r="J3090">
        <v>0.192664430369163</v>
      </c>
      <c r="K3090">
        <v>0.118309845085749</v>
      </c>
      <c r="L3090">
        <v>888.99436532856805</v>
      </c>
      <c r="M3090">
        <v>17.483484806343601</v>
      </c>
      <c r="N3090">
        <v>51.703870723896301</v>
      </c>
      <c r="O3090">
        <v>50.196456564012998</v>
      </c>
      <c r="P3090">
        <v>-7.6135112129319102E-2</v>
      </c>
      <c r="Q3090">
        <v>0.12568927119019699</v>
      </c>
      <c r="R3090">
        <v>0.99236594136505896</v>
      </c>
      <c r="S3090" t="s">
        <v>9736</v>
      </c>
      <c r="T3090" t="s">
        <v>13290</v>
      </c>
      <c r="U3090" t="s">
        <v>13290</v>
      </c>
      <c r="V3090" t="s">
        <v>13290</v>
      </c>
      <c r="W3090" t="s">
        <v>16337</v>
      </c>
      <c r="X3090">
        <v>23</v>
      </c>
      <c r="Y3090" t="s">
        <v>22862</v>
      </c>
      <c r="Z3090" t="s">
        <v>29420</v>
      </c>
      <c r="AA3090">
        <v>0.45738561112399989</v>
      </c>
      <c r="AB3090" t="str">
        <f>HYPERLINK("Melting_Curves/meltCurve_P68133_ACTA1.pdf", "Melting_Curves/meltCurve_P68133_ACTA1.pdf")</f>
        <v>Melting_Curves/meltCurve_P68133_ACTA1.pdf</v>
      </c>
    </row>
    <row r="3091" spans="1:28" x14ac:dyDescent="0.25">
      <c r="A3091" t="s">
        <v>3095</v>
      </c>
      <c r="B3091">
        <v>0.99252571173614901</v>
      </c>
      <c r="C3091">
        <v>0.86738220886077899</v>
      </c>
      <c r="D3091">
        <v>1.0048665277231701</v>
      </c>
      <c r="E3091">
        <v>0.84992815787939402</v>
      </c>
      <c r="F3091">
        <v>0.78708166108063904</v>
      </c>
      <c r="G3091">
        <v>0.58160647152929801</v>
      </c>
      <c r="H3091">
        <v>0.30704245974929201</v>
      </c>
      <c r="I3091">
        <v>9.30153751138387E-2</v>
      </c>
      <c r="J3091">
        <v>9.2341623973391795E-2</v>
      </c>
      <c r="K3091">
        <v>8.6117247655462595E-2</v>
      </c>
      <c r="L3091">
        <v>899.38863389760797</v>
      </c>
      <c r="M3091">
        <v>15.663679326917499</v>
      </c>
      <c r="N3091">
        <v>57.418733971741901</v>
      </c>
      <c r="O3091">
        <v>56.507291087995497</v>
      </c>
      <c r="P3091">
        <v>-6.9305280881010095E-2</v>
      </c>
      <c r="Q3091">
        <v>0</v>
      </c>
      <c r="R3091">
        <v>0.97745667584231999</v>
      </c>
      <c r="S3091" t="s">
        <v>9737</v>
      </c>
      <c r="T3091" t="s">
        <v>13290</v>
      </c>
      <c r="U3091" t="s">
        <v>13290</v>
      </c>
      <c r="V3091" t="s">
        <v>13290</v>
      </c>
      <c r="W3091" t="s">
        <v>16338</v>
      </c>
      <c r="X3091">
        <v>35</v>
      </c>
      <c r="Y3091" t="s">
        <v>22863</v>
      </c>
      <c r="Z3091" t="s">
        <v>29421</v>
      </c>
      <c r="AA3091">
        <v>0.59519862493467302</v>
      </c>
      <c r="AB3091" t="str">
        <f>HYPERLINK("Melting_Curves/meltCurve_P68363_TUBA1B.pdf", "Melting_Curves/meltCurve_P68363_TUBA1B.pdf")</f>
        <v>Melting_Curves/meltCurve_P68363_TUBA1B.pdf</v>
      </c>
    </row>
    <row r="3092" spans="1:28" x14ac:dyDescent="0.25">
      <c r="A3092" t="s">
        <v>3096</v>
      </c>
      <c r="B3092">
        <v>0.99252571173614901</v>
      </c>
      <c r="C3092">
        <v>0.98290450194170398</v>
      </c>
      <c r="D3092">
        <v>1.01236427197715</v>
      </c>
      <c r="E3092">
        <v>0.98695695934208405</v>
      </c>
      <c r="F3092">
        <v>0.88651683341590704</v>
      </c>
      <c r="G3092">
        <v>0.64279728701199801</v>
      </c>
      <c r="H3092">
        <v>0.33368889213186598</v>
      </c>
      <c r="I3092">
        <v>0.100291397881515</v>
      </c>
      <c r="J3092">
        <v>8.4903875489241304E-2</v>
      </c>
      <c r="K3092">
        <v>7.9502779733266402E-2</v>
      </c>
      <c r="L3092">
        <v>1309.3392818100699</v>
      </c>
      <c r="M3092">
        <v>22.501459340882601</v>
      </c>
      <c r="N3092">
        <v>58.3897981600226</v>
      </c>
      <c r="O3092">
        <v>57.735340105156702</v>
      </c>
      <c r="P3092">
        <v>-9.3809801160537595E-2</v>
      </c>
      <c r="Q3092">
        <v>3.7212643401503098E-2</v>
      </c>
      <c r="R3092">
        <v>0.99719713988998004</v>
      </c>
      <c r="S3092" t="s">
        <v>9738</v>
      </c>
      <c r="T3092" t="s">
        <v>13290</v>
      </c>
      <c r="U3092" t="s">
        <v>13290</v>
      </c>
      <c r="V3092" t="s">
        <v>13290</v>
      </c>
      <c r="W3092" t="s">
        <v>16339</v>
      </c>
      <c r="X3092">
        <v>40</v>
      </c>
      <c r="Y3092" t="s">
        <v>22864</v>
      </c>
      <c r="Z3092" t="s">
        <v>29422</v>
      </c>
      <c r="AA3092">
        <v>0.63043031205612177</v>
      </c>
      <c r="AB3092" t="str">
        <f>HYPERLINK("Melting_Curves/meltCurve_P68371_TUBB4B.pdf", "Melting_Curves/meltCurve_P68371_TUBB4B.pdf")</f>
        <v>Melting_Curves/meltCurve_P68371_TUBB4B.pdf</v>
      </c>
    </row>
    <row r="3093" spans="1:28" x14ac:dyDescent="0.25">
      <c r="A3093" t="s">
        <v>3097</v>
      </c>
      <c r="B3093">
        <v>0.99252571173614901</v>
      </c>
      <c r="C3093">
        <v>1.0842885768605199</v>
      </c>
      <c r="D3093">
        <v>0.75506959504530602</v>
      </c>
      <c r="E3093">
        <v>0.47165751820229401</v>
      </c>
      <c r="F3093">
        <v>0.25193690690560999</v>
      </c>
      <c r="G3093">
        <v>0.143656411351683</v>
      </c>
      <c r="H3093">
        <v>0.102757855637835</v>
      </c>
      <c r="I3093">
        <v>0.106169018136975</v>
      </c>
      <c r="J3093">
        <v>0.12730667353143299</v>
      </c>
      <c r="K3093">
        <v>0.122750391884569</v>
      </c>
      <c r="L3093">
        <v>1097.5667759979699</v>
      </c>
      <c r="M3093">
        <v>22.5526249835576</v>
      </c>
      <c r="N3093">
        <v>49.234341165019202</v>
      </c>
      <c r="O3093">
        <v>48.289126618508298</v>
      </c>
      <c r="P3093">
        <v>-0.103398315080376</v>
      </c>
      <c r="Q3093">
        <v>0.114442220035629</v>
      </c>
      <c r="R3093">
        <v>0.98511571198094305</v>
      </c>
      <c r="S3093" t="s">
        <v>9739</v>
      </c>
      <c r="T3093" t="s">
        <v>13290</v>
      </c>
      <c r="U3093" t="s">
        <v>13290</v>
      </c>
      <c r="V3093" t="s">
        <v>13290</v>
      </c>
      <c r="W3093" t="s">
        <v>16340</v>
      </c>
      <c r="X3093">
        <v>6</v>
      </c>
      <c r="Y3093" t="s">
        <v>22865</v>
      </c>
      <c r="Z3093" t="s">
        <v>29423</v>
      </c>
      <c r="AA3093">
        <v>0.3799834428514714</v>
      </c>
      <c r="AB3093" t="str">
        <f>HYPERLINK("Melting_Curves/meltCurve_P68402_PAFAH1B2.pdf", "Melting_Curves/meltCurve_P68402_PAFAH1B2.pdf")</f>
        <v>Melting_Curves/meltCurve_P68402_PAFAH1B2.pdf</v>
      </c>
    </row>
    <row r="3094" spans="1:28" x14ac:dyDescent="0.25">
      <c r="A3094" t="s">
        <v>3098</v>
      </c>
      <c r="B3094">
        <v>0.99252571173614901</v>
      </c>
      <c r="C3094">
        <v>1.03886402283852</v>
      </c>
      <c r="D3094">
        <v>0.88660106286876195</v>
      </c>
      <c r="E3094">
        <v>0.83979968090274104</v>
      </c>
      <c r="F3094">
        <v>0.55763105556848402</v>
      </c>
      <c r="G3094">
        <v>0.35267154518615501</v>
      </c>
      <c r="H3094">
        <v>0.42874152607272498</v>
      </c>
      <c r="I3094">
        <v>0.40431165872661301</v>
      </c>
      <c r="J3094">
        <v>0.63185536150645005</v>
      </c>
      <c r="K3094">
        <v>0.61043585093364405</v>
      </c>
      <c r="L3094">
        <v>1963.8738961210499</v>
      </c>
      <c r="M3094">
        <v>38.923229715304402</v>
      </c>
      <c r="N3094">
        <v>55.644790565671599</v>
      </c>
      <c r="O3094">
        <v>50.322430944319201</v>
      </c>
      <c r="P3094">
        <v>-9.9248045410279498E-2</v>
      </c>
      <c r="Q3094">
        <v>0.48674440963149401</v>
      </c>
      <c r="R3094">
        <v>0.86025669182765196</v>
      </c>
      <c r="S3094" t="s">
        <v>9740</v>
      </c>
      <c r="T3094" t="s">
        <v>13290</v>
      </c>
      <c r="U3094" t="s">
        <v>13290</v>
      </c>
      <c r="V3094" t="s">
        <v>13290</v>
      </c>
      <c r="W3094" t="s">
        <v>16341</v>
      </c>
      <c r="X3094">
        <v>4</v>
      </c>
      <c r="Y3094" t="s">
        <v>22866</v>
      </c>
      <c r="Z3094" t="s">
        <v>29424</v>
      </c>
      <c r="AA3094">
        <v>0.66750657391221424</v>
      </c>
      <c r="AB3094" t="str">
        <f>HYPERLINK("Melting_Curves/meltCurve_P69905_HBA1.pdf", "Melting_Curves/meltCurve_P69905_HBA1.pdf")</f>
        <v>Melting_Curves/meltCurve_P69905_HBA1.pdf</v>
      </c>
    </row>
    <row r="3095" spans="1:28" x14ac:dyDescent="0.25">
      <c r="A3095" t="s">
        <v>3099</v>
      </c>
      <c r="B3095">
        <v>0.99252571173614901</v>
      </c>
      <c r="C3095">
        <v>0.88131764190281003</v>
      </c>
      <c r="D3095">
        <v>0.82683006113092605</v>
      </c>
      <c r="E3095">
        <v>0.76408283964650203</v>
      </c>
      <c r="F3095">
        <v>0.64275922459467105</v>
      </c>
      <c r="G3095">
        <v>0.55828368121013106</v>
      </c>
      <c r="H3095">
        <v>0.49522159729616</v>
      </c>
      <c r="I3095">
        <v>0.63749923568238898</v>
      </c>
      <c r="J3095">
        <v>0.72806300446470096</v>
      </c>
      <c r="K3095">
        <v>0.50758847066510704</v>
      </c>
      <c r="L3095">
        <v>683.23902847364002</v>
      </c>
      <c r="M3095">
        <v>14.475067591468701</v>
      </c>
      <c r="O3095">
        <v>46.327663157091202</v>
      </c>
      <c r="P3095">
        <v>-3.3035514768724197E-2</v>
      </c>
      <c r="Q3095">
        <v>0.57712659199032101</v>
      </c>
      <c r="R3095">
        <v>0.81447468267254997</v>
      </c>
      <c r="S3095" t="s">
        <v>9741</v>
      </c>
      <c r="T3095" t="s">
        <v>13290</v>
      </c>
      <c r="U3095" t="s">
        <v>13290</v>
      </c>
      <c r="V3095" t="s">
        <v>13290</v>
      </c>
      <c r="W3095" t="s">
        <v>16342</v>
      </c>
      <c r="X3095">
        <v>14</v>
      </c>
      <c r="Y3095" t="s">
        <v>22867</v>
      </c>
      <c r="Z3095" t="s">
        <v>29425</v>
      </c>
      <c r="AA3095">
        <v>0.69083246042735891</v>
      </c>
      <c r="AB3095" t="str">
        <f>HYPERLINK("Melting_Curves/meltCurve_P78310_CXADR.pdf", "Melting_Curves/meltCurve_P78310_CXADR.pdf")</f>
        <v>Melting_Curves/meltCurve_P78310_CXADR.pdf</v>
      </c>
    </row>
    <row r="3096" spans="1:28" x14ac:dyDescent="0.25">
      <c r="A3096" t="s">
        <v>3100</v>
      </c>
      <c r="B3096">
        <v>0.99252571173614901</v>
      </c>
      <c r="C3096">
        <v>1.0420451022381501</v>
      </c>
      <c r="D3096">
        <v>0.92742807163524599</v>
      </c>
      <c r="E3096">
        <v>0.63236562367481197</v>
      </c>
      <c r="F3096">
        <v>0.22499225529087899</v>
      </c>
      <c r="G3096">
        <v>0.133979336416192</v>
      </c>
      <c r="H3096">
        <v>9.3903275988753795E-2</v>
      </c>
      <c r="I3096">
        <v>8.7713300975675104E-2</v>
      </c>
      <c r="J3096">
        <v>9.2033072620543693E-2</v>
      </c>
      <c r="K3096">
        <v>9.2746695261449796E-2</v>
      </c>
      <c r="L3096">
        <v>1498.35373343627</v>
      </c>
      <c r="M3096">
        <v>29.850532478087501</v>
      </c>
      <c r="N3096">
        <v>50.539258424969802</v>
      </c>
      <c r="O3096">
        <v>49.971550683523397</v>
      </c>
      <c r="P3096">
        <v>-0.13560799387327899</v>
      </c>
      <c r="Q3096">
        <v>9.1942922993637793E-2</v>
      </c>
      <c r="R3096">
        <v>0.99810591755206801</v>
      </c>
      <c r="S3096" t="s">
        <v>9742</v>
      </c>
      <c r="T3096" t="s">
        <v>13290</v>
      </c>
      <c r="U3096" t="s">
        <v>13290</v>
      </c>
      <c r="V3096" t="s">
        <v>13290</v>
      </c>
      <c r="W3096" t="s">
        <v>16343</v>
      </c>
      <c r="X3096">
        <v>14</v>
      </c>
      <c r="Y3096" t="s">
        <v>22868</v>
      </c>
      <c r="Z3096" t="s">
        <v>29426</v>
      </c>
      <c r="AA3096">
        <v>0.4062287784070559</v>
      </c>
      <c r="AB3096" t="str">
        <f>HYPERLINK("Melting_Curves/meltCurve_P78318_IGBP1.pdf", "Melting_Curves/meltCurve_P78318_IGBP1.pdf")</f>
        <v>Melting_Curves/meltCurve_P78318_IGBP1.pdf</v>
      </c>
    </row>
    <row r="3097" spans="1:28" x14ac:dyDescent="0.25">
      <c r="A3097" t="s">
        <v>3101</v>
      </c>
      <c r="B3097">
        <v>0.99252571173614901</v>
      </c>
      <c r="C3097">
        <v>1.0949504640437899</v>
      </c>
      <c r="D3097">
        <v>0.99370308391149398</v>
      </c>
      <c r="E3097">
        <v>0.92018670190520402</v>
      </c>
      <c r="F3097">
        <v>0.86453374019406404</v>
      </c>
      <c r="G3097">
        <v>0.79081230648946499</v>
      </c>
      <c r="H3097">
        <v>0.71501824742111697</v>
      </c>
      <c r="I3097">
        <v>0.79863891994049696</v>
      </c>
      <c r="J3097">
        <v>0.315198094029146</v>
      </c>
      <c r="K3097">
        <v>0.160907073415444</v>
      </c>
      <c r="L3097">
        <v>1005.3097265425901</v>
      </c>
      <c r="M3097">
        <v>15.4284743859657</v>
      </c>
      <c r="N3097">
        <v>65.159373672481806</v>
      </c>
      <c r="O3097">
        <v>64.094138743584793</v>
      </c>
      <c r="P3097">
        <v>-6.0184401571822102E-2</v>
      </c>
      <c r="Q3097">
        <v>0</v>
      </c>
      <c r="R3097">
        <v>0.86888233887018596</v>
      </c>
      <c r="S3097" t="s">
        <v>9743</v>
      </c>
      <c r="T3097" t="s">
        <v>13290</v>
      </c>
      <c r="U3097" t="s">
        <v>13290</v>
      </c>
      <c r="V3097" t="s">
        <v>13290</v>
      </c>
      <c r="W3097" t="s">
        <v>16344</v>
      </c>
      <c r="X3097">
        <v>18</v>
      </c>
      <c r="Y3097" t="s">
        <v>22869</v>
      </c>
      <c r="Z3097" t="s">
        <v>29427</v>
      </c>
      <c r="AA3097">
        <v>0.81317486067077094</v>
      </c>
      <c r="AB3097" t="str">
        <f>HYPERLINK("Melting_Curves/meltCurve_P78330_PSPH.pdf", "Melting_Curves/meltCurve_P78330_PSPH.pdf")</f>
        <v>Melting_Curves/meltCurve_P78330_PSPH.pdf</v>
      </c>
    </row>
    <row r="3098" spans="1:28" x14ac:dyDescent="0.25">
      <c r="A3098" t="s">
        <v>3102</v>
      </c>
      <c r="B3098">
        <v>0.99252571173614901</v>
      </c>
      <c r="C3098">
        <v>0.88704640977419602</v>
      </c>
      <c r="D3098">
        <v>0.62706726055288597</v>
      </c>
      <c r="E3098">
        <v>0.40979744165037602</v>
      </c>
      <c r="F3098">
        <v>0.24031890869755199</v>
      </c>
      <c r="G3098">
        <v>0.16221556483852101</v>
      </c>
      <c r="H3098">
        <v>0.14690624935601199</v>
      </c>
      <c r="I3098">
        <v>0.152077463483662</v>
      </c>
      <c r="J3098">
        <v>0.21580958290289801</v>
      </c>
      <c r="K3098">
        <v>0.262887483015871</v>
      </c>
      <c r="L3098">
        <v>948.37793967325194</v>
      </c>
      <c r="M3098">
        <v>20.325034778828201</v>
      </c>
      <c r="N3098">
        <v>47.7405232294795</v>
      </c>
      <c r="O3098">
        <v>46.215938104058601</v>
      </c>
      <c r="P3098">
        <v>-8.9687105534753897E-2</v>
      </c>
      <c r="Q3098">
        <v>0.184287321199261</v>
      </c>
      <c r="R3098">
        <v>0.983942773525329</v>
      </c>
      <c r="S3098" t="s">
        <v>9744</v>
      </c>
      <c r="T3098" t="s">
        <v>13290</v>
      </c>
      <c r="U3098" t="s">
        <v>13290</v>
      </c>
      <c r="V3098" t="s">
        <v>13290</v>
      </c>
      <c r="W3098" t="s">
        <v>16345</v>
      </c>
      <c r="X3098">
        <v>17</v>
      </c>
      <c r="Y3098" t="s">
        <v>22870</v>
      </c>
      <c r="Z3098" t="s">
        <v>29428</v>
      </c>
      <c r="AA3098">
        <v>0.37708498249061417</v>
      </c>
      <c r="AB3098" t="str">
        <f>HYPERLINK("Melting_Curves/meltCurve_P78332_RBM6.pdf", "Melting_Curves/meltCurve_P78332_RBM6.pdf")</f>
        <v>Melting_Curves/meltCurve_P78332_RBM6.pdf</v>
      </c>
    </row>
    <row r="3099" spans="1:28" x14ac:dyDescent="0.25">
      <c r="A3099" t="s">
        <v>3103</v>
      </c>
      <c r="B3099">
        <v>0.99252571173614901</v>
      </c>
      <c r="C3099">
        <v>0.96008760610045796</v>
      </c>
      <c r="D3099">
        <v>1.16842704863266</v>
      </c>
      <c r="E3099">
        <v>1.2691867204966101</v>
      </c>
      <c r="F3099">
        <v>0.65723016095914499</v>
      </c>
      <c r="G3099">
        <v>0.27337998002491198</v>
      </c>
      <c r="H3099">
        <v>0.19465069631875301</v>
      </c>
      <c r="I3099">
        <v>0.18852127549051301</v>
      </c>
      <c r="J3099">
        <v>0.23249767390252399</v>
      </c>
      <c r="K3099">
        <v>0.23526439524652701</v>
      </c>
      <c r="L3099">
        <v>8017.2521207069904</v>
      </c>
      <c r="M3099">
        <v>150.46779843886699</v>
      </c>
      <c r="N3099">
        <v>53.494522941968803</v>
      </c>
      <c r="O3099">
        <v>53.272767864629799</v>
      </c>
      <c r="P3099">
        <v>-0.54735160460757004</v>
      </c>
      <c r="Q3099">
        <v>0.22484584820343101</v>
      </c>
      <c r="R3099">
        <v>0.93918998251419805</v>
      </c>
      <c r="S3099" t="s">
        <v>9745</v>
      </c>
      <c r="T3099" t="s">
        <v>13290</v>
      </c>
      <c r="U3099" t="s">
        <v>13290</v>
      </c>
      <c r="V3099" t="s">
        <v>13290</v>
      </c>
      <c r="W3099" t="s">
        <v>16346</v>
      </c>
      <c r="X3099">
        <v>3</v>
      </c>
      <c r="Y3099" t="s">
        <v>22871</v>
      </c>
      <c r="Z3099" t="s">
        <v>29429</v>
      </c>
      <c r="AA3099">
        <v>0.56823721926606852</v>
      </c>
      <c r="AB3099" t="str">
        <f>HYPERLINK("Melting_Curves/meltCurve_P78345_RPP38.pdf", "Melting_Curves/meltCurve_P78345_RPP38.pdf")</f>
        <v>Melting_Curves/meltCurve_P78345_RPP38.pdf</v>
      </c>
    </row>
    <row r="3100" spans="1:28" x14ac:dyDescent="0.25">
      <c r="A3100" t="s">
        <v>3104</v>
      </c>
      <c r="B3100">
        <v>0.99252571173614901</v>
      </c>
      <c r="C3100">
        <v>0.96930105590893101</v>
      </c>
      <c r="D3100">
        <v>1.03391013397933</v>
      </c>
      <c r="E3100">
        <v>0.99184001571299296</v>
      </c>
      <c r="F3100">
        <v>1.2361058801598199</v>
      </c>
      <c r="G3100">
        <v>0.966851336486243</v>
      </c>
      <c r="H3100">
        <v>0.76512067772270498</v>
      </c>
      <c r="I3100">
        <v>0.56831462962395896</v>
      </c>
      <c r="J3100">
        <v>0.30918635663906102</v>
      </c>
      <c r="K3100">
        <v>0.21114580520089099</v>
      </c>
      <c r="L3100">
        <v>1656.88411178294</v>
      </c>
      <c r="M3100">
        <v>26.018430633198999</v>
      </c>
      <c r="N3100">
        <v>64.471470245415105</v>
      </c>
      <c r="O3100">
        <v>63.308571593263103</v>
      </c>
      <c r="P3100">
        <v>-8.8716859587355895E-2</v>
      </c>
      <c r="Q3100">
        <v>0.136539488974009</v>
      </c>
      <c r="R3100">
        <v>0.93823533454048502</v>
      </c>
      <c r="S3100" t="s">
        <v>9746</v>
      </c>
      <c r="T3100" t="s">
        <v>13290</v>
      </c>
      <c r="U3100" t="s">
        <v>13290</v>
      </c>
      <c r="V3100" t="s">
        <v>13290</v>
      </c>
      <c r="W3100" t="s">
        <v>16347</v>
      </c>
      <c r="X3100">
        <v>6</v>
      </c>
      <c r="Y3100" t="s">
        <v>22872</v>
      </c>
      <c r="Z3100" t="s">
        <v>29430</v>
      </c>
      <c r="AA3100">
        <v>0.81869014715922539</v>
      </c>
      <c r="AB3100" t="str">
        <f>HYPERLINK("Melting_Curves/meltCurve_P78346_RPP30.pdf", "Melting_Curves/meltCurve_P78346_RPP30.pdf")</f>
        <v>Melting_Curves/meltCurve_P78346_RPP30.pdf</v>
      </c>
    </row>
    <row r="3101" spans="1:28" x14ac:dyDescent="0.25">
      <c r="A3101" t="s">
        <v>3105</v>
      </c>
      <c r="B3101">
        <v>0.99252571173614901</v>
      </c>
      <c r="C3101">
        <v>0.76360272627104797</v>
      </c>
      <c r="D3101">
        <v>0.25368668506840703</v>
      </c>
      <c r="E3101">
        <v>0.161365688637473</v>
      </c>
      <c r="F3101">
        <v>9.4241720958871705E-2</v>
      </c>
      <c r="G3101">
        <v>5.5089001302763799E-2</v>
      </c>
      <c r="H3101">
        <v>4.1442854613071602E-2</v>
      </c>
      <c r="I3101">
        <v>4.2866927697697503E-2</v>
      </c>
      <c r="J3101">
        <v>4.6959559468222403E-2</v>
      </c>
      <c r="K3101">
        <v>4.6437338338711602E-2</v>
      </c>
      <c r="L3101">
        <v>1456.2980252270399</v>
      </c>
      <c r="M3101">
        <v>32.890182175816101</v>
      </c>
      <c r="N3101">
        <v>44.459519901542201</v>
      </c>
      <c r="O3101">
        <v>44.114879592818603</v>
      </c>
      <c r="P3101">
        <v>-0.17465568795197101</v>
      </c>
      <c r="Q3101">
        <v>6.2957092889748795E-2</v>
      </c>
      <c r="R3101">
        <v>0.99219733983213498</v>
      </c>
      <c r="S3101" t="s">
        <v>9747</v>
      </c>
      <c r="T3101" t="s">
        <v>13290</v>
      </c>
      <c r="U3101" t="s">
        <v>13290</v>
      </c>
      <c r="V3101" t="s">
        <v>13290</v>
      </c>
      <c r="W3101" t="s">
        <v>16348</v>
      </c>
      <c r="X3101">
        <v>49</v>
      </c>
      <c r="Y3101" t="s">
        <v>22873</v>
      </c>
      <c r="Z3101" t="s">
        <v>29431</v>
      </c>
      <c r="AA3101">
        <v>0.20177964137412521</v>
      </c>
      <c r="AB3101" t="str">
        <f>HYPERLINK("Melting_Curves/meltCurve_P78347_2_GTF2I.pdf", "Melting_Curves/meltCurve_P78347_2_GTF2I.pdf")</f>
        <v>Melting_Curves/meltCurve_P78347_2_GTF2I.pdf</v>
      </c>
    </row>
    <row r="3102" spans="1:28" x14ac:dyDescent="0.25">
      <c r="A3102" t="s">
        <v>3106</v>
      </c>
      <c r="B3102">
        <v>0.99252571173614901</v>
      </c>
      <c r="C3102">
        <v>0.96103863800926403</v>
      </c>
      <c r="D3102">
        <v>0.86487007396670201</v>
      </c>
      <c r="E3102">
        <v>0.48229463590774602</v>
      </c>
      <c r="F3102">
        <v>0.19098835470901501</v>
      </c>
      <c r="G3102">
        <v>0.110047831534566</v>
      </c>
      <c r="H3102">
        <v>7.5490075114157895E-2</v>
      </c>
      <c r="I3102">
        <v>7.4411674998679095E-2</v>
      </c>
      <c r="J3102">
        <v>7.1272052894795407E-2</v>
      </c>
      <c r="K3102">
        <v>5.7602056487166597E-2</v>
      </c>
      <c r="L3102">
        <v>1212.8368341176399</v>
      </c>
      <c r="M3102">
        <v>24.661568845173701</v>
      </c>
      <c r="N3102">
        <v>49.472225964490399</v>
      </c>
      <c r="O3102">
        <v>48.859281021031897</v>
      </c>
      <c r="P3102">
        <v>-0.11761445955954</v>
      </c>
      <c r="Q3102">
        <v>6.7946341839620103E-2</v>
      </c>
      <c r="R3102">
        <v>0.99963515682800796</v>
      </c>
      <c r="S3102" t="s">
        <v>9748</v>
      </c>
      <c r="T3102" t="s">
        <v>13290</v>
      </c>
      <c r="U3102" t="s">
        <v>13290</v>
      </c>
      <c r="V3102" t="s">
        <v>13290</v>
      </c>
      <c r="W3102" t="s">
        <v>16349</v>
      </c>
      <c r="X3102">
        <v>8</v>
      </c>
      <c r="Y3102" t="s">
        <v>22874</v>
      </c>
      <c r="Z3102" t="s">
        <v>29432</v>
      </c>
      <c r="AA3102">
        <v>0.36163459995751251</v>
      </c>
      <c r="AB3102" t="str">
        <f>HYPERLINK("Melting_Curves/meltCurve_P78356_PIP4K2B.pdf", "Melting_Curves/meltCurve_P78356_PIP4K2B.pdf")</f>
        <v>Melting_Curves/meltCurve_P78356_PIP4K2B.pdf</v>
      </c>
    </row>
    <row r="3103" spans="1:28" x14ac:dyDescent="0.25">
      <c r="A3103" t="s">
        <v>3107</v>
      </c>
      <c r="B3103">
        <v>0.99252571173614901</v>
      </c>
      <c r="C3103">
        <v>0.96734926448462399</v>
      </c>
      <c r="D3103">
        <v>0.79306413384230201</v>
      </c>
      <c r="E3103">
        <v>0.80662213914393699</v>
      </c>
      <c r="F3103">
        <v>0.51559258702244504</v>
      </c>
      <c r="G3103">
        <v>0.159598957202672</v>
      </c>
      <c r="H3103">
        <v>6.7902712750142397E-2</v>
      </c>
      <c r="I3103">
        <v>5.8152734703857997E-2</v>
      </c>
      <c r="J3103">
        <v>5.7798010678732498E-2</v>
      </c>
      <c r="K3103">
        <v>4.7199220444281098E-2</v>
      </c>
      <c r="L3103">
        <v>944.81655544299599</v>
      </c>
      <c r="M3103">
        <v>17.929263098148098</v>
      </c>
      <c r="N3103">
        <v>52.779454039970403</v>
      </c>
      <c r="O3103">
        <v>52.054457833590803</v>
      </c>
      <c r="P3103">
        <v>-8.49218098482169E-2</v>
      </c>
      <c r="Q3103">
        <v>1.38273430140469E-2</v>
      </c>
      <c r="R3103">
        <v>0.979518347334567</v>
      </c>
      <c r="S3103" t="s">
        <v>9749</v>
      </c>
      <c r="T3103" t="s">
        <v>13290</v>
      </c>
      <c r="U3103" t="s">
        <v>13290</v>
      </c>
      <c r="V3103" t="s">
        <v>13290</v>
      </c>
      <c r="W3103" t="s">
        <v>16350</v>
      </c>
      <c r="X3103">
        <v>7</v>
      </c>
      <c r="Y3103" t="s">
        <v>22875</v>
      </c>
      <c r="Z3103" t="s">
        <v>29433</v>
      </c>
      <c r="AA3103">
        <v>0.447546108537689</v>
      </c>
      <c r="AB3103" t="str">
        <f>HYPERLINK("Melting_Curves/meltCurve_P78368_CSNK1G2.pdf", "Melting_Curves/meltCurve_P78368_CSNK1G2.pdf")</f>
        <v>Melting_Curves/meltCurve_P78368_CSNK1G2.pdf</v>
      </c>
    </row>
    <row r="3104" spans="1:28" x14ac:dyDescent="0.25">
      <c r="A3104" t="s">
        <v>3108</v>
      </c>
      <c r="B3104">
        <v>0.99252571173614901</v>
      </c>
      <c r="C3104">
        <v>1.15411034451845</v>
      </c>
      <c r="D3104">
        <v>0.80259958557589595</v>
      </c>
      <c r="E3104">
        <v>0.74139078056979102</v>
      </c>
      <c r="F3104">
        <v>0.67067107736630305</v>
      </c>
      <c r="G3104">
        <v>0.44527506788785298</v>
      </c>
      <c r="H3104">
        <v>0.20603396217814701</v>
      </c>
      <c r="I3104">
        <v>8.9968740952607998E-2</v>
      </c>
      <c r="J3104">
        <v>7.9752857270123698E-2</v>
      </c>
      <c r="K3104">
        <v>7.1754858600650603E-2</v>
      </c>
      <c r="L3104">
        <v>707.61295755712797</v>
      </c>
      <c r="M3104">
        <v>12.852272587215399</v>
      </c>
      <c r="N3104">
        <v>55.057419044605702</v>
      </c>
      <c r="O3104">
        <v>53.775583123365699</v>
      </c>
      <c r="P3104">
        <v>-5.97606100756648E-2</v>
      </c>
      <c r="Q3104">
        <v>0</v>
      </c>
      <c r="R3104">
        <v>0.95857170041666195</v>
      </c>
      <c r="S3104" t="s">
        <v>9750</v>
      </c>
      <c r="T3104" t="s">
        <v>13290</v>
      </c>
      <c r="U3104" t="s">
        <v>13290</v>
      </c>
      <c r="V3104" t="s">
        <v>13290</v>
      </c>
      <c r="W3104" t="s">
        <v>16351</v>
      </c>
      <c r="X3104">
        <v>50</v>
      </c>
      <c r="Y3104" t="s">
        <v>22876</v>
      </c>
      <c r="Z3104" t="s">
        <v>29434</v>
      </c>
      <c r="AA3104">
        <v>0.52405845177052568</v>
      </c>
      <c r="AB3104" t="str">
        <f>HYPERLINK("Melting_Curves/meltCurve_P78371_CCT2.pdf", "Melting_Curves/meltCurve_P78371_CCT2.pdf")</f>
        <v>Melting_Curves/meltCurve_P78371_CCT2.pdf</v>
      </c>
    </row>
    <row r="3105" spans="1:28" x14ac:dyDescent="0.25">
      <c r="A3105" t="s">
        <v>3109</v>
      </c>
      <c r="B3105">
        <v>0.99252571173614901</v>
      </c>
      <c r="C3105">
        <v>0.85174565511804301</v>
      </c>
      <c r="D3105">
        <v>0.767524809191659</v>
      </c>
      <c r="E3105">
        <v>0.47788956472635802</v>
      </c>
      <c r="F3105">
        <v>0.215209240249534</v>
      </c>
      <c r="G3105">
        <v>9.0572237779470294E-2</v>
      </c>
      <c r="H3105">
        <v>6.3322721086363401E-2</v>
      </c>
      <c r="I3105">
        <v>5.0168997096647502E-2</v>
      </c>
      <c r="J3105">
        <v>5.4341176047102299E-2</v>
      </c>
      <c r="K3105">
        <v>5.0525634760653998E-2</v>
      </c>
      <c r="L3105">
        <v>814.64586572615099</v>
      </c>
      <c r="M3105">
        <v>16.6670939891495</v>
      </c>
      <c r="N3105">
        <v>49.065206859776097</v>
      </c>
      <c r="O3105">
        <v>48.190134853808203</v>
      </c>
      <c r="P3105">
        <v>-8.3800277807760407E-2</v>
      </c>
      <c r="Q3105">
        <v>3.0886364994123301E-2</v>
      </c>
      <c r="R3105">
        <v>0.99519710465879696</v>
      </c>
      <c r="S3105" t="s">
        <v>9751</v>
      </c>
      <c r="T3105" t="s">
        <v>13290</v>
      </c>
      <c r="U3105" t="s">
        <v>13290</v>
      </c>
      <c r="V3105" t="s">
        <v>13290</v>
      </c>
      <c r="W3105" t="s">
        <v>16352</v>
      </c>
      <c r="X3105">
        <v>14</v>
      </c>
      <c r="Y3105" t="s">
        <v>22877</v>
      </c>
      <c r="Z3105" t="s">
        <v>29435</v>
      </c>
      <c r="AA3105">
        <v>0.33726729870902122</v>
      </c>
      <c r="AB3105" t="str">
        <f>HYPERLINK("Melting_Curves/meltCurve_P78406_RAE1.pdf", "Melting_Curves/meltCurve_P78406_RAE1.pdf")</f>
        <v>Melting_Curves/meltCurve_P78406_RAE1.pdf</v>
      </c>
    </row>
    <row r="3106" spans="1:28" x14ac:dyDescent="0.25">
      <c r="A3106" t="s">
        <v>3110</v>
      </c>
      <c r="B3106">
        <v>0.99252571173614901</v>
      </c>
      <c r="C3106">
        <v>1.0949776658577799</v>
      </c>
      <c r="D3106">
        <v>1.0216844588320599</v>
      </c>
      <c r="E3106">
        <v>0.92181471577797103</v>
      </c>
      <c r="F3106">
        <v>0.83792098673243398</v>
      </c>
      <c r="G3106">
        <v>0.66126237756333395</v>
      </c>
      <c r="H3106">
        <v>0.48705361155642202</v>
      </c>
      <c r="I3106">
        <v>0.49018914714585299</v>
      </c>
      <c r="J3106">
        <v>0.417472142756737</v>
      </c>
      <c r="K3106">
        <v>0.25323448569331303</v>
      </c>
      <c r="L3106">
        <v>756.64539656739998</v>
      </c>
      <c r="M3106">
        <v>12.981866246851499</v>
      </c>
      <c r="N3106">
        <v>61.510390065149203</v>
      </c>
      <c r="O3106">
        <v>56.953760863926597</v>
      </c>
      <c r="P3106">
        <v>-4.2923261396038297E-2</v>
      </c>
      <c r="Q3106">
        <v>0.246885784459592</v>
      </c>
      <c r="R3106">
        <v>0.965887402395051</v>
      </c>
      <c r="S3106" t="s">
        <v>9752</v>
      </c>
      <c r="T3106" t="s">
        <v>13290</v>
      </c>
      <c r="U3106" t="s">
        <v>13290</v>
      </c>
      <c r="V3106" t="s">
        <v>13290</v>
      </c>
      <c r="W3106" t="s">
        <v>16353</v>
      </c>
      <c r="X3106">
        <v>13</v>
      </c>
      <c r="Y3106" t="s">
        <v>22878</v>
      </c>
      <c r="Z3106" t="s">
        <v>29436</v>
      </c>
      <c r="AA3106">
        <v>0.71507063410580129</v>
      </c>
      <c r="AB3106" t="str">
        <f>HYPERLINK("Melting_Curves/meltCurve_P78417_GSTO1.pdf", "Melting_Curves/meltCurve_P78417_GSTO1.pdf")</f>
        <v>Melting_Curves/meltCurve_P78417_GSTO1.pdf</v>
      </c>
    </row>
    <row r="3107" spans="1:28" x14ac:dyDescent="0.25">
      <c r="A3107" t="s">
        <v>3111</v>
      </c>
      <c r="B3107">
        <v>0.99252571173614901</v>
      </c>
      <c r="C3107">
        <v>0.970577887065875</v>
      </c>
      <c r="D3107">
        <v>0.91936320305530905</v>
      </c>
      <c r="E3107">
        <v>0.88233310772945595</v>
      </c>
      <c r="F3107">
        <v>0.33369180667764498</v>
      </c>
      <c r="G3107">
        <v>0.23901802726861601</v>
      </c>
      <c r="H3107">
        <v>0.19319494773430301</v>
      </c>
      <c r="I3107">
        <v>0.30167412597399401</v>
      </c>
      <c r="J3107">
        <v>0.50286748815267202</v>
      </c>
      <c r="K3107">
        <v>0.50702076365549298</v>
      </c>
      <c r="L3107">
        <v>12475.2155035872</v>
      </c>
      <c r="M3107">
        <v>250</v>
      </c>
      <c r="N3107">
        <v>50.137371843421199</v>
      </c>
      <c r="O3107">
        <v>49.897668704974798</v>
      </c>
      <c r="P3107">
        <v>-0.81887028753732705</v>
      </c>
      <c r="Q3107">
        <v>0.34624450784216798</v>
      </c>
      <c r="R3107">
        <v>0.89954726208080305</v>
      </c>
      <c r="S3107" t="s">
        <v>9753</v>
      </c>
      <c r="T3107" t="s">
        <v>13290</v>
      </c>
      <c r="U3107" t="s">
        <v>13290</v>
      </c>
      <c r="V3107" t="s">
        <v>13290</v>
      </c>
      <c r="W3107" t="s">
        <v>16354</v>
      </c>
      <c r="X3107">
        <v>1</v>
      </c>
      <c r="Y3107" t="s">
        <v>22879</v>
      </c>
      <c r="Z3107" t="s">
        <v>29437</v>
      </c>
      <c r="AA3107">
        <v>0.56205985793306101</v>
      </c>
      <c r="AB3107" t="str">
        <f>HYPERLINK("Melting_Curves/meltCurve_P78524_ST5.pdf", "Melting_Curves/meltCurve_P78524_ST5.pdf")</f>
        <v>Melting_Curves/meltCurve_P78524_ST5.pdf</v>
      </c>
    </row>
    <row r="3108" spans="1:28" x14ac:dyDescent="0.25">
      <c r="A3108" t="s">
        <v>3112</v>
      </c>
      <c r="B3108">
        <v>0.99252571173614901</v>
      </c>
      <c r="C3108">
        <v>0.80361251459096095</v>
      </c>
      <c r="D3108">
        <v>1.36678198464328</v>
      </c>
      <c r="E3108">
        <v>1.77574291022669</v>
      </c>
      <c r="F3108">
        <v>0.21578954790868099</v>
      </c>
      <c r="G3108">
        <v>0.155215711657504</v>
      </c>
      <c r="H3108">
        <v>0.10016785815258999</v>
      </c>
      <c r="I3108">
        <v>0.10515802912681201</v>
      </c>
      <c r="J3108">
        <v>0.11807304998356399</v>
      </c>
      <c r="K3108">
        <v>0.116663489066766</v>
      </c>
      <c r="L3108">
        <v>13188.668405558799</v>
      </c>
      <c r="M3108">
        <v>250</v>
      </c>
      <c r="N3108">
        <v>52.812137233754598</v>
      </c>
      <c r="O3108">
        <v>52.751297676650097</v>
      </c>
      <c r="P3108">
        <v>-1.04374748318831</v>
      </c>
      <c r="Q3108">
        <v>0.119055454134181</v>
      </c>
      <c r="R3108">
        <v>0.77585680756601305</v>
      </c>
      <c r="S3108" t="s">
        <v>9754</v>
      </c>
      <c r="T3108" t="s">
        <v>13290</v>
      </c>
      <c r="U3108" t="s">
        <v>13290</v>
      </c>
      <c r="V3108" t="s">
        <v>13290</v>
      </c>
      <c r="W3108" t="s">
        <v>16355</v>
      </c>
      <c r="X3108">
        <v>154</v>
      </c>
      <c r="Y3108" t="s">
        <v>22880</v>
      </c>
      <c r="Z3108" t="s">
        <v>29438</v>
      </c>
      <c r="AA3108">
        <v>0.4936756872393146</v>
      </c>
      <c r="AB3108" t="str">
        <f>HYPERLINK("Melting_Curves/meltCurve_P78527_PRKDC.pdf", "Melting_Curves/meltCurve_P78527_PRKDC.pdf")</f>
        <v>Melting_Curves/meltCurve_P78527_PRKDC.pdf</v>
      </c>
    </row>
    <row r="3109" spans="1:28" x14ac:dyDescent="0.25">
      <c r="A3109" t="s">
        <v>3113</v>
      </c>
      <c r="B3109">
        <v>0.99252571173614901</v>
      </c>
      <c r="C3109">
        <v>0.91184987499852899</v>
      </c>
      <c r="D3109">
        <v>0.991920734584816</v>
      </c>
      <c r="E3109">
        <v>0.98045741304713396</v>
      </c>
      <c r="F3109">
        <v>0.46056901539484701</v>
      </c>
      <c r="G3109">
        <v>0.20352503546839801</v>
      </c>
      <c r="H3109">
        <v>0.134434304778939</v>
      </c>
      <c r="I3109">
        <v>0.16820470923491401</v>
      </c>
      <c r="J3109">
        <v>0.232020637167418</v>
      </c>
      <c r="K3109">
        <v>0.21032620357191101</v>
      </c>
      <c r="L3109">
        <v>3155.3764626646298</v>
      </c>
      <c r="M3109">
        <v>59.9907666288846</v>
      </c>
      <c r="N3109">
        <v>53.013588867504403</v>
      </c>
      <c r="O3109">
        <v>52.539350350854001</v>
      </c>
      <c r="P3109">
        <v>-0.23187865105199301</v>
      </c>
      <c r="Q3109">
        <v>0.187691752205662</v>
      </c>
      <c r="R3109">
        <v>0.99000385519171397</v>
      </c>
      <c r="S3109" t="s">
        <v>9755</v>
      </c>
      <c r="T3109" t="s">
        <v>13290</v>
      </c>
      <c r="U3109" t="s">
        <v>13290</v>
      </c>
      <c r="V3109" t="s">
        <v>13290</v>
      </c>
      <c r="W3109" t="s">
        <v>16356</v>
      </c>
      <c r="X3109">
        <v>8</v>
      </c>
      <c r="Y3109" t="s">
        <v>22881</v>
      </c>
      <c r="Z3109" t="s">
        <v>29439</v>
      </c>
      <c r="AA3109">
        <v>0.53010591517005556</v>
      </c>
      <c r="AB3109" t="str">
        <f>HYPERLINK("Melting_Curves/meltCurve_P78536_ADAM17.pdf", "Melting_Curves/meltCurve_P78536_ADAM17.pdf")</f>
        <v>Melting_Curves/meltCurve_P78536_ADAM17.pdf</v>
      </c>
    </row>
    <row r="3110" spans="1:28" x14ac:dyDescent="0.25">
      <c r="A3110" t="s">
        <v>3114</v>
      </c>
      <c r="B3110">
        <v>0.99252571173614901</v>
      </c>
      <c r="C3110">
        <v>1.01420815036724</v>
      </c>
      <c r="D3110">
        <v>0.99520047950054003</v>
      </c>
      <c r="E3110">
        <v>0.90631908776446701</v>
      </c>
      <c r="F3110">
        <v>0.86587572757124098</v>
      </c>
      <c r="G3110">
        <v>0.72952276358722901</v>
      </c>
      <c r="H3110">
        <v>0.623823889418196</v>
      </c>
      <c r="I3110">
        <v>0.30714098984357502</v>
      </c>
      <c r="J3110">
        <v>0.107829274592911</v>
      </c>
      <c r="K3110">
        <v>0.10673089857605</v>
      </c>
      <c r="L3110">
        <v>980.59583734718603</v>
      </c>
      <c r="M3110">
        <v>16.075531802487301</v>
      </c>
      <c r="N3110">
        <v>60.999278266375697</v>
      </c>
      <c r="O3110">
        <v>60.078764172202398</v>
      </c>
      <c r="P3110">
        <v>-6.6898728643995695E-2</v>
      </c>
      <c r="Q3110">
        <v>0</v>
      </c>
      <c r="R3110">
        <v>0.97682626107662995</v>
      </c>
      <c r="S3110" t="s">
        <v>9756</v>
      </c>
      <c r="T3110" t="s">
        <v>13290</v>
      </c>
      <c r="U3110" t="s">
        <v>13290</v>
      </c>
      <c r="V3110" t="s">
        <v>13290</v>
      </c>
      <c r="W3110" t="s">
        <v>16357</v>
      </c>
      <c r="X3110">
        <v>19</v>
      </c>
      <c r="Y3110" t="s">
        <v>22882</v>
      </c>
      <c r="Z3110" t="s">
        <v>29440</v>
      </c>
      <c r="AA3110">
        <v>0.70376639794085416</v>
      </c>
      <c r="AB3110" t="str">
        <f>HYPERLINK("Melting_Curves/meltCurve_P78540_ARG2.pdf", "Melting_Curves/meltCurve_P78540_ARG2.pdf")</f>
        <v>Melting_Curves/meltCurve_P78540_ARG2.pdf</v>
      </c>
    </row>
    <row r="3111" spans="1:28" x14ac:dyDescent="0.25">
      <c r="A3111" t="s">
        <v>3115</v>
      </c>
      <c r="B3111">
        <v>0.99252571173614901</v>
      </c>
      <c r="C3111">
        <v>0.94475869205096696</v>
      </c>
      <c r="D3111">
        <v>0.58602181391921804</v>
      </c>
      <c r="E3111">
        <v>0.19756374813851299</v>
      </c>
      <c r="F3111">
        <v>0.123444031763168</v>
      </c>
      <c r="G3111">
        <v>6.3091355722000794E-2</v>
      </c>
      <c r="H3111">
        <v>6.2202955302635497E-2</v>
      </c>
      <c r="I3111">
        <v>7.8240334640759801E-2</v>
      </c>
      <c r="J3111">
        <v>0.104475189323452</v>
      </c>
      <c r="K3111">
        <v>0.15021453878314101</v>
      </c>
      <c r="L3111">
        <v>1480.02695441742</v>
      </c>
      <c r="M3111">
        <v>31.974796124381498</v>
      </c>
      <c r="N3111">
        <v>46.593658003909198</v>
      </c>
      <c r="O3111">
        <v>46.107376135499997</v>
      </c>
      <c r="P3111">
        <v>-0.156935805254411</v>
      </c>
      <c r="Q3111">
        <v>9.4804341843174794E-2</v>
      </c>
      <c r="R3111">
        <v>0.99501128741927103</v>
      </c>
      <c r="S3111" t="s">
        <v>9757</v>
      </c>
      <c r="T3111" t="s">
        <v>13290</v>
      </c>
      <c r="U3111" t="s">
        <v>13290</v>
      </c>
      <c r="V3111" t="s">
        <v>13290</v>
      </c>
      <c r="W3111" t="s">
        <v>16358</v>
      </c>
      <c r="X3111">
        <v>5</v>
      </c>
      <c r="Y3111" t="s">
        <v>22883</v>
      </c>
      <c r="Z3111" t="s">
        <v>29441</v>
      </c>
      <c r="AA3111">
        <v>0.28926961195357492</v>
      </c>
      <c r="AB3111" t="str">
        <f>HYPERLINK("Melting_Curves/meltCurve_P78549_NTHL1.pdf", "Melting_Curves/meltCurve_P78549_NTHL1.pdf")</f>
        <v>Melting_Curves/meltCurve_P78549_NTHL1.pdf</v>
      </c>
    </row>
    <row r="3112" spans="1:28" x14ac:dyDescent="0.25">
      <c r="A3112" t="s">
        <v>3116</v>
      </c>
      <c r="B3112">
        <v>0.99252571173614901</v>
      </c>
      <c r="C3112">
        <v>0.99213259435047796</v>
      </c>
      <c r="D3112">
        <v>0.93997051405843002</v>
      </c>
      <c r="E3112">
        <v>0.82653358427477597</v>
      </c>
      <c r="F3112">
        <v>0.76912908026613103</v>
      </c>
      <c r="G3112">
        <v>0.55125063718281098</v>
      </c>
      <c r="H3112">
        <v>0.15681161355464501</v>
      </c>
      <c r="I3112">
        <v>6.5467495590354599E-2</v>
      </c>
      <c r="J3112">
        <v>6.7548026513264595E-2</v>
      </c>
      <c r="K3112">
        <v>5.8355547169707499E-2</v>
      </c>
      <c r="L3112">
        <v>1011.03076729214</v>
      </c>
      <c r="M3112">
        <v>17.890436996144501</v>
      </c>
      <c r="N3112">
        <v>56.512357232554002</v>
      </c>
      <c r="O3112">
        <v>55.820468657778001</v>
      </c>
      <c r="P3112">
        <v>-8.0128945759939701E-2</v>
      </c>
      <c r="Q3112">
        <v>0</v>
      </c>
      <c r="R3112">
        <v>0.98429059902656202</v>
      </c>
      <c r="S3112" t="s">
        <v>9758</v>
      </c>
      <c r="T3112" t="s">
        <v>13290</v>
      </c>
      <c r="U3112" t="s">
        <v>13290</v>
      </c>
      <c r="V3112" t="s">
        <v>13290</v>
      </c>
      <c r="W3112" t="s">
        <v>16359</v>
      </c>
      <c r="X3112">
        <v>9</v>
      </c>
      <c r="Y3112" t="s">
        <v>22884</v>
      </c>
      <c r="Z3112" t="s">
        <v>29442</v>
      </c>
      <c r="AA3112">
        <v>0.5647585018433593</v>
      </c>
      <c r="AB3112" t="str">
        <f>HYPERLINK("Melting_Curves/meltCurve_P80217_IFI35.pdf", "Melting_Curves/meltCurve_P80217_IFI35.pdf")</f>
        <v>Melting_Curves/meltCurve_P80217_IFI35.pdf</v>
      </c>
    </row>
    <row r="3113" spans="1:28" x14ac:dyDescent="0.25">
      <c r="A3113" t="s">
        <v>3117</v>
      </c>
      <c r="B3113">
        <v>0.99252571173614901</v>
      </c>
      <c r="C3113">
        <v>1.06098838576249</v>
      </c>
      <c r="D3113">
        <v>1.22543437074247</v>
      </c>
      <c r="E3113">
        <v>1.1914205914706799</v>
      </c>
      <c r="F3113">
        <v>1.23165058575024</v>
      </c>
      <c r="G3113">
        <v>0.96445552545903501</v>
      </c>
      <c r="H3113">
        <v>1.65476545852976</v>
      </c>
      <c r="I3113">
        <v>1.9955827704938001</v>
      </c>
      <c r="J3113">
        <v>3.7255574110889</v>
      </c>
      <c r="K3113">
        <v>3.44212716895245</v>
      </c>
      <c r="L3113">
        <v>14641.8216615778</v>
      </c>
      <c r="M3113">
        <v>250</v>
      </c>
      <c r="O3113">
        <v>58.563524593346202</v>
      </c>
      <c r="P3113">
        <v>0.53360846503904902</v>
      </c>
      <c r="Q3113">
        <v>1.5</v>
      </c>
      <c r="R3113">
        <v>2.31075801162164E-2</v>
      </c>
      <c r="S3113" t="s">
        <v>9759</v>
      </c>
      <c r="T3113" t="s">
        <v>13290</v>
      </c>
      <c r="U3113" t="s">
        <v>13290</v>
      </c>
      <c r="V3113" t="s">
        <v>13290</v>
      </c>
      <c r="W3113" t="s">
        <v>16360</v>
      </c>
      <c r="X3113">
        <v>4</v>
      </c>
      <c r="Y3113" t="s">
        <v>22885</v>
      </c>
      <c r="Z3113" t="s">
        <v>29443</v>
      </c>
      <c r="AA3113">
        <v>1.190493830223216</v>
      </c>
      <c r="AB3113" t="str">
        <f>HYPERLINK("Melting_Curves/meltCurve_P80294_MT1H.pdf", "Melting_Curves/meltCurve_P80294_MT1H.pdf")</f>
        <v>Melting_Curves/meltCurve_P80294_MT1H.pdf</v>
      </c>
    </row>
    <row r="3114" spans="1:28" x14ac:dyDescent="0.25">
      <c r="A3114" t="s">
        <v>3118</v>
      </c>
      <c r="B3114">
        <v>0.99252571173614901</v>
      </c>
      <c r="C3114">
        <v>1.28315160312145</v>
      </c>
      <c r="D3114">
        <v>1.1869153960057801</v>
      </c>
      <c r="E3114">
        <v>1.8050654773299499</v>
      </c>
      <c r="F3114">
        <v>1.16063120649824</v>
      </c>
      <c r="G3114">
        <v>1.04016472230547</v>
      </c>
      <c r="H3114">
        <v>1.38637928577134</v>
      </c>
      <c r="I3114">
        <v>2.3368323309848802</v>
      </c>
      <c r="J3114">
        <v>3.3559444264373401</v>
      </c>
      <c r="K3114">
        <v>3.2418783486442502</v>
      </c>
      <c r="L3114">
        <v>958.69798127796298</v>
      </c>
      <c r="M3114">
        <v>21.785089981659802</v>
      </c>
      <c r="O3114">
        <v>43.641289980867903</v>
      </c>
      <c r="P3114">
        <v>6.2399607243714503E-2</v>
      </c>
      <c r="Q3114">
        <v>1.5</v>
      </c>
      <c r="R3114">
        <v>-6.0272837477021397E-2</v>
      </c>
      <c r="S3114" t="s">
        <v>9760</v>
      </c>
      <c r="T3114" t="s">
        <v>13290</v>
      </c>
      <c r="U3114" t="s">
        <v>13290</v>
      </c>
      <c r="V3114" t="s">
        <v>13290</v>
      </c>
      <c r="W3114" t="s">
        <v>16361</v>
      </c>
      <c r="X3114">
        <v>6</v>
      </c>
      <c r="Y3114" t="s">
        <v>22886</v>
      </c>
      <c r="Z3114" t="s">
        <v>29444</v>
      </c>
      <c r="AA3114">
        <v>1.425257798649376</v>
      </c>
      <c r="AB3114" t="str">
        <f>HYPERLINK("Melting_Curves/meltCurve_P80297_MT1X.pdf", "Melting_Curves/meltCurve_P80297_MT1X.pdf")</f>
        <v>Melting_Curves/meltCurve_P80297_MT1X.pdf</v>
      </c>
    </row>
    <row r="3115" spans="1:28" x14ac:dyDescent="0.25">
      <c r="A3115" t="s">
        <v>3119</v>
      </c>
      <c r="B3115">
        <v>0.99252571173614901</v>
      </c>
      <c r="C3115">
        <v>1.0579084521177899</v>
      </c>
      <c r="D3115">
        <v>0.96305453564668497</v>
      </c>
      <c r="E3115">
        <v>0.86098136569588601</v>
      </c>
      <c r="F3115">
        <v>0.77405527837288002</v>
      </c>
      <c r="G3115">
        <v>0.65049307274638302</v>
      </c>
      <c r="H3115">
        <v>0.56667255477755596</v>
      </c>
      <c r="I3115">
        <v>0.760776364944732</v>
      </c>
      <c r="J3115">
        <v>1.1567877257048</v>
      </c>
      <c r="K3115">
        <v>1.1909788441737299</v>
      </c>
      <c r="L3115">
        <v>3409.6425344171398</v>
      </c>
      <c r="M3115">
        <v>72.978399587418707</v>
      </c>
      <c r="O3115">
        <v>46.686210293139503</v>
      </c>
      <c r="P3115">
        <v>-5.8152749373165398E-2</v>
      </c>
      <c r="Q3115">
        <v>0.85119262734474899</v>
      </c>
      <c r="R3115">
        <v>0.126699001535612</v>
      </c>
      <c r="S3115" t="s">
        <v>9761</v>
      </c>
      <c r="T3115" t="s">
        <v>13290</v>
      </c>
      <c r="U3115" t="s">
        <v>13290</v>
      </c>
      <c r="V3115" t="s">
        <v>13290</v>
      </c>
      <c r="W3115" t="s">
        <v>16362</v>
      </c>
      <c r="X3115">
        <v>33</v>
      </c>
      <c r="Y3115" t="s">
        <v>22887</v>
      </c>
      <c r="Z3115" t="s">
        <v>29445</v>
      </c>
      <c r="AA3115">
        <v>0.88467525162014893</v>
      </c>
      <c r="AB3115" t="str">
        <f>HYPERLINK("Melting_Curves/meltCurve_P80303_NUCB2.pdf", "Melting_Curves/meltCurve_P80303_NUCB2.pdf")</f>
        <v>Melting_Curves/meltCurve_P80303_NUCB2.pdf</v>
      </c>
    </row>
    <row r="3116" spans="1:28" x14ac:dyDescent="0.25">
      <c r="A3116" t="s">
        <v>3120</v>
      </c>
      <c r="B3116">
        <v>0.99252571173614901</v>
      </c>
      <c r="C3116">
        <v>0.97697412245998205</v>
      </c>
      <c r="D3116">
        <v>0.87605225969775302</v>
      </c>
      <c r="E3116">
        <v>0.96509954528819097</v>
      </c>
      <c r="F3116">
        <v>0.86938625722283003</v>
      </c>
      <c r="G3116">
        <v>0.81992055580936196</v>
      </c>
      <c r="H3116">
        <v>0.89395302037549795</v>
      </c>
      <c r="I3116">
        <v>1.40168524877053</v>
      </c>
      <c r="J3116">
        <v>2.5287641833126102</v>
      </c>
      <c r="K3116">
        <v>2.2241848242595101</v>
      </c>
      <c r="L3116">
        <v>15000</v>
      </c>
      <c r="M3116">
        <v>235.78274239301101</v>
      </c>
      <c r="O3116">
        <v>63.613310616187803</v>
      </c>
      <c r="P3116">
        <v>0.46331251262031897</v>
      </c>
      <c r="Q3116">
        <v>1.5</v>
      </c>
      <c r="R3116">
        <v>0.51519148751723498</v>
      </c>
      <c r="S3116" t="s">
        <v>9762</v>
      </c>
      <c r="T3116" t="s">
        <v>13290</v>
      </c>
      <c r="U3116" t="s">
        <v>13290</v>
      </c>
      <c r="V3116" t="s">
        <v>13290</v>
      </c>
      <c r="W3116" t="s">
        <v>16363</v>
      </c>
      <c r="X3116">
        <v>25</v>
      </c>
      <c r="Y3116" t="s">
        <v>22888</v>
      </c>
      <c r="Z3116" t="s">
        <v>29446</v>
      </c>
      <c r="AA3116">
        <v>1.1063057791703319</v>
      </c>
      <c r="AB3116" t="str">
        <f>HYPERLINK("Melting_Curves/meltCurve_P80723_BASP1.pdf", "Melting_Curves/meltCurve_P80723_BASP1.pdf")</f>
        <v>Melting_Curves/meltCurve_P80723_BASP1.pdf</v>
      </c>
    </row>
    <row r="3117" spans="1:28" x14ac:dyDescent="0.25">
      <c r="A3117" t="s">
        <v>3121</v>
      </c>
      <c r="B3117">
        <v>0.99252571173614901</v>
      </c>
      <c r="C3117">
        <v>0.96044658665241001</v>
      </c>
      <c r="D3117">
        <v>0.73676362251040495</v>
      </c>
      <c r="E3117">
        <v>0.71639797852513798</v>
      </c>
      <c r="F3117">
        <v>0.58522704924410796</v>
      </c>
      <c r="G3117">
        <v>0.52753461189289896</v>
      </c>
      <c r="H3117">
        <v>0.71037454430811697</v>
      </c>
      <c r="I3117">
        <v>0.38002410395340402</v>
      </c>
      <c r="J3117">
        <v>0.633663158691262</v>
      </c>
      <c r="K3117">
        <v>0.416511492865135</v>
      </c>
      <c r="L3117">
        <v>682.47568851121105</v>
      </c>
      <c r="M3117">
        <v>14.421285756535401</v>
      </c>
      <c r="O3117">
        <v>46.442143026752298</v>
      </c>
      <c r="P3117">
        <v>-3.7568645497489402E-2</v>
      </c>
      <c r="Q3117">
        <v>0.51611457258995896</v>
      </c>
      <c r="R3117">
        <v>0.77037130254648001</v>
      </c>
      <c r="S3117" t="s">
        <v>9763</v>
      </c>
      <c r="T3117" t="s">
        <v>13290</v>
      </c>
      <c r="U3117" t="s">
        <v>13290</v>
      </c>
      <c r="V3117" t="s">
        <v>13290</v>
      </c>
      <c r="W3117" t="s">
        <v>16364</v>
      </c>
      <c r="X3117">
        <v>1</v>
      </c>
      <c r="Y3117" t="s">
        <v>22889</v>
      </c>
      <c r="Z3117" t="s">
        <v>29447</v>
      </c>
      <c r="AA3117">
        <v>0.64821169356885944</v>
      </c>
      <c r="AB3117" t="str">
        <f>HYPERLINK("Melting_Curves/meltCurve_P81605_DCD.pdf", "Melting_Curves/meltCurve_P81605_DCD.pdf")</f>
        <v>Melting_Curves/meltCurve_P81605_DCD.pdf</v>
      </c>
    </row>
    <row r="3118" spans="1:28" x14ac:dyDescent="0.25">
      <c r="A3118" t="s">
        <v>3122</v>
      </c>
      <c r="B3118">
        <v>0.99252571173614901</v>
      </c>
      <c r="C3118">
        <v>0.94996075924740797</v>
      </c>
      <c r="D3118">
        <v>0.82502810078477595</v>
      </c>
      <c r="E3118">
        <v>0.67054857349478303</v>
      </c>
      <c r="F3118">
        <v>0.40623397416686102</v>
      </c>
      <c r="G3118">
        <v>0.30737210490890599</v>
      </c>
      <c r="H3118">
        <v>0.29004929493335402</v>
      </c>
      <c r="I3118">
        <v>0.62112914743195602</v>
      </c>
      <c r="J3118">
        <v>1.21835645062297</v>
      </c>
      <c r="K3118">
        <v>1.50544139887388</v>
      </c>
      <c r="L3118">
        <v>1973.46296577883</v>
      </c>
      <c r="M3118">
        <v>43.647908513211902</v>
      </c>
      <c r="O3118">
        <v>45.118624137356697</v>
      </c>
      <c r="P3118">
        <v>-6.8289281074659994E-2</v>
      </c>
      <c r="Q3118">
        <v>0.71763920907192702</v>
      </c>
      <c r="R3118">
        <v>7.10812624703583E-2</v>
      </c>
      <c r="S3118" t="s">
        <v>9764</v>
      </c>
      <c r="T3118" t="s">
        <v>13290</v>
      </c>
      <c r="U3118" t="s">
        <v>13290</v>
      </c>
      <c r="V3118" t="s">
        <v>13290</v>
      </c>
      <c r="W3118" t="s">
        <v>16365</v>
      </c>
      <c r="X3118">
        <v>34</v>
      </c>
      <c r="Y3118" t="s">
        <v>22890</v>
      </c>
      <c r="Z3118" t="s">
        <v>29448</v>
      </c>
      <c r="AA3118">
        <v>0.76747133632641495</v>
      </c>
      <c r="AB3118" t="str">
        <f>HYPERLINK("Melting_Curves/meltCurve_P82094_TMF1.pdf", "Melting_Curves/meltCurve_P82094_TMF1.pdf")</f>
        <v>Melting_Curves/meltCurve_P82094_TMF1.pdf</v>
      </c>
    </row>
    <row r="3119" spans="1:28" x14ac:dyDescent="0.25">
      <c r="A3119" t="s">
        <v>3123</v>
      </c>
      <c r="B3119">
        <v>0.99252571173614901</v>
      </c>
      <c r="C3119">
        <v>0.95861279550115897</v>
      </c>
      <c r="D3119">
        <v>0.63974434099849198</v>
      </c>
      <c r="E3119">
        <v>0.36333843462669402</v>
      </c>
      <c r="F3119">
        <v>0.18123893433732299</v>
      </c>
      <c r="G3119">
        <v>0.119252738713609</v>
      </c>
      <c r="H3119">
        <v>0.10122364938235499</v>
      </c>
      <c r="I3119">
        <v>0.113667428232408</v>
      </c>
      <c r="J3119">
        <v>0.142712062214471</v>
      </c>
      <c r="K3119">
        <v>0.16386774358598499</v>
      </c>
      <c r="L3119">
        <v>1087.0062745089001</v>
      </c>
      <c r="M3119">
        <v>23.093725365201301</v>
      </c>
      <c r="N3119">
        <v>47.6683283546204</v>
      </c>
      <c r="O3119">
        <v>46.720658138706803</v>
      </c>
      <c r="P3119">
        <v>-0.108012570769809</v>
      </c>
      <c r="Q3119">
        <v>0.125940036775366</v>
      </c>
      <c r="R3119">
        <v>0.99336817123267696</v>
      </c>
      <c r="S3119" t="s">
        <v>9765</v>
      </c>
      <c r="T3119" t="s">
        <v>13290</v>
      </c>
      <c r="U3119" t="s">
        <v>13290</v>
      </c>
      <c r="V3119" t="s">
        <v>13290</v>
      </c>
      <c r="W3119" t="s">
        <v>16366</v>
      </c>
      <c r="X3119">
        <v>1</v>
      </c>
      <c r="Y3119" t="s">
        <v>22891</v>
      </c>
      <c r="Z3119" t="s">
        <v>29449</v>
      </c>
      <c r="AA3119">
        <v>0.3411915762667786</v>
      </c>
      <c r="AB3119" t="str">
        <f>HYPERLINK("Melting_Curves/meltCurve_P82664_MRPS10.pdf", "Melting_Curves/meltCurve_P82664_MRPS10.pdf")</f>
        <v>Melting_Curves/meltCurve_P82664_MRPS10.pdf</v>
      </c>
    </row>
    <row r="3120" spans="1:28" x14ac:dyDescent="0.25">
      <c r="A3120" t="s">
        <v>3124</v>
      </c>
      <c r="B3120">
        <v>0.99252571173614901</v>
      </c>
      <c r="C3120">
        <v>0.92064591070494795</v>
      </c>
      <c r="D3120">
        <v>0.54331156214578102</v>
      </c>
      <c r="E3120">
        <v>0.41738824261912599</v>
      </c>
      <c r="F3120">
        <v>0.13299057271877099</v>
      </c>
      <c r="G3120">
        <v>7.5358087351000302E-2</v>
      </c>
      <c r="H3120">
        <v>4.78673707418832E-2</v>
      </c>
      <c r="I3120">
        <v>4.50199269203106E-2</v>
      </c>
      <c r="J3120">
        <v>6.3083202816353101E-2</v>
      </c>
      <c r="K3120">
        <v>6.5268634937167405E-2</v>
      </c>
      <c r="L3120">
        <v>833.68364238628499</v>
      </c>
      <c r="M3120">
        <v>17.641138458079599</v>
      </c>
      <c r="N3120">
        <v>47.508543378328604</v>
      </c>
      <c r="O3120">
        <v>46.663214314662</v>
      </c>
      <c r="P3120">
        <v>-9.0318636020406406E-2</v>
      </c>
      <c r="Q3120">
        <v>4.4430603306703703E-2</v>
      </c>
      <c r="R3120">
        <v>0.98281021338292696</v>
      </c>
      <c r="S3120" t="s">
        <v>9766</v>
      </c>
      <c r="T3120" t="s">
        <v>13290</v>
      </c>
      <c r="U3120" t="s">
        <v>13290</v>
      </c>
      <c r="V3120" t="s">
        <v>13290</v>
      </c>
      <c r="W3120" t="s">
        <v>16367</v>
      </c>
      <c r="X3120">
        <v>6</v>
      </c>
      <c r="Y3120" t="s">
        <v>22892</v>
      </c>
      <c r="Z3120" t="s">
        <v>29450</v>
      </c>
      <c r="AA3120">
        <v>0.29380390432927728</v>
      </c>
      <c r="AB3120" t="str">
        <f>HYPERLINK("Melting_Curves/meltCurve_P82673_MRPS35.pdf", "Melting_Curves/meltCurve_P82673_MRPS35.pdf")</f>
        <v>Melting_Curves/meltCurve_P82673_MRPS35.pdf</v>
      </c>
    </row>
    <row r="3121" spans="1:28" x14ac:dyDescent="0.25">
      <c r="A3121" t="s">
        <v>3125</v>
      </c>
      <c r="B3121">
        <v>0.99252571173614901</v>
      </c>
      <c r="C3121">
        <v>0.83800365890665496</v>
      </c>
      <c r="D3121">
        <v>0.98713980196227702</v>
      </c>
      <c r="E3121">
        <v>0.78781049110952395</v>
      </c>
      <c r="F3121">
        <v>0.62569655092918897</v>
      </c>
      <c r="G3121">
        <v>0.44620100371579502</v>
      </c>
      <c r="H3121">
        <v>0.39721801474365998</v>
      </c>
      <c r="I3121">
        <v>0.40655413451464001</v>
      </c>
      <c r="J3121">
        <v>0.44733999935059399</v>
      </c>
      <c r="K3121">
        <v>0.70045620739063297</v>
      </c>
      <c r="L3121">
        <v>1347.09312684568</v>
      </c>
      <c r="M3121">
        <v>26.686762215912299</v>
      </c>
      <c r="N3121">
        <v>57.301316885270197</v>
      </c>
      <c r="O3121">
        <v>50.197067525372503</v>
      </c>
      <c r="P3121">
        <v>-6.92252961501406E-2</v>
      </c>
      <c r="Q3121">
        <v>0.47916187292893597</v>
      </c>
      <c r="R3121">
        <v>0.80987347135020704</v>
      </c>
      <c r="S3121" t="s">
        <v>9767</v>
      </c>
      <c r="T3121" t="s">
        <v>13290</v>
      </c>
      <c r="U3121" t="s">
        <v>13290</v>
      </c>
      <c r="V3121" t="s">
        <v>13290</v>
      </c>
      <c r="W3121" t="s">
        <v>16368</v>
      </c>
      <c r="X3121">
        <v>1</v>
      </c>
      <c r="Y3121" t="s">
        <v>22893</v>
      </c>
      <c r="Z3121" t="s">
        <v>29451</v>
      </c>
      <c r="AA3121">
        <v>0.66517936763984198</v>
      </c>
      <c r="AB3121" t="str">
        <f>HYPERLINK("Melting_Curves/meltCurve_P82675_MRPS5.pdf", "Melting_Curves/meltCurve_P82675_MRPS5.pdf")</f>
        <v>Melting_Curves/meltCurve_P82675_MRPS5.pdf</v>
      </c>
    </row>
    <row r="3122" spans="1:28" x14ac:dyDescent="0.25">
      <c r="A3122" t="s">
        <v>3126</v>
      </c>
      <c r="B3122">
        <v>0.99252571173614901</v>
      </c>
      <c r="C3122">
        <v>0.99621796683632002</v>
      </c>
      <c r="D3122">
        <v>0.96329012847625095</v>
      </c>
      <c r="E3122">
        <v>1.0584068480149</v>
      </c>
      <c r="F3122">
        <v>1.2374018896411501</v>
      </c>
      <c r="G3122">
        <v>1.0690695625344999</v>
      </c>
      <c r="H3122">
        <v>1.0409891711077299</v>
      </c>
      <c r="I3122">
        <v>1.3183899938152901</v>
      </c>
      <c r="J3122">
        <v>1.99619716938838</v>
      </c>
      <c r="K3122">
        <v>2.0879917891981901</v>
      </c>
      <c r="L3122">
        <v>15000</v>
      </c>
      <c r="M3122">
        <v>234.936637143642</v>
      </c>
      <c r="O3122">
        <v>63.842375825969199</v>
      </c>
      <c r="P3122">
        <v>0.45999352813120797</v>
      </c>
      <c r="Q3122">
        <v>1.5</v>
      </c>
      <c r="R3122">
        <v>0.58336060840071102</v>
      </c>
      <c r="S3122" t="s">
        <v>9768</v>
      </c>
      <c r="T3122" t="s">
        <v>13290</v>
      </c>
      <c r="U3122" t="s">
        <v>13290</v>
      </c>
      <c r="V3122" t="s">
        <v>13290</v>
      </c>
      <c r="W3122" t="s">
        <v>16369</v>
      </c>
      <c r="X3122">
        <v>7</v>
      </c>
      <c r="Y3122" t="s">
        <v>22894</v>
      </c>
      <c r="Z3122" t="s">
        <v>29452</v>
      </c>
      <c r="AA3122">
        <v>1.1024865207975281</v>
      </c>
      <c r="AB3122" t="str">
        <f>HYPERLINK("Melting_Curves/meltCurve_P82909_MRPS36.pdf", "Melting_Curves/meltCurve_P82909_MRPS36.pdf")</f>
        <v>Melting_Curves/meltCurve_P82909_MRPS36.pdf</v>
      </c>
    </row>
    <row r="3123" spans="1:28" x14ac:dyDescent="0.25">
      <c r="A3123" t="s">
        <v>3127</v>
      </c>
      <c r="B3123">
        <v>0.99252571173614901</v>
      </c>
      <c r="C3123">
        <v>2.0384864981474999</v>
      </c>
      <c r="D3123">
        <v>2.07673614316698</v>
      </c>
      <c r="E3123">
        <v>2.0794198948765201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12988.5146865236</v>
      </c>
      <c r="M3123">
        <v>250</v>
      </c>
      <c r="N3123">
        <v>51.9540723869668</v>
      </c>
      <c r="O3123">
        <v>51.950734044924197</v>
      </c>
      <c r="P3123">
        <v>-1.2030628871583999</v>
      </c>
      <c r="Q3123">
        <v>0</v>
      </c>
      <c r="R3123">
        <v>0.60484043054687198</v>
      </c>
      <c r="S3123" t="s">
        <v>9769</v>
      </c>
      <c r="T3123" t="s">
        <v>13290</v>
      </c>
      <c r="U3123" t="s">
        <v>13290</v>
      </c>
      <c r="V3123" t="s">
        <v>13290</v>
      </c>
      <c r="W3123" t="s">
        <v>16370</v>
      </c>
      <c r="X3123">
        <v>1</v>
      </c>
      <c r="Y3123" t="s">
        <v>22895</v>
      </c>
      <c r="Z3123" t="s">
        <v>29453</v>
      </c>
      <c r="AA3123">
        <v>0.39855980343432912</v>
      </c>
      <c r="AB3123" t="str">
        <f>HYPERLINK("Melting_Curves/meltCurve_P82912_2_MRPS11.pdf", "Melting_Curves/meltCurve_P82912_2_MRPS11.pdf")</f>
        <v>Melting_Curves/meltCurve_P82912_2_MRPS11.pdf</v>
      </c>
    </row>
    <row r="3124" spans="1:28" x14ac:dyDescent="0.25">
      <c r="A3124" t="s">
        <v>3128</v>
      </c>
      <c r="B3124">
        <v>0.99252571173614901</v>
      </c>
      <c r="C3124">
        <v>0.97578497733610903</v>
      </c>
      <c r="D3124">
        <v>1.3941111374602899</v>
      </c>
      <c r="E3124">
        <v>0.81455985490306204</v>
      </c>
      <c r="F3124">
        <v>0.23052285277737899</v>
      </c>
      <c r="G3124">
        <v>0.143982588680901</v>
      </c>
      <c r="H3124">
        <v>0.126205711353468</v>
      </c>
      <c r="I3124">
        <v>0.12688328554046499</v>
      </c>
      <c r="J3124">
        <v>0.15780408260061399</v>
      </c>
      <c r="K3124">
        <v>0.133632531412575</v>
      </c>
      <c r="L3124">
        <v>2779.2168567579802</v>
      </c>
      <c r="M3124">
        <v>54.624653267494402</v>
      </c>
      <c r="N3124">
        <v>51.186208469879197</v>
      </c>
      <c r="O3124">
        <v>50.810382306981197</v>
      </c>
      <c r="P3124">
        <v>-0.23114526780316899</v>
      </c>
      <c r="Q3124">
        <v>0.139980095092227</v>
      </c>
      <c r="R3124">
        <v>0.92397770867814</v>
      </c>
      <c r="S3124" t="s">
        <v>9770</v>
      </c>
      <c r="T3124" t="s">
        <v>13290</v>
      </c>
      <c r="U3124" t="s">
        <v>13290</v>
      </c>
      <c r="V3124" t="s">
        <v>13290</v>
      </c>
      <c r="W3124" t="s">
        <v>16371</v>
      </c>
      <c r="X3124">
        <v>6</v>
      </c>
      <c r="Y3124" t="s">
        <v>22896</v>
      </c>
      <c r="Z3124" t="s">
        <v>29454</v>
      </c>
      <c r="AA3124">
        <v>0.45345142340699701</v>
      </c>
      <c r="AB3124" t="str">
        <f>HYPERLINK("Melting_Curves/meltCurve_P82930_MRPS34.pdf", "Melting_Curves/meltCurve_P82930_MRPS34.pdf")</f>
        <v>Melting_Curves/meltCurve_P82930_MRPS34.pdf</v>
      </c>
    </row>
    <row r="3125" spans="1:28" x14ac:dyDescent="0.25">
      <c r="A3125" t="s">
        <v>3129</v>
      </c>
      <c r="B3125">
        <v>0.99252571173614901</v>
      </c>
      <c r="C3125">
        <v>1.0262533312500199</v>
      </c>
      <c r="D3125">
        <v>0.94017008454722495</v>
      </c>
      <c r="E3125">
        <v>0.77061641799076697</v>
      </c>
      <c r="F3125">
        <v>0.40754268302193303</v>
      </c>
      <c r="G3125">
        <v>0.31007184019911499</v>
      </c>
      <c r="H3125">
        <v>0.30258529737402301</v>
      </c>
      <c r="I3125">
        <v>0.38123767704457101</v>
      </c>
      <c r="J3125">
        <v>0.60763543644359197</v>
      </c>
      <c r="K3125">
        <v>0.73446389431916703</v>
      </c>
      <c r="L3125">
        <v>12415.473110425401</v>
      </c>
      <c r="M3125">
        <v>250</v>
      </c>
      <c r="N3125">
        <v>50.155278798511397</v>
      </c>
      <c r="O3125">
        <v>49.658715505178201</v>
      </c>
      <c r="P3125">
        <v>-0.68309242509797696</v>
      </c>
      <c r="Q3125">
        <v>0.45725613417508099</v>
      </c>
      <c r="R3125">
        <v>0.78518979671040801</v>
      </c>
      <c r="S3125" t="s">
        <v>9771</v>
      </c>
      <c r="T3125" t="s">
        <v>13290</v>
      </c>
      <c r="U3125" t="s">
        <v>13290</v>
      </c>
      <c r="V3125" t="s">
        <v>13290</v>
      </c>
      <c r="W3125" t="s">
        <v>16372</v>
      </c>
      <c r="X3125">
        <v>2</v>
      </c>
      <c r="Y3125" t="s">
        <v>22897</v>
      </c>
      <c r="Z3125" t="s">
        <v>29455</v>
      </c>
      <c r="AA3125">
        <v>0.63210119931025743</v>
      </c>
      <c r="AB3125" t="str">
        <f>HYPERLINK("Melting_Curves/meltCurve_P82932_MRPS6.pdf", "Melting_Curves/meltCurve_P82932_MRPS6.pdf")</f>
        <v>Melting_Curves/meltCurve_P82932_MRPS6.pdf</v>
      </c>
    </row>
    <row r="3126" spans="1:28" x14ac:dyDescent="0.25">
      <c r="A3126" t="s">
        <v>3130</v>
      </c>
      <c r="B3126">
        <v>0.99252571173614901</v>
      </c>
      <c r="C3126">
        <v>0.79308735230569105</v>
      </c>
      <c r="D3126">
        <v>0.54580164196835301</v>
      </c>
      <c r="E3126">
        <v>0.39192037170359401</v>
      </c>
      <c r="F3126">
        <v>0.19177901509438999</v>
      </c>
      <c r="G3126">
        <v>9.2207047486972102E-2</v>
      </c>
      <c r="H3126">
        <v>9.8961054653005504E-2</v>
      </c>
      <c r="I3126">
        <v>7.4138391845933904E-2</v>
      </c>
      <c r="J3126">
        <v>6.8429275994708202E-2</v>
      </c>
      <c r="K3126">
        <v>7.6516213213803405E-2</v>
      </c>
      <c r="L3126">
        <v>702.04509751483897</v>
      </c>
      <c r="M3126">
        <v>15.011121089736299</v>
      </c>
      <c r="N3126">
        <v>47.179642906278701</v>
      </c>
      <c r="O3126">
        <v>45.961886254546997</v>
      </c>
      <c r="P3126">
        <v>-7.6649767305506697E-2</v>
      </c>
      <c r="Q3126">
        <v>6.13325624822397E-2</v>
      </c>
      <c r="R3126">
        <v>0.99073058017341897</v>
      </c>
      <c r="S3126" t="s">
        <v>9772</v>
      </c>
      <c r="T3126" t="s">
        <v>13290</v>
      </c>
      <c r="U3126" t="s">
        <v>13290</v>
      </c>
      <c r="V3126" t="s">
        <v>13290</v>
      </c>
      <c r="W3126" t="s">
        <v>16373</v>
      </c>
      <c r="X3126">
        <v>3</v>
      </c>
      <c r="Y3126" t="s">
        <v>22898</v>
      </c>
      <c r="Z3126" t="s">
        <v>29456</v>
      </c>
      <c r="AA3126">
        <v>0.29895378507128212</v>
      </c>
      <c r="AB3126" t="str">
        <f>HYPERLINK("Melting_Curves/meltCurve_P82933_MRPS9.pdf", "Melting_Curves/meltCurve_P82933_MRPS9.pdf")</f>
        <v>Melting_Curves/meltCurve_P82933_MRPS9.pdf</v>
      </c>
    </row>
    <row r="3127" spans="1:28" x14ac:dyDescent="0.25">
      <c r="A3127" t="s">
        <v>3131</v>
      </c>
      <c r="B3127">
        <v>0.99252571173614901</v>
      </c>
      <c r="C3127">
        <v>0.96229381740529596</v>
      </c>
      <c r="D3127">
        <v>0.67104279305938996</v>
      </c>
      <c r="E3127">
        <v>0.65861836277934604</v>
      </c>
      <c r="F3127">
        <v>0.71893064331797796</v>
      </c>
      <c r="G3127">
        <v>0.666806244683258</v>
      </c>
      <c r="H3127">
        <v>0.67055328799726999</v>
      </c>
      <c r="I3127">
        <v>0.90021804771028202</v>
      </c>
      <c r="J3127">
        <v>1.53548674127687</v>
      </c>
      <c r="K3127">
        <v>1.5285806123304999</v>
      </c>
      <c r="L3127">
        <v>15000</v>
      </c>
      <c r="M3127">
        <v>228.48062331489399</v>
      </c>
      <c r="O3127">
        <v>65.646051876804705</v>
      </c>
      <c r="P3127">
        <v>0.43506162606832</v>
      </c>
      <c r="Q3127">
        <v>1.5</v>
      </c>
      <c r="R3127">
        <v>0.48948783735510898</v>
      </c>
      <c r="S3127" t="s">
        <v>9773</v>
      </c>
      <c r="T3127" t="s">
        <v>13290</v>
      </c>
      <c r="U3127" t="s">
        <v>13290</v>
      </c>
      <c r="V3127" t="s">
        <v>13290</v>
      </c>
      <c r="W3127" t="s">
        <v>16374</v>
      </c>
      <c r="X3127">
        <v>16</v>
      </c>
      <c r="Y3127" t="s">
        <v>22899</v>
      </c>
      <c r="Z3127" t="s">
        <v>29457</v>
      </c>
      <c r="AA3127">
        <v>1.0724130064012529</v>
      </c>
      <c r="AB3127" t="str">
        <f>HYPERLINK("Melting_Curves/meltCurve_P82979_SARNP.pdf", "Melting_Curves/meltCurve_P82979_SARNP.pdf")</f>
        <v>Melting_Curves/meltCurve_P82979_SARNP.pdf</v>
      </c>
    </row>
    <row r="3128" spans="1:28" x14ac:dyDescent="0.25">
      <c r="A3128" t="s">
        <v>3132</v>
      </c>
      <c r="B3128">
        <v>0.99252571173614901</v>
      </c>
      <c r="C3128">
        <v>1.05317396387627</v>
      </c>
      <c r="D3128">
        <v>1.3862706213931799</v>
      </c>
      <c r="E3128">
        <v>1.7701645912452599</v>
      </c>
      <c r="F3128">
        <v>0.66994906557806699</v>
      </c>
      <c r="G3128">
        <v>0.28456593722468998</v>
      </c>
      <c r="H3128">
        <v>0.152597165956911</v>
      </c>
      <c r="I3128">
        <v>0.14994942207408701</v>
      </c>
      <c r="J3128">
        <v>0.19631775442287999</v>
      </c>
      <c r="K3128">
        <v>0.212272892163829</v>
      </c>
      <c r="L3128">
        <v>9422.0590937315192</v>
      </c>
      <c r="M3128">
        <v>176.751093177201</v>
      </c>
      <c r="N3128">
        <v>53.460572315973202</v>
      </c>
      <c r="O3128">
        <v>53.300114166068902</v>
      </c>
      <c r="P3128">
        <v>-0.66394564342880302</v>
      </c>
      <c r="Q3128">
        <v>0.19913645769077501</v>
      </c>
      <c r="R3128">
        <v>0.75507920339851797</v>
      </c>
      <c r="S3128" t="s">
        <v>9774</v>
      </c>
      <c r="T3128" t="s">
        <v>13290</v>
      </c>
      <c r="U3128" t="s">
        <v>13290</v>
      </c>
      <c r="V3128" t="s">
        <v>13290</v>
      </c>
      <c r="W3128" t="s">
        <v>16375</v>
      </c>
      <c r="X3128">
        <v>6</v>
      </c>
      <c r="Y3128" t="s">
        <v>22900</v>
      </c>
      <c r="Z3128" t="s">
        <v>29458</v>
      </c>
      <c r="AA3128">
        <v>0.55452102598014608</v>
      </c>
      <c r="AB3128" t="str">
        <f>HYPERLINK("Melting_Curves/meltCurve_P83111_LACTB.pdf", "Melting_Curves/meltCurve_P83111_LACTB.pdf")</f>
        <v>Melting_Curves/meltCurve_P83111_LACTB.pdf</v>
      </c>
    </row>
    <row r="3129" spans="1:28" x14ac:dyDescent="0.25">
      <c r="A3129" t="s">
        <v>3133</v>
      </c>
      <c r="B3129">
        <v>0.99252571173614901</v>
      </c>
      <c r="C3129">
        <v>0.904220305367057</v>
      </c>
      <c r="D3129">
        <v>0.679415678995274</v>
      </c>
      <c r="E3129">
        <v>0.473638458972508</v>
      </c>
      <c r="F3129">
        <v>0.30265763567743398</v>
      </c>
      <c r="G3129">
        <v>0.193730710930477</v>
      </c>
      <c r="H3129">
        <v>0.169654931107345</v>
      </c>
      <c r="I3129">
        <v>0.184360255767586</v>
      </c>
      <c r="J3129">
        <v>0.16247486595084101</v>
      </c>
      <c r="K3129">
        <v>0.13382834871055099</v>
      </c>
      <c r="L3129">
        <v>771.84089726449895</v>
      </c>
      <c r="M3129">
        <v>16.113213819008301</v>
      </c>
      <c r="N3129">
        <v>48.965733060002698</v>
      </c>
      <c r="O3129">
        <v>47.181538156073202</v>
      </c>
      <c r="P3129">
        <v>-7.2767507523988195E-2</v>
      </c>
      <c r="Q3129">
        <v>0.14777483700312599</v>
      </c>
      <c r="R3129">
        <v>0.99631146318335095</v>
      </c>
      <c r="S3129" t="s">
        <v>9775</v>
      </c>
      <c r="T3129" t="s">
        <v>13290</v>
      </c>
      <c r="U3129" t="s">
        <v>13290</v>
      </c>
      <c r="V3129" t="s">
        <v>13290</v>
      </c>
      <c r="W3129" t="s">
        <v>16376</v>
      </c>
      <c r="X3129">
        <v>2</v>
      </c>
      <c r="Y3129" t="s">
        <v>22901</v>
      </c>
      <c r="Z3129" t="s">
        <v>29459</v>
      </c>
      <c r="AA3129">
        <v>0.39130126215503458</v>
      </c>
      <c r="AB3129" t="str">
        <f>HYPERLINK("Melting_Curves/meltCurve_P83436_COG7.pdf", "Melting_Curves/meltCurve_P83436_COG7.pdf")</f>
        <v>Melting_Curves/meltCurve_P83436_COG7.pdf</v>
      </c>
    </row>
    <row r="3130" spans="1:28" x14ac:dyDescent="0.25">
      <c r="A3130" t="s">
        <v>3134</v>
      </c>
      <c r="B3130">
        <v>0.99252571173614901</v>
      </c>
      <c r="C3130">
        <v>0.81755800022826197</v>
      </c>
      <c r="D3130">
        <v>0.86765863509579599</v>
      </c>
      <c r="E3130">
        <v>0.81921329304062795</v>
      </c>
      <c r="F3130">
        <v>0.263084389690386</v>
      </c>
      <c r="G3130">
        <v>0.118147751697147</v>
      </c>
      <c r="H3130">
        <v>6.9906783421910396E-2</v>
      </c>
      <c r="I3130">
        <v>6.8619969024309405E-2</v>
      </c>
      <c r="J3130">
        <v>7.8332403219894098E-2</v>
      </c>
      <c r="K3130">
        <v>7.4979769112234404E-2</v>
      </c>
      <c r="L3130">
        <v>1799.2072559598801</v>
      </c>
      <c r="M3130">
        <v>35.046429313415899</v>
      </c>
      <c r="N3130">
        <v>51.568482794421101</v>
      </c>
      <c r="O3130">
        <v>51.171531167375001</v>
      </c>
      <c r="P3130">
        <v>-0.15879957209485701</v>
      </c>
      <c r="Q3130">
        <v>7.2545884762470994E-2</v>
      </c>
      <c r="R3130">
        <v>0.96660345126303604</v>
      </c>
      <c r="S3130" t="s">
        <v>9776</v>
      </c>
      <c r="T3130" t="s">
        <v>13290</v>
      </c>
      <c r="U3130" t="s">
        <v>13290</v>
      </c>
      <c r="V3130" t="s">
        <v>13290</v>
      </c>
      <c r="W3130" t="s">
        <v>16377</v>
      </c>
      <c r="X3130">
        <v>10</v>
      </c>
      <c r="Y3130" t="s">
        <v>22902</v>
      </c>
      <c r="Z3130" t="s">
        <v>29460</v>
      </c>
      <c r="AA3130">
        <v>0.42734956114733569</v>
      </c>
      <c r="AB3130" t="str">
        <f>HYPERLINK("Melting_Curves/meltCurve_P83731_RPL24.pdf", "Melting_Curves/meltCurve_P83731_RPL24.pdf")</f>
        <v>Melting_Curves/meltCurve_P83731_RPL24.pdf</v>
      </c>
    </row>
    <row r="3131" spans="1:28" x14ac:dyDescent="0.25">
      <c r="A3131" t="s">
        <v>3135</v>
      </c>
      <c r="B3131">
        <v>0.99252571173614901</v>
      </c>
      <c r="C3131">
        <v>1.05272646257827</v>
      </c>
      <c r="D3131">
        <v>0.92166905444075298</v>
      </c>
      <c r="E3131">
        <v>0.69159955841125897</v>
      </c>
      <c r="F3131">
        <v>0.75524635679911301</v>
      </c>
      <c r="G3131">
        <v>0.52183853961968496</v>
      </c>
      <c r="H3131">
        <v>0.28137695838174598</v>
      </c>
      <c r="I3131">
        <v>0.13407717993321699</v>
      </c>
      <c r="J3131">
        <v>0.133908163813657</v>
      </c>
      <c r="K3131">
        <v>0.110840421369215</v>
      </c>
      <c r="L3131">
        <v>659.80477668263802</v>
      </c>
      <c r="M3131">
        <v>11.706580346085399</v>
      </c>
      <c r="N3131">
        <v>56.3618508794154</v>
      </c>
      <c r="O3131">
        <v>54.792601902625201</v>
      </c>
      <c r="P3131">
        <v>-5.3427323258128802E-2</v>
      </c>
      <c r="Q3131">
        <v>0</v>
      </c>
      <c r="R3131">
        <v>0.96812997039006099</v>
      </c>
      <c r="S3131" t="s">
        <v>9777</v>
      </c>
      <c r="T3131" t="s">
        <v>13290</v>
      </c>
      <c r="U3131" t="s">
        <v>13290</v>
      </c>
      <c r="V3131" t="s">
        <v>13290</v>
      </c>
      <c r="W3131" t="s">
        <v>16378</v>
      </c>
      <c r="X3131">
        <v>12</v>
      </c>
      <c r="Y3131" t="s">
        <v>22903</v>
      </c>
      <c r="Z3131" t="s">
        <v>29461</v>
      </c>
      <c r="AA3131">
        <v>0.56466156247172916</v>
      </c>
      <c r="AB3131" t="str">
        <f>HYPERLINK("Melting_Curves/meltCurve_P84085_ARF5.pdf", "Melting_Curves/meltCurve_P84085_ARF5.pdf")</f>
        <v>Melting_Curves/meltCurve_P84085_ARF5.pdf</v>
      </c>
    </row>
    <row r="3132" spans="1:28" x14ac:dyDescent="0.25">
      <c r="A3132" t="s">
        <v>3136</v>
      </c>
      <c r="B3132">
        <v>0.99252571173614901</v>
      </c>
      <c r="C3132">
        <v>0.93027096974575796</v>
      </c>
      <c r="D3132">
        <v>0.99105568612493</v>
      </c>
      <c r="E3132">
        <v>0.85172198195208704</v>
      </c>
      <c r="F3132">
        <v>0.71753374768955502</v>
      </c>
      <c r="G3132">
        <v>0.58791474559580303</v>
      </c>
      <c r="H3132">
        <v>0.55658344232288703</v>
      </c>
      <c r="I3132">
        <v>0.67178978479571205</v>
      </c>
      <c r="J3132">
        <v>0.81387742939449403</v>
      </c>
      <c r="K3132">
        <v>0.76019574871393103</v>
      </c>
      <c r="L3132">
        <v>2090.1060648757698</v>
      </c>
      <c r="M3132">
        <v>41.979662817482797</v>
      </c>
      <c r="O3132">
        <v>49.675963090421</v>
      </c>
      <c r="P3132">
        <v>-6.7446747563774098E-2</v>
      </c>
      <c r="Q3132">
        <v>0.68075246942189405</v>
      </c>
      <c r="R3132">
        <v>0.75702296005542902</v>
      </c>
      <c r="S3132" t="s">
        <v>9778</v>
      </c>
      <c r="T3132" t="s">
        <v>13290</v>
      </c>
      <c r="U3132" t="s">
        <v>13290</v>
      </c>
      <c r="V3132" t="s">
        <v>13290</v>
      </c>
      <c r="W3132" t="s">
        <v>16379</v>
      </c>
      <c r="X3132">
        <v>8</v>
      </c>
      <c r="Y3132" t="s">
        <v>22904</v>
      </c>
      <c r="Z3132" t="s">
        <v>29462</v>
      </c>
      <c r="AA3132">
        <v>0.78591514267336748</v>
      </c>
      <c r="AB3132" t="str">
        <f>HYPERLINK("Melting_Curves/meltCurve_P84090_ERH.pdf", "Melting_Curves/meltCurve_P84090_ERH.pdf")</f>
        <v>Melting_Curves/meltCurve_P84090_ERH.pdf</v>
      </c>
    </row>
    <row r="3133" spans="1:28" x14ac:dyDescent="0.25">
      <c r="A3133" t="s">
        <v>3137</v>
      </c>
      <c r="B3133">
        <v>0.99252571173614901</v>
      </c>
      <c r="C3133">
        <v>0.96244110643379199</v>
      </c>
      <c r="D3133">
        <v>0.859209058883595</v>
      </c>
      <c r="E3133">
        <v>0.80459835450638395</v>
      </c>
      <c r="F3133">
        <v>0.64563130185532902</v>
      </c>
      <c r="G3133">
        <v>0.495446874795338</v>
      </c>
      <c r="H3133">
        <v>0.25116723515262801</v>
      </c>
      <c r="I3133">
        <v>0.11521651737968901</v>
      </c>
      <c r="J3133">
        <v>0.12935335449247701</v>
      </c>
      <c r="K3133">
        <v>0.13730497578913201</v>
      </c>
      <c r="L3133">
        <v>633.906628658719</v>
      </c>
      <c r="M3133">
        <v>11.3809271602794</v>
      </c>
      <c r="N3133">
        <v>55.699015024675298</v>
      </c>
      <c r="O3133">
        <v>54.062533366834998</v>
      </c>
      <c r="P3133">
        <v>-5.2644103813968397E-2</v>
      </c>
      <c r="Q3133">
        <v>0</v>
      </c>
      <c r="R3133">
        <v>0.98779579512246396</v>
      </c>
      <c r="S3133" t="s">
        <v>9779</v>
      </c>
      <c r="T3133" t="s">
        <v>13290</v>
      </c>
      <c r="U3133" t="s">
        <v>13290</v>
      </c>
      <c r="V3133" t="s">
        <v>13290</v>
      </c>
      <c r="W3133" t="s">
        <v>16380</v>
      </c>
      <c r="X3133">
        <v>10</v>
      </c>
      <c r="Y3133" t="s">
        <v>22905</v>
      </c>
      <c r="Z3133" t="s">
        <v>29463</v>
      </c>
      <c r="AA3133">
        <v>0.5451556466099261</v>
      </c>
      <c r="AB3133" t="str">
        <f>HYPERLINK("Melting_Curves/meltCurve_P84095_RHOG.pdf", "Melting_Curves/meltCurve_P84095_RHOG.pdf")</f>
        <v>Melting_Curves/meltCurve_P84095_RHOG.pdf</v>
      </c>
    </row>
    <row r="3134" spans="1:28" x14ac:dyDescent="0.25">
      <c r="A3134" t="s">
        <v>3138</v>
      </c>
      <c r="B3134">
        <v>0.99252571173614901</v>
      </c>
      <c r="C3134">
        <v>1.1008919512444499</v>
      </c>
      <c r="D3134">
        <v>1.05182827651974</v>
      </c>
      <c r="E3134">
        <v>1.13784561226814</v>
      </c>
      <c r="F3134">
        <v>0.98458410991175804</v>
      </c>
      <c r="G3134">
        <v>0.98927896802511495</v>
      </c>
      <c r="H3134">
        <v>1.3490098311479599</v>
      </c>
      <c r="I3134">
        <v>2.3900935355336799</v>
      </c>
      <c r="J3134">
        <v>3.6159395944842601</v>
      </c>
      <c r="K3134">
        <v>3.7066199953081602</v>
      </c>
      <c r="L3134">
        <v>15000</v>
      </c>
      <c r="M3134">
        <v>247.54848779273101</v>
      </c>
      <c r="O3134">
        <v>60.590234430728103</v>
      </c>
      <c r="P3134">
        <v>0.51070211434507795</v>
      </c>
      <c r="Q3134">
        <v>1.5</v>
      </c>
      <c r="R3134">
        <v>6.6816438608683401E-2</v>
      </c>
      <c r="S3134" t="s">
        <v>9780</v>
      </c>
      <c r="T3134" t="s">
        <v>13290</v>
      </c>
      <c r="U3134" t="s">
        <v>13290</v>
      </c>
      <c r="V3134" t="s">
        <v>13290</v>
      </c>
      <c r="W3134" t="s">
        <v>16381</v>
      </c>
      <c r="X3134">
        <v>5</v>
      </c>
      <c r="Y3134" t="s">
        <v>22906</v>
      </c>
      <c r="Z3134" t="s">
        <v>29464</v>
      </c>
      <c r="AA3134">
        <v>1.156709277466363</v>
      </c>
      <c r="AB3134" t="str">
        <f>HYPERLINK("Melting_Curves/meltCurve_P84101_4_SERF2.pdf", "Melting_Curves/meltCurve_P84101_4_SERF2.pdf")</f>
        <v>Melting_Curves/meltCurve_P84101_4_SERF2.pdf</v>
      </c>
    </row>
    <row r="3135" spans="1:28" x14ac:dyDescent="0.25">
      <c r="A3135" t="s">
        <v>3139</v>
      </c>
      <c r="B3135">
        <v>0.99252571173614901</v>
      </c>
      <c r="C3135">
        <v>1.0037920188971801</v>
      </c>
      <c r="D3135">
        <v>0.86850415985979301</v>
      </c>
      <c r="E3135">
        <v>0.863282531375831</v>
      </c>
      <c r="F3135">
        <v>0.667136394341311</v>
      </c>
      <c r="G3135">
        <v>0.56610299829371202</v>
      </c>
      <c r="H3135">
        <v>0.51671556478626701</v>
      </c>
      <c r="I3135">
        <v>0.74943346402309396</v>
      </c>
      <c r="J3135">
        <v>1.25779418105324</v>
      </c>
      <c r="K3135">
        <v>0.96498291216149801</v>
      </c>
      <c r="L3135">
        <v>1859.6625545898401</v>
      </c>
      <c r="M3135">
        <v>40.778652067501397</v>
      </c>
      <c r="O3135">
        <v>45.494562486495703</v>
      </c>
      <c r="P3135">
        <v>-4.5772404421156598E-2</v>
      </c>
      <c r="Q3135">
        <v>0.79573707298621399</v>
      </c>
      <c r="R3135">
        <v>0.13779970336833799</v>
      </c>
      <c r="S3135" t="s">
        <v>9781</v>
      </c>
      <c r="T3135" t="s">
        <v>13290</v>
      </c>
      <c r="U3135" t="s">
        <v>13290</v>
      </c>
      <c r="V3135" t="s">
        <v>13290</v>
      </c>
      <c r="W3135" t="s">
        <v>16382</v>
      </c>
      <c r="X3135">
        <v>6</v>
      </c>
      <c r="Y3135" t="s">
        <v>22907</v>
      </c>
      <c r="Z3135" t="s">
        <v>29465</v>
      </c>
      <c r="AA3135">
        <v>0.83453023173778862</v>
      </c>
      <c r="AB3135" t="str">
        <f>HYPERLINK("Melting_Curves/meltCurve_P84157_MXRA7.pdf", "Melting_Curves/meltCurve_P84157_MXRA7.pdf")</f>
        <v>Melting_Curves/meltCurve_P84157_MXRA7.pdf</v>
      </c>
    </row>
    <row r="3136" spans="1:28" x14ac:dyDescent="0.25">
      <c r="A3136" t="s">
        <v>3140</v>
      </c>
      <c r="B3136">
        <v>0.99252571173614901</v>
      </c>
      <c r="C3136">
        <v>0.98964934794588699</v>
      </c>
      <c r="D3136">
        <v>0.88871176329618795</v>
      </c>
      <c r="E3136">
        <v>0.88280944543103701</v>
      </c>
      <c r="F3136">
        <v>0.68088888259174996</v>
      </c>
      <c r="G3136">
        <v>0.57658011668272602</v>
      </c>
      <c r="H3136">
        <v>0.52002903544615398</v>
      </c>
      <c r="I3136">
        <v>0.70106035155829305</v>
      </c>
      <c r="J3136">
        <v>1.25619779239503</v>
      </c>
      <c r="K3136">
        <v>1.1027832351024001</v>
      </c>
      <c r="L3136">
        <v>1572.6034701777601</v>
      </c>
      <c r="M3136">
        <v>34.3636502182081</v>
      </c>
      <c r="O3136">
        <v>45.609426897574799</v>
      </c>
      <c r="P3136">
        <v>-3.5003615954640598E-2</v>
      </c>
      <c r="Q3136">
        <v>0.81416540114424396</v>
      </c>
      <c r="R3136">
        <v>9.6560543264703994E-2</v>
      </c>
      <c r="S3136" t="s">
        <v>9782</v>
      </c>
      <c r="T3136" t="s">
        <v>13290</v>
      </c>
      <c r="U3136" t="s">
        <v>13290</v>
      </c>
      <c r="V3136" t="s">
        <v>13290</v>
      </c>
      <c r="W3136" t="s">
        <v>16383</v>
      </c>
      <c r="X3136">
        <v>4</v>
      </c>
      <c r="Y3136" t="s">
        <v>22907</v>
      </c>
      <c r="Z3136" t="s">
        <v>29466</v>
      </c>
      <c r="AA3136">
        <v>0.85070923356722039</v>
      </c>
      <c r="AB3136" t="str">
        <f>HYPERLINK("Melting_Curves/meltCurve_P84157_2_MXRA7.pdf", "Melting_Curves/meltCurve_P84157_2_MXRA7.pdf")</f>
        <v>Melting_Curves/meltCurve_P84157_2_MXRA7.pdf</v>
      </c>
    </row>
    <row r="3137" spans="1:28" x14ac:dyDescent="0.25">
      <c r="A3137" t="s">
        <v>3141</v>
      </c>
      <c r="B3137">
        <v>0.99252571173614901</v>
      </c>
      <c r="C3137">
        <v>0.96102723367675602</v>
      </c>
      <c r="D3137">
        <v>0.73233838905472604</v>
      </c>
      <c r="E3137">
        <v>0.46075132096096399</v>
      </c>
      <c r="F3137">
        <v>0.14740834871886199</v>
      </c>
      <c r="G3137">
        <v>7.73188345131402E-2</v>
      </c>
      <c r="H3137">
        <v>4.5778501505256801E-2</v>
      </c>
      <c r="I3137">
        <v>4.3659765794136801E-2</v>
      </c>
      <c r="J3137">
        <v>4.9879709811821701E-2</v>
      </c>
      <c r="K3137">
        <v>5.64742296952883E-2</v>
      </c>
      <c r="L3137">
        <v>991.89515789856398</v>
      </c>
      <c r="M3137">
        <v>20.412068288195599</v>
      </c>
      <c r="N3137">
        <v>48.7807002206685</v>
      </c>
      <c r="O3137">
        <v>48.134382574369901</v>
      </c>
      <c r="P3137">
        <v>-0.10202662614994901</v>
      </c>
      <c r="Q3137">
        <v>3.7659318076334797E-2</v>
      </c>
      <c r="R3137">
        <v>0.99660335520529297</v>
      </c>
      <c r="S3137" t="s">
        <v>9783</v>
      </c>
      <c r="T3137" t="s">
        <v>13290</v>
      </c>
      <c r="U3137" t="s">
        <v>13290</v>
      </c>
      <c r="V3137" t="s">
        <v>13290</v>
      </c>
      <c r="W3137" t="s">
        <v>16384</v>
      </c>
      <c r="X3137">
        <v>14</v>
      </c>
      <c r="Y3137" t="s">
        <v>22908</v>
      </c>
      <c r="Z3137" t="s">
        <v>29467</v>
      </c>
      <c r="AA3137">
        <v>0.32630547450086689</v>
      </c>
      <c r="AB3137" t="str">
        <f>HYPERLINK("Melting_Curves/meltCurve_P85037_FOXK1.pdf", "Melting_Curves/meltCurve_P85037_FOXK1.pdf")</f>
        <v>Melting_Curves/meltCurve_P85037_FOXK1.pdf</v>
      </c>
    </row>
    <row r="3138" spans="1:28" x14ac:dyDescent="0.25">
      <c r="A3138" t="s">
        <v>3142</v>
      </c>
      <c r="B3138">
        <v>0.99252571173614901</v>
      </c>
      <c r="C3138">
        <v>1.0266435723971099</v>
      </c>
      <c r="D3138">
        <v>0.88783334726385899</v>
      </c>
      <c r="E3138">
        <v>0.78396477636997497</v>
      </c>
      <c r="F3138">
        <v>0.62631636894121301</v>
      </c>
      <c r="G3138">
        <v>0.475552358681961</v>
      </c>
      <c r="H3138">
        <v>0.31521710082976401</v>
      </c>
      <c r="I3138">
        <v>0.21602495867270199</v>
      </c>
      <c r="J3138">
        <v>0.16664289246444999</v>
      </c>
      <c r="K3138">
        <v>0.190184515293608</v>
      </c>
      <c r="L3138">
        <v>651.20629103744704</v>
      </c>
      <c r="M3138">
        <v>11.891819531331899</v>
      </c>
      <c r="N3138">
        <v>55.797753049763301</v>
      </c>
      <c r="O3138">
        <v>53.281197985699798</v>
      </c>
      <c r="P3138">
        <v>-5.0278451976999899E-2</v>
      </c>
      <c r="Q3138">
        <v>9.9136190250994002E-2</v>
      </c>
      <c r="R3138">
        <v>0.99363850164031597</v>
      </c>
      <c r="S3138" t="s">
        <v>9784</v>
      </c>
      <c r="T3138" t="s">
        <v>13290</v>
      </c>
      <c r="U3138" t="s">
        <v>13290</v>
      </c>
      <c r="V3138" t="s">
        <v>13290</v>
      </c>
      <c r="W3138" t="s">
        <v>16385</v>
      </c>
      <c r="X3138">
        <v>2</v>
      </c>
      <c r="Y3138" t="s">
        <v>21642</v>
      </c>
      <c r="Z3138" t="s">
        <v>29468</v>
      </c>
      <c r="AA3138">
        <v>0.56426454652040037</v>
      </c>
      <c r="AB3138" t="str">
        <f>HYPERLINK("Melting_Curves/meltCurve_P86397_RPP14.pdf", "Melting_Curves/meltCurve_P86397_RPP14.pdf")</f>
        <v>Melting_Curves/meltCurve_P86397_RPP14.pdf</v>
      </c>
    </row>
    <row r="3139" spans="1:28" x14ac:dyDescent="0.25">
      <c r="A3139" t="s">
        <v>3143</v>
      </c>
      <c r="B3139">
        <v>0.99252571173614901</v>
      </c>
      <c r="C3139">
        <v>0.85470159056405404</v>
      </c>
      <c r="D3139">
        <v>0.83626910514775898</v>
      </c>
      <c r="E3139">
        <v>0.66165763893923701</v>
      </c>
      <c r="F3139">
        <v>0.428475325322284</v>
      </c>
      <c r="G3139">
        <v>0.27622218386674002</v>
      </c>
      <c r="H3139">
        <v>8.2804196844998207E-2</v>
      </c>
      <c r="I3139">
        <v>5.6399506706213402E-2</v>
      </c>
      <c r="J3139">
        <v>5.2911789287468702E-2</v>
      </c>
      <c r="K3139">
        <v>5.4562995938332699E-2</v>
      </c>
      <c r="L3139">
        <v>655.855633073646</v>
      </c>
      <c r="M3139">
        <v>12.6464146752886</v>
      </c>
      <c r="N3139">
        <v>51.860991378076399</v>
      </c>
      <c r="O3139">
        <v>50.615514216198399</v>
      </c>
      <c r="P3139">
        <v>-6.2475418737025903E-2</v>
      </c>
      <c r="Q3139">
        <v>0</v>
      </c>
      <c r="R3139">
        <v>0.99109412954272103</v>
      </c>
      <c r="S3139" t="s">
        <v>9785</v>
      </c>
      <c r="T3139" t="s">
        <v>13290</v>
      </c>
      <c r="U3139" t="s">
        <v>13290</v>
      </c>
      <c r="V3139" t="s">
        <v>13290</v>
      </c>
      <c r="W3139" t="s">
        <v>16386</v>
      </c>
      <c r="X3139">
        <v>5</v>
      </c>
      <c r="Y3139" t="s">
        <v>22909</v>
      </c>
      <c r="Z3139" t="s">
        <v>29469</v>
      </c>
      <c r="AA3139">
        <v>0.4241661266759626</v>
      </c>
      <c r="AB3139" t="str">
        <f>HYPERLINK("Melting_Curves/meltCurve_P86791_CCZ1.pdf", "Melting_Curves/meltCurve_P86791_CCZ1.pdf")</f>
        <v>Melting_Curves/meltCurve_P86791_CCZ1.pdf</v>
      </c>
    </row>
    <row r="3140" spans="1:28" x14ac:dyDescent="0.25">
      <c r="A3140" t="s">
        <v>3144</v>
      </c>
      <c r="B3140">
        <v>0.99252571173614901</v>
      </c>
      <c r="C3140">
        <v>0.96453677406309601</v>
      </c>
      <c r="D3140">
        <v>0.87633466287395301</v>
      </c>
      <c r="E3140">
        <v>0.85750444245634505</v>
      </c>
      <c r="F3140">
        <v>0.78746601372504799</v>
      </c>
      <c r="G3140">
        <v>0.51725710809625502</v>
      </c>
      <c r="H3140">
        <v>0.25633809275592001</v>
      </c>
      <c r="I3140">
        <v>0.12799691247918701</v>
      </c>
      <c r="J3140">
        <v>0.23957414910397201</v>
      </c>
      <c r="K3140">
        <v>6.8894068824268795E-2</v>
      </c>
      <c r="L3140">
        <v>826.05344704280196</v>
      </c>
      <c r="M3140">
        <v>14.619558109784</v>
      </c>
      <c r="N3140">
        <v>56.884018683813103</v>
      </c>
      <c r="O3140">
        <v>55.477690074651498</v>
      </c>
      <c r="P3140">
        <v>-6.2817013511807795E-2</v>
      </c>
      <c r="Q3140">
        <v>4.6604957521507999E-2</v>
      </c>
      <c r="R3140">
        <v>0.97354370750317998</v>
      </c>
      <c r="S3140" t="s">
        <v>9786</v>
      </c>
      <c r="T3140" t="s">
        <v>13290</v>
      </c>
      <c r="U3140" t="s">
        <v>13290</v>
      </c>
      <c r="V3140" t="s">
        <v>13290</v>
      </c>
      <c r="W3140" t="s">
        <v>16387</v>
      </c>
      <c r="X3140">
        <v>3</v>
      </c>
      <c r="Y3140" t="s">
        <v>22910</v>
      </c>
      <c r="Z3140" t="s">
        <v>29470</v>
      </c>
      <c r="AA3140">
        <v>0.58740766981514647</v>
      </c>
      <c r="AB3140" t="str">
        <f>HYPERLINK("Melting_Curves/meltCurve_P98155_2_VLDLR.pdf", "Melting_Curves/meltCurve_P98155_2_VLDLR.pdf")</f>
        <v>Melting_Curves/meltCurve_P98155_2_VLDLR.pdf</v>
      </c>
    </row>
    <row r="3141" spans="1:28" x14ac:dyDescent="0.25">
      <c r="A3141" t="s">
        <v>3145</v>
      </c>
      <c r="B3141">
        <v>0.99252571173614901</v>
      </c>
      <c r="C3141">
        <v>0.98405511857384897</v>
      </c>
      <c r="D3141">
        <v>0.75188765081756703</v>
      </c>
      <c r="E3141">
        <v>0.77096933421288105</v>
      </c>
      <c r="F3141">
        <v>0.50454071425591196</v>
      </c>
      <c r="G3141">
        <v>0.363458288803299</v>
      </c>
      <c r="H3141">
        <v>0.34981158573110399</v>
      </c>
      <c r="I3141">
        <v>0.391451834750283</v>
      </c>
      <c r="J3141">
        <v>0.75074734261827902</v>
      </c>
      <c r="K3141">
        <v>0.56018625992493198</v>
      </c>
      <c r="L3141">
        <v>977.78962173038099</v>
      </c>
      <c r="M3141">
        <v>20.455598959927801</v>
      </c>
      <c r="N3141">
        <v>57.322768828891199</v>
      </c>
      <c r="O3141">
        <v>47.350770316946701</v>
      </c>
      <c r="P3141">
        <v>-5.5807614944960997E-2</v>
      </c>
      <c r="Q3141">
        <v>0.48327971852150597</v>
      </c>
      <c r="R3141">
        <v>0.71959373755378697</v>
      </c>
      <c r="S3141" t="s">
        <v>9787</v>
      </c>
      <c r="T3141" t="s">
        <v>13290</v>
      </c>
      <c r="U3141" t="s">
        <v>13290</v>
      </c>
      <c r="V3141" t="s">
        <v>13290</v>
      </c>
      <c r="W3141" t="s">
        <v>16388</v>
      </c>
      <c r="X3141">
        <v>3</v>
      </c>
      <c r="Y3141" t="s">
        <v>22911</v>
      </c>
      <c r="Z3141" t="s">
        <v>29471</v>
      </c>
      <c r="AA3141">
        <v>0.6246658429323354</v>
      </c>
      <c r="AB3141" t="str">
        <f>HYPERLINK("Melting_Curves/meltCurve_P98172_EFNB1.pdf", "Melting_Curves/meltCurve_P98172_EFNB1.pdf")</f>
        <v>Melting_Curves/meltCurve_P98172_EFNB1.pdf</v>
      </c>
    </row>
    <row r="3142" spans="1:28" x14ac:dyDescent="0.25">
      <c r="A3142" t="s">
        <v>3146</v>
      </c>
      <c r="B3142">
        <v>0.99252571173614901</v>
      </c>
      <c r="C3142">
        <v>0.82700939530430595</v>
      </c>
      <c r="D3142">
        <v>0.69136343844342096</v>
      </c>
      <c r="E3142">
        <v>0.52882446674345795</v>
      </c>
      <c r="F3142">
        <v>0.226142301013844</v>
      </c>
      <c r="G3142">
        <v>0.12589270528854399</v>
      </c>
      <c r="H3142">
        <v>9.6507571509618598E-2</v>
      </c>
      <c r="I3142">
        <v>9.4449523680458003E-2</v>
      </c>
      <c r="J3142">
        <v>0.14749347778229699</v>
      </c>
      <c r="K3142">
        <v>9.4422109510925001E-2</v>
      </c>
      <c r="L3142">
        <v>721.87151650467104</v>
      </c>
      <c r="M3142">
        <v>14.930879302074199</v>
      </c>
      <c r="N3142">
        <v>48.9004506428684</v>
      </c>
      <c r="O3142">
        <v>47.5051469021166</v>
      </c>
      <c r="P3142">
        <v>-7.2479739794632694E-2</v>
      </c>
      <c r="Q3142">
        <v>7.7668114481363001E-2</v>
      </c>
      <c r="R3142">
        <v>0.98442421037258998</v>
      </c>
      <c r="S3142" t="s">
        <v>9788</v>
      </c>
      <c r="T3142" t="s">
        <v>13290</v>
      </c>
      <c r="U3142" t="s">
        <v>13290</v>
      </c>
      <c r="V3142" t="s">
        <v>13290</v>
      </c>
      <c r="W3142" t="s">
        <v>16389</v>
      </c>
      <c r="X3142">
        <v>1</v>
      </c>
      <c r="Y3142" t="s">
        <v>22912</v>
      </c>
      <c r="Z3142" t="s">
        <v>29472</v>
      </c>
      <c r="AA3142">
        <v>0.35788526859056963</v>
      </c>
      <c r="AB3142" t="str">
        <f>HYPERLINK("Melting_Curves/meltCurve_P98173_3_FAM3A.pdf", "Melting_Curves/meltCurve_P98173_3_FAM3A.pdf")</f>
        <v>Melting_Curves/meltCurve_P98173_3_FAM3A.pdf</v>
      </c>
    </row>
    <row r="3143" spans="1:28" x14ac:dyDescent="0.25">
      <c r="A3143" t="s">
        <v>3147</v>
      </c>
      <c r="B3143">
        <v>0.99252571173614901</v>
      </c>
      <c r="C3143">
        <v>0.89566341097439295</v>
      </c>
      <c r="D3143">
        <v>0.65513397552941799</v>
      </c>
      <c r="E3143">
        <v>0.52990514670787503</v>
      </c>
      <c r="F3143">
        <v>0.29476604035110199</v>
      </c>
      <c r="G3143">
        <v>0.21253927192899399</v>
      </c>
      <c r="H3143">
        <v>0.177971342936556</v>
      </c>
      <c r="I3143">
        <v>0.214525605166415</v>
      </c>
      <c r="J3143">
        <v>0.29893817240088499</v>
      </c>
      <c r="K3143">
        <v>0.364119879986113</v>
      </c>
      <c r="L3143">
        <v>882.55026547845898</v>
      </c>
      <c r="M3143">
        <v>18.7782781791547</v>
      </c>
      <c r="N3143">
        <v>48.773227187956401</v>
      </c>
      <c r="O3143">
        <v>46.475201780740498</v>
      </c>
      <c r="P3143">
        <v>-7.6012003711724299E-2</v>
      </c>
      <c r="Q3143">
        <v>0.24752936723617699</v>
      </c>
      <c r="R3143">
        <v>0.95294863840472399</v>
      </c>
      <c r="S3143" t="s">
        <v>9789</v>
      </c>
      <c r="T3143" t="s">
        <v>13290</v>
      </c>
      <c r="U3143" t="s">
        <v>13290</v>
      </c>
      <c r="V3143" t="s">
        <v>13290</v>
      </c>
      <c r="W3143" t="s">
        <v>16390</v>
      </c>
      <c r="X3143">
        <v>15</v>
      </c>
      <c r="Y3143" t="s">
        <v>22913</v>
      </c>
      <c r="Z3143" t="s">
        <v>29473</v>
      </c>
      <c r="AA3143">
        <v>0.43572455165375029</v>
      </c>
      <c r="AB3143" t="str">
        <f>HYPERLINK("Melting_Curves/meltCurve_P98175_2_RBM10.pdf", "Melting_Curves/meltCurve_P98175_2_RBM10.pdf")</f>
        <v>Melting_Curves/meltCurve_P98175_2_RBM10.pdf</v>
      </c>
    </row>
    <row r="3144" spans="1:28" x14ac:dyDescent="0.25">
      <c r="A3144" t="s">
        <v>3148</v>
      </c>
      <c r="B3144">
        <v>0.99252571173614901</v>
      </c>
      <c r="C3144">
        <v>1.0797185943014</v>
      </c>
      <c r="D3144">
        <v>0.95732475338849399</v>
      </c>
      <c r="E3144">
        <v>0.98854814425719795</v>
      </c>
      <c r="F3144">
        <v>0.81276177043516995</v>
      </c>
      <c r="G3144">
        <v>0.60366263764739503</v>
      </c>
      <c r="H3144">
        <v>0.61357684462129902</v>
      </c>
      <c r="I3144">
        <v>0.81173981188921496</v>
      </c>
      <c r="J3144">
        <v>1.32744426914012</v>
      </c>
      <c r="K3144">
        <v>1.8486308305852699</v>
      </c>
      <c r="L3144">
        <v>15000</v>
      </c>
      <c r="M3144">
        <v>224.18794832815999</v>
      </c>
      <c r="O3144">
        <v>66.9028366687198</v>
      </c>
      <c r="P3144">
        <v>0.418868633654707</v>
      </c>
      <c r="Q3144">
        <v>1.5</v>
      </c>
      <c r="R3144">
        <v>0.58200157699843102</v>
      </c>
      <c r="S3144" t="s">
        <v>9790</v>
      </c>
      <c r="T3144" t="s">
        <v>13290</v>
      </c>
      <c r="U3144" t="s">
        <v>13290</v>
      </c>
      <c r="V3144" t="s">
        <v>13290</v>
      </c>
      <c r="W3144" t="s">
        <v>16391</v>
      </c>
      <c r="X3144">
        <v>4</v>
      </c>
      <c r="Y3144" t="s">
        <v>22914</v>
      </c>
      <c r="Z3144" t="s">
        <v>29474</v>
      </c>
      <c r="AA3144">
        <v>1.051458160351608</v>
      </c>
      <c r="AB3144" t="str">
        <f>HYPERLINK("Melting_Curves/meltCurve_P98179_RBM3.pdf", "Melting_Curves/meltCurve_P98179_RBM3.pdf")</f>
        <v>Melting_Curves/meltCurve_P98179_RBM3.pdf</v>
      </c>
    </row>
    <row r="3145" spans="1:28" x14ac:dyDescent="0.25">
      <c r="A3145" t="s">
        <v>3149</v>
      </c>
      <c r="B3145">
        <v>0.99252571173614901</v>
      </c>
      <c r="C3145">
        <v>0.84595295845986096</v>
      </c>
      <c r="D3145">
        <v>0.77684576553281903</v>
      </c>
      <c r="E3145">
        <v>0.71572363411418605</v>
      </c>
      <c r="F3145">
        <v>0.49352162909742497</v>
      </c>
      <c r="G3145">
        <v>0.23642302569759799</v>
      </c>
      <c r="H3145">
        <v>0.119736869711927</v>
      </c>
      <c r="I3145">
        <v>0.128806687493493</v>
      </c>
      <c r="J3145">
        <v>0.132218517264371</v>
      </c>
      <c r="K3145">
        <v>0.118979781680792</v>
      </c>
      <c r="L3145">
        <v>612.01868561347703</v>
      </c>
      <c r="M3145">
        <v>11.8155627003629</v>
      </c>
      <c r="N3145">
        <v>52.186469916565002</v>
      </c>
      <c r="O3145">
        <v>50.3807439054155</v>
      </c>
      <c r="P3145">
        <v>-5.6175438184121101E-2</v>
      </c>
      <c r="Q3145">
        <v>4.21319438624164E-2</v>
      </c>
      <c r="R3145">
        <v>0.97688949454671303</v>
      </c>
      <c r="S3145" t="s">
        <v>9791</v>
      </c>
      <c r="T3145" t="s">
        <v>13290</v>
      </c>
      <c r="U3145" t="s">
        <v>13290</v>
      </c>
      <c r="V3145" t="s">
        <v>13290</v>
      </c>
      <c r="W3145" t="s">
        <v>16392</v>
      </c>
      <c r="X3145">
        <v>11</v>
      </c>
      <c r="Y3145" t="s">
        <v>22915</v>
      </c>
      <c r="Z3145" t="s">
        <v>29475</v>
      </c>
      <c r="AA3145">
        <v>0.44913634599857849</v>
      </c>
      <c r="AB3145" t="str">
        <f>HYPERLINK("Melting_Curves/meltCurve_P98194_2_ATP2C1.pdf", "Melting_Curves/meltCurve_P98194_2_ATP2C1.pdf")</f>
        <v>Melting_Curves/meltCurve_P98194_2_ATP2C1.pdf</v>
      </c>
    </row>
    <row r="3146" spans="1:28" x14ac:dyDescent="0.25">
      <c r="A3146" t="s">
        <v>3150</v>
      </c>
      <c r="B3146">
        <v>0.99252571173614901</v>
      </c>
      <c r="C3146">
        <v>1.1774364873277099</v>
      </c>
      <c r="D3146">
        <v>0.85610326184372798</v>
      </c>
      <c r="E3146">
        <v>0.92950553497532196</v>
      </c>
      <c r="F3146">
        <v>0.87047564132840105</v>
      </c>
      <c r="G3146">
        <v>0.67498073571670802</v>
      </c>
      <c r="H3146">
        <v>0.66864482610667897</v>
      </c>
      <c r="I3146">
        <v>0.57743736879486196</v>
      </c>
      <c r="J3146">
        <v>0.53525678755231598</v>
      </c>
      <c r="K3146">
        <v>0.54911766139271601</v>
      </c>
      <c r="L3146">
        <v>766.96501844266902</v>
      </c>
      <c r="M3146">
        <v>13.770687148378199</v>
      </c>
      <c r="O3146">
        <v>54.560364759026903</v>
      </c>
      <c r="P3146">
        <v>-3.0782095942695601E-2</v>
      </c>
      <c r="Q3146">
        <v>0.51222612679592505</v>
      </c>
      <c r="R3146">
        <v>0.86965879722936901</v>
      </c>
      <c r="S3146" t="s">
        <v>9792</v>
      </c>
      <c r="T3146" t="s">
        <v>13290</v>
      </c>
      <c r="U3146" t="s">
        <v>13290</v>
      </c>
      <c r="V3146" t="s">
        <v>13290</v>
      </c>
      <c r="W3146" t="s">
        <v>16393</v>
      </c>
      <c r="X3146">
        <v>11</v>
      </c>
      <c r="Y3146" t="s">
        <v>22916</v>
      </c>
      <c r="Z3146" t="s">
        <v>29476</v>
      </c>
      <c r="AA3146">
        <v>0.7769837519811329</v>
      </c>
      <c r="AB3146" t="str">
        <f>HYPERLINK("Melting_Curves/meltCurve_P99999_CYCS.pdf", "Melting_Curves/meltCurve_P99999_CYCS.pdf")</f>
        <v>Melting_Curves/meltCurve_P99999_CYCS.pdf</v>
      </c>
    </row>
    <row r="3147" spans="1:28" x14ac:dyDescent="0.25">
      <c r="A3147" t="s">
        <v>3151</v>
      </c>
      <c r="B3147">
        <v>0.99252571173614901</v>
      </c>
      <c r="C3147">
        <v>0.95406790022461496</v>
      </c>
      <c r="D3147">
        <v>0.79564110875025695</v>
      </c>
      <c r="E3147">
        <v>0.66632550986618599</v>
      </c>
      <c r="F3147">
        <v>0.54554563264884703</v>
      </c>
      <c r="G3147">
        <v>0.33511032774691202</v>
      </c>
      <c r="H3147">
        <v>0.26853449940322899</v>
      </c>
      <c r="I3147">
        <v>0.25547850770108499</v>
      </c>
      <c r="J3147">
        <v>0.30726973172854299</v>
      </c>
      <c r="K3147">
        <v>0.38676360219751699</v>
      </c>
      <c r="L3147">
        <v>753.21040405233305</v>
      </c>
      <c r="M3147">
        <v>15.1178820336622</v>
      </c>
      <c r="N3147">
        <v>52.744229548586503</v>
      </c>
      <c r="O3147">
        <v>48.975124899923699</v>
      </c>
      <c r="P3147">
        <v>-5.5291392298446901E-2</v>
      </c>
      <c r="Q3147">
        <v>0.28359351780427799</v>
      </c>
      <c r="R3147">
        <v>0.96755224743788304</v>
      </c>
      <c r="S3147" t="s">
        <v>9793</v>
      </c>
      <c r="T3147" t="s">
        <v>13290</v>
      </c>
      <c r="U3147" t="s">
        <v>13290</v>
      </c>
      <c r="V3147" t="s">
        <v>13290</v>
      </c>
      <c r="W3147" t="s">
        <v>16394</v>
      </c>
      <c r="X3147">
        <v>14</v>
      </c>
      <c r="Y3147" t="s">
        <v>22917</v>
      </c>
      <c r="Z3147" t="s">
        <v>29477</v>
      </c>
      <c r="AA3147">
        <v>0.53509939932834572</v>
      </c>
      <c r="AB3147" t="str">
        <f>HYPERLINK("Melting_Curves/meltCurve_Q00059_TFAM.pdf", "Melting_Curves/meltCurve_Q00059_TFAM.pdf")</f>
        <v>Melting_Curves/meltCurve_Q00059_TFAM.pdf</v>
      </c>
    </row>
    <row r="3148" spans="1:28" x14ac:dyDescent="0.25">
      <c r="A3148" t="s">
        <v>3152</v>
      </c>
      <c r="B3148">
        <v>0.99252571173614901</v>
      </c>
      <c r="C3148">
        <v>1.0931559478410999</v>
      </c>
      <c r="D3148">
        <v>1.0326192489402</v>
      </c>
      <c r="E3148">
        <v>0.95089403577678699</v>
      </c>
      <c r="F3148">
        <v>0.74060707393353198</v>
      </c>
      <c r="G3148">
        <v>0.418375065067706</v>
      </c>
      <c r="H3148">
        <v>0.14533904012733001</v>
      </c>
      <c r="I3148">
        <v>0.103791782418206</v>
      </c>
      <c r="J3148">
        <v>0.10935402645183</v>
      </c>
      <c r="K3148">
        <v>0.103798259308409</v>
      </c>
      <c r="L3148">
        <v>1407.56453363421</v>
      </c>
      <c r="M3148">
        <v>25.453229932330199</v>
      </c>
      <c r="N3148">
        <v>55.721659928547403</v>
      </c>
      <c r="O3148">
        <v>54.962080120230901</v>
      </c>
      <c r="P3148">
        <v>-0.105636604027224</v>
      </c>
      <c r="Q3148">
        <v>8.7591665865775006E-2</v>
      </c>
      <c r="R3148">
        <v>0.99287248713409404</v>
      </c>
      <c r="S3148" t="s">
        <v>9794</v>
      </c>
      <c r="T3148" t="s">
        <v>13290</v>
      </c>
      <c r="U3148" t="s">
        <v>13290</v>
      </c>
      <c r="V3148" t="s">
        <v>13290</v>
      </c>
      <c r="W3148" t="s">
        <v>16395</v>
      </c>
      <c r="X3148">
        <v>18</v>
      </c>
      <c r="Y3148" t="s">
        <v>22918</v>
      </c>
      <c r="Z3148" t="s">
        <v>29478</v>
      </c>
      <c r="AA3148">
        <v>0.56109167360571643</v>
      </c>
      <c r="AB3148" t="str">
        <f>HYPERLINK("Melting_Curves/meltCurve_Q00169_PITPNA.pdf", "Melting_Curves/meltCurve_Q00169_PITPNA.pdf")</f>
        <v>Melting_Curves/meltCurve_Q00169_PITPNA.pdf</v>
      </c>
    </row>
    <row r="3149" spans="1:28" x14ac:dyDescent="0.25">
      <c r="A3149" t="s">
        <v>3153</v>
      </c>
      <c r="B3149">
        <v>0.99252571173614901</v>
      </c>
      <c r="C3149">
        <v>0.96119532150871401</v>
      </c>
      <c r="D3149">
        <v>1.0542714718363599</v>
      </c>
      <c r="E3149">
        <v>1.1105387113813801</v>
      </c>
      <c r="F3149">
        <v>0.95243594208239601</v>
      </c>
      <c r="G3149">
        <v>0.67822909591216496</v>
      </c>
      <c r="H3149">
        <v>0.34850830786542297</v>
      </c>
      <c r="I3149">
        <v>0.20197541983065301</v>
      </c>
      <c r="J3149">
        <v>0.22258634752961201</v>
      </c>
      <c r="K3149">
        <v>0.241455237195775</v>
      </c>
      <c r="L3149">
        <v>1964.19153614061</v>
      </c>
      <c r="M3149">
        <v>34.172380708764202</v>
      </c>
      <c r="N3149">
        <v>58.460735341902101</v>
      </c>
      <c r="O3149">
        <v>57.283149679136798</v>
      </c>
      <c r="P3149">
        <v>-0.116575662341974</v>
      </c>
      <c r="Q3149">
        <v>0.218340073127334</v>
      </c>
      <c r="R3149">
        <v>0.98458728367996895</v>
      </c>
      <c r="S3149" t="s">
        <v>9795</v>
      </c>
      <c r="T3149" t="s">
        <v>13290</v>
      </c>
      <c r="U3149" t="s">
        <v>13290</v>
      </c>
      <c r="V3149" t="s">
        <v>13290</v>
      </c>
      <c r="W3149" t="s">
        <v>16396</v>
      </c>
      <c r="X3149">
        <v>7</v>
      </c>
      <c r="Y3149" t="s">
        <v>22919</v>
      </c>
      <c r="Z3149" t="s">
        <v>29479</v>
      </c>
      <c r="AA3149">
        <v>0.67787432297257</v>
      </c>
      <c r="AB3149" t="str">
        <f>HYPERLINK("Melting_Curves/meltCurve_Q00266_MAT1A.pdf", "Melting_Curves/meltCurve_Q00266_MAT1A.pdf")</f>
        <v>Melting_Curves/meltCurve_Q00266_MAT1A.pdf</v>
      </c>
    </row>
    <row r="3150" spans="1:28" x14ac:dyDescent="0.25">
      <c r="A3150" t="s">
        <v>3154</v>
      </c>
      <c r="B3150">
        <v>0.99252571173614901</v>
      </c>
      <c r="C3150">
        <v>0.887013064741494</v>
      </c>
      <c r="D3150">
        <v>0.85026041792972995</v>
      </c>
      <c r="E3150">
        <v>0.83139089782370901</v>
      </c>
      <c r="F3150">
        <v>0.78238482795988995</v>
      </c>
      <c r="G3150">
        <v>0.64449604002509597</v>
      </c>
      <c r="H3150">
        <v>0.62036053610337905</v>
      </c>
      <c r="I3150">
        <v>0.90177799899977396</v>
      </c>
      <c r="J3150">
        <v>1.3055715606276701</v>
      </c>
      <c r="K3150">
        <v>1.0820067788654999</v>
      </c>
      <c r="L3150">
        <v>3127.07894502623</v>
      </c>
      <c r="M3150">
        <v>75.401157824778906</v>
      </c>
      <c r="O3150">
        <v>41.443414509076902</v>
      </c>
      <c r="P3150">
        <v>-5.5798057254334503E-2</v>
      </c>
      <c r="Q3150">
        <v>0.87732487470945897</v>
      </c>
      <c r="R3150">
        <v>3.1935766644515903E-2</v>
      </c>
      <c r="S3150" t="s">
        <v>9796</v>
      </c>
      <c r="T3150" t="s">
        <v>13290</v>
      </c>
      <c r="U3150" t="s">
        <v>13290</v>
      </c>
      <c r="V3150" t="s">
        <v>13290</v>
      </c>
      <c r="W3150" t="s">
        <v>16397</v>
      </c>
      <c r="X3150">
        <v>14</v>
      </c>
      <c r="Y3150" t="s">
        <v>22920</v>
      </c>
      <c r="Z3150" t="s">
        <v>29480</v>
      </c>
      <c r="AA3150">
        <v>0.8835680753773929</v>
      </c>
      <c r="AB3150" t="str">
        <f>HYPERLINK("Melting_Curves/meltCurve_Q00325_2_SLC25A3.pdf", "Melting_Curves/meltCurve_Q00325_2_SLC25A3.pdf")</f>
        <v>Melting_Curves/meltCurve_Q00325_2_SLC25A3.pdf</v>
      </c>
    </row>
    <row r="3151" spans="1:28" x14ac:dyDescent="0.25">
      <c r="A3151" t="s">
        <v>3155</v>
      </c>
      <c r="B3151">
        <v>0.99252571173614901</v>
      </c>
      <c r="C3151">
        <v>0.96700689591193301</v>
      </c>
      <c r="D3151">
        <v>0.37038408684302498</v>
      </c>
      <c r="E3151">
        <v>0.15737602968001699</v>
      </c>
      <c r="F3151">
        <v>9.4997524242206394E-2</v>
      </c>
      <c r="G3151">
        <v>6.3090485555300904E-2</v>
      </c>
      <c r="H3151">
        <v>5.1318207837680402E-2</v>
      </c>
      <c r="I3151">
        <v>5.4103043122768597E-2</v>
      </c>
      <c r="J3151">
        <v>6.7095232719141806E-2</v>
      </c>
      <c r="K3151">
        <v>6.3257298951885504E-2</v>
      </c>
      <c r="L3151">
        <v>2260.5815167272799</v>
      </c>
      <c r="M3151">
        <v>49.861103226614802</v>
      </c>
      <c r="N3151">
        <v>45.488103639208099</v>
      </c>
      <c r="O3151">
        <v>45.264828493538403</v>
      </c>
      <c r="P3151">
        <v>-0.254441962574459</v>
      </c>
      <c r="Q3151">
        <v>7.60524451656618E-2</v>
      </c>
      <c r="R3151">
        <v>0.99451006155638599</v>
      </c>
      <c r="S3151" t="s">
        <v>9797</v>
      </c>
      <c r="T3151" t="s">
        <v>13290</v>
      </c>
      <c r="U3151" t="s">
        <v>13290</v>
      </c>
      <c r="V3151" t="s">
        <v>13290</v>
      </c>
      <c r="W3151" t="s">
        <v>16398</v>
      </c>
      <c r="X3151">
        <v>47</v>
      </c>
      <c r="Y3151" t="s">
        <v>22921</v>
      </c>
      <c r="Z3151" t="s">
        <v>29481</v>
      </c>
      <c r="AA3151">
        <v>0.24232570992936669</v>
      </c>
      <c r="AB3151" t="str">
        <f>HYPERLINK("Melting_Curves/meltCurve_Q00341_HDLBP.pdf", "Melting_Curves/meltCurve_Q00341_HDLBP.pdf")</f>
        <v>Melting_Curves/meltCurve_Q00341_HDLBP.pdf</v>
      </c>
    </row>
    <row r="3152" spans="1:28" x14ac:dyDescent="0.25">
      <c r="A3152" t="s">
        <v>3156</v>
      </c>
      <c r="B3152">
        <v>0.99252571173614901</v>
      </c>
      <c r="C3152">
        <v>1.04456392584629</v>
      </c>
      <c r="D3152">
        <v>0.77445745150388201</v>
      </c>
      <c r="E3152">
        <v>0.283484310277963</v>
      </c>
      <c r="F3152">
        <v>0.14946024308821201</v>
      </c>
      <c r="G3152">
        <v>8.9631981663426799E-2</v>
      </c>
      <c r="H3152">
        <v>6.9508076709804203E-2</v>
      </c>
      <c r="I3152">
        <v>8.6173888029534004E-2</v>
      </c>
      <c r="J3152">
        <v>0.103405384467626</v>
      </c>
      <c r="K3152">
        <v>9.8963136863834802E-2</v>
      </c>
      <c r="L3152">
        <v>1600.28039063555</v>
      </c>
      <c r="M3152">
        <v>33.601096969541203</v>
      </c>
      <c r="N3152">
        <v>47.923239672501197</v>
      </c>
      <c r="O3152">
        <v>47.458084482645198</v>
      </c>
      <c r="P3152">
        <v>-0.16034715562819499</v>
      </c>
      <c r="Q3152">
        <v>9.4108250571053195E-2</v>
      </c>
      <c r="R3152">
        <v>0.99562036665986997</v>
      </c>
      <c r="S3152" t="s">
        <v>9798</v>
      </c>
      <c r="T3152" t="s">
        <v>13290</v>
      </c>
      <c r="U3152" t="s">
        <v>13290</v>
      </c>
      <c r="V3152" t="s">
        <v>13290</v>
      </c>
      <c r="W3152" t="s">
        <v>16399</v>
      </c>
      <c r="X3152">
        <v>17</v>
      </c>
      <c r="Y3152" t="s">
        <v>22922</v>
      </c>
      <c r="Z3152" t="s">
        <v>29482</v>
      </c>
      <c r="AA3152">
        <v>0.32866964519343528</v>
      </c>
      <c r="AB3152" t="str">
        <f>HYPERLINK("Melting_Curves/meltCurve_Q00403_GTF2B.pdf", "Melting_Curves/meltCurve_Q00403_GTF2B.pdf")</f>
        <v>Melting_Curves/meltCurve_Q00403_GTF2B.pdf</v>
      </c>
    </row>
    <row r="3153" spans="1:28" x14ac:dyDescent="0.25">
      <c r="A3153" t="s">
        <v>3157</v>
      </c>
      <c r="B3153">
        <v>0.99252571173614901</v>
      </c>
      <c r="C3153">
        <v>0.873116752662358</v>
      </c>
      <c r="D3153">
        <v>0.518517207294795</v>
      </c>
      <c r="E3153">
        <v>0.33807185338064699</v>
      </c>
      <c r="F3153">
        <v>0.20904588611383901</v>
      </c>
      <c r="G3153">
        <v>0.10825121809344899</v>
      </c>
      <c r="H3153">
        <v>7.2096056056523694E-2</v>
      </c>
      <c r="I3153">
        <v>7.5104472948490694E-2</v>
      </c>
      <c r="J3153">
        <v>8.1316449455208897E-2</v>
      </c>
      <c r="K3153">
        <v>8.2732628044325199E-2</v>
      </c>
      <c r="L3153">
        <v>827.93964321471196</v>
      </c>
      <c r="M3153">
        <v>17.7981995905476</v>
      </c>
      <c r="N3153">
        <v>46.973743370501701</v>
      </c>
      <c r="O3153">
        <v>45.942843790768102</v>
      </c>
      <c r="P3153">
        <v>-8.9177045551084397E-2</v>
      </c>
      <c r="Q3153">
        <v>7.9269644930056907E-2</v>
      </c>
      <c r="R3153">
        <v>0.98989054038731905</v>
      </c>
      <c r="S3153" t="s">
        <v>9799</v>
      </c>
      <c r="T3153" t="s">
        <v>13290</v>
      </c>
      <c r="U3153" t="s">
        <v>13290</v>
      </c>
      <c r="V3153" t="s">
        <v>13290</v>
      </c>
      <c r="W3153" t="s">
        <v>16400</v>
      </c>
      <c r="X3153">
        <v>12</v>
      </c>
      <c r="Y3153" t="s">
        <v>22923</v>
      </c>
      <c r="Z3153" t="s">
        <v>29483</v>
      </c>
      <c r="AA3153">
        <v>0.29720227013229711</v>
      </c>
      <c r="AB3153" t="str">
        <f>HYPERLINK("Melting_Curves/meltCurve_Q00534_CDK6.pdf", "Melting_Curves/meltCurve_Q00534_CDK6.pdf")</f>
        <v>Melting_Curves/meltCurve_Q00534_CDK6.pdf</v>
      </c>
    </row>
    <row r="3154" spans="1:28" x14ac:dyDescent="0.25">
      <c r="A3154" t="s">
        <v>3158</v>
      </c>
      <c r="B3154">
        <v>0.99252571173614901</v>
      </c>
      <c r="C3154">
        <v>0.90671309130264099</v>
      </c>
      <c r="D3154">
        <v>0.78761391123482505</v>
      </c>
      <c r="E3154">
        <v>0.58950123705331803</v>
      </c>
      <c r="F3154">
        <v>0.16158853430390599</v>
      </c>
      <c r="G3154">
        <v>8.3978913649905201E-2</v>
      </c>
      <c r="H3154">
        <v>5.9610488750624198E-2</v>
      </c>
      <c r="I3154">
        <v>6.9051836238969405E-2</v>
      </c>
      <c r="J3154">
        <v>9.1913288746403601E-2</v>
      </c>
      <c r="K3154">
        <v>0.101321964843215</v>
      </c>
      <c r="L3154">
        <v>1048.38845749761</v>
      </c>
      <c r="M3154">
        <v>21.236577917250202</v>
      </c>
      <c r="N3154">
        <v>49.668093388664801</v>
      </c>
      <c r="O3154">
        <v>48.935617448782999</v>
      </c>
      <c r="P3154">
        <v>-0.10194455403153201</v>
      </c>
      <c r="Q3154">
        <v>6.03774505502934E-2</v>
      </c>
      <c r="R3154">
        <v>0.98499553704154097</v>
      </c>
      <c r="S3154" t="s">
        <v>9800</v>
      </c>
      <c r="T3154" t="s">
        <v>13290</v>
      </c>
      <c r="U3154" t="s">
        <v>13290</v>
      </c>
      <c r="V3154" t="s">
        <v>13290</v>
      </c>
      <c r="W3154" t="s">
        <v>16401</v>
      </c>
      <c r="X3154">
        <v>14</v>
      </c>
      <c r="Y3154" t="s">
        <v>22924</v>
      </c>
      <c r="Z3154" t="s">
        <v>29484</v>
      </c>
      <c r="AA3154">
        <v>0.36539429113297639</v>
      </c>
      <c r="AB3154" t="str">
        <f>HYPERLINK("Melting_Curves/meltCurve_Q00535_CDK5.pdf", "Melting_Curves/meltCurve_Q00535_CDK5.pdf")</f>
        <v>Melting_Curves/meltCurve_Q00535_CDK5.pdf</v>
      </c>
    </row>
    <row r="3155" spans="1:28" x14ac:dyDescent="0.25">
      <c r="A3155" t="s">
        <v>3159</v>
      </c>
      <c r="B3155">
        <v>0.99252571173614901</v>
      </c>
      <c r="C3155">
        <v>0.71862204038664401</v>
      </c>
      <c r="D3155">
        <v>0.63462379319862905</v>
      </c>
      <c r="E3155">
        <v>0.39321957494802401</v>
      </c>
      <c r="F3155">
        <v>0.69928296710140703</v>
      </c>
      <c r="G3155">
        <v>0.38592041942191302</v>
      </c>
      <c r="H3155">
        <v>0.37391306320470802</v>
      </c>
      <c r="I3155">
        <v>0.29714620138304298</v>
      </c>
      <c r="J3155">
        <v>0.37959687212818999</v>
      </c>
      <c r="K3155">
        <v>0.32867334452538999</v>
      </c>
      <c r="L3155">
        <v>503.22609774484602</v>
      </c>
      <c r="M3155">
        <v>11.0510264109204</v>
      </c>
      <c r="N3155">
        <v>50.802816171505299</v>
      </c>
      <c r="O3155">
        <v>44.121733603554603</v>
      </c>
      <c r="P3155">
        <v>-4.12795980785279E-2</v>
      </c>
      <c r="Q3155">
        <v>0.340975504212778</v>
      </c>
      <c r="R3155">
        <v>0.78217488426663995</v>
      </c>
      <c r="S3155" t="s">
        <v>9801</v>
      </c>
      <c r="T3155" t="s">
        <v>13290</v>
      </c>
      <c r="U3155" t="s">
        <v>13290</v>
      </c>
      <c r="V3155" t="s">
        <v>13290</v>
      </c>
      <c r="W3155" t="s">
        <v>16402</v>
      </c>
      <c r="X3155">
        <v>2</v>
      </c>
      <c r="Y3155" t="s">
        <v>22925</v>
      </c>
      <c r="Z3155" t="s">
        <v>29485</v>
      </c>
      <c r="AA3155">
        <v>0.49888632040014191</v>
      </c>
      <c r="AB3155" t="str">
        <f>HYPERLINK("Melting_Curves/meltCurve_Q00577_PURA.pdf", "Melting_Curves/meltCurve_Q00577_PURA.pdf")</f>
        <v>Melting_Curves/meltCurve_Q00577_PURA.pdf</v>
      </c>
    </row>
    <row r="3156" spans="1:28" x14ac:dyDescent="0.25">
      <c r="A3156" t="s">
        <v>3160</v>
      </c>
      <c r="B3156">
        <v>0.99252571173614901</v>
      </c>
      <c r="C3156">
        <v>1.00671244263697</v>
      </c>
      <c r="D3156">
        <v>0.88395269699694001</v>
      </c>
      <c r="E3156">
        <v>0.66364208729717</v>
      </c>
      <c r="F3156">
        <v>0.42628885120356103</v>
      </c>
      <c r="G3156">
        <v>0.26570813698193402</v>
      </c>
      <c r="H3156">
        <v>0.212781644978639</v>
      </c>
      <c r="I3156">
        <v>0.21257836554186399</v>
      </c>
      <c r="J3156">
        <v>0.29478734942567703</v>
      </c>
      <c r="K3156">
        <v>0.36317721786127199</v>
      </c>
      <c r="L3156">
        <v>1174.73373690483</v>
      </c>
      <c r="M3156">
        <v>23.5441402688792</v>
      </c>
      <c r="N3156">
        <v>51.5288611935202</v>
      </c>
      <c r="O3156">
        <v>49.539182524517898</v>
      </c>
      <c r="P3156">
        <v>-8.7568582688673902E-2</v>
      </c>
      <c r="Q3156">
        <v>0.26300099775320002</v>
      </c>
      <c r="R3156">
        <v>0.97813221376572101</v>
      </c>
      <c r="S3156" t="s">
        <v>9802</v>
      </c>
      <c r="T3156" t="s">
        <v>13290</v>
      </c>
      <c r="U3156" t="s">
        <v>13290</v>
      </c>
      <c r="V3156" t="s">
        <v>13290</v>
      </c>
      <c r="W3156" t="s">
        <v>16403</v>
      </c>
      <c r="X3156">
        <v>5</v>
      </c>
      <c r="Y3156" t="s">
        <v>22926</v>
      </c>
      <c r="Z3156" t="s">
        <v>29486</v>
      </c>
      <c r="AA3156">
        <v>0.51351077610589368</v>
      </c>
      <c r="AB3156" t="str">
        <f>HYPERLINK("Melting_Curves/meltCurve_Q00587_2_CDC42EP1.pdf", "Melting_Curves/meltCurve_Q00587_2_CDC42EP1.pdf")</f>
        <v>Melting_Curves/meltCurve_Q00587_2_CDC42EP1.pdf</v>
      </c>
    </row>
    <row r="3157" spans="1:28" x14ac:dyDescent="0.25">
      <c r="A3157" t="s">
        <v>3161</v>
      </c>
      <c r="B3157">
        <v>0.99252571173614901</v>
      </c>
      <c r="C3157">
        <v>0.77233692574648305</v>
      </c>
      <c r="D3157">
        <v>0.85050625346956099</v>
      </c>
      <c r="E3157">
        <v>0.71390552817900099</v>
      </c>
      <c r="F3157">
        <v>0.31084517570529202</v>
      </c>
      <c r="G3157">
        <v>0.15207016720265801</v>
      </c>
      <c r="H3157">
        <v>0.111214291507147</v>
      </c>
      <c r="I3157">
        <v>0.112104329844623</v>
      </c>
      <c r="J3157">
        <v>0.14267630577361701</v>
      </c>
      <c r="K3157">
        <v>0.133052488505984</v>
      </c>
      <c r="L3157">
        <v>897.40990445817101</v>
      </c>
      <c r="M3157">
        <v>17.783212552707901</v>
      </c>
      <c r="N3157">
        <v>51.061414837169899</v>
      </c>
      <c r="O3157">
        <v>49.8387247903404</v>
      </c>
      <c r="P3157">
        <v>-8.0828295837956296E-2</v>
      </c>
      <c r="Q3157">
        <v>9.3938589979485204E-2</v>
      </c>
      <c r="R3157">
        <v>0.95392472992806299</v>
      </c>
      <c r="S3157" t="s">
        <v>9803</v>
      </c>
      <c r="T3157" t="s">
        <v>13290</v>
      </c>
      <c r="U3157" t="s">
        <v>13290</v>
      </c>
      <c r="V3157" t="s">
        <v>13290</v>
      </c>
      <c r="W3157" t="s">
        <v>16404</v>
      </c>
      <c r="X3157">
        <v>61</v>
      </c>
      <c r="Y3157" t="s">
        <v>22927</v>
      </c>
      <c r="Z3157" t="s">
        <v>29487</v>
      </c>
      <c r="AA3157">
        <v>0.42568034132219501</v>
      </c>
      <c r="AB3157" t="str">
        <f>HYPERLINK("Melting_Curves/meltCurve_Q00610_2_CLTC.pdf", "Melting_Curves/meltCurve_Q00610_2_CLTC.pdf")</f>
        <v>Melting_Curves/meltCurve_Q00610_2_CLTC.pdf</v>
      </c>
    </row>
    <row r="3158" spans="1:28" x14ac:dyDescent="0.25">
      <c r="A3158" t="s">
        <v>3162</v>
      </c>
      <c r="B3158">
        <v>0.99252571173614901</v>
      </c>
      <c r="C3158">
        <v>0.95829738425636302</v>
      </c>
      <c r="D3158">
        <v>0.899190903451212</v>
      </c>
      <c r="E3158">
        <v>0.75151740949049906</v>
      </c>
      <c r="F3158">
        <v>0.282422646378445</v>
      </c>
      <c r="G3158">
        <v>0.128201459213171</v>
      </c>
      <c r="H3158">
        <v>9.3554115498878501E-2</v>
      </c>
      <c r="I3158">
        <v>0.107980110654329</v>
      </c>
      <c r="J3158">
        <v>0.139791238096065</v>
      </c>
      <c r="K3158">
        <v>8.8223496045739799E-2</v>
      </c>
      <c r="L3158">
        <v>1556.81655495409</v>
      </c>
      <c r="M3158">
        <v>30.556212526277999</v>
      </c>
      <c r="N3158">
        <v>51.330197160189698</v>
      </c>
      <c r="O3158">
        <v>50.732540222593798</v>
      </c>
      <c r="P3158">
        <v>-0.13530065621299101</v>
      </c>
      <c r="Q3158">
        <v>0.101445691568994</v>
      </c>
      <c r="R3158">
        <v>0.99383713505801896</v>
      </c>
      <c r="S3158" t="s">
        <v>9804</v>
      </c>
      <c r="T3158" t="s">
        <v>13290</v>
      </c>
      <c r="U3158" t="s">
        <v>13290</v>
      </c>
      <c r="V3158" t="s">
        <v>13290</v>
      </c>
      <c r="W3158" t="s">
        <v>16405</v>
      </c>
      <c r="X3158">
        <v>3</v>
      </c>
      <c r="Y3158" t="s">
        <v>22928</v>
      </c>
      <c r="Z3158" t="s">
        <v>29488</v>
      </c>
      <c r="AA3158">
        <v>0.43483676195631121</v>
      </c>
      <c r="AB3158" t="str">
        <f>HYPERLINK("Melting_Curves/meltCurve_Q00613_2_HSF1.pdf", "Melting_Curves/meltCurve_Q00613_2_HSF1.pdf")</f>
        <v>Melting_Curves/meltCurve_Q00613_2_HSF1.pdf</v>
      </c>
    </row>
    <row r="3159" spans="1:28" x14ac:dyDescent="0.25">
      <c r="A3159" t="s">
        <v>3163</v>
      </c>
      <c r="B3159">
        <v>0.99252571173614901</v>
      </c>
      <c r="C3159">
        <v>0.72855107744202097</v>
      </c>
      <c r="D3159">
        <v>0.38830804077434899</v>
      </c>
      <c r="E3159">
        <v>0.28193817800426302</v>
      </c>
      <c r="F3159">
        <v>0.1645757702292</v>
      </c>
      <c r="G3159">
        <v>0.124749727912079</v>
      </c>
      <c r="H3159">
        <v>0.100237086286092</v>
      </c>
      <c r="I3159">
        <v>0.124828691850039</v>
      </c>
      <c r="J3159">
        <v>0.10856527946936501</v>
      </c>
      <c r="K3159">
        <v>0.101823979310909</v>
      </c>
      <c r="L3159">
        <v>943.33609932707202</v>
      </c>
      <c r="M3159">
        <v>21.122601817115299</v>
      </c>
      <c r="N3159">
        <v>45.243745848541899</v>
      </c>
      <c r="O3159">
        <v>44.265523038587297</v>
      </c>
      <c r="P3159">
        <v>-0.10506952830355</v>
      </c>
      <c r="Q3159">
        <v>0.11926839687674901</v>
      </c>
      <c r="R3159">
        <v>0.98698797390788695</v>
      </c>
      <c r="S3159" t="s">
        <v>9805</v>
      </c>
      <c r="T3159" t="s">
        <v>13290</v>
      </c>
      <c r="U3159" t="s">
        <v>13290</v>
      </c>
      <c r="V3159" t="s">
        <v>13290</v>
      </c>
      <c r="W3159" t="s">
        <v>16406</v>
      </c>
      <c r="X3159">
        <v>10</v>
      </c>
      <c r="Y3159" t="s">
        <v>22929</v>
      </c>
      <c r="Z3159" t="s">
        <v>29489</v>
      </c>
      <c r="AA3159">
        <v>0.26974550597859909</v>
      </c>
      <c r="AB3159" t="str">
        <f>HYPERLINK("Melting_Curves/meltCurve_Q00653_4_NFKB2.pdf", "Melting_Curves/meltCurve_Q00653_4_NFKB2.pdf")</f>
        <v>Melting_Curves/meltCurve_Q00653_4_NFKB2.pdf</v>
      </c>
    </row>
    <row r="3160" spans="1:28" x14ac:dyDescent="0.25">
      <c r="A3160" t="s">
        <v>3164</v>
      </c>
      <c r="B3160">
        <v>0.99252571173614901</v>
      </c>
      <c r="C3160">
        <v>1.1136158967129099</v>
      </c>
      <c r="D3160">
        <v>1.02147197233007</v>
      </c>
      <c r="E3160">
        <v>0.89638157296736198</v>
      </c>
      <c r="F3160">
        <v>0.61127302456033406</v>
      </c>
      <c r="G3160">
        <v>0.410765085165545</v>
      </c>
      <c r="H3160">
        <v>0.32136149726305702</v>
      </c>
      <c r="I3160">
        <v>0.37675646483832798</v>
      </c>
      <c r="J3160">
        <v>0.53632936221280203</v>
      </c>
      <c r="K3160">
        <v>0.58074979652733805</v>
      </c>
      <c r="L3160">
        <v>2025.9580214473301</v>
      </c>
      <c r="M3160">
        <v>39.121759649831297</v>
      </c>
      <c r="N3160">
        <v>54.866957309562302</v>
      </c>
      <c r="O3160">
        <v>51.651222855279002</v>
      </c>
      <c r="P3160">
        <v>-0.105201776028555</v>
      </c>
      <c r="Q3160">
        <v>0.44442310346396002</v>
      </c>
      <c r="R3160">
        <v>0.91728565779231896</v>
      </c>
      <c r="S3160" t="s">
        <v>9806</v>
      </c>
      <c r="T3160" t="s">
        <v>13290</v>
      </c>
      <c r="U3160" t="s">
        <v>13290</v>
      </c>
      <c r="V3160" t="s">
        <v>13290</v>
      </c>
      <c r="W3160" t="s">
        <v>16407</v>
      </c>
      <c r="X3160">
        <v>22</v>
      </c>
      <c r="Y3160" t="s">
        <v>22930</v>
      </c>
      <c r="Z3160" t="s">
        <v>29490</v>
      </c>
      <c r="AA3160">
        <v>0.66476885476892755</v>
      </c>
      <c r="AB3160" t="str">
        <f>HYPERLINK("Melting_Curves/meltCurve_Q00688_FKBP3.pdf", "Melting_Curves/meltCurve_Q00688_FKBP3.pdf")</f>
        <v>Melting_Curves/meltCurve_Q00688_FKBP3.pdf</v>
      </c>
    </row>
    <row r="3161" spans="1:28" x14ac:dyDescent="0.25">
      <c r="A3161" t="s">
        <v>3165</v>
      </c>
      <c r="B3161">
        <v>0.99252571173614901</v>
      </c>
      <c r="C3161">
        <v>1.06959784161479</v>
      </c>
      <c r="D3161">
        <v>1.0115940684874301</v>
      </c>
      <c r="E3161">
        <v>1.20102560834461</v>
      </c>
      <c r="F3161">
        <v>0.80147916805775798</v>
      </c>
      <c r="G3161">
        <v>0.70184650715665697</v>
      </c>
      <c r="H3161">
        <v>0.65287062001246399</v>
      </c>
      <c r="I3161">
        <v>0.90870115886305003</v>
      </c>
      <c r="J3161">
        <v>1.4965018384879301</v>
      </c>
      <c r="K3161">
        <v>1.2346697089031899</v>
      </c>
      <c r="L3161">
        <v>15000</v>
      </c>
      <c r="M3161">
        <v>229.136596776282</v>
      </c>
      <c r="O3161">
        <v>65.458148451749807</v>
      </c>
      <c r="P3161">
        <v>0.32009901522737899</v>
      </c>
      <c r="Q3161">
        <v>1.3657746359154199</v>
      </c>
      <c r="R3161">
        <v>0.440788730627515</v>
      </c>
      <c r="S3161" t="s">
        <v>9807</v>
      </c>
      <c r="T3161" t="s">
        <v>13290</v>
      </c>
      <c r="U3161" t="s">
        <v>13290</v>
      </c>
      <c r="V3161" t="s">
        <v>13290</v>
      </c>
      <c r="W3161" t="s">
        <v>16408</v>
      </c>
      <c r="X3161">
        <v>10</v>
      </c>
      <c r="Y3161" t="s">
        <v>22931</v>
      </c>
      <c r="Z3161" t="s">
        <v>29491</v>
      </c>
      <c r="AA3161">
        <v>1.055265645502304</v>
      </c>
      <c r="AB3161" t="str">
        <f>HYPERLINK("Melting_Curves/meltCurve_Q00765_REEP5.pdf", "Melting_Curves/meltCurve_Q00765_REEP5.pdf")</f>
        <v>Melting_Curves/meltCurve_Q00765_REEP5.pdf</v>
      </c>
    </row>
    <row r="3162" spans="1:28" x14ac:dyDescent="0.25">
      <c r="A3162" t="s">
        <v>3166</v>
      </c>
      <c r="B3162">
        <v>0.99252571173614901</v>
      </c>
      <c r="C3162">
        <v>0.99658758623246801</v>
      </c>
      <c r="D3162">
        <v>1.07652518090979</v>
      </c>
      <c r="E3162">
        <v>1.08924866334616</v>
      </c>
      <c r="F3162">
        <v>1.0752444696497301</v>
      </c>
      <c r="G3162">
        <v>0.90349114908522599</v>
      </c>
      <c r="H3162">
        <v>0.84331779575994803</v>
      </c>
      <c r="I3162">
        <v>0.77159694281323299</v>
      </c>
      <c r="J3162">
        <v>0.369470207350723</v>
      </c>
      <c r="K3162">
        <v>0.203657448717285</v>
      </c>
      <c r="L3162">
        <v>1669.35179062051</v>
      </c>
      <c r="M3162">
        <v>25.241668601619601</v>
      </c>
      <c r="N3162">
        <v>66.134763254409705</v>
      </c>
      <c r="O3162">
        <v>65.723860344293499</v>
      </c>
      <c r="P3162">
        <v>-9.6015340977195093E-2</v>
      </c>
      <c r="Q3162">
        <v>0</v>
      </c>
      <c r="R3162">
        <v>0.95694219715726603</v>
      </c>
      <c r="S3162" t="s">
        <v>9808</v>
      </c>
      <c r="T3162" t="s">
        <v>13290</v>
      </c>
      <c r="U3162" t="s">
        <v>13290</v>
      </c>
      <c r="V3162" t="s">
        <v>13290</v>
      </c>
      <c r="W3162" t="s">
        <v>16409</v>
      </c>
      <c r="X3162">
        <v>26</v>
      </c>
      <c r="Y3162" t="s">
        <v>22932</v>
      </c>
      <c r="Z3162" t="s">
        <v>29492</v>
      </c>
      <c r="AA3162">
        <v>0.85888983179772493</v>
      </c>
      <c r="AB3162" t="str">
        <f>HYPERLINK("Melting_Curves/meltCurve_Q00796_SORD.pdf", "Melting_Curves/meltCurve_Q00796_SORD.pdf")</f>
        <v>Melting_Curves/meltCurve_Q00796_SORD.pdf</v>
      </c>
    </row>
    <row r="3163" spans="1:28" x14ac:dyDescent="0.25">
      <c r="A3163" t="s">
        <v>3167</v>
      </c>
      <c r="B3163">
        <v>0.99252571173614901</v>
      </c>
      <c r="C3163">
        <v>0.96181438708679401</v>
      </c>
      <c r="D3163">
        <v>0.63658088742333896</v>
      </c>
      <c r="E3163">
        <v>0.35133519158237297</v>
      </c>
      <c r="F3163">
        <v>0.21338413717306501</v>
      </c>
      <c r="G3163">
        <v>0.14672720825570201</v>
      </c>
      <c r="H3163">
        <v>0.11982160080592601</v>
      </c>
      <c r="I3163">
        <v>0.13343694589067001</v>
      </c>
      <c r="J3163">
        <v>0.185055870356056</v>
      </c>
      <c r="K3163">
        <v>0.192609554115174</v>
      </c>
      <c r="L3163">
        <v>1148.1094618055699</v>
      </c>
      <c r="M3163">
        <v>24.5200630885092</v>
      </c>
      <c r="N3163">
        <v>47.554697696352299</v>
      </c>
      <c r="O3163">
        <v>46.515169609232501</v>
      </c>
      <c r="P3163">
        <v>-0.111084834154103</v>
      </c>
      <c r="Q3163">
        <v>0.15708958632020301</v>
      </c>
      <c r="R3163">
        <v>0.99208997872437998</v>
      </c>
      <c r="S3163" t="s">
        <v>9809</v>
      </c>
      <c r="T3163" t="s">
        <v>13290</v>
      </c>
      <c r="U3163" t="s">
        <v>13290</v>
      </c>
      <c r="V3163" t="s">
        <v>13290</v>
      </c>
      <c r="W3163" t="s">
        <v>16410</v>
      </c>
      <c r="X3163">
        <v>32</v>
      </c>
      <c r="Y3163" t="s">
        <v>22933</v>
      </c>
      <c r="Z3163" t="s">
        <v>29493</v>
      </c>
      <c r="AA3163">
        <v>0.35669086207331552</v>
      </c>
      <c r="AB3163" t="str">
        <f>HYPERLINK("Melting_Curves/meltCurve_Q00839_2_HNRNPU.pdf", "Melting_Curves/meltCurve_Q00839_2_HNRNPU.pdf")</f>
        <v>Melting_Curves/meltCurve_Q00839_2_HNRNPU.pdf</v>
      </c>
    </row>
    <row r="3164" spans="1:28" x14ac:dyDescent="0.25">
      <c r="A3164" t="s">
        <v>3168</v>
      </c>
      <c r="B3164">
        <v>0.99252571173614901</v>
      </c>
      <c r="C3164">
        <v>0.96587723399729097</v>
      </c>
      <c r="D3164">
        <v>0.77942884143747804</v>
      </c>
      <c r="E3164">
        <v>0.42540314827395398</v>
      </c>
      <c r="F3164">
        <v>0.17673752517473401</v>
      </c>
      <c r="G3164">
        <v>8.9595502770949201E-2</v>
      </c>
      <c r="H3164">
        <v>6.2451025633839898E-2</v>
      </c>
      <c r="I3164">
        <v>6.29220952176648E-2</v>
      </c>
      <c r="J3164">
        <v>7.1558586420297901E-2</v>
      </c>
      <c r="K3164">
        <v>7.7965986785592106E-2</v>
      </c>
      <c r="L3164">
        <v>1095.89282539747</v>
      </c>
      <c r="M3164">
        <v>22.5859905684277</v>
      </c>
      <c r="N3164">
        <v>48.814470095898599</v>
      </c>
      <c r="O3164">
        <v>48.1453393143304</v>
      </c>
      <c r="P3164">
        <v>-0.10983476642218799</v>
      </c>
      <c r="Q3164">
        <v>6.3503262653391304E-2</v>
      </c>
      <c r="R3164">
        <v>0.99949627695398102</v>
      </c>
      <c r="S3164" t="s">
        <v>9810</v>
      </c>
      <c r="T3164" t="s">
        <v>13290</v>
      </c>
      <c r="U3164" t="s">
        <v>13290</v>
      </c>
      <c r="V3164" t="s">
        <v>13290</v>
      </c>
      <c r="W3164" t="s">
        <v>16411</v>
      </c>
      <c r="X3164">
        <v>9</v>
      </c>
      <c r="Y3164" t="s">
        <v>22934</v>
      </c>
      <c r="Z3164" t="s">
        <v>29494</v>
      </c>
      <c r="AA3164">
        <v>0.33973441292933482</v>
      </c>
      <c r="AB3164" t="str">
        <f>HYPERLINK("Melting_Curves/meltCurve_Q01081_U2AF1.pdf", "Melting_Curves/meltCurve_Q01081_U2AF1.pdf")</f>
        <v>Melting_Curves/meltCurve_Q01081_U2AF1.pdf</v>
      </c>
    </row>
    <row r="3165" spans="1:28" x14ac:dyDescent="0.25">
      <c r="A3165" t="s">
        <v>3169</v>
      </c>
      <c r="B3165">
        <v>0.99252571173614901</v>
      </c>
      <c r="C3165">
        <v>0.87351377926284002</v>
      </c>
      <c r="D3165">
        <v>1.0918919416640001</v>
      </c>
      <c r="E3165">
        <v>1.0483311611461601</v>
      </c>
      <c r="F3165">
        <v>0.30991428308350999</v>
      </c>
      <c r="G3165">
        <v>0.17246642800839099</v>
      </c>
      <c r="H3165">
        <v>0.11836767641738299</v>
      </c>
      <c r="I3165">
        <v>0.125266320731412</v>
      </c>
      <c r="J3165">
        <v>0.14241673726214199</v>
      </c>
      <c r="K3165">
        <v>0.13745008660162999</v>
      </c>
      <c r="L3165">
        <v>13225.690990191901</v>
      </c>
      <c r="M3165">
        <v>250</v>
      </c>
      <c r="N3165">
        <v>52.971900307550499</v>
      </c>
      <c r="O3165">
        <v>52.899380214817</v>
      </c>
      <c r="P3165">
        <v>-1.01703293249149</v>
      </c>
      <c r="Q3165">
        <v>0.139193439744457</v>
      </c>
      <c r="R3165">
        <v>0.98340010698476998</v>
      </c>
      <c r="S3165" t="s">
        <v>9811</v>
      </c>
      <c r="T3165" t="s">
        <v>13290</v>
      </c>
      <c r="U3165" t="s">
        <v>13290</v>
      </c>
      <c r="V3165" t="s">
        <v>13290</v>
      </c>
      <c r="W3165" t="s">
        <v>16412</v>
      </c>
      <c r="X3165">
        <v>130</v>
      </c>
      <c r="Y3165" t="s">
        <v>22935</v>
      </c>
      <c r="Z3165" t="s">
        <v>29495</v>
      </c>
      <c r="AA3165">
        <v>0.50949948882384155</v>
      </c>
      <c r="AB3165" t="str">
        <f>HYPERLINK("Melting_Curves/meltCurve_Q01082_SPTBN1.pdf", "Melting_Curves/meltCurve_Q01082_SPTBN1.pdf")</f>
        <v>Melting_Curves/meltCurve_Q01082_SPTBN1.pdf</v>
      </c>
    </row>
    <row r="3166" spans="1:28" x14ac:dyDescent="0.25">
      <c r="A3166" t="s">
        <v>3170</v>
      </c>
      <c r="B3166">
        <v>0.99252571173614901</v>
      </c>
      <c r="C3166">
        <v>0.90846988369867798</v>
      </c>
      <c r="D3166">
        <v>1.1833552358614201</v>
      </c>
      <c r="E3166">
        <v>1.4585391219566299</v>
      </c>
      <c r="F3166">
        <v>0.26606376685921301</v>
      </c>
      <c r="G3166">
        <v>0.115760624457231</v>
      </c>
      <c r="H3166">
        <v>5.4912366555233398E-2</v>
      </c>
      <c r="I3166">
        <v>6.8251956613345294E-2</v>
      </c>
      <c r="J3166">
        <v>9.0258663328665903E-2</v>
      </c>
      <c r="K3166">
        <v>0.101844657729453</v>
      </c>
      <c r="L3166">
        <v>13225.187373320099</v>
      </c>
      <c r="M3166">
        <v>250</v>
      </c>
      <c r="N3166">
        <v>52.9408270933937</v>
      </c>
      <c r="O3166">
        <v>52.897355517160896</v>
      </c>
      <c r="P3166">
        <v>-1.0796785321036899</v>
      </c>
      <c r="Q3166">
        <v>8.6205624245728502E-2</v>
      </c>
      <c r="R3166">
        <v>0.90574464039267899</v>
      </c>
      <c r="S3166" t="s">
        <v>9812</v>
      </c>
      <c r="T3166" t="s">
        <v>13290</v>
      </c>
      <c r="U3166" t="s">
        <v>13290</v>
      </c>
      <c r="V3166" t="s">
        <v>13290</v>
      </c>
      <c r="W3166" t="s">
        <v>16413</v>
      </c>
      <c r="X3166">
        <v>123</v>
      </c>
      <c r="Y3166" t="s">
        <v>22935</v>
      </c>
      <c r="Z3166" t="s">
        <v>29496</v>
      </c>
      <c r="AA3166">
        <v>0.4792448719074503</v>
      </c>
      <c r="AB3166" t="str">
        <f>HYPERLINK("Melting_Curves/meltCurve_Q01082_3_SPTBN1.pdf", "Melting_Curves/meltCurve_Q01082_3_SPTBN1.pdf")</f>
        <v>Melting_Curves/meltCurve_Q01082_3_SPTBN1.pdf</v>
      </c>
    </row>
    <row r="3167" spans="1:28" x14ac:dyDescent="0.25">
      <c r="A3167" t="s">
        <v>3171</v>
      </c>
      <c r="B3167">
        <v>0.99252571173614901</v>
      </c>
      <c r="C3167">
        <v>0.96533492567887902</v>
      </c>
      <c r="D3167">
        <v>0.90420905248275196</v>
      </c>
      <c r="E3167">
        <v>0.64268256431308202</v>
      </c>
      <c r="F3167">
        <v>0.25959640353839902</v>
      </c>
      <c r="G3167">
        <v>0.122593151883964</v>
      </c>
      <c r="H3167">
        <v>7.1460967680310405E-2</v>
      </c>
      <c r="I3167">
        <v>7.0477218284728305E-2</v>
      </c>
      <c r="J3167">
        <v>9.0370401588299995E-2</v>
      </c>
      <c r="K3167">
        <v>7.4180222254703193E-2</v>
      </c>
      <c r="L3167">
        <v>1248.9298661665</v>
      </c>
      <c r="M3167">
        <v>24.774524786156501</v>
      </c>
      <c r="N3167">
        <v>50.721287893067696</v>
      </c>
      <c r="O3167">
        <v>50.086852891633001</v>
      </c>
      <c r="P3167">
        <v>-0.11498661190366299</v>
      </c>
      <c r="Q3167">
        <v>7.0135664264328698E-2</v>
      </c>
      <c r="R3167">
        <v>0.99889485509617004</v>
      </c>
      <c r="S3167" t="s">
        <v>9813</v>
      </c>
      <c r="T3167" t="s">
        <v>13290</v>
      </c>
      <c r="U3167" t="s">
        <v>13290</v>
      </c>
      <c r="V3167" t="s">
        <v>13290</v>
      </c>
      <c r="W3167" t="s">
        <v>16414</v>
      </c>
      <c r="X3167">
        <v>10</v>
      </c>
      <c r="Y3167" t="s">
        <v>22936</v>
      </c>
      <c r="Z3167" t="s">
        <v>29497</v>
      </c>
      <c r="AA3167">
        <v>0.40135499299652361</v>
      </c>
      <c r="AB3167" t="str">
        <f>HYPERLINK("Melting_Curves/meltCurve_Q01085_2_TIAL1.pdf", "Melting_Curves/meltCurve_Q01085_2_TIAL1.pdf")</f>
        <v>Melting_Curves/meltCurve_Q01085_2_TIAL1.pdf</v>
      </c>
    </row>
    <row r="3168" spans="1:28" x14ac:dyDescent="0.25">
      <c r="A3168" t="s">
        <v>3172</v>
      </c>
      <c r="B3168">
        <v>0.99252571173614901</v>
      </c>
      <c r="C3168">
        <v>1.01272709720605</v>
      </c>
      <c r="D3168">
        <v>0.95900777256434699</v>
      </c>
      <c r="E3168">
        <v>0.83474627498586296</v>
      </c>
      <c r="F3168">
        <v>0.807767483002792</v>
      </c>
      <c r="G3168">
        <v>0.73669009375273098</v>
      </c>
      <c r="H3168">
        <v>0.64608947482442303</v>
      </c>
      <c r="I3168">
        <v>0.41876267398820699</v>
      </c>
      <c r="J3168">
        <v>0.23237903472522101</v>
      </c>
      <c r="K3168">
        <v>0.232527652920513</v>
      </c>
      <c r="L3168">
        <v>629.08566756716596</v>
      </c>
      <c r="M3168">
        <v>10.1579339100991</v>
      </c>
      <c r="N3168">
        <v>61.930486674607998</v>
      </c>
      <c r="O3168">
        <v>59.674105216147403</v>
      </c>
      <c r="P3168">
        <v>-4.2575364370614301E-2</v>
      </c>
      <c r="Q3168">
        <v>0</v>
      </c>
      <c r="R3168">
        <v>0.96611533545329897</v>
      </c>
      <c r="S3168" t="s">
        <v>9814</v>
      </c>
      <c r="T3168" t="s">
        <v>13290</v>
      </c>
      <c r="U3168" t="s">
        <v>13290</v>
      </c>
      <c r="V3168" t="s">
        <v>13290</v>
      </c>
      <c r="W3168" t="s">
        <v>16415</v>
      </c>
      <c r="X3168">
        <v>24</v>
      </c>
      <c r="Y3168" t="s">
        <v>22937</v>
      </c>
      <c r="Z3168" t="s">
        <v>29498</v>
      </c>
      <c r="AA3168">
        <v>0.71140739064454295</v>
      </c>
      <c r="AB3168" t="str">
        <f>HYPERLINK("Melting_Curves/meltCurve_Q01105_SET.pdf", "Melting_Curves/meltCurve_Q01105_SET.pdf")</f>
        <v>Melting_Curves/meltCurve_Q01105_SET.pdf</v>
      </c>
    </row>
    <row r="3169" spans="1:28" x14ac:dyDescent="0.25">
      <c r="A3169" t="s">
        <v>3173</v>
      </c>
      <c r="B3169">
        <v>0.99252571173614901</v>
      </c>
      <c r="C3169">
        <v>1.2754452929906099</v>
      </c>
      <c r="D3169">
        <v>1.05355556893591</v>
      </c>
      <c r="E3169">
        <v>0.87006303728280299</v>
      </c>
      <c r="F3169">
        <v>1.2665718470621701</v>
      </c>
      <c r="G3169">
        <v>1.06461841238669</v>
      </c>
      <c r="H3169">
        <v>1.19873250277111</v>
      </c>
      <c r="I3169">
        <v>1.25345768420864</v>
      </c>
      <c r="J3169">
        <v>1.1136469198632</v>
      </c>
      <c r="K3169">
        <v>1.0699838370191499</v>
      </c>
      <c r="L3169">
        <v>186.64107771642</v>
      </c>
      <c r="M3169">
        <v>4.1010839065374398</v>
      </c>
      <c r="Q3169">
        <v>1.1828852516917101</v>
      </c>
      <c r="R3169">
        <v>4.4748698023601402E-2</v>
      </c>
      <c r="S3169" t="s">
        <v>9815</v>
      </c>
      <c r="T3169" t="s">
        <v>13290</v>
      </c>
      <c r="U3169" t="s">
        <v>13290</v>
      </c>
      <c r="V3169" t="s">
        <v>13290</v>
      </c>
      <c r="W3169" t="s">
        <v>16416</v>
      </c>
      <c r="X3169">
        <v>21</v>
      </c>
      <c r="Y3169" t="s">
        <v>22937</v>
      </c>
      <c r="Z3169" t="s">
        <v>29499</v>
      </c>
      <c r="AA3169">
        <v>1.1172307603453311</v>
      </c>
      <c r="AB3169" t="str">
        <f>HYPERLINK("Melting_Curves/meltCurve_Q01105_2_SET.pdf", "Melting_Curves/meltCurve_Q01105_2_SET.pdf")</f>
        <v>Melting_Curves/meltCurve_Q01105_2_SET.pdf</v>
      </c>
    </row>
    <row r="3170" spans="1:28" x14ac:dyDescent="0.25">
      <c r="A3170" t="s">
        <v>3174</v>
      </c>
      <c r="B3170">
        <v>0.99252571173614901</v>
      </c>
      <c r="C3170">
        <v>1.0659997218969199</v>
      </c>
      <c r="D3170">
        <v>0.957577517596928</v>
      </c>
      <c r="E3170">
        <v>1.01350093343195</v>
      </c>
      <c r="F3170">
        <v>0.71462936792438303</v>
      </c>
      <c r="G3170">
        <v>0.56915006246909405</v>
      </c>
      <c r="H3170">
        <v>0.53756702524349298</v>
      </c>
      <c r="I3170">
        <v>0.77699334371078299</v>
      </c>
      <c r="J3170">
        <v>1.06461057825885</v>
      </c>
      <c r="K3170">
        <v>1.1318874398110199</v>
      </c>
      <c r="L3170">
        <v>7984.1554830474897</v>
      </c>
      <c r="M3170">
        <v>156.35771610502101</v>
      </c>
      <c r="O3170">
        <v>51.055040809024703</v>
      </c>
      <c r="P3170">
        <v>-0.153793541142589</v>
      </c>
      <c r="Q3170">
        <v>0.79912893111897099</v>
      </c>
      <c r="R3170">
        <v>0.24679236019866699</v>
      </c>
      <c r="S3170" t="s">
        <v>9816</v>
      </c>
      <c r="T3170" t="s">
        <v>13290</v>
      </c>
      <c r="U3170" t="s">
        <v>13290</v>
      </c>
      <c r="V3170" t="s">
        <v>13290</v>
      </c>
      <c r="W3170" t="s">
        <v>16417</v>
      </c>
      <c r="X3170">
        <v>11</v>
      </c>
      <c r="Y3170" t="s">
        <v>22938</v>
      </c>
      <c r="Z3170" t="s">
        <v>29500</v>
      </c>
      <c r="AA3170">
        <v>0.87325215138619472</v>
      </c>
      <c r="AB3170" t="str">
        <f>HYPERLINK("Melting_Curves/meltCurve_Q01130_SRSF2.pdf", "Melting_Curves/meltCurve_Q01130_SRSF2.pdf")</f>
        <v>Melting_Curves/meltCurve_Q01130_SRSF2.pdf</v>
      </c>
    </row>
    <row r="3171" spans="1:28" x14ac:dyDescent="0.25">
      <c r="A3171" t="s">
        <v>3175</v>
      </c>
      <c r="B3171">
        <v>0.99252571173614901</v>
      </c>
      <c r="C3171">
        <v>0.88776671664387496</v>
      </c>
      <c r="D3171">
        <v>0.79452196904722805</v>
      </c>
      <c r="E3171">
        <v>0.80871691359824305</v>
      </c>
      <c r="F3171">
        <v>0.629896225230272</v>
      </c>
      <c r="G3171">
        <v>0.47189897989403101</v>
      </c>
      <c r="H3171">
        <v>0.41406229023948499</v>
      </c>
      <c r="I3171">
        <v>0.38213301557879598</v>
      </c>
      <c r="J3171">
        <v>0.51557472651021996</v>
      </c>
      <c r="K3171">
        <v>0.42349858046852801</v>
      </c>
      <c r="L3171">
        <v>584.27170964708</v>
      </c>
      <c r="M3171">
        <v>11.582905743563</v>
      </c>
      <c r="N3171">
        <v>58.019819051975396</v>
      </c>
      <c r="O3171">
        <v>49.009372889736099</v>
      </c>
      <c r="P3171">
        <v>-3.6061219416743798E-2</v>
      </c>
      <c r="Q3171">
        <v>0.38984246547749901</v>
      </c>
      <c r="R3171">
        <v>0.93337617991461996</v>
      </c>
      <c r="S3171" t="s">
        <v>9817</v>
      </c>
      <c r="T3171" t="s">
        <v>13290</v>
      </c>
      <c r="U3171" t="s">
        <v>13290</v>
      </c>
      <c r="V3171" t="s">
        <v>13290</v>
      </c>
      <c r="W3171" t="s">
        <v>16418</v>
      </c>
      <c r="X3171">
        <v>1</v>
      </c>
      <c r="Y3171" t="s">
        <v>22939</v>
      </c>
      <c r="Z3171" t="s">
        <v>29501</v>
      </c>
      <c r="AA3171">
        <v>0.62391812057175489</v>
      </c>
      <c r="AB3171" t="str">
        <f>HYPERLINK("Melting_Curves/meltCurve_Q01151_CD83.pdf", "Melting_Curves/meltCurve_Q01151_CD83.pdf")</f>
        <v>Melting_Curves/meltCurve_Q01151_CD83.pdf</v>
      </c>
    </row>
    <row r="3172" spans="1:28" x14ac:dyDescent="0.25">
      <c r="A3172" t="s">
        <v>3176</v>
      </c>
      <c r="B3172">
        <v>0.99252571173614901</v>
      </c>
      <c r="C3172">
        <v>0.851349947803822</v>
      </c>
      <c r="D3172">
        <v>0.56276485356119499</v>
      </c>
      <c r="E3172">
        <v>0.29192341071563199</v>
      </c>
      <c r="F3172">
        <v>0.15526416966498399</v>
      </c>
      <c r="G3172">
        <v>8.3975393279411906E-2</v>
      </c>
      <c r="H3172">
        <v>7.7398319222041698E-2</v>
      </c>
      <c r="I3172">
        <v>0.10134897230364399</v>
      </c>
      <c r="J3172">
        <v>0.17078154531314799</v>
      </c>
      <c r="K3172">
        <v>0.22350812914097101</v>
      </c>
      <c r="L3172">
        <v>1055.9466898107901</v>
      </c>
      <c r="M3172">
        <v>22.9469482172527</v>
      </c>
      <c r="N3172">
        <v>46.625032811902798</v>
      </c>
      <c r="O3172">
        <v>45.671661886671401</v>
      </c>
      <c r="P3172">
        <v>-0.10936454547223901</v>
      </c>
      <c r="Q3172">
        <v>0.129336662523485</v>
      </c>
      <c r="R3172">
        <v>0.98137885541599401</v>
      </c>
      <c r="S3172" t="s">
        <v>9818</v>
      </c>
      <c r="T3172" t="s">
        <v>13290</v>
      </c>
      <c r="U3172" t="s">
        <v>13290</v>
      </c>
      <c r="V3172" t="s">
        <v>13290</v>
      </c>
      <c r="W3172" t="s">
        <v>16419</v>
      </c>
      <c r="X3172">
        <v>7</v>
      </c>
      <c r="Y3172" t="s">
        <v>22940</v>
      </c>
      <c r="Z3172" t="s">
        <v>29502</v>
      </c>
      <c r="AA3172">
        <v>0.31375352972411802</v>
      </c>
      <c r="AB3172" t="str">
        <f>HYPERLINK("Melting_Curves/meltCurve_Q01167_FOXK2.pdf", "Melting_Curves/meltCurve_Q01167_FOXK2.pdf")</f>
        <v>Melting_Curves/meltCurve_Q01167_FOXK2.pdf</v>
      </c>
    </row>
    <row r="3173" spans="1:28" x14ac:dyDescent="0.25">
      <c r="A3173" t="s">
        <v>3177</v>
      </c>
      <c r="B3173">
        <v>0.99252571173614901</v>
      </c>
      <c r="C3173">
        <v>1.1201382859508699</v>
      </c>
      <c r="D3173">
        <v>0.948103954950131</v>
      </c>
      <c r="E3173">
        <v>0.90041526193244803</v>
      </c>
      <c r="F3173">
        <v>0.76992344148579295</v>
      </c>
      <c r="G3173">
        <v>0.33364574528173702</v>
      </c>
      <c r="H3173">
        <v>0.136187195941497</v>
      </c>
      <c r="I3173">
        <v>0.11240507005586201</v>
      </c>
      <c r="J3173">
        <v>0.13026211232533</v>
      </c>
      <c r="K3173">
        <v>0.13089980079708899</v>
      </c>
      <c r="L3173">
        <v>1664.74325023033</v>
      </c>
      <c r="M3173">
        <v>30.375203847420501</v>
      </c>
      <c r="N3173">
        <v>55.271964955402801</v>
      </c>
      <c r="O3173">
        <v>54.570102603463603</v>
      </c>
      <c r="P3173">
        <v>-0.12343847570139101</v>
      </c>
      <c r="Q3173">
        <v>0.112959683757482</v>
      </c>
      <c r="R3173">
        <v>0.98593023494763099</v>
      </c>
      <c r="S3173" t="s">
        <v>9819</v>
      </c>
      <c r="T3173" t="s">
        <v>13290</v>
      </c>
      <c r="U3173" t="s">
        <v>13290</v>
      </c>
      <c r="V3173" t="s">
        <v>13290</v>
      </c>
      <c r="W3173" t="s">
        <v>14359</v>
      </c>
      <c r="X3173">
        <v>28</v>
      </c>
      <c r="Y3173" t="s">
        <v>20942</v>
      </c>
      <c r="Z3173" t="s">
        <v>29503</v>
      </c>
      <c r="AA3173">
        <v>0.55648098176592631</v>
      </c>
      <c r="AB3173" t="str">
        <f>HYPERLINK("Melting_Curves/meltCurve_Q01469_FABP5.pdf", "Melting_Curves/meltCurve_Q01469_FABP5.pdf")</f>
        <v>Melting_Curves/meltCurve_Q01469_FABP5.pdf</v>
      </c>
    </row>
    <row r="3174" spans="1:28" x14ac:dyDescent="0.25">
      <c r="A3174" t="s">
        <v>3178</v>
      </c>
      <c r="B3174">
        <v>0.99252571173614901</v>
      </c>
      <c r="C3174">
        <v>0.85752393803609495</v>
      </c>
      <c r="D3174">
        <v>1.3686110226911401</v>
      </c>
      <c r="E3174">
        <v>1.3195952964923501</v>
      </c>
      <c r="F3174">
        <v>0.76941226354679304</v>
      </c>
      <c r="G3174">
        <v>0.146221873117062</v>
      </c>
      <c r="H3174">
        <v>7.6388024686161196E-2</v>
      </c>
      <c r="I3174">
        <v>7.2901054594337905E-2</v>
      </c>
      <c r="J3174">
        <v>0.110421965822079</v>
      </c>
      <c r="K3174">
        <v>0.12881813419440999</v>
      </c>
      <c r="L3174">
        <v>4020.9191066104099</v>
      </c>
      <c r="M3174">
        <v>74.488728100117399</v>
      </c>
      <c r="N3174">
        <v>54.146618599883602</v>
      </c>
      <c r="O3174">
        <v>53.941361447507099</v>
      </c>
      <c r="P3174">
        <v>-0.30991605516600002</v>
      </c>
      <c r="Q3174">
        <v>0.102291396287622</v>
      </c>
      <c r="R3174">
        <v>0.89824229630812702</v>
      </c>
      <c r="S3174" t="s">
        <v>9820</v>
      </c>
      <c r="T3174" t="s">
        <v>13290</v>
      </c>
      <c r="U3174" t="s">
        <v>13290</v>
      </c>
      <c r="V3174" t="s">
        <v>13290</v>
      </c>
      <c r="W3174" t="s">
        <v>16420</v>
      </c>
      <c r="X3174">
        <v>27</v>
      </c>
      <c r="Y3174" t="s">
        <v>22941</v>
      </c>
      <c r="Z3174" t="s">
        <v>29504</v>
      </c>
      <c r="AA3174">
        <v>0.52159079546520182</v>
      </c>
      <c r="AB3174" t="str">
        <f>HYPERLINK("Melting_Curves/meltCurve_Q01518_2_CAP1.pdf", "Melting_Curves/meltCurve_Q01518_2_CAP1.pdf")</f>
        <v>Melting_Curves/meltCurve_Q01518_2_CAP1.pdf</v>
      </c>
    </row>
    <row r="3175" spans="1:28" x14ac:dyDescent="0.25">
      <c r="A3175" t="s">
        <v>3179</v>
      </c>
      <c r="B3175">
        <v>0.99252571173614901</v>
      </c>
      <c r="C3175">
        <v>1.0154944131708701</v>
      </c>
      <c r="D3175">
        <v>0.92870146471076798</v>
      </c>
      <c r="E3175">
        <v>0.88686696750707295</v>
      </c>
      <c r="F3175">
        <v>0.76824989316129</v>
      </c>
      <c r="G3175">
        <v>0.60188031704757605</v>
      </c>
      <c r="H3175">
        <v>0.74565332416502395</v>
      </c>
      <c r="I3175">
        <v>0.50825413367836403</v>
      </c>
      <c r="J3175">
        <v>0.74932880763617005</v>
      </c>
      <c r="K3175">
        <v>0.78756181568976302</v>
      </c>
      <c r="L3175">
        <v>1351.4828085717199</v>
      </c>
      <c r="M3175">
        <v>26.8094423503271</v>
      </c>
      <c r="O3175">
        <v>50.132732749175297</v>
      </c>
      <c r="P3175">
        <v>-4.2810270419034901E-2</v>
      </c>
      <c r="Q3175">
        <v>0.67978837021477001</v>
      </c>
      <c r="R3175">
        <v>0.73917544566335902</v>
      </c>
      <c r="S3175" t="s">
        <v>9821</v>
      </c>
      <c r="T3175" t="s">
        <v>13290</v>
      </c>
      <c r="U3175" t="s">
        <v>13290</v>
      </c>
      <c r="V3175" t="s">
        <v>13290</v>
      </c>
      <c r="W3175" t="s">
        <v>16421</v>
      </c>
      <c r="X3175">
        <v>2</v>
      </c>
      <c r="Y3175" t="s">
        <v>22942</v>
      </c>
      <c r="Z3175" t="s">
        <v>29505</v>
      </c>
      <c r="AA3175">
        <v>0.79340889857856534</v>
      </c>
      <c r="AB3175" t="str">
        <f>HYPERLINK("Melting_Curves/meltCurve_Q01523_DEFA5.pdf", "Melting_Curves/meltCurve_Q01523_DEFA5.pdf")</f>
        <v>Melting_Curves/meltCurve_Q01523_DEFA5.pdf</v>
      </c>
    </row>
    <row r="3176" spans="1:28" x14ac:dyDescent="0.25">
      <c r="A3176" t="s">
        <v>3180</v>
      </c>
      <c r="B3176">
        <v>0.99252571173614901</v>
      </c>
      <c r="C3176">
        <v>0.91207635763724704</v>
      </c>
      <c r="D3176">
        <v>0.93064580017144105</v>
      </c>
      <c r="E3176">
        <v>0.88624310144926699</v>
      </c>
      <c r="F3176">
        <v>0.59358843071088996</v>
      </c>
      <c r="G3176">
        <v>0.20966123969507999</v>
      </c>
      <c r="H3176">
        <v>7.1950506451302104E-2</v>
      </c>
      <c r="I3176">
        <v>6.6788058111922705E-2</v>
      </c>
      <c r="J3176">
        <v>7.2918741537312995E-2</v>
      </c>
      <c r="K3176">
        <v>6.5120590492981703E-2</v>
      </c>
      <c r="L3176">
        <v>1423.3224715802201</v>
      </c>
      <c r="M3176">
        <v>26.5603811178445</v>
      </c>
      <c r="N3176">
        <v>53.817355397807901</v>
      </c>
      <c r="O3176">
        <v>53.287187918869499</v>
      </c>
      <c r="P3176">
        <v>-0.117947827808603</v>
      </c>
      <c r="Q3176">
        <v>5.3471501464857199E-2</v>
      </c>
      <c r="R3176">
        <v>0.99206642067631701</v>
      </c>
      <c r="S3176" t="s">
        <v>9822</v>
      </c>
      <c r="T3176" t="s">
        <v>13290</v>
      </c>
      <c r="U3176" t="s">
        <v>13290</v>
      </c>
      <c r="V3176" t="s">
        <v>13290</v>
      </c>
      <c r="W3176" t="s">
        <v>16422</v>
      </c>
      <c r="X3176">
        <v>28</v>
      </c>
      <c r="Y3176" t="s">
        <v>22943</v>
      </c>
      <c r="Z3176" t="s">
        <v>29506</v>
      </c>
      <c r="AA3176">
        <v>0.49000290610653968</v>
      </c>
      <c r="AB3176" t="str">
        <f>HYPERLINK("Melting_Curves/meltCurve_Q01581_HMGCS1.pdf", "Melting_Curves/meltCurve_Q01581_HMGCS1.pdf")</f>
        <v>Melting_Curves/meltCurve_Q01581_HMGCS1.pdf</v>
      </c>
    </row>
    <row r="3177" spans="1:28" x14ac:dyDescent="0.25">
      <c r="A3177" t="s">
        <v>3181</v>
      </c>
      <c r="B3177">
        <v>0.99252571173614901</v>
      </c>
      <c r="C3177">
        <v>0.897342532544532</v>
      </c>
      <c r="D3177">
        <v>0.89486241957485402</v>
      </c>
      <c r="E3177">
        <v>0.83919205061816804</v>
      </c>
      <c r="F3177">
        <v>0.87756722356824701</v>
      </c>
      <c r="G3177">
        <v>0.68461504349657398</v>
      </c>
      <c r="H3177">
        <v>0.52530521139254904</v>
      </c>
      <c r="I3177">
        <v>0.39598837705426598</v>
      </c>
      <c r="J3177">
        <v>0.55644649627495302</v>
      </c>
      <c r="K3177">
        <v>0.38396236958380497</v>
      </c>
      <c r="L3177">
        <v>464.29755622260501</v>
      </c>
      <c r="M3177">
        <v>7.8425265896057699</v>
      </c>
      <c r="N3177">
        <v>64.009396656534804</v>
      </c>
      <c r="O3177">
        <v>55.723639429243498</v>
      </c>
      <c r="P3177">
        <v>-2.7388052074095299E-2</v>
      </c>
      <c r="Q3177">
        <v>0.22254379462409099</v>
      </c>
      <c r="R3177">
        <v>0.90628327635101902</v>
      </c>
      <c r="S3177" t="s">
        <v>9823</v>
      </c>
      <c r="T3177" t="s">
        <v>13290</v>
      </c>
      <c r="U3177" t="s">
        <v>13290</v>
      </c>
      <c r="V3177" t="s">
        <v>13290</v>
      </c>
      <c r="W3177" t="s">
        <v>16423</v>
      </c>
      <c r="X3177">
        <v>6</v>
      </c>
      <c r="Y3177" t="s">
        <v>22944</v>
      </c>
      <c r="Z3177" t="s">
        <v>29507</v>
      </c>
      <c r="AA3177">
        <v>0.71371914151039462</v>
      </c>
      <c r="AB3177" t="str">
        <f>HYPERLINK("Melting_Curves/meltCurve_Q01650_SLC7A5.pdf", "Melting_Curves/meltCurve_Q01650_SLC7A5.pdf")</f>
        <v>Melting_Curves/meltCurve_Q01650_SLC7A5.pdf</v>
      </c>
    </row>
    <row r="3178" spans="1:28" x14ac:dyDescent="0.25">
      <c r="A3178" t="s">
        <v>3182</v>
      </c>
      <c r="B3178">
        <v>0.99252571173614901</v>
      </c>
      <c r="C3178">
        <v>1.0776039499768599</v>
      </c>
      <c r="D3178">
        <v>0.98622064326778003</v>
      </c>
      <c r="E3178">
        <v>0.94064519633097798</v>
      </c>
      <c r="F3178">
        <v>0.78205628255150506</v>
      </c>
      <c r="G3178">
        <v>0.64567411828909205</v>
      </c>
      <c r="H3178">
        <v>0.482825258925417</v>
      </c>
      <c r="I3178">
        <v>0.40686289951955501</v>
      </c>
      <c r="J3178">
        <v>0.54565969860470398</v>
      </c>
      <c r="K3178">
        <v>0.58389094972215505</v>
      </c>
      <c r="L3178">
        <v>1382.45258896818</v>
      </c>
      <c r="M3178">
        <v>25.666664415755299</v>
      </c>
      <c r="O3178">
        <v>53.538033592110096</v>
      </c>
      <c r="P3178">
        <v>-5.9604097295704997E-2</v>
      </c>
      <c r="Q3178">
        <v>0.50269393450516497</v>
      </c>
      <c r="R3178">
        <v>0.94552134647419095</v>
      </c>
      <c r="S3178" t="s">
        <v>9824</v>
      </c>
      <c r="T3178" t="s">
        <v>13290</v>
      </c>
      <c r="U3178" t="s">
        <v>13290</v>
      </c>
      <c r="V3178" t="s">
        <v>13290</v>
      </c>
      <c r="W3178" t="s">
        <v>16424</v>
      </c>
      <c r="X3178">
        <v>8</v>
      </c>
      <c r="Y3178" t="s">
        <v>22945</v>
      </c>
      <c r="Z3178" t="s">
        <v>29508</v>
      </c>
      <c r="AA3178">
        <v>0.73686171779756793</v>
      </c>
      <c r="AB3178" t="str">
        <f>HYPERLINK("Melting_Curves/meltCurve_Q01658_DR1.pdf", "Melting_Curves/meltCurve_Q01658_DR1.pdf")</f>
        <v>Melting_Curves/meltCurve_Q01658_DR1.pdf</v>
      </c>
    </row>
    <row r="3179" spans="1:28" x14ac:dyDescent="0.25">
      <c r="A3179" t="s">
        <v>3183</v>
      </c>
      <c r="B3179">
        <v>0.99252571173614901</v>
      </c>
      <c r="C3179">
        <v>0.78308381359385903</v>
      </c>
      <c r="D3179">
        <v>0.51909046938220704</v>
      </c>
      <c r="E3179">
        <v>0.39061053403938301</v>
      </c>
      <c r="F3179">
        <v>0.31677318449407499</v>
      </c>
      <c r="G3179">
        <v>0.19026411872868401</v>
      </c>
      <c r="H3179">
        <v>0.13348668153321999</v>
      </c>
      <c r="I3179">
        <v>0.147539430835786</v>
      </c>
      <c r="J3179">
        <v>0.19610901901653599</v>
      </c>
      <c r="K3179">
        <v>0.20191176874514599</v>
      </c>
      <c r="L3179">
        <v>730.02948799922297</v>
      </c>
      <c r="M3179">
        <v>15.937510800350699</v>
      </c>
      <c r="N3179">
        <v>47.048469745542398</v>
      </c>
      <c r="O3179">
        <v>45.1028045428002</v>
      </c>
      <c r="P3179">
        <v>-7.3169329139762804E-2</v>
      </c>
      <c r="Q3179">
        <v>0.171796046245142</v>
      </c>
      <c r="R3179">
        <v>0.97721311346611395</v>
      </c>
      <c r="S3179" t="s">
        <v>9825</v>
      </c>
      <c r="T3179" t="s">
        <v>13290</v>
      </c>
      <c r="U3179" t="s">
        <v>13290</v>
      </c>
      <c r="V3179" t="s">
        <v>13290</v>
      </c>
      <c r="W3179" t="s">
        <v>16425</v>
      </c>
      <c r="X3179">
        <v>4</v>
      </c>
      <c r="Y3179" t="s">
        <v>22946</v>
      </c>
      <c r="Z3179" t="s">
        <v>29509</v>
      </c>
      <c r="AA3179">
        <v>0.3536801242521565</v>
      </c>
      <c r="AB3179" t="str">
        <f>HYPERLINK("Melting_Curves/meltCurve_Q01780_2_EXOSC10.pdf", "Melting_Curves/meltCurve_Q01780_2_EXOSC10.pdf")</f>
        <v>Melting_Curves/meltCurve_Q01780_2_EXOSC10.pdf</v>
      </c>
    </row>
    <row r="3180" spans="1:28" x14ac:dyDescent="0.25">
      <c r="A3180" t="s">
        <v>3184</v>
      </c>
      <c r="B3180">
        <v>0.99252571173614901</v>
      </c>
      <c r="C3180">
        <v>0.90653661862964097</v>
      </c>
      <c r="D3180">
        <v>1.09329993972562</v>
      </c>
      <c r="E3180">
        <v>1.0603246097908801</v>
      </c>
      <c r="F3180">
        <v>1.21215279871117</v>
      </c>
      <c r="G3180">
        <v>1.0782525330697901</v>
      </c>
      <c r="H3180">
        <v>1.1932878463674701</v>
      </c>
      <c r="I3180">
        <v>1.573263267285</v>
      </c>
      <c r="J3180">
        <v>1.8965867105880401</v>
      </c>
      <c r="K3180">
        <v>1.02233440141742</v>
      </c>
      <c r="L3180">
        <v>15000</v>
      </c>
      <c r="M3180">
        <v>246.257343862802</v>
      </c>
      <c r="O3180">
        <v>60.907871751174099</v>
      </c>
      <c r="P3180">
        <v>0.50275640098836805</v>
      </c>
      <c r="Q3180">
        <v>1.49739547817483</v>
      </c>
      <c r="R3180">
        <v>0.442845912612639</v>
      </c>
      <c r="S3180" t="s">
        <v>9826</v>
      </c>
      <c r="T3180" t="s">
        <v>13290</v>
      </c>
      <c r="U3180" t="s">
        <v>13290</v>
      </c>
      <c r="V3180" t="s">
        <v>13290</v>
      </c>
      <c r="W3180" t="s">
        <v>16426</v>
      </c>
      <c r="X3180">
        <v>49</v>
      </c>
      <c r="Y3180" t="s">
        <v>22947</v>
      </c>
      <c r="Z3180" t="s">
        <v>29510</v>
      </c>
      <c r="AA3180">
        <v>1.1506247100517639</v>
      </c>
      <c r="AB3180" t="str">
        <f>HYPERLINK("Melting_Curves/meltCurve_Q01813_PFKP.pdf", "Melting_Curves/meltCurve_Q01813_PFKP.pdf")</f>
        <v>Melting_Curves/meltCurve_Q01813_PFKP.pdf</v>
      </c>
    </row>
    <row r="3181" spans="1:28" x14ac:dyDescent="0.25">
      <c r="A3181" t="s">
        <v>3185</v>
      </c>
      <c r="B3181">
        <v>0.99252571173614901</v>
      </c>
      <c r="C3181">
        <v>0.99441682154732702</v>
      </c>
      <c r="D3181">
        <v>0.91213948167066605</v>
      </c>
      <c r="E3181">
        <v>0.69445083323057999</v>
      </c>
      <c r="F3181">
        <v>0.28519085261343702</v>
      </c>
      <c r="G3181">
        <v>0.19856127916823099</v>
      </c>
      <c r="H3181">
        <v>0.14358121363090101</v>
      </c>
      <c r="I3181">
        <v>0.17659815795829101</v>
      </c>
      <c r="J3181">
        <v>0.201038600114778</v>
      </c>
      <c r="K3181">
        <v>0.127144546162646</v>
      </c>
      <c r="L3181">
        <v>1480.00066354869</v>
      </c>
      <c r="M3181">
        <v>29.381791570027701</v>
      </c>
      <c r="N3181">
        <v>51.039885954814501</v>
      </c>
      <c r="O3181">
        <v>50.139758415079299</v>
      </c>
      <c r="P3181">
        <v>-0.123101027196514</v>
      </c>
      <c r="Q3181">
        <v>0.15972299622286101</v>
      </c>
      <c r="R3181">
        <v>0.99537270658240395</v>
      </c>
      <c r="S3181" t="s">
        <v>9827</v>
      </c>
      <c r="T3181" t="s">
        <v>13290</v>
      </c>
      <c r="U3181" t="s">
        <v>13290</v>
      </c>
      <c r="V3181" t="s">
        <v>13290</v>
      </c>
      <c r="W3181" t="s">
        <v>16427</v>
      </c>
      <c r="X3181">
        <v>12</v>
      </c>
      <c r="Y3181" t="s">
        <v>22948</v>
      </c>
      <c r="Z3181" t="s">
        <v>29511</v>
      </c>
      <c r="AA3181">
        <v>0.45566960270013818</v>
      </c>
      <c r="AB3181" t="str">
        <f>HYPERLINK("Melting_Curves/meltCurve_Q01968_2_OCRL.pdf", "Melting_Curves/meltCurve_Q01968_2_OCRL.pdf")</f>
        <v>Melting_Curves/meltCurve_Q01968_2_OCRL.pdf</v>
      </c>
    </row>
    <row r="3182" spans="1:28" x14ac:dyDescent="0.25">
      <c r="A3182" t="s">
        <v>3186</v>
      </c>
      <c r="B3182">
        <v>0.99252571173614901</v>
      </c>
      <c r="C3182">
        <v>0.99311553817670895</v>
      </c>
      <c r="D3182">
        <v>0.91802036442004797</v>
      </c>
      <c r="E3182">
        <v>0.60816266371809302</v>
      </c>
      <c r="F3182">
        <v>0.183901573015437</v>
      </c>
      <c r="G3182">
        <v>0.11662870629607699</v>
      </c>
      <c r="H3182">
        <v>9.1263430293659797E-2</v>
      </c>
      <c r="I3182">
        <v>0.101865317522982</v>
      </c>
      <c r="J3182">
        <v>0.10972583116861701</v>
      </c>
      <c r="K3182">
        <v>0.111274007740764</v>
      </c>
      <c r="L3182">
        <v>1646.38107518891</v>
      </c>
      <c r="M3182">
        <v>32.997539216598099</v>
      </c>
      <c r="N3182">
        <v>50.233506638544199</v>
      </c>
      <c r="O3182">
        <v>49.711855636575997</v>
      </c>
      <c r="P3182">
        <v>-0.149361119832808</v>
      </c>
      <c r="Q3182">
        <v>9.9934264021295197E-2</v>
      </c>
      <c r="R3182">
        <v>0.99875026189336802</v>
      </c>
      <c r="S3182" t="s">
        <v>9828</v>
      </c>
      <c r="T3182" t="s">
        <v>13290</v>
      </c>
      <c r="U3182" t="s">
        <v>13290</v>
      </c>
      <c r="V3182" t="s">
        <v>13290</v>
      </c>
      <c r="W3182" t="s">
        <v>16428</v>
      </c>
      <c r="X3182">
        <v>26</v>
      </c>
      <c r="Y3182" t="s">
        <v>22949</v>
      </c>
      <c r="Z3182" t="s">
        <v>29512</v>
      </c>
      <c r="AA3182">
        <v>0.40136010125918348</v>
      </c>
      <c r="AB3182" t="str">
        <f>HYPERLINK("Melting_Curves/meltCurve_Q01970_PLCB3.pdf", "Melting_Curves/meltCurve_Q01970_PLCB3.pdf")</f>
        <v>Melting_Curves/meltCurve_Q01970_PLCB3.pdf</v>
      </c>
    </row>
    <row r="3183" spans="1:28" x14ac:dyDescent="0.25">
      <c r="A3183" t="s">
        <v>3187</v>
      </c>
      <c r="B3183">
        <v>0.99252571173614901</v>
      </c>
      <c r="C3183">
        <v>1.22425770852827</v>
      </c>
      <c r="D3183">
        <v>0.95229781406610903</v>
      </c>
      <c r="E3183">
        <v>0.72193799501183298</v>
      </c>
      <c r="F3183">
        <v>0.19051965665520501</v>
      </c>
      <c r="G3183">
        <v>0.122877129111852</v>
      </c>
      <c r="H3183">
        <v>7.1196393504660296E-2</v>
      </c>
      <c r="I3183">
        <v>0.102101670578934</v>
      </c>
      <c r="J3183">
        <v>4.0803153235044902E-2</v>
      </c>
      <c r="K3183">
        <v>9.5098625291259994E-2</v>
      </c>
      <c r="L3183">
        <v>2010.8027178918201</v>
      </c>
      <c r="M3183">
        <v>39.729437060567399</v>
      </c>
      <c r="N3183">
        <v>50.843032775627002</v>
      </c>
      <c r="O3183">
        <v>50.484692867153697</v>
      </c>
      <c r="P3183">
        <v>-0.18051934773619299</v>
      </c>
      <c r="Q3183">
        <v>8.2449175604366196E-2</v>
      </c>
      <c r="R3183">
        <v>0.97185232078606298</v>
      </c>
      <c r="S3183" t="s">
        <v>9829</v>
      </c>
      <c r="T3183" t="s">
        <v>13290</v>
      </c>
      <c r="U3183" t="s">
        <v>13290</v>
      </c>
      <c r="V3183" t="s">
        <v>13290</v>
      </c>
      <c r="W3183" t="s">
        <v>16429</v>
      </c>
      <c r="X3183">
        <v>2</v>
      </c>
      <c r="Y3183" t="s">
        <v>22950</v>
      </c>
      <c r="Z3183" t="s">
        <v>29513</v>
      </c>
      <c r="AA3183">
        <v>0.41028466664988889</v>
      </c>
      <c r="AB3183" t="str">
        <f>HYPERLINK("Melting_Curves/meltCurve_Q01995_TAGLN.pdf", "Melting_Curves/meltCurve_Q01995_TAGLN.pdf")</f>
        <v>Melting_Curves/meltCurve_Q01995_TAGLN.pdf</v>
      </c>
    </row>
    <row r="3184" spans="1:28" x14ac:dyDescent="0.25">
      <c r="A3184" t="s">
        <v>3188</v>
      </c>
      <c r="B3184">
        <v>0.99252571173614901</v>
      </c>
      <c r="C3184">
        <v>0.89095575115917303</v>
      </c>
      <c r="D3184">
        <v>0.65041876857212699</v>
      </c>
      <c r="E3184">
        <v>0.35539454869564702</v>
      </c>
      <c r="F3184">
        <v>0.28474666853910602</v>
      </c>
      <c r="G3184">
        <v>0.181859611854432</v>
      </c>
      <c r="H3184">
        <v>0.162388143085199</v>
      </c>
      <c r="I3184">
        <v>0.15431497468956401</v>
      </c>
      <c r="J3184">
        <v>0.22999234195205101</v>
      </c>
      <c r="K3184">
        <v>0.27582387090480398</v>
      </c>
      <c r="L3184">
        <v>1039.28420739643</v>
      </c>
      <c r="M3184">
        <v>22.3449516223851</v>
      </c>
      <c r="N3184">
        <v>47.619277046554899</v>
      </c>
      <c r="O3184">
        <v>46.1432195245456</v>
      </c>
      <c r="P3184">
        <v>-9.6517631716597302E-2</v>
      </c>
      <c r="Q3184">
        <v>0.20276587055255099</v>
      </c>
      <c r="R3184">
        <v>0.98488384832440401</v>
      </c>
      <c r="S3184" t="s">
        <v>9830</v>
      </c>
      <c r="T3184" t="s">
        <v>13290</v>
      </c>
      <c r="U3184" t="s">
        <v>13290</v>
      </c>
      <c r="V3184" t="s">
        <v>13290</v>
      </c>
      <c r="W3184" t="s">
        <v>16430</v>
      </c>
      <c r="X3184">
        <v>3</v>
      </c>
      <c r="Y3184" t="s">
        <v>22951</v>
      </c>
      <c r="Z3184" t="s">
        <v>29514</v>
      </c>
      <c r="AA3184">
        <v>0.38508318421467302</v>
      </c>
      <c r="AB3184" t="str">
        <f>HYPERLINK("Melting_Curves/meltCurve_Q02040_AKAP17A.pdf", "Melting_Curves/meltCurve_Q02040_AKAP17A.pdf")</f>
        <v>Melting_Curves/meltCurve_Q02040_AKAP17A.pdf</v>
      </c>
    </row>
    <row r="3185" spans="1:28" x14ac:dyDescent="0.25">
      <c r="A3185" t="s">
        <v>3189</v>
      </c>
      <c r="B3185">
        <v>0.99252571173614901</v>
      </c>
      <c r="C3185">
        <v>0.99874867646806698</v>
      </c>
      <c r="D3185">
        <v>0.90141496727612103</v>
      </c>
      <c r="E3185">
        <v>0.79336215174457203</v>
      </c>
      <c r="F3185">
        <v>0.62874440922928798</v>
      </c>
      <c r="G3185">
        <v>0.453945957648554</v>
      </c>
      <c r="H3185">
        <v>0.311697763051902</v>
      </c>
      <c r="I3185">
        <v>0.26692327280278799</v>
      </c>
      <c r="J3185">
        <v>0.332099075532924</v>
      </c>
      <c r="K3185">
        <v>0.38386001681729298</v>
      </c>
      <c r="L3185">
        <v>895.675136627705</v>
      </c>
      <c r="M3185">
        <v>17.1422858215807</v>
      </c>
      <c r="N3185">
        <v>55.244485901371</v>
      </c>
      <c r="O3185">
        <v>51.553942330234598</v>
      </c>
      <c r="P3185">
        <v>-5.7977225753856297E-2</v>
      </c>
      <c r="Q3185">
        <v>0.30259546861666198</v>
      </c>
      <c r="R3185">
        <v>0.98118672717934696</v>
      </c>
      <c r="S3185" t="s">
        <v>9831</v>
      </c>
      <c r="T3185" t="s">
        <v>13290</v>
      </c>
      <c r="U3185" t="s">
        <v>13290</v>
      </c>
      <c r="V3185" t="s">
        <v>13290</v>
      </c>
      <c r="W3185" t="s">
        <v>16431</v>
      </c>
      <c r="X3185">
        <v>6</v>
      </c>
      <c r="Y3185" t="s">
        <v>22952</v>
      </c>
      <c r="Z3185" t="s">
        <v>29515</v>
      </c>
      <c r="AA3185">
        <v>0.59989517428938588</v>
      </c>
      <c r="AB3185" t="str">
        <f>HYPERLINK("Melting_Curves/meltCurve_Q02083_2_NAAA.pdf", "Melting_Curves/meltCurve_Q02083_2_NAAA.pdf")</f>
        <v>Melting_Curves/meltCurve_Q02083_2_NAAA.pdf</v>
      </c>
    </row>
    <row r="3186" spans="1:28" x14ac:dyDescent="0.25">
      <c r="A3186" t="s">
        <v>3190</v>
      </c>
      <c r="B3186">
        <v>0.99252571173614901</v>
      </c>
      <c r="C3186">
        <v>0.967757858047266</v>
      </c>
      <c r="D3186">
        <v>0.87330569836622496</v>
      </c>
      <c r="E3186">
        <v>0.81258939688779297</v>
      </c>
      <c r="F3186">
        <v>0.75522772043147501</v>
      </c>
      <c r="G3186">
        <v>0.68818493737431996</v>
      </c>
      <c r="H3186">
        <v>0.50115095983985902</v>
      </c>
      <c r="I3186">
        <v>0.45046137134835601</v>
      </c>
      <c r="J3186">
        <v>0.33118119120018502</v>
      </c>
      <c r="K3186">
        <v>0.19207748289163801</v>
      </c>
      <c r="L3186">
        <v>473.22086233791998</v>
      </c>
      <c r="M3186">
        <v>7.7717957140929501</v>
      </c>
      <c r="N3186">
        <v>60.889513521491999</v>
      </c>
      <c r="O3186">
        <v>57.252378368079597</v>
      </c>
      <c r="P3186">
        <v>-3.39793219401371E-2</v>
      </c>
      <c r="Q3186">
        <v>0</v>
      </c>
      <c r="R3186">
        <v>0.978326986537018</v>
      </c>
      <c r="S3186" t="s">
        <v>9832</v>
      </c>
      <c r="T3186" t="s">
        <v>13290</v>
      </c>
      <c r="U3186" t="s">
        <v>13290</v>
      </c>
      <c r="V3186" t="s">
        <v>13290</v>
      </c>
      <c r="W3186" t="s">
        <v>16432</v>
      </c>
      <c r="X3186">
        <v>23</v>
      </c>
      <c r="Y3186" t="s">
        <v>22953</v>
      </c>
      <c r="Z3186" t="s">
        <v>29516</v>
      </c>
      <c r="AA3186">
        <v>0.66999801632378897</v>
      </c>
      <c r="AB3186" t="str">
        <f>HYPERLINK("Melting_Curves/meltCurve_Q02127_DHODH.pdf", "Melting_Curves/meltCurve_Q02127_DHODH.pdf")</f>
        <v>Melting_Curves/meltCurve_Q02127_DHODH.pdf</v>
      </c>
    </row>
    <row r="3187" spans="1:28" x14ac:dyDescent="0.25">
      <c r="A3187" t="s">
        <v>3191</v>
      </c>
      <c r="B3187">
        <v>0.99252571173614901</v>
      </c>
      <c r="C3187">
        <v>1.0082373952621699</v>
      </c>
      <c r="D3187">
        <v>0.83244978096452404</v>
      </c>
      <c r="E3187">
        <v>0.53741347316613997</v>
      </c>
      <c r="F3187">
        <v>0.20612696975942599</v>
      </c>
      <c r="G3187">
        <v>0.13419621673968901</v>
      </c>
      <c r="H3187">
        <v>9.0897398316683503E-2</v>
      </c>
      <c r="I3187">
        <v>8.5838118814944797E-2</v>
      </c>
      <c r="J3187">
        <v>8.5468421540554604E-2</v>
      </c>
      <c r="K3187">
        <v>8.4480027451463893E-2</v>
      </c>
      <c r="L3187">
        <v>1152.2198550217199</v>
      </c>
      <c r="M3187">
        <v>23.332494748225599</v>
      </c>
      <c r="N3187">
        <v>49.764533680903199</v>
      </c>
      <c r="O3187">
        <v>49.024193113068101</v>
      </c>
      <c r="P3187">
        <v>-0.10923318947893</v>
      </c>
      <c r="Q3187">
        <v>8.1971848407456499E-2</v>
      </c>
      <c r="R3187">
        <v>0.99795813676051903</v>
      </c>
      <c r="S3187" t="s">
        <v>9833</v>
      </c>
      <c r="T3187" t="s">
        <v>13290</v>
      </c>
      <c r="U3187" t="s">
        <v>13290</v>
      </c>
      <c r="V3187" t="s">
        <v>13290</v>
      </c>
      <c r="W3187" t="s">
        <v>16433</v>
      </c>
      <c r="X3187">
        <v>10</v>
      </c>
      <c r="Y3187" t="s">
        <v>22954</v>
      </c>
      <c r="Z3187" t="s">
        <v>29517</v>
      </c>
      <c r="AA3187">
        <v>0.37847931097891591</v>
      </c>
      <c r="AB3187" t="str">
        <f>HYPERLINK("Melting_Curves/meltCurve_Q02156_PRKCE.pdf", "Melting_Curves/meltCurve_Q02156_PRKCE.pdf")</f>
        <v>Melting_Curves/meltCurve_Q02156_PRKCE.pdf</v>
      </c>
    </row>
    <row r="3188" spans="1:28" x14ac:dyDescent="0.25">
      <c r="A3188" t="s">
        <v>3192</v>
      </c>
      <c r="B3188">
        <v>0.99252571173614901</v>
      </c>
      <c r="C3188">
        <v>0.80391546889992804</v>
      </c>
      <c r="D3188">
        <v>0.77401093130485499</v>
      </c>
      <c r="E3188">
        <v>0.49240534966303801</v>
      </c>
      <c r="F3188">
        <v>0.26391361210424902</v>
      </c>
      <c r="G3188">
        <v>0.12763625586857499</v>
      </c>
      <c r="H3188">
        <v>0.10732765255298</v>
      </c>
      <c r="I3188">
        <v>0.14497023426510899</v>
      </c>
      <c r="J3188">
        <v>0.24284982846980999</v>
      </c>
      <c r="K3188">
        <v>0.25861676392414701</v>
      </c>
      <c r="L3188">
        <v>875.83806418352901</v>
      </c>
      <c r="M3188">
        <v>18.280814231478701</v>
      </c>
      <c r="N3188">
        <v>48.975724739441397</v>
      </c>
      <c r="O3188">
        <v>47.347976995598302</v>
      </c>
      <c r="P3188">
        <v>-8.0690855393894007E-2</v>
      </c>
      <c r="Q3188">
        <v>0.164069980176867</v>
      </c>
      <c r="R3188">
        <v>0.95572520728571597</v>
      </c>
      <c r="S3188" t="s">
        <v>9834</v>
      </c>
      <c r="T3188" t="s">
        <v>13290</v>
      </c>
      <c r="U3188" t="s">
        <v>13290</v>
      </c>
      <c r="V3188" t="s">
        <v>13290</v>
      </c>
      <c r="W3188" t="s">
        <v>16434</v>
      </c>
      <c r="X3188">
        <v>4</v>
      </c>
      <c r="Y3188" t="s">
        <v>22955</v>
      </c>
      <c r="Z3188" t="s">
        <v>29518</v>
      </c>
      <c r="AA3188">
        <v>0.39888054371672022</v>
      </c>
      <c r="AB3188" t="str">
        <f>HYPERLINK("Melting_Curves/meltCurve_Q02241_KIF23.pdf", "Melting_Curves/meltCurve_Q02241_KIF23.pdf")</f>
        <v>Melting_Curves/meltCurve_Q02241_KIF23.pdf</v>
      </c>
    </row>
    <row r="3189" spans="1:28" x14ac:dyDescent="0.25">
      <c r="A3189" t="s">
        <v>3193</v>
      </c>
      <c r="B3189">
        <v>0.99252571173614901</v>
      </c>
      <c r="C3189">
        <v>1.0237288955880599</v>
      </c>
      <c r="D3189">
        <v>0.94163644889570197</v>
      </c>
      <c r="E3189">
        <v>0.50668374837159302</v>
      </c>
      <c r="F3189">
        <v>0.15672274596564101</v>
      </c>
      <c r="G3189">
        <v>8.2730786924077093E-2</v>
      </c>
      <c r="H3189">
        <v>5.4397693917967199E-2</v>
      </c>
      <c r="I3189">
        <v>5.60667260814844E-2</v>
      </c>
      <c r="J3189">
        <v>5.7739945433543403E-2</v>
      </c>
      <c r="K3189">
        <v>6.1652312312812603E-2</v>
      </c>
      <c r="L3189">
        <v>1656.1730281770299</v>
      </c>
      <c r="M3189">
        <v>33.4593312918824</v>
      </c>
      <c r="N3189">
        <v>49.691636362953901</v>
      </c>
      <c r="O3189">
        <v>49.322272053967701</v>
      </c>
      <c r="P3189">
        <v>-0.15923548978222901</v>
      </c>
      <c r="Q3189">
        <v>6.1090042855221599E-2</v>
      </c>
      <c r="R3189">
        <v>0.99915770385912905</v>
      </c>
      <c r="S3189" t="s">
        <v>9835</v>
      </c>
      <c r="T3189" t="s">
        <v>13290</v>
      </c>
      <c r="U3189" t="s">
        <v>13290</v>
      </c>
      <c r="V3189" t="s">
        <v>13290</v>
      </c>
      <c r="W3189" t="s">
        <v>16435</v>
      </c>
      <c r="X3189">
        <v>24</v>
      </c>
      <c r="Y3189" t="s">
        <v>22956</v>
      </c>
      <c r="Z3189" t="s">
        <v>29519</v>
      </c>
      <c r="AA3189">
        <v>0.36296656414798789</v>
      </c>
      <c r="AB3189" t="str">
        <f>HYPERLINK("Melting_Curves/meltCurve_Q02252_ALDH6A1.pdf", "Melting_Curves/meltCurve_Q02252_ALDH6A1.pdf")</f>
        <v>Melting_Curves/meltCurve_Q02252_ALDH6A1.pdf</v>
      </c>
    </row>
    <row r="3190" spans="1:28" x14ac:dyDescent="0.25">
      <c r="A3190" t="s">
        <v>3194</v>
      </c>
      <c r="B3190">
        <v>0.99252571173614901</v>
      </c>
      <c r="C3190">
        <v>0.98133121549578695</v>
      </c>
      <c r="D3190">
        <v>0.88840637907894004</v>
      </c>
      <c r="E3190">
        <v>0.68758320253232696</v>
      </c>
      <c r="F3190">
        <v>0.53470895839076604</v>
      </c>
      <c r="G3190">
        <v>0.25127316157685597</v>
      </c>
      <c r="H3190">
        <v>0.14260886045688401</v>
      </c>
      <c r="I3190">
        <v>0.16135377227598499</v>
      </c>
      <c r="J3190">
        <v>0.16897168518333999</v>
      </c>
      <c r="K3190">
        <v>0.111315295070196</v>
      </c>
      <c r="L3190">
        <v>830.38937810110599</v>
      </c>
      <c r="M3190">
        <v>15.975980502074901</v>
      </c>
      <c r="N3190">
        <v>52.7624550486453</v>
      </c>
      <c r="O3190">
        <v>51.1834323890834</v>
      </c>
      <c r="P3190">
        <v>-6.9783611745887694E-2</v>
      </c>
      <c r="Q3190">
        <v>0.10578684712446899</v>
      </c>
      <c r="R3190">
        <v>0.99172434087401395</v>
      </c>
      <c r="S3190" t="s">
        <v>9836</v>
      </c>
      <c r="T3190" t="s">
        <v>13290</v>
      </c>
      <c r="U3190" t="s">
        <v>13290</v>
      </c>
      <c r="V3190" t="s">
        <v>13290</v>
      </c>
      <c r="W3190" t="s">
        <v>16436</v>
      </c>
      <c r="X3190">
        <v>9</v>
      </c>
      <c r="Y3190" t="s">
        <v>22957</v>
      </c>
      <c r="Z3190" t="s">
        <v>29520</v>
      </c>
      <c r="AA3190">
        <v>0.48092689207690109</v>
      </c>
      <c r="AB3190" t="str">
        <f>HYPERLINK("Melting_Curves/meltCurve_Q02318_CYP27A1.pdf", "Melting_Curves/meltCurve_Q02318_CYP27A1.pdf")</f>
        <v>Melting_Curves/meltCurve_Q02318_CYP27A1.pdf</v>
      </c>
    </row>
    <row r="3191" spans="1:28" x14ac:dyDescent="0.25">
      <c r="A3191" t="s">
        <v>3195</v>
      </c>
      <c r="B3191">
        <v>0.99252571173614901</v>
      </c>
      <c r="C3191">
        <v>0.78425014745479205</v>
      </c>
      <c r="D3191">
        <v>0.64430813427021605</v>
      </c>
      <c r="E3191">
        <v>0.28605739318059997</v>
      </c>
      <c r="F3191">
        <v>0.12235873269447101</v>
      </c>
      <c r="G3191">
        <v>7.2496705908071404E-2</v>
      </c>
      <c r="H3191">
        <v>5.5565331131360397E-2</v>
      </c>
      <c r="I3191">
        <v>5.7436857388108498E-2</v>
      </c>
      <c r="J3191">
        <v>6.94996349157979E-2</v>
      </c>
      <c r="K3191">
        <v>5.9174874963598502E-2</v>
      </c>
      <c r="L3191">
        <v>860.92897156678805</v>
      </c>
      <c r="M3191">
        <v>18.4009520200228</v>
      </c>
      <c r="N3191">
        <v>47.044230886771899</v>
      </c>
      <c r="O3191">
        <v>46.245110869134599</v>
      </c>
      <c r="P3191">
        <v>-9.4722098024992402E-2</v>
      </c>
      <c r="Q3191">
        <v>4.7823963105755402E-2</v>
      </c>
      <c r="R3191">
        <v>0.99266669416327802</v>
      </c>
      <c r="S3191" t="s">
        <v>9837</v>
      </c>
      <c r="T3191" t="s">
        <v>13290</v>
      </c>
      <c r="U3191" t="s">
        <v>13290</v>
      </c>
      <c r="V3191" t="s">
        <v>13290</v>
      </c>
      <c r="W3191" t="s">
        <v>16437</v>
      </c>
      <c r="X3191">
        <v>13</v>
      </c>
      <c r="Y3191" t="s">
        <v>22958</v>
      </c>
      <c r="Z3191" t="s">
        <v>29521</v>
      </c>
      <c r="AA3191">
        <v>0.28016607748149752</v>
      </c>
      <c r="AB3191" t="str">
        <f>HYPERLINK("Melting_Curves/meltCurve_Q02338_BDH1.pdf", "Melting_Curves/meltCurve_Q02338_BDH1.pdf")</f>
        <v>Melting_Curves/meltCurve_Q02338_BDH1.pdf</v>
      </c>
    </row>
    <row r="3192" spans="1:28" x14ac:dyDescent="0.25">
      <c r="A3192" t="s">
        <v>3196</v>
      </c>
      <c r="B3192">
        <v>0.99252571173614901</v>
      </c>
      <c r="C3192">
        <v>0.864792050617746</v>
      </c>
      <c r="D3192">
        <v>1.1082547264159499</v>
      </c>
      <c r="E3192">
        <v>1.16701062860434</v>
      </c>
      <c r="F3192">
        <v>0.64784430678539096</v>
      </c>
      <c r="G3192">
        <v>0.52123623128989904</v>
      </c>
      <c r="H3192">
        <v>0.58337976900925603</v>
      </c>
      <c r="I3192">
        <v>0.785681511592208</v>
      </c>
      <c r="J3192">
        <v>0.450074015496848</v>
      </c>
      <c r="K3192">
        <v>0.87672114651134103</v>
      </c>
      <c r="L3192">
        <v>13067.464231763901</v>
      </c>
      <c r="M3192">
        <v>250</v>
      </c>
      <c r="O3192">
        <v>52.266512000535897</v>
      </c>
      <c r="P3192">
        <v>-0.42640295499953601</v>
      </c>
      <c r="Q3192">
        <v>0.64341447776901095</v>
      </c>
      <c r="R3192">
        <v>0.655525175432771</v>
      </c>
      <c r="S3192" t="s">
        <v>9838</v>
      </c>
      <c r="T3192" t="s">
        <v>13290</v>
      </c>
      <c r="U3192" t="s">
        <v>13290</v>
      </c>
      <c r="V3192" t="s">
        <v>13290</v>
      </c>
      <c r="W3192" t="s">
        <v>16438</v>
      </c>
      <c r="X3192">
        <v>1</v>
      </c>
      <c r="Y3192" t="s">
        <v>22959</v>
      </c>
      <c r="Z3192" t="s">
        <v>29522</v>
      </c>
      <c r="AA3192">
        <v>0.78928896635332291</v>
      </c>
      <c r="AB3192" t="str">
        <f>HYPERLINK("Melting_Curves/meltCurve_Q02383_SEMG2.pdf", "Melting_Curves/meltCurve_Q02383_SEMG2.pdf")</f>
        <v>Melting_Curves/meltCurve_Q02383_SEMG2.pdf</v>
      </c>
    </row>
    <row r="3193" spans="1:28" x14ac:dyDescent="0.25">
      <c r="A3193" t="s">
        <v>3197</v>
      </c>
      <c r="B3193">
        <v>0.99252571173614901</v>
      </c>
      <c r="C3193">
        <v>1.1766498435446</v>
      </c>
      <c r="D3193">
        <v>0.960822100656328</v>
      </c>
      <c r="E3193">
        <v>1.05071349064806</v>
      </c>
      <c r="F3193">
        <v>0.51491400754937799</v>
      </c>
      <c r="G3193">
        <v>0.29922910868865299</v>
      </c>
      <c r="H3193">
        <v>0.22732186516754499</v>
      </c>
      <c r="I3193">
        <v>0.291949975934996</v>
      </c>
      <c r="J3193">
        <v>0.309348270324595</v>
      </c>
      <c r="K3193">
        <v>0.42868671708151601</v>
      </c>
      <c r="L3193">
        <v>13253.8152010546</v>
      </c>
      <c r="M3193">
        <v>250</v>
      </c>
      <c r="N3193">
        <v>53.2227159919277</v>
      </c>
      <c r="O3193">
        <v>53.011868229030803</v>
      </c>
      <c r="P3193">
        <v>-0.81195594166368201</v>
      </c>
      <c r="Q3193">
        <v>0.31130717925894003</v>
      </c>
      <c r="R3193">
        <v>0.95494154020962396</v>
      </c>
      <c r="S3193" t="s">
        <v>9839</v>
      </c>
      <c r="T3193" t="s">
        <v>13290</v>
      </c>
      <c r="U3193" t="s">
        <v>13290</v>
      </c>
      <c r="V3193" t="s">
        <v>13290</v>
      </c>
      <c r="W3193" t="s">
        <v>16439</v>
      </c>
      <c r="X3193">
        <v>5</v>
      </c>
      <c r="Y3193" t="s">
        <v>22960</v>
      </c>
      <c r="Z3193" t="s">
        <v>29523</v>
      </c>
      <c r="AA3193">
        <v>0.61015514509640623</v>
      </c>
      <c r="AB3193" t="str">
        <f>HYPERLINK("Melting_Curves/meltCurve_Q02446_SP4.pdf", "Melting_Curves/meltCurve_Q02446_SP4.pdf")</f>
        <v>Melting_Curves/meltCurve_Q02446_SP4.pdf</v>
      </c>
    </row>
    <row r="3194" spans="1:28" x14ac:dyDescent="0.25">
      <c r="A3194" t="s">
        <v>3198</v>
      </c>
      <c r="B3194">
        <v>0.99252571173614901</v>
      </c>
      <c r="C3194">
        <v>1.15308320391564</v>
      </c>
      <c r="D3194">
        <v>1.0270984942766901</v>
      </c>
      <c r="E3194">
        <v>0.91743812053485396</v>
      </c>
      <c r="F3194">
        <v>0.36353934652939901</v>
      </c>
      <c r="G3194">
        <v>7.9042688112933704E-2</v>
      </c>
      <c r="H3194">
        <v>4.4689275453062297E-2</v>
      </c>
      <c r="I3194">
        <v>5.3478499052721701E-2</v>
      </c>
      <c r="J3194">
        <v>6.3734741955939006E-2</v>
      </c>
      <c r="K3194">
        <v>5.1593945079934797E-2</v>
      </c>
      <c r="L3194">
        <v>2288.7145073061702</v>
      </c>
      <c r="M3194">
        <v>43.7429211310398</v>
      </c>
      <c r="N3194">
        <v>52.454483656280402</v>
      </c>
      <c r="O3194">
        <v>52.2129424782676</v>
      </c>
      <c r="P3194">
        <v>-0.19848677309195101</v>
      </c>
      <c r="Q3194">
        <v>5.2320865905049002E-2</v>
      </c>
      <c r="R3194">
        <v>0.98832311994053601</v>
      </c>
      <c r="S3194" t="s">
        <v>9840</v>
      </c>
      <c r="T3194" t="s">
        <v>13290</v>
      </c>
      <c r="U3194" t="s">
        <v>13290</v>
      </c>
      <c r="V3194" t="s">
        <v>13290</v>
      </c>
      <c r="W3194" t="s">
        <v>16440</v>
      </c>
      <c r="X3194">
        <v>2</v>
      </c>
      <c r="Y3194" t="s">
        <v>22961</v>
      </c>
      <c r="Z3194" t="s">
        <v>29524</v>
      </c>
      <c r="AA3194">
        <v>0.44442389126781628</v>
      </c>
      <c r="AB3194" t="str">
        <f>HYPERLINK("Melting_Curves/meltCurve_Q02487_2_DSC2.pdf", "Melting_Curves/meltCurve_Q02487_2_DSC2.pdf")</f>
        <v>Melting_Curves/meltCurve_Q02487_2_DSC2.pdf</v>
      </c>
    </row>
    <row r="3195" spans="1:28" x14ac:dyDescent="0.25">
      <c r="A3195" t="s">
        <v>3199</v>
      </c>
      <c r="B3195">
        <v>0.99252571173614901</v>
      </c>
      <c r="C3195">
        <v>0.99591410807888003</v>
      </c>
      <c r="D3195">
        <v>0.93477232434488799</v>
      </c>
      <c r="E3195">
        <v>0.87535359194539697</v>
      </c>
      <c r="F3195">
        <v>0.62379936724537099</v>
      </c>
      <c r="G3195">
        <v>0.42638868003575298</v>
      </c>
      <c r="H3195">
        <v>0.18926723824288599</v>
      </c>
      <c r="I3195">
        <v>0.20221200707070899</v>
      </c>
      <c r="J3195">
        <v>0.25005463759497498</v>
      </c>
      <c r="K3195">
        <v>0.265146052687592</v>
      </c>
      <c r="L3195">
        <v>1150.37852363602</v>
      </c>
      <c r="M3195">
        <v>21.523539165992698</v>
      </c>
      <c r="N3195">
        <v>54.860630642150298</v>
      </c>
      <c r="O3195">
        <v>52.992516639931402</v>
      </c>
      <c r="P3195">
        <v>-7.9934577000203899E-2</v>
      </c>
      <c r="Q3195">
        <v>0.21280037420027501</v>
      </c>
      <c r="R3195">
        <v>0.98744818497569398</v>
      </c>
      <c r="S3195" t="s">
        <v>9841</v>
      </c>
      <c r="T3195" t="s">
        <v>13290</v>
      </c>
      <c r="U3195" t="s">
        <v>13290</v>
      </c>
      <c r="V3195" t="s">
        <v>13290</v>
      </c>
      <c r="W3195" t="s">
        <v>16441</v>
      </c>
      <c r="X3195">
        <v>3</v>
      </c>
      <c r="Y3195" t="s">
        <v>22962</v>
      </c>
      <c r="Z3195" t="s">
        <v>29525</v>
      </c>
      <c r="AA3195">
        <v>0.57517496461018325</v>
      </c>
      <c r="AB3195" t="str">
        <f>HYPERLINK("Melting_Curves/meltCurve_Q02543_RPL18A.pdf", "Melting_Curves/meltCurve_Q02543_RPL18A.pdf")</f>
        <v>Melting_Curves/meltCurve_Q02543_RPL18A.pdf</v>
      </c>
    </row>
    <row r="3196" spans="1:28" x14ac:dyDescent="0.25">
      <c r="A3196" t="s">
        <v>3200</v>
      </c>
      <c r="B3196">
        <v>0.99252571173614901</v>
      </c>
      <c r="C3196">
        <v>0.83757191939837705</v>
      </c>
      <c r="D3196">
        <v>0.73603391681443597</v>
      </c>
      <c r="E3196">
        <v>0.54403703585530006</v>
      </c>
      <c r="F3196">
        <v>0.249006765247788</v>
      </c>
      <c r="G3196">
        <v>0.11135818702894</v>
      </c>
      <c r="H3196">
        <v>0.105992026135541</v>
      </c>
      <c r="I3196">
        <v>9.3695112976686395E-2</v>
      </c>
      <c r="J3196">
        <v>0.144366505832107</v>
      </c>
      <c r="K3196">
        <v>0.13919440148001799</v>
      </c>
      <c r="L3196">
        <v>780.601118394026</v>
      </c>
      <c r="M3196">
        <v>16.045830888437699</v>
      </c>
      <c r="N3196">
        <v>49.267096700326</v>
      </c>
      <c r="O3196">
        <v>47.911432140911998</v>
      </c>
      <c r="P3196">
        <v>-7.6090403365095496E-2</v>
      </c>
      <c r="Q3196">
        <v>9.1273613881829294E-2</v>
      </c>
      <c r="R3196">
        <v>0.98324638791188501</v>
      </c>
      <c r="S3196" t="s">
        <v>9842</v>
      </c>
      <c r="T3196" t="s">
        <v>13290</v>
      </c>
      <c r="U3196" t="s">
        <v>13290</v>
      </c>
      <c r="V3196" t="s">
        <v>13290</v>
      </c>
      <c r="W3196" t="s">
        <v>16442</v>
      </c>
      <c r="X3196">
        <v>1</v>
      </c>
      <c r="Y3196" t="s">
        <v>22963</v>
      </c>
      <c r="Z3196" t="s">
        <v>29526</v>
      </c>
      <c r="AA3196">
        <v>0.3731819268305705</v>
      </c>
      <c r="AB3196" t="str">
        <f>HYPERLINK("Melting_Curves/meltCurve_Q02742_GCNT1.pdf", "Melting_Curves/meltCurve_Q02742_GCNT1.pdf")</f>
        <v>Melting_Curves/meltCurve_Q02742_GCNT1.pdf</v>
      </c>
    </row>
    <row r="3197" spans="1:28" x14ac:dyDescent="0.25">
      <c r="A3197" t="s">
        <v>3201</v>
      </c>
      <c r="B3197">
        <v>0.99252571173614901</v>
      </c>
      <c r="C3197">
        <v>1.08687031135061</v>
      </c>
      <c r="D3197">
        <v>0.98000718560432798</v>
      </c>
      <c r="E3197">
        <v>0.84850513947171902</v>
      </c>
      <c r="F3197">
        <v>0.49640526707860699</v>
      </c>
      <c r="G3197">
        <v>0.13357962351473501</v>
      </c>
      <c r="H3197">
        <v>8.1692300539298296E-2</v>
      </c>
      <c r="I3197">
        <v>7.7716423560026004E-2</v>
      </c>
      <c r="J3197">
        <v>8.1715022234915599E-2</v>
      </c>
      <c r="K3197">
        <v>7.9796104140717902E-2</v>
      </c>
      <c r="L3197">
        <v>1560.39509215206</v>
      </c>
      <c r="M3197">
        <v>29.605976449117598</v>
      </c>
      <c r="N3197">
        <v>52.971729519020201</v>
      </c>
      <c r="O3197">
        <v>52.466699495283997</v>
      </c>
      <c r="P3197">
        <v>-0.13131627456539699</v>
      </c>
      <c r="Q3197">
        <v>6.9149539824226197E-2</v>
      </c>
      <c r="R3197">
        <v>0.99405198263017702</v>
      </c>
      <c r="S3197" t="s">
        <v>9843</v>
      </c>
      <c r="T3197" t="s">
        <v>13290</v>
      </c>
      <c r="U3197" t="s">
        <v>13290</v>
      </c>
      <c r="V3197" t="s">
        <v>13290</v>
      </c>
      <c r="W3197" t="s">
        <v>16443</v>
      </c>
      <c r="X3197">
        <v>21</v>
      </c>
      <c r="Y3197" t="s">
        <v>22964</v>
      </c>
      <c r="Z3197" t="s">
        <v>29527</v>
      </c>
      <c r="AA3197">
        <v>0.46954681134772869</v>
      </c>
      <c r="AB3197" t="str">
        <f>HYPERLINK("Melting_Curves/meltCurve_Q02750_MAP2K1.pdf", "Melting_Curves/meltCurve_Q02750_MAP2K1.pdf")</f>
        <v>Melting_Curves/meltCurve_Q02750_MAP2K1.pdf</v>
      </c>
    </row>
    <row r="3198" spans="1:28" x14ac:dyDescent="0.25">
      <c r="A3198" t="s">
        <v>3202</v>
      </c>
      <c r="B3198">
        <v>0.99252571173614901</v>
      </c>
      <c r="C3198">
        <v>0.936301270335548</v>
      </c>
      <c r="D3198">
        <v>0.91438768055868402</v>
      </c>
      <c r="E3198">
        <v>0.46773598237292902</v>
      </c>
      <c r="F3198">
        <v>0.146851463265363</v>
      </c>
      <c r="G3198">
        <v>8.0736100784402604E-2</v>
      </c>
      <c r="H3198">
        <v>5.9246690290693703E-2</v>
      </c>
      <c r="I3198">
        <v>6.19189110830142E-2</v>
      </c>
      <c r="J3198">
        <v>6.5451989214630496E-2</v>
      </c>
      <c r="K3198">
        <v>6.7712907264576794E-2</v>
      </c>
      <c r="L3198">
        <v>1520.7639357118401</v>
      </c>
      <c r="M3198">
        <v>30.9218304388558</v>
      </c>
      <c r="N3198">
        <v>49.397345671181803</v>
      </c>
      <c r="O3198">
        <v>48.976595305365997</v>
      </c>
      <c r="P3198">
        <v>-0.14784151009405699</v>
      </c>
      <c r="Q3198">
        <v>6.3350147599960605E-2</v>
      </c>
      <c r="R3198">
        <v>0.99790582866338295</v>
      </c>
      <c r="S3198" t="s">
        <v>9844</v>
      </c>
      <c r="T3198" t="s">
        <v>13290</v>
      </c>
      <c r="U3198" t="s">
        <v>13290</v>
      </c>
      <c r="V3198" t="s">
        <v>13290</v>
      </c>
      <c r="W3198" t="s">
        <v>16444</v>
      </c>
      <c r="X3198">
        <v>45</v>
      </c>
      <c r="Y3198" t="s">
        <v>22965</v>
      </c>
      <c r="Z3198" t="s">
        <v>29528</v>
      </c>
      <c r="AA3198">
        <v>0.35537038216328709</v>
      </c>
      <c r="AB3198" t="str">
        <f>HYPERLINK("Melting_Curves/meltCurve_Q02790_FKBP4.pdf", "Melting_Curves/meltCurve_Q02790_FKBP4.pdf")</f>
        <v>Melting_Curves/meltCurve_Q02790_FKBP4.pdf</v>
      </c>
    </row>
    <row r="3199" spans="1:28" x14ac:dyDescent="0.25">
      <c r="A3199" t="s">
        <v>3203</v>
      </c>
      <c r="B3199">
        <v>0.99252571173614901</v>
      </c>
      <c r="C3199">
        <v>0.93314631046724195</v>
      </c>
      <c r="D3199">
        <v>1.1266237551096401</v>
      </c>
      <c r="E3199">
        <v>0.83767338100604505</v>
      </c>
      <c r="F3199">
        <v>0.30954861595493499</v>
      </c>
      <c r="G3199">
        <v>0.17011819251526</v>
      </c>
      <c r="H3199">
        <v>0.13564189410261801</v>
      </c>
      <c r="I3199">
        <v>0.14860138959957001</v>
      </c>
      <c r="J3199">
        <v>0.21404963714168199</v>
      </c>
      <c r="K3199">
        <v>0.16579618141063401</v>
      </c>
      <c r="L3199">
        <v>2305.7766978663399</v>
      </c>
      <c r="M3199">
        <v>44.976399226736802</v>
      </c>
      <c r="N3199">
        <v>51.729234392844802</v>
      </c>
      <c r="O3199">
        <v>51.165335297045402</v>
      </c>
      <c r="P3199">
        <v>-0.18335510417273701</v>
      </c>
      <c r="Q3199">
        <v>0.165659125451314</v>
      </c>
      <c r="R3199">
        <v>0.98329195578939499</v>
      </c>
      <c r="S3199" t="s">
        <v>9845</v>
      </c>
      <c r="T3199" t="s">
        <v>13290</v>
      </c>
      <c r="U3199" t="s">
        <v>13290</v>
      </c>
      <c r="V3199" t="s">
        <v>13290</v>
      </c>
      <c r="W3199" t="s">
        <v>16445</v>
      </c>
      <c r="X3199">
        <v>25</v>
      </c>
      <c r="Y3199" t="s">
        <v>22966</v>
      </c>
      <c r="Z3199" t="s">
        <v>29529</v>
      </c>
      <c r="AA3199">
        <v>0.48132678846785659</v>
      </c>
      <c r="AB3199" t="str">
        <f>HYPERLINK("Melting_Curves/meltCurve_Q02809_PLOD1.pdf", "Melting_Curves/meltCurve_Q02809_PLOD1.pdf")</f>
        <v>Melting_Curves/meltCurve_Q02809_PLOD1.pdf</v>
      </c>
    </row>
    <row r="3200" spans="1:28" x14ac:dyDescent="0.25">
      <c r="A3200" t="s">
        <v>3204</v>
      </c>
      <c r="B3200">
        <v>0.99252571173614901</v>
      </c>
      <c r="C3200">
        <v>1.0498465797812899</v>
      </c>
      <c r="D3200">
        <v>0.95743613478026601</v>
      </c>
      <c r="E3200">
        <v>0.91562706123511495</v>
      </c>
      <c r="F3200">
        <v>0.78377625928028405</v>
      </c>
      <c r="G3200">
        <v>0.65527318181725003</v>
      </c>
      <c r="H3200">
        <v>0.60051391813111599</v>
      </c>
      <c r="I3200">
        <v>0.80115384202122997</v>
      </c>
      <c r="J3200">
        <v>1.2612813155034199</v>
      </c>
      <c r="K3200">
        <v>1.2957167608692399</v>
      </c>
      <c r="L3200">
        <v>15000</v>
      </c>
      <c r="M3200">
        <v>225.55776353986101</v>
      </c>
      <c r="O3200">
        <v>66.496584012838994</v>
      </c>
      <c r="P3200">
        <v>0.25095912292724398</v>
      </c>
      <c r="Q3200">
        <v>1.29594059032233</v>
      </c>
      <c r="R3200">
        <v>0.22388281459290099</v>
      </c>
      <c r="S3200" t="s">
        <v>9846</v>
      </c>
      <c r="T3200" t="s">
        <v>13290</v>
      </c>
      <c r="U3200" t="s">
        <v>13290</v>
      </c>
      <c r="V3200" t="s">
        <v>13290</v>
      </c>
      <c r="W3200" t="s">
        <v>16446</v>
      </c>
      <c r="X3200">
        <v>49</v>
      </c>
      <c r="Y3200" t="s">
        <v>22967</v>
      </c>
      <c r="Z3200" t="s">
        <v>29530</v>
      </c>
      <c r="AA3200">
        <v>1.0344661357627849</v>
      </c>
      <c r="AB3200" t="str">
        <f>HYPERLINK("Melting_Curves/meltCurve_Q02818_NUCB1.pdf", "Melting_Curves/meltCurve_Q02818_NUCB1.pdf")</f>
        <v>Melting_Curves/meltCurve_Q02818_NUCB1.pdf</v>
      </c>
    </row>
    <row r="3201" spans="1:28" x14ac:dyDescent="0.25">
      <c r="A3201" t="s">
        <v>3205</v>
      </c>
      <c r="B3201">
        <v>0.99252571173614901</v>
      </c>
      <c r="C3201">
        <v>1.0059304250844201</v>
      </c>
      <c r="D3201">
        <v>1.0239057026524301</v>
      </c>
      <c r="E3201">
        <v>0.97886944582952296</v>
      </c>
      <c r="F3201">
        <v>0.52183240648012497</v>
      </c>
      <c r="G3201">
        <v>0.37534985454201197</v>
      </c>
      <c r="H3201">
        <v>0.21090916254709599</v>
      </c>
      <c r="I3201">
        <v>0.25202464891687898</v>
      </c>
      <c r="J3201">
        <v>0.33258609595702499</v>
      </c>
      <c r="K3201">
        <v>0.32998928927400101</v>
      </c>
      <c r="L3201">
        <v>2551.4762803790099</v>
      </c>
      <c r="M3201">
        <v>48.636987962067899</v>
      </c>
      <c r="N3201">
        <v>53.439943887434097</v>
      </c>
      <c r="O3201">
        <v>52.3711300591346</v>
      </c>
      <c r="P3201">
        <v>-0.16365240911480999</v>
      </c>
      <c r="Q3201">
        <v>0.29513287520155301</v>
      </c>
      <c r="R3201">
        <v>0.98481339447520799</v>
      </c>
      <c r="S3201" t="s">
        <v>9847</v>
      </c>
      <c r="T3201" t="s">
        <v>13290</v>
      </c>
      <c r="U3201" t="s">
        <v>13290</v>
      </c>
      <c r="V3201" t="s">
        <v>13290</v>
      </c>
      <c r="W3201" t="s">
        <v>16447</v>
      </c>
      <c r="X3201">
        <v>12</v>
      </c>
      <c r="Y3201" t="s">
        <v>22968</v>
      </c>
      <c r="Z3201" t="s">
        <v>29531</v>
      </c>
      <c r="AA3201">
        <v>0.58960206045957131</v>
      </c>
      <c r="AB3201" t="str">
        <f>HYPERLINK("Melting_Curves/meltCurve_Q02878_RPL6.pdf", "Melting_Curves/meltCurve_Q02878_RPL6.pdf")</f>
        <v>Melting_Curves/meltCurve_Q02878_RPL6.pdf</v>
      </c>
    </row>
    <row r="3202" spans="1:28" x14ac:dyDescent="0.25">
      <c r="A3202" t="s">
        <v>3206</v>
      </c>
      <c r="B3202">
        <v>0.99252571173614901</v>
      </c>
      <c r="C3202">
        <v>0.88261254929499899</v>
      </c>
      <c r="D3202">
        <v>0.91677313804939398</v>
      </c>
      <c r="E3202">
        <v>0.405221972352519</v>
      </c>
      <c r="F3202">
        <v>0.22516512778997899</v>
      </c>
      <c r="G3202">
        <v>0.13294122995832899</v>
      </c>
      <c r="H3202">
        <v>8.9784367554107902E-2</v>
      </c>
      <c r="I3202">
        <v>8.8286968224077E-2</v>
      </c>
      <c r="J3202">
        <v>0.107315154110075</v>
      </c>
      <c r="K3202">
        <v>0.113273453692287</v>
      </c>
      <c r="L3202">
        <v>1417.2602372305701</v>
      </c>
      <c r="M3202">
        <v>29.091924339207701</v>
      </c>
      <c r="N3202">
        <v>49.127481850549799</v>
      </c>
      <c r="O3202">
        <v>48.488174004453299</v>
      </c>
      <c r="P3202">
        <v>-0.13379912766423199</v>
      </c>
      <c r="Q3202">
        <v>0.107982374001419</v>
      </c>
      <c r="R3202">
        <v>0.98681996502890301</v>
      </c>
      <c r="S3202" t="s">
        <v>9848</v>
      </c>
      <c r="T3202" t="s">
        <v>13290</v>
      </c>
      <c r="U3202" t="s">
        <v>13290</v>
      </c>
      <c r="V3202" t="s">
        <v>13290</v>
      </c>
      <c r="W3202" t="s">
        <v>16448</v>
      </c>
      <c r="X3202">
        <v>14</v>
      </c>
      <c r="Y3202" t="s">
        <v>22969</v>
      </c>
      <c r="Z3202" t="s">
        <v>29532</v>
      </c>
      <c r="AA3202">
        <v>0.372927522232611</v>
      </c>
      <c r="AB3202" t="str">
        <f>HYPERLINK("Melting_Curves/meltCurve_Q02880_2_TOP2B.pdf", "Melting_Curves/meltCurve_Q02880_2_TOP2B.pdf")</f>
        <v>Melting_Curves/meltCurve_Q02880_2_TOP2B.pdf</v>
      </c>
    </row>
    <row r="3203" spans="1:28" x14ac:dyDescent="0.25">
      <c r="A3203" t="s">
        <v>3207</v>
      </c>
      <c r="B3203">
        <v>0.99252571173614901</v>
      </c>
      <c r="C3203">
        <v>1.09305849099677</v>
      </c>
      <c r="D3203">
        <v>0.94232500506855998</v>
      </c>
      <c r="E3203">
        <v>0.88195193867052901</v>
      </c>
      <c r="F3203">
        <v>0.74205637193257001</v>
      </c>
      <c r="G3203">
        <v>0.63209221557647399</v>
      </c>
      <c r="H3203">
        <v>0.62957639400365295</v>
      </c>
      <c r="I3203">
        <v>0.88456432133068497</v>
      </c>
      <c r="J3203">
        <v>1.2832141920795499</v>
      </c>
      <c r="K3203">
        <v>1.4031363493796301</v>
      </c>
      <c r="L3203">
        <v>15000</v>
      </c>
      <c r="M3203">
        <v>224.40575688718999</v>
      </c>
      <c r="O3203">
        <v>66.837896213569493</v>
      </c>
      <c r="P3203">
        <v>0.338403169536524</v>
      </c>
      <c r="Q3203">
        <v>1.40316534099864</v>
      </c>
      <c r="R3203">
        <v>0.36354593488029302</v>
      </c>
      <c r="S3203" t="s">
        <v>9849</v>
      </c>
      <c r="T3203" t="s">
        <v>13290</v>
      </c>
      <c r="U3203" t="s">
        <v>13290</v>
      </c>
      <c r="V3203" t="s">
        <v>13290</v>
      </c>
      <c r="W3203" t="s">
        <v>16449</v>
      </c>
      <c r="X3203">
        <v>46</v>
      </c>
      <c r="Y3203" t="s">
        <v>22970</v>
      </c>
      <c r="Z3203" t="s">
        <v>29533</v>
      </c>
      <c r="AA3203">
        <v>1.0423651553693669</v>
      </c>
      <c r="AB3203" t="str">
        <f>HYPERLINK("Melting_Curves/meltCurve_Q02952_3_AKAP12.pdf", "Melting_Curves/meltCurve_Q02952_3_AKAP12.pdf")</f>
        <v>Melting_Curves/meltCurve_Q02952_3_AKAP12.pdf</v>
      </c>
    </row>
    <row r="3204" spans="1:28" x14ac:dyDescent="0.25">
      <c r="A3204" t="s">
        <v>3208</v>
      </c>
      <c r="B3204">
        <v>0.99252571173614901</v>
      </c>
      <c r="C3204">
        <v>0.87822646112104497</v>
      </c>
      <c r="D3204">
        <v>0.70116150825926904</v>
      </c>
      <c r="E3204">
        <v>0.51618154418560902</v>
      </c>
      <c r="F3204">
        <v>0.32023592245799098</v>
      </c>
      <c r="G3204">
        <v>0.19334796116567299</v>
      </c>
      <c r="H3204">
        <v>0.138678787069281</v>
      </c>
      <c r="I3204">
        <v>0.156913071405893</v>
      </c>
      <c r="J3204">
        <v>0.128181702672401</v>
      </c>
      <c r="K3204">
        <v>0.101488865929621</v>
      </c>
      <c r="L3204">
        <v>677.68881256390796</v>
      </c>
      <c r="M3204">
        <v>13.9059646815144</v>
      </c>
      <c r="N3204">
        <v>49.533935039893002</v>
      </c>
      <c r="O3204">
        <v>47.759032648442997</v>
      </c>
      <c r="P3204">
        <v>-6.5477825057155506E-2</v>
      </c>
      <c r="Q3204">
        <v>0.100606467634277</v>
      </c>
      <c r="R3204">
        <v>0.99649752802963298</v>
      </c>
      <c r="S3204" t="s">
        <v>9850</v>
      </c>
      <c r="T3204" t="s">
        <v>13290</v>
      </c>
      <c r="U3204" t="s">
        <v>13290</v>
      </c>
      <c r="V3204" t="s">
        <v>13290</v>
      </c>
      <c r="W3204" t="s">
        <v>16450</v>
      </c>
      <c r="X3204">
        <v>40</v>
      </c>
      <c r="Y3204" t="s">
        <v>22971</v>
      </c>
      <c r="Z3204" t="s">
        <v>29534</v>
      </c>
      <c r="AA3204">
        <v>0.38829223768657051</v>
      </c>
      <c r="AB3204" t="str">
        <f>HYPERLINK("Melting_Curves/meltCurve_Q03001_DST.pdf", "Melting_Curves/meltCurve_Q03001_DST.pdf")</f>
        <v>Melting_Curves/meltCurve_Q03001_DST.pdf</v>
      </c>
    </row>
    <row r="3205" spans="1:28" x14ac:dyDescent="0.25">
      <c r="A3205" t="s">
        <v>3209</v>
      </c>
      <c r="B3205">
        <v>0.99252571173614901</v>
      </c>
      <c r="C3205">
        <v>0.98595485207167699</v>
      </c>
      <c r="D3205">
        <v>0.84421332169501695</v>
      </c>
      <c r="E3205">
        <v>0.74333063859933202</v>
      </c>
      <c r="F3205">
        <v>0.49673334606325598</v>
      </c>
      <c r="G3205">
        <v>0.27675603159730999</v>
      </c>
      <c r="H3205">
        <v>0.16373434885187599</v>
      </c>
      <c r="I3205">
        <v>0.13835252399380599</v>
      </c>
      <c r="J3205">
        <v>0.17605149071416401</v>
      </c>
      <c r="K3205">
        <v>0.16278134618526899</v>
      </c>
      <c r="L3205">
        <v>852.24179005746998</v>
      </c>
      <c r="M3205">
        <v>16.4336543143908</v>
      </c>
      <c r="N3205">
        <v>52.7908376933458</v>
      </c>
      <c r="O3205">
        <v>51.109851632941201</v>
      </c>
      <c r="P3205">
        <v>-7.0273991759874602E-2</v>
      </c>
      <c r="Q3205">
        <v>0.12583256354655101</v>
      </c>
      <c r="R3205">
        <v>0.99278662898152803</v>
      </c>
      <c r="S3205" t="s">
        <v>9851</v>
      </c>
      <c r="T3205" t="s">
        <v>13290</v>
      </c>
      <c r="U3205" t="s">
        <v>13290</v>
      </c>
      <c r="V3205" t="s">
        <v>13290</v>
      </c>
      <c r="W3205" t="s">
        <v>16451</v>
      </c>
      <c r="X3205">
        <v>5</v>
      </c>
      <c r="Y3205" t="s">
        <v>22972</v>
      </c>
      <c r="Z3205" t="s">
        <v>29535</v>
      </c>
      <c r="AA3205">
        <v>0.48838866862217922</v>
      </c>
      <c r="AB3205" t="str">
        <f>HYPERLINK("Melting_Curves/meltCurve_Q03111_MLLT1.pdf", "Melting_Curves/meltCurve_Q03111_MLLT1.pdf")</f>
        <v>Melting_Curves/meltCurve_Q03111_MLLT1.pdf</v>
      </c>
    </row>
    <row r="3206" spans="1:28" x14ac:dyDescent="0.25">
      <c r="A3206" t="s">
        <v>3210</v>
      </c>
      <c r="B3206">
        <v>0.99252571173614901</v>
      </c>
      <c r="C3206">
        <v>0.93122801517017795</v>
      </c>
      <c r="D3206">
        <v>0.74582021446532298</v>
      </c>
      <c r="E3206">
        <v>0.38185849604314398</v>
      </c>
      <c r="F3206">
        <v>0.216037508832087</v>
      </c>
      <c r="G3206">
        <v>6.5336572907771895E-2</v>
      </c>
      <c r="H3206">
        <v>3.9388780404794099E-2</v>
      </c>
      <c r="I3206">
        <v>2.23632045443827E-2</v>
      </c>
      <c r="J3206">
        <v>2.6650595099910201E-2</v>
      </c>
      <c r="K3206">
        <v>2.42631592516355E-2</v>
      </c>
      <c r="L3206">
        <v>910.592723487684</v>
      </c>
      <c r="M3206">
        <v>18.777303165920902</v>
      </c>
      <c r="N3206">
        <v>48.599238652107502</v>
      </c>
      <c r="O3206">
        <v>47.954355826404999</v>
      </c>
      <c r="P3206">
        <v>-9.5951258629655603E-2</v>
      </c>
      <c r="Q3206">
        <v>1.9861668654601001E-2</v>
      </c>
      <c r="R3206">
        <v>0.99804042214714495</v>
      </c>
      <c r="S3206" t="s">
        <v>9852</v>
      </c>
      <c r="T3206" t="s">
        <v>13290</v>
      </c>
      <c r="U3206" t="s">
        <v>13290</v>
      </c>
      <c r="V3206" t="s">
        <v>13290</v>
      </c>
      <c r="W3206" t="s">
        <v>16452</v>
      </c>
      <c r="X3206">
        <v>4</v>
      </c>
      <c r="Y3206" t="s">
        <v>22973</v>
      </c>
      <c r="Z3206" t="s">
        <v>29536</v>
      </c>
      <c r="AA3206">
        <v>0.31311731791216563</v>
      </c>
      <c r="AB3206" t="str">
        <f>HYPERLINK("Melting_Curves/meltCurve_Q03113_GNA12.pdf", "Melting_Curves/meltCurve_Q03113_GNA12.pdf")</f>
        <v>Melting_Curves/meltCurve_Q03113_GNA12.pdf</v>
      </c>
    </row>
    <row r="3207" spans="1:28" x14ac:dyDescent="0.25">
      <c r="A3207" t="s">
        <v>3211</v>
      </c>
      <c r="B3207">
        <v>0.99252571173614901</v>
      </c>
      <c r="C3207">
        <v>1.0505268987910199</v>
      </c>
      <c r="D3207">
        <v>0.97732022337916802</v>
      </c>
      <c r="E3207">
        <v>0.91270015714237496</v>
      </c>
      <c r="F3207">
        <v>0.82405085574729198</v>
      </c>
      <c r="G3207">
        <v>0.69209171839246397</v>
      </c>
      <c r="H3207">
        <v>0.63593744285112597</v>
      </c>
      <c r="I3207">
        <v>0.72629929176696195</v>
      </c>
      <c r="J3207">
        <v>0.75922673256696405</v>
      </c>
      <c r="K3207">
        <v>0.66484047535289403</v>
      </c>
      <c r="L3207">
        <v>1381.2052089486699</v>
      </c>
      <c r="M3207">
        <v>26.633557957867598</v>
      </c>
      <c r="O3207">
        <v>51.569865542023201</v>
      </c>
      <c r="P3207">
        <v>-3.97801523545031E-2</v>
      </c>
      <c r="Q3207">
        <v>0.69190212133487505</v>
      </c>
      <c r="R3207">
        <v>0.92716591213506105</v>
      </c>
      <c r="S3207" t="s">
        <v>9853</v>
      </c>
      <c r="T3207" t="s">
        <v>13290</v>
      </c>
      <c r="U3207" t="s">
        <v>13290</v>
      </c>
      <c r="V3207" t="s">
        <v>13290</v>
      </c>
      <c r="W3207" t="s">
        <v>16453</v>
      </c>
      <c r="X3207">
        <v>30</v>
      </c>
      <c r="Y3207" t="s">
        <v>22974</v>
      </c>
      <c r="Z3207" t="s">
        <v>29537</v>
      </c>
      <c r="AA3207">
        <v>0.81618287022835956</v>
      </c>
      <c r="AB3207" t="str">
        <f>HYPERLINK("Melting_Curves/meltCurve_Q03154_ACY1.pdf", "Melting_Curves/meltCurve_Q03154_ACY1.pdf")</f>
        <v>Melting_Curves/meltCurve_Q03154_ACY1.pdf</v>
      </c>
    </row>
    <row r="3208" spans="1:28" x14ac:dyDescent="0.25">
      <c r="A3208" t="s">
        <v>3212</v>
      </c>
      <c r="B3208">
        <v>0.99252571173614901</v>
      </c>
      <c r="C3208">
        <v>0.90067789967785605</v>
      </c>
      <c r="D3208">
        <v>0.41175117393975502</v>
      </c>
      <c r="E3208">
        <v>0.19953497807113801</v>
      </c>
      <c r="F3208">
        <v>0.12677018501850301</v>
      </c>
      <c r="G3208">
        <v>8.2121216881097303E-2</v>
      </c>
      <c r="H3208">
        <v>6.5977555304731997E-2</v>
      </c>
      <c r="I3208">
        <v>6.8856263678872404E-2</v>
      </c>
      <c r="J3208">
        <v>7.4186745920325897E-2</v>
      </c>
      <c r="K3208">
        <v>7.6450592090461997E-2</v>
      </c>
      <c r="L3208">
        <v>1437.8531708753101</v>
      </c>
      <c r="M3208">
        <v>31.710356040192</v>
      </c>
      <c r="N3208">
        <v>45.6185033413228</v>
      </c>
      <c r="O3208">
        <v>45.164147922753997</v>
      </c>
      <c r="P3208">
        <v>-0.16025071494344001</v>
      </c>
      <c r="Q3208">
        <v>8.7042895770348697E-2</v>
      </c>
      <c r="R3208">
        <v>0.99386079796996996</v>
      </c>
      <c r="S3208" t="s">
        <v>9854</v>
      </c>
      <c r="T3208" t="s">
        <v>13290</v>
      </c>
      <c r="U3208" t="s">
        <v>13290</v>
      </c>
      <c r="V3208" t="s">
        <v>13290</v>
      </c>
      <c r="W3208" t="s">
        <v>16454</v>
      </c>
      <c r="X3208">
        <v>25</v>
      </c>
      <c r="Y3208" t="s">
        <v>22975</v>
      </c>
      <c r="Z3208" t="s">
        <v>29538</v>
      </c>
      <c r="AA3208">
        <v>0.25468892061109588</v>
      </c>
      <c r="AB3208" t="str">
        <f>HYPERLINK("Melting_Curves/meltCurve_Q03169_TNFAIP2.pdf", "Melting_Curves/meltCurve_Q03169_TNFAIP2.pdf")</f>
        <v>Melting_Curves/meltCurve_Q03169_TNFAIP2.pdf</v>
      </c>
    </row>
    <row r="3209" spans="1:28" x14ac:dyDescent="0.25">
      <c r="A3209" t="s">
        <v>3213</v>
      </c>
      <c r="B3209">
        <v>0.99252571173614901</v>
      </c>
      <c r="C3209">
        <v>1.0561751106798001</v>
      </c>
      <c r="D3209">
        <v>0.96011128023602299</v>
      </c>
      <c r="E3209">
        <v>0.90720128187917404</v>
      </c>
      <c r="F3209">
        <v>0.72742140441896397</v>
      </c>
      <c r="G3209">
        <v>0.556326469038677</v>
      </c>
      <c r="H3209">
        <v>0.38096721958844698</v>
      </c>
      <c r="I3209">
        <v>0.31171469369121502</v>
      </c>
      <c r="J3209">
        <v>0.29154563371735898</v>
      </c>
      <c r="K3209">
        <v>0.24011263624427701</v>
      </c>
      <c r="L3209">
        <v>876.08294253382701</v>
      </c>
      <c r="M3209">
        <v>15.772543343329501</v>
      </c>
      <c r="N3209">
        <v>57.756573659810797</v>
      </c>
      <c r="O3209">
        <v>54.674953978286297</v>
      </c>
      <c r="P3209">
        <v>-5.5775450130588003E-2</v>
      </c>
      <c r="Q3209">
        <v>0.22669014222565601</v>
      </c>
      <c r="R3209">
        <v>0.99455528518571201</v>
      </c>
      <c r="S3209" t="s">
        <v>9855</v>
      </c>
      <c r="T3209" t="s">
        <v>13290</v>
      </c>
      <c r="U3209" t="s">
        <v>13290</v>
      </c>
      <c r="V3209" t="s">
        <v>13290</v>
      </c>
      <c r="W3209" t="s">
        <v>16455</v>
      </c>
      <c r="X3209">
        <v>5</v>
      </c>
      <c r="Y3209" t="s">
        <v>22976</v>
      </c>
      <c r="Z3209" t="s">
        <v>29539</v>
      </c>
      <c r="AA3209">
        <v>0.64098616339879355</v>
      </c>
      <c r="AB3209" t="str">
        <f>HYPERLINK("Melting_Curves/meltCurve_Q03393_PTS.pdf", "Melting_Curves/meltCurve_Q03393_PTS.pdf")</f>
        <v>Melting_Curves/meltCurve_Q03393_PTS.pdf</v>
      </c>
    </row>
    <row r="3210" spans="1:28" x14ac:dyDescent="0.25">
      <c r="A3210" t="s">
        <v>3214</v>
      </c>
      <c r="B3210">
        <v>0.99252571173614901</v>
      </c>
      <c r="C3210">
        <v>0.82916465345900303</v>
      </c>
      <c r="D3210">
        <v>0.84038176920791596</v>
      </c>
      <c r="E3210">
        <v>0.37971656469932102</v>
      </c>
      <c r="F3210">
        <v>0.156222723148214</v>
      </c>
      <c r="G3210">
        <v>4.8668061185353301E-2</v>
      </c>
      <c r="H3210">
        <v>2.8390964857095101E-2</v>
      </c>
      <c r="I3210">
        <v>2.87669695313236E-2</v>
      </c>
      <c r="J3210">
        <v>3.7580051813281203E-2</v>
      </c>
      <c r="K3210">
        <v>4.24355310492424E-2</v>
      </c>
      <c r="L3210">
        <v>1060.7949958018701</v>
      </c>
      <c r="M3210">
        <v>21.849599812157301</v>
      </c>
      <c r="N3210">
        <v>48.665440498215901</v>
      </c>
      <c r="O3210">
        <v>48.148685091268</v>
      </c>
      <c r="P3210">
        <v>-0.110582624866444</v>
      </c>
      <c r="Q3210">
        <v>2.52848441542185E-2</v>
      </c>
      <c r="R3210">
        <v>0.98620484144173204</v>
      </c>
      <c r="S3210" t="s">
        <v>9856</v>
      </c>
      <c r="T3210" t="s">
        <v>13290</v>
      </c>
      <c r="U3210" t="s">
        <v>13290</v>
      </c>
      <c r="V3210" t="s">
        <v>13290</v>
      </c>
      <c r="W3210" t="s">
        <v>16456</v>
      </c>
      <c r="X3210">
        <v>4</v>
      </c>
      <c r="Y3210" t="s">
        <v>22977</v>
      </c>
      <c r="Z3210" t="s">
        <v>29540</v>
      </c>
      <c r="AA3210">
        <v>0.31449159322050729</v>
      </c>
      <c r="AB3210" t="str">
        <f>HYPERLINK("Melting_Curves/meltCurve_Q03519_TAP2.pdf", "Melting_Curves/meltCurve_Q03519_TAP2.pdf")</f>
        <v>Melting_Curves/meltCurve_Q03519_TAP2.pdf</v>
      </c>
    </row>
    <row r="3211" spans="1:28" x14ac:dyDescent="0.25">
      <c r="A3211" t="s">
        <v>3215</v>
      </c>
      <c r="B3211">
        <v>0.99252571173614901</v>
      </c>
      <c r="C3211">
        <v>1.00041605337466</v>
      </c>
      <c r="D3211">
        <v>0.78640318957820898</v>
      </c>
      <c r="E3211">
        <v>0.32254747679527002</v>
      </c>
      <c r="F3211">
        <v>0.18755605799778399</v>
      </c>
      <c r="G3211">
        <v>8.1602239689529801E-2</v>
      </c>
      <c r="H3211">
        <v>6.7159091622807005E-2</v>
      </c>
      <c r="I3211">
        <v>6.7378506388319603E-2</v>
      </c>
      <c r="J3211">
        <v>9.3929573440519304E-2</v>
      </c>
      <c r="K3211">
        <v>7.9554671346575095E-2</v>
      </c>
      <c r="L3211">
        <v>1351.1063004436601</v>
      </c>
      <c r="M3211">
        <v>28.177069846267099</v>
      </c>
      <c r="N3211">
        <v>48.258715715058599</v>
      </c>
      <c r="O3211">
        <v>47.710964933887198</v>
      </c>
      <c r="P3211">
        <v>-0.135489796847648</v>
      </c>
      <c r="Q3211">
        <v>8.2332088660695704E-2</v>
      </c>
      <c r="R3211">
        <v>0.99654890407828201</v>
      </c>
      <c r="S3211" t="s">
        <v>9857</v>
      </c>
      <c r="T3211" t="s">
        <v>13290</v>
      </c>
      <c r="U3211" t="s">
        <v>13290</v>
      </c>
      <c r="V3211" t="s">
        <v>13290</v>
      </c>
      <c r="W3211" t="s">
        <v>16457</v>
      </c>
      <c r="X3211">
        <v>6</v>
      </c>
      <c r="Y3211" t="s">
        <v>22978</v>
      </c>
      <c r="Z3211" t="s">
        <v>29541</v>
      </c>
      <c r="AA3211">
        <v>0.33182819321982399</v>
      </c>
      <c r="AB3211" t="str">
        <f>HYPERLINK("Melting_Curves/meltCurve_Q03701_CEBPZ.pdf", "Melting_Curves/meltCurve_Q03701_CEBPZ.pdf")</f>
        <v>Melting_Curves/meltCurve_Q03701_CEBPZ.pdf</v>
      </c>
    </row>
    <row r="3212" spans="1:28" x14ac:dyDescent="0.25">
      <c r="A3212" t="s">
        <v>3216</v>
      </c>
      <c r="B3212">
        <v>0.99252571173614901</v>
      </c>
      <c r="C3212">
        <v>0.89516882463260306</v>
      </c>
      <c r="D3212">
        <v>0.55011293495975799</v>
      </c>
      <c r="E3212">
        <v>0.21412722764666201</v>
      </c>
      <c r="F3212">
        <v>0.13258759282343899</v>
      </c>
      <c r="G3212">
        <v>7.0825393434614303E-2</v>
      </c>
      <c r="H3212">
        <v>5.5991001021374803E-2</v>
      </c>
      <c r="I3212">
        <v>5.4659131739551503E-2</v>
      </c>
      <c r="J3212">
        <v>6.1142996446840098E-2</v>
      </c>
      <c r="K3212">
        <v>5.7034663431787501E-2</v>
      </c>
      <c r="L3212">
        <v>1133.9423114962201</v>
      </c>
      <c r="M3212">
        <v>24.515080729128801</v>
      </c>
      <c r="N3212">
        <v>46.509598427029303</v>
      </c>
      <c r="O3212">
        <v>45.9504015345643</v>
      </c>
      <c r="P3212">
        <v>-0.12500158391447899</v>
      </c>
      <c r="Q3212">
        <v>6.2815324871722103E-2</v>
      </c>
      <c r="R3212">
        <v>0.998465550263406</v>
      </c>
      <c r="S3212" t="s">
        <v>9858</v>
      </c>
      <c r="T3212" t="s">
        <v>13290</v>
      </c>
      <c r="U3212" t="s">
        <v>13290</v>
      </c>
      <c r="V3212" t="s">
        <v>13290</v>
      </c>
      <c r="W3212" t="s">
        <v>16458</v>
      </c>
      <c r="X3212">
        <v>25</v>
      </c>
      <c r="Y3212" t="s">
        <v>22979</v>
      </c>
      <c r="Z3212" t="s">
        <v>29542</v>
      </c>
      <c r="AA3212">
        <v>0.26716179192757061</v>
      </c>
      <c r="AB3212" t="str">
        <f>HYPERLINK("Melting_Curves/meltCurve_Q04446_GBE1.pdf", "Melting_Curves/meltCurve_Q04446_GBE1.pdf")</f>
        <v>Melting_Curves/meltCurve_Q04446_GBE1.pdf</v>
      </c>
    </row>
    <row r="3213" spans="1:28" x14ac:dyDescent="0.25">
      <c r="A3213" t="s">
        <v>3217</v>
      </c>
      <c r="B3213">
        <v>0.99252571173614901</v>
      </c>
      <c r="C3213">
        <v>0.94930786529844802</v>
      </c>
      <c r="D3213">
        <v>0.519045499958251</v>
      </c>
      <c r="E3213">
        <v>0.21777896817193401</v>
      </c>
      <c r="F3213">
        <v>0.12839090405175199</v>
      </c>
      <c r="G3213">
        <v>7.7513339238473894E-2</v>
      </c>
      <c r="H3213">
        <v>6.4426890259009398E-2</v>
      </c>
      <c r="I3213">
        <v>6.6312223982382706E-2</v>
      </c>
      <c r="J3213">
        <v>8.1534863173215996E-2</v>
      </c>
      <c r="K3213">
        <v>7.9412277164397194E-2</v>
      </c>
      <c r="L3213">
        <v>1346.57567546569</v>
      </c>
      <c r="M3213">
        <v>29.230532683137199</v>
      </c>
      <c r="N3213">
        <v>46.3524111151375</v>
      </c>
      <c r="O3213">
        <v>45.853438559086001</v>
      </c>
      <c r="P3213">
        <v>-0.146263284906543</v>
      </c>
      <c r="Q3213">
        <v>8.2243756232615498E-2</v>
      </c>
      <c r="R3213">
        <v>0.99545848805616799</v>
      </c>
      <c r="S3213" t="s">
        <v>9859</v>
      </c>
      <c r="T3213" t="s">
        <v>13290</v>
      </c>
      <c r="U3213" t="s">
        <v>13290</v>
      </c>
      <c r="V3213" t="s">
        <v>13290</v>
      </c>
      <c r="W3213" t="s">
        <v>16459</v>
      </c>
      <c r="X3213">
        <v>58</v>
      </c>
      <c r="Y3213" t="s">
        <v>20408</v>
      </c>
      <c r="Z3213" t="s">
        <v>29543</v>
      </c>
      <c r="AA3213">
        <v>0.27377513787040619</v>
      </c>
      <c r="AB3213" t="str">
        <f>HYPERLINK("Melting_Curves/meltCurve_Q04637_5_EIF4G1.pdf", "Melting_Curves/meltCurve_Q04637_5_EIF4G1.pdf")</f>
        <v>Melting_Curves/meltCurve_Q04637_5_EIF4G1.pdf</v>
      </c>
    </row>
    <row r="3214" spans="1:28" x14ac:dyDescent="0.25">
      <c r="A3214" t="s">
        <v>3218</v>
      </c>
      <c r="B3214">
        <v>0.99252571173614901</v>
      </c>
      <c r="C3214">
        <v>0.93545173428388995</v>
      </c>
      <c r="D3214">
        <v>0.82465859297668997</v>
      </c>
      <c r="E3214">
        <v>0.72962440635348902</v>
      </c>
      <c r="F3214">
        <v>0.37197103106596202</v>
      </c>
      <c r="G3214">
        <v>0.17497185514689301</v>
      </c>
      <c r="H3214">
        <v>0.120804647128683</v>
      </c>
      <c r="I3214">
        <v>0.128644601183317</v>
      </c>
      <c r="J3214">
        <v>0.119013657256369</v>
      </c>
      <c r="K3214">
        <v>0.105305631596638</v>
      </c>
      <c r="L3214">
        <v>935.52380938213696</v>
      </c>
      <c r="M3214">
        <v>18.328197649097699</v>
      </c>
      <c r="N3214">
        <v>51.606756426842303</v>
      </c>
      <c r="O3214">
        <v>50.446870909406897</v>
      </c>
      <c r="P3214">
        <v>-8.2590890058883301E-2</v>
      </c>
      <c r="Q3214">
        <v>9.0743006214696706E-2</v>
      </c>
      <c r="R3214">
        <v>0.98990697332543598</v>
      </c>
      <c r="S3214" t="s">
        <v>9860</v>
      </c>
      <c r="T3214" t="s">
        <v>13290</v>
      </c>
      <c r="U3214" t="s">
        <v>13290</v>
      </c>
      <c r="V3214" t="s">
        <v>13290</v>
      </c>
      <c r="W3214" t="s">
        <v>16460</v>
      </c>
      <c r="X3214">
        <v>8</v>
      </c>
      <c r="Y3214" t="s">
        <v>22980</v>
      </c>
      <c r="Z3214" t="s">
        <v>29544</v>
      </c>
      <c r="AA3214">
        <v>0.44025768226803141</v>
      </c>
      <c r="AB3214" t="str">
        <f>HYPERLINK("Melting_Curves/meltCurve_Q04656_5_ATP7A.pdf", "Melting_Curves/meltCurve_Q04656_5_ATP7A.pdf")</f>
        <v>Melting_Curves/meltCurve_Q04656_5_ATP7A.pdf</v>
      </c>
    </row>
    <row r="3215" spans="1:28" x14ac:dyDescent="0.25">
      <c r="A3215" t="s">
        <v>3219</v>
      </c>
      <c r="B3215">
        <v>0.99252571173614901</v>
      </c>
      <c r="C3215">
        <v>0.89636102090961001</v>
      </c>
      <c r="D3215">
        <v>0.819967571911146</v>
      </c>
      <c r="E3215">
        <v>0.78091883679547203</v>
      </c>
      <c r="F3215">
        <v>0.539699895545802</v>
      </c>
      <c r="G3215">
        <v>0.36165889126150802</v>
      </c>
      <c r="H3215">
        <v>0.328619861858572</v>
      </c>
      <c r="I3215">
        <v>0.41329309680077397</v>
      </c>
      <c r="J3215">
        <v>0.59582717768654803</v>
      </c>
      <c r="K3215">
        <v>0.56810433820177597</v>
      </c>
      <c r="L3215">
        <v>929.28279837857997</v>
      </c>
      <c r="M3215">
        <v>19.040548453512201</v>
      </c>
      <c r="N3215">
        <v>55.5798921072493</v>
      </c>
      <c r="O3215">
        <v>48.276684005520103</v>
      </c>
      <c r="P3215">
        <v>-5.4143880100640099E-2</v>
      </c>
      <c r="Q3215">
        <v>0.45090163838642</v>
      </c>
      <c r="R3215">
        <v>0.82382927376731996</v>
      </c>
      <c r="S3215" t="s">
        <v>9861</v>
      </c>
      <c r="T3215" t="s">
        <v>13290</v>
      </c>
      <c r="U3215" t="s">
        <v>13290</v>
      </c>
      <c r="V3215" t="s">
        <v>13290</v>
      </c>
      <c r="W3215" t="s">
        <v>16461</v>
      </c>
      <c r="X3215">
        <v>6</v>
      </c>
      <c r="Y3215" t="s">
        <v>22981</v>
      </c>
      <c r="Z3215" t="s">
        <v>29545</v>
      </c>
      <c r="AA3215">
        <v>0.62059134252244086</v>
      </c>
      <c r="AB3215" t="str">
        <f>HYPERLINK("Melting_Curves/meltCurve_Q04721_NOTCH2.pdf", "Melting_Curves/meltCurve_Q04721_NOTCH2.pdf")</f>
        <v>Melting_Curves/meltCurve_Q04721_NOTCH2.pdf</v>
      </c>
    </row>
    <row r="3216" spans="1:28" x14ac:dyDescent="0.25">
      <c r="A3216" t="s">
        <v>3220</v>
      </c>
      <c r="B3216">
        <v>0.99252571173614901</v>
      </c>
      <c r="C3216">
        <v>0.96579314126957705</v>
      </c>
      <c r="D3216">
        <v>0.94193386786093203</v>
      </c>
      <c r="E3216">
        <v>0.75586137338285198</v>
      </c>
      <c r="F3216">
        <v>0.46516666165468201</v>
      </c>
      <c r="G3216">
        <v>0.239279740027842</v>
      </c>
      <c r="H3216">
        <v>0.119025720954873</v>
      </c>
      <c r="I3216">
        <v>0.109434138464889</v>
      </c>
      <c r="J3216">
        <v>0.13763195115948601</v>
      </c>
      <c r="K3216">
        <v>0.162216638529151</v>
      </c>
      <c r="L3216">
        <v>1105.5188089887999</v>
      </c>
      <c r="M3216">
        <v>21.2889398232413</v>
      </c>
      <c r="N3216">
        <v>52.594901735911201</v>
      </c>
      <c r="O3216">
        <v>51.477570589977702</v>
      </c>
      <c r="P3216">
        <v>-9.1182005513819095E-2</v>
      </c>
      <c r="Q3216">
        <v>0.11809440466964601</v>
      </c>
      <c r="R3216">
        <v>0.99647231954345294</v>
      </c>
      <c r="S3216" t="s">
        <v>9862</v>
      </c>
      <c r="T3216" t="s">
        <v>13290</v>
      </c>
      <c r="U3216" t="s">
        <v>13290</v>
      </c>
      <c r="V3216" t="s">
        <v>13290</v>
      </c>
      <c r="W3216" t="s">
        <v>16462</v>
      </c>
      <c r="X3216">
        <v>17</v>
      </c>
      <c r="Y3216" t="s">
        <v>22982</v>
      </c>
      <c r="Z3216" t="s">
        <v>29546</v>
      </c>
      <c r="AA3216">
        <v>0.47967323987589189</v>
      </c>
      <c r="AB3216" t="str">
        <f>HYPERLINK("Melting_Curves/meltCurve_Q04724_TLE1.pdf", "Melting_Curves/meltCurve_Q04724_TLE1.pdf")</f>
        <v>Melting_Curves/meltCurve_Q04724_TLE1.pdf</v>
      </c>
    </row>
    <row r="3217" spans="1:28" x14ac:dyDescent="0.25">
      <c r="A3217" t="s">
        <v>3221</v>
      </c>
      <c r="B3217">
        <v>0.99252571173614901</v>
      </c>
      <c r="C3217">
        <v>0.92024226267237896</v>
      </c>
      <c r="D3217">
        <v>0.98029702126804796</v>
      </c>
      <c r="E3217">
        <v>0.95228542051373999</v>
      </c>
      <c r="F3217">
        <v>0.69821622312178799</v>
      </c>
      <c r="G3217">
        <v>0.36914305488459698</v>
      </c>
      <c r="H3217">
        <v>0.13822199237044</v>
      </c>
      <c r="I3217">
        <v>8.6110103547414399E-2</v>
      </c>
      <c r="J3217">
        <v>0.10829949838514601</v>
      </c>
      <c r="K3217">
        <v>8.5100275851919704E-2</v>
      </c>
      <c r="L3217">
        <v>1364.4543746348299</v>
      </c>
      <c r="M3217">
        <v>24.870869983166202</v>
      </c>
      <c r="N3217">
        <v>55.238649092779099</v>
      </c>
      <c r="O3217">
        <v>54.510553005314598</v>
      </c>
      <c r="P3217">
        <v>-0.10515997643674101</v>
      </c>
      <c r="Q3217">
        <v>7.8078117340338996E-2</v>
      </c>
      <c r="R3217">
        <v>0.99482427041380905</v>
      </c>
      <c r="S3217" t="s">
        <v>9863</v>
      </c>
      <c r="T3217" t="s">
        <v>13290</v>
      </c>
      <c r="U3217" t="s">
        <v>13290</v>
      </c>
      <c r="V3217" t="s">
        <v>13290</v>
      </c>
      <c r="W3217" t="s">
        <v>16463</v>
      </c>
      <c r="X3217">
        <v>21</v>
      </c>
      <c r="Y3217" t="s">
        <v>20806</v>
      </c>
      <c r="Z3217" t="s">
        <v>29547</v>
      </c>
      <c r="AA3217">
        <v>0.54339534608050954</v>
      </c>
      <c r="AB3217" t="str">
        <f>HYPERLINK("Melting_Curves/meltCurve_Q04726_5_TLE3.pdf", "Melting_Curves/meltCurve_Q04726_5_TLE3.pdf")</f>
        <v>Melting_Curves/meltCurve_Q04726_5_TLE3.pdf</v>
      </c>
    </row>
    <row r="3218" spans="1:28" x14ac:dyDescent="0.25">
      <c r="A3218" t="s">
        <v>3222</v>
      </c>
      <c r="B3218">
        <v>0.99252571173614901</v>
      </c>
      <c r="C3218">
        <v>0.97106567830204804</v>
      </c>
      <c r="D3218">
        <v>0.82550576172061496</v>
      </c>
      <c r="E3218">
        <v>0.51267156951722603</v>
      </c>
      <c r="F3218">
        <v>0.18489291503807201</v>
      </c>
      <c r="G3218">
        <v>0.113808230674439</v>
      </c>
      <c r="H3218">
        <v>8.2181858186692797E-2</v>
      </c>
      <c r="I3218">
        <v>7.4238384605236102E-2</v>
      </c>
      <c r="J3218">
        <v>0.10638462482743199</v>
      </c>
      <c r="K3218">
        <v>8.6916801505873997E-2</v>
      </c>
      <c r="L3218">
        <v>1159.5084419339601</v>
      </c>
      <c r="M3218">
        <v>23.603158046165898</v>
      </c>
      <c r="N3218">
        <v>49.490863242378403</v>
      </c>
      <c r="O3218">
        <v>48.776586437760599</v>
      </c>
      <c r="P3218">
        <v>-0.11129629773842201</v>
      </c>
      <c r="Q3218">
        <v>8.0027846638707101E-2</v>
      </c>
      <c r="R3218">
        <v>0.99824454182764699</v>
      </c>
      <c r="S3218" t="s">
        <v>9864</v>
      </c>
      <c r="T3218" t="s">
        <v>13290</v>
      </c>
      <c r="U3218" t="s">
        <v>13290</v>
      </c>
      <c r="V3218" t="s">
        <v>13290</v>
      </c>
      <c r="W3218" t="s">
        <v>16464</v>
      </c>
      <c r="X3218">
        <v>6</v>
      </c>
      <c r="Y3218" t="s">
        <v>22983</v>
      </c>
      <c r="Z3218" t="s">
        <v>29548</v>
      </c>
      <c r="AA3218">
        <v>0.36903830815152638</v>
      </c>
      <c r="AB3218" t="str">
        <f>HYPERLINK("Melting_Curves/meltCurve_Q04759_PRKCQ.pdf", "Melting_Curves/meltCurve_Q04759_PRKCQ.pdf")</f>
        <v>Melting_Curves/meltCurve_Q04759_PRKCQ.pdf</v>
      </c>
    </row>
    <row r="3219" spans="1:28" x14ac:dyDescent="0.25">
      <c r="A3219" t="s">
        <v>3223</v>
      </c>
      <c r="B3219">
        <v>0.99252571173614901</v>
      </c>
      <c r="C3219">
        <v>1.0791743154045801</v>
      </c>
      <c r="D3219">
        <v>1.01249192684267</v>
      </c>
      <c r="E3219">
        <v>0.88069162700224701</v>
      </c>
      <c r="F3219">
        <v>0.82132972687595696</v>
      </c>
      <c r="G3219">
        <v>0.725629946649062</v>
      </c>
      <c r="H3219">
        <v>0.61818810091703702</v>
      </c>
      <c r="I3219">
        <v>0.36643096414411302</v>
      </c>
      <c r="J3219">
        <v>0.17387419906702001</v>
      </c>
      <c r="K3219">
        <v>0.12506060273536901</v>
      </c>
      <c r="L3219">
        <v>813.45449789746999</v>
      </c>
      <c r="M3219">
        <v>13.296275060587</v>
      </c>
      <c r="N3219">
        <v>61.179126869011803</v>
      </c>
      <c r="O3219">
        <v>59.844952536557003</v>
      </c>
      <c r="P3219">
        <v>-5.5553677447886397E-2</v>
      </c>
      <c r="Q3219">
        <v>0</v>
      </c>
      <c r="R3219">
        <v>0.97133188233036005</v>
      </c>
      <c r="S3219" t="s">
        <v>9865</v>
      </c>
      <c r="T3219" t="s">
        <v>13290</v>
      </c>
      <c r="U3219" t="s">
        <v>13290</v>
      </c>
      <c r="V3219" t="s">
        <v>13290</v>
      </c>
      <c r="W3219" t="s">
        <v>16465</v>
      </c>
      <c r="X3219">
        <v>15</v>
      </c>
      <c r="Y3219" t="s">
        <v>22984</v>
      </c>
      <c r="Z3219" t="s">
        <v>29549</v>
      </c>
      <c r="AA3219">
        <v>0.70432503532638446</v>
      </c>
      <c r="AB3219" t="str">
        <f>HYPERLINK("Melting_Curves/meltCurve_Q04760_GLO1.pdf", "Melting_Curves/meltCurve_Q04760_GLO1.pdf")</f>
        <v>Melting_Curves/meltCurve_Q04760_GLO1.pdf</v>
      </c>
    </row>
    <row r="3220" spans="1:28" x14ac:dyDescent="0.25">
      <c r="A3220" t="s">
        <v>3224</v>
      </c>
      <c r="B3220">
        <v>0.99252571173614901</v>
      </c>
      <c r="C3220">
        <v>1.0409805231848901</v>
      </c>
      <c r="D3220">
        <v>0.52362991920808899</v>
      </c>
      <c r="E3220">
        <v>0.26217421457781898</v>
      </c>
      <c r="F3220">
        <v>0.15155752502358999</v>
      </c>
      <c r="G3220">
        <v>9.9846368183989495E-2</v>
      </c>
      <c r="H3220">
        <v>7.7231168473897605E-2</v>
      </c>
      <c r="I3220">
        <v>6.7606385152586698E-2</v>
      </c>
      <c r="J3220">
        <v>6.0383415662740698E-2</v>
      </c>
      <c r="K3220">
        <v>5.7872756644193002E-2</v>
      </c>
      <c r="L3220">
        <v>1417.03872400776</v>
      </c>
      <c r="M3220">
        <v>30.6049577812019</v>
      </c>
      <c r="N3220">
        <v>46.598447641352102</v>
      </c>
      <c r="O3220">
        <v>46.104622083443502</v>
      </c>
      <c r="P3220">
        <v>-0.151226831458707</v>
      </c>
      <c r="Q3220">
        <v>8.8747122295329398E-2</v>
      </c>
      <c r="R3220">
        <v>0.98017038926451905</v>
      </c>
      <c r="S3220" t="s">
        <v>9866</v>
      </c>
      <c r="T3220" t="s">
        <v>13290</v>
      </c>
      <c r="U3220" t="s">
        <v>13290</v>
      </c>
      <c r="V3220" t="s">
        <v>13290</v>
      </c>
      <c r="W3220" t="s">
        <v>16466</v>
      </c>
      <c r="X3220">
        <v>22</v>
      </c>
      <c r="Y3220" t="s">
        <v>22985</v>
      </c>
      <c r="Z3220" t="s">
        <v>29550</v>
      </c>
      <c r="AA3220">
        <v>0.28541155461657491</v>
      </c>
      <c r="AB3220" t="str">
        <f>HYPERLINK("Melting_Curves/meltCurve_Q04828_AKR1C1.pdf", "Melting_Curves/meltCurve_Q04828_AKR1C1.pdf")</f>
        <v>Melting_Curves/meltCurve_Q04828_AKR1C1.pdf</v>
      </c>
    </row>
    <row r="3221" spans="1:28" x14ac:dyDescent="0.25">
      <c r="A3221" t="s">
        <v>3225</v>
      </c>
      <c r="B3221">
        <v>0.99252571173614901</v>
      </c>
      <c r="C3221">
        <v>1.02712400329104</v>
      </c>
      <c r="D3221">
        <v>0.95490061228061596</v>
      </c>
      <c r="E3221">
        <v>0.80351028341287001</v>
      </c>
      <c r="F3221">
        <v>0.74000823743616995</v>
      </c>
      <c r="G3221">
        <v>0.62617877756643503</v>
      </c>
      <c r="H3221">
        <v>0.63335187948862903</v>
      </c>
      <c r="I3221">
        <v>0.84931047411920801</v>
      </c>
      <c r="J3221">
        <v>1.2437886760535599</v>
      </c>
      <c r="K3221">
        <v>1.36225107850404</v>
      </c>
      <c r="L3221">
        <v>11513.774103268001</v>
      </c>
      <c r="M3221">
        <v>250</v>
      </c>
      <c r="O3221">
        <v>46.052149083462197</v>
      </c>
      <c r="P3221">
        <v>-0.14378121274959399</v>
      </c>
      <c r="Q3221">
        <v>0.89405705835448201</v>
      </c>
      <c r="R3221">
        <v>4.0474973002280201E-2</v>
      </c>
      <c r="S3221" t="s">
        <v>9867</v>
      </c>
      <c r="T3221" t="s">
        <v>13290</v>
      </c>
      <c r="U3221" t="s">
        <v>13290</v>
      </c>
      <c r="V3221" t="s">
        <v>13290</v>
      </c>
      <c r="W3221" t="s">
        <v>16467</v>
      </c>
      <c r="X3221">
        <v>13</v>
      </c>
      <c r="Y3221" t="s">
        <v>22986</v>
      </c>
      <c r="Z3221" t="s">
        <v>29551</v>
      </c>
      <c r="AA3221">
        <v>0.91544877882789477</v>
      </c>
      <c r="AB3221" t="str">
        <f>HYPERLINK("Melting_Curves/meltCurve_Q04837_SSBP1.pdf", "Melting_Curves/meltCurve_Q04837_SSBP1.pdf")</f>
        <v>Melting_Curves/meltCurve_Q04837_SSBP1.pdf</v>
      </c>
    </row>
    <row r="3222" spans="1:28" x14ac:dyDescent="0.25">
      <c r="A3222" t="s">
        <v>3226</v>
      </c>
      <c r="B3222">
        <v>0.99252571173614901</v>
      </c>
      <c r="C3222">
        <v>1.0963229160992201</v>
      </c>
      <c r="D3222">
        <v>1.0170367583676001</v>
      </c>
      <c r="E3222">
        <v>0.88686913532122102</v>
      </c>
      <c r="F3222">
        <v>0.67291911077946798</v>
      </c>
      <c r="G3222">
        <v>0.301308295797104</v>
      </c>
      <c r="H3222">
        <v>9.5580965446818905E-2</v>
      </c>
      <c r="I3222">
        <v>7.8498919026887201E-2</v>
      </c>
      <c r="J3222">
        <v>9.0844846358014E-2</v>
      </c>
      <c r="K3222">
        <v>9.1036627349863994E-2</v>
      </c>
      <c r="L3222">
        <v>1407.7214317958901</v>
      </c>
      <c r="M3222">
        <v>25.9183167741067</v>
      </c>
      <c r="N3222">
        <v>54.633397643721203</v>
      </c>
      <c r="O3222">
        <v>53.993528896998299</v>
      </c>
      <c r="P3222">
        <v>-0.11156524054745499</v>
      </c>
      <c r="Q3222">
        <v>7.0351538133934396E-2</v>
      </c>
      <c r="R3222">
        <v>0.99227449032465298</v>
      </c>
      <c r="S3222" t="s">
        <v>9868</v>
      </c>
      <c r="T3222" t="s">
        <v>13290</v>
      </c>
      <c r="U3222" t="s">
        <v>13290</v>
      </c>
      <c r="V3222" t="s">
        <v>13290</v>
      </c>
      <c r="W3222" t="s">
        <v>16468</v>
      </c>
      <c r="X3222">
        <v>25</v>
      </c>
      <c r="Y3222" t="s">
        <v>22987</v>
      </c>
      <c r="Z3222" t="s">
        <v>29552</v>
      </c>
      <c r="AA3222">
        <v>0.52197290983204381</v>
      </c>
      <c r="AB3222" t="str">
        <f>HYPERLINK("Melting_Curves/meltCurve_Q04917_YWHAH.pdf", "Melting_Curves/meltCurve_Q04917_YWHAH.pdf")</f>
        <v>Melting_Curves/meltCurve_Q04917_YWHAH.pdf</v>
      </c>
    </row>
    <row r="3223" spans="1:28" x14ac:dyDescent="0.25">
      <c r="A3223" t="s">
        <v>3227</v>
      </c>
      <c r="B3223">
        <v>0.99252571173614901</v>
      </c>
      <c r="C3223">
        <v>1.0287337183657399</v>
      </c>
      <c r="D3223">
        <v>1.0242695052431601</v>
      </c>
      <c r="E3223">
        <v>1.0843300276246699</v>
      </c>
      <c r="F3223">
        <v>0.71417399698635997</v>
      </c>
      <c r="G3223">
        <v>0.51781015352445303</v>
      </c>
      <c r="H3223">
        <v>0.53627921564362702</v>
      </c>
      <c r="I3223">
        <v>0.81129582392474697</v>
      </c>
      <c r="J3223">
        <v>1.2715509388789199</v>
      </c>
      <c r="K3223">
        <v>1.05158771986463</v>
      </c>
      <c r="L3223">
        <v>2016.09399942917</v>
      </c>
      <c r="M3223">
        <v>29.542540583577399</v>
      </c>
      <c r="O3223">
        <v>67.933355168956595</v>
      </c>
      <c r="P3223">
        <v>1.70193933382265E-2</v>
      </c>
      <c r="Q3223">
        <v>1.1565439478939401</v>
      </c>
      <c r="R3223">
        <v>-0.13887959534670899</v>
      </c>
      <c r="S3223" t="s">
        <v>9869</v>
      </c>
      <c r="T3223" t="s">
        <v>13290</v>
      </c>
      <c r="U3223" t="s">
        <v>13290</v>
      </c>
      <c r="V3223" t="s">
        <v>13290</v>
      </c>
      <c r="W3223" t="s">
        <v>16469</v>
      </c>
      <c r="X3223">
        <v>1</v>
      </c>
      <c r="Y3223" t="s">
        <v>22988</v>
      </c>
      <c r="Z3223" t="s">
        <v>29553</v>
      </c>
      <c r="AA3223">
        <v>1.013169002799954</v>
      </c>
      <c r="AB3223" t="str">
        <f>HYPERLINK("Melting_Curves/meltCurve_Q04941_PLP2.pdf", "Melting_Curves/meltCurve_Q04941_PLP2.pdf")</f>
        <v>Melting_Curves/meltCurve_Q04941_PLP2.pdf</v>
      </c>
    </row>
    <row r="3224" spans="1:28" x14ac:dyDescent="0.25">
      <c r="A3224" t="s">
        <v>3228</v>
      </c>
      <c r="B3224">
        <v>0.99252571173614901</v>
      </c>
      <c r="C3224">
        <v>0.89826543090816102</v>
      </c>
      <c r="D3224">
        <v>1.12891428675823</v>
      </c>
      <c r="E3224">
        <v>1.0968238877465</v>
      </c>
      <c r="F3224">
        <v>0.70911077124408495</v>
      </c>
      <c r="G3224">
        <v>0.42684961946524003</v>
      </c>
      <c r="H3224">
        <v>0.30119468423532803</v>
      </c>
      <c r="I3224">
        <v>0.24748584146159799</v>
      </c>
      <c r="J3224">
        <v>0.20299074489286201</v>
      </c>
      <c r="K3224">
        <v>0.136782534458948</v>
      </c>
      <c r="L3224">
        <v>1579.73823436162</v>
      </c>
      <c r="M3224">
        <v>28.831555806849501</v>
      </c>
      <c r="N3224">
        <v>55.817044069439298</v>
      </c>
      <c r="O3224">
        <v>54.5304250651415</v>
      </c>
      <c r="P3224">
        <v>-0.105013125246101</v>
      </c>
      <c r="Q3224">
        <v>0.205541785373025</v>
      </c>
      <c r="R3224">
        <v>0.95882220655531303</v>
      </c>
      <c r="S3224" t="s">
        <v>9870</v>
      </c>
      <c r="T3224" t="s">
        <v>13290</v>
      </c>
      <c r="U3224" t="s">
        <v>13290</v>
      </c>
      <c r="V3224" t="s">
        <v>13290</v>
      </c>
      <c r="W3224" t="s">
        <v>16470</v>
      </c>
      <c r="X3224">
        <v>16</v>
      </c>
      <c r="Y3224" t="s">
        <v>22989</v>
      </c>
      <c r="Z3224" t="s">
        <v>29554</v>
      </c>
      <c r="AA3224">
        <v>0.60293247170657549</v>
      </c>
      <c r="AB3224" t="str">
        <f>HYPERLINK("Melting_Curves/meltCurve_Q05048_CSTF1.pdf", "Melting_Curves/meltCurve_Q05048_CSTF1.pdf")</f>
        <v>Melting_Curves/meltCurve_Q05048_CSTF1.pdf</v>
      </c>
    </row>
    <row r="3225" spans="1:28" x14ac:dyDescent="0.25">
      <c r="A3225" t="s">
        <v>3229</v>
      </c>
      <c r="B3225">
        <v>0.99252571173614901</v>
      </c>
      <c r="C3225">
        <v>1.00060939998515</v>
      </c>
      <c r="D3225">
        <v>0.783950390130976</v>
      </c>
      <c r="E3225">
        <v>0.367121837938433</v>
      </c>
      <c r="F3225">
        <v>0.21269334799911399</v>
      </c>
      <c r="G3225">
        <v>0.116358616344476</v>
      </c>
      <c r="H3225">
        <v>7.1804290016968003E-2</v>
      </c>
      <c r="I3225">
        <v>7.5107533483192504E-2</v>
      </c>
      <c r="J3225">
        <v>9.9994056968848499E-2</v>
      </c>
      <c r="K3225">
        <v>8.65239056920446E-2</v>
      </c>
      <c r="L3225">
        <v>1205.1946518147299</v>
      </c>
      <c r="M3225">
        <v>25.015608486881799</v>
      </c>
      <c r="N3225">
        <v>48.562229076595003</v>
      </c>
      <c r="O3225">
        <v>47.872980957505902</v>
      </c>
      <c r="P3225">
        <v>-0.118899734351283</v>
      </c>
      <c r="Q3225">
        <v>8.9846635579772599E-2</v>
      </c>
      <c r="R3225">
        <v>0.99632639977496595</v>
      </c>
      <c r="S3225" t="s">
        <v>9871</v>
      </c>
      <c r="T3225" t="s">
        <v>13290</v>
      </c>
      <c r="U3225" t="s">
        <v>13290</v>
      </c>
      <c r="V3225" t="s">
        <v>13290</v>
      </c>
      <c r="W3225" t="s">
        <v>16471</v>
      </c>
      <c r="X3225">
        <v>7</v>
      </c>
      <c r="Y3225" t="s">
        <v>22990</v>
      </c>
      <c r="Z3225" t="s">
        <v>29555</v>
      </c>
      <c r="AA3225">
        <v>0.34597761190334497</v>
      </c>
      <c r="AB3225" t="str">
        <f>HYPERLINK("Melting_Curves/meltCurve_Q05084_ICA1.pdf", "Melting_Curves/meltCurve_Q05084_ICA1.pdf")</f>
        <v>Melting_Curves/meltCurve_Q05084_ICA1.pdf</v>
      </c>
    </row>
    <row r="3226" spans="1:28" x14ac:dyDescent="0.25">
      <c r="A3226" t="s">
        <v>3230</v>
      </c>
      <c r="B3226">
        <v>0.99252571173614901</v>
      </c>
      <c r="C3226">
        <v>0.981199972833111</v>
      </c>
      <c r="D3226">
        <v>0.95629944354999996</v>
      </c>
      <c r="E3226">
        <v>0.88723143297176199</v>
      </c>
      <c r="F3226">
        <v>0.315528160649025</v>
      </c>
      <c r="G3226">
        <v>0.12478628719396199</v>
      </c>
      <c r="H3226">
        <v>9.0999105753641202E-2</v>
      </c>
      <c r="I3226">
        <v>9.5256770406420693E-2</v>
      </c>
      <c r="J3226">
        <v>0.13215738979847</v>
      </c>
      <c r="K3226">
        <v>0.112783452996778</v>
      </c>
      <c r="L3226">
        <v>2266.7607938351198</v>
      </c>
      <c r="M3226">
        <v>43.7943625725391</v>
      </c>
      <c r="N3226">
        <v>52.046123937525699</v>
      </c>
      <c r="O3226">
        <v>51.651620006008798</v>
      </c>
      <c r="P3226">
        <v>-0.18923734444304899</v>
      </c>
      <c r="Q3226">
        <v>0.107245741365238</v>
      </c>
      <c r="R3226">
        <v>0.99806644387588495</v>
      </c>
      <c r="S3226" t="s">
        <v>9872</v>
      </c>
      <c r="T3226" t="s">
        <v>13290</v>
      </c>
      <c r="U3226" t="s">
        <v>13290</v>
      </c>
      <c r="V3226" t="s">
        <v>13290</v>
      </c>
      <c r="W3226" t="s">
        <v>16472</v>
      </c>
      <c r="X3226">
        <v>17</v>
      </c>
      <c r="Y3226" t="s">
        <v>22991</v>
      </c>
      <c r="Z3226" t="s">
        <v>29556</v>
      </c>
      <c r="AA3226">
        <v>0.45984203798777912</v>
      </c>
      <c r="AB3226" t="str">
        <f>HYPERLINK("Melting_Curves/meltCurve_Q05086_3_UBE3A.pdf", "Melting_Curves/meltCurve_Q05086_3_UBE3A.pdf")</f>
        <v>Melting_Curves/meltCurve_Q05086_3_UBE3A.pdf</v>
      </c>
    </row>
    <row r="3227" spans="1:28" x14ac:dyDescent="0.25">
      <c r="A3227" t="s">
        <v>3231</v>
      </c>
      <c r="B3227">
        <v>0.99252571173614901</v>
      </c>
      <c r="C3227">
        <v>0.92924848587432995</v>
      </c>
      <c r="D3227">
        <v>1.0378110414895001</v>
      </c>
      <c r="E3227">
        <v>0.74504068762039699</v>
      </c>
      <c r="F3227">
        <v>0.12037918479648201</v>
      </c>
      <c r="G3227">
        <v>6.4025894751827406E-2</v>
      </c>
      <c r="H3227">
        <v>4.2118336778300999E-2</v>
      </c>
      <c r="I3227">
        <v>5.5063781760369301E-2</v>
      </c>
      <c r="J3227">
        <v>9.5120499752551005E-2</v>
      </c>
      <c r="K3227">
        <v>0.113088775928723</v>
      </c>
      <c r="L3227">
        <v>2959.72632632456</v>
      </c>
      <c r="M3227">
        <v>58.696114418005799</v>
      </c>
      <c r="N3227">
        <v>50.5634230348291</v>
      </c>
      <c r="O3227">
        <v>50.3661231238097</v>
      </c>
      <c r="P3227">
        <v>-0.26966002267992201</v>
      </c>
      <c r="Q3227">
        <v>7.4437673667738902E-2</v>
      </c>
      <c r="R3227">
        <v>0.99419908818977698</v>
      </c>
      <c r="S3227" t="s">
        <v>9873</v>
      </c>
      <c r="T3227" t="s">
        <v>13290</v>
      </c>
      <c r="U3227" t="s">
        <v>13290</v>
      </c>
      <c r="V3227" t="s">
        <v>13290</v>
      </c>
      <c r="W3227" t="s">
        <v>16473</v>
      </c>
      <c r="X3227">
        <v>10</v>
      </c>
      <c r="Y3227" t="s">
        <v>22992</v>
      </c>
      <c r="Z3227" t="s">
        <v>29557</v>
      </c>
      <c r="AA3227">
        <v>0.39754887319091298</v>
      </c>
      <c r="AB3227" t="str">
        <f>HYPERLINK("Melting_Curves/meltCurve_Q05193_5_DNM1.pdf", "Melting_Curves/meltCurve_Q05193_5_DNM1.pdf")</f>
        <v>Melting_Curves/meltCurve_Q05193_5_DNM1.pdf</v>
      </c>
    </row>
    <row r="3228" spans="1:28" x14ac:dyDescent="0.25">
      <c r="A3228" t="s">
        <v>3232</v>
      </c>
      <c r="B3228">
        <v>0.99252571173614901</v>
      </c>
      <c r="C3228">
        <v>1.0698205298815999</v>
      </c>
      <c r="D3228">
        <v>0.89219018593126198</v>
      </c>
      <c r="E3228">
        <v>0.45498930078608102</v>
      </c>
      <c r="F3228">
        <v>0.218806972771734</v>
      </c>
      <c r="G3228">
        <v>0.125438861331929</v>
      </c>
      <c r="H3228">
        <v>9.4064812797820793E-2</v>
      </c>
      <c r="I3228">
        <v>0.11711327244094399</v>
      </c>
      <c r="J3228">
        <v>0.127112827125788</v>
      </c>
      <c r="K3228">
        <v>0.112686434834327</v>
      </c>
      <c r="L3228">
        <v>1519.75027843007</v>
      </c>
      <c r="M3228">
        <v>31.055205127230501</v>
      </c>
      <c r="N3228">
        <v>49.361571324692903</v>
      </c>
      <c r="O3228">
        <v>48.735471216177601</v>
      </c>
      <c r="P3228">
        <v>-0.14063598481527001</v>
      </c>
      <c r="Q3228">
        <v>0.117194939864138</v>
      </c>
      <c r="R3228">
        <v>0.99413925810730397</v>
      </c>
      <c r="S3228" t="s">
        <v>9874</v>
      </c>
      <c r="T3228" t="s">
        <v>13290</v>
      </c>
      <c r="U3228" t="s">
        <v>13290</v>
      </c>
      <c r="V3228" t="s">
        <v>13290</v>
      </c>
      <c r="W3228" t="s">
        <v>16474</v>
      </c>
      <c r="X3228">
        <v>15</v>
      </c>
      <c r="Y3228" t="s">
        <v>22993</v>
      </c>
      <c r="Z3228" t="s">
        <v>29558</v>
      </c>
      <c r="AA3228">
        <v>0.38518872657221781</v>
      </c>
      <c r="AB3228" t="str">
        <f>HYPERLINK("Melting_Curves/meltCurve_Q05209_PTPN12.pdf", "Melting_Curves/meltCurve_Q05209_PTPN12.pdf")</f>
        <v>Melting_Curves/meltCurve_Q05209_PTPN12.pdf</v>
      </c>
    </row>
    <row r="3229" spans="1:28" x14ac:dyDescent="0.25">
      <c r="A3229" t="s">
        <v>3233</v>
      </c>
      <c r="B3229">
        <v>0.99252571173614901</v>
      </c>
      <c r="C3229">
        <v>1.0668819125745499</v>
      </c>
      <c r="D3229">
        <v>0.98005998125119698</v>
      </c>
      <c r="E3229">
        <v>0.91405704537646404</v>
      </c>
      <c r="F3229">
        <v>0.51735611398354098</v>
      </c>
      <c r="G3229">
        <v>0.12517425738364399</v>
      </c>
      <c r="H3229">
        <v>7.8092028975297101E-2</v>
      </c>
      <c r="I3229">
        <v>0.13012458712958</v>
      </c>
      <c r="J3229">
        <v>5.9959647867447299E-2</v>
      </c>
      <c r="K3229">
        <v>0.13947047524843501</v>
      </c>
      <c r="L3229">
        <v>2077.1050687412298</v>
      </c>
      <c r="M3229">
        <v>39.239046888806101</v>
      </c>
      <c r="N3229">
        <v>53.220564577697097</v>
      </c>
      <c r="O3229">
        <v>52.797723331936098</v>
      </c>
      <c r="P3229">
        <v>-0.168142121919445</v>
      </c>
      <c r="Q3229">
        <v>9.5034005823900494E-2</v>
      </c>
      <c r="R3229">
        <v>0.99347249608728805</v>
      </c>
      <c r="S3229" t="s">
        <v>9875</v>
      </c>
      <c r="T3229" t="s">
        <v>13290</v>
      </c>
      <c r="U3229" t="s">
        <v>13290</v>
      </c>
      <c r="V3229" t="s">
        <v>13290</v>
      </c>
      <c r="W3229" t="s">
        <v>16475</v>
      </c>
      <c r="X3229">
        <v>3</v>
      </c>
      <c r="Y3229" t="s">
        <v>22994</v>
      </c>
      <c r="Z3229" t="s">
        <v>29559</v>
      </c>
      <c r="AA3229">
        <v>0.48865235039425292</v>
      </c>
      <c r="AB3229" t="str">
        <f>HYPERLINK("Melting_Curves/meltCurve_Q05513_PRKCZ.pdf", "Melting_Curves/meltCurve_Q05513_PRKCZ.pdf")</f>
        <v>Melting_Curves/meltCurve_Q05513_PRKCZ.pdf</v>
      </c>
    </row>
    <row r="3230" spans="1:28" x14ac:dyDescent="0.25">
      <c r="A3230" t="s">
        <v>3234</v>
      </c>
      <c r="B3230">
        <v>0.99252571173614901</v>
      </c>
      <c r="C3230">
        <v>1.0123396572087799</v>
      </c>
      <c r="D3230">
        <v>0.81711921798374099</v>
      </c>
      <c r="E3230">
        <v>0.54641725960048904</v>
      </c>
      <c r="F3230">
        <v>0.18960471601003201</v>
      </c>
      <c r="G3230">
        <v>0.10941627408001001</v>
      </c>
      <c r="H3230">
        <v>8.3421034728174304E-2</v>
      </c>
      <c r="I3230">
        <v>0.102691717193213</v>
      </c>
      <c r="J3230">
        <v>0.16130787904097399</v>
      </c>
      <c r="K3230">
        <v>0.34240539834174399</v>
      </c>
      <c r="L3230">
        <v>1354.8340085526299</v>
      </c>
      <c r="M3230">
        <v>27.697353086337699</v>
      </c>
      <c r="N3230">
        <v>49.563414718436803</v>
      </c>
      <c r="O3230">
        <v>48.662802423762599</v>
      </c>
      <c r="P3230">
        <v>-0.120685493661483</v>
      </c>
      <c r="Q3230">
        <v>0.15185537264864801</v>
      </c>
      <c r="R3230">
        <v>0.956089553415294</v>
      </c>
      <c r="S3230" t="s">
        <v>9876</v>
      </c>
      <c r="T3230" t="s">
        <v>13290</v>
      </c>
      <c r="U3230" t="s">
        <v>13290</v>
      </c>
      <c r="V3230" t="s">
        <v>13290</v>
      </c>
      <c r="W3230" t="s">
        <v>16476</v>
      </c>
      <c r="X3230">
        <v>12</v>
      </c>
      <c r="Y3230" t="s">
        <v>22995</v>
      </c>
      <c r="Z3230" t="s">
        <v>29560</v>
      </c>
      <c r="AA3230">
        <v>0.40999452873586339</v>
      </c>
      <c r="AB3230" t="str">
        <f>HYPERLINK("Melting_Curves/meltCurve_Q05519_2_SRSF11.pdf", "Melting_Curves/meltCurve_Q05519_2_SRSF11.pdf")</f>
        <v>Melting_Curves/meltCurve_Q05519_2_SRSF11.pdf</v>
      </c>
    </row>
    <row r="3231" spans="1:28" x14ac:dyDescent="0.25">
      <c r="A3231" t="s">
        <v>3235</v>
      </c>
      <c r="B3231">
        <v>0.99252571173614901</v>
      </c>
      <c r="C3231">
        <v>1.1957398800576</v>
      </c>
      <c r="D3231">
        <v>1.49983442764325</v>
      </c>
      <c r="E3231">
        <v>3.3273251777366899</v>
      </c>
      <c r="F3231">
        <v>1.6324146017681</v>
      </c>
      <c r="G3231">
        <v>0.56353891043145998</v>
      </c>
      <c r="H3231">
        <v>0.14913678899792199</v>
      </c>
      <c r="I3231">
        <v>0.19316259207227299</v>
      </c>
      <c r="J3231">
        <v>0.25022266641107699</v>
      </c>
      <c r="K3231">
        <v>0.222370655323092</v>
      </c>
      <c r="L3231">
        <v>14189.031556890701</v>
      </c>
      <c r="M3231">
        <v>250</v>
      </c>
      <c r="N3231">
        <v>56.875177934441098</v>
      </c>
      <c r="O3231">
        <v>56.752494234182997</v>
      </c>
      <c r="P3231">
        <v>-0.87691834772986799</v>
      </c>
      <c r="Q3231">
        <v>0.20372314567122099</v>
      </c>
      <c r="R3231">
        <v>0.30855514226891001</v>
      </c>
      <c r="S3231" t="s">
        <v>9877</v>
      </c>
      <c r="T3231" t="s">
        <v>13290</v>
      </c>
      <c r="U3231" t="s">
        <v>13290</v>
      </c>
      <c r="V3231" t="s">
        <v>13290</v>
      </c>
      <c r="W3231" t="s">
        <v>16477</v>
      </c>
      <c r="X3231">
        <v>19</v>
      </c>
      <c r="Y3231" t="s">
        <v>22996</v>
      </c>
      <c r="Z3231" t="s">
        <v>29561</v>
      </c>
      <c r="AA3231">
        <v>0.64855297582502236</v>
      </c>
      <c r="AB3231" t="str">
        <f>HYPERLINK("Melting_Curves/meltCurve_Q05639_EEF1A2.pdf", "Melting_Curves/meltCurve_Q05639_EEF1A2.pdf")</f>
        <v>Melting_Curves/meltCurve_Q05639_EEF1A2.pdf</v>
      </c>
    </row>
    <row r="3232" spans="1:28" x14ac:dyDescent="0.25">
      <c r="A3232" t="s">
        <v>3236</v>
      </c>
      <c r="B3232">
        <v>0.99252571173614901</v>
      </c>
      <c r="C3232">
        <v>1.01208422480653</v>
      </c>
      <c r="D3232">
        <v>0.92848210079748805</v>
      </c>
      <c r="E3232">
        <v>0.75856815960298596</v>
      </c>
      <c r="F3232">
        <v>0.299430524129224</v>
      </c>
      <c r="G3232">
        <v>0.110285806886424</v>
      </c>
      <c r="H3232">
        <v>8.2004863638879696E-2</v>
      </c>
      <c r="I3232">
        <v>9.1804915930334893E-2</v>
      </c>
      <c r="J3232">
        <v>0.113044248501516</v>
      </c>
      <c r="K3232">
        <v>0.10811101009004701</v>
      </c>
      <c r="L3232">
        <v>1609.0712351524901</v>
      </c>
      <c r="M3232">
        <v>31.476879979789501</v>
      </c>
      <c r="N3232">
        <v>51.454024446120101</v>
      </c>
      <c r="O3232">
        <v>50.914149095322003</v>
      </c>
      <c r="P3232">
        <v>-0.14024417515957799</v>
      </c>
      <c r="Q3232">
        <v>9.2619821132694499E-2</v>
      </c>
      <c r="R3232">
        <v>0.997658991289884</v>
      </c>
      <c r="S3232" t="s">
        <v>9878</v>
      </c>
      <c r="T3232" t="s">
        <v>13290</v>
      </c>
      <c r="U3232" t="s">
        <v>13290</v>
      </c>
      <c r="V3232" t="s">
        <v>13290</v>
      </c>
      <c r="W3232" t="s">
        <v>16478</v>
      </c>
      <c r="X3232">
        <v>25</v>
      </c>
      <c r="Y3232" t="s">
        <v>22997</v>
      </c>
      <c r="Z3232" t="s">
        <v>29562</v>
      </c>
      <c r="AA3232">
        <v>0.43412118663842519</v>
      </c>
      <c r="AB3232" t="str">
        <f>HYPERLINK("Melting_Curves/meltCurve_Q05655_PRKCD.pdf", "Melting_Curves/meltCurve_Q05655_PRKCD.pdf")</f>
        <v>Melting_Curves/meltCurve_Q05655_PRKCD.pdf</v>
      </c>
    </row>
    <row r="3233" spans="1:28" x14ac:dyDescent="0.25">
      <c r="A3233" t="s">
        <v>3237</v>
      </c>
      <c r="B3233">
        <v>0.99252571173614901</v>
      </c>
      <c r="C3233">
        <v>1.0808429178090599</v>
      </c>
      <c r="D3233">
        <v>0.97173459659177297</v>
      </c>
      <c r="E3233">
        <v>0.97090972344964899</v>
      </c>
      <c r="F3233">
        <v>0.80811622255140503</v>
      </c>
      <c r="G3233">
        <v>0.67436712152410305</v>
      </c>
      <c r="H3233">
        <v>0.69086229563150803</v>
      </c>
      <c r="I3233">
        <v>1.00657164156684</v>
      </c>
      <c r="J3233">
        <v>1.69668461081195</v>
      </c>
      <c r="K3233">
        <v>1.8030547601964</v>
      </c>
      <c r="L3233">
        <v>15000</v>
      </c>
      <c r="M3233">
        <v>230.724417706758</v>
      </c>
      <c r="O3233">
        <v>65.007740387576106</v>
      </c>
      <c r="P3233">
        <v>0.443647973549535</v>
      </c>
      <c r="Q3233">
        <v>1.5</v>
      </c>
      <c r="R3233">
        <v>0.71595592161170696</v>
      </c>
      <c r="S3233" t="s">
        <v>9879</v>
      </c>
      <c r="T3233" t="s">
        <v>13290</v>
      </c>
      <c r="U3233" t="s">
        <v>13290</v>
      </c>
      <c r="V3233" t="s">
        <v>13290</v>
      </c>
      <c r="W3233" t="s">
        <v>16479</v>
      </c>
      <c r="X3233">
        <v>35</v>
      </c>
      <c r="Y3233" t="s">
        <v>22998</v>
      </c>
      <c r="Z3233" t="s">
        <v>29563</v>
      </c>
      <c r="AA3233">
        <v>1.083055939598083</v>
      </c>
      <c r="AB3233" t="str">
        <f>HYPERLINK("Melting_Curves/meltCurve_Q05682_5_CALD1.pdf", "Melting_Curves/meltCurve_Q05682_5_CALD1.pdf")</f>
        <v>Melting_Curves/meltCurve_Q05682_5_CALD1.pdf</v>
      </c>
    </row>
    <row r="3234" spans="1:28" x14ac:dyDescent="0.25">
      <c r="A3234" t="s">
        <v>3238</v>
      </c>
      <c r="B3234">
        <v>0.99252571173614901</v>
      </c>
      <c r="C3234">
        <v>0.81083298123061398</v>
      </c>
      <c r="D3234">
        <v>0.64896890866493295</v>
      </c>
      <c r="E3234">
        <v>0.25466166159481601</v>
      </c>
      <c r="F3234">
        <v>2.7735622841076099E-2</v>
      </c>
      <c r="G3234">
        <v>3.4236983536579002E-2</v>
      </c>
      <c r="H3234">
        <v>1.50016547873267E-2</v>
      </c>
      <c r="I3234">
        <v>2.3277344121387E-2</v>
      </c>
      <c r="J3234">
        <v>3.7752166625150699E-2</v>
      </c>
      <c r="K3234">
        <v>6.49754631849494E-2</v>
      </c>
      <c r="L3234">
        <v>1010.8008388447701</v>
      </c>
      <c r="M3234">
        <v>21.572970386948001</v>
      </c>
      <c r="N3234">
        <v>46.942303465026797</v>
      </c>
      <c r="O3234">
        <v>46.457929954205099</v>
      </c>
      <c r="P3234">
        <v>-0.113807940022896</v>
      </c>
      <c r="Q3234">
        <v>1.9670692369136399E-2</v>
      </c>
      <c r="R3234">
        <v>0.98963245805867095</v>
      </c>
      <c r="S3234" t="s">
        <v>9880</v>
      </c>
      <c r="T3234" t="s">
        <v>13290</v>
      </c>
      <c r="U3234" t="s">
        <v>13290</v>
      </c>
      <c r="V3234" t="s">
        <v>13290</v>
      </c>
      <c r="W3234" t="s">
        <v>16480</v>
      </c>
      <c r="X3234">
        <v>1</v>
      </c>
      <c r="Y3234" t="s">
        <v>22999</v>
      </c>
      <c r="Z3234" t="s">
        <v>29564</v>
      </c>
      <c r="AA3234">
        <v>0.25587186658475941</v>
      </c>
      <c r="AB3234" t="str">
        <f>HYPERLINK("Melting_Curves/meltCurve_Q05932_3_FPGS.pdf", "Melting_Curves/meltCurve_Q05932_3_FPGS.pdf")</f>
        <v>Melting_Curves/meltCurve_Q05932_3_FPGS.pdf</v>
      </c>
    </row>
    <row r="3235" spans="1:28" x14ac:dyDescent="0.25">
      <c r="A3235" t="s">
        <v>3239</v>
      </c>
      <c r="B3235">
        <v>0.99252571173614901</v>
      </c>
      <c r="C3235">
        <v>1.0349036814083501</v>
      </c>
      <c r="D3235">
        <v>0.91539288875158198</v>
      </c>
      <c r="E3235">
        <v>0.78429655816215404</v>
      </c>
      <c r="F3235">
        <v>0.46818724629027803</v>
      </c>
      <c r="G3235">
        <v>0.24779322526471101</v>
      </c>
      <c r="H3235">
        <v>0.215103709528077</v>
      </c>
      <c r="I3235">
        <v>0.18168964617886799</v>
      </c>
      <c r="J3235">
        <v>0.211284731892139</v>
      </c>
      <c r="K3235">
        <v>0.39123687004181101</v>
      </c>
      <c r="L3235">
        <v>1399.62101854816</v>
      </c>
      <c r="M3235">
        <v>27.309749512565901</v>
      </c>
      <c r="N3235">
        <v>52.5101707899099</v>
      </c>
      <c r="O3235">
        <v>50.977434964207497</v>
      </c>
      <c r="P3235">
        <v>-0.101734660113155</v>
      </c>
      <c r="Q3235">
        <v>0.240399783189056</v>
      </c>
      <c r="R3235">
        <v>0.96810973405297196</v>
      </c>
      <c r="S3235" t="s">
        <v>9881</v>
      </c>
      <c r="T3235" t="s">
        <v>13290</v>
      </c>
      <c r="U3235" t="s">
        <v>13290</v>
      </c>
      <c r="V3235" t="s">
        <v>13290</v>
      </c>
      <c r="W3235" t="s">
        <v>16481</v>
      </c>
      <c r="X3235">
        <v>2</v>
      </c>
      <c r="Y3235" t="s">
        <v>23000</v>
      </c>
      <c r="Z3235" t="s">
        <v>29565</v>
      </c>
      <c r="AA3235">
        <v>0.53102802324376885</v>
      </c>
      <c r="AB3235" t="str">
        <f>HYPERLINK("Melting_Curves/meltCurve_Q05D32_2_CTDSPL2.pdf", "Melting_Curves/meltCurve_Q05D32_2_CTDSPL2.pdf")</f>
        <v>Melting_Curves/meltCurve_Q05D32_2_CTDSPL2.pdf</v>
      </c>
    </row>
    <row r="3236" spans="1:28" x14ac:dyDescent="0.25">
      <c r="A3236" t="s">
        <v>3240</v>
      </c>
      <c r="B3236">
        <v>0.99252571173614901</v>
      </c>
      <c r="C3236">
        <v>1.0442260957794001</v>
      </c>
      <c r="D3236">
        <v>0.85844843176389296</v>
      </c>
      <c r="E3236">
        <v>0.86981991378146695</v>
      </c>
      <c r="F3236">
        <v>0.22399575274181599</v>
      </c>
      <c r="G3236">
        <v>9.4940315331952796E-2</v>
      </c>
      <c r="H3236">
        <v>6.0456140407675003E-2</v>
      </c>
      <c r="I3236">
        <v>6.2747077443645397E-2</v>
      </c>
      <c r="J3236">
        <v>6.2460157031717499E-2</v>
      </c>
      <c r="K3236">
        <v>6.00208635853881E-2</v>
      </c>
      <c r="L3236">
        <v>2387.9141076185001</v>
      </c>
      <c r="M3236">
        <v>46.414754564863301</v>
      </c>
      <c r="N3236">
        <v>51.601123624034898</v>
      </c>
      <c r="O3236">
        <v>51.352078187875797</v>
      </c>
      <c r="P3236">
        <v>-0.21136505596545399</v>
      </c>
      <c r="Q3236">
        <v>6.46058623432543E-2</v>
      </c>
      <c r="R3236">
        <v>0.98780933426617001</v>
      </c>
      <c r="S3236" t="s">
        <v>9882</v>
      </c>
      <c r="T3236" t="s">
        <v>13290</v>
      </c>
      <c r="U3236" t="s">
        <v>13290</v>
      </c>
      <c r="V3236" t="s">
        <v>13290</v>
      </c>
      <c r="W3236" t="s">
        <v>16482</v>
      </c>
      <c r="X3236">
        <v>40</v>
      </c>
      <c r="Y3236" t="s">
        <v>23001</v>
      </c>
      <c r="Z3236" t="s">
        <v>29566</v>
      </c>
      <c r="AA3236">
        <v>0.42399595557245318</v>
      </c>
      <c r="AB3236" t="str">
        <f>HYPERLINK("Melting_Curves/meltCurve_Q06124_2_PTPN11.pdf", "Melting_Curves/meltCurve_Q06124_2_PTPN11.pdf")</f>
        <v>Melting_Curves/meltCurve_Q06124_2_PTPN11.pdf</v>
      </c>
    </row>
    <row r="3237" spans="1:28" x14ac:dyDescent="0.25">
      <c r="A3237" t="s">
        <v>3241</v>
      </c>
      <c r="B3237">
        <v>0.99252571173614901</v>
      </c>
      <c r="C3237">
        <v>0.95987972828628798</v>
      </c>
      <c r="D3237">
        <v>0.94865821535251604</v>
      </c>
      <c r="E3237">
        <v>1.12663967145162</v>
      </c>
      <c r="F3237">
        <v>0.81138219235986297</v>
      </c>
      <c r="G3237">
        <v>0.70433844654326605</v>
      </c>
      <c r="H3237">
        <v>0.62052992323010303</v>
      </c>
      <c r="I3237">
        <v>0.68932772112080198</v>
      </c>
      <c r="J3237">
        <v>0.77016212652801197</v>
      </c>
      <c r="K3237">
        <v>0.36806521789277502</v>
      </c>
      <c r="L3237">
        <v>4044.4223509326098</v>
      </c>
      <c r="M3237">
        <v>76.012353793445598</v>
      </c>
      <c r="O3237">
        <v>53.170642837428801</v>
      </c>
      <c r="P3237">
        <v>-0.13243967220348801</v>
      </c>
      <c r="Q3237">
        <v>0.62943385356092296</v>
      </c>
      <c r="R3237">
        <v>0.72796277710755197</v>
      </c>
      <c r="S3237" t="s">
        <v>9883</v>
      </c>
      <c r="T3237" t="s">
        <v>13290</v>
      </c>
      <c r="U3237" t="s">
        <v>13290</v>
      </c>
      <c r="V3237" t="s">
        <v>13290</v>
      </c>
      <c r="W3237" t="s">
        <v>16483</v>
      </c>
      <c r="X3237">
        <v>4</v>
      </c>
      <c r="Y3237" t="s">
        <v>23002</v>
      </c>
      <c r="Z3237" t="s">
        <v>29567</v>
      </c>
      <c r="AA3237">
        <v>0.79294991251475322</v>
      </c>
      <c r="AB3237" t="str">
        <f>HYPERLINK("Melting_Curves/meltCurve_Q06136_KDSR.pdf", "Melting_Curves/meltCurve_Q06136_KDSR.pdf")</f>
        <v>Melting_Curves/meltCurve_Q06136_KDSR.pdf</v>
      </c>
    </row>
    <row r="3238" spans="1:28" x14ac:dyDescent="0.25">
      <c r="A3238" t="s">
        <v>3242</v>
      </c>
      <c r="B3238">
        <v>0.99252571173614901</v>
      </c>
      <c r="C3238">
        <v>0.94641077582993005</v>
      </c>
      <c r="D3238">
        <v>1.0828532586347399</v>
      </c>
      <c r="E3238">
        <v>1.17049791823935</v>
      </c>
      <c r="F3238">
        <v>1.09826035043214</v>
      </c>
      <c r="G3238">
        <v>0.93361799685774904</v>
      </c>
      <c r="H3238">
        <v>1.1003722998685299</v>
      </c>
      <c r="I3238">
        <v>1.3757848008740901</v>
      </c>
      <c r="J3238">
        <v>1.32487060982982</v>
      </c>
      <c r="K3238">
        <v>0.392580991681522</v>
      </c>
      <c r="L3238">
        <v>15000</v>
      </c>
      <c r="M3238">
        <v>214.72135094228599</v>
      </c>
      <c r="N3238">
        <v>69.857980106839406</v>
      </c>
      <c r="O3238">
        <v>69.851920566674906</v>
      </c>
      <c r="P3238">
        <v>-0.76848764058006902</v>
      </c>
      <c r="Q3238">
        <v>0</v>
      </c>
      <c r="R3238">
        <v>0.53142496293470298</v>
      </c>
      <c r="S3238" t="s">
        <v>9884</v>
      </c>
      <c r="T3238" t="s">
        <v>13290</v>
      </c>
      <c r="U3238" t="s">
        <v>13290</v>
      </c>
      <c r="V3238" t="s">
        <v>13290</v>
      </c>
      <c r="W3238" t="s">
        <v>16484</v>
      </c>
      <c r="X3238">
        <v>24</v>
      </c>
      <c r="Y3238" t="s">
        <v>23003</v>
      </c>
      <c r="Z3238" t="s">
        <v>29568</v>
      </c>
      <c r="AA3238">
        <v>0.98994189017523371</v>
      </c>
      <c r="AB3238" t="str">
        <f>HYPERLINK("Melting_Curves/meltCurve_Q06203_PPAT.pdf", "Melting_Curves/meltCurve_Q06203_PPAT.pdf")</f>
        <v>Melting_Curves/meltCurve_Q06203_PPAT.pdf</v>
      </c>
    </row>
    <row r="3239" spans="1:28" x14ac:dyDescent="0.25">
      <c r="A3239" t="s">
        <v>3243</v>
      </c>
      <c r="B3239">
        <v>0.99252571173614901</v>
      </c>
      <c r="C3239">
        <v>0.86636021047154799</v>
      </c>
      <c r="D3239">
        <v>1.2343015400422701</v>
      </c>
      <c r="E3239">
        <v>1.2536724273494</v>
      </c>
      <c r="F3239">
        <v>1.2627693431462801</v>
      </c>
      <c r="G3239">
        <v>0.88880245655659895</v>
      </c>
      <c r="H3239">
        <v>0.39620919954841499</v>
      </c>
      <c r="I3239">
        <v>0.11050075826978401</v>
      </c>
      <c r="J3239">
        <v>0.11157662541585001</v>
      </c>
      <c r="K3239">
        <v>9.7251009871655303E-2</v>
      </c>
      <c r="L3239">
        <v>2712.44409904653</v>
      </c>
      <c r="M3239">
        <v>45.361423885455601</v>
      </c>
      <c r="N3239">
        <v>60.0650438663057</v>
      </c>
      <c r="O3239">
        <v>59.680398099275898</v>
      </c>
      <c r="P3239">
        <v>-0.17256479316256501</v>
      </c>
      <c r="Q3239">
        <v>9.1851770503049004E-2</v>
      </c>
      <c r="R3239">
        <v>0.90455397429554996</v>
      </c>
      <c r="S3239" t="s">
        <v>9885</v>
      </c>
      <c r="T3239" t="s">
        <v>13290</v>
      </c>
      <c r="U3239" t="s">
        <v>13290</v>
      </c>
      <c r="V3239" t="s">
        <v>13290</v>
      </c>
      <c r="W3239" t="s">
        <v>16485</v>
      </c>
      <c r="X3239">
        <v>34</v>
      </c>
      <c r="Y3239" t="s">
        <v>23004</v>
      </c>
      <c r="Z3239" t="s">
        <v>29569</v>
      </c>
      <c r="AA3239">
        <v>0.69395307444144316</v>
      </c>
      <c r="AB3239" t="str">
        <f>HYPERLINK("Melting_Curves/meltCurve_Q06210_2_GFPT1.pdf", "Melting_Curves/meltCurve_Q06210_2_GFPT1.pdf")</f>
        <v>Melting_Curves/meltCurve_Q06210_2_GFPT1.pdf</v>
      </c>
    </row>
    <row r="3240" spans="1:28" x14ac:dyDescent="0.25">
      <c r="A3240" t="s">
        <v>3244</v>
      </c>
      <c r="B3240">
        <v>0.99252571173614901</v>
      </c>
      <c r="C3240">
        <v>1.0860487495615401</v>
      </c>
      <c r="D3240">
        <v>1.59490107464566</v>
      </c>
      <c r="E3240">
        <v>2.2262564358391002</v>
      </c>
      <c r="F3240">
        <v>2.2560572952944402</v>
      </c>
      <c r="G3240">
        <v>1.8778186456529999</v>
      </c>
      <c r="H3240">
        <v>1.63450494020082</v>
      </c>
      <c r="I3240">
        <v>0.9106836466321</v>
      </c>
      <c r="J3240">
        <v>0.40626679172438102</v>
      </c>
      <c r="K3240">
        <v>0.34260817346472799</v>
      </c>
      <c r="L3240">
        <v>6240.7634806569704</v>
      </c>
      <c r="M3240">
        <v>95.529795047979107</v>
      </c>
      <c r="N3240">
        <v>66.157154461390206</v>
      </c>
      <c r="O3240">
        <v>65.299318539128294</v>
      </c>
      <c r="P3240">
        <v>-0.23809219722740799</v>
      </c>
      <c r="Q3240">
        <v>0.34900912773880799</v>
      </c>
      <c r="R3240">
        <v>-7.3373626477579904E-2</v>
      </c>
      <c r="S3240" t="s">
        <v>9886</v>
      </c>
      <c r="T3240" t="s">
        <v>13290</v>
      </c>
      <c r="U3240" t="s">
        <v>13290</v>
      </c>
      <c r="V3240" t="s">
        <v>13290</v>
      </c>
      <c r="W3240" t="s">
        <v>16486</v>
      </c>
      <c r="X3240">
        <v>11</v>
      </c>
      <c r="Y3240" t="s">
        <v>23005</v>
      </c>
      <c r="Z3240" t="s">
        <v>29570</v>
      </c>
      <c r="AA3240">
        <v>0.89909960836986547</v>
      </c>
      <c r="AB3240" t="str">
        <f>HYPERLINK("Melting_Curves/meltCurve_Q06265_EXOSC9.pdf", "Melting_Curves/meltCurve_Q06265_EXOSC9.pdf")</f>
        <v>Melting_Curves/meltCurve_Q06265_EXOSC9.pdf</v>
      </c>
    </row>
    <row r="3241" spans="1:28" x14ac:dyDescent="0.25">
      <c r="A3241" t="s">
        <v>3245</v>
      </c>
      <c r="B3241">
        <v>0.99252571173614901</v>
      </c>
      <c r="C3241">
        <v>0.95940900179014499</v>
      </c>
      <c r="D3241">
        <v>1.0614939064011699</v>
      </c>
      <c r="E3241">
        <v>0.95739018432676604</v>
      </c>
      <c r="F3241">
        <v>0.81465855076762295</v>
      </c>
      <c r="G3241">
        <v>0.31746196580216901</v>
      </c>
      <c r="H3241">
        <v>0.195377678923434</v>
      </c>
      <c r="I3241">
        <v>0.18290563737542301</v>
      </c>
      <c r="J3241">
        <v>0.223159377032636</v>
      </c>
      <c r="K3241">
        <v>0.21416118967478701</v>
      </c>
      <c r="L3241">
        <v>2470.9854092322598</v>
      </c>
      <c r="M3241">
        <v>45.272598371171497</v>
      </c>
      <c r="N3241">
        <v>55.210042947692401</v>
      </c>
      <c r="O3241">
        <v>54.473990907345097</v>
      </c>
      <c r="P3241">
        <v>-0.16586450687777499</v>
      </c>
      <c r="Q3241">
        <v>0.20169913258702499</v>
      </c>
      <c r="R3241">
        <v>0.99427782296886702</v>
      </c>
      <c r="S3241" t="s">
        <v>9887</v>
      </c>
      <c r="T3241" t="s">
        <v>13290</v>
      </c>
      <c r="U3241" t="s">
        <v>13290</v>
      </c>
      <c r="V3241" t="s">
        <v>13290</v>
      </c>
      <c r="W3241" t="s">
        <v>16487</v>
      </c>
      <c r="X3241">
        <v>18</v>
      </c>
      <c r="Y3241" t="s">
        <v>23006</v>
      </c>
      <c r="Z3241" t="s">
        <v>29571</v>
      </c>
      <c r="AA3241">
        <v>0.592022055890569</v>
      </c>
      <c r="AB3241" t="str">
        <f>HYPERLINK("Melting_Curves/meltCurve_Q06323_PSME1.pdf", "Melting_Curves/meltCurve_Q06323_PSME1.pdf")</f>
        <v>Melting_Curves/meltCurve_Q06323_PSME1.pdf</v>
      </c>
    </row>
    <row r="3242" spans="1:28" x14ac:dyDescent="0.25">
      <c r="A3242" t="s">
        <v>3246</v>
      </c>
      <c r="B3242">
        <v>0.99252571173614901</v>
      </c>
      <c r="C3242">
        <v>1.0613129335828799</v>
      </c>
      <c r="D3242">
        <v>1.0283300186465201</v>
      </c>
      <c r="E3242">
        <v>1.0082809798037899</v>
      </c>
      <c r="F3242">
        <v>0.844400220438695</v>
      </c>
      <c r="G3242">
        <v>0.62810392929298597</v>
      </c>
      <c r="H3242">
        <v>0.32412802642667599</v>
      </c>
      <c r="I3242">
        <v>0.19947059808390599</v>
      </c>
      <c r="J3242">
        <v>0.202059640525457</v>
      </c>
      <c r="K3242">
        <v>0.19295543010799801</v>
      </c>
      <c r="L3242">
        <v>1374.6372591817001</v>
      </c>
      <c r="M3242">
        <v>24.087651386241799</v>
      </c>
      <c r="N3242">
        <v>58.075213734663002</v>
      </c>
      <c r="O3242">
        <v>56.679165589689603</v>
      </c>
      <c r="P3242">
        <v>-8.8108453987725405E-2</v>
      </c>
      <c r="Q3242">
        <v>0.170722666925091</v>
      </c>
      <c r="R3242">
        <v>0.99377838304816501</v>
      </c>
      <c r="S3242" t="s">
        <v>9888</v>
      </c>
      <c r="T3242" t="s">
        <v>13290</v>
      </c>
      <c r="U3242" t="s">
        <v>13290</v>
      </c>
      <c r="V3242" t="s">
        <v>13290</v>
      </c>
      <c r="W3242" t="s">
        <v>16488</v>
      </c>
      <c r="X3242">
        <v>12</v>
      </c>
      <c r="Y3242" t="s">
        <v>23007</v>
      </c>
      <c r="Z3242" t="s">
        <v>29572</v>
      </c>
      <c r="AA3242">
        <v>0.65041743614721992</v>
      </c>
      <c r="AB3242" t="str">
        <f>HYPERLINK("Melting_Curves/meltCurve_Q06330_5_RBPJ.pdf", "Melting_Curves/meltCurve_Q06330_5_RBPJ.pdf")</f>
        <v>Melting_Curves/meltCurve_Q06330_5_RBPJ.pdf</v>
      </c>
    </row>
    <row r="3243" spans="1:28" x14ac:dyDescent="0.25">
      <c r="A3243" t="s">
        <v>3247</v>
      </c>
      <c r="B3243">
        <v>0.99252571173614901</v>
      </c>
      <c r="C3243">
        <v>0.97426776839623996</v>
      </c>
      <c r="D3243">
        <v>0.90022291574009605</v>
      </c>
      <c r="E3243">
        <v>0.80503343536021499</v>
      </c>
      <c r="F3243">
        <v>0.60353113277298998</v>
      </c>
      <c r="G3243">
        <v>0.41285353686514298</v>
      </c>
      <c r="H3243">
        <v>0.28545756898331798</v>
      </c>
      <c r="I3243">
        <v>0.27907970310334601</v>
      </c>
      <c r="J3243">
        <v>0.33783793707600901</v>
      </c>
      <c r="K3243">
        <v>0.29101559764785601</v>
      </c>
      <c r="L3243">
        <v>912.64844266253897</v>
      </c>
      <c r="M3243">
        <v>17.460460440141599</v>
      </c>
      <c r="N3243">
        <v>54.7541127806182</v>
      </c>
      <c r="O3243">
        <v>51.598267718054899</v>
      </c>
      <c r="P3243">
        <v>-6.1454954269909198E-2</v>
      </c>
      <c r="Q3243">
        <v>0.273606142930227</v>
      </c>
      <c r="R3243">
        <v>0.99116858173073596</v>
      </c>
      <c r="S3243" t="s">
        <v>9889</v>
      </c>
      <c r="T3243" t="s">
        <v>13290</v>
      </c>
      <c r="U3243" t="s">
        <v>13290</v>
      </c>
      <c r="V3243" t="s">
        <v>13290</v>
      </c>
      <c r="W3243" t="s">
        <v>16489</v>
      </c>
      <c r="X3243">
        <v>23</v>
      </c>
      <c r="Y3243" t="s">
        <v>23008</v>
      </c>
      <c r="Z3243" t="s">
        <v>29573</v>
      </c>
      <c r="AA3243">
        <v>0.58335437032389981</v>
      </c>
      <c r="AB3243" t="str">
        <f>HYPERLINK("Melting_Curves/meltCurve_Q06481_APLP2.pdf", "Melting_Curves/meltCurve_Q06481_APLP2.pdf")</f>
        <v>Melting_Curves/meltCurve_Q06481_APLP2.pdf</v>
      </c>
    </row>
    <row r="3244" spans="1:28" x14ac:dyDescent="0.25">
      <c r="A3244" t="s">
        <v>3248</v>
      </c>
      <c r="B3244">
        <v>0.99252571173614901</v>
      </c>
      <c r="C3244">
        <v>0.95594053623025799</v>
      </c>
      <c r="D3244">
        <v>0.63576296221116901</v>
      </c>
      <c r="E3244">
        <v>0.34092408533104002</v>
      </c>
      <c r="F3244">
        <v>0.18721099262219601</v>
      </c>
      <c r="G3244">
        <v>0.113554922522586</v>
      </c>
      <c r="H3244">
        <v>8.2281634799782302E-2</v>
      </c>
      <c r="I3244">
        <v>7.4898822698240206E-2</v>
      </c>
      <c r="J3244">
        <v>9.60523986715065E-2</v>
      </c>
      <c r="K3244">
        <v>9.5319944867961096E-2</v>
      </c>
      <c r="L3244">
        <v>1016.57073641434</v>
      </c>
      <c r="M3244">
        <v>21.522067235722499</v>
      </c>
      <c r="N3244">
        <v>47.670264534277898</v>
      </c>
      <c r="O3244">
        <v>46.831762336066802</v>
      </c>
      <c r="P3244">
        <v>-0.10462076142229999</v>
      </c>
      <c r="Q3244">
        <v>8.9408044431835504E-2</v>
      </c>
      <c r="R3244">
        <v>0.995820990632585</v>
      </c>
      <c r="S3244" t="s">
        <v>9890</v>
      </c>
      <c r="T3244" t="s">
        <v>13290</v>
      </c>
      <c r="U3244" t="s">
        <v>13290</v>
      </c>
      <c r="V3244" t="s">
        <v>13290</v>
      </c>
      <c r="W3244" t="s">
        <v>16490</v>
      </c>
      <c r="X3244">
        <v>6</v>
      </c>
      <c r="Y3244" t="s">
        <v>23009</v>
      </c>
      <c r="Z3244" t="s">
        <v>29574</v>
      </c>
      <c r="AA3244">
        <v>0.32022772639611241</v>
      </c>
      <c r="AB3244" t="str">
        <f>HYPERLINK("Melting_Curves/meltCurve_Q06546_GABPA.pdf", "Melting_Curves/meltCurve_Q06546_GABPA.pdf")</f>
        <v>Melting_Curves/meltCurve_Q06546_GABPA.pdf</v>
      </c>
    </row>
    <row r="3245" spans="1:28" x14ac:dyDescent="0.25">
      <c r="A3245" t="s">
        <v>3249</v>
      </c>
      <c r="B3245">
        <v>0.99252571173614901</v>
      </c>
      <c r="C3245">
        <v>0.95895171610594199</v>
      </c>
      <c r="D3245">
        <v>0.78134873193054699</v>
      </c>
      <c r="E3245">
        <v>0.49149850414399299</v>
      </c>
      <c r="F3245">
        <v>0.24620896105661799</v>
      </c>
      <c r="G3245">
        <v>0.160294157187964</v>
      </c>
      <c r="H3245">
        <v>0.12543327140369501</v>
      </c>
      <c r="I3245">
        <v>0.12901802283533301</v>
      </c>
      <c r="J3245">
        <v>0.12590660991554201</v>
      </c>
      <c r="K3245">
        <v>0.129429238814699</v>
      </c>
      <c r="L3245">
        <v>995.05804377445804</v>
      </c>
      <c r="M3245">
        <v>20.433602048480001</v>
      </c>
      <c r="N3245">
        <v>49.357981797702003</v>
      </c>
      <c r="O3245">
        <v>48.237943097503198</v>
      </c>
      <c r="P3245">
        <v>-9.3229386843831794E-2</v>
      </c>
      <c r="Q3245">
        <v>0.11967385398535001</v>
      </c>
      <c r="R3245">
        <v>0.99939051479893803</v>
      </c>
      <c r="S3245" t="s">
        <v>9891</v>
      </c>
      <c r="T3245" t="s">
        <v>13290</v>
      </c>
      <c r="U3245" t="s">
        <v>13290</v>
      </c>
      <c r="V3245" t="s">
        <v>13290</v>
      </c>
      <c r="W3245" t="s">
        <v>16491</v>
      </c>
      <c r="X3245">
        <v>6</v>
      </c>
      <c r="Y3245" t="s">
        <v>23010</v>
      </c>
      <c r="Z3245" t="s">
        <v>29575</v>
      </c>
      <c r="AA3245">
        <v>0.38672075728313882</v>
      </c>
      <c r="AB3245" t="str">
        <f>HYPERLINK("Melting_Curves/meltCurve_Q06587_RING1.pdf", "Melting_Curves/meltCurve_Q06587_RING1.pdf")</f>
        <v>Melting_Curves/meltCurve_Q06587_RING1.pdf</v>
      </c>
    </row>
    <row r="3246" spans="1:28" x14ac:dyDescent="0.25">
      <c r="A3246" t="s">
        <v>3250</v>
      </c>
      <c r="B3246">
        <v>0.99252571173614901</v>
      </c>
      <c r="C3246">
        <v>0.99352823247278899</v>
      </c>
      <c r="D3246">
        <v>0.90602036746882397</v>
      </c>
      <c r="E3246">
        <v>0.76012075044779903</v>
      </c>
      <c r="F3246">
        <v>0.53762646302375305</v>
      </c>
      <c r="G3246">
        <v>0.202466351172718</v>
      </c>
      <c r="H3246">
        <v>0.119004303102643</v>
      </c>
      <c r="I3246">
        <v>0.109905621040379</v>
      </c>
      <c r="J3246">
        <v>0.14538826982970701</v>
      </c>
      <c r="K3246">
        <v>0.117018929530026</v>
      </c>
      <c r="L3246">
        <v>1049.8466990582999</v>
      </c>
      <c r="M3246">
        <v>20.041325259523699</v>
      </c>
      <c r="N3246">
        <v>52.9481757065222</v>
      </c>
      <c r="O3246">
        <v>51.870909406153999</v>
      </c>
      <c r="P3246">
        <v>-8.7310003109253395E-2</v>
      </c>
      <c r="Q3246">
        <v>9.6127029956647694E-2</v>
      </c>
      <c r="R3246">
        <v>0.99216716413396</v>
      </c>
      <c r="S3246" t="s">
        <v>9892</v>
      </c>
      <c r="T3246" t="s">
        <v>13290</v>
      </c>
      <c r="U3246" t="s">
        <v>13290</v>
      </c>
      <c r="V3246" t="s">
        <v>13290</v>
      </c>
      <c r="W3246" t="s">
        <v>16492</v>
      </c>
      <c r="X3246">
        <v>5</v>
      </c>
      <c r="Y3246" t="s">
        <v>23011</v>
      </c>
      <c r="Z3246" t="s">
        <v>29576</v>
      </c>
      <c r="AA3246">
        <v>0.48168862952205932</v>
      </c>
      <c r="AB3246" t="str">
        <f>HYPERLINK("Melting_Curves/meltCurve_Q06609_3_RAD51.pdf", "Melting_Curves/meltCurve_Q06609_3_RAD51.pdf")</f>
        <v>Melting_Curves/meltCurve_Q06609_3_RAD51.pdf</v>
      </c>
    </row>
    <row r="3247" spans="1:28" x14ac:dyDescent="0.25">
      <c r="A3247" t="s">
        <v>3251</v>
      </c>
      <c r="B3247">
        <v>0.99252571173614901</v>
      </c>
      <c r="C3247">
        <v>0.94730769120372704</v>
      </c>
      <c r="D3247">
        <v>0.96133835842984605</v>
      </c>
      <c r="E3247">
        <v>0.732517416165959</v>
      </c>
      <c r="F3247">
        <v>0.18037422984047199</v>
      </c>
      <c r="G3247">
        <v>9.9346543928574296E-2</v>
      </c>
      <c r="H3247">
        <v>6.7192174386226905E-2</v>
      </c>
      <c r="I3247">
        <v>5.0651648473761503E-2</v>
      </c>
      <c r="J3247">
        <v>4.3188151961379297E-2</v>
      </c>
      <c r="K3247">
        <v>4.7342227955420098E-2</v>
      </c>
      <c r="L3247">
        <v>1964.6295911919999</v>
      </c>
      <c r="M3247">
        <v>38.71665586065</v>
      </c>
      <c r="N3247">
        <v>50.901204496155501</v>
      </c>
      <c r="O3247">
        <v>50.6089730725786</v>
      </c>
      <c r="P3247">
        <v>-0.18046292426000499</v>
      </c>
      <c r="Q3247">
        <v>5.6424517693267E-2</v>
      </c>
      <c r="R3247">
        <v>0.99732004670546504</v>
      </c>
      <c r="S3247" t="s">
        <v>9893</v>
      </c>
      <c r="T3247" t="s">
        <v>13290</v>
      </c>
      <c r="U3247" t="s">
        <v>13290</v>
      </c>
      <c r="V3247" t="s">
        <v>13290</v>
      </c>
      <c r="W3247" t="s">
        <v>16493</v>
      </c>
      <c r="X3247">
        <v>7</v>
      </c>
      <c r="Y3247" t="s">
        <v>23012</v>
      </c>
      <c r="Z3247" t="s">
        <v>29577</v>
      </c>
      <c r="AA3247">
        <v>0.39787810896577919</v>
      </c>
      <c r="AB3247" t="str">
        <f>HYPERLINK("Melting_Curves/meltCurve_Q06787_8_FMR1.pdf", "Melting_Curves/meltCurve_Q06787_8_FMR1.pdf")</f>
        <v>Melting_Curves/meltCurve_Q06787_8_FMR1.pdf</v>
      </c>
    </row>
    <row r="3248" spans="1:28" x14ac:dyDescent="0.25">
      <c r="A3248" t="s">
        <v>3252</v>
      </c>
      <c r="B3248">
        <v>0.99252571173614901</v>
      </c>
      <c r="C3248">
        <v>0.75924050111854202</v>
      </c>
      <c r="D3248">
        <v>1.22818518570296</v>
      </c>
      <c r="E3248">
        <v>1.1393873349199499</v>
      </c>
      <c r="F3248">
        <v>0.88689523228488398</v>
      </c>
      <c r="G3248">
        <v>0.62704916425980795</v>
      </c>
      <c r="H3248">
        <v>0.245568302582617</v>
      </c>
      <c r="I3248">
        <v>0.17579355700463201</v>
      </c>
      <c r="J3248">
        <v>0.182251977370883</v>
      </c>
      <c r="K3248">
        <v>0.173386174308017</v>
      </c>
      <c r="L3248">
        <v>1936.09342476902</v>
      </c>
      <c r="M3248">
        <v>33.947694145574602</v>
      </c>
      <c r="N3248">
        <v>57.719220600397598</v>
      </c>
      <c r="O3248">
        <v>56.834849788634301</v>
      </c>
      <c r="P3248">
        <v>-0.124492464202779</v>
      </c>
      <c r="Q3248">
        <v>0.16630775707085901</v>
      </c>
      <c r="R3248">
        <v>0.91598084334572905</v>
      </c>
      <c r="S3248" t="s">
        <v>9894</v>
      </c>
      <c r="T3248" t="s">
        <v>13290</v>
      </c>
      <c r="U3248" t="s">
        <v>13290</v>
      </c>
      <c r="V3248" t="s">
        <v>13290</v>
      </c>
      <c r="W3248" t="s">
        <v>16494</v>
      </c>
      <c r="X3248">
        <v>22</v>
      </c>
      <c r="Y3248" t="s">
        <v>23013</v>
      </c>
      <c r="Z3248" t="s">
        <v>29578</v>
      </c>
      <c r="AA3248">
        <v>0.64405235183888931</v>
      </c>
      <c r="AB3248" t="str">
        <f>HYPERLINK("Melting_Curves/meltCurve_Q06830_PRDX1.pdf", "Melting_Curves/meltCurve_Q06830_PRDX1.pdf")</f>
        <v>Melting_Curves/meltCurve_Q06830_PRDX1.pdf</v>
      </c>
    </row>
    <row r="3249" spans="1:28" x14ac:dyDescent="0.25">
      <c r="A3249" t="s">
        <v>3253</v>
      </c>
      <c r="B3249">
        <v>0.99252571173614901</v>
      </c>
      <c r="C3249">
        <v>0.79905106820420402</v>
      </c>
      <c r="D3249">
        <v>0.89853554799747404</v>
      </c>
      <c r="E3249">
        <v>0.67770184362161701</v>
      </c>
      <c r="F3249">
        <v>0.25369842084317601</v>
      </c>
      <c r="G3249">
        <v>0.142590211770071</v>
      </c>
      <c r="H3249">
        <v>9.8060931071328405E-2</v>
      </c>
      <c r="I3249">
        <v>9.9075646253878394E-2</v>
      </c>
      <c r="J3249">
        <v>0.12234578297666</v>
      </c>
      <c r="K3249">
        <v>0.14199054441985601</v>
      </c>
      <c r="L3249">
        <v>1236.0135544509001</v>
      </c>
      <c r="M3249">
        <v>24.5640752609755</v>
      </c>
      <c r="N3249">
        <v>50.798924194894603</v>
      </c>
      <c r="O3249">
        <v>49.9880104934606</v>
      </c>
      <c r="P3249">
        <v>-0.110104908452235</v>
      </c>
      <c r="Q3249">
        <v>0.103756899843996</v>
      </c>
      <c r="R3249">
        <v>0.96642371801338001</v>
      </c>
      <c r="S3249" t="s">
        <v>9895</v>
      </c>
      <c r="T3249" t="s">
        <v>13290</v>
      </c>
      <c r="U3249" t="s">
        <v>13290</v>
      </c>
      <c r="V3249" t="s">
        <v>13290</v>
      </c>
      <c r="W3249" t="s">
        <v>16495</v>
      </c>
      <c r="X3249">
        <v>7</v>
      </c>
      <c r="Y3249" t="s">
        <v>23014</v>
      </c>
      <c r="Z3249" t="s">
        <v>29579</v>
      </c>
      <c r="AA3249">
        <v>0.4203268193183386</v>
      </c>
      <c r="AB3249" t="str">
        <f>HYPERLINK("Melting_Curves/meltCurve_Q07021_C1QBP.pdf", "Melting_Curves/meltCurve_Q07021_C1QBP.pdf")</f>
        <v>Melting_Curves/meltCurve_Q07021_C1QBP.pdf</v>
      </c>
    </row>
    <row r="3250" spans="1:28" x14ac:dyDescent="0.25">
      <c r="A3250" t="s">
        <v>3254</v>
      </c>
      <c r="B3250">
        <v>0.99252571173614901</v>
      </c>
      <c r="C3250">
        <v>1.0236258790018</v>
      </c>
      <c r="D3250">
        <v>0.47659439450677699</v>
      </c>
      <c r="E3250">
        <v>0.38479258033818597</v>
      </c>
      <c r="F3250">
        <v>0.156486327996848</v>
      </c>
      <c r="G3250">
        <v>8.5448579401178795E-2</v>
      </c>
      <c r="H3250">
        <v>6.6118648809431899E-2</v>
      </c>
      <c r="I3250">
        <v>9.5690081307532093E-2</v>
      </c>
      <c r="J3250">
        <v>0.183947713734152</v>
      </c>
      <c r="K3250">
        <v>0.20613957149575099</v>
      </c>
      <c r="L3250">
        <v>1196.9278236638299</v>
      </c>
      <c r="M3250">
        <v>25.910510434182001</v>
      </c>
      <c r="N3250">
        <v>46.7760130091674</v>
      </c>
      <c r="O3250">
        <v>45.922152909490897</v>
      </c>
      <c r="P3250">
        <v>-0.121640818304999</v>
      </c>
      <c r="Q3250">
        <v>0.13765603430408599</v>
      </c>
      <c r="R3250">
        <v>0.94733041768119197</v>
      </c>
      <c r="S3250" t="s">
        <v>9896</v>
      </c>
      <c r="T3250" t="s">
        <v>13290</v>
      </c>
      <c r="U3250" t="s">
        <v>13290</v>
      </c>
      <c r="V3250" t="s">
        <v>13290</v>
      </c>
      <c r="W3250" t="s">
        <v>16496</v>
      </c>
      <c r="X3250">
        <v>53</v>
      </c>
      <c r="Y3250" t="s">
        <v>23015</v>
      </c>
      <c r="Z3250" t="s">
        <v>29580</v>
      </c>
      <c r="AA3250">
        <v>0.3229951810729294</v>
      </c>
      <c r="AB3250" t="str">
        <f>HYPERLINK("Melting_Curves/meltCurve_Q07065_CKAP4.pdf", "Melting_Curves/meltCurve_Q07065_CKAP4.pdf")</f>
        <v>Melting_Curves/meltCurve_Q07065_CKAP4.pdf</v>
      </c>
    </row>
    <row r="3251" spans="1:28" x14ac:dyDescent="0.25">
      <c r="A3251" t="s">
        <v>3255</v>
      </c>
      <c r="B3251">
        <v>0.99252571173614901</v>
      </c>
      <c r="C3251">
        <v>1.08949728196051</v>
      </c>
      <c r="D3251">
        <v>1.02234248080207</v>
      </c>
      <c r="E3251">
        <v>1.0078125357591901</v>
      </c>
      <c r="F3251">
        <v>0.70965355903335903</v>
      </c>
      <c r="G3251">
        <v>0.58554221469661805</v>
      </c>
      <c r="H3251">
        <v>0.58208320199029895</v>
      </c>
      <c r="I3251">
        <v>0.73192388889432003</v>
      </c>
      <c r="J3251">
        <v>1.0578506046171801</v>
      </c>
      <c r="K3251">
        <v>1.07964344057656</v>
      </c>
      <c r="L3251">
        <v>12776.1541704173</v>
      </c>
      <c r="M3251">
        <v>250</v>
      </c>
      <c r="O3251">
        <v>51.101342338820103</v>
      </c>
      <c r="P3251">
        <v>-0.25547798187246301</v>
      </c>
      <c r="Q3251">
        <v>0.79111569894295197</v>
      </c>
      <c r="R3251">
        <v>0.33677116812194602</v>
      </c>
      <c r="S3251" t="s">
        <v>9897</v>
      </c>
      <c r="T3251" t="s">
        <v>13290</v>
      </c>
      <c r="U3251" t="s">
        <v>13290</v>
      </c>
      <c r="V3251" t="s">
        <v>13290</v>
      </c>
      <c r="W3251" t="s">
        <v>16497</v>
      </c>
      <c r="X3251">
        <v>6</v>
      </c>
      <c r="Y3251" t="s">
        <v>23016</v>
      </c>
      <c r="Z3251" t="s">
        <v>29581</v>
      </c>
      <c r="AA3251">
        <v>0.86845376978637601</v>
      </c>
      <c r="AB3251" t="str">
        <f>HYPERLINK("Melting_Curves/meltCurve_Q07654_TFF3.pdf", "Melting_Curves/meltCurve_Q07654_TFF3.pdf")</f>
        <v>Melting_Curves/meltCurve_Q07654_TFF3.pdf</v>
      </c>
    </row>
    <row r="3252" spans="1:28" x14ac:dyDescent="0.25">
      <c r="A3252" t="s">
        <v>3256</v>
      </c>
      <c r="B3252">
        <v>0.99252571173614901</v>
      </c>
      <c r="C3252">
        <v>1.0067126239945301</v>
      </c>
      <c r="D3252">
        <v>0.97575205989229097</v>
      </c>
      <c r="E3252">
        <v>0.84128351894959996</v>
      </c>
      <c r="F3252">
        <v>0.27396707955114002</v>
      </c>
      <c r="G3252">
        <v>9.5209103760647104E-2</v>
      </c>
      <c r="H3252">
        <v>6.05502493279153E-2</v>
      </c>
      <c r="I3252">
        <v>6.4817071648256702E-2</v>
      </c>
      <c r="J3252">
        <v>7.9496390570131803E-2</v>
      </c>
      <c r="K3252">
        <v>9.3216954576330099E-2</v>
      </c>
      <c r="L3252">
        <v>2089.4234103920198</v>
      </c>
      <c r="M3252">
        <v>40.5616563753401</v>
      </c>
      <c r="N3252">
        <v>51.716534080732799</v>
      </c>
      <c r="O3252">
        <v>51.387550852258897</v>
      </c>
      <c r="P3252">
        <v>-0.18272745972525301</v>
      </c>
      <c r="Q3252">
        <v>7.4012428079448397E-2</v>
      </c>
      <c r="R3252">
        <v>0.99935937421196397</v>
      </c>
      <c r="S3252" t="s">
        <v>9898</v>
      </c>
      <c r="T3252" t="s">
        <v>13290</v>
      </c>
      <c r="U3252" t="s">
        <v>13290</v>
      </c>
      <c r="V3252" t="s">
        <v>13290</v>
      </c>
      <c r="W3252" t="s">
        <v>16498</v>
      </c>
      <c r="X3252">
        <v>13</v>
      </c>
      <c r="Y3252" t="s">
        <v>23017</v>
      </c>
      <c r="Z3252" t="s">
        <v>29582</v>
      </c>
      <c r="AA3252">
        <v>0.43255844007804761</v>
      </c>
      <c r="AB3252" t="str">
        <f>HYPERLINK("Melting_Curves/meltCurve_Q07666_KHDRBS1.pdf", "Melting_Curves/meltCurve_Q07666_KHDRBS1.pdf")</f>
        <v>Melting_Curves/meltCurve_Q07666_KHDRBS1.pdf</v>
      </c>
    </row>
    <row r="3253" spans="1:28" x14ac:dyDescent="0.25">
      <c r="A3253" t="s">
        <v>3257</v>
      </c>
      <c r="B3253">
        <v>0.99252571173614901</v>
      </c>
      <c r="C3253">
        <v>1.0955712007068099</v>
      </c>
      <c r="D3253">
        <v>0.95712579009820697</v>
      </c>
      <c r="E3253">
        <v>0.89799114057006402</v>
      </c>
      <c r="F3253">
        <v>0.72580394450915597</v>
      </c>
      <c r="G3253">
        <v>0.62849360644212005</v>
      </c>
      <c r="H3253">
        <v>0.52989328227895904</v>
      </c>
      <c r="I3253">
        <v>0.61282390226084005</v>
      </c>
      <c r="J3253">
        <v>0.99640979052259204</v>
      </c>
      <c r="K3253">
        <v>0.89651820147766703</v>
      </c>
      <c r="L3253">
        <v>12424.251337240101</v>
      </c>
      <c r="M3253">
        <v>250</v>
      </c>
      <c r="O3253">
        <v>49.693825236646902</v>
      </c>
      <c r="P3253">
        <v>-0.33749525435764599</v>
      </c>
      <c r="Q3253">
        <v>0.73165711820107204</v>
      </c>
      <c r="R3253">
        <v>0.48642014605623302</v>
      </c>
      <c r="S3253" t="s">
        <v>9899</v>
      </c>
      <c r="T3253" t="s">
        <v>13290</v>
      </c>
      <c r="U3253" t="s">
        <v>13290</v>
      </c>
      <c r="V3253" t="s">
        <v>13290</v>
      </c>
      <c r="W3253" t="s">
        <v>16499</v>
      </c>
      <c r="X3253">
        <v>8</v>
      </c>
      <c r="Y3253" t="s">
        <v>23018</v>
      </c>
      <c r="Z3253" t="s">
        <v>29583</v>
      </c>
      <c r="AA3253">
        <v>0.81841793439388666</v>
      </c>
      <c r="AB3253" t="str">
        <f>HYPERLINK("Melting_Curves/meltCurve_Q07812_5_BAX.pdf", "Melting_Curves/meltCurve_Q07812_5_BAX.pdf")</f>
        <v>Melting_Curves/meltCurve_Q07812_5_BAX.pdf</v>
      </c>
    </row>
    <row r="3254" spans="1:28" x14ac:dyDescent="0.25">
      <c r="A3254" t="s">
        <v>3258</v>
      </c>
      <c r="B3254">
        <v>0.99252571173614901</v>
      </c>
      <c r="C3254">
        <v>0.98558044827590896</v>
      </c>
      <c r="D3254">
        <v>0.82109647422554899</v>
      </c>
      <c r="E3254">
        <v>0.724153553600141</v>
      </c>
      <c r="F3254">
        <v>0.45553114392755301</v>
      </c>
      <c r="G3254">
        <v>0.333234325298295</v>
      </c>
      <c r="H3254">
        <v>0.28432647130064398</v>
      </c>
      <c r="I3254">
        <v>0.28012794230444099</v>
      </c>
      <c r="J3254">
        <v>0.43723231379931499</v>
      </c>
      <c r="K3254">
        <v>0.32809162274995901</v>
      </c>
      <c r="L3254">
        <v>988.69386338511697</v>
      </c>
      <c r="M3254">
        <v>19.8818935183956</v>
      </c>
      <c r="N3254">
        <v>52.398173266261203</v>
      </c>
      <c r="O3254">
        <v>49.233463652809</v>
      </c>
      <c r="P3254">
        <v>-6.8810500795337501E-2</v>
      </c>
      <c r="Q3254">
        <v>0.31844179268203399</v>
      </c>
      <c r="R3254">
        <v>0.96361043215091802</v>
      </c>
      <c r="S3254" t="s">
        <v>9900</v>
      </c>
      <c r="T3254" t="s">
        <v>13290</v>
      </c>
      <c r="U3254" t="s">
        <v>13290</v>
      </c>
      <c r="V3254" t="s">
        <v>13290</v>
      </c>
      <c r="W3254" t="s">
        <v>16500</v>
      </c>
      <c r="X3254">
        <v>3</v>
      </c>
      <c r="Y3254" t="s">
        <v>23019</v>
      </c>
      <c r="Z3254" t="s">
        <v>29584</v>
      </c>
      <c r="AA3254">
        <v>0.5490673906198289</v>
      </c>
      <c r="AB3254" t="str">
        <f>HYPERLINK("Melting_Curves/meltCurve_Q07820_MCL1.pdf", "Melting_Curves/meltCurve_Q07820_MCL1.pdf")</f>
        <v>Melting_Curves/meltCurve_Q07820_MCL1.pdf</v>
      </c>
    </row>
    <row r="3255" spans="1:28" x14ac:dyDescent="0.25">
      <c r="A3255" t="s">
        <v>3259</v>
      </c>
      <c r="B3255">
        <v>0.99252571173614901</v>
      </c>
      <c r="C3255">
        <v>0.89106064839141896</v>
      </c>
      <c r="D3255">
        <v>1.0882707388733901</v>
      </c>
      <c r="E3255">
        <v>1.022198934255</v>
      </c>
      <c r="F3255">
        <v>0.20083704130902799</v>
      </c>
      <c r="G3255">
        <v>0.112720086424004</v>
      </c>
      <c r="H3255">
        <v>8.5207771301049895E-2</v>
      </c>
      <c r="I3255">
        <v>9.1252830369837307E-2</v>
      </c>
      <c r="J3255">
        <v>0.12022801310626099</v>
      </c>
      <c r="K3255">
        <v>0.134431328125729</v>
      </c>
      <c r="L3255">
        <v>13185.033433979401</v>
      </c>
      <c r="M3255">
        <v>250</v>
      </c>
      <c r="N3255">
        <v>52.791942030497097</v>
      </c>
      <c r="O3255">
        <v>52.7367587366384</v>
      </c>
      <c r="P3255">
        <v>-1.0562272237239401</v>
      </c>
      <c r="Q3255">
        <v>0.108767997075972</v>
      </c>
      <c r="R3255">
        <v>0.98826364149892498</v>
      </c>
      <c r="S3255" t="s">
        <v>9901</v>
      </c>
      <c r="T3255" t="s">
        <v>13290</v>
      </c>
      <c r="U3255" t="s">
        <v>13290</v>
      </c>
      <c r="V3255" t="s">
        <v>13290</v>
      </c>
      <c r="W3255" t="s">
        <v>16501</v>
      </c>
      <c r="X3255">
        <v>33</v>
      </c>
      <c r="Y3255" t="s">
        <v>23020</v>
      </c>
      <c r="Z3255" t="s">
        <v>29585</v>
      </c>
      <c r="AA3255">
        <v>0.4873309847285941</v>
      </c>
      <c r="AB3255" t="str">
        <f>HYPERLINK("Melting_Curves/meltCurve_Q07866_6_KLC1.pdf", "Melting_Curves/meltCurve_Q07866_6_KLC1.pdf")</f>
        <v>Melting_Curves/meltCurve_Q07866_6_KLC1.pdf</v>
      </c>
    </row>
    <row r="3256" spans="1:28" x14ac:dyDescent="0.25">
      <c r="A3256" t="s">
        <v>3260</v>
      </c>
      <c r="B3256">
        <v>0.99252571173614901</v>
      </c>
      <c r="C3256">
        <v>0.79265512325561405</v>
      </c>
      <c r="D3256">
        <v>1.06739907885788</v>
      </c>
      <c r="E3256">
        <v>0.87583952233663198</v>
      </c>
      <c r="F3256">
        <v>0.75757975530388599</v>
      </c>
      <c r="G3256">
        <v>0.30420007051461401</v>
      </c>
      <c r="H3256">
        <v>0.15216158184529599</v>
      </c>
      <c r="I3256">
        <v>0.110469666517631</v>
      </c>
      <c r="J3256">
        <v>0.19995897522221401</v>
      </c>
      <c r="K3256">
        <v>0.12816703787416001</v>
      </c>
      <c r="L3256">
        <v>1758.4701595517599</v>
      </c>
      <c r="M3256">
        <v>32.2765241086571</v>
      </c>
      <c r="N3256">
        <v>55.025689446549798</v>
      </c>
      <c r="O3256">
        <v>54.273540795954901</v>
      </c>
      <c r="P3256">
        <v>-0.12835797679497701</v>
      </c>
      <c r="Q3256">
        <v>0.13665946947598701</v>
      </c>
      <c r="R3256">
        <v>0.955098562361401</v>
      </c>
      <c r="S3256" t="s">
        <v>9902</v>
      </c>
      <c r="T3256" t="s">
        <v>13290</v>
      </c>
      <c r="U3256" t="s">
        <v>13290</v>
      </c>
      <c r="V3256" t="s">
        <v>13290</v>
      </c>
      <c r="W3256" t="s">
        <v>16502</v>
      </c>
      <c r="X3256">
        <v>3</v>
      </c>
      <c r="Y3256" t="s">
        <v>23021</v>
      </c>
      <c r="Z3256" t="s">
        <v>29586</v>
      </c>
      <c r="AA3256">
        <v>0.55835634368565223</v>
      </c>
      <c r="AB3256" t="str">
        <f>HYPERLINK("Melting_Curves/meltCurve_Q07954_LRP1.pdf", "Melting_Curves/meltCurve_Q07954_LRP1.pdf")</f>
        <v>Melting_Curves/meltCurve_Q07954_LRP1.pdf</v>
      </c>
    </row>
    <row r="3257" spans="1:28" x14ac:dyDescent="0.25">
      <c r="A3257" t="s">
        <v>3261</v>
      </c>
      <c r="B3257">
        <v>0.99252571173614901</v>
      </c>
      <c r="C3257">
        <v>0.95738185483872595</v>
      </c>
      <c r="D3257">
        <v>0.87504467949129505</v>
      </c>
      <c r="E3257">
        <v>0.74452529099005704</v>
      </c>
      <c r="F3257">
        <v>0.24461573754202501</v>
      </c>
      <c r="G3257">
        <v>0.120567373883811</v>
      </c>
      <c r="H3257">
        <v>7.5675331803821994E-2</v>
      </c>
      <c r="I3257">
        <v>7.0845868141612395E-2</v>
      </c>
      <c r="J3257">
        <v>7.2538004303451101E-2</v>
      </c>
      <c r="K3257">
        <v>6.4681885896707106E-2</v>
      </c>
      <c r="L3257">
        <v>1478.91576671133</v>
      </c>
      <c r="M3257">
        <v>29.044030058055501</v>
      </c>
      <c r="N3257">
        <v>51.171453307804299</v>
      </c>
      <c r="O3257">
        <v>50.680224877744898</v>
      </c>
      <c r="P3257">
        <v>-0.133736843087844</v>
      </c>
      <c r="Q3257">
        <v>6.6553397680688506E-2</v>
      </c>
      <c r="R3257">
        <v>0.99259487547078096</v>
      </c>
      <c r="S3257" t="s">
        <v>9903</v>
      </c>
      <c r="T3257" t="s">
        <v>13290</v>
      </c>
      <c r="U3257" t="s">
        <v>13290</v>
      </c>
      <c r="V3257" t="s">
        <v>13290</v>
      </c>
      <c r="W3257" t="s">
        <v>16503</v>
      </c>
      <c r="X3257">
        <v>18</v>
      </c>
      <c r="Y3257" t="s">
        <v>23022</v>
      </c>
      <c r="Z3257" t="s">
        <v>29587</v>
      </c>
      <c r="AA3257">
        <v>0.41257527444115638</v>
      </c>
      <c r="AB3257" t="str">
        <f>HYPERLINK("Melting_Curves/meltCurve_Q07960_ARHGAP1.pdf", "Melting_Curves/meltCurve_Q07960_ARHGAP1.pdf")</f>
        <v>Melting_Curves/meltCurve_Q07960_ARHGAP1.pdf</v>
      </c>
    </row>
    <row r="3258" spans="1:28" x14ac:dyDescent="0.25">
      <c r="A3258" t="s">
        <v>3262</v>
      </c>
      <c r="B3258">
        <v>0.99252571173614901</v>
      </c>
      <c r="C3258">
        <v>1.0626542908396901</v>
      </c>
      <c r="D3258">
        <v>0.97108744527851398</v>
      </c>
      <c r="E3258">
        <v>0.91884241560509206</v>
      </c>
      <c r="F3258">
        <v>0.409736349969197</v>
      </c>
      <c r="G3258">
        <v>0.28297993939197302</v>
      </c>
      <c r="H3258">
        <v>0.32818414851313199</v>
      </c>
      <c r="I3258">
        <v>0.434257725248541</v>
      </c>
      <c r="J3258">
        <v>0.53803185448287205</v>
      </c>
      <c r="K3258">
        <v>0.90764824156609303</v>
      </c>
      <c r="L3258">
        <v>12483.318102105701</v>
      </c>
      <c r="M3258">
        <v>250</v>
      </c>
      <c r="N3258">
        <v>50.623680541961299</v>
      </c>
      <c r="O3258">
        <v>49.930085324701501</v>
      </c>
      <c r="P3258">
        <v>-0.64656290490572799</v>
      </c>
      <c r="Q3258">
        <v>0.48347303024013799</v>
      </c>
      <c r="R3258">
        <v>0.70212250673466103</v>
      </c>
      <c r="S3258" t="s">
        <v>9904</v>
      </c>
      <c r="T3258" t="s">
        <v>13290</v>
      </c>
      <c r="U3258" t="s">
        <v>13290</v>
      </c>
      <c r="V3258" t="s">
        <v>13290</v>
      </c>
      <c r="W3258" t="s">
        <v>16504</v>
      </c>
      <c r="X3258">
        <v>9</v>
      </c>
      <c r="Y3258" t="s">
        <v>23023</v>
      </c>
      <c r="Z3258" t="s">
        <v>29588</v>
      </c>
      <c r="AA3258">
        <v>0.65454506448883587</v>
      </c>
      <c r="AB3258" t="str">
        <f>HYPERLINK("Melting_Curves/meltCurve_Q08170_SRSF4.pdf", "Melting_Curves/meltCurve_Q08170_SRSF4.pdf")</f>
        <v>Melting_Curves/meltCurve_Q08170_SRSF4.pdf</v>
      </c>
    </row>
    <row r="3259" spans="1:28" x14ac:dyDescent="0.25">
      <c r="A3259" t="s">
        <v>3263</v>
      </c>
      <c r="B3259">
        <v>0.99252571173614901</v>
      </c>
      <c r="C3259">
        <v>0.968991116549902</v>
      </c>
      <c r="D3259">
        <v>0.98883607083956604</v>
      </c>
      <c r="E3259">
        <v>0.90427888987312799</v>
      </c>
      <c r="F3259">
        <v>0.66410863775029305</v>
      </c>
      <c r="G3259">
        <v>0.240749466217928</v>
      </c>
      <c r="H3259">
        <v>0.104622090487344</v>
      </c>
      <c r="I3259">
        <v>0.100295573111674</v>
      </c>
      <c r="J3259">
        <v>0.111278680249307</v>
      </c>
      <c r="K3259">
        <v>0.112230073849293</v>
      </c>
      <c r="L3259">
        <v>1675.70927467666</v>
      </c>
      <c r="M3259">
        <v>31.0660376739276</v>
      </c>
      <c r="N3259">
        <v>54.3172207718642</v>
      </c>
      <c r="O3259">
        <v>53.718200605913097</v>
      </c>
      <c r="P3259">
        <v>-0.13055862833201801</v>
      </c>
      <c r="Q3259">
        <v>9.6977236589818799E-2</v>
      </c>
      <c r="R3259">
        <v>0.997524844375967</v>
      </c>
      <c r="S3259" t="s">
        <v>9905</v>
      </c>
      <c r="T3259" t="s">
        <v>13290</v>
      </c>
      <c r="U3259" t="s">
        <v>13290</v>
      </c>
      <c r="V3259" t="s">
        <v>13290</v>
      </c>
      <c r="W3259" t="s">
        <v>16505</v>
      </c>
      <c r="X3259">
        <v>26</v>
      </c>
      <c r="Y3259" t="s">
        <v>23024</v>
      </c>
      <c r="Z3259" t="s">
        <v>29589</v>
      </c>
      <c r="AA3259">
        <v>0.52212860772053182</v>
      </c>
      <c r="AB3259" t="str">
        <f>HYPERLINK("Melting_Curves/meltCurve_Q08209_2_PPP3CA.pdf", "Melting_Curves/meltCurve_Q08209_2_PPP3CA.pdf")</f>
        <v>Melting_Curves/meltCurve_Q08209_2_PPP3CA.pdf</v>
      </c>
    </row>
    <row r="3260" spans="1:28" x14ac:dyDescent="0.25">
      <c r="A3260" t="s">
        <v>3264</v>
      </c>
      <c r="B3260">
        <v>0.99252571173614901</v>
      </c>
      <c r="C3260">
        <v>0.92147739620575597</v>
      </c>
      <c r="D3260">
        <v>0.863097016139453</v>
      </c>
      <c r="E3260">
        <v>0.69984777198705606</v>
      </c>
      <c r="F3260">
        <v>0.234979538391761</v>
      </c>
      <c r="G3260">
        <v>0.12870842257374801</v>
      </c>
      <c r="H3260">
        <v>9.4803798923832297E-2</v>
      </c>
      <c r="I3260">
        <v>9.8995611309964093E-2</v>
      </c>
      <c r="J3260">
        <v>0.110865991843734</v>
      </c>
      <c r="K3260">
        <v>0.114937305748762</v>
      </c>
      <c r="L3260">
        <v>1365.4206943311899</v>
      </c>
      <c r="M3260">
        <v>27.070022501433101</v>
      </c>
      <c r="N3260">
        <v>50.837371458536097</v>
      </c>
      <c r="O3260">
        <v>50.167468912524697</v>
      </c>
      <c r="P3260">
        <v>-0.122046066020355</v>
      </c>
      <c r="Q3260">
        <v>9.5282304822512306E-2</v>
      </c>
      <c r="R3260">
        <v>0.98871787630908403</v>
      </c>
      <c r="S3260" t="s">
        <v>9906</v>
      </c>
      <c r="T3260" t="s">
        <v>13290</v>
      </c>
      <c r="U3260" t="s">
        <v>13290</v>
      </c>
      <c r="V3260" t="s">
        <v>13290</v>
      </c>
      <c r="W3260" t="s">
        <v>16506</v>
      </c>
      <c r="X3260">
        <v>40</v>
      </c>
      <c r="Y3260" t="s">
        <v>23025</v>
      </c>
      <c r="Z3260" t="s">
        <v>29590</v>
      </c>
      <c r="AA3260">
        <v>0.41706330240677197</v>
      </c>
      <c r="AB3260" t="str">
        <f>HYPERLINK("Melting_Curves/meltCurve_Q08211_DHX9.pdf", "Melting_Curves/meltCurve_Q08211_DHX9.pdf")</f>
        <v>Melting_Curves/meltCurve_Q08211_DHX9.pdf</v>
      </c>
    </row>
    <row r="3261" spans="1:28" x14ac:dyDescent="0.25">
      <c r="A3261" t="s">
        <v>3265</v>
      </c>
      <c r="B3261">
        <v>0.99252571173614901</v>
      </c>
      <c r="C3261">
        <v>0.97488986158825697</v>
      </c>
      <c r="D3261">
        <v>1.02406816753535</v>
      </c>
      <c r="E3261">
        <v>0.94502942690299396</v>
      </c>
      <c r="F3261">
        <v>0.91213338738819305</v>
      </c>
      <c r="G3261">
        <v>0.60751166135277701</v>
      </c>
      <c r="H3261">
        <v>0.16257175278705599</v>
      </c>
      <c r="I3261">
        <v>9.1274890588041904E-2</v>
      </c>
      <c r="J3261">
        <v>0.108892067560935</v>
      </c>
      <c r="K3261">
        <v>0.11406656339089601</v>
      </c>
      <c r="L3261">
        <v>2074.71632974573</v>
      </c>
      <c r="M3261">
        <v>36.329358576396501</v>
      </c>
      <c r="N3261">
        <v>57.433352087101397</v>
      </c>
      <c r="O3261">
        <v>56.9363215344815</v>
      </c>
      <c r="P3261">
        <v>-0.144703398159789</v>
      </c>
      <c r="Q3261">
        <v>9.2870946620765504E-2</v>
      </c>
      <c r="R3261">
        <v>0.99607391688617497</v>
      </c>
      <c r="S3261" t="s">
        <v>9907</v>
      </c>
      <c r="T3261" t="s">
        <v>13290</v>
      </c>
      <c r="U3261" t="s">
        <v>13290</v>
      </c>
      <c r="V3261" t="s">
        <v>13290</v>
      </c>
      <c r="W3261" t="s">
        <v>16507</v>
      </c>
      <c r="X3261">
        <v>22</v>
      </c>
      <c r="Y3261" t="s">
        <v>23026</v>
      </c>
      <c r="Z3261" t="s">
        <v>29591</v>
      </c>
      <c r="AA3261">
        <v>0.61444768820992335</v>
      </c>
      <c r="AB3261" t="str">
        <f>HYPERLINK("Melting_Curves/meltCurve_Q08257_CRYZ.pdf", "Melting_Curves/meltCurve_Q08257_CRYZ.pdf")</f>
        <v>Melting_Curves/meltCurve_Q08257_CRYZ.pdf</v>
      </c>
    </row>
    <row r="3262" spans="1:28" x14ac:dyDescent="0.25">
      <c r="A3262" t="s">
        <v>3266</v>
      </c>
      <c r="B3262">
        <v>0.99252571173614901</v>
      </c>
      <c r="C3262">
        <v>0.91513187793209805</v>
      </c>
      <c r="D3262">
        <v>0.81852593057670198</v>
      </c>
      <c r="E3262">
        <v>0.801277820684824</v>
      </c>
      <c r="F3262">
        <v>0.57546303893142403</v>
      </c>
      <c r="G3262">
        <v>0.42897105629695798</v>
      </c>
      <c r="H3262">
        <v>0.38277543254566399</v>
      </c>
      <c r="I3262">
        <v>0.47865823865777002</v>
      </c>
      <c r="J3262">
        <v>0.79746049283254306</v>
      </c>
      <c r="K3262">
        <v>0.65890622387988895</v>
      </c>
      <c r="L3262">
        <v>940.81481278156195</v>
      </c>
      <c r="M3262">
        <v>19.680560204158301</v>
      </c>
      <c r="O3262">
        <v>47.318915250669797</v>
      </c>
      <c r="P3262">
        <v>-4.6767982391189497E-2</v>
      </c>
      <c r="Q3262">
        <v>0.55022958562566804</v>
      </c>
      <c r="R3262">
        <v>0.64753048805262503</v>
      </c>
      <c r="S3262" t="s">
        <v>9908</v>
      </c>
      <c r="T3262" t="s">
        <v>13290</v>
      </c>
      <c r="U3262" t="s">
        <v>13290</v>
      </c>
      <c r="V3262" t="s">
        <v>13290</v>
      </c>
      <c r="W3262" t="s">
        <v>16508</v>
      </c>
      <c r="X3262">
        <v>5</v>
      </c>
      <c r="Y3262" t="s">
        <v>23027</v>
      </c>
      <c r="Z3262" t="s">
        <v>29592</v>
      </c>
      <c r="AA3262">
        <v>0.67387827720902749</v>
      </c>
      <c r="AB3262" t="str">
        <f>HYPERLINK("Melting_Curves/meltCurve_Q08357_SLC20A2.pdf", "Melting_Curves/meltCurve_Q08357_SLC20A2.pdf")</f>
        <v>Melting_Curves/meltCurve_Q08357_SLC20A2.pdf</v>
      </c>
    </row>
    <row r="3263" spans="1:28" x14ac:dyDescent="0.25">
      <c r="A3263" t="s">
        <v>3267</v>
      </c>
      <c r="B3263">
        <v>0.99252571173614901</v>
      </c>
      <c r="C3263">
        <v>0.90540959881662297</v>
      </c>
      <c r="D3263">
        <v>0.89015021893997703</v>
      </c>
      <c r="E3263">
        <v>0.71403132076790898</v>
      </c>
      <c r="F3263">
        <v>0.33327872414487297</v>
      </c>
      <c r="G3263">
        <v>0.230234705589621</v>
      </c>
      <c r="H3263">
        <v>0.22460140437857001</v>
      </c>
      <c r="I3263">
        <v>0.29547032685025898</v>
      </c>
      <c r="J3263">
        <v>0.43967969429478898</v>
      </c>
      <c r="K3263">
        <v>0.50313833574712397</v>
      </c>
      <c r="L3263">
        <v>2201.2920475402002</v>
      </c>
      <c r="M3263">
        <v>44.209428591982402</v>
      </c>
      <c r="N3263">
        <v>51.055365623719098</v>
      </c>
      <c r="O3263">
        <v>49.690824012305399</v>
      </c>
      <c r="P3263">
        <v>-0.148466597502352</v>
      </c>
      <c r="Q3263">
        <v>0.33250302969357398</v>
      </c>
      <c r="R3263">
        <v>0.89494926839194999</v>
      </c>
      <c r="S3263" t="s">
        <v>9909</v>
      </c>
      <c r="T3263" t="s">
        <v>13290</v>
      </c>
      <c r="U3263" t="s">
        <v>13290</v>
      </c>
      <c r="V3263" t="s">
        <v>13290</v>
      </c>
      <c r="W3263" t="s">
        <v>16509</v>
      </c>
      <c r="X3263">
        <v>31</v>
      </c>
      <c r="Y3263" t="s">
        <v>23028</v>
      </c>
      <c r="Z3263" t="s">
        <v>29593</v>
      </c>
      <c r="AA3263">
        <v>0.5522605745642547</v>
      </c>
      <c r="AB3263" t="str">
        <f>HYPERLINK("Melting_Curves/meltCurve_Q08378_GOLGA3.pdf", "Melting_Curves/meltCurve_Q08378_GOLGA3.pdf")</f>
        <v>Melting_Curves/meltCurve_Q08378_GOLGA3.pdf</v>
      </c>
    </row>
    <row r="3264" spans="1:28" x14ac:dyDescent="0.25">
      <c r="A3264" t="s">
        <v>3268</v>
      </c>
      <c r="B3264">
        <v>0.99252571173614901</v>
      </c>
      <c r="C3264">
        <v>0.64756224702387</v>
      </c>
      <c r="D3264">
        <v>0.44582836042719098</v>
      </c>
      <c r="E3264">
        <v>0.24575354807317701</v>
      </c>
      <c r="F3264">
        <v>0.15726821056794901</v>
      </c>
      <c r="G3264">
        <v>9.2556226511666007E-2</v>
      </c>
      <c r="H3264">
        <v>8.0987687309178102E-2</v>
      </c>
      <c r="I3264">
        <v>8.8377052033696904E-2</v>
      </c>
      <c r="J3264">
        <v>0.116609167713896</v>
      </c>
      <c r="K3264">
        <v>0.12941276970819701</v>
      </c>
      <c r="L3264">
        <v>834.25334710683103</v>
      </c>
      <c r="M3264">
        <v>18.690849209177401</v>
      </c>
      <c r="N3264">
        <v>45.187489104871503</v>
      </c>
      <c r="O3264">
        <v>44.132807700681099</v>
      </c>
      <c r="P3264">
        <v>-9.5055847620400105E-2</v>
      </c>
      <c r="Q3264">
        <v>0.102255293939908</v>
      </c>
      <c r="R3264">
        <v>0.98216932466345297</v>
      </c>
      <c r="S3264" t="s">
        <v>9910</v>
      </c>
      <c r="T3264" t="s">
        <v>13290</v>
      </c>
      <c r="U3264" t="s">
        <v>13290</v>
      </c>
      <c r="V3264" t="s">
        <v>13290</v>
      </c>
      <c r="W3264" t="s">
        <v>16510</v>
      </c>
      <c r="X3264">
        <v>21</v>
      </c>
      <c r="Y3264" t="s">
        <v>23029</v>
      </c>
      <c r="Z3264" t="s">
        <v>29594</v>
      </c>
      <c r="AA3264">
        <v>0.25951148368509958</v>
      </c>
      <c r="AB3264" t="str">
        <f>HYPERLINK("Melting_Curves/meltCurve_Q08379_GOLGA2.pdf", "Melting_Curves/meltCurve_Q08379_GOLGA2.pdf")</f>
        <v>Melting_Curves/meltCurve_Q08379_GOLGA2.pdf</v>
      </c>
    </row>
    <row r="3265" spans="1:28" x14ac:dyDescent="0.25">
      <c r="A3265" t="s">
        <v>3269</v>
      </c>
      <c r="B3265">
        <v>0.99252571173614901</v>
      </c>
      <c r="C3265">
        <v>0.88649154621614501</v>
      </c>
      <c r="D3265">
        <v>1.09359278370545</v>
      </c>
      <c r="E3265">
        <v>1.04199261936696</v>
      </c>
      <c r="F3265">
        <v>1.0710068558288</v>
      </c>
      <c r="G3265">
        <v>0.81043829181110505</v>
      </c>
      <c r="H3265">
        <v>1.2258761940198699</v>
      </c>
      <c r="I3265">
        <v>1.02776757718875</v>
      </c>
      <c r="J3265">
        <v>1.42040661972173</v>
      </c>
      <c r="K3265">
        <v>0.99296578253205103</v>
      </c>
      <c r="L3265">
        <v>4181.0967080381297</v>
      </c>
      <c r="M3265">
        <v>70.590761331075299</v>
      </c>
      <c r="O3265">
        <v>59.182602150867602</v>
      </c>
      <c r="P3265">
        <v>5.0071897055773397E-2</v>
      </c>
      <c r="Q3265">
        <v>1.16791911399556</v>
      </c>
      <c r="R3265">
        <v>0.28115959091945703</v>
      </c>
      <c r="S3265" t="s">
        <v>9911</v>
      </c>
      <c r="T3265" t="s">
        <v>13290</v>
      </c>
      <c r="U3265" t="s">
        <v>13290</v>
      </c>
      <c r="V3265" t="s">
        <v>13290</v>
      </c>
      <c r="W3265" t="s">
        <v>16511</v>
      </c>
      <c r="X3265">
        <v>13</v>
      </c>
      <c r="Y3265" t="s">
        <v>23030</v>
      </c>
      <c r="Z3265" t="s">
        <v>29595</v>
      </c>
      <c r="AA3265">
        <v>1.0600631336035209</v>
      </c>
      <c r="AB3265" t="str">
        <f>HYPERLINK("Melting_Curves/meltCurve_Q08380_LGALS3BP.pdf", "Melting_Curves/meltCurve_Q08380_LGALS3BP.pdf")</f>
        <v>Melting_Curves/meltCurve_Q08380_LGALS3BP.pdf</v>
      </c>
    </row>
    <row r="3266" spans="1:28" x14ac:dyDescent="0.25">
      <c r="A3266" t="s">
        <v>3270</v>
      </c>
      <c r="B3266">
        <v>0.99252571173614901</v>
      </c>
      <c r="C3266">
        <v>1.2490865333572101</v>
      </c>
      <c r="D3266">
        <v>1.08318368864514</v>
      </c>
      <c r="E3266">
        <v>1.01365529723961</v>
      </c>
      <c r="F3266">
        <v>0.43644299957284</v>
      </c>
      <c r="G3266">
        <v>0.25377797087605602</v>
      </c>
      <c r="H3266">
        <v>0.19809227465551699</v>
      </c>
      <c r="I3266">
        <v>0.21750301455433901</v>
      </c>
      <c r="J3266">
        <v>0.27444634025286702</v>
      </c>
      <c r="K3266">
        <v>0.422304247167824</v>
      </c>
      <c r="L3266">
        <v>13234.075607573899</v>
      </c>
      <c r="M3266">
        <v>250</v>
      </c>
      <c r="N3266">
        <v>53.1042522736374</v>
      </c>
      <c r="O3266">
        <v>52.932915613395302</v>
      </c>
      <c r="P3266">
        <v>-0.85813245755713297</v>
      </c>
      <c r="Q3266">
        <v>0.27322476384469102</v>
      </c>
      <c r="R3266">
        <v>0.93594870393824803</v>
      </c>
      <c r="S3266" t="s">
        <v>9912</v>
      </c>
      <c r="T3266" t="s">
        <v>13290</v>
      </c>
      <c r="U3266" t="s">
        <v>13290</v>
      </c>
      <c r="V3266" t="s">
        <v>13290</v>
      </c>
      <c r="W3266" t="s">
        <v>16512</v>
      </c>
      <c r="X3266">
        <v>4</v>
      </c>
      <c r="Y3266" t="s">
        <v>23031</v>
      </c>
      <c r="Z3266" t="s">
        <v>29596</v>
      </c>
      <c r="AA3266">
        <v>0.58668509145735293</v>
      </c>
      <c r="AB3266" t="str">
        <f>HYPERLINK("Melting_Curves/meltCurve_Q08426_EHHADH.pdf", "Melting_Curves/meltCurve_Q08426_EHHADH.pdf")</f>
        <v>Melting_Curves/meltCurve_Q08426_EHHADH.pdf</v>
      </c>
    </row>
    <row r="3267" spans="1:28" x14ac:dyDescent="0.25">
      <c r="A3267" t="s">
        <v>3271</v>
      </c>
      <c r="B3267">
        <v>0.99252571173614901</v>
      </c>
      <c r="C3267">
        <v>0.93088908733407905</v>
      </c>
      <c r="D3267">
        <v>0.82704281330548401</v>
      </c>
      <c r="E3267">
        <v>0.73090354874248897</v>
      </c>
      <c r="F3267">
        <v>0.60970365787981395</v>
      </c>
      <c r="G3267">
        <v>0.46227005894775502</v>
      </c>
      <c r="H3267">
        <v>0.40630139918177899</v>
      </c>
      <c r="I3267">
        <v>0.56079832685353703</v>
      </c>
      <c r="J3267">
        <v>0.90995772241923301</v>
      </c>
      <c r="K3267">
        <v>0.77105629260073505</v>
      </c>
      <c r="L3267">
        <v>1126.2110596366799</v>
      </c>
      <c r="M3267">
        <v>24.2996829786752</v>
      </c>
      <c r="O3267">
        <v>46.036270085316197</v>
      </c>
      <c r="P3267">
        <v>-4.98064283639061E-2</v>
      </c>
      <c r="Q3267">
        <v>0.62256825407005201</v>
      </c>
      <c r="R3267">
        <v>0.49904906471888699</v>
      </c>
      <c r="S3267" t="s">
        <v>9913</v>
      </c>
      <c r="T3267" t="s">
        <v>13290</v>
      </c>
      <c r="U3267" t="s">
        <v>13290</v>
      </c>
      <c r="V3267" t="s">
        <v>13290</v>
      </c>
      <c r="W3267" t="s">
        <v>16513</v>
      </c>
      <c r="X3267">
        <v>5</v>
      </c>
      <c r="Y3267" t="s">
        <v>23032</v>
      </c>
      <c r="Z3267" t="s">
        <v>29597</v>
      </c>
      <c r="AA3267">
        <v>0.7060790518057839</v>
      </c>
      <c r="AB3267" t="str">
        <f>HYPERLINK("Melting_Curves/meltCurve_Q08722_CD47.pdf", "Melting_Curves/meltCurve_Q08722_CD47.pdf")</f>
        <v>Melting_Curves/meltCurve_Q08722_CD47.pdf</v>
      </c>
    </row>
    <row r="3268" spans="1:28" x14ac:dyDescent="0.25">
      <c r="A3268" t="s">
        <v>3272</v>
      </c>
      <c r="B3268">
        <v>0.99252571173614901</v>
      </c>
      <c r="C3268">
        <v>1.1006953750020001</v>
      </c>
      <c r="D3268">
        <v>0.47354186651408903</v>
      </c>
      <c r="E3268">
        <v>0.17131028625922301</v>
      </c>
      <c r="F3268">
        <v>8.70859004351002E-2</v>
      </c>
      <c r="G3268">
        <v>4.7835419900701198E-2</v>
      </c>
      <c r="H3268">
        <v>3.3093086446880103E-2</v>
      </c>
      <c r="I3268">
        <v>3.5588459687078203E-2</v>
      </c>
      <c r="J3268">
        <v>4.0370479598571797E-2</v>
      </c>
      <c r="K3268">
        <v>4.0774454277969399E-2</v>
      </c>
      <c r="L3268">
        <v>11488.318419244601</v>
      </c>
      <c r="M3268">
        <v>250</v>
      </c>
      <c r="N3268">
        <v>45.978950241763002</v>
      </c>
      <c r="O3268">
        <v>45.950333349469702</v>
      </c>
      <c r="P3268">
        <v>-1.2715479790887501</v>
      </c>
      <c r="Q3268">
        <v>6.51511526254306E-2</v>
      </c>
      <c r="R3268">
        <v>0.98366237251016697</v>
      </c>
      <c r="S3268" t="s">
        <v>9914</v>
      </c>
      <c r="T3268" t="s">
        <v>13290</v>
      </c>
      <c r="U3268" t="s">
        <v>13290</v>
      </c>
      <c r="V3268" t="s">
        <v>13290</v>
      </c>
      <c r="W3268" t="s">
        <v>16514</v>
      </c>
      <c r="X3268">
        <v>23</v>
      </c>
      <c r="Y3268" t="s">
        <v>23033</v>
      </c>
      <c r="Z3268" t="s">
        <v>29598</v>
      </c>
      <c r="AA3268">
        <v>0.25074024680990809</v>
      </c>
      <c r="AB3268" t="str">
        <f>HYPERLINK("Melting_Curves/meltCurve_Q08752_PPID.pdf", "Melting_Curves/meltCurve_Q08752_PPID.pdf")</f>
        <v>Melting_Curves/meltCurve_Q08752_PPID.pdf</v>
      </c>
    </row>
    <row r="3269" spans="1:28" x14ac:dyDescent="0.25">
      <c r="A3269" t="s">
        <v>3273</v>
      </c>
      <c r="B3269">
        <v>0.99252571173614901</v>
      </c>
      <c r="C3269">
        <v>0.82643914973919097</v>
      </c>
      <c r="D3269">
        <v>0.70829584174737903</v>
      </c>
      <c r="E3269">
        <v>0.38831119488169602</v>
      </c>
      <c r="F3269">
        <v>0.29743904019533801</v>
      </c>
      <c r="G3269">
        <v>0.16763522302544301</v>
      </c>
      <c r="H3269">
        <v>9.8103072952876194E-2</v>
      </c>
      <c r="I3269">
        <v>7.5196847427169394E-2</v>
      </c>
      <c r="J3269">
        <v>7.8626831908678002E-2</v>
      </c>
      <c r="K3269">
        <v>6.9761203528646398E-2</v>
      </c>
      <c r="L3269">
        <v>674.79819524120001</v>
      </c>
      <c r="M3269">
        <v>14.006528983083401</v>
      </c>
      <c r="N3269">
        <v>48.609820844820703</v>
      </c>
      <c r="O3269">
        <v>47.227253217492297</v>
      </c>
      <c r="P3269">
        <v>-6.9810404213773297E-2</v>
      </c>
      <c r="Q3269">
        <v>5.8577092491136802E-2</v>
      </c>
      <c r="R3269">
        <v>0.99277802723712905</v>
      </c>
      <c r="S3269" t="s">
        <v>9915</v>
      </c>
      <c r="T3269" t="s">
        <v>13290</v>
      </c>
      <c r="U3269" t="s">
        <v>13290</v>
      </c>
      <c r="V3269" t="s">
        <v>13290</v>
      </c>
      <c r="W3269" t="s">
        <v>16515</v>
      </c>
      <c r="X3269">
        <v>27</v>
      </c>
      <c r="Y3269" t="s">
        <v>23034</v>
      </c>
      <c r="Z3269" t="s">
        <v>29599</v>
      </c>
      <c r="AA3269">
        <v>0.34262611995373499</v>
      </c>
      <c r="AB3269" t="str">
        <f>HYPERLINK("Melting_Curves/meltCurve_Q08945_SSRP1.pdf", "Melting_Curves/meltCurve_Q08945_SSRP1.pdf")</f>
        <v>Melting_Curves/meltCurve_Q08945_SSRP1.pdf</v>
      </c>
    </row>
    <row r="3270" spans="1:28" x14ac:dyDescent="0.25">
      <c r="A3270" t="s">
        <v>3274</v>
      </c>
      <c r="B3270">
        <v>0.99252571173614901</v>
      </c>
      <c r="C3270">
        <v>0.95107796461370098</v>
      </c>
      <c r="D3270">
        <v>0.88264513261973798</v>
      </c>
      <c r="E3270">
        <v>0.65155337252288004</v>
      </c>
      <c r="F3270">
        <v>0.203439989796663</v>
      </c>
      <c r="G3270">
        <v>0.11221694815574799</v>
      </c>
      <c r="H3270">
        <v>7.6415086810892999E-2</v>
      </c>
      <c r="I3270">
        <v>8.1933624005242595E-2</v>
      </c>
      <c r="J3270">
        <v>0.105477670540223</v>
      </c>
      <c r="K3270">
        <v>0.112680509850021</v>
      </c>
      <c r="L3270">
        <v>1445.0081595568099</v>
      </c>
      <c r="M3270">
        <v>28.806100480966801</v>
      </c>
      <c r="N3270">
        <v>50.497549038634403</v>
      </c>
      <c r="O3270">
        <v>49.923377894434999</v>
      </c>
      <c r="P3270">
        <v>-0.13173104676726399</v>
      </c>
      <c r="Q3270">
        <v>8.6803290696333996E-2</v>
      </c>
      <c r="R3270">
        <v>0.99428845050957604</v>
      </c>
      <c r="S3270" t="s">
        <v>9916</v>
      </c>
      <c r="T3270" t="s">
        <v>13290</v>
      </c>
      <c r="U3270" t="s">
        <v>13290</v>
      </c>
      <c r="V3270" t="s">
        <v>13290</v>
      </c>
      <c r="W3270" t="s">
        <v>16516</v>
      </c>
      <c r="X3270">
        <v>16</v>
      </c>
      <c r="Y3270" t="s">
        <v>23035</v>
      </c>
      <c r="Z3270" t="s">
        <v>29600</v>
      </c>
      <c r="AA3270">
        <v>0.40231931875478788</v>
      </c>
      <c r="AB3270" t="str">
        <f>HYPERLINK("Melting_Curves/meltCurve_Q08AF3_SLFN5.pdf", "Melting_Curves/meltCurve_Q08AF3_SLFN5.pdf")</f>
        <v>Melting_Curves/meltCurve_Q08AF3_SLFN5.pdf</v>
      </c>
    </row>
    <row r="3271" spans="1:28" x14ac:dyDescent="0.25">
      <c r="A3271" t="s">
        <v>3275</v>
      </c>
      <c r="B3271">
        <v>0.99252571173614901</v>
      </c>
      <c r="C3271">
        <v>0.92511025690309701</v>
      </c>
      <c r="D3271">
        <v>0.90036607110442002</v>
      </c>
      <c r="E3271">
        <v>0.805915650629344</v>
      </c>
      <c r="F3271">
        <v>0.73963685324124095</v>
      </c>
      <c r="G3271">
        <v>0.79504739429626103</v>
      </c>
      <c r="H3271">
        <v>0.59657793335207199</v>
      </c>
      <c r="I3271">
        <v>0.63585423392994</v>
      </c>
      <c r="J3271">
        <v>0.89093678408173105</v>
      </c>
      <c r="K3271">
        <v>0.73670836309604004</v>
      </c>
      <c r="L3271">
        <v>798.99429594993296</v>
      </c>
      <c r="M3271">
        <v>17.062012926425599</v>
      </c>
      <c r="O3271">
        <v>46.199767389185702</v>
      </c>
      <c r="P3271">
        <v>-2.5432832853768701E-2</v>
      </c>
      <c r="Q3271">
        <v>0.72455325503138102</v>
      </c>
      <c r="R3271">
        <v>0.60495151724054896</v>
      </c>
      <c r="S3271" t="s">
        <v>9917</v>
      </c>
      <c r="T3271" t="s">
        <v>13290</v>
      </c>
      <c r="U3271" t="s">
        <v>13290</v>
      </c>
      <c r="V3271" t="s">
        <v>13290</v>
      </c>
      <c r="W3271" t="s">
        <v>16517</v>
      </c>
      <c r="X3271">
        <v>5</v>
      </c>
      <c r="Y3271" t="s">
        <v>23036</v>
      </c>
      <c r="Z3271" t="s">
        <v>29601</v>
      </c>
      <c r="AA3271">
        <v>0.7930124164450606</v>
      </c>
      <c r="AB3271" t="str">
        <f>HYPERLINK("Melting_Curves/meltCurve_Q08AG7_MZT1.pdf", "Melting_Curves/meltCurve_Q08AG7_MZT1.pdf")</f>
        <v>Melting_Curves/meltCurve_Q08AG7_MZT1.pdf</v>
      </c>
    </row>
    <row r="3272" spans="1:28" x14ac:dyDescent="0.25">
      <c r="A3272" t="s">
        <v>3276</v>
      </c>
      <c r="B3272">
        <v>0.99252571173614901</v>
      </c>
      <c r="C3272">
        <v>0.921099860045138</v>
      </c>
      <c r="D3272">
        <v>1.2086169532726001</v>
      </c>
      <c r="E3272">
        <v>1.38174642114121</v>
      </c>
      <c r="F3272">
        <v>0.87010667217050097</v>
      </c>
      <c r="G3272">
        <v>0.27064206504108002</v>
      </c>
      <c r="H3272">
        <v>0.16493755026298401</v>
      </c>
      <c r="I3272">
        <v>0.145560708089369</v>
      </c>
      <c r="J3272">
        <v>0.190563634434259</v>
      </c>
      <c r="K3272">
        <v>0.25038164062834201</v>
      </c>
      <c r="L3272">
        <v>3440.4876686121802</v>
      </c>
      <c r="M3272">
        <v>62.912390533243901</v>
      </c>
      <c r="N3272">
        <v>55.104296867061699</v>
      </c>
      <c r="O3272">
        <v>54.631789789374402</v>
      </c>
      <c r="P3272">
        <v>-0.233333796659975</v>
      </c>
      <c r="Q3272">
        <v>0.18951173361877799</v>
      </c>
      <c r="R3272">
        <v>0.90285379211400096</v>
      </c>
      <c r="S3272" t="s">
        <v>9918</v>
      </c>
      <c r="T3272" t="s">
        <v>13290</v>
      </c>
      <c r="U3272" t="s">
        <v>13290</v>
      </c>
      <c r="V3272" t="s">
        <v>13290</v>
      </c>
      <c r="W3272" t="s">
        <v>16518</v>
      </c>
      <c r="X3272">
        <v>9</v>
      </c>
      <c r="Y3272" t="s">
        <v>23037</v>
      </c>
      <c r="Z3272" t="s">
        <v>29602</v>
      </c>
      <c r="AA3272">
        <v>0.5875311412234675</v>
      </c>
      <c r="AB3272" t="str">
        <f>HYPERLINK("Melting_Curves/meltCurve_Q08AM6_VAC14.pdf", "Melting_Curves/meltCurve_Q08AM6_VAC14.pdf")</f>
        <v>Melting_Curves/meltCurve_Q08AM6_VAC14.pdf</v>
      </c>
    </row>
    <row r="3273" spans="1:28" x14ac:dyDescent="0.25">
      <c r="A3273" t="s">
        <v>3277</v>
      </c>
      <c r="B3273">
        <v>0.99252571173614901</v>
      </c>
      <c r="C3273">
        <v>0.81287273447439101</v>
      </c>
      <c r="D3273">
        <v>1.02647756941656</v>
      </c>
      <c r="E3273">
        <v>0.95550856094682801</v>
      </c>
      <c r="F3273">
        <v>0.31574629394652998</v>
      </c>
      <c r="G3273">
        <v>0.115969660981392</v>
      </c>
      <c r="H3273">
        <v>7.1107703065816805E-2</v>
      </c>
      <c r="I3273">
        <v>8.6548746501354704E-2</v>
      </c>
      <c r="J3273">
        <v>8.9885086015510499E-2</v>
      </c>
      <c r="K3273">
        <v>0.110080989359971</v>
      </c>
      <c r="L3273">
        <v>2960.7461561135001</v>
      </c>
      <c r="M3273">
        <v>56.767030060300399</v>
      </c>
      <c r="N3273">
        <v>52.345248854949403</v>
      </c>
      <c r="O3273">
        <v>52.091489857119903</v>
      </c>
      <c r="P3273">
        <v>-0.24717504496595499</v>
      </c>
      <c r="Q3273">
        <v>9.2733408947554094E-2</v>
      </c>
      <c r="R3273">
        <v>0.97785727460504501</v>
      </c>
      <c r="S3273" t="s">
        <v>9919</v>
      </c>
      <c r="T3273" t="s">
        <v>13290</v>
      </c>
      <c r="U3273" t="s">
        <v>13290</v>
      </c>
      <c r="V3273" t="s">
        <v>13290</v>
      </c>
      <c r="W3273" t="s">
        <v>16519</v>
      </c>
      <c r="X3273">
        <v>6</v>
      </c>
      <c r="Y3273" t="s">
        <v>23038</v>
      </c>
      <c r="Z3273" t="s">
        <v>29603</v>
      </c>
      <c r="AA3273">
        <v>0.46197769997873572</v>
      </c>
      <c r="AB3273" t="str">
        <f>HYPERLINK("Melting_Curves/meltCurve_Q08E86_KIAA0100.pdf", "Melting_Curves/meltCurve_Q08E86_KIAA0100.pdf")</f>
        <v>Melting_Curves/meltCurve_Q08E86_KIAA0100.pdf</v>
      </c>
    </row>
    <row r="3274" spans="1:28" x14ac:dyDescent="0.25">
      <c r="A3274" t="s">
        <v>3278</v>
      </c>
      <c r="B3274">
        <v>0.99252571173614901</v>
      </c>
      <c r="C3274">
        <v>0.772842503099607</v>
      </c>
      <c r="D3274">
        <v>0.35586913001842202</v>
      </c>
      <c r="E3274">
        <v>0.164657015926538</v>
      </c>
      <c r="F3274">
        <v>0.106321121815371</v>
      </c>
      <c r="G3274">
        <v>6.2983893280176201E-2</v>
      </c>
      <c r="H3274">
        <v>4.6133277475152903E-2</v>
      </c>
      <c r="I3274">
        <v>4.4724243022495197E-2</v>
      </c>
      <c r="J3274">
        <v>4.3376280770877899E-2</v>
      </c>
      <c r="K3274">
        <v>4.1886837819542999E-2</v>
      </c>
      <c r="L3274">
        <v>1144.28625875941</v>
      </c>
      <c r="M3274">
        <v>25.538636786219399</v>
      </c>
      <c r="N3274">
        <v>45.019021328485699</v>
      </c>
      <c r="O3274">
        <v>44.534060580477302</v>
      </c>
      <c r="P3274">
        <v>-0.135210100974092</v>
      </c>
      <c r="Q3274">
        <v>5.6898538352658401E-2</v>
      </c>
      <c r="R3274">
        <v>0.99565716159019302</v>
      </c>
      <c r="S3274" t="s">
        <v>9920</v>
      </c>
      <c r="T3274" t="s">
        <v>13290</v>
      </c>
      <c r="U3274" t="s">
        <v>13290</v>
      </c>
      <c r="V3274" t="s">
        <v>13290</v>
      </c>
      <c r="W3274" t="s">
        <v>16520</v>
      </c>
      <c r="X3274">
        <v>36</v>
      </c>
      <c r="Y3274" t="s">
        <v>23039</v>
      </c>
      <c r="Z3274" t="s">
        <v>29604</v>
      </c>
      <c r="AA3274">
        <v>0.21710283158732421</v>
      </c>
      <c r="AB3274" t="str">
        <f>HYPERLINK("Melting_Curves/meltCurve_Q08J23_NSUN2.pdf", "Melting_Curves/meltCurve_Q08J23_NSUN2.pdf")</f>
        <v>Melting_Curves/meltCurve_Q08J23_NSUN2.pdf</v>
      </c>
    </row>
    <row r="3275" spans="1:28" x14ac:dyDescent="0.25">
      <c r="A3275" t="s">
        <v>3279</v>
      </c>
      <c r="B3275">
        <v>0.99252571173614901</v>
      </c>
      <c r="C3275">
        <v>0.98708984408539502</v>
      </c>
      <c r="D3275">
        <v>0.96945186924067195</v>
      </c>
      <c r="E3275">
        <v>1.02889146957138</v>
      </c>
      <c r="F3275">
        <v>1.0727557056557699</v>
      </c>
      <c r="G3275">
        <v>0.97247350183183201</v>
      </c>
      <c r="H3275">
        <v>0.78253810763974996</v>
      </c>
      <c r="I3275">
        <v>0.23365142147382501</v>
      </c>
      <c r="J3275">
        <v>0.15386675404373801</v>
      </c>
      <c r="K3275">
        <v>0.17206285327281301</v>
      </c>
      <c r="L3275">
        <v>4131.3622446628697</v>
      </c>
      <c r="M3275">
        <v>66.903765450955603</v>
      </c>
      <c r="N3275">
        <v>62.111059103097801</v>
      </c>
      <c r="O3275">
        <v>61.6957175505744</v>
      </c>
      <c r="P3275">
        <v>-0.22750888317837101</v>
      </c>
      <c r="Q3275">
        <v>0.160805376518905</v>
      </c>
      <c r="R3275">
        <v>0.99395830321339995</v>
      </c>
      <c r="S3275" t="s">
        <v>9921</v>
      </c>
      <c r="T3275" t="s">
        <v>13290</v>
      </c>
      <c r="U3275" t="s">
        <v>13290</v>
      </c>
      <c r="V3275" t="s">
        <v>13290</v>
      </c>
      <c r="W3275" t="s">
        <v>16521</v>
      </c>
      <c r="X3275">
        <v>14</v>
      </c>
      <c r="Y3275" t="s">
        <v>23040</v>
      </c>
      <c r="Z3275" t="s">
        <v>29605</v>
      </c>
      <c r="AA3275">
        <v>0.77050495286873955</v>
      </c>
      <c r="AB3275" t="str">
        <f>HYPERLINK("Melting_Curves/meltCurve_Q09028_3_RBBP4.pdf", "Melting_Curves/meltCurve_Q09028_3_RBBP4.pdf")</f>
        <v>Melting_Curves/meltCurve_Q09028_3_RBBP4.pdf</v>
      </c>
    </row>
    <row r="3276" spans="1:28" x14ac:dyDescent="0.25">
      <c r="A3276" t="s">
        <v>3280</v>
      </c>
      <c r="B3276">
        <v>0.99252571173614901</v>
      </c>
      <c r="C3276">
        <v>0.75383840439904204</v>
      </c>
      <c r="D3276">
        <v>1.1224565087879701</v>
      </c>
      <c r="E3276">
        <v>0.93126764535750095</v>
      </c>
      <c r="F3276">
        <v>0.38636062308275199</v>
      </c>
      <c r="G3276">
        <v>0.13800621815068001</v>
      </c>
      <c r="H3276">
        <v>8.6169924542102497E-2</v>
      </c>
      <c r="I3276">
        <v>9.22362556589649E-2</v>
      </c>
      <c r="J3276">
        <v>0.10033067169396701</v>
      </c>
      <c r="K3276">
        <v>9.4149406374392799E-2</v>
      </c>
      <c r="L3276">
        <v>2388.6371557553698</v>
      </c>
      <c r="M3276">
        <v>45.6367716729658</v>
      </c>
      <c r="N3276">
        <v>52.5873451688852</v>
      </c>
      <c r="O3276">
        <v>52.239984438228802</v>
      </c>
      <c r="P3276">
        <v>-0.19731907173730001</v>
      </c>
      <c r="Q3276">
        <v>9.6523944178949397E-2</v>
      </c>
      <c r="R3276">
        <v>0.95437596398080704</v>
      </c>
      <c r="S3276" t="s">
        <v>9922</v>
      </c>
      <c r="T3276" t="s">
        <v>13290</v>
      </c>
      <c r="U3276" t="s">
        <v>13290</v>
      </c>
      <c r="V3276" t="s">
        <v>13290</v>
      </c>
      <c r="W3276" t="s">
        <v>16522</v>
      </c>
      <c r="X3276">
        <v>19</v>
      </c>
      <c r="Y3276" t="s">
        <v>23041</v>
      </c>
      <c r="Z3276" t="s">
        <v>29606</v>
      </c>
      <c r="AA3276">
        <v>0.47066540469005702</v>
      </c>
      <c r="AB3276" t="str">
        <f>HYPERLINK("Melting_Curves/meltCurve_Q09161_NCBP1.pdf", "Melting_Curves/meltCurve_Q09161_NCBP1.pdf")</f>
        <v>Melting_Curves/meltCurve_Q09161_NCBP1.pdf</v>
      </c>
    </row>
    <row r="3277" spans="1:28" x14ac:dyDescent="0.25">
      <c r="A3277" t="s">
        <v>3281</v>
      </c>
      <c r="B3277">
        <v>0.99252571173614901</v>
      </c>
      <c r="C3277">
        <v>0.90388099556867096</v>
      </c>
      <c r="D3277">
        <v>0.84306993249554996</v>
      </c>
      <c r="E3277">
        <v>0.73792272455890495</v>
      </c>
      <c r="F3277">
        <v>0.46371236483757999</v>
      </c>
      <c r="G3277">
        <v>0.216008884091618</v>
      </c>
      <c r="H3277">
        <v>9.7272545994185194E-2</v>
      </c>
      <c r="I3277">
        <v>0.10110211049907</v>
      </c>
      <c r="J3277">
        <v>0.13888299490355599</v>
      </c>
      <c r="K3277">
        <v>0.14687878496232701</v>
      </c>
      <c r="L3277">
        <v>869.38268600394701</v>
      </c>
      <c r="M3277">
        <v>16.832387810629498</v>
      </c>
      <c r="N3277">
        <v>52.251085630830197</v>
      </c>
      <c r="O3277">
        <v>50.936924318833498</v>
      </c>
      <c r="P3277">
        <v>-7.5340388689844606E-2</v>
      </c>
      <c r="Q3277">
        <v>8.8100596199792505E-2</v>
      </c>
      <c r="R3277">
        <v>0.98493660540958095</v>
      </c>
      <c r="S3277" t="s">
        <v>9923</v>
      </c>
      <c r="T3277" t="s">
        <v>13290</v>
      </c>
      <c r="U3277" t="s">
        <v>13290</v>
      </c>
      <c r="V3277" t="s">
        <v>13290</v>
      </c>
      <c r="W3277" t="s">
        <v>16523</v>
      </c>
      <c r="X3277">
        <v>10</v>
      </c>
      <c r="Y3277" t="s">
        <v>23042</v>
      </c>
      <c r="Z3277" t="s">
        <v>29607</v>
      </c>
      <c r="AA3277">
        <v>0.45930340351168319</v>
      </c>
      <c r="AB3277" t="str">
        <f>HYPERLINK("Melting_Curves/meltCurve_Q09328_MGAT5.pdf", "Melting_Curves/meltCurve_Q09328_MGAT5.pdf")</f>
        <v>Melting_Curves/meltCurve_Q09328_MGAT5.pdf</v>
      </c>
    </row>
    <row r="3278" spans="1:28" x14ac:dyDescent="0.25">
      <c r="A3278" t="s">
        <v>3282</v>
      </c>
      <c r="B3278">
        <v>0.99252571173614901</v>
      </c>
      <c r="C3278">
        <v>0.94640027681793804</v>
      </c>
      <c r="D3278">
        <v>0.89484582542692104</v>
      </c>
      <c r="E3278">
        <v>0.70854377067553398</v>
      </c>
      <c r="F3278">
        <v>0.16059669244218699</v>
      </c>
      <c r="G3278">
        <v>0.10038218882345799</v>
      </c>
      <c r="H3278">
        <v>7.8876860021239906E-2</v>
      </c>
      <c r="I3278">
        <v>0.101434111904999</v>
      </c>
      <c r="J3278">
        <v>0.12648999748628401</v>
      </c>
      <c r="K3278">
        <v>0.121373662643875</v>
      </c>
      <c r="L3278">
        <v>2207.0846606916198</v>
      </c>
      <c r="M3278">
        <v>43.8318094087902</v>
      </c>
      <c r="N3278">
        <v>50.615385571429599</v>
      </c>
      <c r="O3278">
        <v>50.249005947989197</v>
      </c>
      <c r="P3278">
        <v>-0.195948138784486</v>
      </c>
      <c r="Q3278">
        <v>0.10145736055455901</v>
      </c>
      <c r="R3278">
        <v>0.99094698676516402</v>
      </c>
      <c r="S3278" t="s">
        <v>9924</v>
      </c>
      <c r="T3278" t="s">
        <v>13290</v>
      </c>
      <c r="U3278" t="s">
        <v>13290</v>
      </c>
      <c r="V3278" t="s">
        <v>13290</v>
      </c>
      <c r="W3278" t="s">
        <v>16524</v>
      </c>
      <c r="X3278">
        <v>17</v>
      </c>
      <c r="Y3278" t="s">
        <v>23043</v>
      </c>
      <c r="Z3278" t="s">
        <v>29608</v>
      </c>
      <c r="AA3278">
        <v>0.41416050634242219</v>
      </c>
      <c r="AB3278" t="str">
        <f>HYPERLINK("Melting_Curves/meltCurve_Q09472_EP300.pdf", "Melting_Curves/meltCurve_Q09472_EP300.pdf")</f>
        <v>Melting_Curves/meltCurve_Q09472_EP300.pdf</v>
      </c>
    </row>
    <row r="3279" spans="1:28" x14ac:dyDescent="0.25">
      <c r="A3279" t="s">
        <v>3283</v>
      </c>
      <c r="B3279">
        <v>0.99252571173614901</v>
      </c>
      <c r="C3279">
        <v>0.98263353414795096</v>
      </c>
      <c r="D3279">
        <v>0.87667630141805997</v>
      </c>
      <c r="E3279">
        <v>0.73366602262094804</v>
      </c>
      <c r="F3279">
        <v>0.54833668457527496</v>
      </c>
      <c r="G3279">
        <v>0.433777348704661</v>
      </c>
      <c r="H3279">
        <v>0.47135152497118898</v>
      </c>
      <c r="I3279">
        <v>0.75736133046987297</v>
      </c>
      <c r="J3279">
        <v>1.11751329376348</v>
      </c>
      <c r="K3279">
        <v>1.3254927346023</v>
      </c>
      <c r="L3279">
        <v>623.347823041384</v>
      </c>
      <c r="M3279">
        <v>1.0000000000000001E-5</v>
      </c>
      <c r="Q3279">
        <v>1.5</v>
      </c>
      <c r="R3279">
        <v>-0.40830105167634201</v>
      </c>
      <c r="S3279" t="s">
        <v>9925</v>
      </c>
      <c r="T3279" t="s">
        <v>13290</v>
      </c>
      <c r="U3279" t="s">
        <v>13290</v>
      </c>
      <c r="V3279" t="s">
        <v>13290</v>
      </c>
      <c r="W3279" t="s">
        <v>16525</v>
      </c>
      <c r="X3279">
        <v>274</v>
      </c>
      <c r="Y3279" t="s">
        <v>23044</v>
      </c>
      <c r="Z3279" t="s">
        <v>29609</v>
      </c>
      <c r="AA3279">
        <v>1.000014728316825</v>
      </c>
      <c r="AB3279" t="str">
        <f>HYPERLINK("Melting_Curves/meltCurve_Q09666_AHNAK.pdf", "Melting_Curves/meltCurve_Q09666_AHNAK.pdf")</f>
        <v>Melting_Curves/meltCurve_Q09666_AHNAK.pdf</v>
      </c>
    </row>
    <row r="3280" spans="1:28" x14ac:dyDescent="0.25">
      <c r="A3280" t="s">
        <v>3284</v>
      </c>
      <c r="B3280">
        <v>0.99252571173614901</v>
      </c>
      <c r="C3280">
        <v>0.99856286115691995</v>
      </c>
      <c r="D3280">
        <v>0.88583390109872395</v>
      </c>
      <c r="E3280">
        <v>0.73844513231299802</v>
      </c>
      <c r="F3280">
        <v>0.24341413438408699</v>
      </c>
      <c r="G3280">
        <v>0.136579941732907</v>
      </c>
      <c r="H3280">
        <v>9.3835992047431399E-2</v>
      </c>
      <c r="I3280">
        <v>9.2979589592745396E-2</v>
      </c>
      <c r="J3280">
        <v>0.108154113959469</v>
      </c>
      <c r="K3280">
        <v>0.104838198662421</v>
      </c>
      <c r="L3280">
        <v>1616.1688520958901</v>
      </c>
      <c r="M3280">
        <v>31.8376116965729</v>
      </c>
      <c r="N3280">
        <v>51.110455081180902</v>
      </c>
      <c r="O3280">
        <v>50.563866622446199</v>
      </c>
      <c r="P3280">
        <v>-0.14209133321021999</v>
      </c>
      <c r="Q3280">
        <v>9.7338031914876999E-2</v>
      </c>
      <c r="R3280">
        <v>0.99430201223484804</v>
      </c>
      <c r="S3280" t="s">
        <v>9926</v>
      </c>
      <c r="T3280" t="s">
        <v>13290</v>
      </c>
      <c r="U3280" t="s">
        <v>13290</v>
      </c>
      <c r="V3280" t="s">
        <v>13290</v>
      </c>
      <c r="W3280" t="s">
        <v>16526</v>
      </c>
      <c r="X3280">
        <v>12</v>
      </c>
      <c r="Y3280" t="s">
        <v>23045</v>
      </c>
      <c r="Z3280" t="s">
        <v>29610</v>
      </c>
      <c r="AA3280">
        <v>0.42619604529814897</v>
      </c>
      <c r="AB3280" t="str">
        <f>HYPERLINK("Melting_Curves/meltCurve_Q0JRZ9_FCHO2.pdf", "Melting_Curves/meltCurve_Q0JRZ9_FCHO2.pdf")</f>
        <v>Melting_Curves/meltCurve_Q0JRZ9_FCHO2.pdf</v>
      </c>
    </row>
    <row r="3281" spans="1:28" x14ac:dyDescent="0.25">
      <c r="A3281" t="s">
        <v>3285</v>
      </c>
      <c r="B3281">
        <v>0.99252571173614901</v>
      </c>
      <c r="C3281">
        <v>0.893355107890067</v>
      </c>
      <c r="D3281">
        <v>0.98498491569193702</v>
      </c>
      <c r="E3281">
        <v>0.88993578097969395</v>
      </c>
      <c r="F3281">
        <v>0.80785223447825305</v>
      </c>
      <c r="G3281">
        <v>0.62520752432979398</v>
      </c>
      <c r="H3281">
        <v>0.61003961066806101</v>
      </c>
      <c r="I3281">
        <v>0.68625302500715102</v>
      </c>
      <c r="J3281">
        <v>0.74089800441794096</v>
      </c>
      <c r="K3281">
        <v>0.60249433319076595</v>
      </c>
      <c r="L3281">
        <v>1250.14624556475</v>
      </c>
      <c r="M3281">
        <v>24.213571795242299</v>
      </c>
      <c r="O3281">
        <v>51.281690224205498</v>
      </c>
      <c r="P3281">
        <v>-4.1389620131581803E-2</v>
      </c>
      <c r="Q3281">
        <v>0.649370645900467</v>
      </c>
      <c r="R3281">
        <v>0.85379661944332197</v>
      </c>
      <c r="S3281" t="s">
        <v>9927</v>
      </c>
      <c r="T3281" t="s">
        <v>13290</v>
      </c>
      <c r="U3281" t="s">
        <v>13290</v>
      </c>
      <c r="V3281" t="s">
        <v>13290</v>
      </c>
      <c r="W3281" t="s">
        <v>16527</v>
      </c>
      <c r="X3281">
        <v>5</v>
      </c>
      <c r="Y3281" t="s">
        <v>23046</v>
      </c>
      <c r="Z3281" t="s">
        <v>29611</v>
      </c>
      <c r="AA3281">
        <v>0.78869012557906271</v>
      </c>
      <c r="AB3281" t="str">
        <f>HYPERLINK("Melting_Curves/meltCurve_Q0PNE2_ELP6.pdf", "Melting_Curves/meltCurve_Q0PNE2_ELP6.pdf")</f>
        <v>Melting_Curves/meltCurve_Q0PNE2_ELP6.pdf</v>
      </c>
    </row>
    <row r="3282" spans="1:28" x14ac:dyDescent="0.25">
      <c r="A3282" t="s">
        <v>3286</v>
      </c>
      <c r="B3282">
        <v>0.99252571173614901</v>
      </c>
      <c r="C3282">
        <v>0.90952390496711699</v>
      </c>
      <c r="D3282">
        <v>0.53127445150239505</v>
      </c>
      <c r="E3282">
        <v>0.25792500688619702</v>
      </c>
      <c r="F3282">
        <v>0.13191889388191999</v>
      </c>
      <c r="G3282">
        <v>6.8552672138617293E-2</v>
      </c>
      <c r="H3282">
        <v>4.7872568635324603E-2</v>
      </c>
      <c r="I3282">
        <v>5.2060641498708302E-2</v>
      </c>
      <c r="J3282">
        <v>6.1134128053305203E-2</v>
      </c>
      <c r="K3282">
        <v>5.80884029657186E-2</v>
      </c>
      <c r="L3282">
        <v>1055.9519034940499</v>
      </c>
      <c r="M3282">
        <v>22.779449174032301</v>
      </c>
      <c r="N3282">
        <v>46.6155053575728</v>
      </c>
      <c r="O3282">
        <v>46.002671483416798</v>
      </c>
      <c r="P3282">
        <v>-0.116410273701259</v>
      </c>
      <c r="Q3282">
        <v>5.9665195288918102E-2</v>
      </c>
      <c r="R3282">
        <v>0.99591189939172198</v>
      </c>
      <c r="S3282" t="s">
        <v>9928</v>
      </c>
      <c r="T3282" t="s">
        <v>13290</v>
      </c>
      <c r="U3282" t="s">
        <v>13290</v>
      </c>
      <c r="V3282" t="s">
        <v>13290</v>
      </c>
      <c r="W3282" t="s">
        <v>16528</v>
      </c>
      <c r="X3282">
        <v>12</v>
      </c>
      <c r="Y3282" t="s">
        <v>23047</v>
      </c>
      <c r="Z3282" t="s">
        <v>29612</v>
      </c>
      <c r="AA3282">
        <v>0.26944034601941591</v>
      </c>
      <c r="AB3282" t="str">
        <f>HYPERLINK("Melting_Curves/meltCurve_Q0VDF9_HSPA14.pdf", "Melting_Curves/meltCurve_Q0VDF9_HSPA14.pdf")</f>
        <v>Melting_Curves/meltCurve_Q0VDF9_HSPA14.pdf</v>
      </c>
    </row>
    <row r="3283" spans="1:28" x14ac:dyDescent="0.25">
      <c r="A3283" t="s">
        <v>3287</v>
      </c>
      <c r="B3283">
        <v>0.99252571173614901</v>
      </c>
      <c r="C3283">
        <v>1.08006093370448</v>
      </c>
      <c r="D3283">
        <v>0.89629518940706698</v>
      </c>
      <c r="E3283">
        <v>0.64590608462486698</v>
      </c>
      <c r="F3283">
        <v>0.25062479635039497</v>
      </c>
      <c r="G3283">
        <v>0.16331464167361601</v>
      </c>
      <c r="H3283">
        <v>0.102697540632431</v>
      </c>
      <c r="I3283">
        <v>0.117599990433775</v>
      </c>
      <c r="J3283">
        <v>0.119079561690806</v>
      </c>
      <c r="K3283">
        <v>0.13974982302268699</v>
      </c>
      <c r="L3283">
        <v>1423.4741565265699</v>
      </c>
      <c r="M3283">
        <v>28.372658605322499</v>
      </c>
      <c r="N3283">
        <v>50.655249281178797</v>
      </c>
      <c r="O3283">
        <v>49.923379051038097</v>
      </c>
      <c r="P3283">
        <v>-0.12519427147461701</v>
      </c>
      <c r="Q3283">
        <v>0.118860063391799</v>
      </c>
      <c r="R3283">
        <v>0.99267547188843697</v>
      </c>
      <c r="S3283" t="s">
        <v>9929</v>
      </c>
      <c r="T3283" t="s">
        <v>13290</v>
      </c>
      <c r="U3283" t="s">
        <v>13290</v>
      </c>
      <c r="V3283" t="s">
        <v>13290</v>
      </c>
      <c r="W3283" t="s">
        <v>16529</v>
      </c>
      <c r="X3283">
        <v>3</v>
      </c>
      <c r="Y3283" t="s">
        <v>23048</v>
      </c>
      <c r="Z3283" t="s">
        <v>29613</v>
      </c>
      <c r="AA3283">
        <v>0.4237013973921086</v>
      </c>
      <c r="AB3283" t="str">
        <f>HYPERLINK("Melting_Curves/meltCurve_Q0VDG4_2_SCRN3.pdf", "Melting_Curves/meltCurve_Q0VDG4_2_SCRN3.pdf")</f>
        <v>Melting_Curves/meltCurve_Q0VDG4_2_SCRN3.pdf</v>
      </c>
    </row>
    <row r="3284" spans="1:28" x14ac:dyDescent="0.25">
      <c r="A3284" t="s">
        <v>3288</v>
      </c>
      <c r="B3284">
        <v>0.99252571173614901</v>
      </c>
      <c r="C3284">
        <v>0.94967449373233803</v>
      </c>
      <c r="D3284">
        <v>0.793725586019987</v>
      </c>
      <c r="E3284">
        <v>0.47071881088277301</v>
      </c>
      <c r="F3284">
        <v>0.31893120380963502</v>
      </c>
      <c r="G3284">
        <v>0.23791924054395999</v>
      </c>
      <c r="H3284">
        <v>0.15736984194269801</v>
      </c>
      <c r="I3284">
        <v>0.13694557378899599</v>
      </c>
      <c r="J3284">
        <v>7.8673216150865505E-2</v>
      </c>
      <c r="K3284">
        <v>8.6989929420587503E-2</v>
      </c>
      <c r="L3284">
        <v>791.71950661916696</v>
      </c>
      <c r="M3284">
        <v>16.103480507576901</v>
      </c>
      <c r="N3284">
        <v>49.873069121637897</v>
      </c>
      <c r="O3284">
        <v>48.425076515664301</v>
      </c>
      <c r="P3284">
        <v>-7.4640905246948303E-2</v>
      </c>
      <c r="Q3284">
        <v>0.10225238928228</v>
      </c>
      <c r="R3284">
        <v>0.99328508571028495</v>
      </c>
      <c r="S3284" t="s">
        <v>9930</v>
      </c>
      <c r="T3284" t="s">
        <v>13290</v>
      </c>
      <c r="U3284" t="s">
        <v>13290</v>
      </c>
      <c r="V3284" t="s">
        <v>13290</v>
      </c>
      <c r="W3284" t="s">
        <v>16530</v>
      </c>
      <c r="X3284">
        <v>2</v>
      </c>
      <c r="Y3284" t="s">
        <v>23049</v>
      </c>
      <c r="Z3284" t="s">
        <v>29614</v>
      </c>
      <c r="AA3284">
        <v>0.39575790949707362</v>
      </c>
      <c r="AB3284" t="str">
        <f>HYPERLINK("Melting_Curves/meltCurve_Q0VG06_FAAP100.pdf", "Melting_Curves/meltCurve_Q0VG06_FAAP100.pdf")</f>
        <v>Melting_Curves/meltCurve_Q0VG06_FAAP100.pdf</v>
      </c>
    </row>
    <row r="3285" spans="1:28" x14ac:dyDescent="0.25">
      <c r="A3285" t="s">
        <v>3289</v>
      </c>
      <c r="B3285">
        <v>0.99252571173614901</v>
      </c>
      <c r="C3285">
        <v>0.98685905796292805</v>
      </c>
      <c r="D3285">
        <v>0.915546988375045</v>
      </c>
      <c r="E3285">
        <v>0.93490674656428896</v>
      </c>
      <c r="F3285">
        <v>0.79235227254863905</v>
      </c>
      <c r="G3285">
        <v>0.65414374606289405</v>
      </c>
      <c r="H3285">
        <v>0.44645246629243701</v>
      </c>
      <c r="I3285">
        <v>0.34559551479852102</v>
      </c>
      <c r="J3285">
        <v>0.221371032631524</v>
      </c>
      <c r="K3285">
        <v>0.15265257285199199</v>
      </c>
      <c r="L3285">
        <v>669.268782661111</v>
      </c>
      <c r="M3285">
        <v>11.185124103344</v>
      </c>
      <c r="N3285">
        <v>59.835615295610303</v>
      </c>
      <c r="O3285">
        <v>58.018583976381201</v>
      </c>
      <c r="P3285">
        <v>-4.8211546375909402E-2</v>
      </c>
      <c r="Q3285">
        <v>0</v>
      </c>
      <c r="R3285">
        <v>0.99574549884583696</v>
      </c>
      <c r="S3285" t="s">
        <v>9931</v>
      </c>
      <c r="T3285" t="s">
        <v>13290</v>
      </c>
      <c r="U3285" t="s">
        <v>13290</v>
      </c>
      <c r="V3285" t="s">
        <v>13290</v>
      </c>
      <c r="W3285" t="s">
        <v>16531</v>
      </c>
      <c r="X3285">
        <v>2</v>
      </c>
      <c r="Y3285" t="s">
        <v>23050</v>
      </c>
      <c r="Z3285" t="s">
        <v>29615</v>
      </c>
      <c r="AA3285">
        <v>0.66247828021758448</v>
      </c>
      <c r="AB3285" t="str">
        <f>HYPERLINK("Melting_Curves/meltCurve_Q0VGL1_LAMTOR4.pdf", "Melting_Curves/meltCurve_Q0VGL1_LAMTOR4.pdf")</f>
        <v>Melting_Curves/meltCurve_Q0VGL1_LAMTOR4.pdf</v>
      </c>
    </row>
    <row r="3286" spans="1:28" x14ac:dyDescent="0.25">
      <c r="A3286" t="s">
        <v>3290</v>
      </c>
      <c r="B3286">
        <v>0.99252571173614901</v>
      </c>
      <c r="C3286">
        <v>0.85049431019740995</v>
      </c>
      <c r="D3286">
        <v>0.76111546232517902</v>
      </c>
      <c r="E3286">
        <v>0.66560619748518401</v>
      </c>
      <c r="F3286">
        <v>0.36481406320461401</v>
      </c>
      <c r="G3286">
        <v>0.143511182750897</v>
      </c>
      <c r="H3286">
        <v>7.2051625625579901E-2</v>
      </c>
      <c r="I3286">
        <v>8.6809754521835203E-2</v>
      </c>
      <c r="J3286">
        <v>0.12940998093884101</v>
      </c>
      <c r="K3286">
        <v>9.1491298159232001E-2</v>
      </c>
      <c r="L3286">
        <v>710.47274880906104</v>
      </c>
      <c r="M3286">
        <v>14.093105948172299</v>
      </c>
      <c r="N3286">
        <v>50.7693918328781</v>
      </c>
      <c r="O3286">
        <v>49.430314861393903</v>
      </c>
      <c r="P3286">
        <v>-6.7927501153868294E-2</v>
      </c>
      <c r="Q3286">
        <v>4.71241741763321E-2</v>
      </c>
      <c r="R3286">
        <v>0.977916909497759</v>
      </c>
      <c r="S3286" t="s">
        <v>9932</v>
      </c>
      <c r="T3286" t="s">
        <v>13290</v>
      </c>
      <c r="U3286" t="s">
        <v>13290</v>
      </c>
      <c r="V3286" t="s">
        <v>13290</v>
      </c>
      <c r="W3286" t="s">
        <v>16532</v>
      </c>
      <c r="X3286">
        <v>4</v>
      </c>
      <c r="Y3286" t="s">
        <v>23051</v>
      </c>
      <c r="Z3286" t="s">
        <v>29616</v>
      </c>
      <c r="AA3286">
        <v>0.40278891789232968</v>
      </c>
      <c r="AB3286" t="str">
        <f>HYPERLINK("Melting_Curves/meltCurve_Q10469_MGAT2.pdf", "Melting_Curves/meltCurve_Q10469_MGAT2.pdf")</f>
        <v>Melting_Curves/meltCurve_Q10469_MGAT2.pdf</v>
      </c>
    </row>
    <row r="3287" spans="1:28" x14ac:dyDescent="0.25">
      <c r="A3287" t="s">
        <v>3291</v>
      </c>
      <c r="B3287">
        <v>0.99252571173614901</v>
      </c>
      <c r="C3287">
        <v>0.83399516926441997</v>
      </c>
      <c r="D3287">
        <v>0.75557800443113998</v>
      </c>
      <c r="E3287">
        <v>0.48754124100180601</v>
      </c>
      <c r="F3287">
        <v>0.114810939119915</v>
      </c>
      <c r="G3287">
        <v>6.9221656802996606E-2</v>
      </c>
      <c r="H3287">
        <v>4.2579320187514098E-2</v>
      </c>
      <c r="I3287">
        <v>4.6029740662680001E-2</v>
      </c>
      <c r="J3287">
        <v>5.34836207597503E-2</v>
      </c>
      <c r="K3287">
        <v>5.61386042883706E-2</v>
      </c>
      <c r="L3287">
        <v>898.74306503171897</v>
      </c>
      <c r="M3287">
        <v>18.500769266952702</v>
      </c>
      <c r="N3287">
        <v>48.725123322760297</v>
      </c>
      <c r="O3287">
        <v>48.021791537749699</v>
      </c>
      <c r="P3287">
        <v>-9.3714053270016806E-2</v>
      </c>
      <c r="Q3287">
        <v>2.7042080319153301E-2</v>
      </c>
      <c r="R3287">
        <v>0.98523432268853695</v>
      </c>
      <c r="S3287" t="s">
        <v>9933</v>
      </c>
      <c r="T3287" t="s">
        <v>13290</v>
      </c>
      <c r="U3287" t="s">
        <v>13290</v>
      </c>
      <c r="V3287" t="s">
        <v>13290</v>
      </c>
      <c r="W3287" t="s">
        <v>16533</v>
      </c>
      <c r="X3287">
        <v>16</v>
      </c>
      <c r="Y3287" t="s">
        <v>23052</v>
      </c>
      <c r="Z3287" t="s">
        <v>29617</v>
      </c>
      <c r="AA3287">
        <v>0.32134073351306353</v>
      </c>
      <c r="AB3287" t="str">
        <f>HYPERLINK("Melting_Curves/meltCurve_Q10471_GALNT2.pdf", "Melting_Curves/meltCurve_Q10471_GALNT2.pdf")</f>
        <v>Melting_Curves/meltCurve_Q10471_GALNT2.pdf</v>
      </c>
    </row>
    <row r="3288" spans="1:28" x14ac:dyDescent="0.25">
      <c r="A3288" t="s">
        <v>3292</v>
      </c>
      <c r="B3288">
        <v>0.99252571173614901</v>
      </c>
      <c r="C3288">
        <v>0.79222819410937695</v>
      </c>
      <c r="D3288">
        <v>0.920486533628182</v>
      </c>
      <c r="E3288">
        <v>0.64635948945295996</v>
      </c>
      <c r="F3288">
        <v>0.48071284828547001</v>
      </c>
      <c r="G3288">
        <v>0.25200554458295599</v>
      </c>
      <c r="H3288">
        <v>9.1331192950680304E-2</v>
      </c>
      <c r="I3288">
        <v>7.1257650798500105E-2</v>
      </c>
      <c r="J3288">
        <v>6.9433172939694796E-2</v>
      </c>
      <c r="K3288">
        <v>7.0619339973726894E-2</v>
      </c>
      <c r="L3288">
        <v>664.887245683488</v>
      </c>
      <c r="M3288">
        <v>12.735058590922501</v>
      </c>
      <c r="N3288">
        <v>52.209180396478899</v>
      </c>
      <c r="O3288">
        <v>50.972075494702302</v>
      </c>
      <c r="P3288">
        <v>-6.2472912511363297E-2</v>
      </c>
      <c r="Q3288">
        <v>0</v>
      </c>
      <c r="R3288">
        <v>0.97367650652696602</v>
      </c>
      <c r="S3288" t="s">
        <v>9934</v>
      </c>
      <c r="T3288" t="s">
        <v>13290</v>
      </c>
      <c r="U3288" t="s">
        <v>13290</v>
      </c>
      <c r="V3288" t="s">
        <v>13290</v>
      </c>
      <c r="W3288" t="s">
        <v>16534</v>
      </c>
      <c r="X3288">
        <v>38</v>
      </c>
      <c r="Y3288" t="s">
        <v>23053</v>
      </c>
      <c r="Z3288" t="s">
        <v>29618</v>
      </c>
      <c r="AA3288">
        <v>0.43492630999450133</v>
      </c>
      <c r="AB3288" t="str">
        <f>HYPERLINK("Melting_Curves/meltCurve_Q10567_3_AP1B1.pdf", "Melting_Curves/meltCurve_Q10567_3_AP1B1.pdf")</f>
        <v>Melting_Curves/meltCurve_Q10567_3_AP1B1.pdf</v>
      </c>
    </row>
    <row r="3289" spans="1:28" x14ac:dyDescent="0.25">
      <c r="A3289" t="s">
        <v>3293</v>
      </c>
      <c r="B3289">
        <v>0.99252571173614901</v>
      </c>
      <c r="C3289">
        <v>0.84881893963390098</v>
      </c>
      <c r="D3289">
        <v>1.1242537090345199</v>
      </c>
      <c r="E3289">
        <v>1.03302718993736</v>
      </c>
      <c r="F3289">
        <v>0.37061527667727001</v>
      </c>
      <c r="G3289">
        <v>0.23057965156235199</v>
      </c>
      <c r="H3289">
        <v>0.11158569422375</v>
      </c>
      <c r="I3289">
        <v>0.103500083392653</v>
      </c>
      <c r="J3289">
        <v>0.12732825938937001</v>
      </c>
      <c r="K3289">
        <v>0.131154013597722</v>
      </c>
      <c r="L3289">
        <v>6696.1851126170204</v>
      </c>
      <c r="M3289">
        <v>126.874939679525</v>
      </c>
      <c r="N3289">
        <v>52.915766307813598</v>
      </c>
      <c r="O3289">
        <v>52.764728941707801</v>
      </c>
      <c r="P3289">
        <v>-0.516500117832974</v>
      </c>
      <c r="Q3289">
        <v>0.14079207455505899</v>
      </c>
      <c r="R3289">
        <v>0.970747100151789</v>
      </c>
      <c r="S3289" t="s">
        <v>9935</v>
      </c>
      <c r="T3289" t="s">
        <v>13290</v>
      </c>
      <c r="U3289" t="s">
        <v>13290</v>
      </c>
      <c r="V3289" t="s">
        <v>13290</v>
      </c>
      <c r="W3289" t="s">
        <v>16535</v>
      </c>
      <c r="X3289">
        <v>10</v>
      </c>
      <c r="Y3289" t="s">
        <v>23054</v>
      </c>
      <c r="Z3289" t="s">
        <v>29619</v>
      </c>
      <c r="AA3289">
        <v>0.50706194547498795</v>
      </c>
      <c r="AB3289" t="str">
        <f>HYPERLINK("Melting_Curves/meltCurve_Q10570_CPSF1.pdf", "Melting_Curves/meltCurve_Q10570_CPSF1.pdf")</f>
        <v>Melting_Curves/meltCurve_Q10570_CPSF1.pdf</v>
      </c>
    </row>
    <row r="3290" spans="1:28" x14ac:dyDescent="0.25">
      <c r="A3290" t="s">
        <v>3294</v>
      </c>
      <c r="B3290">
        <v>0.99252571173614901</v>
      </c>
      <c r="C3290">
        <v>0.92734424618127798</v>
      </c>
      <c r="D3290">
        <v>0.94765906736444605</v>
      </c>
      <c r="E3290">
        <v>0.801143713897295</v>
      </c>
      <c r="F3290">
        <v>0.311785319887662</v>
      </c>
      <c r="G3290">
        <v>0.12958182130884899</v>
      </c>
      <c r="H3290">
        <v>8.8118192202618503E-2</v>
      </c>
      <c r="I3290">
        <v>8.5674510379953397E-2</v>
      </c>
      <c r="J3290">
        <v>8.7397845556488205E-2</v>
      </c>
      <c r="K3290">
        <v>8.3996568976977604E-2</v>
      </c>
      <c r="L3290">
        <v>1670.42571695329</v>
      </c>
      <c r="M3290">
        <v>32.465575941407103</v>
      </c>
      <c r="N3290">
        <v>51.746591699291599</v>
      </c>
      <c r="O3290">
        <v>51.258164655150701</v>
      </c>
      <c r="P3290">
        <v>-0.14499258956576599</v>
      </c>
      <c r="Q3290">
        <v>8.4319904308952004E-2</v>
      </c>
      <c r="R3290">
        <v>0.99583142089497501</v>
      </c>
      <c r="S3290" t="s">
        <v>9936</v>
      </c>
      <c r="T3290" t="s">
        <v>13290</v>
      </c>
      <c r="U3290" t="s">
        <v>13290</v>
      </c>
      <c r="V3290" t="s">
        <v>13290</v>
      </c>
      <c r="W3290" t="s">
        <v>16536</v>
      </c>
      <c r="X3290">
        <v>28</v>
      </c>
      <c r="Y3290" t="s">
        <v>23055</v>
      </c>
      <c r="Z3290" t="s">
        <v>29620</v>
      </c>
      <c r="AA3290">
        <v>0.43882465566820622</v>
      </c>
      <c r="AB3290" t="str">
        <f>HYPERLINK("Melting_Curves/meltCurve_Q10713_PMPCA.pdf", "Melting_Curves/meltCurve_Q10713_PMPCA.pdf")</f>
        <v>Melting_Curves/meltCurve_Q10713_PMPCA.pdf</v>
      </c>
    </row>
    <row r="3291" spans="1:28" x14ac:dyDescent="0.25">
      <c r="A3291" t="s">
        <v>3295</v>
      </c>
      <c r="B3291">
        <v>0.99252571173614901</v>
      </c>
      <c r="C3291">
        <v>0.85559304993014396</v>
      </c>
      <c r="D3291">
        <v>0.76202583784162703</v>
      </c>
      <c r="E3291">
        <v>0.49814130850957899</v>
      </c>
      <c r="F3291">
        <v>0.40581082984953998</v>
      </c>
      <c r="G3291">
        <v>0.12547689198368001</v>
      </c>
      <c r="H3291">
        <v>7.8733148336732103E-2</v>
      </c>
      <c r="I3291">
        <v>0.108349991796459</v>
      </c>
      <c r="J3291">
        <v>0.12624578514678</v>
      </c>
      <c r="K3291">
        <v>0.17647752888603799</v>
      </c>
      <c r="L3291">
        <v>714.48764026928097</v>
      </c>
      <c r="M3291">
        <v>14.551285148651299</v>
      </c>
      <c r="N3291">
        <v>49.8040446190805</v>
      </c>
      <c r="O3291">
        <v>48.201949623717503</v>
      </c>
      <c r="P3291">
        <v>-6.8474393603353098E-2</v>
      </c>
      <c r="Q3291">
        <v>9.2802124192583602E-2</v>
      </c>
      <c r="R3291">
        <v>0.97494916214122995</v>
      </c>
      <c r="S3291" t="s">
        <v>9937</v>
      </c>
      <c r="T3291" t="s">
        <v>13290</v>
      </c>
      <c r="U3291" t="s">
        <v>13290</v>
      </c>
      <c r="V3291" t="s">
        <v>13290</v>
      </c>
      <c r="W3291" t="s">
        <v>16537</v>
      </c>
      <c r="X3291">
        <v>3</v>
      </c>
      <c r="Y3291" t="s">
        <v>23056</v>
      </c>
      <c r="Z3291" t="s">
        <v>29621</v>
      </c>
      <c r="AA3291">
        <v>0.39162765949672712</v>
      </c>
      <c r="AB3291" t="str">
        <f>HYPERLINK("Melting_Curves/meltCurve_Q11206_3_ST3GAL4.pdf", "Melting_Curves/meltCurve_Q11206_3_ST3GAL4.pdf")</f>
        <v>Melting_Curves/meltCurve_Q11206_3_ST3GAL4.pdf</v>
      </c>
    </row>
    <row r="3292" spans="1:28" x14ac:dyDescent="0.25">
      <c r="A3292" t="s">
        <v>3296</v>
      </c>
      <c r="B3292">
        <v>0.99252571173614901</v>
      </c>
      <c r="C3292">
        <v>1.1063441759728101</v>
      </c>
      <c r="D3292">
        <v>0.99599307671036696</v>
      </c>
      <c r="E3292">
        <v>0.82762511042453302</v>
      </c>
      <c r="F3292">
        <v>0.250146676153365</v>
      </c>
      <c r="G3292">
        <v>0.105728878604787</v>
      </c>
      <c r="H3292">
        <v>6.3645465387760405E-2</v>
      </c>
      <c r="I3292">
        <v>7.5164153846114495E-2</v>
      </c>
      <c r="J3292">
        <v>8.5708648638948101E-2</v>
      </c>
      <c r="K3292">
        <v>8.6232672373549493E-2</v>
      </c>
      <c r="L3292">
        <v>2156.57926002569</v>
      </c>
      <c r="M3292">
        <v>42.010141932673697</v>
      </c>
      <c r="N3292">
        <v>51.547473388423001</v>
      </c>
      <c r="O3292">
        <v>51.218821521636897</v>
      </c>
      <c r="P3292">
        <v>-0.18873243169947801</v>
      </c>
      <c r="Q3292">
        <v>7.9590297939623203E-2</v>
      </c>
      <c r="R3292">
        <v>0.99364763747686902</v>
      </c>
      <c r="S3292" t="s">
        <v>9938</v>
      </c>
      <c r="T3292" t="s">
        <v>13290</v>
      </c>
      <c r="U3292" t="s">
        <v>13290</v>
      </c>
      <c r="V3292" t="s">
        <v>13290</v>
      </c>
      <c r="W3292" t="s">
        <v>16538</v>
      </c>
      <c r="X3292">
        <v>11</v>
      </c>
      <c r="Y3292" t="s">
        <v>23057</v>
      </c>
      <c r="Z3292" t="s">
        <v>29622</v>
      </c>
      <c r="AA3292">
        <v>0.43030189120291501</v>
      </c>
      <c r="AB3292" t="str">
        <f>HYPERLINK("Melting_Curves/meltCurve_Q12765_SCRN1.pdf", "Melting_Curves/meltCurve_Q12765_SCRN1.pdf")</f>
        <v>Melting_Curves/meltCurve_Q12765_SCRN1.pdf</v>
      </c>
    </row>
    <row r="3293" spans="1:28" x14ac:dyDescent="0.25">
      <c r="A3293" t="s">
        <v>3297</v>
      </c>
      <c r="B3293">
        <v>0.99252571173614901</v>
      </c>
      <c r="C3293">
        <v>0.86158164511522195</v>
      </c>
      <c r="D3293">
        <v>1.1312968723200101</v>
      </c>
      <c r="E3293">
        <v>0.630952835301966</v>
      </c>
      <c r="F3293">
        <v>0.21026646098968299</v>
      </c>
      <c r="G3293">
        <v>0.130814483956364</v>
      </c>
      <c r="H3293">
        <v>9.8115506329559607E-2</v>
      </c>
      <c r="I3293">
        <v>9.3918382523039204E-2</v>
      </c>
      <c r="J3293">
        <v>6.9313002999130596E-2</v>
      </c>
      <c r="K3293">
        <v>6.1286268787781199E-2</v>
      </c>
      <c r="L3293">
        <v>2106.0673706703401</v>
      </c>
      <c r="M3293">
        <v>41.964051027494101</v>
      </c>
      <c r="N3293">
        <v>50.440109209640099</v>
      </c>
      <c r="O3293">
        <v>50.0738575951831</v>
      </c>
      <c r="P3293">
        <v>-0.18964943882788601</v>
      </c>
      <c r="Q3293">
        <v>9.4800346170074296E-2</v>
      </c>
      <c r="R3293">
        <v>0.97198024530535398</v>
      </c>
      <c r="S3293" t="s">
        <v>9939</v>
      </c>
      <c r="T3293" t="s">
        <v>13290</v>
      </c>
      <c r="U3293" t="s">
        <v>13290</v>
      </c>
      <c r="V3293" t="s">
        <v>13290</v>
      </c>
      <c r="W3293" t="s">
        <v>16539</v>
      </c>
      <c r="X3293">
        <v>8</v>
      </c>
      <c r="Y3293" t="s">
        <v>23058</v>
      </c>
      <c r="Z3293" t="s">
        <v>29623</v>
      </c>
      <c r="AA3293">
        <v>0.40504023059291322</v>
      </c>
      <c r="AB3293" t="str">
        <f>HYPERLINK("Melting_Curves/meltCurve_Q12768_KIAA0196.pdf", "Melting_Curves/meltCurve_Q12768_KIAA0196.pdf")</f>
        <v>Melting_Curves/meltCurve_Q12768_KIAA0196.pdf</v>
      </c>
    </row>
    <row r="3294" spans="1:28" x14ac:dyDescent="0.25">
      <c r="A3294" t="s">
        <v>3298</v>
      </c>
      <c r="B3294">
        <v>0.99252571173614901</v>
      </c>
      <c r="C3294">
        <v>1.23860003150345</v>
      </c>
      <c r="D3294">
        <v>1.38743049653212</v>
      </c>
      <c r="E3294">
        <v>6.5091799874749503</v>
      </c>
      <c r="F3294">
        <v>5.2574039775977504</v>
      </c>
      <c r="G3294">
        <v>12.1465265431271</v>
      </c>
      <c r="H3294">
        <v>17.299012182532799</v>
      </c>
      <c r="I3294">
        <v>31.858276789835202</v>
      </c>
      <c r="J3294">
        <v>52.691246391198099</v>
      </c>
      <c r="K3294">
        <v>38.648480899839697</v>
      </c>
      <c r="S3294" t="s">
        <v>9940</v>
      </c>
      <c r="T3294" t="s">
        <v>13290</v>
      </c>
      <c r="U3294" t="s">
        <v>13291</v>
      </c>
      <c r="V3294" t="s">
        <v>13290</v>
      </c>
      <c r="W3294" t="s">
        <v>16540</v>
      </c>
      <c r="X3294">
        <v>2</v>
      </c>
      <c r="Y3294" t="s">
        <v>23059</v>
      </c>
      <c r="Z3294" t="s">
        <v>29624</v>
      </c>
      <c r="AB3294" t="str">
        <f>HYPERLINK("Melting_Curves/meltCurve_Q12770_SCAP.pdf", "Melting_Curves/meltCurve_Q12770_SCAP.pdf")</f>
        <v>Melting_Curves/meltCurve_Q12770_SCAP.pdf</v>
      </c>
    </row>
    <row r="3295" spans="1:28" x14ac:dyDescent="0.25">
      <c r="A3295" t="s">
        <v>3299</v>
      </c>
      <c r="B3295">
        <v>0.99252571173614901</v>
      </c>
      <c r="C3295">
        <v>1.0670755946060899</v>
      </c>
      <c r="D3295">
        <v>0.88326919501476397</v>
      </c>
      <c r="E3295">
        <v>0.61595615850386098</v>
      </c>
      <c r="F3295">
        <v>0.446940778403626</v>
      </c>
      <c r="G3295">
        <v>0.34617957962048002</v>
      </c>
      <c r="H3295">
        <v>0.33122444524212602</v>
      </c>
      <c r="I3295">
        <v>0.44540154184590902</v>
      </c>
      <c r="J3295">
        <v>0.63902073155914896</v>
      </c>
      <c r="K3295">
        <v>0.66737029909200996</v>
      </c>
      <c r="L3295">
        <v>1785.8102174214</v>
      </c>
      <c r="M3295">
        <v>37.294775157713097</v>
      </c>
      <c r="N3295">
        <v>52.395184083392202</v>
      </c>
      <c r="O3295">
        <v>47.746608042765899</v>
      </c>
      <c r="P3295">
        <v>-0.101572726405724</v>
      </c>
      <c r="Q3295">
        <v>0.47984779841036901</v>
      </c>
      <c r="R3295">
        <v>0.82243505794107397</v>
      </c>
      <c r="S3295" t="s">
        <v>9941</v>
      </c>
      <c r="T3295" t="s">
        <v>13290</v>
      </c>
      <c r="U3295" t="s">
        <v>13290</v>
      </c>
      <c r="V3295" t="s">
        <v>13290</v>
      </c>
      <c r="W3295" t="s">
        <v>16541</v>
      </c>
      <c r="X3295">
        <v>8</v>
      </c>
      <c r="Y3295" t="s">
        <v>23060</v>
      </c>
      <c r="Z3295" t="s">
        <v>29625</v>
      </c>
      <c r="AA3295">
        <v>0.6185306897936248</v>
      </c>
      <c r="AB3295" t="str">
        <f>HYPERLINK("Melting_Curves/meltCurve_Q12774_ARHGEF5.pdf", "Melting_Curves/meltCurve_Q12774_ARHGEF5.pdf")</f>
        <v>Melting_Curves/meltCurve_Q12774_ARHGEF5.pdf</v>
      </c>
    </row>
    <row r="3296" spans="1:28" x14ac:dyDescent="0.25">
      <c r="A3296" t="s">
        <v>3300</v>
      </c>
      <c r="B3296">
        <v>0.99252571173614901</v>
      </c>
      <c r="C3296">
        <v>0.81799079589266699</v>
      </c>
      <c r="D3296">
        <v>0.85769236530548398</v>
      </c>
      <c r="E3296">
        <v>0.58300240575093099</v>
      </c>
      <c r="F3296">
        <v>0.29550467925907098</v>
      </c>
      <c r="G3296">
        <v>0.20726243447807199</v>
      </c>
      <c r="H3296">
        <v>0.13705067318398501</v>
      </c>
      <c r="I3296">
        <v>0.123434463653286</v>
      </c>
      <c r="J3296">
        <v>9.0682532960746298E-2</v>
      </c>
      <c r="K3296">
        <v>7.6578425741577402E-2</v>
      </c>
      <c r="L3296">
        <v>746.49768639693002</v>
      </c>
      <c r="M3296">
        <v>14.938763973181899</v>
      </c>
      <c r="N3296">
        <v>50.492789665359098</v>
      </c>
      <c r="O3296">
        <v>49.1007265401635</v>
      </c>
      <c r="P3296">
        <v>-7.0624045436790003E-2</v>
      </c>
      <c r="Q3296">
        <v>7.1587086771971703E-2</v>
      </c>
      <c r="R3296">
        <v>0.98427952454517698</v>
      </c>
      <c r="S3296" t="s">
        <v>9942</v>
      </c>
      <c r="T3296" t="s">
        <v>13290</v>
      </c>
      <c r="U3296" t="s">
        <v>13290</v>
      </c>
      <c r="V3296" t="s">
        <v>13290</v>
      </c>
      <c r="W3296" t="s">
        <v>16542</v>
      </c>
      <c r="X3296">
        <v>13</v>
      </c>
      <c r="Y3296" t="s">
        <v>23061</v>
      </c>
      <c r="Z3296" t="s">
        <v>29626</v>
      </c>
      <c r="AA3296">
        <v>0.40246709195345309</v>
      </c>
      <c r="AB3296" t="str">
        <f>HYPERLINK("Melting_Curves/meltCurve_Q12788_TBL3.pdf", "Melting_Curves/meltCurve_Q12788_TBL3.pdf")</f>
        <v>Melting_Curves/meltCurve_Q12788_TBL3.pdf</v>
      </c>
    </row>
    <row r="3297" spans="1:28" x14ac:dyDescent="0.25">
      <c r="A3297" t="s">
        <v>3301</v>
      </c>
      <c r="B3297">
        <v>0.99252571173614901</v>
      </c>
      <c r="C3297">
        <v>1.10989677581563</v>
      </c>
      <c r="D3297">
        <v>1.08751445061338</v>
      </c>
      <c r="E3297">
        <v>1.02133813515247</v>
      </c>
      <c r="F3297">
        <v>0.382739649742174</v>
      </c>
      <c r="G3297">
        <v>0.137670801461622</v>
      </c>
      <c r="H3297">
        <v>8.1057679044373596E-2</v>
      </c>
      <c r="I3297">
        <v>8.0874517202172105E-2</v>
      </c>
      <c r="J3297">
        <v>6.8917371571500102E-2</v>
      </c>
      <c r="K3297">
        <v>6.7026608120824602E-2</v>
      </c>
      <c r="L3297">
        <v>4948.4713869597399</v>
      </c>
      <c r="M3297">
        <v>93.748686657870806</v>
      </c>
      <c r="N3297">
        <v>52.891998148535897</v>
      </c>
      <c r="O3297">
        <v>52.760428772269997</v>
      </c>
      <c r="P3297">
        <v>-0.405665014595889</v>
      </c>
      <c r="Q3297">
        <v>8.6790034595899707E-2</v>
      </c>
      <c r="R3297">
        <v>0.98877045947008702</v>
      </c>
      <c r="S3297" t="s">
        <v>9943</v>
      </c>
      <c r="T3297" t="s">
        <v>13290</v>
      </c>
      <c r="U3297" t="s">
        <v>13290</v>
      </c>
      <c r="V3297" t="s">
        <v>13290</v>
      </c>
      <c r="W3297" t="s">
        <v>16543</v>
      </c>
      <c r="X3297">
        <v>2</v>
      </c>
      <c r="Y3297" t="s">
        <v>23062</v>
      </c>
      <c r="Z3297" t="s">
        <v>29627</v>
      </c>
      <c r="AA3297">
        <v>0.47655486418977888</v>
      </c>
      <c r="AB3297" t="str">
        <f>HYPERLINK("Melting_Curves/meltCurve_Q12789_3_GTF3C1.pdf", "Melting_Curves/meltCurve_Q12789_3_GTF3C1.pdf")</f>
        <v>Melting_Curves/meltCurve_Q12789_3_GTF3C1.pdf</v>
      </c>
    </row>
    <row r="3298" spans="1:28" x14ac:dyDescent="0.25">
      <c r="A3298" t="s">
        <v>3302</v>
      </c>
      <c r="B3298">
        <v>0.99252571173614901</v>
      </c>
      <c r="C3298">
        <v>1.0406694901281699</v>
      </c>
      <c r="D3298">
        <v>0.984060148853386</v>
      </c>
      <c r="E3298">
        <v>0.77305917834825799</v>
      </c>
      <c r="F3298">
        <v>0.422320184284808</v>
      </c>
      <c r="G3298">
        <v>0.13111837184618799</v>
      </c>
      <c r="H3298">
        <v>8.5737796095023397E-2</v>
      </c>
      <c r="I3298">
        <v>8.9275091148399197E-2</v>
      </c>
      <c r="J3298">
        <v>9.3505049257556205E-2</v>
      </c>
      <c r="K3298">
        <v>9.0468435695698193E-2</v>
      </c>
      <c r="L3298">
        <v>1390.97090239524</v>
      </c>
      <c r="M3298">
        <v>26.793374031007399</v>
      </c>
      <c r="N3298">
        <v>52.250993970856797</v>
      </c>
      <c r="O3298">
        <v>51.628127886950899</v>
      </c>
      <c r="P3298">
        <v>-0.11946951556199301</v>
      </c>
      <c r="Q3298">
        <v>7.9186609313219899E-2</v>
      </c>
      <c r="R3298">
        <v>0.99712570412645996</v>
      </c>
      <c r="S3298" t="s">
        <v>9944</v>
      </c>
      <c r="T3298" t="s">
        <v>13290</v>
      </c>
      <c r="U3298" t="s">
        <v>13290</v>
      </c>
      <c r="V3298" t="s">
        <v>13290</v>
      </c>
      <c r="W3298" t="s">
        <v>16544</v>
      </c>
      <c r="X3298">
        <v>15</v>
      </c>
      <c r="Y3298" t="s">
        <v>23063</v>
      </c>
      <c r="Z3298" t="s">
        <v>29628</v>
      </c>
      <c r="AA3298">
        <v>0.45223659087286289</v>
      </c>
      <c r="AB3298" t="str">
        <f>HYPERLINK("Melting_Curves/meltCurve_Q12792_TWF1.pdf", "Melting_Curves/meltCurve_Q12792_TWF1.pdf")</f>
        <v>Melting_Curves/meltCurve_Q12792_TWF1.pdf</v>
      </c>
    </row>
    <row r="3299" spans="1:28" x14ac:dyDescent="0.25">
      <c r="A3299" t="s">
        <v>3303</v>
      </c>
      <c r="B3299">
        <v>0.99252571173614901</v>
      </c>
      <c r="C3299">
        <v>1.06316594222684</v>
      </c>
      <c r="D3299">
        <v>0.91086196775148198</v>
      </c>
      <c r="E3299">
        <v>0.83181173250993501</v>
      </c>
      <c r="F3299">
        <v>0.61329755382377005</v>
      </c>
      <c r="G3299">
        <v>0.44151048757796002</v>
      </c>
      <c r="H3299">
        <v>0.21045201640265199</v>
      </c>
      <c r="I3299">
        <v>0.218189592213376</v>
      </c>
      <c r="J3299">
        <v>0.22958301785153201</v>
      </c>
      <c r="K3299">
        <v>0.256673896153223</v>
      </c>
      <c r="L3299">
        <v>969.49783611397299</v>
      </c>
      <c r="M3299">
        <v>18.180444630663001</v>
      </c>
      <c r="N3299">
        <v>54.892011692922303</v>
      </c>
      <c r="O3299">
        <v>52.693789817964102</v>
      </c>
      <c r="P3299">
        <v>-6.8808713309590402E-2</v>
      </c>
      <c r="Q3299">
        <v>0.202303453704754</v>
      </c>
      <c r="R3299">
        <v>0.98483987227552605</v>
      </c>
      <c r="S3299" t="s">
        <v>9945</v>
      </c>
      <c r="T3299" t="s">
        <v>13290</v>
      </c>
      <c r="U3299" t="s">
        <v>13290</v>
      </c>
      <c r="V3299" t="s">
        <v>13290</v>
      </c>
      <c r="W3299" t="s">
        <v>16545</v>
      </c>
      <c r="X3299">
        <v>3</v>
      </c>
      <c r="Y3299" t="s">
        <v>23064</v>
      </c>
      <c r="Z3299" t="s">
        <v>29629</v>
      </c>
      <c r="AA3299">
        <v>0.56942479232473564</v>
      </c>
      <c r="AB3299" t="str">
        <f>HYPERLINK("Melting_Curves/meltCurve_Q12796_PNRC1.pdf", "Melting_Curves/meltCurve_Q12796_PNRC1.pdf")</f>
        <v>Melting_Curves/meltCurve_Q12796_PNRC1.pdf</v>
      </c>
    </row>
    <row r="3300" spans="1:28" x14ac:dyDescent="0.25">
      <c r="A3300" t="s">
        <v>3304</v>
      </c>
      <c r="B3300">
        <v>0.99252571173614901</v>
      </c>
      <c r="C3300">
        <v>0.92678068372446898</v>
      </c>
      <c r="D3300">
        <v>0.93911566237473498</v>
      </c>
      <c r="E3300">
        <v>0.82980778609554295</v>
      </c>
      <c r="F3300">
        <v>0.28473553261571499</v>
      </c>
      <c r="G3300">
        <v>0.14346375678356199</v>
      </c>
      <c r="H3300">
        <v>9.9668306968900097E-2</v>
      </c>
      <c r="I3300">
        <v>0.101717734129764</v>
      </c>
      <c r="J3300">
        <v>0.119515464642494</v>
      </c>
      <c r="K3300">
        <v>0.10544323112946501</v>
      </c>
      <c r="L3300">
        <v>1996.3260851766099</v>
      </c>
      <c r="M3300">
        <v>38.871343208217702</v>
      </c>
      <c r="N3300">
        <v>51.681569460280102</v>
      </c>
      <c r="O3300">
        <v>51.221910940116601</v>
      </c>
      <c r="P3300">
        <v>-0.169188162680208</v>
      </c>
      <c r="Q3300">
        <v>0.108225238651281</v>
      </c>
      <c r="R3300">
        <v>0.99423499310747498</v>
      </c>
      <c r="S3300" t="s">
        <v>9946</v>
      </c>
      <c r="T3300" t="s">
        <v>13290</v>
      </c>
      <c r="U3300" t="s">
        <v>13290</v>
      </c>
      <c r="V3300" t="s">
        <v>13290</v>
      </c>
      <c r="W3300" t="s">
        <v>16546</v>
      </c>
      <c r="X3300">
        <v>27</v>
      </c>
      <c r="Y3300" t="s">
        <v>23065</v>
      </c>
      <c r="Z3300" t="s">
        <v>29630</v>
      </c>
      <c r="AA3300">
        <v>0.44918233874542363</v>
      </c>
      <c r="AB3300" t="str">
        <f>HYPERLINK("Melting_Curves/meltCurve_Q12797_ASPH.pdf", "Melting_Curves/meltCurve_Q12797_ASPH.pdf")</f>
        <v>Melting_Curves/meltCurve_Q12797_ASPH.pdf</v>
      </c>
    </row>
    <row r="3301" spans="1:28" x14ac:dyDescent="0.25">
      <c r="A3301" t="s">
        <v>3305</v>
      </c>
      <c r="B3301">
        <v>0.99252571173614901</v>
      </c>
      <c r="C3301">
        <v>0.885361063196767</v>
      </c>
      <c r="D3301">
        <v>0.56664220164786705</v>
      </c>
      <c r="E3301">
        <v>0.30155387928275801</v>
      </c>
      <c r="F3301">
        <v>0.24025672601071599</v>
      </c>
      <c r="G3301">
        <v>0.14372294027840701</v>
      </c>
      <c r="H3301">
        <v>0.118504381321773</v>
      </c>
      <c r="I3301">
        <v>0.104955027340361</v>
      </c>
      <c r="J3301">
        <v>0.15769476678980601</v>
      </c>
      <c r="K3301">
        <v>0.132134569500893</v>
      </c>
      <c r="L3301">
        <v>984.91958609856499</v>
      </c>
      <c r="M3301">
        <v>21.293802300407702</v>
      </c>
      <c r="N3301">
        <v>46.948237552934799</v>
      </c>
      <c r="O3301">
        <v>45.851673153843898</v>
      </c>
      <c r="P3301">
        <v>-0.100419752292304</v>
      </c>
      <c r="Q3301">
        <v>0.13509162948270401</v>
      </c>
      <c r="R3301">
        <v>0.99322088529356001</v>
      </c>
      <c r="S3301" t="s">
        <v>9947</v>
      </c>
      <c r="T3301" t="s">
        <v>13290</v>
      </c>
      <c r="U3301" t="s">
        <v>13290</v>
      </c>
      <c r="V3301" t="s">
        <v>13290</v>
      </c>
      <c r="W3301" t="s">
        <v>16547</v>
      </c>
      <c r="X3301">
        <v>6</v>
      </c>
      <c r="Y3301" t="s">
        <v>23066</v>
      </c>
      <c r="Z3301" t="s">
        <v>29631</v>
      </c>
      <c r="AA3301">
        <v>0.32678814651282118</v>
      </c>
      <c r="AB3301" t="str">
        <f>HYPERLINK("Melting_Curves/meltCurve_Q12800_4_TFCP2.pdf", "Melting_Curves/meltCurve_Q12800_4_TFCP2.pdf")</f>
        <v>Melting_Curves/meltCurve_Q12800_4_TFCP2.pdf</v>
      </c>
    </row>
    <row r="3302" spans="1:28" x14ac:dyDescent="0.25">
      <c r="A3302" t="s">
        <v>3306</v>
      </c>
      <c r="B3302">
        <v>0.99252571173614901</v>
      </c>
      <c r="C3302">
        <v>0.99049368638107105</v>
      </c>
      <c r="D3302">
        <v>0.80601902087794297</v>
      </c>
      <c r="E3302">
        <v>0.52641056568147204</v>
      </c>
      <c r="F3302">
        <v>0.28172935613357702</v>
      </c>
      <c r="G3302">
        <v>0.16138092375386801</v>
      </c>
      <c r="H3302">
        <v>0.11890816519715799</v>
      </c>
      <c r="I3302">
        <v>0.131060636272986</v>
      </c>
      <c r="J3302">
        <v>0.159488949168899</v>
      </c>
      <c r="K3302">
        <v>0.16205709129088899</v>
      </c>
      <c r="L3302">
        <v>1046.1031853719401</v>
      </c>
      <c r="M3302">
        <v>21.332115978990998</v>
      </c>
      <c r="N3302">
        <v>49.7749667704038</v>
      </c>
      <c r="O3302">
        <v>48.6140440604715</v>
      </c>
      <c r="P3302">
        <v>-9.4864044827320498E-2</v>
      </c>
      <c r="Q3302">
        <v>0.13527411903947101</v>
      </c>
      <c r="R3302">
        <v>0.99659919468279001</v>
      </c>
      <c r="S3302" t="s">
        <v>9948</v>
      </c>
      <c r="T3302" t="s">
        <v>13290</v>
      </c>
      <c r="U3302" t="s">
        <v>13290</v>
      </c>
      <c r="V3302" t="s">
        <v>13290</v>
      </c>
      <c r="W3302" t="s">
        <v>16548</v>
      </c>
      <c r="X3302">
        <v>20</v>
      </c>
      <c r="Y3302" t="s">
        <v>23067</v>
      </c>
      <c r="Z3302" t="s">
        <v>29632</v>
      </c>
      <c r="AA3302">
        <v>0.40643033922087413</v>
      </c>
      <c r="AB3302" t="str">
        <f>HYPERLINK("Melting_Curves/meltCurve_Q12802_4_AKAP13.pdf", "Melting_Curves/meltCurve_Q12802_4_AKAP13.pdf")</f>
        <v>Melting_Curves/meltCurve_Q12802_4_AKAP13.pdf</v>
      </c>
    </row>
    <row r="3303" spans="1:28" x14ac:dyDescent="0.25">
      <c r="A3303" t="s">
        <v>3307</v>
      </c>
      <c r="B3303">
        <v>0.99252571173614901</v>
      </c>
      <c r="C3303">
        <v>0.87419800126691904</v>
      </c>
      <c r="D3303">
        <v>0.64040007397405196</v>
      </c>
      <c r="E3303">
        <v>0.27705617632311902</v>
      </c>
      <c r="F3303">
        <v>0.19541569742922299</v>
      </c>
      <c r="G3303">
        <v>0.154013342670693</v>
      </c>
      <c r="H3303">
        <v>0.14167218634244799</v>
      </c>
      <c r="I3303">
        <v>0.16127713779362901</v>
      </c>
      <c r="J3303">
        <v>0.24236703589729899</v>
      </c>
      <c r="K3303">
        <v>0.248485890603657</v>
      </c>
      <c r="L3303">
        <v>1252.9440925599199</v>
      </c>
      <c r="M3303">
        <v>27.120669963101601</v>
      </c>
      <c r="N3303">
        <v>46.996779846114599</v>
      </c>
      <c r="O3303">
        <v>45.949875122977303</v>
      </c>
      <c r="P3303">
        <v>-0.12033267392612999</v>
      </c>
      <c r="Q3303">
        <v>0.184501340309565</v>
      </c>
      <c r="R3303">
        <v>0.98536872218497495</v>
      </c>
      <c r="S3303" t="s">
        <v>9949</v>
      </c>
      <c r="T3303" t="s">
        <v>13290</v>
      </c>
      <c r="U3303" t="s">
        <v>13290</v>
      </c>
      <c r="V3303" t="s">
        <v>13290</v>
      </c>
      <c r="W3303" t="s">
        <v>16549</v>
      </c>
      <c r="X3303">
        <v>12</v>
      </c>
      <c r="Y3303" t="s">
        <v>23068</v>
      </c>
      <c r="Z3303" t="s">
        <v>29633</v>
      </c>
      <c r="AA3303">
        <v>0.3592073075593088</v>
      </c>
      <c r="AB3303" t="str">
        <f>HYPERLINK("Melting_Curves/meltCurve_Q12830_4_BPTF.pdf", "Melting_Curves/meltCurve_Q12830_4_BPTF.pdf")</f>
        <v>Melting_Curves/meltCurve_Q12830_4_BPTF.pdf</v>
      </c>
    </row>
    <row r="3304" spans="1:28" x14ac:dyDescent="0.25">
      <c r="A3304" t="s">
        <v>3308</v>
      </c>
      <c r="B3304">
        <v>0.99252571173614901</v>
      </c>
      <c r="C3304">
        <v>0.97673891462285301</v>
      </c>
      <c r="D3304">
        <v>0.88042870821869101</v>
      </c>
      <c r="E3304">
        <v>0.71180617762906495</v>
      </c>
      <c r="F3304">
        <v>0.18455995591688801</v>
      </c>
      <c r="G3304">
        <v>6.3875507590229405E-2</v>
      </c>
      <c r="H3304">
        <v>4.54848643241225E-2</v>
      </c>
      <c r="I3304">
        <v>4.6640575465346001E-2</v>
      </c>
      <c r="J3304">
        <v>5.2739300366111498E-2</v>
      </c>
      <c r="K3304">
        <v>5.8064340377765297E-2</v>
      </c>
      <c r="L3304">
        <v>1683.34261177849</v>
      </c>
      <c r="M3304">
        <v>33.233696351385497</v>
      </c>
      <c r="N3304">
        <v>50.795520092588099</v>
      </c>
      <c r="O3304">
        <v>50.469346077280001</v>
      </c>
      <c r="P3304">
        <v>-0.15723162634767399</v>
      </c>
      <c r="Q3304">
        <v>4.49040659148136E-2</v>
      </c>
      <c r="R3304">
        <v>0.99416556505003495</v>
      </c>
      <c r="S3304" t="s">
        <v>9950</v>
      </c>
      <c r="T3304" t="s">
        <v>13290</v>
      </c>
      <c r="U3304" t="s">
        <v>13290</v>
      </c>
      <c r="V3304" t="s">
        <v>13290</v>
      </c>
      <c r="W3304" t="s">
        <v>16550</v>
      </c>
      <c r="X3304">
        <v>4</v>
      </c>
      <c r="Y3304" t="s">
        <v>23069</v>
      </c>
      <c r="Z3304" t="s">
        <v>29634</v>
      </c>
      <c r="AA3304">
        <v>0.38887560291222217</v>
      </c>
      <c r="AB3304" t="str">
        <f>HYPERLINK("Melting_Curves/meltCurve_Q12834_CDC20.pdf", "Melting_Curves/meltCurve_Q12834_CDC20.pdf")</f>
        <v>Melting_Curves/meltCurve_Q12834_CDC20.pdf</v>
      </c>
    </row>
    <row r="3305" spans="1:28" x14ac:dyDescent="0.25">
      <c r="A3305" t="s">
        <v>3309</v>
      </c>
      <c r="B3305">
        <v>0.99252571173614901</v>
      </c>
      <c r="C3305">
        <v>0.92599268162146797</v>
      </c>
      <c r="D3305">
        <v>0.816469363630423</v>
      </c>
      <c r="E3305">
        <v>0.66305016813516404</v>
      </c>
      <c r="F3305">
        <v>0.36222212418834199</v>
      </c>
      <c r="G3305">
        <v>0.221075767018384</v>
      </c>
      <c r="H3305">
        <v>0.13066650556086601</v>
      </c>
      <c r="I3305">
        <v>0.13687262307244</v>
      </c>
      <c r="J3305">
        <v>0.17325215040209299</v>
      </c>
      <c r="K3305">
        <v>0.17044621184466299</v>
      </c>
      <c r="L3305">
        <v>863.63106412228399</v>
      </c>
      <c r="M3305">
        <v>17.185623519883599</v>
      </c>
      <c r="N3305">
        <v>51.158088304741099</v>
      </c>
      <c r="O3305">
        <v>49.587486943117</v>
      </c>
      <c r="P3305">
        <v>-7.5290883894927496E-2</v>
      </c>
      <c r="Q3305">
        <v>0.13107265527252601</v>
      </c>
      <c r="R3305">
        <v>0.99191999212237902</v>
      </c>
      <c r="S3305" t="s">
        <v>9951</v>
      </c>
      <c r="T3305" t="s">
        <v>13290</v>
      </c>
      <c r="U3305" t="s">
        <v>13290</v>
      </c>
      <c r="V3305" t="s">
        <v>13290</v>
      </c>
      <c r="W3305" t="s">
        <v>16551</v>
      </c>
      <c r="X3305">
        <v>8</v>
      </c>
      <c r="Y3305" t="s">
        <v>23070</v>
      </c>
      <c r="Z3305" t="s">
        <v>29635</v>
      </c>
      <c r="AA3305">
        <v>0.44414570292764982</v>
      </c>
      <c r="AB3305" t="str">
        <f>HYPERLINK("Melting_Curves/meltCurve_Q12846_STX4.pdf", "Melting_Curves/meltCurve_Q12846_STX4.pdf")</f>
        <v>Melting_Curves/meltCurve_Q12846_STX4.pdf</v>
      </c>
    </row>
    <row r="3306" spans="1:28" x14ac:dyDescent="0.25">
      <c r="A3306" t="s">
        <v>3310</v>
      </c>
      <c r="B3306">
        <v>0.99252571173614901</v>
      </c>
      <c r="C3306">
        <v>0.93272785087051802</v>
      </c>
      <c r="D3306">
        <v>0.720196867126352</v>
      </c>
      <c r="E3306">
        <v>0.383218786785893</v>
      </c>
      <c r="F3306">
        <v>0.20190496580405701</v>
      </c>
      <c r="G3306">
        <v>0.114429609203875</v>
      </c>
      <c r="H3306">
        <v>8.6235523069346898E-2</v>
      </c>
      <c r="I3306">
        <v>9.1611385220620803E-2</v>
      </c>
      <c r="J3306">
        <v>0.111176200697542</v>
      </c>
      <c r="K3306">
        <v>0.12827651147081001</v>
      </c>
      <c r="L3306">
        <v>1025.14599106586</v>
      </c>
      <c r="M3306">
        <v>21.456825140783302</v>
      </c>
      <c r="N3306">
        <v>48.277212575106297</v>
      </c>
      <c r="O3306">
        <v>47.3679673308147</v>
      </c>
      <c r="P3306">
        <v>-0.101963805989679</v>
      </c>
      <c r="Q3306">
        <v>9.9643278542701205E-2</v>
      </c>
      <c r="R3306">
        <v>0.998391418489743</v>
      </c>
      <c r="S3306" t="s">
        <v>9952</v>
      </c>
      <c r="T3306" t="s">
        <v>13290</v>
      </c>
      <c r="U3306" t="s">
        <v>13290</v>
      </c>
      <c r="V3306" t="s">
        <v>13290</v>
      </c>
      <c r="W3306" t="s">
        <v>16552</v>
      </c>
      <c r="X3306">
        <v>10</v>
      </c>
      <c r="Y3306" t="s">
        <v>23071</v>
      </c>
      <c r="Z3306" t="s">
        <v>29636</v>
      </c>
      <c r="AA3306">
        <v>0.34410891883744221</v>
      </c>
      <c r="AB3306" t="str">
        <f>HYPERLINK("Melting_Curves/meltCurve_Q12872_SFSWAP.pdf", "Melting_Curves/meltCurve_Q12872_SFSWAP.pdf")</f>
        <v>Melting_Curves/meltCurve_Q12872_SFSWAP.pdf</v>
      </c>
    </row>
    <row r="3307" spans="1:28" x14ac:dyDescent="0.25">
      <c r="A3307" t="s">
        <v>3311</v>
      </c>
      <c r="B3307">
        <v>0.99252571173614901</v>
      </c>
      <c r="C3307">
        <v>1.0047999153118401</v>
      </c>
      <c r="D3307">
        <v>0.55217783582166102</v>
      </c>
      <c r="E3307">
        <v>0.27090329633674298</v>
      </c>
      <c r="F3307">
        <v>0.114003245743003</v>
      </c>
      <c r="G3307">
        <v>5.8762674070466599E-2</v>
      </c>
      <c r="H3307">
        <v>3.9554338987541501E-2</v>
      </c>
      <c r="I3307">
        <v>3.8494180390291302E-2</v>
      </c>
      <c r="J3307">
        <v>4.5092118502822E-2</v>
      </c>
      <c r="K3307">
        <v>4.37132626546941E-2</v>
      </c>
      <c r="L3307">
        <v>1187.69471443317</v>
      </c>
      <c r="M3307">
        <v>25.425107053371999</v>
      </c>
      <c r="N3307">
        <v>46.909292497891499</v>
      </c>
      <c r="O3307">
        <v>46.427364568936099</v>
      </c>
      <c r="P3307">
        <v>-0.130016116813161</v>
      </c>
      <c r="Q3307">
        <v>5.0351562621229397E-2</v>
      </c>
      <c r="R3307">
        <v>0.98843726221559403</v>
      </c>
      <c r="S3307" t="s">
        <v>9953</v>
      </c>
      <c r="T3307" t="s">
        <v>13290</v>
      </c>
      <c r="U3307" t="s">
        <v>13290</v>
      </c>
      <c r="V3307" t="s">
        <v>13290</v>
      </c>
      <c r="W3307" t="s">
        <v>16553</v>
      </c>
      <c r="X3307">
        <v>15</v>
      </c>
      <c r="Y3307" t="s">
        <v>23072</v>
      </c>
      <c r="Z3307" t="s">
        <v>29637</v>
      </c>
      <c r="AA3307">
        <v>0.2710861565869036</v>
      </c>
      <c r="AB3307" t="str">
        <f>HYPERLINK("Melting_Curves/meltCurve_Q12874_SF3A3.pdf", "Melting_Curves/meltCurve_Q12874_SF3A3.pdf")</f>
        <v>Melting_Curves/meltCurve_Q12874_SF3A3.pdf</v>
      </c>
    </row>
    <row r="3308" spans="1:28" x14ac:dyDescent="0.25">
      <c r="A3308" t="s">
        <v>3312</v>
      </c>
      <c r="B3308">
        <v>0.99252571173614901</v>
      </c>
      <c r="C3308">
        <v>0.96177267236721098</v>
      </c>
      <c r="D3308">
        <v>0.61408839206982102</v>
      </c>
      <c r="E3308">
        <v>0.31591739423291898</v>
      </c>
      <c r="F3308">
        <v>0.20672519831944899</v>
      </c>
      <c r="G3308">
        <v>0.13859925321191599</v>
      </c>
      <c r="H3308">
        <v>0.123905198457315</v>
      </c>
      <c r="I3308">
        <v>0.14235830356206999</v>
      </c>
      <c r="J3308">
        <v>0.18486918839862701</v>
      </c>
      <c r="K3308">
        <v>0.187354616925827</v>
      </c>
      <c r="L3308">
        <v>1252.14038990419</v>
      </c>
      <c r="M3308">
        <v>26.9198347107932</v>
      </c>
      <c r="N3308">
        <v>47.188641187990498</v>
      </c>
      <c r="O3308">
        <v>46.2592771487516</v>
      </c>
      <c r="P3308">
        <v>-0.12223760957277199</v>
      </c>
      <c r="Q3308">
        <v>0.159791904235591</v>
      </c>
      <c r="R3308">
        <v>0.99314243069389097</v>
      </c>
      <c r="S3308" t="s">
        <v>9954</v>
      </c>
      <c r="T3308" t="s">
        <v>13290</v>
      </c>
      <c r="U3308" t="s">
        <v>13290</v>
      </c>
      <c r="V3308" t="s">
        <v>13290</v>
      </c>
      <c r="W3308" t="s">
        <v>16554</v>
      </c>
      <c r="X3308">
        <v>27</v>
      </c>
      <c r="Y3308" t="s">
        <v>23073</v>
      </c>
      <c r="Z3308" t="s">
        <v>29638</v>
      </c>
      <c r="AA3308">
        <v>0.348654911910878</v>
      </c>
      <c r="AB3308" t="str">
        <f>HYPERLINK("Melting_Curves/meltCurve_Q12888_TP53BP1.pdf", "Melting_Curves/meltCurve_Q12888_TP53BP1.pdf")</f>
        <v>Melting_Curves/meltCurve_Q12888_TP53BP1.pdf</v>
      </c>
    </row>
    <row r="3309" spans="1:28" x14ac:dyDescent="0.25">
      <c r="A3309" t="s">
        <v>3313</v>
      </c>
      <c r="B3309">
        <v>0.99252571173614901</v>
      </c>
      <c r="C3309">
        <v>0.88725083797959603</v>
      </c>
      <c r="D3309">
        <v>0.70765200585971</v>
      </c>
      <c r="E3309">
        <v>0.63496108329168799</v>
      </c>
      <c r="F3309">
        <v>0.44133233715732501</v>
      </c>
      <c r="G3309">
        <v>0.247448958111954</v>
      </c>
      <c r="H3309">
        <v>5.9855312490636602E-2</v>
      </c>
      <c r="I3309">
        <v>5.7195127694241302E-2</v>
      </c>
      <c r="J3309">
        <v>6.2703737815241994E-2</v>
      </c>
      <c r="K3309">
        <v>5.8641876714003997E-2</v>
      </c>
      <c r="L3309">
        <v>594.654281084682</v>
      </c>
      <c r="M3309">
        <v>11.623452257869801</v>
      </c>
      <c r="N3309">
        <v>51.159867847701499</v>
      </c>
      <c r="O3309">
        <v>49.715931932745903</v>
      </c>
      <c r="P3309">
        <v>-5.8465277261309498E-2</v>
      </c>
      <c r="Q3309">
        <v>0</v>
      </c>
      <c r="R3309">
        <v>0.98431651638129902</v>
      </c>
      <c r="S3309" t="s">
        <v>9955</v>
      </c>
      <c r="T3309" t="s">
        <v>13290</v>
      </c>
      <c r="U3309" t="s">
        <v>13290</v>
      </c>
      <c r="V3309" t="s">
        <v>13290</v>
      </c>
      <c r="W3309" t="s">
        <v>16555</v>
      </c>
      <c r="X3309">
        <v>3</v>
      </c>
      <c r="Y3309" t="s">
        <v>23074</v>
      </c>
      <c r="Z3309" t="s">
        <v>29639</v>
      </c>
      <c r="AA3309">
        <v>0.40575745544137481</v>
      </c>
      <c r="AB3309" t="str">
        <f>HYPERLINK("Melting_Curves/meltCurve_Q12894_IFRD2.pdf", "Melting_Curves/meltCurve_Q12894_IFRD2.pdf")</f>
        <v>Melting_Curves/meltCurve_Q12894_IFRD2.pdf</v>
      </c>
    </row>
    <row r="3310" spans="1:28" x14ac:dyDescent="0.25">
      <c r="A3310" t="s">
        <v>3314</v>
      </c>
      <c r="B3310">
        <v>0.99252571173614901</v>
      </c>
      <c r="C3310">
        <v>0.93395345060223001</v>
      </c>
      <c r="D3310">
        <v>0.88852366226352697</v>
      </c>
      <c r="E3310">
        <v>0.60723071288611097</v>
      </c>
      <c r="F3310">
        <v>0.34511876060308899</v>
      </c>
      <c r="G3310">
        <v>0.23955274624644099</v>
      </c>
      <c r="H3310">
        <v>0.203533079386544</v>
      </c>
      <c r="I3310">
        <v>0.253124299212518</v>
      </c>
      <c r="J3310">
        <v>0.392872611615601</v>
      </c>
      <c r="K3310">
        <v>0.450563311157823</v>
      </c>
      <c r="L3310">
        <v>1446.1362387908</v>
      </c>
      <c r="M3310">
        <v>29.563239930646802</v>
      </c>
      <c r="N3310">
        <v>50.520090297685996</v>
      </c>
      <c r="O3310">
        <v>48.694519507968302</v>
      </c>
      <c r="P3310">
        <v>-0.10558629274242901</v>
      </c>
      <c r="Q3310">
        <v>0.30434714602958102</v>
      </c>
      <c r="R3310">
        <v>0.93723250880210396</v>
      </c>
      <c r="S3310" t="s">
        <v>9956</v>
      </c>
      <c r="T3310" t="s">
        <v>13290</v>
      </c>
      <c r="U3310" t="s">
        <v>13290</v>
      </c>
      <c r="V3310" t="s">
        <v>13290</v>
      </c>
      <c r="W3310" t="s">
        <v>16556</v>
      </c>
      <c r="X3310">
        <v>11</v>
      </c>
      <c r="Y3310" t="s">
        <v>23075</v>
      </c>
      <c r="Z3310" t="s">
        <v>29640</v>
      </c>
      <c r="AA3310">
        <v>0.51547285496299156</v>
      </c>
      <c r="AB3310" t="str">
        <f>HYPERLINK("Melting_Curves/meltCurve_Q12904_AIMP1.pdf", "Melting_Curves/meltCurve_Q12904_AIMP1.pdf")</f>
        <v>Melting_Curves/meltCurve_Q12904_AIMP1.pdf</v>
      </c>
    </row>
    <row r="3311" spans="1:28" x14ac:dyDescent="0.25">
      <c r="A3311" t="s">
        <v>3315</v>
      </c>
      <c r="B3311">
        <v>0.99252571173614901</v>
      </c>
      <c r="C3311">
        <v>0.84419925707325405</v>
      </c>
      <c r="D3311">
        <v>0.86897388195050596</v>
      </c>
      <c r="E3311">
        <v>0.97875496813298102</v>
      </c>
      <c r="F3311">
        <v>0.96649083276312597</v>
      </c>
      <c r="G3311">
        <v>0.63337618975043797</v>
      </c>
      <c r="H3311">
        <v>0.157731422919764</v>
      </c>
      <c r="I3311">
        <v>6.8268539066438899E-2</v>
      </c>
      <c r="J3311">
        <v>3.8789452621867199E-2</v>
      </c>
      <c r="K3311">
        <v>6.1475719268934699E-2</v>
      </c>
      <c r="L3311">
        <v>2202.35009719152</v>
      </c>
      <c r="M3311">
        <v>38.297870499172703</v>
      </c>
      <c r="N3311">
        <v>57.6604572149596</v>
      </c>
      <c r="O3311">
        <v>57.349698772401901</v>
      </c>
      <c r="P3311">
        <v>-0.15880081805909299</v>
      </c>
      <c r="Q3311">
        <v>4.8808143576734998E-2</v>
      </c>
      <c r="R3311">
        <v>0.97413142520364404</v>
      </c>
      <c r="S3311" t="s">
        <v>9957</v>
      </c>
      <c r="T3311" t="s">
        <v>13290</v>
      </c>
      <c r="U3311" t="s">
        <v>13290</v>
      </c>
      <c r="V3311" t="s">
        <v>13290</v>
      </c>
      <c r="W3311" t="s">
        <v>16557</v>
      </c>
      <c r="X3311">
        <v>5</v>
      </c>
      <c r="Y3311" t="s">
        <v>23076</v>
      </c>
      <c r="Z3311" t="s">
        <v>29641</v>
      </c>
      <c r="AA3311">
        <v>0.60790223049590297</v>
      </c>
      <c r="AB3311" t="str">
        <f>HYPERLINK("Melting_Curves/meltCurve_Q12905_ILF2.pdf", "Melting_Curves/meltCurve_Q12905_ILF2.pdf")</f>
        <v>Melting_Curves/meltCurve_Q12905_ILF2.pdf</v>
      </c>
    </row>
    <row r="3312" spans="1:28" x14ac:dyDescent="0.25">
      <c r="A3312" t="s">
        <v>3316</v>
      </c>
      <c r="B3312">
        <v>0.99252571173614901</v>
      </c>
      <c r="C3312">
        <v>1.02959271177705</v>
      </c>
      <c r="D3312">
        <v>1.0569371154645499</v>
      </c>
      <c r="E3312">
        <v>1.1522908488830099</v>
      </c>
      <c r="F3312">
        <v>0.92445776655855805</v>
      </c>
      <c r="G3312">
        <v>0.53634791038962304</v>
      </c>
      <c r="H3312">
        <v>0.21045732664410199</v>
      </c>
      <c r="I3312">
        <v>0.17444155829414401</v>
      </c>
      <c r="J3312">
        <v>0.210477258490369</v>
      </c>
      <c r="K3312">
        <v>0.21908149440341501</v>
      </c>
      <c r="L3312">
        <v>2526.7954165410902</v>
      </c>
      <c r="M3312">
        <v>44.8309470498072</v>
      </c>
      <c r="N3312">
        <v>56.995467831175198</v>
      </c>
      <c r="O3312">
        <v>56.250944745435802</v>
      </c>
      <c r="P3312">
        <v>-0.16018754292992701</v>
      </c>
      <c r="Q3312">
        <v>0.196029585921765</v>
      </c>
      <c r="R3312">
        <v>0.98078367516956699</v>
      </c>
      <c r="S3312" t="s">
        <v>9958</v>
      </c>
      <c r="T3312" t="s">
        <v>13290</v>
      </c>
      <c r="U3312" t="s">
        <v>13290</v>
      </c>
      <c r="V3312" t="s">
        <v>13290</v>
      </c>
      <c r="W3312" t="s">
        <v>16558</v>
      </c>
      <c r="X3312">
        <v>25</v>
      </c>
      <c r="Y3312" t="s">
        <v>23077</v>
      </c>
      <c r="Z3312" t="s">
        <v>29642</v>
      </c>
      <c r="AA3312">
        <v>0.63701600222568611</v>
      </c>
      <c r="AB3312" t="str">
        <f>HYPERLINK("Melting_Curves/meltCurve_Q12906_ILF3.pdf", "Melting_Curves/meltCurve_Q12906_ILF3.pdf")</f>
        <v>Melting_Curves/meltCurve_Q12906_ILF3.pdf</v>
      </c>
    </row>
    <row r="3313" spans="1:28" x14ac:dyDescent="0.25">
      <c r="A3313" t="s">
        <v>3317</v>
      </c>
      <c r="B3313">
        <v>0.99252571173614901</v>
      </c>
      <c r="C3313">
        <v>0.87648659910973103</v>
      </c>
      <c r="D3313">
        <v>0.73088799465469501</v>
      </c>
      <c r="E3313">
        <v>0.51996307802665798</v>
      </c>
      <c r="F3313">
        <v>0.270801154339331</v>
      </c>
      <c r="G3313">
        <v>0.14669448739226701</v>
      </c>
      <c r="H3313">
        <v>0.11092441786575601</v>
      </c>
      <c r="I3313">
        <v>0.12779245823049301</v>
      </c>
      <c r="J3313">
        <v>0.13989746634590999</v>
      </c>
      <c r="K3313">
        <v>0.119985968707556</v>
      </c>
      <c r="L3313">
        <v>783.04012673218904</v>
      </c>
      <c r="M3313">
        <v>16.103849706568099</v>
      </c>
      <c r="N3313">
        <v>49.318450793619299</v>
      </c>
      <c r="O3313">
        <v>47.893143036587198</v>
      </c>
      <c r="P3313">
        <v>-7.5544137210430198E-2</v>
      </c>
      <c r="Q3313">
        <v>0.101390130800366</v>
      </c>
      <c r="R3313">
        <v>0.99449902095994702</v>
      </c>
      <c r="S3313" t="s">
        <v>9959</v>
      </c>
      <c r="T3313" t="s">
        <v>13290</v>
      </c>
      <c r="U3313" t="s">
        <v>13290</v>
      </c>
      <c r="V3313" t="s">
        <v>13290</v>
      </c>
      <c r="W3313" t="s">
        <v>16559</v>
      </c>
      <c r="X3313">
        <v>18</v>
      </c>
      <c r="Y3313" t="s">
        <v>23078</v>
      </c>
      <c r="Z3313" t="s">
        <v>29643</v>
      </c>
      <c r="AA3313">
        <v>0.37932272956125862</v>
      </c>
      <c r="AB3313" t="str">
        <f>HYPERLINK("Melting_Curves/meltCurve_Q12907_LMAN2.pdf", "Melting_Curves/meltCurve_Q12907_LMAN2.pdf")</f>
        <v>Melting_Curves/meltCurve_Q12907_LMAN2.pdf</v>
      </c>
    </row>
    <row r="3314" spans="1:28" x14ac:dyDescent="0.25">
      <c r="A3314" t="s">
        <v>3318</v>
      </c>
      <c r="B3314">
        <v>0.99252571173614901</v>
      </c>
      <c r="C3314">
        <v>0.95106359537254304</v>
      </c>
      <c r="D3314">
        <v>0.741772865435395</v>
      </c>
      <c r="E3314">
        <v>0.38718131696070901</v>
      </c>
      <c r="F3314">
        <v>0.21252708747520399</v>
      </c>
      <c r="G3314">
        <v>0.13056325363583199</v>
      </c>
      <c r="H3314">
        <v>0.10967076868106899</v>
      </c>
      <c r="I3314">
        <v>0.12515990329864701</v>
      </c>
      <c r="J3314">
        <v>0.17066646102470001</v>
      </c>
      <c r="K3314">
        <v>0.18383006937523799</v>
      </c>
      <c r="L3314">
        <v>1159.93195395003</v>
      </c>
      <c r="M3314">
        <v>24.334871420905099</v>
      </c>
      <c r="N3314">
        <v>48.325209022782403</v>
      </c>
      <c r="O3314">
        <v>47.3470469397801</v>
      </c>
      <c r="P3314">
        <v>-0.11033230939336799</v>
      </c>
      <c r="Q3314">
        <v>0.14134249324397999</v>
      </c>
      <c r="R3314">
        <v>0.99547796708875802</v>
      </c>
      <c r="S3314" t="s">
        <v>9960</v>
      </c>
      <c r="T3314" t="s">
        <v>13290</v>
      </c>
      <c r="U3314" t="s">
        <v>13290</v>
      </c>
      <c r="V3314" t="s">
        <v>13290</v>
      </c>
      <c r="W3314" t="s">
        <v>16560</v>
      </c>
      <c r="X3314">
        <v>21</v>
      </c>
      <c r="Y3314" t="s">
        <v>23079</v>
      </c>
      <c r="Z3314" t="s">
        <v>29644</v>
      </c>
      <c r="AA3314">
        <v>0.36879641759428061</v>
      </c>
      <c r="AB3314" t="str">
        <f>HYPERLINK("Melting_Curves/meltCurve_Q12929_EPS8.pdf", "Melting_Curves/meltCurve_Q12929_EPS8.pdf")</f>
        <v>Melting_Curves/meltCurve_Q12929_EPS8.pdf</v>
      </c>
    </row>
    <row r="3315" spans="1:28" x14ac:dyDescent="0.25">
      <c r="A3315" t="s">
        <v>3319</v>
      </c>
      <c r="B3315">
        <v>0.99252571173614901</v>
      </c>
      <c r="C3315">
        <v>0.95137148677476002</v>
      </c>
      <c r="D3315">
        <v>1.0366702152629801</v>
      </c>
      <c r="E3315">
        <v>1.1617591652386601</v>
      </c>
      <c r="F3315">
        <v>0.53298004526286602</v>
      </c>
      <c r="G3315">
        <v>0.11628986705015899</v>
      </c>
      <c r="H3315">
        <v>8.5320594202315206E-2</v>
      </c>
      <c r="I3315">
        <v>8.4135176178520496E-2</v>
      </c>
      <c r="J3315">
        <v>9.4990565270532706E-2</v>
      </c>
      <c r="K3315">
        <v>0.100393390155361</v>
      </c>
      <c r="L3315">
        <v>13296.4355229964</v>
      </c>
      <c r="M3315">
        <v>250</v>
      </c>
      <c r="N3315">
        <v>53.2312556032904</v>
      </c>
      <c r="O3315">
        <v>53.182322456237202</v>
      </c>
      <c r="P3315">
        <v>-1.06211729600111</v>
      </c>
      <c r="Q3315">
        <v>9.6225893787851402E-2</v>
      </c>
      <c r="R3315">
        <v>0.98458897237964305</v>
      </c>
      <c r="S3315" t="s">
        <v>9961</v>
      </c>
      <c r="T3315" t="s">
        <v>13290</v>
      </c>
      <c r="U3315" t="s">
        <v>13290</v>
      </c>
      <c r="V3315" t="s">
        <v>13290</v>
      </c>
      <c r="W3315" t="s">
        <v>16561</v>
      </c>
      <c r="X3315">
        <v>11</v>
      </c>
      <c r="Y3315" t="s">
        <v>23080</v>
      </c>
      <c r="Z3315" t="s">
        <v>29645</v>
      </c>
      <c r="AA3315">
        <v>0.49354132799575318</v>
      </c>
      <c r="AB3315" t="str">
        <f>HYPERLINK("Melting_Curves/meltCurve_Q12933_3_TRAF2.pdf", "Melting_Curves/meltCurve_Q12933_3_TRAF2.pdf")</f>
        <v>Melting_Curves/meltCurve_Q12933_3_TRAF2.pdf</v>
      </c>
    </row>
    <row r="3316" spans="1:28" x14ac:dyDescent="0.25">
      <c r="A3316" t="s">
        <v>3320</v>
      </c>
      <c r="B3316">
        <v>0.99252571173614901</v>
      </c>
      <c r="C3316">
        <v>0.94325561886151998</v>
      </c>
      <c r="D3316">
        <v>0.965198155377886</v>
      </c>
      <c r="E3316">
        <v>0.72691866958301599</v>
      </c>
      <c r="F3316">
        <v>0.160761139502936</v>
      </c>
      <c r="G3316">
        <v>0.103186408922101</v>
      </c>
      <c r="H3316">
        <v>6.7655832645836994E-2</v>
      </c>
      <c r="I3316">
        <v>6.4944756248739702E-2</v>
      </c>
      <c r="J3316">
        <v>6.7856377238846494E-2</v>
      </c>
      <c r="K3316">
        <v>7.4602884677359704E-2</v>
      </c>
      <c r="L3316">
        <v>2208.1244090262298</v>
      </c>
      <c r="M3316">
        <v>43.666156203726104</v>
      </c>
      <c r="N3316">
        <v>50.750982996851903</v>
      </c>
      <c r="O3316">
        <v>50.462613577662999</v>
      </c>
      <c r="P3316">
        <v>-0.200598574874264</v>
      </c>
      <c r="Q3316">
        <v>7.27177254262244E-2</v>
      </c>
      <c r="R3316">
        <v>0.99729463431918097</v>
      </c>
      <c r="S3316" t="s">
        <v>9962</v>
      </c>
      <c r="T3316" t="s">
        <v>13290</v>
      </c>
      <c r="U3316" t="s">
        <v>13290</v>
      </c>
      <c r="V3316" t="s">
        <v>13290</v>
      </c>
      <c r="W3316" t="s">
        <v>16562</v>
      </c>
      <c r="X3316">
        <v>11</v>
      </c>
      <c r="Y3316" t="s">
        <v>23081</v>
      </c>
      <c r="Z3316" t="s">
        <v>29646</v>
      </c>
      <c r="AA3316">
        <v>0.40209496993879179</v>
      </c>
      <c r="AB3316" t="str">
        <f>HYPERLINK("Melting_Curves/meltCurve_Q12955_ANK3.pdf", "Melting_Curves/meltCurve_Q12955_ANK3.pdf")</f>
        <v>Melting_Curves/meltCurve_Q12955_ANK3.pdf</v>
      </c>
    </row>
    <row r="3317" spans="1:28" x14ac:dyDescent="0.25">
      <c r="A3317" t="s">
        <v>3321</v>
      </c>
      <c r="B3317">
        <v>0.99252571173614901</v>
      </c>
      <c r="C3317">
        <v>0.95697578894423097</v>
      </c>
      <c r="D3317">
        <v>0.85764477389761695</v>
      </c>
      <c r="E3317">
        <v>0.70268583265499496</v>
      </c>
      <c r="F3317">
        <v>0.26464474604857102</v>
      </c>
      <c r="G3317">
        <v>0.12548456247183401</v>
      </c>
      <c r="H3317">
        <v>8.8454418845182403E-2</v>
      </c>
      <c r="I3317">
        <v>9.08642105920906E-2</v>
      </c>
      <c r="J3317">
        <v>0.112761660351907</v>
      </c>
      <c r="K3317">
        <v>0.10513560770633899</v>
      </c>
      <c r="L3317">
        <v>1274.6591459818301</v>
      </c>
      <c r="M3317">
        <v>25.204073562931899</v>
      </c>
      <c r="N3317">
        <v>50.965460692731902</v>
      </c>
      <c r="O3317">
        <v>50.258388695132801</v>
      </c>
      <c r="P3317">
        <v>-0.114329107773831</v>
      </c>
      <c r="Q3317">
        <v>8.8096309451789895E-2</v>
      </c>
      <c r="R3317">
        <v>0.99230964844875302</v>
      </c>
      <c r="S3317" t="s">
        <v>9963</v>
      </c>
      <c r="T3317" t="s">
        <v>13290</v>
      </c>
      <c r="U3317" t="s">
        <v>13290</v>
      </c>
      <c r="V3317" t="s">
        <v>13290</v>
      </c>
      <c r="W3317" t="s">
        <v>16563</v>
      </c>
      <c r="X3317">
        <v>19</v>
      </c>
      <c r="Y3317" t="s">
        <v>23082</v>
      </c>
      <c r="Z3317" t="s">
        <v>29647</v>
      </c>
      <c r="AA3317">
        <v>0.4175663881163168</v>
      </c>
      <c r="AB3317" t="str">
        <f>HYPERLINK("Melting_Curves/meltCurve_Q12959_5_DLG1.pdf", "Melting_Curves/meltCurve_Q12959_5_DLG1.pdf")</f>
        <v>Melting_Curves/meltCurve_Q12959_5_DLG1.pdf</v>
      </c>
    </row>
    <row r="3318" spans="1:28" x14ac:dyDescent="0.25">
      <c r="A3318" t="s">
        <v>3322</v>
      </c>
      <c r="B3318">
        <v>0.99252571173614901</v>
      </c>
      <c r="C3318">
        <v>1.0347117228481599</v>
      </c>
      <c r="D3318">
        <v>0.97733316823987204</v>
      </c>
      <c r="E3318">
        <v>0.94551401958454595</v>
      </c>
      <c r="F3318">
        <v>0.78736541909903801</v>
      </c>
      <c r="G3318">
        <v>0.597574460722756</v>
      </c>
      <c r="H3318">
        <v>0.54732413947231595</v>
      </c>
      <c r="I3318">
        <v>0.56450069679371695</v>
      </c>
      <c r="J3318">
        <v>0.87823887485136898</v>
      </c>
      <c r="K3318">
        <v>0.80494699240700995</v>
      </c>
      <c r="L3318">
        <v>2321.0965748646099</v>
      </c>
      <c r="M3318">
        <v>44.636609617448798</v>
      </c>
      <c r="O3318">
        <v>51.8958028840159</v>
      </c>
      <c r="P3318">
        <v>-6.8782701872038998E-2</v>
      </c>
      <c r="Q3318">
        <v>0.68012551659527098</v>
      </c>
      <c r="R3318">
        <v>0.68775673267127002</v>
      </c>
      <c r="S3318" t="s">
        <v>9964</v>
      </c>
      <c r="T3318" t="s">
        <v>13290</v>
      </c>
      <c r="U3318" t="s">
        <v>13290</v>
      </c>
      <c r="V3318" t="s">
        <v>13290</v>
      </c>
      <c r="W3318" t="s">
        <v>16564</v>
      </c>
      <c r="X3318">
        <v>4</v>
      </c>
      <c r="Y3318" t="s">
        <v>23083</v>
      </c>
      <c r="Z3318" t="s">
        <v>29648</v>
      </c>
      <c r="AA3318">
        <v>0.80899531759665633</v>
      </c>
      <c r="AB3318" t="str">
        <f>HYPERLINK("Melting_Curves/meltCurve_Q12962_TAF10.pdf", "Melting_Curves/meltCurve_Q12962_TAF10.pdf")</f>
        <v>Melting_Curves/meltCurve_Q12962_TAF10.pdf</v>
      </c>
    </row>
    <row r="3319" spans="1:28" x14ac:dyDescent="0.25">
      <c r="A3319" t="s">
        <v>3323</v>
      </c>
      <c r="B3319">
        <v>0.99252571173614901</v>
      </c>
      <c r="C3319">
        <v>0.92022947829358803</v>
      </c>
      <c r="D3319">
        <v>0.84562925038383097</v>
      </c>
      <c r="E3319">
        <v>0.41062948133298099</v>
      </c>
      <c r="F3319">
        <v>0.18812437530861301</v>
      </c>
      <c r="G3319">
        <v>0.113202539111149</v>
      </c>
      <c r="H3319">
        <v>7.9531697769614801E-2</v>
      </c>
      <c r="I3319">
        <v>8.1463739459841006E-2</v>
      </c>
      <c r="J3319">
        <v>0.105342470104222</v>
      </c>
      <c r="K3319">
        <v>9.34560694245017E-2</v>
      </c>
      <c r="L3319">
        <v>1236.43026464338</v>
      </c>
      <c r="M3319">
        <v>25.470695558242699</v>
      </c>
      <c r="N3319">
        <v>48.921307825472503</v>
      </c>
      <c r="O3319">
        <v>48.246980311515401</v>
      </c>
      <c r="P3319">
        <v>-0.120191445150255</v>
      </c>
      <c r="Q3319">
        <v>8.9337378212607996E-2</v>
      </c>
      <c r="R3319">
        <v>0.99708784861500199</v>
      </c>
      <c r="S3319" t="s">
        <v>9965</v>
      </c>
      <c r="T3319" t="s">
        <v>13290</v>
      </c>
      <c r="U3319" t="s">
        <v>13290</v>
      </c>
      <c r="V3319" t="s">
        <v>13290</v>
      </c>
      <c r="W3319" t="s">
        <v>16565</v>
      </c>
      <c r="X3319">
        <v>21</v>
      </c>
      <c r="Y3319" t="s">
        <v>23084</v>
      </c>
      <c r="Z3319" t="s">
        <v>29649</v>
      </c>
      <c r="AA3319">
        <v>0.35641557166863891</v>
      </c>
      <c r="AB3319" t="str">
        <f>HYPERLINK("Melting_Curves/meltCurve_Q12965_MYO1E.pdf", "Melting_Curves/meltCurve_Q12965_MYO1E.pdf")</f>
        <v>Melting_Curves/meltCurve_Q12965_MYO1E.pdf</v>
      </c>
    </row>
    <row r="3320" spans="1:28" x14ac:dyDescent="0.25">
      <c r="A3320" t="s">
        <v>3324</v>
      </c>
      <c r="B3320">
        <v>0.99252571173614901</v>
      </c>
      <c r="C3320">
        <v>0.944871085181204</v>
      </c>
      <c r="D3320">
        <v>0.37324217594951298</v>
      </c>
      <c r="E3320">
        <v>0.82530861238822595</v>
      </c>
      <c r="F3320">
        <v>0.34401796833981002</v>
      </c>
      <c r="G3320">
        <v>0.147231686253358</v>
      </c>
      <c r="H3320">
        <v>9.3921140888826304E-2</v>
      </c>
      <c r="I3320">
        <v>8.57530083241069E-2</v>
      </c>
      <c r="J3320">
        <v>8.3893883359177704E-2</v>
      </c>
      <c r="K3320">
        <v>9.8837619552932798E-2</v>
      </c>
      <c r="L3320">
        <v>511.99654822927499</v>
      </c>
      <c r="M3320">
        <v>10.2162370631002</v>
      </c>
      <c r="N3320">
        <v>50.115951974560097</v>
      </c>
      <c r="O3320">
        <v>48.309598138630797</v>
      </c>
      <c r="P3320">
        <v>-5.2892262197138801E-2</v>
      </c>
      <c r="Q3320">
        <v>0</v>
      </c>
      <c r="R3320">
        <v>0.81973905686011805</v>
      </c>
      <c r="S3320" t="s">
        <v>9966</v>
      </c>
      <c r="T3320" t="s">
        <v>13290</v>
      </c>
      <c r="U3320" t="s">
        <v>13290</v>
      </c>
      <c r="V3320" t="s">
        <v>13290</v>
      </c>
      <c r="W3320" t="s">
        <v>16566</v>
      </c>
      <c r="X3320">
        <v>8</v>
      </c>
      <c r="Y3320" t="s">
        <v>23085</v>
      </c>
      <c r="Z3320" t="s">
        <v>29650</v>
      </c>
      <c r="AA3320">
        <v>0.38069514583669789</v>
      </c>
      <c r="AB3320" t="str">
        <f>HYPERLINK("Melting_Curves/meltCurve_Q12972_PPP1R8.pdf", "Melting_Curves/meltCurve_Q12972_PPP1R8.pdf")</f>
        <v>Melting_Curves/meltCurve_Q12972_PPP1R8.pdf</v>
      </c>
    </row>
    <row r="3321" spans="1:28" x14ac:dyDescent="0.25">
      <c r="A3321" t="s">
        <v>3325</v>
      </c>
      <c r="B3321">
        <v>0.99252571173614901</v>
      </c>
      <c r="C3321">
        <v>0.95746805292290704</v>
      </c>
      <c r="D3321">
        <v>0.99378511793635105</v>
      </c>
      <c r="E3321">
        <v>0.92650392230733902</v>
      </c>
      <c r="F3321">
        <v>0.56598342661336898</v>
      </c>
      <c r="G3321">
        <v>0.22115543718670799</v>
      </c>
      <c r="H3321">
        <v>0.112862635795675</v>
      </c>
      <c r="I3321">
        <v>9.6068053666192699E-2</v>
      </c>
      <c r="J3321">
        <v>0.104502449308669</v>
      </c>
      <c r="K3321">
        <v>9.3379963703496605E-2</v>
      </c>
      <c r="L3321">
        <v>1650.9683002996001</v>
      </c>
      <c r="M3321">
        <v>30.936930810975198</v>
      </c>
      <c r="N3321">
        <v>53.734064440380003</v>
      </c>
      <c r="O3321">
        <v>53.1441004217507</v>
      </c>
      <c r="P3321">
        <v>-0.13162514466477901</v>
      </c>
      <c r="Q3321">
        <v>9.5571231932810197E-2</v>
      </c>
      <c r="R3321">
        <v>0.99875723419375395</v>
      </c>
      <c r="S3321" t="s">
        <v>9967</v>
      </c>
      <c r="T3321" t="s">
        <v>13290</v>
      </c>
      <c r="U3321" t="s">
        <v>13290</v>
      </c>
      <c r="V3321" t="s">
        <v>13290</v>
      </c>
      <c r="W3321" t="s">
        <v>16567</v>
      </c>
      <c r="X3321">
        <v>5</v>
      </c>
      <c r="Y3321" t="s">
        <v>23086</v>
      </c>
      <c r="Z3321" t="s">
        <v>29651</v>
      </c>
      <c r="AA3321">
        <v>0.50406343695791322</v>
      </c>
      <c r="AB3321" t="str">
        <f>HYPERLINK("Melting_Curves/meltCurve_Q12981_BNIP1.pdf", "Melting_Curves/meltCurve_Q12981_BNIP1.pdf")</f>
        <v>Melting_Curves/meltCurve_Q12981_BNIP1.pdf</v>
      </c>
    </row>
    <row r="3322" spans="1:28" x14ac:dyDescent="0.25">
      <c r="A3322" t="s">
        <v>3326</v>
      </c>
      <c r="B3322">
        <v>0.99252571173614901</v>
      </c>
      <c r="C3322">
        <v>1.03436460293188</v>
      </c>
      <c r="D3322">
        <v>0.86051471939490498</v>
      </c>
      <c r="E3322">
        <v>0.52100450335660697</v>
      </c>
      <c r="F3322">
        <v>0.258759095129519</v>
      </c>
      <c r="G3322">
        <v>5.6497448555938398E-2</v>
      </c>
      <c r="H3322">
        <v>0</v>
      </c>
      <c r="I3322">
        <v>7.0654457124676495E-2</v>
      </c>
      <c r="J3322">
        <v>0</v>
      </c>
      <c r="K3322">
        <v>0</v>
      </c>
      <c r="L3322">
        <v>1071.3919407226399</v>
      </c>
      <c r="M3322">
        <v>21.438359094557701</v>
      </c>
      <c r="N3322">
        <v>50.015279535426302</v>
      </c>
      <c r="O3322">
        <v>49.546725366739103</v>
      </c>
      <c r="P3322">
        <v>-0.107259860080891</v>
      </c>
      <c r="Q3322">
        <v>8.4608007233147493E-3</v>
      </c>
      <c r="R3322">
        <v>0.99389594095648204</v>
      </c>
      <c r="S3322" t="s">
        <v>9968</v>
      </c>
      <c r="T3322" t="s">
        <v>13290</v>
      </c>
      <c r="U3322" t="s">
        <v>13290</v>
      </c>
      <c r="V3322" t="s">
        <v>13290</v>
      </c>
      <c r="W3322" t="s">
        <v>16568</v>
      </c>
      <c r="X3322">
        <v>4</v>
      </c>
      <c r="Y3322" t="s">
        <v>23087</v>
      </c>
      <c r="Z3322" t="s">
        <v>29652</v>
      </c>
      <c r="AA3322">
        <v>0.35020604323060739</v>
      </c>
      <c r="AB3322" t="str">
        <f>HYPERLINK("Melting_Curves/meltCurve_Q12986_NFX1.pdf", "Melting_Curves/meltCurve_Q12986_NFX1.pdf")</f>
        <v>Melting_Curves/meltCurve_Q12986_NFX1.pdf</v>
      </c>
    </row>
    <row r="3323" spans="1:28" x14ac:dyDescent="0.25">
      <c r="A3323" t="s">
        <v>3327</v>
      </c>
      <c r="B3323">
        <v>0.99252571173614901</v>
      </c>
      <c r="C3323">
        <v>0.91931074161592596</v>
      </c>
      <c r="D3323">
        <v>1.10612078019185</v>
      </c>
      <c r="E3323">
        <v>1.13717863992011</v>
      </c>
      <c r="F3323">
        <v>0.39204339159038598</v>
      </c>
      <c r="G3323">
        <v>0.187163121959114</v>
      </c>
      <c r="H3323">
        <v>0.10618759454462399</v>
      </c>
      <c r="I3323">
        <v>0.108144365846826</v>
      </c>
      <c r="J3323">
        <v>0.12246185512801</v>
      </c>
      <c r="K3323">
        <v>0.12081095041427301</v>
      </c>
      <c r="L3323">
        <v>13255.439266643099</v>
      </c>
      <c r="M3323">
        <v>250</v>
      </c>
      <c r="N3323">
        <v>53.085098666226997</v>
      </c>
      <c r="O3323">
        <v>53.018365496484002</v>
      </c>
      <c r="P3323">
        <v>-1.0268216209960099</v>
      </c>
      <c r="Q3323">
        <v>0.12895356114610501</v>
      </c>
      <c r="R3323">
        <v>0.97828658159068904</v>
      </c>
      <c r="S3323" t="s">
        <v>9969</v>
      </c>
      <c r="T3323" t="s">
        <v>13290</v>
      </c>
      <c r="U3323" t="s">
        <v>13290</v>
      </c>
      <c r="V3323" t="s">
        <v>13290</v>
      </c>
      <c r="W3323" t="s">
        <v>16569</v>
      </c>
      <c r="X3323">
        <v>12</v>
      </c>
      <c r="Y3323" t="s">
        <v>23088</v>
      </c>
      <c r="Z3323" t="s">
        <v>29653</v>
      </c>
      <c r="AA3323">
        <v>0.50711978475350805</v>
      </c>
      <c r="AB3323" t="str">
        <f>HYPERLINK("Melting_Curves/meltCurve_Q12996_CSTF3.pdf", "Melting_Curves/meltCurve_Q12996_CSTF3.pdf")</f>
        <v>Melting_Curves/meltCurve_Q12996_CSTF3.pdf</v>
      </c>
    </row>
    <row r="3324" spans="1:28" x14ac:dyDescent="0.25">
      <c r="A3324" t="s">
        <v>3328</v>
      </c>
      <c r="B3324">
        <v>0.99252571173614901</v>
      </c>
      <c r="C3324">
        <v>0.86611944183950695</v>
      </c>
      <c r="D3324">
        <v>1.1806490985961999</v>
      </c>
      <c r="E3324">
        <v>1.2505553109817</v>
      </c>
      <c r="F3324">
        <v>0.82891955779999704</v>
      </c>
      <c r="G3324">
        <v>0.150441810687304</v>
      </c>
      <c r="H3324">
        <v>8.0268073940824802E-2</v>
      </c>
      <c r="I3324">
        <v>6.434679084811E-2</v>
      </c>
      <c r="J3324">
        <v>7.3953119206515594E-2</v>
      </c>
      <c r="K3324">
        <v>7.3075266278433207E-2</v>
      </c>
      <c r="L3324">
        <v>3422.9439796076099</v>
      </c>
      <c r="M3324">
        <v>62.802530030749303</v>
      </c>
      <c r="N3324">
        <v>54.643242771804303</v>
      </c>
      <c r="O3324">
        <v>54.448100170248303</v>
      </c>
      <c r="P3324">
        <v>-0.26693627102489598</v>
      </c>
      <c r="Q3324">
        <v>7.4294123268104098E-2</v>
      </c>
      <c r="R3324">
        <v>0.95086428209583096</v>
      </c>
      <c r="S3324" t="s">
        <v>9970</v>
      </c>
      <c r="T3324" t="s">
        <v>13290</v>
      </c>
      <c r="U3324" t="s">
        <v>13290</v>
      </c>
      <c r="V3324" t="s">
        <v>13290</v>
      </c>
      <c r="W3324" t="s">
        <v>16570</v>
      </c>
      <c r="X3324">
        <v>16</v>
      </c>
      <c r="Y3324" t="s">
        <v>23089</v>
      </c>
      <c r="Z3324" t="s">
        <v>29654</v>
      </c>
      <c r="AA3324">
        <v>0.52322761125183592</v>
      </c>
      <c r="AB3324" t="str">
        <f>HYPERLINK("Melting_Curves/meltCurve_Q13011_ECH1.pdf", "Melting_Curves/meltCurve_Q13011_ECH1.pdf")</f>
        <v>Melting_Curves/meltCurve_Q13011_ECH1.pdf</v>
      </c>
    </row>
    <row r="3325" spans="1:28" x14ac:dyDescent="0.25">
      <c r="A3325" t="s">
        <v>3329</v>
      </c>
      <c r="B3325">
        <v>0.99252571173614901</v>
      </c>
      <c r="C3325">
        <v>0.90337497982558701</v>
      </c>
      <c r="D3325">
        <v>0.71578081389469195</v>
      </c>
      <c r="E3325">
        <v>0.73998486114604001</v>
      </c>
      <c r="F3325">
        <v>0.54682766677828398</v>
      </c>
      <c r="G3325">
        <v>0.33063876217493599</v>
      </c>
      <c r="H3325">
        <v>0.23263763348125599</v>
      </c>
      <c r="I3325">
        <v>0.23669620463754801</v>
      </c>
      <c r="J3325">
        <v>0.25463799353669497</v>
      </c>
      <c r="K3325">
        <v>0.25398796207510099</v>
      </c>
      <c r="L3325">
        <v>566.414363642431</v>
      </c>
      <c r="M3325">
        <v>11.0768074833995</v>
      </c>
      <c r="N3325">
        <v>53.179208384705497</v>
      </c>
      <c r="O3325">
        <v>49.553375930184998</v>
      </c>
      <c r="P3325">
        <v>-4.62103587689126E-2</v>
      </c>
      <c r="Q3325">
        <v>0.173362113848614</v>
      </c>
      <c r="R3325">
        <v>0.96420248800383901</v>
      </c>
      <c r="S3325" t="s">
        <v>9971</v>
      </c>
      <c r="T3325" t="s">
        <v>13290</v>
      </c>
      <c r="U3325" t="s">
        <v>13290</v>
      </c>
      <c r="V3325" t="s">
        <v>13290</v>
      </c>
      <c r="W3325" t="s">
        <v>16571</v>
      </c>
      <c r="X3325">
        <v>1</v>
      </c>
      <c r="Y3325" t="s">
        <v>23090</v>
      </c>
      <c r="Z3325" t="s">
        <v>29655</v>
      </c>
      <c r="AA3325">
        <v>0.51002298956987213</v>
      </c>
      <c r="AB3325" t="str">
        <f>HYPERLINK("Melting_Curves/meltCurve_Q13015_MLLT11.pdf", "Melting_Curves/meltCurve_Q13015_MLLT11.pdf")</f>
        <v>Melting_Curves/meltCurve_Q13015_MLLT11.pdf</v>
      </c>
    </row>
    <row r="3326" spans="1:28" x14ac:dyDescent="0.25">
      <c r="A3326" t="s">
        <v>3330</v>
      </c>
      <c r="B3326">
        <v>0.99252571173614901</v>
      </c>
      <c r="C3326">
        <v>0.97407773887023297</v>
      </c>
      <c r="D3326">
        <v>0.78074948681268097</v>
      </c>
      <c r="E3326">
        <v>0.31402257988808902</v>
      </c>
      <c r="F3326">
        <v>0.218814147145414</v>
      </c>
      <c r="G3326">
        <v>0.131172746933402</v>
      </c>
      <c r="H3326">
        <v>9.2299151833092799E-2</v>
      </c>
      <c r="I3326">
        <v>9.4975539684083204E-2</v>
      </c>
      <c r="J3326">
        <v>0.119597083650044</v>
      </c>
      <c r="K3326">
        <v>0.115626271380457</v>
      </c>
      <c r="L3326">
        <v>1356.7873324340701</v>
      </c>
      <c r="M3326">
        <v>28.4390921537338</v>
      </c>
      <c r="N3326">
        <v>48.155890297100399</v>
      </c>
      <c r="O3326">
        <v>47.474508090077897</v>
      </c>
      <c r="P3326">
        <v>-0.13237605655467399</v>
      </c>
      <c r="Q3326">
        <v>0.11608468916372</v>
      </c>
      <c r="R3326">
        <v>0.99580382834792003</v>
      </c>
      <c r="S3326" t="s">
        <v>9972</v>
      </c>
      <c r="T3326" t="s">
        <v>13290</v>
      </c>
      <c r="U3326" t="s">
        <v>13290</v>
      </c>
      <c r="V3326" t="s">
        <v>13290</v>
      </c>
      <c r="W3326" t="s">
        <v>16572</v>
      </c>
      <c r="X3326">
        <v>14</v>
      </c>
      <c r="Y3326" t="s">
        <v>23091</v>
      </c>
      <c r="Z3326" t="s">
        <v>29656</v>
      </c>
      <c r="AA3326">
        <v>0.34914994883476369</v>
      </c>
      <c r="AB3326" t="str">
        <f>HYPERLINK("Melting_Curves/meltCurve_Q13017_2_ARHGAP5.pdf", "Melting_Curves/meltCurve_Q13017_2_ARHGAP5.pdf")</f>
        <v>Melting_Curves/meltCurve_Q13017_2_ARHGAP5.pdf</v>
      </c>
    </row>
    <row r="3327" spans="1:28" x14ac:dyDescent="0.25">
      <c r="A3327" t="s">
        <v>3331</v>
      </c>
      <c r="B3327">
        <v>0.99252571173614901</v>
      </c>
      <c r="C3327">
        <v>0.90166578909747497</v>
      </c>
      <c r="D3327">
        <v>1.0654122222963101</v>
      </c>
      <c r="E3327">
        <v>0.99726687193405905</v>
      </c>
      <c r="F3327">
        <v>0.61328252480725298</v>
      </c>
      <c r="G3327">
        <v>0.28979986181606598</v>
      </c>
      <c r="H3327">
        <v>0.14108827655122999</v>
      </c>
      <c r="I3327">
        <v>0.11297299444622599</v>
      </c>
      <c r="J3327">
        <v>0.125778751202094</v>
      </c>
      <c r="K3327">
        <v>0.12019297511926</v>
      </c>
      <c r="L3327">
        <v>1742.1886224556699</v>
      </c>
      <c r="M3327">
        <v>32.373110535800102</v>
      </c>
      <c r="N3327">
        <v>54.287806407816298</v>
      </c>
      <c r="O3327">
        <v>53.611814734149</v>
      </c>
      <c r="P3327">
        <v>-0.13244805369989501</v>
      </c>
      <c r="Q3327">
        <v>0.122636530254135</v>
      </c>
      <c r="R3327">
        <v>0.98794122139491303</v>
      </c>
      <c r="S3327" t="s">
        <v>9973</v>
      </c>
      <c r="T3327" t="s">
        <v>13290</v>
      </c>
      <c r="U3327" t="s">
        <v>13290</v>
      </c>
      <c r="V3327" t="s">
        <v>13290</v>
      </c>
      <c r="W3327" t="s">
        <v>16573</v>
      </c>
      <c r="X3327">
        <v>10</v>
      </c>
      <c r="Y3327" t="s">
        <v>23092</v>
      </c>
      <c r="Z3327" t="s">
        <v>29657</v>
      </c>
      <c r="AA3327">
        <v>0.53164692774823186</v>
      </c>
      <c r="AB3327" t="str">
        <f>HYPERLINK("Melting_Curves/meltCurve_Q13033_2_STRN3.pdf", "Melting_Curves/meltCurve_Q13033_2_STRN3.pdf")</f>
        <v>Melting_Curves/meltCurve_Q13033_2_STRN3.pdf</v>
      </c>
    </row>
    <row r="3328" spans="1:28" x14ac:dyDescent="0.25">
      <c r="A3328" t="s">
        <v>3332</v>
      </c>
      <c r="B3328">
        <v>0.99252571173614901</v>
      </c>
      <c r="C3328">
        <v>0.767008922980015</v>
      </c>
      <c r="D3328">
        <v>0.60125910791528103</v>
      </c>
      <c r="E3328">
        <v>0.74261667388960195</v>
      </c>
      <c r="F3328">
        <v>0.42689887825858702</v>
      </c>
      <c r="G3328">
        <v>0.18194375465215701</v>
      </c>
      <c r="H3328">
        <v>0.14445228445866901</v>
      </c>
      <c r="I3328">
        <v>0.18197858412482301</v>
      </c>
      <c r="J3328">
        <v>0.202660247651753</v>
      </c>
      <c r="K3328">
        <v>0.16806694947535</v>
      </c>
      <c r="L3328">
        <v>486.46419832038902</v>
      </c>
      <c r="M3328">
        <v>9.7704824420786807</v>
      </c>
      <c r="N3328">
        <v>50.740792302467703</v>
      </c>
      <c r="O3328">
        <v>47.837833704404098</v>
      </c>
      <c r="P3328">
        <v>-4.6810701529696297E-2</v>
      </c>
      <c r="Q3328">
        <v>8.3716483924123106E-2</v>
      </c>
      <c r="R3328">
        <v>0.90571570497885701</v>
      </c>
      <c r="S3328" t="s">
        <v>9974</v>
      </c>
      <c r="T3328" t="s">
        <v>13290</v>
      </c>
      <c r="U3328" t="s">
        <v>13290</v>
      </c>
      <c r="V3328" t="s">
        <v>13290</v>
      </c>
      <c r="W3328" t="s">
        <v>16574</v>
      </c>
      <c r="X3328">
        <v>14</v>
      </c>
      <c r="Y3328" t="s">
        <v>23093</v>
      </c>
      <c r="Z3328" t="s">
        <v>29658</v>
      </c>
      <c r="AA3328">
        <v>0.42620246777324422</v>
      </c>
      <c r="AB3328" t="str">
        <f>HYPERLINK("Melting_Curves/meltCurve_Q13043_STK4.pdf", "Melting_Curves/meltCurve_Q13043_STK4.pdf")</f>
        <v>Melting_Curves/meltCurve_Q13043_STK4.pdf</v>
      </c>
    </row>
    <row r="3329" spans="1:28" x14ac:dyDescent="0.25">
      <c r="A3329" t="s">
        <v>3333</v>
      </c>
      <c r="B3329">
        <v>0.99252571173614901</v>
      </c>
      <c r="C3329">
        <v>0.97135810439720205</v>
      </c>
      <c r="D3329">
        <v>0.86537625803094398</v>
      </c>
      <c r="E3329">
        <v>0.450327841773697</v>
      </c>
      <c r="F3329">
        <v>0.186812337077739</v>
      </c>
      <c r="G3329">
        <v>0.11184086688820399</v>
      </c>
      <c r="H3329">
        <v>8.2840033623993795E-2</v>
      </c>
      <c r="I3329">
        <v>8.7211351180361399E-2</v>
      </c>
      <c r="J3329">
        <v>9.15226370895761E-2</v>
      </c>
      <c r="K3329">
        <v>8.5283768761212894E-2</v>
      </c>
      <c r="L3329">
        <v>1315.3309481122001</v>
      </c>
      <c r="M3329">
        <v>26.903748950223299</v>
      </c>
      <c r="N3329">
        <v>49.239374984110597</v>
      </c>
      <c r="O3329">
        <v>48.622533909148501</v>
      </c>
      <c r="P3329">
        <v>-0.12631929355408</v>
      </c>
      <c r="Q3329">
        <v>8.6833336111325404E-2</v>
      </c>
      <c r="R3329">
        <v>0.99975437022342795</v>
      </c>
      <c r="S3329" t="s">
        <v>9975</v>
      </c>
      <c r="T3329" t="s">
        <v>13290</v>
      </c>
      <c r="U3329" t="s">
        <v>13290</v>
      </c>
      <c r="V3329" t="s">
        <v>13290</v>
      </c>
      <c r="W3329" t="s">
        <v>16575</v>
      </c>
      <c r="X3329">
        <v>24</v>
      </c>
      <c r="Y3329" t="s">
        <v>23094</v>
      </c>
      <c r="Z3329" t="s">
        <v>29659</v>
      </c>
      <c r="AA3329">
        <v>0.36439180256843928</v>
      </c>
      <c r="AB3329" t="str">
        <f>HYPERLINK("Melting_Curves/meltCurve_Q13045_FLII.pdf", "Melting_Curves/meltCurve_Q13045_FLII.pdf")</f>
        <v>Melting_Curves/meltCurve_Q13045_FLII.pdf</v>
      </c>
    </row>
    <row r="3330" spans="1:28" x14ac:dyDescent="0.25">
      <c r="A3330" t="s">
        <v>3334</v>
      </c>
      <c r="B3330">
        <v>0.99252571173614901</v>
      </c>
      <c r="C3330">
        <v>0.92724849325261405</v>
      </c>
      <c r="D3330">
        <v>0.83973064637533001</v>
      </c>
      <c r="E3330">
        <v>0.51445532179912701</v>
      </c>
      <c r="F3330">
        <v>0.16655452484231201</v>
      </c>
      <c r="G3330">
        <v>7.97816472690029E-2</v>
      </c>
      <c r="H3330">
        <v>6.3077721102942394E-2</v>
      </c>
      <c r="I3330">
        <v>7.4845656316938305E-2</v>
      </c>
      <c r="J3330">
        <v>0.11294431506781601</v>
      </c>
      <c r="K3330">
        <v>0.115556805523666</v>
      </c>
      <c r="L3330">
        <v>1225.43036205112</v>
      </c>
      <c r="M3330">
        <v>24.953228529757201</v>
      </c>
      <c r="N3330">
        <v>49.447849983655999</v>
      </c>
      <c r="O3330">
        <v>48.796961321533097</v>
      </c>
      <c r="P3330">
        <v>-0.11779946455839101</v>
      </c>
      <c r="Q3330">
        <v>7.8567861293828395E-2</v>
      </c>
      <c r="R3330">
        <v>0.99388450101786896</v>
      </c>
      <c r="S3330" t="s">
        <v>9976</v>
      </c>
      <c r="T3330" t="s">
        <v>13290</v>
      </c>
      <c r="U3330" t="s">
        <v>13290</v>
      </c>
      <c r="V3330" t="s">
        <v>13290</v>
      </c>
      <c r="W3330" t="s">
        <v>16576</v>
      </c>
      <c r="X3330">
        <v>24</v>
      </c>
      <c r="Y3330" t="s">
        <v>23094</v>
      </c>
      <c r="Z3330" t="s">
        <v>29660</v>
      </c>
      <c r="AA3330">
        <v>0.36655082933812322</v>
      </c>
      <c r="AB3330" t="str">
        <f>HYPERLINK("Melting_Curves/meltCurve_Q13045_2_FLII.pdf", "Melting_Curves/meltCurve_Q13045_2_FLII.pdf")</f>
        <v>Melting_Curves/meltCurve_Q13045_2_FLII.pdf</v>
      </c>
    </row>
    <row r="3331" spans="1:28" x14ac:dyDescent="0.25">
      <c r="A3331" t="s">
        <v>3335</v>
      </c>
      <c r="B3331">
        <v>0.99252571173614901</v>
      </c>
      <c r="C3331">
        <v>1.0616847115638099</v>
      </c>
      <c r="D3331">
        <v>0.939411756685814</v>
      </c>
      <c r="E3331">
        <v>0.57837466882731803</v>
      </c>
      <c r="F3331">
        <v>0.17910285288305999</v>
      </c>
      <c r="G3331">
        <v>9.1330025826952405E-2</v>
      </c>
      <c r="H3331">
        <v>6.3106548615691899E-2</v>
      </c>
      <c r="I3331">
        <v>6.0924397797957199E-2</v>
      </c>
      <c r="J3331">
        <v>8.2346323296783E-2</v>
      </c>
      <c r="K3331">
        <v>7.4971592761250497E-2</v>
      </c>
      <c r="L3331">
        <v>1643.3695267743601</v>
      </c>
      <c r="M3331">
        <v>32.942901429224499</v>
      </c>
      <c r="N3331">
        <v>50.117958172629002</v>
      </c>
      <c r="O3331">
        <v>49.702643353636503</v>
      </c>
      <c r="P3331">
        <v>-0.153956503360757</v>
      </c>
      <c r="Q3331">
        <v>7.0875909819721306E-2</v>
      </c>
      <c r="R3331">
        <v>0.99713784921176396</v>
      </c>
      <c r="S3331" t="s">
        <v>9977</v>
      </c>
      <c r="T3331" t="s">
        <v>13290</v>
      </c>
      <c r="U3331" t="s">
        <v>13290</v>
      </c>
      <c r="V3331" t="s">
        <v>13290</v>
      </c>
      <c r="W3331" t="s">
        <v>16577</v>
      </c>
      <c r="X3331">
        <v>16</v>
      </c>
      <c r="Y3331" t="s">
        <v>23095</v>
      </c>
      <c r="Z3331" t="s">
        <v>29661</v>
      </c>
      <c r="AA3331">
        <v>0.3817799985659594</v>
      </c>
      <c r="AB3331" t="str">
        <f>HYPERLINK("Melting_Curves/meltCurve_Q13057_COASY.pdf", "Melting_Curves/meltCurve_Q13057_COASY.pdf")</f>
        <v>Melting_Curves/meltCurve_Q13057_COASY.pdf</v>
      </c>
    </row>
    <row r="3332" spans="1:28" x14ac:dyDescent="0.25">
      <c r="A3332" t="s">
        <v>3336</v>
      </c>
      <c r="B3332">
        <v>0.99252571173614901</v>
      </c>
      <c r="C3332">
        <v>0.74887172000065105</v>
      </c>
      <c r="D3332">
        <v>0.76470685092805801</v>
      </c>
      <c r="E3332">
        <v>0.247971106159076</v>
      </c>
      <c r="F3332">
        <v>0.19453190248284899</v>
      </c>
      <c r="G3332">
        <v>9.7781478596851101E-2</v>
      </c>
      <c r="H3332">
        <v>7.1434757124081399E-2</v>
      </c>
      <c r="I3332">
        <v>7.7085097518672999E-2</v>
      </c>
      <c r="J3332">
        <v>9.8863577972587199E-2</v>
      </c>
      <c r="K3332">
        <v>9.3549689284901996E-2</v>
      </c>
      <c r="L3332">
        <v>907.38440617088202</v>
      </c>
      <c r="M3332">
        <v>19.260427214993001</v>
      </c>
      <c r="N3332">
        <v>47.516421969340598</v>
      </c>
      <c r="O3332">
        <v>46.612289417698797</v>
      </c>
      <c r="P3332">
        <v>-9.5483451869705693E-2</v>
      </c>
      <c r="Q3332">
        <v>7.5714340347124903E-2</v>
      </c>
      <c r="R3332">
        <v>0.96376563575615204</v>
      </c>
      <c r="S3332" t="s">
        <v>9978</v>
      </c>
      <c r="T3332" t="s">
        <v>13290</v>
      </c>
      <c r="U3332" t="s">
        <v>13290</v>
      </c>
      <c r="V3332" t="s">
        <v>13290</v>
      </c>
      <c r="W3332" t="s">
        <v>16578</v>
      </c>
      <c r="X3332">
        <v>11</v>
      </c>
      <c r="Y3332" t="s">
        <v>23096</v>
      </c>
      <c r="Z3332" t="s">
        <v>29662</v>
      </c>
      <c r="AA3332">
        <v>0.30944602994758658</v>
      </c>
      <c r="AB3332" t="str">
        <f>HYPERLINK("Melting_Curves/meltCurve_Q13085_3_ACACA.pdf", "Melting_Curves/meltCurve_Q13085_3_ACACA.pdf")</f>
        <v>Melting_Curves/meltCurve_Q13085_3_ACACA.pdf</v>
      </c>
    </row>
    <row r="3333" spans="1:28" x14ac:dyDescent="0.25">
      <c r="A3333" t="s">
        <v>3337</v>
      </c>
      <c r="B3333">
        <v>0.99252571173614901</v>
      </c>
      <c r="C3333">
        <v>0.96434113720284498</v>
      </c>
      <c r="D3333">
        <v>1.1149920623198399</v>
      </c>
      <c r="E3333">
        <v>1.16551413808758</v>
      </c>
      <c r="F3333">
        <v>0.78759921955619205</v>
      </c>
      <c r="G3333">
        <v>0.27042397863517997</v>
      </c>
      <c r="H3333">
        <v>0.17562083370797599</v>
      </c>
      <c r="I3333">
        <v>0.17388916044281699</v>
      </c>
      <c r="J3333">
        <v>0.19523356208738499</v>
      </c>
      <c r="K3333">
        <v>0.196303520136316</v>
      </c>
      <c r="L3333">
        <v>2964.8138741883499</v>
      </c>
      <c r="M3333">
        <v>54.616843405528201</v>
      </c>
      <c r="N3333">
        <v>54.756308861682101</v>
      </c>
      <c r="O3333">
        <v>54.211245796740698</v>
      </c>
      <c r="P3333">
        <v>-0.20454832546137799</v>
      </c>
      <c r="Q3333">
        <v>0.18788328057668099</v>
      </c>
      <c r="R3333">
        <v>0.97391493591726597</v>
      </c>
      <c r="S3333" t="s">
        <v>9979</v>
      </c>
      <c r="T3333" t="s">
        <v>13290</v>
      </c>
      <c r="U3333" t="s">
        <v>13290</v>
      </c>
      <c r="V3333" t="s">
        <v>13290</v>
      </c>
      <c r="W3333" t="s">
        <v>16579</v>
      </c>
      <c r="X3333">
        <v>15</v>
      </c>
      <c r="Y3333" t="s">
        <v>23097</v>
      </c>
      <c r="Z3333" t="s">
        <v>29663</v>
      </c>
      <c r="AA3333">
        <v>0.57618375473363315</v>
      </c>
      <c r="AB3333" t="str">
        <f>HYPERLINK("Melting_Curves/meltCurve_Q13098_GPS1.pdf", "Melting_Curves/meltCurve_Q13098_GPS1.pdf")</f>
        <v>Melting_Curves/meltCurve_Q13098_GPS1.pdf</v>
      </c>
    </row>
    <row r="3334" spans="1:28" x14ac:dyDescent="0.25">
      <c r="A3334" t="s">
        <v>3338</v>
      </c>
      <c r="B3334">
        <v>0.99252571173614901</v>
      </c>
      <c r="C3334">
        <v>0.74927387201440199</v>
      </c>
      <c r="D3334">
        <v>0.42067198897604302</v>
      </c>
      <c r="E3334">
        <v>0.48919529180013699</v>
      </c>
      <c r="F3334">
        <v>0.216797862676466</v>
      </c>
      <c r="G3334">
        <v>0.12085743677683</v>
      </c>
      <c r="H3334">
        <v>0.112418361028393</v>
      </c>
      <c r="I3334">
        <v>0.146947386643725</v>
      </c>
      <c r="J3334">
        <v>0.16672469049095801</v>
      </c>
      <c r="K3334">
        <v>0.143033687231746</v>
      </c>
      <c r="L3334">
        <v>669.49514501989597</v>
      </c>
      <c r="M3334">
        <v>14.657282366855901</v>
      </c>
      <c r="N3334">
        <v>46.632255027975901</v>
      </c>
      <c r="O3334">
        <v>44.851661278404102</v>
      </c>
      <c r="P3334">
        <v>-7.1107894131510599E-2</v>
      </c>
      <c r="Q3334">
        <v>0.129728387022889</v>
      </c>
      <c r="R3334">
        <v>0.93871729341948495</v>
      </c>
      <c r="S3334" t="s">
        <v>9980</v>
      </c>
      <c r="T3334" t="s">
        <v>13290</v>
      </c>
      <c r="U3334" t="s">
        <v>13290</v>
      </c>
      <c r="V3334" t="s">
        <v>13290</v>
      </c>
      <c r="W3334" t="s">
        <v>16580</v>
      </c>
      <c r="X3334">
        <v>5</v>
      </c>
      <c r="Y3334" t="s">
        <v>23098</v>
      </c>
      <c r="Z3334" t="s">
        <v>29664</v>
      </c>
      <c r="AA3334">
        <v>0.32184005376969832</v>
      </c>
      <c r="AB3334" t="str">
        <f>HYPERLINK("Melting_Curves/meltCurve_Q13107_2_USP4.pdf", "Melting_Curves/meltCurve_Q13107_2_USP4.pdf")</f>
        <v>Melting_Curves/meltCurve_Q13107_2_USP4.pdf</v>
      </c>
    </row>
    <row r="3335" spans="1:28" x14ac:dyDescent="0.25">
      <c r="A3335" t="s">
        <v>3339</v>
      </c>
      <c r="B3335">
        <v>0.99252571173614901</v>
      </c>
      <c r="C3335">
        <v>1.0301050079404299</v>
      </c>
      <c r="D3335">
        <v>0.62659422535048304</v>
      </c>
      <c r="E3335">
        <v>0.58371520985940994</v>
      </c>
      <c r="F3335">
        <v>0.45567882744281601</v>
      </c>
      <c r="G3335">
        <v>0.384514140139184</v>
      </c>
      <c r="H3335">
        <v>0.33236959813606998</v>
      </c>
      <c r="I3335">
        <v>0.45279367142824301</v>
      </c>
      <c r="J3335">
        <v>0.789667083642692</v>
      </c>
      <c r="K3335">
        <v>0.96688066123905403</v>
      </c>
      <c r="L3335">
        <v>11415.956401884299</v>
      </c>
      <c r="M3335">
        <v>250</v>
      </c>
      <c r="O3335">
        <v>45.660882390413498</v>
      </c>
      <c r="P3335">
        <v>-0.59334537624301598</v>
      </c>
      <c r="Q3335">
        <v>0.56651702430690598</v>
      </c>
      <c r="R3335">
        <v>0.48764002419511099</v>
      </c>
      <c r="S3335" t="s">
        <v>9981</v>
      </c>
      <c r="T3335" t="s">
        <v>13290</v>
      </c>
      <c r="U3335" t="s">
        <v>13290</v>
      </c>
      <c r="V3335" t="s">
        <v>13290</v>
      </c>
      <c r="W3335" t="s">
        <v>16581</v>
      </c>
      <c r="X3335">
        <v>3</v>
      </c>
      <c r="Y3335" t="s">
        <v>23099</v>
      </c>
      <c r="Z3335" t="s">
        <v>29665</v>
      </c>
      <c r="AA3335">
        <v>0.64839082926928293</v>
      </c>
      <c r="AB3335" t="str">
        <f>HYPERLINK("Melting_Curves/meltCurve_Q13111_CHAF1A.pdf", "Melting_Curves/meltCurve_Q13111_CHAF1A.pdf")</f>
        <v>Melting_Curves/meltCurve_Q13111_CHAF1A.pdf</v>
      </c>
    </row>
    <row r="3336" spans="1:28" x14ac:dyDescent="0.25">
      <c r="A3336" t="s">
        <v>3340</v>
      </c>
      <c r="B3336">
        <v>0.99252571173614901</v>
      </c>
      <c r="C3336">
        <v>1.0506450092928901</v>
      </c>
      <c r="D3336">
        <v>1.2808541758668901</v>
      </c>
      <c r="E3336">
        <v>1.5381377331347501</v>
      </c>
      <c r="F3336">
        <v>1.6541091532865599</v>
      </c>
      <c r="G3336">
        <v>1.2547532034358</v>
      </c>
      <c r="H3336">
        <v>0.77535545516826698</v>
      </c>
      <c r="I3336">
        <v>0.231712435942763</v>
      </c>
      <c r="J3336">
        <v>0.21528730474656299</v>
      </c>
      <c r="K3336">
        <v>0.18256980704152301</v>
      </c>
      <c r="L3336">
        <v>5564.3636835869102</v>
      </c>
      <c r="M3336">
        <v>90.571705139666705</v>
      </c>
      <c r="N3336">
        <v>61.790559295361902</v>
      </c>
      <c r="O3336">
        <v>61.406051761805202</v>
      </c>
      <c r="P3336">
        <v>-0.29401396068333802</v>
      </c>
      <c r="Q3336">
        <v>0.20265425323892</v>
      </c>
      <c r="R3336">
        <v>0.68215958513151498</v>
      </c>
      <c r="S3336" t="s">
        <v>9982</v>
      </c>
      <c r="T3336" t="s">
        <v>13290</v>
      </c>
      <c r="U3336" t="s">
        <v>13290</v>
      </c>
      <c r="V3336" t="s">
        <v>13290</v>
      </c>
      <c r="W3336" t="s">
        <v>16582</v>
      </c>
      <c r="X3336">
        <v>9</v>
      </c>
      <c r="Y3336" t="s">
        <v>23100</v>
      </c>
      <c r="Z3336" t="s">
        <v>29666</v>
      </c>
      <c r="AA3336">
        <v>0.77304007401748043</v>
      </c>
      <c r="AB3336" t="str">
        <f>HYPERLINK("Melting_Curves/meltCurve_Q13112_CHAF1B.pdf", "Melting_Curves/meltCurve_Q13112_CHAF1B.pdf")</f>
        <v>Melting_Curves/meltCurve_Q13112_CHAF1B.pdf</v>
      </c>
    </row>
    <row r="3337" spans="1:28" x14ac:dyDescent="0.25">
      <c r="A3337" t="s">
        <v>3341</v>
      </c>
      <c r="B3337">
        <v>0.99252571173614901</v>
      </c>
      <c r="C3337">
        <v>0.98691095711938204</v>
      </c>
      <c r="D3337">
        <v>0.96882840693467098</v>
      </c>
      <c r="E3337">
        <v>0.50962517215190195</v>
      </c>
      <c r="F3337">
        <v>0.223242052280479</v>
      </c>
      <c r="G3337">
        <v>0.13951662309746399</v>
      </c>
      <c r="H3337">
        <v>0.11519976480738101</v>
      </c>
      <c r="I3337">
        <v>0.14088726735617799</v>
      </c>
      <c r="J3337">
        <v>0.19480135572969001</v>
      </c>
      <c r="K3337">
        <v>0.23545036149408299</v>
      </c>
      <c r="L3337">
        <v>2068.2908830586298</v>
      </c>
      <c r="M3337">
        <v>42.0365370936793</v>
      </c>
      <c r="N3337">
        <v>49.686669672371799</v>
      </c>
      <c r="O3337">
        <v>49.091251937534402</v>
      </c>
      <c r="P3337">
        <v>-0.17808180105340701</v>
      </c>
      <c r="Q3337">
        <v>0.16812887623885001</v>
      </c>
      <c r="R3337">
        <v>0.99198117470770197</v>
      </c>
      <c r="S3337" t="s">
        <v>9983</v>
      </c>
      <c r="T3337" t="s">
        <v>13290</v>
      </c>
      <c r="U3337" t="s">
        <v>13290</v>
      </c>
      <c r="V3337" t="s">
        <v>13290</v>
      </c>
      <c r="W3337" t="s">
        <v>16583</v>
      </c>
      <c r="X3337">
        <v>19</v>
      </c>
      <c r="Y3337" t="s">
        <v>23101</v>
      </c>
      <c r="Z3337" t="s">
        <v>29667</v>
      </c>
      <c r="AA3337">
        <v>0.42585886096021419</v>
      </c>
      <c r="AB3337" t="str">
        <f>HYPERLINK("Melting_Curves/meltCurve_Q13123_IK.pdf", "Melting_Curves/meltCurve_Q13123_IK.pdf")</f>
        <v>Melting_Curves/meltCurve_Q13123_IK.pdf</v>
      </c>
    </row>
    <row r="3338" spans="1:28" x14ac:dyDescent="0.25">
      <c r="A3338" t="s">
        <v>3342</v>
      </c>
      <c r="B3338">
        <v>0.99252571173614901</v>
      </c>
      <c r="C3338">
        <v>1.0218636752427199</v>
      </c>
      <c r="D3338">
        <v>0.96089524066363396</v>
      </c>
      <c r="E3338">
        <v>0.90583193161399</v>
      </c>
      <c r="F3338">
        <v>0.80737095956613203</v>
      </c>
      <c r="G3338">
        <v>0.65519892066401297</v>
      </c>
      <c r="H3338">
        <v>0.62385642473909897</v>
      </c>
      <c r="I3338">
        <v>0.82537605895083899</v>
      </c>
      <c r="J3338">
        <v>1.1299938249746699</v>
      </c>
      <c r="K3338">
        <v>1.1322914955166099</v>
      </c>
      <c r="L3338">
        <v>1914.6816298517599</v>
      </c>
      <c r="M3338">
        <v>40.282232198543099</v>
      </c>
      <c r="O3338">
        <v>47.414975837802203</v>
      </c>
      <c r="P3338">
        <v>-2.87452669186294E-2</v>
      </c>
      <c r="Q3338">
        <v>0.86465959634318201</v>
      </c>
      <c r="R3338">
        <v>0.11932342217398</v>
      </c>
      <c r="S3338" t="s">
        <v>9984</v>
      </c>
      <c r="T3338" t="s">
        <v>13290</v>
      </c>
      <c r="U3338" t="s">
        <v>13290</v>
      </c>
      <c r="V3338" t="s">
        <v>13290</v>
      </c>
      <c r="W3338" t="s">
        <v>16584</v>
      </c>
      <c r="X3338">
        <v>13</v>
      </c>
      <c r="Y3338" t="s">
        <v>23102</v>
      </c>
      <c r="Z3338" t="s">
        <v>29668</v>
      </c>
      <c r="AA3338">
        <v>0.89907789251796799</v>
      </c>
      <c r="AB3338" t="str">
        <f>HYPERLINK("Melting_Curves/meltCurve_Q13126_MTAP.pdf", "Melting_Curves/meltCurve_Q13126_MTAP.pdf")</f>
        <v>Melting_Curves/meltCurve_Q13126_MTAP.pdf</v>
      </c>
    </row>
    <row r="3339" spans="1:28" x14ac:dyDescent="0.25">
      <c r="A3339" t="s">
        <v>3343</v>
      </c>
      <c r="B3339">
        <v>0.99252571173614901</v>
      </c>
      <c r="C3339">
        <v>0.94075724739878497</v>
      </c>
      <c r="D3339">
        <v>0.88640091317009395</v>
      </c>
      <c r="E3339">
        <v>0.78473381256515995</v>
      </c>
      <c r="F3339">
        <v>0.40915730491472702</v>
      </c>
      <c r="G3339">
        <v>0.163068686689298</v>
      </c>
      <c r="H3339">
        <v>0.10151550417895699</v>
      </c>
      <c r="I3339">
        <v>0.117516269527514</v>
      </c>
      <c r="J3339">
        <v>0.12169632157471701</v>
      </c>
      <c r="K3339">
        <v>0.120361180287098</v>
      </c>
      <c r="L3339">
        <v>1236.33215318212</v>
      </c>
      <c r="M3339">
        <v>23.927587052832699</v>
      </c>
      <c r="N3339">
        <v>52.161678879960903</v>
      </c>
      <c r="O3339">
        <v>51.312893206443597</v>
      </c>
      <c r="P3339">
        <v>-0.104803530851554</v>
      </c>
      <c r="Q3339">
        <v>0.101006496985052</v>
      </c>
      <c r="R3339">
        <v>0.99233828979095096</v>
      </c>
      <c r="S3339" t="s">
        <v>9985</v>
      </c>
      <c r="T3339" t="s">
        <v>13290</v>
      </c>
      <c r="U3339" t="s">
        <v>13290</v>
      </c>
      <c r="V3339" t="s">
        <v>13290</v>
      </c>
      <c r="W3339" t="s">
        <v>16585</v>
      </c>
      <c r="X3339">
        <v>16</v>
      </c>
      <c r="Y3339" t="s">
        <v>23103</v>
      </c>
      <c r="Z3339" t="s">
        <v>29669</v>
      </c>
      <c r="AA3339">
        <v>0.45960923138378779</v>
      </c>
      <c r="AB3339" t="str">
        <f>HYPERLINK("Melting_Curves/meltCurve_Q13131_PRKAA1.pdf", "Melting_Curves/meltCurve_Q13131_PRKAA1.pdf")</f>
        <v>Melting_Curves/meltCurve_Q13131_PRKAA1.pdf</v>
      </c>
    </row>
    <row r="3340" spans="1:28" x14ac:dyDescent="0.25">
      <c r="A3340" t="s">
        <v>3344</v>
      </c>
      <c r="B3340">
        <v>0.99252571173614901</v>
      </c>
      <c r="C3340">
        <v>0.90448049488919002</v>
      </c>
      <c r="D3340">
        <v>0.93321518435117201</v>
      </c>
      <c r="E3340">
        <v>0.47899646583268402</v>
      </c>
      <c r="F3340">
        <v>0.298777089268423</v>
      </c>
      <c r="G3340">
        <v>0.19221176227290901</v>
      </c>
      <c r="H3340">
        <v>0.16652778850998001</v>
      </c>
      <c r="I3340">
        <v>0.20267690321048301</v>
      </c>
      <c r="J3340">
        <v>0.271139786148132</v>
      </c>
      <c r="K3340">
        <v>0.305881845655881</v>
      </c>
      <c r="L3340">
        <v>1726.9740669760099</v>
      </c>
      <c r="M3340">
        <v>35.497568527054099</v>
      </c>
      <c r="N3340">
        <v>49.518378495760899</v>
      </c>
      <c r="O3340">
        <v>48.496864650543102</v>
      </c>
      <c r="P3340">
        <v>-0.140608114864156</v>
      </c>
      <c r="Q3340">
        <v>0.23160596505661801</v>
      </c>
      <c r="R3340">
        <v>0.97655572702505</v>
      </c>
      <c r="S3340" t="s">
        <v>9986</v>
      </c>
      <c r="T3340" t="s">
        <v>13290</v>
      </c>
      <c r="U3340" t="s">
        <v>13290</v>
      </c>
      <c r="V3340" t="s">
        <v>13290</v>
      </c>
      <c r="W3340" t="s">
        <v>16586</v>
      </c>
      <c r="X3340">
        <v>21</v>
      </c>
      <c r="Y3340" t="s">
        <v>23104</v>
      </c>
      <c r="Z3340" t="s">
        <v>29670</v>
      </c>
      <c r="AA3340">
        <v>0.45647099856356899</v>
      </c>
      <c r="AB3340" t="str">
        <f>HYPERLINK("Melting_Curves/meltCurve_Q13136_PPFIA1.pdf", "Melting_Curves/meltCurve_Q13136_PPFIA1.pdf")</f>
        <v>Melting_Curves/meltCurve_Q13136_PPFIA1.pdf</v>
      </c>
    </row>
    <row r="3341" spans="1:28" x14ac:dyDescent="0.25">
      <c r="A3341" t="s">
        <v>3345</v>
      </c>
      <c r="B3341">
        <v>0.99252571173614901</v>
      </c>
      <c r="C3341">
        <v>0.87136705799647896</v>
      </c>
      <c r="D3341">
        <v>0.864998779127504</v>
      </c>
      <c r="E3341">
        <v>0.71245149900513105</v>
      </c>
      <c r="F3341">
        <v>0.50080169660292095</v>
      </c>
      <c r="G3341">
        <v>0.37823425705205899</v>
      </c>
      <c r="H3341">
        <v>0.34229742277827002</v>
      </c>
      <c r="I3341">
        <v>0.39716452280019898</v>
      </c>
      <c r="J3341">
        <v>0.48084473981357001</v>
      </c>
      <c r="K3341">
        <v>0.43580756763320999</v>
      </c>
      <c r="L3341">
        <v>905.99692203639495</v>
      </c>
      <c r="M3341">
        <v>18.484311120810599</v>
      </c>
      <c r="N3341">
        <v>53.556869653993601</v>
      </c>
      <c r="O3341">
        <v>48.451505970409798</v>
      </c>
      <c r="P3341">
        <v>-5.76335537816801E-2</v>
      </c>
      <c r="Q3341">
        <v>0.39574525483272799</v>
      </c>
      <c r="R3341">
        <v>0.94818045398574702</v>
      </c>
      <c r="S3341" t="s">
        <v>9987</v>
      </c>
      <c r="T3341" t="s">
        <v>13290</v>
      </c>
      <c r="U3341" t="s">
        <v>13290</v>
      </c>
      <c r="V3341" t="s">
        <v>13290</v>
      </c>
      <c r="W3341" t="s">
        <v>16587</v>
      </c>
      <c r="X3341">
        <v>1</v>
      </c>
      <c r="Y3341" t="s">
        <v>23105</v>
      </c>
      <c r="Z3341" t="s">
        <v>29671</v>
      </c>
      <c r="AA3341">
        <v>0.58723380505353806</v>
      </c>
      <c r="AB3341" t="str">
        <f>HYPERLINK("Melting_Curves/meltCurve_Q13145_BAMBI.pdf", "Melting_Curves/meltCurve_Q13145_BAMBI.pdf")</f>
        <v>Melting_Curves/meltCurve_Q13145_BAMBI.pdf</v>
      </c>
    </row>
    <row r="3342" spans="1:28" x14ac:dyDescent="0.25">
      <c r="A3342" t="s">
        <v>3346</v>
      </c>
      <c r="B3342">
        <v>0.99252571173614901</v>
      </c>
      <c r="C3342">
        <v>0.479174557453031</v>
      </c>
      <c r="D3342">
        <v>0.19835775951416601</v>
      </c>
      <c r="E3342">
        <v>0.111880883497365</v>
      </c>
      <c r="F3342">
        <v>8.5414147217049402E-2</v>
      </c>
      <c r="G3342">
        <v>4.6569118940083101E-2</v>
      </c>
      <c r="H3342">
        <v>3.8659229779437303E-2</v>
      </c>
      <c r="I3342">
        <v>4.5199427202035701E-2</v>
      </c>
      <c r="J3342">
        <v>5.4224150043200602E-2</v>
      </c>
      <c r="K3342">
        <v>5.1594057073732401E-2</v>
      </c>
      <c r="L3342">
        <v>1518.7127743630299</v>
      </c>
      <c r="M3342">
        <v>35.477178798292599</v>
      </c>
      <c r="N3342">
        <v>42.9808427141827</v>
      </c>
      <c r="O3342">
        <v>42.672830233390201</v>
      </c>
      <c r="P3342">
        <v>-0.19403940518811699</v>
      </c>
      <c r="Q3342">
        <v>6.6421490599955696E-2</v>
      </c>
      <c r="R3342">
        <v>0.98502032375594095</v>
      </c>
      <c r="S3342" t="s">
        <v>9988</v>
      </c>
      <c r="T3342" t="s">
        <v>13290</v>
      </c>
      <c r="U3342" t="s">
        <v>13290</v>
      </c>
      <c r="V3342" t="s">
        <v>13290</v>
      </c>
      <c r="W3342" t="s">
        <v>16588</v>
      </c>
      <c r="X3342">
        <v>9</v>
      </c>
      <c r="Y3342" t="s">
        <v>23106</v>
      </c>
      <c r="Z3342" t="s">
        <v>29672</v>
      </c>
      <c r="AA3342">
        <v>0.15981029053394191</v>
      </c>
      <c r="AB3342" t="str">
        <f>HYPERLINK("Melting_Curves/meltCurve_Q13148_TARDBP.pdf", "Melting_Curves/meltCurve_Q13148_TARDBP.pdf")</f>
        <v>Melting_Curves/meltCurve_Q13148_TARDBP.pdf</v>
      </c>
    </row>
    <row r="3343" spans="1:28" x14ac:dyDescent="0.25">
      <c r="A3343" t="s">
        <v>3347</v>
      </c>
      <c r="B3343">
        <v>0.99252571173614901</v>
      </c>
      <c r="C3343">
        <v>0.92070081459934605</v>
      </c>
      <c r="D3343">
        <v>0.50329563943639899</v>
      </c>
      <c r="E3343">
        <v>0.244657402893947</v>
      </c>
      <c r="F3343">
        <v>0.14272049204311199</v>
      </c>
      <c r="G3343">
        <v>9.2175697324726899E-2</v>
      </c>
      <c r="H3343">
        <v>8.1221633434906904E-2</v>
      </c>
      <c r="I3343">
        <v>8.7894628856451704E-2</v>
      </c>
      <c r="J3343">
        <v>0.13492858843397801</v>
      </c>
      <c r="K3343">
        <v>0.15181347867557901</v>
      </c>
      <c r="L3343">
        <v>1313.4858629739799</v>
      </c>
      <c r="M3343">
        <v>28.670993607067199</v>
      </c>
      <c r="N3343">
        <v>46.237018176106403</v>
      </c>
      <c r="O3343">
        <v>45.591227094408502</v>
      </c>
      <c r="P3343">
        <v>-0.13902024145990599</v>
      </c>
      <c r="Q3343">
        <v>0.115753859913996</v>
      </c>
      <c r="R3343">
        <v>0.99280243666078805</v>
      </c>
      <c r="S3343" t="s">
        <v>9989</v>
      </c>
      <c r="T3343" t="s">
        <v>13290</v>
      </c>
      <c r="U3343" t="s">
        <v>13290</v>
      </c>
      <c r="V3343" t="s">
        <v>13290</v>
      </c>
      <c r="W3343" t="s">
        <v>16589</v>
      </c>
      <c r="X3343">
        <v>5</v>
      </c>
      <c r="Y3343" t="s">
        <v>23107</v>
      </c>
      <c r="Z3343" t="s">
        <v>29673</v>
      </c>
      <c r="AA3343">
        <v>0.29308657009199712</v>
      </c>
      <c r="AB3343" t="str">
        <f>HYPERLINK("Melting_Curves/meltCurve_Q13151_HNRNPA0.pdf", "Melting_Curves/meltCurve_Q13151_HNRNPA0.pdf")</f>
        <v>Melting_Curves/meltCurve_Q13151_HNRNPA0.pdf</v>
      </c>
    </row>
    <row r="3344" spans="1:28" x14ac:dyDescent="0.25">
      <c r="A3344" t="s">
        <v>3348</v>
      </c>
      <c r="B3344">
        <v>0.99252571173614901</v>
      </c>
      <c r="C3344">
        <v>1.08111714373275</v>
      </c>
      <c r="D3344">
        <v>1.00442101709952</v>
      </c>
      <c r="E3344">
        <v>0.95451371338402502</v>
      </c>
      <c r="F3344">
        <v>0.80702887599862005</v>
      </c>
      <c r="G3344">
        <v>0.44599225234359702</v>
      </c>
      <c r="H3344">
        <v>9.2258994244934805E-2</v>
      </c>
      <c r="I3344">
        <v>8.4387052841667504E-2</v>
      </c>
      <c r="J3344">
        <v>9.0370136004566601E-2</v>
      </c>
      <c r="K3344">
        <v>8.9308238229882195E-2</v>
      </c>
      <c r="L3344">
        <v>1645.0179273296801</v>
      </c>
      <c r="M3344">
        <v>29.4708519140157</v>
      </c>
      <c r="N3344">
        <v>56.092670259741197</v>
      </c>
      <c r="O3344">
        <v>55.5633573339056</v>
      </c>
      <c r="P3344">
        <v>-0.123705831512013</v>
      </c>
      <c r="Q3344">
        <v>6.7083193053295506E-2</v>
      </c>
      <c r="R3344">
        <v>0.99344446937532105</v>
      </c>
      <c r="S3344" t="s">
        <v>9990</v>
      </c>
      <c r="T3344" t="s">
        <v>13290</v>
      </c>
      <c r="U3344" t="s">
        <v>13290</v>
      </c>
      <c r="V3344" t="s">
        <v>13290</v>
      </c>
      <c r="W3344" t="s">
        <v>16590</v>
      </c>
      <c r="X3344">
        <v>31</v>
      </c>
      <c r="Y3344" t="s">
        <v>23108</v>
      </c>
      <c r="Z3344" t="s">
        <v>29674</v>
      </c>
      <c r="AA3344">
        <v>0.56541825332852169</v>
      </c>
      <c r="AB3344" t="str">
        <f>HYPERLINK("Melting_Curves/meltCurve_Q13153_PAK1.pdf", "Melting_Curves/meltCurve_Q13153_PAK1.pdf")</f>
        <v>Melting_Curves/meltCurve_Q13153_PAK1.pdf</v>
      </c>
    </row>
    <row r="3345" spans="1:28" x14ac:dyDescent="0.25">
      <c r="A3345" t="s">
        <v>3349</v>
      </c>
      <c r="B3345">
        <v>0.99252571173614901</v>
      </c>
      <c r="C3345">
        <v>0.79044955439802</v>
      </c>
      <c r="D3345">
        <v>0.81711371159905299</v>
      </c>
      <c r="E3345">
        <v>0.39327422541940998</v>
      </c>
      <c r="F3345">
        <v>0.22756870295175499</v>
      </c>
      <c r="G3345">
        <v>0.13117574068517601</v>
      </c>
      <c r="H3345">
        <v>0.11081897025307499</v>
      </c>
      <c r="I3345">
        <v>0.128742239609029</v>
      </c>
      <c r="J3345">
        <v>0.158020944663361</v>
      </c>
      <c r="K3345">
        <v>0.140463061307005</v>
      </c>
      <c r="L3345">
        <v>937.39968953847597</v>
      </c>
      <c r="M3345">
        <v>19.5581550200028</v>
      </c>
      <c r="N3345">
        <v>48.610961830115599</v>
      </c>
      <c r="O3345">
        <v>47.436214972076201</v>
      </c>
      <c r="P3345">
        <v>-9.0710140833108993E-2</v>
      </c>
      <c r="Q3345">
        <v>0.120000277207348</v>
      </c>
      <c r="R3345">
        <v>0.97385594262325204</v>
      </c>
      <c r="S3345" t="s">
        <v>9991</v>
      </c>
      <c r="T3345" t="s">
        <v>13290</v>
      </c>
      <c r="U3345" t="s">
        <v>13290</v>
      </c>
      <c r="V3345" t="s">
        <v>13290</v>
      </c>
      <c r="W3345" t="s">
        <v>16591</v>
      </c>
      <c r="X3345">
        <v>3</v>
      </c>
      <c r="Y3345" t="s">
        <v>23109</v>
      </c>
      <c r="Z3345" t="s">
        <v>29675</v>
      </c>
      <c r="AA3345">
        <v>0.36571320122293349</v>
      </c>
      <c r="AB3345" t="str">
        <f>HYPERLINK("Melting_Curves/meltCurve_Q13155_AIMP2.pdf", "Melting_Curves/meltCurve_Q13155_AIMP2.pdf")</f>
        <v>Melting_Curves/meltCurve_Q13155_AIMP2.pdf</v>
      </c>
    </row>
    <row r="3346" spans="1:28" x14ac:dyDescent="0.25">
      <c r="A3346" t="s">
        <v>3350</v>
      </c>
      <c r="B3346">
        <v>0.99252571173614901</v>
      </c>
      <c r="C3346">
        <v>1.0126163413878999</v>
      </c>
      <c r="D3346">
        <v>0.70226124315137395</v>
      </c>
      <c r="E3346">
        <v>0.414780107213997</v>
      </c>
      <c r="F3346">
        <v>0.19792673961685101</v>
      </c>
      <c r="G3346">
        <v>0.11381798432113301</v>
      </c>
      <c r="H3346">
        <v>8.34700735599226E-2</v>
      </c>
      <c r="I3346">
        <v>7.8253483248777594E-2</v>
      </c>
      <c r="J3346">
        <v>7.7707373250643794E-2</v>
      </c>
      <c r="K3346">
        <v>6.1373394433854998E-2</v>
      </c>
      <c r="L3346">
        <v>1007.67081220516</v>
      </c>
      <c r="M3346">
        <v>20.9126637825883</v>
      </c>
      <c r="N3346">
        <v>48.553175250189099</v>
      </c>
      <c r="O3346">
        <v>47.750612408393202</v>
      </c>
      <c r="P3346">
        <v>-0.10145835009057599</v>
      </c>
      <c r="Q3346">
        <v>7.33717602891482E-2</v>
      </c>
      <c r="R3346">
        <v>0.99347902341818395</v>
      </c>
      <c r="S3346" t="s">
        <v>9992</v>
      </c>
      <c r="T3346" t="s">
        <v>13290</v>
      </c>
      <c r="U3346" t="s">
        <v>13290</v>
      </c>
      <c r="V3346" t="s">
        <v>13290</v>
      </c>
      <c r="W3346" t="s">
        <v>16592</v>
      </c>
      <c r="X3346">
        <v>7</v>
      </c>
      <c r="Y3346" t="s">
        <v>23110</v>
      </c>
      <c r="Z3346" t="s">
        <v>29676</v>
      </c>
      <c r="AA3346">
        <v>0.33812182103980448</v>
      </c>
      <c r="AB3346" t="str">
        <f>HYPERLINK("Melting_Curves/meltCurve_Q13158_FADD.pdf", "Melting_Curves/meltCurve_Q13158_FADD.pdf")</f>
        <v>Melting_Curves/meltCurve_Q13158_FADD.pdf</v>
      </c>
    </row>
    <row r="3347" spans="1:28" x14ac:dyDescent="0.25">
      <c r="A3347" t="s">
        <v>3351</v>
      </c>
      <c r="B3347">
        <v>0.99252571173614901</v>
      </c>
      <c r="C3347">
        <v>1.02521253145361</v>
      </c>
      <c r="D3347">
        <v>1.01364172447498</v>
      </c>
      <c r="E3347">
        <v>1.0865673744148401</v>
      </c>
      <c r="F3347">
        <v>0.81305395891577004</v>
      </c>
      <c r="G3347">
        <v>0.62702273526615304</v>
      </c>
      <c r="H3347">
        <v>0.60847050491773802</v>
      </c>
      <c r="I3347">
        <v>0.666662637849184</v>
      </c>
      <c r="J3347">
        <v>0.99641577189792696</v>
      </c>
      <c r="K3347">
        <v>0.94838839121218099</v>
      </c>
      <c r="L3347">
        <v>13222.6289667941</v>
      </c>
      <c r="M3347">
        <v>250</v>
      </c>
      <c r="O3347">
        <v>52.8871274127455</v>
      </c>
      <c r="P3347">
        <v>-0.272523754578265</v>
      </c>
      <c r="Q3347">
        <v>0.76939200712661804</v>
      </c>
      <c r="R3347">
        <v>0.50473397536031805</v>
      </c>
      <c r="S3347" t="s">
        <v>9993</v>
      </c>
      <c r="T3347" t="s">
        <v>13290</v>
      </c>
      <c r="U3347" t="s">
        <v>13290</v>
      </c>
      <c r="V3347" t="s">
        <v>13290</v>
      </c>
      <c r="W3347" t="s">
        <v>16593</v>
      </c>
      <c r="X3347">
        <v>11</v>
      </c>
      <c r="Y3347" t="s">
        <v>23111</v>
      </c>
      <c r="Z3347" t="s">
        <v>29677</v>
      </c>
      <c r="AA3347">
        <v>0.86850194567022332</v>
      </c>
      <c r="AB3347" t="str">
        <f>HYPERLINK("Melting_Curves/meltCurve_Q13162_PRDX4.pdf", "Melting_Curves/meltCurve_Q13162_PRDX4.pdf")</f>
        <v>Melting_Curves/meltCurve_Q13162_PRDX4.pdf</v>
      </c>
    </row>
    <row r="3348" spans="1:28" x14ac:dyDescent="0.25">
      <c r="A3348" t="s">
        <v>3352</v>
      </c>
      <c r="B3348">
        <v>0.99252571173614901</v>
      </c>
      <c r="C3348">
        <v>0.91349885872373304</v>
      </c>
      <c r="D3348">
        <v>0.63771443963288998</v>
      </c>
      <c r="E3348">
        <v>0.42967864842758402</v>
      </c>
      <c r="F3348">
        <v>0.32589986343674399</v>
      </c>
      <c r="G3348">
        <v>0.20674511819983099</v>
      </c>
      <c r="H3348">
        <v>0.172028146499246</v>
      </c>
      <c r="I3348">
        <v>0.237621148060393</v>
      </c>
      <c r="J3348">
        <v>0.299397238934553</v>
      </c>
      <c r="K3348">
        <v>0.29954376802393701</v>
      </c>
      <c r="L3348">
        <v>992.25932914848499</v>
      </c>
      <c r="M3348">
        <v>21.331766220761899</v>
      </c>
      <c r="N3348">
        <v>48.044041370501098</v>
      </c>
      <c r="O3348">
        <v>46.112580612717998</v>
      </c>
      <c r="P3348">
        <v>-8.7162419013247394E-2</v>
      </c>
      <c r="Q3348">
        <v>0.246347961457063</v>
      </c>
      <c r="R3348">
        <v>0.97700355259954696</v>
      </c>
      <c r="S3348" t="s">
        <v>9994</v>
      </c>
      <c r="T3348" t="s">
        <v>13290</v>
      </c>
      <c r="U3348" t="s">
        <v>13290</v>
      </c>
      <c r="V3348" t="s">
        <v>13290</v>
      </c>
      <c r="W3348" t="s">
        <v>16594</v>
      </c>
      <c r="X3348">
        <v>1</v>
      </c>
      <c r="Y3348" t="s">
        <v>23112</v>
      </c>
      <c r="Z3348" t="s">
        <v>29678</v>
      </c>
      <c r="AA3348">
        <v>0.41978691010637598</v>
      </c>
      <c r="AB3348" t="str">
        <f>HYPERLINK("Melting_Curves/meltCurve_Q13164_3_MAPK7.pdf", "Melting_Curves/meltCurve_Q13164_3_MAPK7.pdf")</f>
        <v>Melting_Curves/meltCurve_Q13164_3_MAPK7.pdf</v>
      </c>
    </row>
    <row r="3349" spans="1:28" x14ac:dyDescent="0.25">
      <c r="A3349" t="s">
        <v>3353</v>
      </c>
      <c r="B3349">
        <v>0.99252571173614901</v>
      </c>
      <c r="C3349">
        <v>1.09614349131537</v>
      </c>
      <c r="D3349">
        <v>0.997607532766149</v>
      </c>
      <c r="E3349">
        <v>0.937964829739655</v>
      </c>
      <c r="F3349">
        <v>0.73238285513397705</v>
      </c>
      <c r="G3349">
        <v>0.40849027838181901</v>
      </c>
      <c r="H3349">
        <v>0.114821847880751</v>
      </c>
      <c r="I3349">
        <v>0.104329460766096</v>
      </c>
      <c r="J3349">
        <v>9.9092013428625905E-2</v>
      </c>
      <c r="K3349">
        <v>9.3222486139932698E-2</v>
      </c>
      <c r="L3349">
        <v>1392.35851351517</v>
      </c>
      <c r="M3349">
        <v>25.219207221441302</v>
      </c>
      <c r="N3349">
        <v>55.573679719753599</v>
      </c>
      <c r="O3349">
        <v>54.866607929730399</v>
      </c>
      <c r="P3349">
        <v>-0.106176996748764</v>
      </c>
      <c r="Q3349">
        <v>7.6022346328184304E-2</v>
      </c>
      <c r="R3349">
        <v>0.99253485379115003</v>
      </c>
      <c r="S3349" t="s">
        <v>9995</v>
      </c>
      <c r="T3349" t="s">
        <v>13290</v>
      </c>
      <c r="U3349" t="s">
        <v>13290</v>
      </c>
      <c r="V3349" t="s">
        <v>13290</v>
      </c>
      <c r="W3349" t="s">
        <v>16595</v>
      </c>
      <c r="X3349">
        <v>31</v>
      </c>
      <c r="Y3349" t="s">
        <v>23113</v>
      </c>
      <c r="Z3349" t="s">
        <v>29679</v>
      </c>
      <c r="AA3349">
        <v>0.55289838419068382</v>
      </c>
      <c r="AB3349" t="str">
        <f>HYPERLINK("Melting_Curves/meltCurve_Q13177_PAK2.pdf", "Melting_Curves/meltCurve_Q13177_PAK2.pdf")</f>
        <v>Melting_Curves/meltCurve_Q13177_PAK2.pdf</v>
      </c>
    </row>
    <row r="3350" spans="1:28" x14ac:dyDescent="0.25">
      <c r="A3350" t="s">
        <v>3354</v>
      </c>
      <c r="B3350">
        <v>0.99252571173614901</v>
      </c>
      <c r="C3350">
        <v>0.97554029485292604</v>
      </c>
      <c r="D3350">
        <v>0.84358164405957103</v>
      </c>
      <c r="E3350">
        <v>0.56203191619697601</v>
      </c>
      <c r="F3350">
        <v>0.25342747540282401</v>
      </c>
      <c r="G3350">
        <v>0.16447668161621001</v>
      </c>
      <c r="H3350">
        <v>0.12921171056741901</v>
      </c>
      <c r="I3350">
        <v>0.13853793350096899</v>
      </c>
      <c r="J3350">
        <v>0.16468225696215</v>
      </c>
      <c r="K3350">
        <v>0.178517847595181</v>
      </c>
      <c r="L3350">
        <v>1175.4803434944499</v>
      </c>
      <c r="M3350">
        <v>23.859195569782202</v>
      </c>
      <c r="N3350">
        <v>49.9814414596405</v>
      </c>
      <c r="O3350">
        <v>48.925210092693497</v>
      </c>
      <c r="P3350">
        <v>-0.104311379110302</v>
      </c>
      <c r="Q3350">
        <v>0.14441821526728199</v>
      </c>
      <c r="R3350">
        <v>0.99688567110293003</v>
      </c>
      <c r="S3350" t="s">
        <v>9996</v>
      </c>
      <c r="T3350" t="s">
        <v>13290</v>
      </c>
      <c r="U3350" t="s">
        <v>13290</v>
      </c>
      <c r="V3350" t="s">
        <v>13290</v>
      </c>
      <c r="W3350" t="s">
        <v>16596</v>
      </c>
      <c r="X3350">
        <v>12</v>
      </c>
      <c r="Y3350" t="s">
        <v>23114</v>
      </c>
      <c r="Z3350" t="s">
        <v>29680</v>
      </c>
      <c r="AA3350">
        <v>0.41707608750112007</v>
      </c>
      <c r="AB3350" t="str">
        <f>HYPERLINK("Melting_Curves/meltCurve_Q13185_CBX3.pdf", "Melting_Curves/meltCurve_Q13185_CBX3.pdf")</f>
        <v>Melting_Curves/meltCurve_Q13185_CBX3.pdf</v>
      </c>
    </row>
    <row r="3351" spans="1:28" x14ac:dyDescent="0.25">
      <c r="A3351" t="s">
        <v>3355</v>
      </c>
      <c r="B3351">
        <v>0.99252571173614901</v>
      </c>
      <c r="C3351">
        <v>0.96517358344734105</v>
      </c>
      <c r="D3351">
        <v>0.90034803854176904</v>
      </c>
      <c r="E3351">
        <v>0.77708139994226999</v>
      </c>
      <c r="F3351">
        <v>0.63541322433189396</v>
      </c>
      <c r="G3351">
        <v>0.31883672826514198</v>
      </c>
      <c r="H3351">
        <v>0.188790092888102</v>
      </c>
      <c r="I3351">
        <v>0.13912802527337401</v>
      </c>
      <c r="J3351">
        <v>0.17312576593735701</v>
      </c>
      <c r="K3351">
        <v>0.14406306458075199</v>
      </c>
      <c r="L3351">
        <v>863.86802012371595</v>
      </c>
      <c r="M3351">
        <v>16.174486903010099</v>
      </c>
      <c r="N3351">
        <v>54.221399323773497</v>
      </c>
      <c r="O3351">
        <v>52.612904857228301</v>
      </c>
      <c r="P3351">
        <v>-6.8593739082343494E-2</v>
      </c>
      <c r="Q3351">
        <v>0.10757116127378601</v>
      </c>
      <c r="R3351">
        <v>0.99083152416140496</v>
      </c>
      <c r="S3351" t="s">
        <v>9997</v>
      </c>
      <c r="T3351" t="s">
        <v>13290</v>
      </c>
      <c r="U3351" t="s">
        <v>13290</v>
      </c>
      <c r="V3351" t="s">
        <v>13290</v>
      </c>
      <c r="W3351" t="s">
        <v>16597</v>
      </c>
      <c r="X3351">
        <v>11</v>
      </c>
      <c r="Y3351" t="s">
        <v>23115</v>
      </c>
      <c r="Z3351" t="s">
        <v>29681</v>
      </c>
      <c r="AA3351">
        <v>0.52346237689318276</v>
      </c>
      <c r="AB3351" t="str">
        <f>HYPERLINK("Melting_Curves/meltCurve_Q13188_STK3.pdf", "Melting_Curves/meltCurve_Q13188_STK3.pdf")</f>
        <v>Melting_Curves/meltCurve_Q13188_STK3.pdf</v>
      </c>
    </row>
    <row r="3352" spans="1:28" x14ac:dyDescent="0.25">
      <c r="A3352" t="s">
        <v>3356</v>
      </c>
      <c r="B3352">
        <v>0.99252571173614901</v>
      </c>
      <c r="C3352">
        <v>0.73206503093331499</v>
      </c>
      <c r="D3352">
        <v>1.06516517340225</v>
      </c>
      <c r="E3352">
        <v>0.92075826862304999</v>
      </c>
      <c r="F3352">
        <v>0.68793720843579897</v>
      </c>
      <c r="G3352">
        <v>0.31453124890929601</v>
      </c>
      <c r="H3352">
        <v>0.11901789457494499</v>
      </c>
      <c r="I3352">
        <v>0.109926834635412</v>
      </c>
      <c r="J3352">
        <v>0.124041888471644</v>
      </c>
      <c r="K3352">
        <v>0.117869151895272</v>
      </c>
      <c r="L3352">
        <v>1539.21640448484</v>
      </c>
      <c r="M3352">
        <v>28.329009501457801</v>
      </c>
      <c r="N3352">
        <v>54.787581260176403</v>
      </c>
      <c r="O3352">
        <v>54.064994336886002</v>
      </c>
      <c r="P3352">
        <v>-0.11729182591447</v>
      </c>
      <c r="Q3352">
        <v>0.104616769707558</v>
      </c>
      <c r="R3352">
        <v>0.94574663617575305</v>
      </c>
      <c r="S3352" t="s">
        <v>9998</v>
      </c>
      <c r="T3352" t="s">
        <v>13290</v>
      </c>
      <c r="U3352" t="s">
        <v>13290</v>
      </c>
      <c r="V3352" t="s">
        <v>13290</v>
      </c>
      <c r="W3352" t="s">
        <v>16598</v>
      </c>
      <c r="X3352">
        <v>35</v>
      </c>
      <c r="Y3352" t="s">
        <v>23116</v>
      </c>
      <c r="Z3352" t="s">
        <v>29682</v>
      </c>
      <c r="AA3352">
        <v>0.53900109171539268</v>
      </c>
      <c r="AB3352" t="str">
        <f>HYPERLINK("Melting_Curves/meltCurve_Q13200_PSMD2.pdf", "Melting_Curves/meltCurve_Q13200_PSMD2.pdf")</f>
        <v>Melting_Curves/meltCurve_Q13200_PSMD2.pdf</v>
      </c>
    </row>
    <row r="3353" spans="1:28" x14ac:dyDescent="0.25">
      <c r="A3353" t="s">
        <v>3357</v>
      </c>
      <c r="B3353">
        <v>0.99252571173614901</v>
      </c>
      <c r="C3353">
        <v>1.03969548802024</v>
      </c>
      <c r="D3353">
        <v>0.91152388746037205</v>
      </c>
      <c r="E3353">
        <v>0.475123505999623</v>
      </c>
      <c r="F3353">
        <v>0.30669916235585298</v>
      </c>
      <c r="G3353">
        <v>0.19351425760775101</v>
      </c>
      <c r="H3353">
        <v>0.191667492673115</v>
      </c>
      <c r="I3353">
        <v>0.22140542310111999</v>
      </c>
      <c r="J3353">
        <v>0.32188450542383801</v>
      </c>
      <c r="K3353">
        <v>0.35033976056222099</v>
      </c>
      <c r="L3353">
        <v>1859.5310368739499</v>
      </c>
      <c r="M3353">
        <v>38.370278541004502</v>
      </c>
      <c r="N3353">
        <v>49.405340278961198</v>
      </c>
      <c r="O3353">
        <v>48.331719005261498</v>
      </c>
      <c r="P3353">
        <v>-0.146963809202038</v>
      </c>
      <c r="Q3353">
        <v>0.25953138378024698</v>
      </c>
      <c r="R3353">
        <v>0.97590390036255104</v>
      </c>
      <c r="S3353" t="s">
        <v>9999</v>
      </c>
      <c r="T3353" t="s">
        <v>13290</v>
      </c>
      <c r="U3353" t="s">
        <v>13290</v>
      </c>
      <c r="V3353" t="s">
        <v>13290</v>
      </c>
      <c r="W3353" t="s">
        <v>16599</v>
      </c>
      <c r="X3353">
        <v>4</v>
      </c>
      <c r="Y3353" t="s">
        <v>23117</v>
      </c>
      <c r="Z3353" t="s">
        <v>29683</v>
      </c>
      <c r="AA3353">
        <v>0.47111666603297953</v>
      </c>
      <c r="AB3353" t="str">
        <f>HYPERLINK("Melting_Curves/meltCurve_Q13206_DDX10.pdf", "Melting_Curves/meltCurve_Q13206_DDX10.pdf")</f>
        <v>Melting_Curves/meltCurve_Q13206_DDX10.pdf</v>
      </c>
    </row>
    <row r="3354" spans="1:28" x14ac:dyDescent="0.25">
      <c r="A3354" t="s">
        <v>3358</v>
      </c>
      <c r="B3354">
        <v>0.99252571173614901</v>
      </c>
      <c r="C3354">
        <v>0.89388897690626801</v>
      </c>
      <c r="D3354">
        <v>0.871180658640623</v>
      </c>
      <c r="E3354">
        <v>0.738084778925159</v>
      </c>
      <c r="F3354">
        <v>0.60195891239064403</v>
      </c>
      <c r="G3354">
        <v>0.427547995680853</v>
      </c>
      <c r="H3354">
        <v>0.35555492833168501</v>
      </c>
      <c r="I3354">
        <v>0.17005786854063101</v>
      </c>
      <c r="J3354">
        <v>0.17087910228188499</v>
      </c>
      <c r="K3354">
        <v>0.16963244683395101</v>
      </c>
      <c r="L3354">
        <v>506.86593222763997</v>
      </c>
      <c r="M3354">
        <v>9.2038519216567192</v>
      </c>
      <c r="N3354">
        <v>55.312587441882897</v>
      </c>
      <c r="O3354">
        <v>52.658372250829899</v>
      </c>
      <c r="P3354">
        <v>-4.28639980964092E-2</v>
      </c>
      <c r="Q3354">
        <v>1.9695847100121799E-2</v>
      </c>
      <c r="R3354">
        <v>0.99005870661662299</v>
      </c>
      <c r="S3354" t="s">
        <v>10000</v>
      </c>
      <c r="T3354" t="s">
        <v>13290</v>
      </c>
      <c r="U3354" t="s">
        <v>13290</v>
      </c>
      <c r="V3354" t="s">
        <v>13290</v>
      </c>
      <c r="W3354" t="s">
        <v>16600</v>
      </c>
      <c r="X3354">
        <v>4</v>
      </c>
      <c r="Y3354" t="s">
        <v>23118</v>
      </c>
      <c r="Z3354" t="s">
        <v>29684</v>
      </c>
      <c r="AA3354">
        <v>0.5378437153074882</v>
      </c>
      <c r="AB3354" t="str">
        <f>HYPERLINK("Melting_Curves/meltCurve_Q13216_ERCC8.pdf", "Melting_Curves/meltCurve_Q13216_ERCC8.pdf")</f>
        <v>Melting_Curves/meltCurve_Q13216_ERCC8.pdf</v>
      </c>
    </row>
    <row r="3355" spans="1:28" x14ac:dyDescent="0.25">
      <c r="A3355" t="s">
        <v>3359</v>
      </c>
      <c r="B3355">
        <v>0.99252571173614901</v>
      </c>
      <c r="C3355">
        <v>1.0162455944247799</v>
      </c>
      <c r="D3355">
        <v>0.91545807781049304</v>
      </c>
      <c r="E3355">
        <v>0.60251273409499495</v>
      </c>
      <c r="F3355">
        <v>0.19185372750601101</v>
      </c>
      <c r="G3355">
        <v>0.10699682144742501</v>
      </c>
      <c r="H3355">
        <v>8.8692236382765494E-2</v>
      </c>
      <c r="I3355">
        <v>9.3450958433172707E-2</v>
      </c>
      <c r="J3355">
        <v>0.136224982989225</v>
      </c>
      <c r="K3355">
        <v>0.103333345926091</v>
      </c>
      <c r="L3355">
        <v>1620.3417326015399</v>
      </c>
      <c r="M3355">
        <v>32.490600167410904</v>
      </c>
      <c r="N3355">
        <v>50.217082260765203</v>
      </c>
      <c r="O3355">
        <v>49.6833072480634</v>
      </c>
      <c r="P3355">
        <v>-0.14709376968946899</v>
      </c>
      <c r="Q3355">
        <v>0.10028497416094601</v>
      </c>
      <c r="R3355">
        <v>0.99779644841011195</v>
      </c>
      <c r="S3355" t="s">
        <v>10001</v>
      </c>
      <c r="T3355" t="s">
        <v>13290</v>
      </c>
      <c r="U3355" t="s">
        <v>13290</v>
      </c>
      <c r="V3355" t="s">
        <v>13290</v>
      </c>
      <c r="W3355" t="s">
        <v>16601</v>
      </c>
      <c r="X3355">
        <v>32</v>
      </c>
      <c r="Y3355" t="s">
        <v>23119</v>
      </c>
      <c r="Z3355" t="s">
        <v>29685</v>
      </c>
      <c r="AA3355">
        <v>0.40104865544126672</v>
      </c>
      <c r="AB3355" t="str">
        <f>HYPERLINK("Melting_Curves/meltCurve_Q13217_DNAJC3.pdf", "Melting_Curves/meltCurve_Q13217_DNAJC3.pdf")</f>
        <v>Melting_Curves/meltCurve_Q13217_DNAJC3.pdf</v>
      </c>
    </row>
    <row r="3356" spans="1:28" x14ac:dyDescent="0.25">
      <c r="A3356" t="s">
        <v>3360</v>
      </c>
      <c r="B3356">
        <v>0.99252571173614901</v>
      </c>
      <c r="C3356">
        <v>1.0783428017665999</v>
      </c>
      <c r="D3356">
        <v>0.99224576685542698</v>
      </c>
      <c r="E3356">
        <v>0.84529833758401096</v>
      </c>
      <c r="F3356">
        <v>0.82808195756853598</v>
      </c>
      <c r="G3356">
        <v>0.70647882586654398</v>
      </c>
      <c r="H3356">
        <v>0.90423837259482698</v>
      </c>
      <c r="I3356">
        <v>0.74021512621680796</v>
      </c>
      <c r="J3356">
        <v>0.86963393988970705</v>
      </c>
      <c r="K3356">
        <v>0.78954146282738302</v>
      </c>
      <c r="L3356">
        <v>2877.0404252971298</v>
      </c>
      <c r="M3356">
        <v>59.353647378639302</v>
      </c>
      <c r="O3356">
        <v>48.417915693237298</v>
      </c>
      <c r="P3356">
        <v>-5.9427977707141998E-2</v>
      </c>
      <c r="Q3356">
        <v>0.80608588060671105</v>
      </c>
      <c r="R3356">
        <v>0.72494131473762502</v>
      </c>
      <c r="S3356" t="s">
        <v>10002</v>
      </c>
      <c r="T3356" t="s">
        <v>13290</v>
      </c>
      <c r="U3356" t="s">
        <v>13290</v>
      </c>
      <c r="V3356" t="s">
        <v>13290</v>
      </c>
      <c r="W3356" t="s">
        <v>16602</v>
      </c>
      <c r="X3356">
        <v>23</v>
      </c>
      <c r="Y3356" t="s">
        <v>23120</v>
      </c>
      <c r="Z3356" t="s">
        <v>29686</v>
      </c>
      <c r="AA3356">
        <v>0.86114648718370468</v>
      </c>
      <c r="AB3356" t="str">
        <f>HYPERLINK("Melting_Curves/meltCurve_Q13228_SELENBP1.pdf", "Melting_Curves/meltCurve_Q13228_SELENBP1.pdf")</f>
        <v>Melting_Curves/meltCurve_Q13228_SELENBP1.pdf</v>
      </c>
    </row>
    <row r="3357" spans="1:28" x14ac:dyDescent="0.25">
      <c r="A3357" t="s">
        <v>3361</v>
      </c>
      <c r="B3357">
        <v>0.99252571173614901</v>
      </c>
      <c r="C3357">
        <v>0.93833745439188898</v>
      </c>
      <c r="D3357">
        <v>0.94759440227918601</v>
      </c>
      <c r="E3357">
        <v>0.94874408392834697</v>
      </c>
      <c r="F3357">
        <v>0.96775640733062096</v>
      </c>
      <c r="G3357">
        <v>0.83668155583381998</v>
      </c>
      <c r="H3357">
        <v>0.70402197129214095</v>
      </c>
      <c r="I3357">
        <v>0.84412157760892004</v>
      </c>
      <c r="J3357">
        <v>0.72005204750543705</v>
      </c>
      <c r="K3357">
        <v>0.30719529011896901</v>
      </c>
      <c r="L3357">
        <v>739.90833291230001</v>
      </c>
      <c r="M3357">
        <v>10.698816537389</v>
      </c>
      <c r="N3357">
        <v>69.157939835560796</v>
      </c>
      <c r="O3357">
        <v>66.873181298474904</v>
      </c>
      <c r="P3357">
        <v>-4.0011692319714402E-2</v>
      </c>
      <c r="Q3357">
        <v>0</v>
      </c>
      <c r="R3357">
        <v>0.76728040195647795</v>
      </c>
      <c r="S3357" t="s">
        <v>10003</v>
      </c>
      <c r="T3357" t="s">
        <v>13290</v>
      </c>
      <c r="U3357" t="s">
        <v>13290</v>
      </c>
      <c r="V3357" t="s">
        <v>13290</v>
      </c>
      <c r="W3357" t="s">
        <v>16603</v>
      </c>
      <c r="X3357">
        <v>13</v>
      </c>
      <c r="Y3357" t="s">
        <v>23121</v>
      </c>
      <c r="Z3357" t="s">
        <v>29687</v>
      </c>
      <c r="AA3357">
        <v>0.86188550910880679</v>
      </c>
      <c r="AB3357" t="str">
        <f>HYPERLINK("Melting_Curves/meltCurve_Q13232_NME3.pdf", "Melting_Curves/meltCurve_Q13232_NME3.pdf")</f>
        <v>Melting_Curves/meltCurve_Q13232_NME3.pdf</v>
      </c>
    </row>
    <row r="3358" spans="1:28" x14ac:dyDescent="0.25">
      <c r="A3358" t="s">
        <v>3362</v>
      </c>
      <c r="B3358">
        <v>0.99252571173614901</v>
      </c>
      <c r="C3358">
        <v>0.97283206942689004</v>
      </c>
      <c r="D3358">
        <v>0.80496291375299001</v>
      </c>
      <c r="E3358">
        <v>0.61096689109106705</v>
      </c>
      <c r="F3358">
        <v>0.39445660593959297</v>
      </c>
      <c r="G3358">
        <v>0.266632656069278</v>
      </c>
      <c r="H3358">
        <v>0.28816615376565502</v>
      </c>
      <c r="I3358">
        <v>0.48202904699163102</v>
      </c>
      <c r="J3358">
        <v>1.30942369241416</v>
      </c>
      <c r="K3358">
        <v>3.7617054575601898</v>
      </c>
      <c r="L3358">
        <v>15000</v>
      </c>
      <c r="M3358">
        <v>224.03574655760099</v>
      </c>
      <c r="O3358">
        <v>66.948264287160399</v>
      </c>
      <c r="P3358">
        <v>0.41830013024142099</v>
      </c>
      <c r="Q3358">
        <v>1.5</v>
      </c>
      <c r="R3358">
        <v>0.271704731635381</v>
      </c>
      <c r="S3358" t="s">
        <v>10004</v>
      </c>
      <c r="T3358" t="s">
        <v>13290</v>
      </c>
      <c r="U3358" t="s">
        <v>13290</v>
      </c>
      <c r="V3358" t="s">
        <v>13290</v>
      </c>
      <c r="W3358" t="s">
        <v>16604</v>
      </c>
      <c r="X3358">
        <v>13</v>
      </c>
      <c r="Y3358" t="s">
        <v>23122</v>
      </c>
      <c r="Z3358" t="s">
        <v>29688</v>
      </c>
      <c r="AA3358">
        <v>1.05070047380012</v>
      </c>
      <c r="AB3358" t="str">
        <f>HYPERLINK("Melting_Curves/meltCurve_Q13242_SRSF9.pdf", "Melting_Curves/meltCurve_Q13242_SRSF9.pdf")</f>
        <v>Melting_Curves/meltCurve_Q13242_SRSF9.pdf</v>
      </c>
    </row>
    <row r="3359" spans="1:28" x14ac:dyDescent="0.25">
      <c r="A3359" t="s">
        <v>3363</v>
      </c>
      <c r="B3359">
        <v>0.99252571173614901</v>
      </c>
      <c r="C3359">
        <v>0.91857082226386</v>
      </c>
      <c r="D3359">
        <v>0.76232895362373798</v>
      </c>
      <c r="E3359">
        <v>0.61678517716730996</v>
      </c>
      <c r="F3359">
        <v>0.51352305846636104</v>
      </c>
      <c r="G3359">
        <v>0.39996196890839097</v>
      </c>
      <c r="H3359">
        <v>0.44045298554897599</v>
      </c>
      <c r="I3359">
        <v>0.65718863288843299</v>
      </c>
      <c r="J3359">
        <v>1.3545383861476501</v>
      </c>
      <c r="K3359">
        <v>2.8305046032023502</v>
      </c>
      <c r="L3359">
        <v>15000</v>
      </c>
      <c r="M3359">
        <v>224.43950481612001</v>
      </c>
      <c r="O3359">
        <v>66.827847701286998</v>
      </c>
      <c r="P3359">
        <v>0.41980909346865602</v>
      </c>
      <c r="Q3359">
        <v>1.5</v>
      </c>
      <c r="R3359">
        <v>0.35835423736906202</v>
      </c>
      <c r="S3359" t="s">
        <v>10005</v>
      </c>
      <c r="T3359" t="s">
        <v>13290</v>
      </c>
      <c r="U3359" t="s">
        <v>13290</v>
      </c>
      <c r="V3359" t="s">
        <v>13290</v>
      </c>
      <c r="W3359" t="s">
        <v>16605</v>
      </c>
      <c r="X3359">
        <v>7</v>
      </c>
      <c r="Y3359" t="s">
        <v>23123</v>
      </c>
      <c r="Z3359" t="s">
        <v>29689</v>
      </c>
      <c r="AA3359">
        <v>1.0527082119095861</v>
      </c>
      <c r="AB3359" t="str">
        <f>HYPERLINK("Melting_Curves/meltCurve_Q13243_3_SRSF5.pdf", "Melting_Curves/meltCurve_Q13243_3_SRSF5.pdf")</f>
        <v>Melting_Curves/meltCurve_Q13243_3_SRSF5.pdf</v>
      </c>
    </row>
    <row r="3360" spans="1:28" x14ac:dyDescent="0.25">
      <c r="A3360" t="s">
        <v>3364</v>
      </c>
      <c r="B3360">
        <v>0.99252571173614901</v>
      </c>
      <c r="C3360">
        <v>1.0161870822612</v>
      </c>
      <c r="D3360">
        <v>0.93441908405873397</v>
      </c>
      <c r="E3360">
        <v>0.80396185865966896</v>
      </c>
      <c r="F3360">
        <v>0.46115100489049898</v>
      </c>
      <c r="G3360">
        <v>0.241450021247441</v>
      </c>
      <c r="H3360">
        <v>0.19434249007217799</v>
      </c>
      <c r="I3360">
        <v>0.23646115169527701</v>
      </c>
      <c r="J3360">
        <v>0.31071153264989998</v>
      </c>
      <c r="K3360">
        <v>0.45080858423112702</v>
      </c>
      <c r="L3360">
        <v>1694.20618866462</v>
      </c>
      <c r="M3360">
        <v>33.170160958608498</v>
      </c>
      <c r="N3360">
        <v>52.411299544936703</v>
      </c>
      <c r="O3360">
        <v>50.891643321308699</v>
      </c>
      <c r="P3360">
        <v>-0.116471651764791</v>
      </c>
      <c r="Q3360">
        <v>0.28521206571864299</v>
      </c>
      <c r="R3360">
        <v>0.95350760754754704</v>
      </c>
      <c r="S3360" t="s">
        <v>10006</v>
      </c>
      <c r="T3360" t="s">
        <v>13290</v>
      </c>
      <c r="U3360" t="s">
        <v>13290</v>
      </c>
      <c r="V3360" t="s">
        <v>13290</v>
      </c>
      <c r="W3360" t="s">
        <v>16606</v>
      </c>
      <c r="X3360">
        <v>13</v>
      </c>
      <c r="Y3360" t="s">
        <v>23124</v>
      </c>
      <c r="Z3360" t="s">
        <v>29690</v>
      </c>
      <c r="AA3360">
        <v>0.55279528210264006</v>
      </c>
      <c r="AB3360" t="str">
        <f>HYPERLINK("Melting_Curves/meltCurve_Q13247_3_SRSF6.pdf", "Melting_Curves/meltCurve_Q13247_3_SRSF6.pdf")</f>
        <v>Melting_Curves/meltCurve_Q13247_3_SRSF6.pdf</v>
      </c>
    </row>
    <row r="3361" spans="1:28" x14ac:dyDescent="0.25">
      <c r="A3361" t="s">
        <v>3365</v>
      </c>
      <c r="B3361">
        <v>0.99252571173614901</v>
      </c>
      <c r="C3361">
        <v>0.97313543940498903</v>
      </c>
      <c r="D3361">
        <v>0.71250279454751497</v>
      </c>
      <c r="E3361">
        <v>0.37908225311833599</v>
      </c>
      <c r="F3361">
        <v>0.19278689952051201</v>
      </c>
      <c r="G3361">
        <v>0.127616263555343</v>
      </c>
      <c r="H3361">
        <v>0.114936883907858</v>
      </c>
      <c r="I3361">
        <v>0.124606763199898</v>
      </c>
      <c r="J3361">
        <v>0.13126795211775599</v>
      </c>
      <c r="K3361">
        <v>0.114653737908469</v>
      </c>
      <c r="L3361">
        <v>1121.8094080851199</v>
      </c>
      <c r="M3361">
        <v>23.547677177576801</v>
      </c>
      <c r="N3361">
        <v>48.194459280063597</v>
      </c>
      <c r="O3361">
        <v>47.300313839716701</v>
      </c>
      <c r="P3361">
        <v>-0.109690366107578</v>
      </c>
      <c r="Q3361">
        <v>0.11867283111487301</v>
      </c>
      <c r="R3361">
        <v>0.99822524134951296</v>
      </c>
      <c r="S3361" t="s">
        <v>10007</v>
      </c>
      <c r="T3361" t="s">
        <v>13290</v>
      </c>
      <c r="U3361" t="s">
        <v>13290</v>
      </c>
      <c r="V3361" t="s">
        <v>13290</v>
      </c>
      <c r="W3361" t="s">
        <v>16607</v>
      </c>
      <c r="X3361">
        <v>6</v>
      </c>
      <c r="Y3361" t="s">
        <v>23125</v>
      </c>
      <c r="Z3361" t="s">
        <v>29691</v>
      </c>
      <c r="AA3361">
        <v>0.35199238854803933</v>
      </c>
      <c r="AB3361" t="str">
        <f>HYPERLINK("Melting_Curves/meltCurve_Q13257_MAD2L1.pdf", "Melting_Curves/meltCurve_Q13257_MAD2L1.pdf")</f>
        <v>Melting_Curves/meltCurve_Q13257_MAD2L1.pdf</v>
      </c>
    </row>
    <row r="3362" spans="1:28" x14ac:dyDescent="0.25">
      <c r="A3362" t="s">
        <v>3366</v>
      </c>
      <c r="B3362">
        <v>0.99252571173614901</v>
      </c>
      <c r="C3362">
        <v>1.1020863905162199</v>
      </c>
      <c r="D3362">
        <v>0.53273935900784697</v>
      </c>
      <c r="E3362">
        <v>0.26994793001147999</v>
      </c>
      <c r="F3362">
        <v>0.14942685061236899</v>
      </c>
      <c r="G3362">
        <v>8.8674207549203604E-2</v>
      </c>
      <c r="H3362">
        <v>7.5227450627933207E-2</v>
      </c>
      <c r="I3362">
        <v>7.5604184543935193E-2</v>
      </c>
      <c r="J3362">
        <v>7.6298902693777093E-2</v>
      </c>
      <c r="K3362">
        <v>7.3155957232101304E-2</v>
      </c>
      <c r="L3362">
        <v>1687.23498073981</v>
      </c>
      <c r="M3362">
        <v>36.480479352260197</v>
      </c>
      <c r="N3362">
        <v>46.535550518041397</v>
      </c>
      <c r="O3362">
        <v>46.1120539723223</v>
      </c>
      <c r="P3362">
        <v>-0.17796999177243</v>
      </c>
      <c r="Q3362">
        <v>0.100172652237665</v>
      </c>
      <c r="R3362">
        <v>0.97129243166423196</v>
      </c>
      <c r="S3362" t="s">
        <v>10008</v>
      </c>
      <c r="T3362" t="s">
        <v>13290</v>
      </c>
      <c r="U3362" t="s">
        <v>13290</v>
      </c>
      <c r="V3362" t="s">
        <v>13290</v>
      </c>
      <c r="W3362" t="s">
        <v>16608</v>
      </c>
      <c r="X3362">
        <v>28</v>
      </c>
      <c r="Y3362" t="s">
        <v>23126</v>
      </c>
      <c r="Z3362" t="s">
        <v>29692</v>
      </c>
      <c r="AA3362">
        <v>0.29120339254081878</v>
      </c>
      <c r="AB3362" t="str">
        <f>HYPERLINK("Melting_Curves/meltCurve_Q13263_TRIM28.pdf", "Melting_Curves/meltCurve_Q13263_TRIM28.pdf")</f>
        <v>Melting_Curves/meltCurve_Q13263_TRIM28.pdf</v>
      </c>
    </row>
    <row r="3363" spans="1:28" x14ac:dyDescent="0.25">
      <c r="A3363" t="s">
        <v>3367</v>
      </c>
      <c r="B3363">
        <v>0.99252571173614901</v>
      </c>
      <c r="C3363">
        <v>1.01285245186654</v>
      </c>
      <c r="D3363">
        <v>0.91039364781592202</v>
      </c>
      <c r="E3363">
        <v>0.91224606680280096</v>
      </c>
      <c r="F3363">
        <v>0.65168177579979802</v>
      </c>
      <c r="G3363">
        <v>0.42695315420416602</v>
      </c>
      <c r="H3363">
        <v>0.28684723375478799</v>
      </c>
      <c r="I3363">
        <v>0.360914366984461</v>
      </c>
      <c r="J3363">
        <v>0.41603732935535798</v>
      </c>
      <c r="K3363">
        <v>0.36784219350719399</v>
      </c>
      <c r="L3363">
        <v>1543.03703371612</v>
      </c>
      <c r="M3363">
        <v>29.235072339914101</v>
      </c>
      <c r="N3363">
        <v>55.1109277864132</v>
      </c>
      <c r="O3363">
        <v>52.535234562022197</v>
      </c>
      <c r="P3363">
        <v>-8.9765174219013297E-2</v>
      </c>
      <c r="Q3363">
        <v>0.35477493826098599</v>
      </c>
      <c r="R3363">
        <v>0.97787381116222405</v>
      </c>
      <c r="S3363" t="s">
        <v>10009</v>
      </c>
      <c r="T3363" t="s">
        <v>13290</v>
      </c>
      <c r="U3363" t="s">
        <v>13290</v>
      </c>
      <c r="V3363" t="s">
        <v>13290</v>
      </c>
      <c r="W3363" t="s">
        <v>16609</v>
      </c>
      <c r="X3363">
        <v>8</v>
      </c>
      <c r="Y3363" t="s">
        <v>23127</v>
      </c>
      <c r="Z3363" t="s">
        <v>29693</v>
      </c>
      <c r="AA3363">
        <v>0.63403604276997538</v>
      </c>
      <c r="AB3363" t="str">
        <f>HYPERLINK("Melting_Curves/meltCurve_Q13277_2_STX3.pdf", "Melting_Curves/meltCurve_Q13277_2_STX3.pdf")</f>
        <v>Melting_Curves/meltCurve_Q13277_2_STX3.pdf</v>
      </c>
    </row>
    <row r="3364" spans="1:28" x14ac:dyDescent="0.25">
      <c r="A3364" t="s">
        <v>3368</v>
      </c>
      <c r="B3364">
        <v>0.99252571173614901</v>
      </c>
      <c r="C3364">
        <v>0.96170021260310501</v>
      </c>
      <c r="D3364">
        <v>0.88641535920069203</v>
      </c>
      <c r="E3364">
        <v>0.78197542040468904</v>
      </c>
      <c r="F3364">
        <v>0.35572479622269199</v>
      </c>
      <c r="G3364">
        <v>0.14780859204759</v>
      </c>
      <c r="H3364">
        <v>0.10264457086286</v>
      </c>
      <c r="I3364">
        <v>0.10266547823106401</v>
      </c>
      <c r="J3364">
        <v>0.109493436336524</v>
      </c>
      <c r="K3364">
        <v>0.113790816458421</v>
      </c>
      <c r="L3364">
        <v>1358.0572594012899</v>
      </c>
      <c r="M3364">
        <v>26.408055775982799</v>
      </c>
      <c r="N3364">
        <v>51.851210175817499</v>
      </c>
      <c r="O3364">
        <v>51.133703109914997</v>
      </c>
      <c r="P3364">
        <v>-0.11654039588229501</v>
      </c>
      <c r="Q3364">
        <v>9.7385019125209901E-2</v>
      </c>
      <c r="R3364">
        <v>0.994022532853995</v>
      </c>
      <c r="S3364" t="s">
        <v>10010</v>
      </c>
      <c r="T3364" t="s">
        <v>13290</v>
      </c>
      <c r="U3364" t="s">
        <v>13290</v>
      </c>
      <c r="V3364" t="s">
        <v>13290</v>
      </c>
      <c r="W3364" t="s">
        <v>16610</v>
      </c>
      <c r="X3364">
        <v>22</v>
      </c>
      <c r="Y3364" t="s">
        <v>23128</v>
      </c>
      <c r="Z3364" t="s">
        <v>29694</v>
      </c>
      <c r="AA3364">
        <v>0.44851524943201898</v>
      </c>
      <c r="AB3364" t="str">
        <f>HYPERLINK("Melting_Curves/meltCurve_Q13283_G3BP1.pdf", "Melting_Curves/meltCurve_Q13283_G3BP1.pdf")</f>
        <v>Melting_Curves/meltCurve_Q13283_G3BP1.pdf</v>
      </c>
    </row>
    <row r="3365" spans="1:28" x14ac:dyDescent="0.25">
      <c r="A3365" t="s">
        <v>3369</v>
      </c>
      <c r="B3365">
        <v>0.99252571173614901</v>
      </c>
      <c r="C3365">
        <v>1.0000946529770001</v>
      </c>
      <c r="D3365">
        <v>0.94868479034233499</v>
      </c>
      <c r="E3365">
        <v>0.82938910575278402</v>
      </c>
      <c r="F3365">
        <v>0.75266642553869001</v>
      </c>
      <c r="G3365">
        <v>0.54016985337613199</v>
      </c>
      <c r="H3365">
        <v>0.217699980022661</v>
      </c>
      <c r="I3365">
        <v>0.11063643973131999</v>
      </c>
      <c r="J3365">
        <v>0.120005397077714</v>
      </c>
      <c r="K3365">
        <v>8.3470609167602197E-2</v>
      </c>
      <c r="L3365">
        <v>860.44193467226103</v>
      </c>
      <c r="M3365">
        <v>15.212931745881599</v>
      </c>
      <c r="N3365">
        <v>56.635939375591498</v>
      </c>
      <c r="O3365">
        <v>55.609601677452503</v>
      </c>
      <c r="P3365">
        <v>-6.7706574963699695E-2</v>
      </c>
      <c r="Q3365">
        <v>1.0111723122866199E-2</v>
      </c>
      <c r="R3365">
        <v>0.99016746526939603</v>
      </c>
      <c r="S3365" t="s">
        <v>10011</v>
      </c>
      <c r="T3365" t="s">
        <v>13290</v>
      </c>
      <c r="U3365" t="s">
        <v>13290</v>
      </c>
      <c r="V3365" t="s">
        <v>13290</v>
      </c>
      <c r="W3365" t="s">
        <v>16611</v>
      </c>
      <c r="X3365">
        <v>8</v>
      </c>
      <c r="Y3365" t="s">
        <v>23129</v>
      </c>
      <c r="Z3365" t="s">
        <v>29695</v>
      </c>
      <c r="AA3365">
        <v>0.57290919953707731</v>
      </c>
      <c r="AB3365" t="str">
        <f>HYPERLINK("Melting_Curves/meltCurve_Q13287_NMI.pdf", "Melting_Curves/meltCurve_Q13287_NMI.pdf")</f>
        <v>Melting_Curves/meltCurve_Q13287_NMI.pdf</v>
      </c>
    </row>
    <row r="3366" spans="1:28" x14ac:dyDescent="0.25">
      <c r="A3366" t="s">
        <v>3370</v>
      </c>
      <c r="B3366">
        <v>0.99252571173614901</v>
      </c>
      <c r="C3366">
        <v>1.0070664717215401</v>
      </c>
      <c r="D3366">
        <v>0.93189092406291796</v>
      </c>
      <c r="E3366">
        <v>0.89295109958543195</v>
      </c>
      <c r="F3366">
        <v>0.84268694011113798</v>
      </c>
      <c r="G3366">
        <v>0.63555567992269402</v>
      </c>
      <c r="H3366">
        <v>0.54134647651237899</v>
      </c>
      <c r="I3366">
        <v>0.49581444926243701</v>
      </c>
      <c r="J3366">
        <v>0.55983632273829897</v>
      </c>
      <c r="K3366">
        <v>0.50608147924292401</v>
      </c>
      <c r="L3366">
        <v>970.89880126534899</v>
      </c>
      <c r="M3366">
        <v>17.888463046893801</v>
      </c>
      <c r="O3366">
        <v>53.610495044673797</v>
      </c>
      <c r="P3366">
        <v>-4.1971994014243702E-2</v>
      </c>
      <c r="Q3366">
        <v>0.49687669555804298</v>
      </c>
      <c r="R3366">
        <v>0.97582151844418297</v>
      </c>
      <c r="S3366" t="s">
        <v>10012</v>
      </c>
      <c r="T3366" t="s">
        <v>13290</v>
      </c>
      <c r="U3366" t="s">
        <v>13290</v>
      </c>
      <c r="V3366" t="s">
        <v>13290</v>
      </c>
      <c r="W3366" t="s">
        <v>16612</v>
      </c>
      <c r="X3366">
        <v>1</v>
      </c>
      <c r="Y3366" t="s">
        <v>23130</v>
      </c>
      <c r="Z3366" t="s">
        <v>29696</v>
      </c>
      <c r="AA3366">
        <v>0.74433937244347537</v>
      </c>
      <c r="AB3366" t="str">
        <f>HYPERLINK("Melting_Curves/meltCurve_Q13303_2_KCNAB2.pdf", "Melting_Curves/meltCurve_Q13303_2_KCNAB2.pdf")</f>
        <v>Melting_Curves/meltCurve_Q13303_2_KCNAB2.pdf</v>
      </c>
    </row>
    <row r="3367" spans="1:28" x14ac:dyDescent="0.25">
      <c r="A3367" t="s">
        <v>3371</v>
      </c>
      <c r="B3367">
        <v>0.99252571173614901</v>
      </c>
      <c r="C3367">
        <v>0.95906908426366599</v>
      </c>
      <c r="D3367">
        <v>0.90196590003721699</v>
      </c>
      <c r="E3367">
        <v>0.76078795999032001</v>
      </c>
      <c r="F3367">
        <v>0.42884163094477301</v>
      </c>
      <c r="G3367">
        <v>0.18962792844725901</v>
      </c>
      <c r="H3367">
        <v>9.7757302778691602E-2</v>
      </c>
      <c r="I3367">
        <v>9.8703631219691695E-2</v>
      </c>
      <c r="J3367">
        <v>0.115398939133949</v>
      </c>
      <c r="K3367">
        <v>0.111625301670476</v>
      </c>
      <c r="L3367">
        <v>1111.15744284384</v>
      </c>
      <c r="M3367">
        <v>21.457807036899901</v>
      </c>
      <c r="N3367">
        <v>52.260388530644001</v>
      </c>
      <c r="O3367">
        <v>51.339909065444097</v>
      </c>
      <c r="P3367">
        <v>-9.5198534352354106E-2</v>
      </c>
      <c r="Q3367">
        <v>8.8935109556792E-2</v>
      </c>
      <c r="R3367">
        <v>0.99651988142693104</v>
      </c>
      <c r="S3367" t="s">
        <v>10013</v>
      </c>
      <c r="T3367" t="s">
        <v>13290</v>
      </c>
      <c r="U3367" t="s">
        <v>13290</v>
      </c>
      <c r="V3367" t="s">
        <v>13290</v>
      </c>
      <c r="W3367" t="s">
        <v>16613</v>
      </c>
      <c r="X3367">
        <v>48</v>
      </c>
      <c r="Y3367" t="s">
        <v>23131</v>
      </c>
      <c r="Z3367" t="s">
        <v>29697</v>
      </c>
      <c r="AA3367">
        <v>0.45787339806363703</v>
      </c>
      <c r="AB3367" t="str">
        <f>HYPERLINK("Melting_Curves/meltCurve_Q13308_PTK7.pdf", "Melting_Curves/meltCurve_Q13308_PTK7.pdf")</f>
        <v>Melting_Curves/meltCurve_Q13308_PTK7.pdf</v>
      </c>
    </row>
    <row r="3368" spans="1:28" x14ac:dyDescent="0.25">
      <c r="A3368" t="s">
        <v>3372</v>
      </c>
      <c r="B3368">
        <v>0.99252571173614901</v>
      </c>
      <c r="C3368">
        <v>0.95188502205260594</v>
      </c>
      <c r="D3368">
        <v>0.85533496472414206</v>
      </c>
      <c r="E3368">
        <v>0.44651349689187603</v>
      </c>
      <c r="F3368">
        <v>0.112355579190671</v>
      </c>
      <c r="G3368">
        <v>7.01339204612665E-2</v>
      </c>
      <c r="H3368">
        <v>4.9875850808266897E-2</v>
      </c>
      <c r="I3368">
        <v>4.6534145464133501E-2</v>
      </c>
      <c r="J3368">
        <v>5.6945720306735198E-2</v>
      </c>
      <c r="K3368">
        <v>6.0877256022890402E-2</v>
      </c>
      <c r="L3368">
        <v>1368.1232823661501</v>
      </c>
      <c r="M3368">
        <v>27.975994493282499</v>
      </c>
      <c r="N3368">
        <v>49.0827470990385</v>
      </c>
      <c r="O3368">
        <v>48.655656501347401</v>
      </c>
      <c r="P3368">
        <v>-0.136764755889656</v>
      </c>
      <c r="Q3368">
        <v>4.8567129627929202E-2</v>
      </c>
      <c r="R3368">
        <v>0.99864678462019396</v>
      </c>
      <c r="S3368" t="s">
        <v>10014</v>
      </c>
      <c r="T3368" t="s">
        <v>13290</v>
      </c>
      <c r="U3368" t="s">
        <v>13290</v>
      </c>
      <c r="V3368" t="s">
        <v>13290</v>
      </c>
      <c r="W3368" t="s">
        <v>16614</v>
      </c>
      <c r="X3368">
        <v>19</v>
      </c>
      <c r="Y3368" t="s">
        <v>23132</v>
      </c>
      <c r="Z3368" t="s">
        <v>29698</v>
      </c>
      <c r="AA3368">
        <v>0.33761655436480342</v>
      </c>
      <c r="AB3368" t="str">
        <f>HYPERLINK("Melting_Curves/meltCurve_Q13310_2_PABPC4.pdf", "Melting_Curves/meltCurve_Q13310_2_PABPC4.pdf")</f>
        <v>Melting_Curves/meltCurve_Q13310_2_PABPC4.pdf</v>
      </c>
    </row>
    <row r="3369" spans="1:28" x14ac:dyDescent="0.25">
      <c r="A3369" t="s">
        <v>3373</v>
      </c>
      <c r="B3369">
        <v>0.99252571173614901</v>
      </c>
      <c r="C3369">
        <v>0.77648720117430603</v>
      </c>
      <c r="D3369">
        <v>1.2265454130883</v>
      </c>
      <c r="E3369">
        <v>1.2786831151023801</v>
      </c>
      <c r="F3369">
        <v>0.41976616859862897</v>
      </c>
      <c r="G3369">
        <v>0.131132314147583</v>
      </c>
      <c r="H3369">
        <v>7.8070406940667497E-2</v>
      </c>
      <c r="I3369">
        <v>7.2692646104796602E-2</v>
      </c>
      <c r="J3369">
        <v>7.5905575214676405E-2</v>
      </c>
      <c r="K3369">
        <v>7.8685366303235402E-2</v>
      </c>
      <c r="L3369">
        <v>13270.3737412067</v>
      </c>
      <c r="M3369">
        <v>250</v>
      </c>
      <c r="N3369">
        <v>53.12226764983</v>
      </c>
      <c r="O3369">
        <v>53.078098113941302</v>
      </c>
      <c r="P3369">
        <v>-1.07471677650258</v>
      </c>
      <c r="Q3369">
        <v>8.7297241161933894E-2</v>
      </c>
      <c r="R3369">
        <v>0.92152968794943702</v>
      </c>
      <c r="S3369" t="s">
        <v>10015</v>
      </c>
      <c r="T3369" t="s">
        <v>13290</v>
      </c>
      <c r="U3369" t="s">
        <v>13290</v>
      </c>
      <c r="V3369" t="s">
        <v>13290</v>
      </c>
      <c r="W3369" t="s">
        <v>16615</v>
      </c>
      <c r="X3369">
        <v>19</v>
      </c>
      <c r="Y3369" t="s">
        <v>23133</v>
      </c>
      <c r="Z3369" t="s">
        <v>29699</v>
      </c>
      <c r="AA3369">
        <v>0.48536615079725037</v>
      </c>
      <c r="AB3369" t="str">
        <f>HYPERLINK("Melting_Curves/meltCurve_Q13315_ATM.pdf", "Melting_Curves/meltCurve_Q13315_ATM.pdf")</f>
        <v>Melting_Curves/meltCurve_Q13315_ATM.pdf</v>
      </c>
    </row>
    <row r="3370" spans="1:28" x14ac:dyDescent="0.25">
      <c r="A3370" t="s">
        <v>3374</v>
      </c>
      <c r="B3370">
        <v>0.99252571173614901</v>
      </c>
      <c r="C3370">
        <v>0.96677568291397797</v>
      </c>
      <c r="D3370">
        <v>0.48281340520275701</v>
      </c>
      <c r="E3370">
        <v>0.31339547812650198</v>
      </c>
      <c r="F3370">
        <v>0.178456033348149</v>
      </c>
      <c r="G3370">
        <v>0.10354775865522101</v>
      </c>
      <c r="H3370">
        <v>9.87502084865685E-2</v>
      </c>
      <c r="I3370">
        <v>0.12554303078225201</v>
      </c>
      <c r="J3370">
        <v>0.16994473625824399</v>
      </c>
      <c r="K3370">
        <v>0.15452081503760501</v>
      </c>
      <c r="L3370">
        <v>1344.84871367353</v>
      </c>
      <c r="M3370">
        <v>29.368321403020499</v>
      </c>
      <c r="N3370">
        <v>46.331270582294501</v>
      </c>
      <c r="O3370">
        <v>45.581751767196302</v>
      </c>
      <c r="P3370">
        <v>-0.13777603894490101</v>
      </c>
      <c r="Q3370">
        <v>0.14465270947829501</v>
      </c>
      <c r="R3370">
        <v>0.97974389533304196</v>
      </c>
      <c r="S3370" t="s">
        <v>10016</v>
      </c>
      <c r="T3370" t="s">
        <v>13290</v>
      </c>
      <c r="U3370" t="s">
        <v>13290</v>
      </c>
      <c r="V3370" t="s">
        <v>13290</v>
      </c>
      <c r="W3370" t="s">
        <v>16616</v>
      </c>
      <c r="X3370">
        <v>15</v>
      </c>
      <c r="Y3370" t="s">
        <v>23134</v>
      </c>
      <c r="Z3370" t="s">
        <v>29700</v>
      </c>
      <c r="AA3370">
        <v>0.31531704408097472</v>
      </c>
      <c r="AB3370" t="str">
        <f>HYPERLINK("Melting_Curves/meltCurve_Q13322_3_GRB10.pdf", "Melting_Curves/meltCurve_Q13322_3_GRB10.pdf")</f>
        <v>Melting_Curves/meltCurve_Q13322_3_GRB10.pdf</v>
      </c>
    </row>
    <row r="3371" spans="1:28" x14ac:dyDescent="0.25">
      <c r="A3371" t="s">
        <v>3375</v>
      </c>
      <c r="B3371">
        <v>0.99252571173614901</v>
      </c>
      <c r="C3371">
        <v>0.78723766671906903</v>
      </c>
      <c r="D3371">
        <v>0.88646981912496603</v>
      </c>
      <c r="E3371">
        <v>0.44237802611134402</v>
      </c>
      <c r="F3371">
        <v>0.20457537857011199</v>
      </c>
      <c r="G3371">
        <v>7.5495576607958706E-2</v>
      </c>
      <c r="H3371">
        <v>4.5092614657857202E-2</v>
      </c>
      <c r="I3371">
        <v>4.2993612048855601E-2</v>
      </c>
      <c r="J3371">
        <v>4.8412610934245003E-2</v>
      </c>
      <c r="K3371">
        <v>4.3401706056204498E-2</v>
      </c>
      <c r="L3371">
        <v>971.31353840139195</v>
      </c>
      <c r="M3371">
        <v>19.789203294415699</v>
      </c>
      <c r="N3371">
        <v>49.242621041282099</v>
      </c>
      <c r="O3371">
        <v>48.590036835838099</v>
      </c>
      <c r="P3371">
        <v>-9.8657513084076401E-2</v>
      </c>
      <c r="Q3371">
        <v>3.1065792720946801E-2</v>
      </c>
      <c r="R3371">
        <v>0.97458934687241905</v>
      </c>
      <c r="S3371" t="s">
        <v>10017</v>
      </c>
      <c r="T3371" t="s">
        <v>13290</v>
      </c>
      <c r="U3371" t="s">
        <v>13290</v>
      </c>
      <c r="V3371" t="s">
        <v>13290</v>
      </c>
      <c r="W3371" t="s">
        <v>16617</v>
      </c>
      <c r="X3371">
        <v>11</v>
      </c>
      <c r="Y3371" t="s">
        <v>23135</v>
      </c>
      <c r="Z3371" t="s">
        <v>29701</v>
      </c>
      <c r="AA3371">
        <v>0.33828333786445652</v>
      </c>
      <c r="AB3371" t="str">
        <f>HYPERLINK("Melting_Curves/meltCurve_Q13330_3_MTA1.pdf", "Melting_Curves/meltCurve_Q13330_3_MTA1.pdf")</f>
        <v>Melting_Curves/meltCurve_Q13330_3_MTA1.pdf</v>
      </c>
    </row>
    <row r="3372" spans="1:28" x14ac:dyDescent="0.25">
      <c r="A3372" t="s">
        <v>3376</v>
      </c>
      <c r="B3372">
        <v>0.99252571173614901</v>
      </c>
      <c r="C3372">
        <v>0.83766130132986405</v>
      </c>
      <c r="D3372">
        <v>0.82976962912363705</v>
      </c>
      <c r="E3372">
        <v>0.51779348913173895</v>
      </c>
      <c r="F3372">
        <v>0.16634488929373301</v>
      </c>
      <c r="G3372">
        <v>9.6268927072330202E-2</v>
      </c>
      <c r="H3372">
        <v>7.3306344016894995E-2</v>
      </c>
      <c r="I3372">
        <v>8.1425356954146294E-2</v>
      </c>
      <c r="J3372">
        <v>6.8608349893486395E-2</v>
      </c>
      <c r="K3372">
        <v>6.7138631923664704E-2</v>
      </c>
      <c r="L3372">
        <v>993.02858349054395</v>
      </c>
      <c r="M3372">
        <v>20.231036450379701</v>
      </c>
      <c r="N3372">
        <v>49.368728884604899</v>
      </c>
      <c r="O3372">
        <v>48.612393165498098</v>
      </c>
      <c r="P3372">
        <v>-9.8324404549901004E-2</v>
      </c>
      <c r="Q3372">
        <v>5.4989526879557299E-2</v>
      </c>
      <c r="R3372">
        <v>0.98583347070084004</v>
      </c>
      <c r="S3372" t="s">
        <v>10018</v>
      </c>
      <c r="T3372" t="s">
        <v>13290</v>
      </c>
      <c r="U3372" t="s">
        <v>13290</v>
      </c>
      <c r="V3372" t="s">
        <v>13290</v>
      </c>
      <c r="W3372" t="s">
        <v>16618</v>
      </c>
      <c r="X3372">
        <v>15</v>
      </c>
      <c r="Y3372" t="s">
        <v>23136</v>
      </c>
      <c r="Z3372" t="s">
        <v>29702</v>
      </c>
      <c r="AA3372">
        <v>0.35407469049922408</v>
      </c>
      <c r="AB3372" t="str">
        <f>HYPERLINK("Melting_Curves/meltCurve_Q13347_EIF3I.pdf", "Melting_Curves/meltCurve_Q13347_EIF3I.pdf")</f>
        <v>Melting_Curves/meltCurve_Q13347_EIF3I.pdf</v>
      </c>
    </row>
    <row r="3373" spans="1:28" x14ac:dyDescent="0.25">
      <c r="A3373" t="s">
        <v>3377</v>
      </c>
      <c r="B3373">
        <v>0.99252571173614901</v>
      </c>
      <c r="C3373">
        <v>1.0044374738966999</v>
      </c>
      <c r="D3373">
        <v>0.77902910246398305</v>
      </c>
      <c r="E3373">
        <v>0.31866327639426101</v>
      </c>
      <c r="F3373">
        <v>0.205776729372839</v>
      </c>
      <c r="G3373">
        <v>8.07309368771639E-2</v>
      </c>
      <c r="H3373">
        <v>5.6635093548272501E-2</v>
      </c>
      <c r="I3373">
        <v>6.3510277953918198E-2</v>
      </c>
      <c r="J3373">
        <v>7.2012458342839605E-2</v>
      </c>
      <c r="K3373">
        <v>7.4664021975178699E-2</v>
      </c>
      <c r="L3373">
        <v>1287.3561879618601</v>
      </c>
      <c r="M3373">
        <v>26.8320678259517</v>
      </c>
      <c r="N3373">
        <v>48.270598645674099</v>
      </c>
      <c r="O3373">
        <v>47.714163910127603</v>
      </c>
      <c r="P3373">
        <v>-0.13004676104766899</v>
      </c>
      <c r="Q3373">
        <v>7.4986265475038005E-2</v>
      </c>
      <c r="R3373">
        <v>0.99446704950265397</v>
      </c>
      <c r="S3373" t="s">
        <v>10019</v>
      </c>
      <c r="T3373" t="s">
        <v>13290</v>
      </c>
      <c r="U3373" t="s">
        <v>13290</v>
      </c>
      <c r="V3373" t="s">
        <v>13290</v>
      </c>
      <c r="W3373" t="s">
        <v>16619</v>
      </c>
      <c r="X3373">
        <v>9</v>
      </c>
      <c r="Y3373" t="s">
        <v>23137</v>
      </c>
      <c r="Z3373" t="s">
        <v>29703</v>
      </c>
      <c r="AA3373">
        <v>0.32802456185286871</v>
      </c>
      <c r="AB3373" t="str">
        <f>HYPERLINK("Melting_Curves/meltCurve_Q13356_PPIL2.pdf", "Melting_Curves/meltCurve_Q13356_PPIL2.pdf")</f>
        <v>Melting_Curves/meltCurve_Q13356_PPIL2.pdf</v>
      </c>
    </row>
    <row r="3374" spans="1:28" x14ac:dyDescent="0.25">
      <c r="A3374" t="s">
        <v>3378</v>
      </c>
      <c r="B3374">
        <v>0.99252571173614901</v>
      </c>
      <c r="C3374">
        <v>0.96224067998020002</v>
      </c>
      <c r="D3374">
        <v>0.97479105024009005</v>
      </c>
      <c r="E3374">
        <v>0.58149433350430901</v>
      </c>
      <c r="F3374">
        <v>0.22094365653242901</v>
      </c>
      <c r="G3374">
        <v>0.13766481262332</v>
      </c>
      <c r="H3374">
        <v>9.58193055524834E-2</v>
      </c>
      <c r="I3374">
        <v>9.6307411809784998E-2</v>
      </c>
      <c r="J3374">
        <v>0.11715423539139</v>
      </c>
      <c r="K3374">
        <v>0.109693944748235</v>
      </c>
      <c r="L3374">
        <v>1637.2602736931599</v>
      </c>
      <c r="M3374">
        <v>32.837489444333599</v>
      </c>
      <c r="N3374">
        <v>50.234899287793901</v>
      </c>
      <c r="O3374">
        <v>49.675663643871701</v>
      </c>
      <c r="P3374">
        <v>-0.147279113074716</v>
      </c>
      <c r="Q3374">
        <v>0.108804659625481</v>
      </c>
      <c r="R3374">
        <v>0.99805554397043705</v>
      </c>
      <c r="S3374" t="s">
        <v>10020</v>
      </c>
      <c r="T3374" t="s">
        <v>13290</v>
      </c>
      <c r="U3374" t="s">
        <v>13290</v>
      </c>
      <c r="V3374" t="s">
        <v>13290</v>
      </c>
      <c r="W3374" t="s">
        <v>16620</v>
      </c>
      <c r="X3374">
        <v>11</v>
      </c>
      <c r="Y3374" t="s">
        <v>23138</v>
      </c>
      <c r="Z3374" t="s">
        <v>29704</v>
      </c>
      <c r="AA3374">
        <v>0.40627491883757888</v>
      </c>
      <c r="AB3374" t="str">
        <f>HYPERLINK("Melting_Curves/meltCurve_Q13362_3_PPP2R5C.pdf", "Melting_Curves/meltCurve_Q13362_3_PPP2R5C.pdf")</f>
        <v>Melting_Curves/meltCurve_Q13362_3_PPP2R5C.pdf</v>
      </c>
    </row>
    <row r="3375" spans="1:28" x14ac:dyDescent="0.25">
      <c r="A3375" t="s">
        <v>3379</v>
      </c>
      <c r="B3375">
        <v>0.99252571173614901</v>
      </c>
      <c r="C3375">
        <v>0.99180156981654199</v>
      </c>
      <c r="D3375">
        <v>1.0708967242362599</v>
      </c>
      <c r="E3375">
        <v>0.95627499415783901</v>
      </c>
      <c r="F3375">
        <v>0.94781026594920703</v>
      </c>
      <c r="G3375">
        <v>0.69428455444695003</v>
      </c>
      <c r="H3375">
        <v>0.44198644533182802</v>
      </c>
      <c r="I3375">
        <v>0.15394662555612701</v>
      </c>
      <c r="J3375">
        <v>0.105915976521415</v>
      </c>
      <c r="K3375">
        <v>9.4575870419105298E-2</v>
      </c>
      <c r="L3375">
        <v>1271.4661814742501</v>
      </c>
      <c r="M3375">
        <v>21.455669983720998</v>
      </c>
      <c r="N3375">
        <v>59.483545226903097</v>
      </c>
      <c r="O3375">
        <v>58.752557710233397</v>
      </c>
      <c r="P3375">
        <v>-8.7765005828752504E-2</v>
      </c>
      <c r="Q3375">
        <v>3.8707802906115203E-2</v>
      </c>
      <c r="R3375">
        <v>0.99107666346929202</v>
      </c>
      <c r="S3375" t="s">
        <v>10021</v>
      </c>
      <c r="T3375" t="s">
        <v>13290</v>
      </c>
      <c r="U3375" t="s">
        <v>13290</v>
      </c>
      <c r="V3375" t="s">
        <v>13290</v>
      </c>
      <c r="W3375" t="s">
        <v>16621</v>
      </c>
      <c r="X3375">
        <v>20</v>
      </c>
      <c r="Y3375" t="s">
        <v>23139</v>
      </c>
      <c r="Z3375" t="s">
        <v>29705</v>
      </c>
      <c r="AA3375">
        <v>0.66475410010703062</v>
      </c>
      <c r="AB3375" t="str">
        <f>HYPERLINK("Melting_Curves/meltCurve_Q13363_CTBP1.pdf", "Melting_Curves/meltCurve_Q13363_CTBP1.pdf")</f>
        <v>Melting_Curves/meltCurve_Q13363_CTBP1.pdf</v>
      </c>
    </row>
    <row r="3376" spans="1:28" x14ac:dyDescent="0.25">
      <c r="A3376" t="s">
        <v>3380</v>
      </c>
      <c r="B3376">
        <v>0.99252571173614901</v>
      </c>
      <c r="C3376">
        <v>1.03207763406408</v>
      </c>
      <c r="D3376">
        <v>0.93492704132311</v>
      </c>
      <c r="E3376">
        <v>0.72306596377367904</v>
      </c>
      <c r="F3376">
        <v>0.26282606051350099</v>
      </c>
      <c r="G3376">
        <v>0.15024296284532501</v>
      </c>
      <c r="H3376">
        <v>0.11418061002499</v>
      </c>
      <c r="I3376">
        <v>0.11640542875127401</v>
      </c>
      <c r="J3376">
        <v>0.159239953172819</v>
      </c>
      <c r="K3376">
        <v>0.160414308464851</v>
      </c>
      <c r="L3376">
        <v>1759.9037834186399</v>
      </c>
      <c r="M3376">
        <v>34.777343877491198</v>
      </c>
      <c r="N3376">
        <v>51.066976567588</v>
      </c>
      <c r="O3376">
        <v>50.438446634825603</v>
      </c>
      <c r="P3376">
        <v>-0.14910670580605601</v>
      </c>
      <c r="Q3376">
        <v>0.13499046756639499</v>
      </c>
      <c r="R3376">
        <v>0.99656512052861401</v>
      </c>
      <c r="S3376" t="s">
        <v>10022</v>
      </c>
      <c r="T3376" t="s">
        <v>13290</v>
      </c>
      <c r="U3376" t="s">
        <v>13290</v>
      </c>
      <c r="V3376" t="s">
        <v>13290</v>
      </c>
      <c r="W3376" t="s">
        <v>16622</v>
      </c>
      <c r="X3376">
        <v>6</v>
      </c>
      <c r="Y3376" t="s">
        <v>23140</v>
      </c>
      <c r="Z3376" t="s">
        <v>29706</v>
      </c>
      <c r="AA3376">
        <v>0.44478057208221139</v>
      </c>
      <c r="AB3376" t="str">
        <f>HYPERLINK("Melting_Curves/meltCurve_Q13371_PDCL.pdf", "Melting_Curves/meltCurve_Q13371_PDCL.pdf")</f>
        <v>Melting_Curves/meltCurve_Q13371_PDCL.pdf</v>
      </c>
    </row>
    <row r="3377" spans="1:28" x14ac:dyDescent="0.25">
      <c r="A3377" t="s">
        <v>3381</v>
      </c>
      <c r="B3377">
        <v>0.99252571173614901</v>
      </c>
      <c r="C3377">
        <v>0.75763577809132998</v>
      </c>
      <c r="D3377">
        <v>0.97346539213124905</v>
      </c>
      <c r="E3377">
        <v>1.1030802639864301</v>
      </c>
      <c r="F3377">
        <v>0.43159885889149502</v>
      </c>
      <c r="G3377">
        <v>0.13826747461741201</v>
      </c>
      <c r="H3377">
        <v>9.1925808124723202E-2</v>
      </c>
      <c r="I3377">
        <v>0.11703761426003501</v>
      </c>
      <c r="J3377">
        <v>0.114270624271453</v>
      </c>
      <c r="K3377">
        <v>0.144902381547305</v>
      </c>
      <c r="L3377">
        <v>13267.801793766699</v>
      </c>
      <c r="M3377">
        <v>250</v>
      </c>
      <c r="N3377">
        <v>53.130248571488899</v>
      </c>
      <c r="O3377">
        <v>53.067811079174398</v>
      </c>
      <c r="P3377">
        <v>-1.03490140577296</v>
      </c>
      <c r="Q3377">
        <v>0.121280766246548</v>
      </c>
      <c r="R3377">
        <v>0.95557803961964505</v>
      </c>
      <c r="S3377" t="s">
        <v>10023</v>
      </c>
      <c r="T3377" t="s">
        <v>13290</v>
      </c>
      <c r="U3377" t="s">
        <v>13290</v>
      </c>
      <c r="V3377" t="s">
        <v>13290</v>
      </c>
      <c r="W3377" t="s">
        <v>16623</v>
      </c>
      <c r="X3377">
        <v>2</v>
      </c>
      <c r="Y3377" t="s">
        <v>23141</v>
      </c>
      <c r="Z3377" t="s">
        <v>29707</v>
      </c>
      <c r="AA3377">
        <v>0.50422664783949533</v>
      </c>
      <c r="AB3377" t="str">
        <f>HYPERLINK("Melting_Curves/meltCurve_Q13395_TARBP1.pdf", "Melting_Curves/meltCurve_Q13395_TARBP1.pdf")</f>
        <v>Melting_Curves/meltCurve_Q13395_TARBP1.pdf</v>
      </c>
    </row>
    <row r="3378" spans="1:28" x14ac:dyDescent="0.25">
      <c r="A3378" t="s">
        <v>3382</v>
      </c>
      <c r="B3378">
        <v>0.99252571173614901</v>
      </c>
      <c r="C3378">
        <v>1.0938611768371</v>
      </c>
      <c r="D3378">
        <v>0.88381151101236999</v>
      </c>
      <c r="E3378">
        <v>0.71964189497324305</v>
      </c>
      <c r="F3378">
        <v>0.58746607717142796</v>
      </c>
      <c r="G3378">
        <v>0.405710613561103</v>
      </c>
      <c r="H3378">
        <v>0.33916515830697702</v>
      </c>
      <c r="I3378">
        <v>0.33885944353415898</v>
      </c>
      <c r="J3378">
        <v>0.45189332696152301</v>
      </c>
      <c r="K3378">
        <v>0.49696928395229301</v>
      </c>
      <c r="L3378">
        <v>1104.08322292859</v>
      </c>
      <c r="M3378">
        <v>22.042930080748</v>
      </c>
      <c r="N3378">
        <v>54.090659065477503</v>
      </c>
      <c r="O3378">
        <v>49.681092204742299</v>
      </c>
      <c r="P3378">
        <v>-6.6315822236232197E-2</v>
      </c>
      <c r="Q3378">
        <v>0.402153979722146</v>
      </c>
      <c r="R3378">
        <v>0.94254002822178695</v>
      </c>
      <c r="S3378" t="s">
        <v>10024</v>
      </c>
      <c r="T3378" t="s">
        <v>13290</v>
      </c>
      <c r="U3378" t="s">
        <v>13290</v>
      </c>
      <c r="V3378" t="s">
        <v>13290</v>
      </c>
      <c r="W3378" t="s">
        <v>16624</v>
      </c>
      <c r="X3378">
        <v>8</v>
      </c>
      <c r="Y3378" t="s">
        <v>23142</v>
      </c>
      <c r="Z3378" t="s">
        <v>29708</v>
      </c>
      <c r="AA3378">
        <v>0.61006138389328224</v>
      </c>
      <c r="AB3378" t="str">
        <f>HYPERLINK("Melting_Curves/meltCurve_Q13405_MRPL49.pdf", "Melting_Curves/meltCurve_Q13405_MRPL49.pdf")</f>
        <v>Melting_Curves/meltCurve_Q13405_MRPL49.pdf</v>
      </c>
    </row>
    <row r="3379" spans="1:28" x14ac:dyDescent="0.25">
      <c r="A3379" t="s">
        <v>3383</v>
      </c>
      <c r="B3379">
        <v>0.99252571173614901</v>
      </c>
      <c r="C3379">
        <v>0.88948549662949405</v>
      </c>
      <c r="D3379">
        <v>1.3660826968725099</v>
      </c>
      <c r="E3379">
        <v>1.24908552110587</v>
      </c>
      <c r="F3379">
        <v>1.74048379176226</v>
      </c>
      <c r="G3379">
        <v>1.2453426171217801</v>
      </c>
      <c r="H3379">
        <v>0.57109876379192703</v>
      </c>
      <c r="I3379">
        <v>0.32350352995183002</v>
      </c>
      <c r="J3379">
        <v>0.38120761913578999</v>
      </c>
      <c r="K3379">
        <v>0.37107478224655799</v>
      </c>
      <c r="L3379">
        <v>15000</v>
      </c>
      <c r="M3379">
        <v>247.41279492089299</v>
      </c>
      <c r="N3379">
        <v>60.9384772856992</v>
      </c>
      <c r="O3379">
        <v>60.623460843573298</v>
      </c>
      <c r="P3379">
        <v>-0.65441587944843604</v>
      </c>
      <c r="Q3379">
        <v>0.35859492629763801</v>
      </c>
      <c r="R3379">
        <v>0.62116266912408302</v>
      </c>
      <c r="S3379" t="s">
        <v>10025</v>
      </c>
      <c r="T3379" t="s">
        <v>13290</v>
      </c>
      <c r="U3379" t="s">
        <v>13290</v>
      </c>
      <c r="V3379" t="s">
        <v>13290</v>
      </c>
      <c r="W3379" t="s">
        <v>16625</v>
      </c>
      <c r="X3379">
        <v>21</v>
      </c>
      <c r="Y3379" t="s">
        <v>23143</v>
      </c>
      <c r="Z3379" t="s">
        <v>29709</v>
      </c>
      <c r="AA3379">
        <v>0.79968238434146288</v>
      </c>
      <c r="AB3379" t="str">
        <f>HYPERLINK("Melting_Curves/meltCurve_Q13409_3_DYNC1I2.pdf", "Melting_Curves/meltCurve_Q13409_3_DYNC1I2.pdf")</f>
        <v>Melting_Curves/meltCurve_Q13409_3_DYNC1I2.pdf</v>
      </c>
    </row>
    <row r="3380" spans="1:28" x14ac:dyDescent="0.25">
      <c r="A3380" t="s">
        <v>3384</v>
      </c>
      <c r="B3380">
        <v>0.99252571173614901</v>
      </c>
      <c r="C3380">
        <v>0.85844523898663405</v>
      </c>
      <c r="D3380">
        <v>0.68806269711845103</v>
      </c>
      <c r="E3380">
        <v>0.28169651157929299</v>
      </c>
      <c r="F3380">
        <v>0.14115427750991699</v>
      </c>
      <c r="G3380">
        <v>9.3274556527659494E-2</v>
      </c>
      <c r="H3380">
        <v>0.10517610276609</v>
      </c>
      <c r="I3380">
        <v>0.13862821913791701</v>
      </c>
      <c r="J3380">
        <v>0.23198764492810001</v>
      </c>
      <c r="K3380">
        <v>0.22702658661907901</v>
      </c>
      <c r="L3380">
        <v>1255.15387987807</v>
      </c>
      <c r="M3380">
        <v>26.916770779033701</v>
      </c>
      <c r="N3380">
        <v>47.257734299583099</v>
      </c>
      <c r="O3380">
        <v>46.375812718191497</v>
      </c>
      <c r="P3380">
        <v>-0.123320092691665</v>
      </c>
      <c r="Q3380">
        <v>0.15011898279393501</v>
      </c>
      <c r="R3380">
        <v>0.97443692016767902</v>
      </c>
      <c r="S3380" t="s">
        <v>10026</v>
      </c>
      <c r="T3380" t="s">
        <v>13290</v>
      </c>
      <c r="U3380" t="s">
        <v>13290</v>
      </c>
      <c r="V3380" t="s">
        <v>13290</v>
      </c>
      <c r="W3380" t="s">
        <v>16626</v>
      </c>
      <c r="X3380">
        <v>6</v>
      </c>
      <c r="Y3380" t="s">
        <v>23144</v>
      </c>
      <c r="Z3380" t="s">
        <v>29710</v>
      </c>
      <c r="AA3380">
        <v>0.34446148125357129</v>
      </c>
      <c r="AB3380" t="str">
        <f>HYPERLINK("Melting_Curves/meltCurve_Q13416_ORC2.pdf", "Melting_Curves/meltCurve_Q13416_ORC2.pdf")</f>
        <v>Melting_Curves/meltCurve_Q13416_ORC2.pdf</v>
      </c>
    </row>
    <row r="3381" spans="1:28" x14ac:dyDescent="0.25">
      <c r="A3381" t="s">
        <v>3385</v>
      </c>
      <c r="B3381">
        <v>0.99252571173614901</v>
      </c>
      <c r="C3381">
        <v>0.81800660239455503</v>
      </c>
      <c r="D3381">
        <v>0.69259438915485105</v>
      </c>
      <c r="E3381">
        <v>0.40077716248315398</v>
      </c>
      <c r="F3381">
        <v>0.13139292644122499</v>
      </c>
      <c r="G3381">
        <v>7.6529724095194401E-2</v>
      </c>
      <c r="H3381">
        <v>6.2113708124325699E-2</v>
      </c>
      <c r="I3381">
        <v>5.5424358764589697E-2</v>
      </c>
      <c r="J3381">
        <v>7.0009495084508599E-2</v>
      </c>
      <c r="K3381">
        <v>7.2462791278486094E-2</v>
      </c>
      <c r="L3381">
        <v>836.56020955435599</v>
      </c>
      <c r="M3381">
        <v>17.5468630970283</v>
      </c>
      <c r="N3381">
        <v>47.934689002331503</v>
      </c>
      <c r="O3381">
        <v>47.069474253696903</v>
      </c>
      <c r="P3381">
        <v>-8.8987741838531295E-2</v>
      </c>
      <c r="Q3381">
        <v>4.5213357286429598E-2</v>
      </c>
      <c r="R3381">
        <v>0.99169893073267101</v>
      </c>
      <c r="S3381" t="s">
        <v>10027</v>
      </c>
      <c r="T3381" t="s">
        <v>13290</v>
      </c>
      <c r="U3381" t="s">
        <v>13290</v>
      </c>
      <c r="V3381" t="s">
        <v>13290</v>
      </c>
      <c r="W3381" t="s">
        <v>16627</v>
      </c>
      <c r="X3381">
        <v>13</v>
      </c>
      <c r="Y3381" t="s">
        <v>23145</v>
      </c>
      <c r="Z3381" t="s">
        <v>29711</v>
      </c>
      <c r="AA3381">
        <v>0.30757361799128752</v>
      </c>
      <c r="AB3381" t="str">
        <f>HYPERLINK("Melting_Curves/meltCurve_Q13418_ILK.pdf", "Melting_Curves/meltCurve_Q13418_ILK.pdf")</f>
        <v>Melting_Curves/meltCurve_Q13418_ILK.pdf</v>
      </c>
    </row>
    <row r="3382" spans="1:28" x14ac:dyDescent="0.25">
      <c r="A3382" t="s">
        <v>3386</v>
      </c>
      <c r="B3382">
        <v>0.99252571173614901</v>
      </c>
      <c r="C3382">
        <v>0.85685981719831905</v>
      </c>
      <c r="D3382">
        <v>0.799808574935437</v>
      </c>
      <c r="E3382">
        <v>0.77884230457292902</v>
      </c>
      <c r="F3382">
        <v>0.60288810654583402</v>
      </c>
      <c r="G3382">
        <v>0.18827761649626701</v>
      </c>
      <c r="H3382">
        <v>6.9781161096924504E-2</v>
      </c>
      <c r="I3382">
        <v>6.7248475811169994E-2</v>
      </c>
      <c r="J3382">
        <v>7.6239331606884703E-2</v>
      </c>
      <c r="K3382">
        <v>7.1388903429943196E-2</v>
      </c>
      <c r="L3382">
        <v>778.36229842113698</v>
      </c>
      <c r="M3382">
        <v>14.6620990995079</v>
      </c>
      <c r="N3382">
        <v>53.086695133017102</v>
      </c>
      <c r="O3382">
        <v>52.128510885256603</v>
      </c>
      <c r="P3382">
        <v>-7.0324860438412601E-2</v>
      </c>
      <c r="Q3382">
        <v>0</v>
      </c>
      <c r="R3382">
        <v>0.96089180959163101</v>
      </c>
      <c r="S3382" t="s">
        <v>10028</v>
      </c>
      <c r="T3382" t="s">
        <v>13290</v>
      </c>
      <c r="U3382" t="s">
        <v>13290</v>
      </c>
      <c r="V3382" t="s">
        <v>13290</v>
      </c>
      <c r="W3382" t="s">
        <v>16628</v>
      </c>
      <c r="X3382">
        <v>34</v>
      </c>
      <c r="Y3382" t="s">
        <v>23146</v>
      </c>
      <c r="Z3382" t="s">
        <v>29712</v>
      </c>
      <c r="AA3382">
        <v>0.45833983711779919</v>
      </c>
      <c r="AB3382" t="str">
        <f>HYPERLINK("Melting_Curves/meltCurve_Q13423_NNT.pdf", "Melting_Curves/meltCurve_Q13423_NNT.pdf")</f>
        <v>Melting_Curves/meltCurve_Q13423_NNT.pdf</v>
      </c>
    </row>
    <row r="3383" spans="1:28" x14ac:dyDescent="0.25">
      <c r="A3383" t="s">
        <v>3387</v>
      </c>
      <c r="B3383">
        <v>0.99252571173614901</v>
      </c>
      <c r="C3383">
        <v>0.82465970693572399</v>
      </c>
      <c r="D3383">
        <v>0.53661674258395098</v>
      </c>
      <c r="E3383">
        <v>0.30663381883180402</v>
      </c>
      <c r="F3383">
        <v>0.17404030647888599</v>
      </c>
      <c r="G3383">
        <v>0.103189855430279</v>
      </c>
      <c r="H3383">
        <v>7.3499147207534796E-2</v>
      </c>
      <c r="I3383">
        <v>9.6358431317226795E-2</v>
      </c>
      <c r="J3383">
        <v>8.6443483686566597E-2</v>
      </c>
      <c r="K3383">
        <v>8.0878093991241504E-2</v>
      </c>
      <c r="L3383">
        <v>852.46521438839704</v>
      </c>
      <c r="M3383">
        <v>18.436726428680199</v>
      </c>
      <c r="N3383">
        <v>46.692565289847501</v>
      </c>
      <c r="O3383">
        <v>45.703669427500799</v>
      </c>
      <c r="P3383">
        <v>-9.2557642048486502E-2</v>
      </c>
      <c r="Q3383">
        <v>8.2259206986344202E-2</v>
      </c>
      <c r="R3383">
        <v>0.996530131919106</v>
      </c>
      <c r="S3383" t="s">
        <v>10029</v>
      </c>
      <c r="T3383" t="s">
        <v>13290</v>
      </c>
      <c r="U3383" t="s">
        <v>13290</v>
      </c>
      <c r="V3383" t="s">
        <v>13290</v>
      </c>
      <c r="W3383" t="s">
        <v>16629</v>
      </c>
      <c r="X3383">
        <v>5</v>
      </c>
      <c r="Y3383" t="s">
        <v>23147</v>
      </c>
      <c r="Z3383" t="s">
        <v>29713</v>
      </c>
      <c r="AA3383">
        <v>0.28985194992132102</v>
      </c>
      <c r="AB3383" t="str">
        <f>HYPERLINK("Melting_Curves/meltCurve_Q13425_SNTB2.pdf", "Melting_Curves/meltCurve_Q13425_SNTB2.pdf")</f>
        <v>Melting_Curves/meltCurve_Q13425_SNTB2.pdf</v>
      </c>
    </row>
    <row r="3384" spans="1:28" x14ac:dyDescent="0.25">
      <c r="A3384" t="s">
        <v>3388</v>
      </c>
      <c r="B3384">
        <v>0.99252571173614901</v>
      </c>
      <c r="C3384">
        <v>1.07791367538226</v>
      </c>
      <c r="D3384">
        <v>1.10392215692714</v>
      </c>
      <c r="E3384">
        <v>1.3585264700356601</v>
      </c>
      <c r="F3384">
        <v>1.2180134299549401</v>
      </c>
      <c r="G3384">
        <v>0.97186404593329601</v>
      </c>
      <c r="H3384">
        <v>0.84294386646639696</v>
      </c>
      <c r="I3384">
        <v>0.89174763854761696</v>
      </c>
      <c r="J3384">
        <v>0.801629905741993</v>
      </c>
      <c r="K3384">
        <v>0.50312457650541598</v>
      </c>
      <c r="L3384">
        <v>1434.43561553165</v>
      </c>
      <c r="M3384">
        <v>20.341501138016898</v>
      </c>
      <c r="O3384">
        <v>69.846771890098694</v>
      </c>
      <c r="P3384">
        <v>-7.2809807913671198E-2</v>
      </c>
      <c r="Q3384">
        <v>0</v>
      </c>
      <c r="R3384">
        <v>0.58153752509329204</v>
      </c>
      <c r="S3384" t="s">
        <v>10030</v>
      </c>
      <c r="T3384" t="s">
        <v>13290</v>
      </c>
      <c r="U3384" t="s">
        <v>13290</v>
      </c>
      <c r="V3384" t="s">
        <v>13290</v>
      </c>
      <c r="W3384" t="s">
        <v>16630</v>
      </c>
      <c r="X3384">
        <v>12</v>
      </c>
      <c r="Y3384" t="s">
        <v>23148</v>
      </c>
      <c r="Z3384" t="s">
        <v>29714</v>
      </c>
      <c r="AA3384">
        <v>0.93629204306678904</v>
      </c>
      <c r="AB3384" t="str">
        <f>HYPERLINK("Melting_Curves/meltCurve_Q13426_XRCC4.pdf", "Melting_Curves/meltCurve_Q13426_XRCC4.pdf")</f>
        <v>Melting_Curves/meltCurve_Q13426_XRCC4.pdf</v>
      </c>
    </row>
    <row r="3385" spans="1:28" x14ac:dyDescent="0.25">
      <c r="A3385" t="s">
        <v>3389</v>
      </c>
      <c r="B3385">
        <v>0.99252571173614901</v>
      </c>
      <c r="C3385">
        <v>0.92697006585727604</v>
      </c>
      <c r="D3385">
        <v>0.59811542215917601</v>
      </c>
      <c r="E3385">
        <v>0.355922542738285</v>
      </c>
      <c r="F3385">
        <v>0.23761075161050799</v>
      </c>
      <c r="G3385">
        <v>0.137060910924583</v>
      </c>
      <c r="H3385">
        <v>0.103560940549269</v>
      </c>
      <c r="I3385">
        <v>0.115214884573205</v>
      </c>
      <c r="J3385">
        <v>0.146063430033086</v>
      </c>
      <c r="K3385">
        <v>0.197564705950247</v>
      </c>
      <c r="L3385">
        <v>991.054951464993</v>
      </c>
      <c r="M3385">
        <v>21.218769864092302</v>
      </c>
      <c r="N3385">
        <v>47.451352495550303</v>
      </c>
      <c r="O3385">
        <v>46.297616923356699</v>
      </c>
      <c r="P3385">
        <v>-9.83522016251481E-2</v>
      </c>
      <c r="Q3385">
        <v>0.14163641910000499</v>
      </c>
      <c r="R3385">
        <v>0.98855896798359999</v>
      </c>
      <c r="S3385" t="s">
        <v>10031</v>
      </c>
      <c r="T3385" t="s">
        <v>13290</v>
      </c>
      <c r="U3385" t="s">
        <v>13290</v>
      </c>
      <c r="V3385" t="s">
        <v>13290</v>
      </c>
      <c r="W3385" t="s">
        <v>16631</v>
      </c>
      <c r="X3385">
        <v>9</v>
      </c>
      <c r="Y3385" t="s">
        <v>23149</v>
      </c>
      <c r="Z3385" t="s">
        <v>29715</v>
      </c>
      <c r="AA3385">
        <v>0.34467305210814603</v>
      </c>
      <c r="AB3385" t="str">
        <f>HYPERLINK("Melting_Curves/meltCurve_Q13427_PPIG.pdf", "Melting_Curves/meltCurve_Q13427_PPIG.pdf")</f>
        <v>Melting_Curves/meltCurve_Q13427_PPIG.pdf</v>
      </c>
    </row>
    <row r="3386" spans="1:28" x14ac:dyDescent="0.25">
      <c r="A3386" t="s">
        <v>3390</v>
      </c>
      <c r="B3386">
        <v>0.99252571173614901</v>
      </c>
      <c r="C3386">
        <v>1.0544489049552099</v>
      </c>
      <c r="D3386">
        <v>0.80513609216775694</v>
      </c>
      <c r="E3386">
        <v>0.99146954959029499</v>
      </c>
      <c r="F3386">
        <v>0.63746895921570801</v>
      </c>
      <c r="G3386">
        <v>0.39138390953230801</v>
      </c>
      <c r="H3386">
        <v>0.27967398545945099</v>
      </c>
      <c r="I3386">
        <v>0.30419968740319597</v>
      </c>
      <c r="J3386">
        <v>0.39808193881991799</v>
      </c>
      <c r="K3386">
        <v>0.45218571464874202</v>
      </c>
      <c r="L3386">
        <v>2770.7277187947002</v>
      </c>
      <c r="M3386">
        <v>52.341714474396603</v>
      </c>
      <c r="N3386">
        <v>54.264039017321402</v>
      </c>
      <c r="O3386">
        <v>52.858265157213602</v>
      </c>
      <c r="P3386">
        <v>-0.15813848103063899</v>
      </c>
      <c r="Q3386">
        <v>0.361203983287533</v>
      </c>
      <c r="R3386">
        <v>0.927955484546922</v>
      </c>
      <c r="S3386" t="s">
        <v>10032</v>
      </c>
      <c r="T3386" t="s">
        <v>13290</v>
      </c>
      <c r="U3386" t="s">
        <v>13290</v>
      </c>
      <c r="V3386" t="s">
        <v>13290</v>
      </c>
      <c r="W3386" t="s">
        <v>16632</v>
      </c>
      <c r="X3386">
        <v>42</v>
      </c>
      <c r="Y3386" t="s">
        <v>23150</v>
      </c>
      <c r="Z3386" t="s">
        <v>29716</v>
      </c>
      <c r="AA3386">
        <v>0.63799961485051315</v>
      </c>
      <c r="AB3386" t="str">
        <f>HYPERLINK("Melting_Curves/meltCurve_Q13428_3_TCOF1.pdf", "Melting_Curves/meltCurve_Q13428_3_TCOF1.pdf")</f>
        <v>Melting_Curves/meltCurve_Q13428_3_TCOF1.pdf</v>
      </c>
    </row>
    <row r="3387" spans="1:28" x14ac:dyDescent="0.25">
      <c r="A3387" t="s">
        <v>3391</v>
      </c>
      <c r="B3387">
        <v>0.99252571173614901</v>
      </c>
      <c r="C3387">
        <v>1.0464802953669501</v>
      </c>
      <c r="D3387">
        <v>0.76670722675402203</v>
      </c>
      <c r="E3387">
        <v>0.40986664300249898</v>
      </c>
      <c r="F3387">
        <v>0.18095284627184399</v>
      </c>
      <c r="G3387">
        <v>0.14623259936969801</v>
      </c>
      <c r="H3387">
        <v>0.100277305293361</v>
      </c>
      <c r="I3387">
        <v>9.0363576327058201E-2</v>
      </c>
      <c r="J3387">
        <v>8.4233122951265796E-2</v>
      </c>
      <c r="K3387">
        <v>7.0579650333305502E-2</v>
      </c>
      <c r="L3387">
        <v>1196.2538588421901</v>
      </c>
      <c r="M3387">
        <v>24.757890164646899</v>
      </c>
      <c r="N3387">
        <v>48.720695480059803</v>
      </c>
      <c r="O3387">
        <v>48.006155629703201</v>
      </c>
      <c r="P3387">
        <v>-0.11700513428661399</v>
      </c>
      <c r="Q3387">
        <v>9.25093245974411E-2</v>
      </c>
      <c r="R3387">
        <v>0.99307269968619605</v>
      </c>
      <c r="S3387" t="s">
        <v>10033</v>
      </c>
      <c r="T3387" t="s">
        <v>13290</v>
      </c>
      <c r="U3387" t="s">
        <v>13290</v>
      </c>
      <c r="V3387" t="s">
        <v>13290</v>
      </c>
      <c r="W3387" t="s">
        <v>16633</v>
      </c>
      <c r="X3387">
        <v>4</v>
      </c>
      <c r="Y3387" t="s">
        <v>23151</v>
      </c>
      <c r="Z3387" t="s">
        <v>29717</v>
      </c>
      <c r="AA3387">
        <v>0.35231423144562463</v>
      </c>
      <c r="AB3387" t="str">
        <f>HYPERLINK("Melting_Curves/meltCurve_Q13432_2_UNC119.pdf", "Melting_Curves/meltCurve_Q13432_2_UNC119.pdf")</f>
        <v>Melting_Curves/meltCurve_Q13432_2_UNC119.pdf</v>
      </c>
    </row>
    <row r="3388" spans="1:28" x14ac:dyDescent="0.25">
      <c r="A3388" t="s">
        <v>3392</v>
      </c>
      <c r="B3388">
        <v>0.99252571173614901</v>
      </c>
      <c r="C3388">
        <v>0.99186339539277801</v>
      </c>
      <c r="D3388">
        <v>0.84190267369812799</v>
      </c>
      <c r="E3388">
        <v>0.87709387563282704</v>
      </c>
      <c r="F3388">
        <v>0.57065451734990502</v>
      </c>
      <c r="G3388">
        <v>0.38398224325048902</v>
      </c>
      <c r="H3388">
        <v>0.36151218549402903</v>
      </c>
      <c r="I3388">
        <v>0.52905379430203903</v>
      </c>
      <c r="J3388">
        <v>0.788839464797919</v>
      </c>
      <c r="K3388">
        <v>0.70997613969349604</v>
      </c>
      <c r="L3388">
        <v>2829.6312789860399</v>
      </c>
      <c r="M3388">
        <v>56.150652197475701</v>
      </c>
      <c r="O3388">
        <v>50.329776333805903</v>
      </c>
      <c r="P3388">
        <v>-0.124447111505483</v>
      </c>
      <c r="Q3388">
        <v>0.55381532179078097</v>
      </c>
      <c r="R3388">
        <v>0.65158616849096895</v>
      </c>
      <c r="S3388" t="s">
        <v>10034</v>
      </c>
      <c r="T3388" t="s">
        <v>13290</v>
      </c>
      <c r="U3388" t="s">
        <v>13290</v>
      </c>
      <c r="V3388" t="s">
        <v>13290</v>
      </c>
      <c r="W3388" t="s">
        <v>16634</v>
      </c>
      <c r="X3388">
        <v>2</v>
      </c>
      <c r="Y3388" t="s">
        <v>23152</v>
      </c>
      <c r="Z3388" t="s">
        <v>29718</v>
      </c>
      <c r="AA3388">
        <v>0.70918241750354649</v>
      </c>
      <c r="AB3388" t="str">
        <f>HYPERLINK("Melting_Curves/meltCurve_Q13433_SLC39A6.pdf", "Melting_Curves/meltCurve_Q13433_SLC39A6.pdf")</f>
        <v>Melting_Curves/meltCurve_Q13433_SLC39A6.pdf</v>
      </c>
    </row>
    <row r="3389" spans="1:28" x14ac:dyDescent="0.25">
      <c r="A3389" t="s">
        <v>3393</v>
      </c>
      <c r="B3389">
        <v>0.99252571173614901</v>
      </c>
      <c r="C3389">
        <v>0.87725908345359105</v>
      </c>
      <c r="D3389">
        <v>0.98547698866039901</v>
      </c>
      <c r="E3389">
        <v>0.91712585366107202</v>
      </c>
      <c r="F3389">
        <v>0.65555902653132803</v>
      </c>
      <c r="G3389">
        <v>0.41688441438859403</v>
      </c>
      <c r="H3389">
        <v>0.35677266799104101</v>
      </c>
      <c r="I3389">
        <v>0.44288311337289898</v>
      </c>
      <c r="J3389">
        <v>0.78144800389069202</v>
      </c>
      <c r="K3389">
        <v>1.35000423671343</v>
      </c>
      <c r="L3389">
        <v>12454.738889424199</v>
      </c>
      <c r="M3389">
        <v>250</v>
      </c>
      <c r="O3389">
        <v>49.815755981086902</v>
      </c>
      <c r="P3389">
        <v>-0.41746499939642301</v>
      </c>
      <c r="Q3389">
        <v>0.66725857069072603</v>
      </c>
      <c r="R3389">
        <v>0.200457711191636</v>
      </c>
      <c r="S3389" t="s">
        <v>10035</v>
      </c>
      <c r="T3389" t="s">
        <v>13290</v>
      </c>
      <c r="U3389" t="s">
        <v>13290</v>
      </c>
      <c r="V3389" t="s">
        <v>13290</v>
      </c>
      <c r="W3389" t="s">
        <v>16635</v>
      </c>
      <c r="X3389">
        <v>32</v>
      </c>
      <c r="Y3389" t="s">
        <v>23153</v>
      </c>
      <c r="Z3389" t="s">
        <v>29719</v>
      </c>
      <c r="AA3389">
        <v>0.77619343965662091</v>
      </c>
      <c r="AB3389" t="str">
        <f>HYPERLINK("Melting_Curves/meltCurve_Q13435_SF3B2.pdf", "Melting_Curves/meltCurve_Q13435_SF3B2.pdf")</f>
        <v>Melting_Curves/meltCurve_Q13435_SF3B2.pdf</v>
      </c>
    </row>
    <row r="3390" spans="1:28" x14ac:dyDescent="0.25">
      <c r="A3390" t="s">
        <v>3394</v>
      </c>
      <c r="B3390">
        <v>0.99252571173614901</v>
      </c>
      <c r="C3390">
        <v>0.89694554283265504</v>
      </c>
      <c r="D3390">
        <v>0.89116375977201201</v>
      </c>
      <c r="E3390">
        <v>0.91217010513074004</v>
      </c>
      <c r="F3390">
        <v>0.43055654577069502</v>
      </c>
      <c r="G3390">
        <v>0.234367840301245</v>
      </c>
      <c r="H3390">
        <v>0.19464887015184901</v>
      </c>
      <c r="I3390">
        <v>0.209274241934335</v>
      </c>
      <c r="J3390">
        <v>0.255648901239864</v>
      </c>
      <c r="K3390">
        <v>0.200411082330992</v>
      </c>
      <c r="L3390">
        <v>2136.0685362530298</v>
      </c>
      <c r="M3390">
        <v>41.105554923243602</v>
      </c>
      <c r="N3390">
        <v>52.679796966808098</v>
      </c>
      <c r="O3390">
        <v>51.842911105077597</v>
      </c>
      <c r="P3390">
        <v>-0.155870550683161</v>
      </c>
      <c r="Q3390">
        <v>0.213656834600882</v>
      </c>
      <c r="R3390">
        <v>0.97843309796563804</v>
      </c>
      <c r="S3390" t="s">
        <v>10036</v>
      </c>
      <c r="T3390" t="s">
        <v>13290</v>
      </c>
      <c r="U3390" t="s">
        <v>13290</v>
      </c>
      <c r="V3390" t="s">
        <v>13290</v>
      </c>
      <c r="W3390" t="s">
        <v>16636</v>
      </c>
      <c r="X3390">
        <v>10</v>
      </c>
      <c r="Y3390" t="s">
        <v>23154</v>
      </c>
      <c r="Z3390" t="s">
        <v>29720</v>
      </c>
      <c r="AA3390">
        <v>0.52996104084557039</v>
      </c>
      <c r="AB3390" t="str">
        <f>HYPERLINK("Melting_Curves/meltCurve_Q13438_4_OS9.pdf", "Melting_Curves/meltCurve_Q13438_4_OS9.pdf")</f>
        <v>Melting_Curves/meltCurve_Q13438_4_OS9.pdf</v>
      </c>
    </row>
    <row r="3391" spans="1:28" x14ac:dyDescent="0.25">
      <c r="A3391" t="s">
        <v>3395</v>
      </c>
      <c r="B3391">
        <v>0.99252571173614901</v>
      </c>
      <c r="C3391">
        <v>0.70760073473807095</v>
      </c>
      <c r="D3391">
        <v>0.247923918645715</v>
      </c>
      <c r="E3391">
        <v>0.178720528632272</v>
      </c>
      <c r="F3391">
        <v>0.12183965309396701</v>
      </c>
      <c r="G3391">
        <v>6.58359078806625E-2</v>
      </c>
      <c r="H3391">
        <v>5.6435583725213401E-2</v>
      </c>
      <c r="I3391">
        <v>6.5955591957937904E-2</v>
      </c>
      <c r="J3391">
        <v>8.7854781791771003E-2</v>
      </c>
      <c r="K3391">
        <v>8.93529190224822E-2</v>
      </c>
      <c r="L3391">
        <v>1412.1186821630199</v>
      </c>
      <c r="M3391">
        <v>32.151727138417499</v>
      </c>
      <c r="N3391">
        <v>44.191577044024498</v>
      </c>
      <c r="O3391">
        <v>43.751575495963898</v>
      </c>
      <c r="P3391">
        <v>-0.16727396496646901</v>
      </c>
      <c r="Q3391">
        <v>8.9508638812439395E-2</v>
      </c>
      <c r="R3391">
        <v>0.99076678926238504</v>
      </c>
      <c r="S3391" t="s">
        <v>10037</v>
      </c>
      <c r="T3391" t="s">
        <v>13290</v>
      </c>
      <c r="U3391" t="s">
        <v>13290</v>
      </c>
      <c r="V3391" t="s">
        <v>13290</v>
      </c>
      <c r="W3391" t="s">
        <v>16637</v>
      </c>
      <c r="X3391">
        <v>55</v>
      </c>
      <c r="Y3391" t="s">
        <v>23155</v>
      </c>
      <c r="Z3391" t="s">
        <v>29721</v>
      </c>
      <c r="AA3391">
        <v>0.21415846566345881</v>
      </c>
      <c r="AB3391" t="str">
        <f>HYPERLINK("Melting_Curves/meltCurve_Q13439_3_GOLGA4.pdf", "Melting_Curves/meltCurve_Q13439_3_GOLGA4.pdf")</f>
        <v>Melting_Curves/meltCurve_Q13439_3_GOLGA4.pdf</v>
      </c>
    </row>
    <row r="3392" spans="1:28" x14ac:dyDescent="0.25">
      <c r="A3392" t="s">
        <v>3396</v>
      </c>
      <c r="B3392">
        <v>0.99252571173614901</v>
      </c>
      <c r="C3392">
        <v>1.06580054553041</v>
      </c>
      <c r="D3392">
        <v>0.99076889207239105</v>
      </c>
      <c r="E3392">
        <v>0.89157667688908404</v>
      </c>
      <c r="F3392">
        <v>0.91570742451907405</v>
      </c>
      <c r="G3392">
        <v>1.19469187576834</v>
      </c>
      <c r="H3392">
        <v>1.5788166971261799</v>
      </c>
      <c r="I3392">
        <v>2.0926864447146301</v>
      </c>
      <c r="J3392">
        <v>3.37871056305393</v>
      </c>
      <c r="K3392">
        <v>3.4606075717744602</v>
      </c>
      <c r="L3392">
        <v>14225.554497696299</v>
      </c>
      <c r="M3392">
        <v>250</v>
      </c>
      <c r="O3392">
        <v>56.898576228074802</v>
      </c>
      <c r="P3392">
        <v>0.54922287848906703</v>
      </c>
      <c r="Q3392">
        <v>1.5</v>
      </c>
      <c r="R3392">
        <v>0.138140483811306</v>
      </c>
      <c r="S3392" t="s">
        <v>10038</v>
      </c>
      <c r="T3392" t="s">
        <v>13290</v>
      </c>
      <c r="U3392" t="s">
        <v>13290</v>
      </c>
      <c r="V3392" t="s">
        <v>13290</v>
      </c>
      <c r="W3392" t="s">
        <v>16638</v>
      </c>
      <c r="X3392">
        <v>19</v>
      </c>
      <c r="Y3392" t="s">
        <v>23156</v>
      </c>
      <c r="Z3392" t="s">
        <v>29722</v>
      </c>
      <c r="AA3392">
        <v>1.218246435566757</v>
      </c>
      <c r="AB3392" t="str">
        <f>HYPERLINK("Melting_Curves/meltCurve_Q13442_PDAP1.pdf", "Melting_Curves/meltCurve_Q13442_PDAP1.pdf")</f>
        <v>Melting_Curves/meltCurve_Q13442_PDAP1.pdf</v>
      </c>
    </row>
    <row r="3393" spans="1:28" x14ac:dyDescent="0.25">
      <c r="A3393" t="s">
        <v>3397</v>
      </c>
      <c r="B3393">
        <v>0.99252571173614901</v>
      </c>
      <c r="C3393">
        <v>0.94710751519858405</v>
      </c>
      <c r="D3393">
        <v>0.92838103930163196</v>
      </c>
      <c r="E3393">
        <v>0.89222106866415496</v>
      </c>
      <c r="F3393">
        <v>0.65449270808235405</v>
      </c>
      <c r="G3393">
        <v>0.50662761464890405</v>
      </c>
      <c r="H3393">
        <v>0.31810121444546702</v>
      </c>
      <c r="I3393">
        <v>0.23089158665388901</v>
      </c>
      <c r="J3393">
        <v>0.30147414712579701</v>
      </c>
      <c r="K3393">
        <v>0.24398926325300499</v>
      </c>
      <c r="L3393">
        <v>886.41321168245304</v>
      </c>
      <c r="M3393">
        <v>16.330384857861599</v>
      </c>
      <c r="N3393">
        <v>56.300272759487903</v>
      </c>
      <c r="O3393">
        <v>53.485624500242899</v>
      </c>
      <c r="P3393">
        <v>-5.9410489458025698E-2</v>
      </c>
      <c r="Q3393">
        <v>0.221726326442785</v>
      </c>
      <c r="R3393">
        <v>0.988691529097244</v>
      </c>
      <c r="S3393" t="s">
        <v>10039</v>
      </c>
      <c r="T3393" t="s">
        <v>13290</v>
      </c>
      <c r="U3393" t="s">
        <v>13290</v>
      </c>
      <c r="V3393" t="s">
        <v>13290</v>
      </c>
      <c r="W3393" t="s">
        <v>16639</v>
      </c>
      <c r="X3393">
        <v>21</v>
      </c>
      <c r="Y3393" t="s">
        <v>23157</v>
      </c>
      <c r="Z3393" t="s">
        <v>29723</v>
      </c>
      <c r="AA3393">
        <v>0.60631467510118675</v>
      </c>
      <c r="AB3393" t="str">
        <f>HYPERLINK("Melting_Curves/meltCurve_Q13443_ADAM9.pdf", "Melting_Curves/meltCurve_Q13443_ADAM9.pdf")</f>
        <v>Melting_Curves/meltCurve_Q13443_ADAM9.pdf</v>
      </c>
    </row>
    <row r="3394" spans="1:28" x14ac:dyDescent="0.25">
      <c r="A3394" t="s">
        <v>3398</v>
      </c>
      <c r="B3394">
        <v>0.99252571173614901</v>
      </c>
      <c r="C3394">
        <v>0.83152071998483201</v>
      </c>
      <c r="D3394">
        <v>0.69070434561076299</v>
      </c>
      <c r="E3394">
        <v>0.60643898434628496</v>
      </c>
      <c r="F3394">
        <v>0.53322948276281501</v>
      </c>
      <c r="G3394">
        <v>0.258045284191048</v>
      </c>
      <c r="H3394">
        <v>0.105315769806944</v>
      </c>
      <c r="I3394">
        <v>9.4030582571646606E-2</v>
      </c>
      <c r="J3394">
        <v>0.17511606532558099</v>
      </c>
      <c r="K3394">
        <v>0.11392005228914701</v>
      </c>
      <c r="L3394">
        <v>489.84708790257901</v>
      </c>
      <c r="M3394">
        <v>9.5509524949852107</v>
      </c>
      <c r="N3394">
        <v>51.446925189991198</v>
      </c>
      <c r="O3394">
        <v>49.190485550816497</v>
      </c>
      <c r="P3394">
        <v>-4.78616851712391E-2</v>
      </c>
      <c r="Q3394">
        <v>1.4558758691054699E-2</v>
      </c>
      <c r="R3394">
        <v>0.96223595606934897</v>
      </c>
      <c r="S3394" t="s">
        <v>10040</v>
      </c>
      <c r="T3394" t="s">
        <v>13290</v>
      </c>
      <c r="U3394" t="s">
        <v>13290</v>
      </c>
      <c r="V3394" t="s">
        <v>13290</v>
      </c>
      <c r="W3394" t="s">
        <v>16640</v>
      </c>
      <c r="X3394">
        <v>4</v>
      </c>
      <c r="Y3394" t="s">
        <v>23158</v>
      </c>
      <c r="Z3394" t="s">
        <v>29724</v>
      </c>
      <c r="AA3394">
        <v>0.42751150135816218</v>
      </c>
      <c r="AB3394" t="str">
        <f>HYPERLINK("Melting_Curves/meltCurve_Q13445_TMED1.pdf", "Melting_Curves/meltCurve_Q13445_TMED1.pdf")</f>
        <v>Melting_Curves/meltCurve_Q13445_TMED1.pdf</v>
      </c>
    </row>
    <row r="3395" spans="1:28" x14ac:dyDescent="0.25">
      <c r="A3395" t="s">
        <v>3399</v>
      </c>
      <c r="B3395">
        <v>0.99252571173614901</v>
      </c>
      <c r="C3395">
        <v>0.93919532022187102</v>
      </c>
      <c r="D3395">
        <v>0.43060444381244201</v>
      </c>
      <c r="E3395">
        <v>0.21543723798971601</v>
      </c>
      <c r="F3395">
        <v>0.13523783939577899</v>
      </c>
      <c r="G3395">
        <v>8.2283099899914905E-2</v>
      </c>
      <c r="H3395">
        <v>6.0559107765550103E-2</v>
      </c>
      <c r="I3395">
        <v>6.2867620450111003E-2</v>
      </c>
      <c r="J3395">
        <v>7.6066957281022501E-2</v>
      </c>
      <c r="K3395">
        <v>7.35071166684058E-2</v>
      </c>
      <c r="L3395">
        <v>1506.9749636408999</v>
      </c>
      <c r="M3395">
        <v>33.098491827175003</v>
      </c>
      <c r="N3395">
        <v>45.7993174373889</v>
      </c>
      <c r="O3395">
        <v>45.364783769323203</v>
      </c>
      <c r="P3395">
        <v>-0.16627367233588999</v>
      </c>
      <c r="Q3395">
        <v>8.8425465119347305E-2</v>
      </c>
      <c r="R3395">
        <v>0.99017783439923401</v>
      </c>
      <c r="S3395" t="s">
        <v>10041</v>
      </c>
      <c r="T3395" t="s">
        <v>13290</v>
      </c>
      <c r="U3395" t="s">
        <v>13290</v>
      </c>
      <c r="V3395" t="s">
        <v>13290</v>
      </c>
      <c r="W3395" t="s">
        <v>16641</v>
      </c>
      <c r="X3395">
        <v>15</v>
      </c>
      <c r="Y3395" t="s">
        <v>23159</v>
      </c>
      <c r="Z3395" t="s">
        <v>29725</v>
      </c>
      <c r="AA3395">
        <v>0.26098136201981542</v>
      </c>
      <c r="AB3395" t="str">
        <f>HYPERLINK("Melting_Curves/meltCurve_Q13451_FKBP5.pdf", "Melting_Curves/meltCurve_Q13451_FKBP5.pdf")</f>
        <v>Melting_Curves/meltCurve_Q13451_FKBP5.pdf</v>
      </c>
    </row>
    <row r="3396" spans="1:28" x14ac:dyDescent="0.25">
      <c r="A3396" t="s">
        <v>3400</v>
      </c>
      <c r="B3396">
        <v>0.99252571173614901</v>
      </c>
      <c r="C3396">
        <v>0.64093385648134904</v>
      </c>
      <c r="D3396">
        <v>1.0880081966903501</v>
      </c>
      <c r="E3396">
        <v>0.58415188634863502</v>
      </c>
      <c r="F3396">
        <v>0.167167609528456</v>
      </c>
      <c r="G3396">
        <v>0.10517259574542499</v>
      </c>
      <c r="H3396">
        <v>7.1219070504508597E-2</v>
      </c>
      <c r="I3396">
        <v>8.0714064780046793E-2</v>
      </c>
      <c r="J3396">
        <v>0.107578209664421</v>
      </c>
      <c r="K3396">
        <v>0.124208983298515</v>
      </c>
      <c r="L3396">
        <v>2839.2118977588302</v>
      </c>
      <c r="M3396">
        <v>57.067655962210999</v>
      </c>
      <c r="N3396">
        <v>49.958118910942297</v>
      </c>
      <c r="O3396">
        <v>49.690698131966897</v>
      </c>
      <c r="P3396">
        <v>-0.25695703945672399</v>
      </c>
      <c r="Q3396">
        <v>0.105036383558647</v>
      </c>
      <c r="R3396">
        <v>0.90061407748229405</v>
      </c>
      <c r="S3396" t="s">
        <v>10042</v>
      </c>
      <c r="T3396" t="s">
        <v>13290</v>
      </c>
      <c r="U3396" t="s">
        <v>13290</v>
      </c>
      <c r="V3396" t="s">
        <v>13290</v>
      </c>
      <c r="W3396" t="s">
        <v>16642</v>
      </c>
      <c r="X3396">
        <v>30</v>
      </c>
      <c r="Y3396" t="s">
        <v>23160</v>
      </c>
      <c r="Z3396" t="s">
        <v>29726</v>
      </c>
      <c r="AA3396">
        <v>0.39745549060090479</v>
      </c>
      <c r="AB3396" t="str">
        <f>HYPERLINK("Melting_Curves/meltCurve_Q13464_ROCK1.pdf", "Melting_Curves/meltCurve_Q13464_ROCK1.pdf")</f>
        <v>Melting_Curves/meltCurve_Q13464_ROCK1.pdf</v>
      </c>
    </row>
    <row r="3397" spans="1:28" x14ac:dyDescent="0.25">
      <c r="A3397" t="s">
        <v>3401</v>
      </c>
      <c r="B3397">
        <v>0.99252571173614901</v>
      </c>
      <c r="C3397">
        <v>1.15787451250202</v>
      </c>
      <c r="D3397">
        <v>1.23253489976897</v>
      </c>
      <c r="E3397">
        <v>1.3439787347207801</v>
      </c>
      <c r="F3397">
        <v>1.0965692207228299</v>
      </c>
      <c r="G3397">
        <v>0.41169434193788201</v>
      </c>
      <c r="H3397">
        <v>8.4368274475394897E-2</v>
      </c>
      <c r="I3397">
        <v>7.4608804561055606E-2</v>
      </c>
      <c r="J3397">
        <v>9.4950942181665193E-2</v>
      </c>
      <c r="K3397">
        <v>0.108137870129383</v>
      </c>
      <c r="L3397">
        <v>14165.6217240285</v>
      </c>
      <c r="M3397">
        <v>250</v>
      </c>
      <c r="N3397">
        <v>56.707789709423402</v>
      </c>
      <c r="O3397">
        <v>56.658860754529002</v>
      </c>
      <c r="P3397">
        <v>-1.0032450436223499</v>
      </c>
      <c r="Q3397">
        <v>9.0516459499383597E-2</v>
      </c>
      <c r="R3397">
        <v>0.92333351935153596</v>
      </c>
      <c r="S3397" t="s">
        <v>10043</v>
      </c>
      <c r="T3397" t="s">
        <v>13290</v>
      </c>
      <c r="U3397" t="s">
        <v>13290</v>
      </c>
      <c r="V3397" t="s">
        <v>13290</v>
      </c>
      <c r="W3397" t="s">
        <v>16643</v>
      </c>
      <c r="X3397">
        <v>3</v>
      </c>
      <c r="Y3397" t="s">
        <v>23161</v>
      </c>
      <c r="Z3397" t="s">
        <v>29727</v>
      </c>
      <c r="AA3397">
        <v>0.59574881935802881</v>
      </c>
      <c r="AB3397" t="str">
        <f>HYPERLINK("Melting_Curves/meltCurve_Q13488_TCIRG1.pdf", "Melting_Curves/meltCurve_Q13488_TCIRG1.pdf")</f>
        <v>Melting_Curves/meltCurve_Q13488_TCIRG1.pdf</v>
      </c>
    </row>
    <row r="3398" spans="1:28" x14ac:dyDescent="0.25">
      <c r="A3398" t="s">
        <v>3402</v>
      </c>
      <c r="B3398">
        <v>0.99252571173614901</v>
      </c>
      <c r="C3398">
        <v>1.0470749394536001</v>
      </c>
      <c r="D3398">
        <v>0.95727462312213896</v>
      </c>
      <c r="E3398">
        <v>0.92547137565686399</v>
      </c>
      <c r="F3398">
        <v>0.561478090764155</v>
      </c>
      <c r="G3398">
        <v>0.14373693523357101</v>
      </c>
      <c r="H3398">
        <v>0.104186008302409</v>
      </c>
      <c r="I3398">
        <v>9.8796056372818394E-2</v>
      </c>
      <c r="J3398">
        <v>0.148651785937431</v>
      </c>
      <c r="K3398">
        <v>0.15336372506587301</v>
      </c>
      <c r="L3398">
        <v>2260.65869258263</v>
      </c>
      <c r="M3398">
        <v>42.545640349976097</v>
      </c>
      <c r="N3398">
        <v>53.478329966625203</v>
      </c>
      <c r="O3398">
        <v>53.017922925775103</v>
      </c>
      <c r="P3398">
        <v>-0.17663839981813101</v>
      </c>
      <c r="Q3398">
        <v>0.119535098730498</v>
      </c>
      <c r="R3398">
        <v>0.994459975549422</v>
      </c>
      <c r="S3398" t="s">
        <v>10044</v>
      </c>
      <c r="T3398" t="s">
        <v>13290</v>
      </c>
      <c r="U3398" t="s">
        <v>13290</v>
      </c>
      <c r="V3398" t="s">
        <v>13290</v>
      </c>
      <c r="W3398" t="s">
        <v>16644</v>
      </c>
      <c r="X3398">
        <v>17</v>
      </c>
      <c r="Y3398" t="s">
        <v>23162</v>
      </c>
      <c r="Z3398" t="s">
        <v>29728</v>
      </c>
      <c r="AA3398">
        <v>0.50788317755534007</v>
      </c>
      <c r="AB3398" t="str">
        <f>HYPERLINK("Melting_Curves/meltCurve_Q13492_2_PICALM.pdf", "Melting_Curves/meltCurve_Q13492_2_PICALM.pdf")</f>
        <v>Melting_Curves/meltCurve_Q13492_2_PICALM.pdf</v>
      </c>
    </row>
    <row r="3399" spans="1:28" x14ac:dyDescent="0.25">
      <c r="A3399" t="s">
        <v>3403</v>
      </c>
      <c r="B3399">
        <v>0.99252571173614901</v>
      </c>
      <c r="C3399">
        <v>0.92345156053045296</v>
      </c>
      <c r="D3399">
        <v>0.98400831018254098</v>
      </c>
      <c r="E3399">
        <v>1.02583563827417</v>
      </c>
      <c r="F3399">
        <v>0.79770609240744805</v>
      </c>
      <c r="G3399">
        <v>0.65524256891565202</v>
      </c>
      <c r="H3399">
        <v>0.483456853884628</v>
      </c>
      <c r="I3399">
        <v>0.177312122877198</v>
      </c>
      <c r="J3399">
        <v>0.13390107669056101</v>
      </c>
      <c r="K3399">
        <v>0.12511825396169399</v>
      </c>
      <c r="L3399">
        <v>911.39898681006002</v>
      </c>
      <c r="M3399">
        <v>15.378486069708</v>
      </c>
      <c r="N3399">
        <v>59.320891411014202</v>
      </c>
      <c r="O3399">
        <v>58.289545311704103</v>
      </c>
      <c r="P3399">
        <v>-6.5485085657086203E-2</v>
      </c>
      <c r="Q3399">
        <v>7.2504862988773903E-3</v>
      </c>
      <c r="R3399">
        <v>0.97936390911774696</v>
      </c>
      <c r="S3399" t="s">
        <v>10045</v>
      </c>
      <c r="T3399" t="s">
        <v>13290</v>
      </c>
      <c r="U3399" t="s">
        <v>13290</v>
      </c>
      <c r="V3399" t="s">
        <v>13290</v>
      </c>
      <c r="W3399" t="s">
        <v>16645</v>
      </c>
      <c r="X3399">
        <v>10</v>
      </c>
      <c r="Y3399" t="s">
        <v>23163</v>
      </c>
      <c r="Z3399" t="s">
        <v>29729</v>
      </c>
      <c r="AA3399">
        <v>0.65442835503353747</v>
      </c>
      <c r="AB3399" t="str">
        <f>HYPERLINK("Melting_Curves/meltCurve_Q13496_MTM1.pdf", "Melting_Curves/meltCurve_Q13496_MTM1.pdf")</f>
        <v>Melting_Curves/meltCurve_Q13496_MTM1.pdf</v>
      </c>
    </row>
    <row r="3400" spans="1:28" x14ac:dyDescent="0.25">
      <c r="A3400" t="s">
        <v>3404</v>
      </c>
      <c r="B3400">
        <v>0.99252571173614901</v>
      </c>
      <c r="C3400">
        <v>0.89791976258318495</v>
      </c>
      <c r="D3400">
        <v>1.0860010384924901</v>
      </c>
      <c r="E3400">
        <v>0.91169338113538601</v>
      </c>
      <c r="F3400">
        <v>0.43465156779522202</v>
      </c>
      <c r="G3400">
        <v>0.26202949649305302</v>
      </c>
      <c r="H3400">
        <v>0.19846807591809701</v>
      </c>
      <c r="I3400">
        <v>0.212751454606986</v>
      </c>
      <c r="J3400">
        <v>0.28254029288080001</v>
      </c>
      <c r="K3400">
        <v>0.29066854805771802</v>
      </c>
      <c r="L3400">
        <v>2361.4606754635602</v>
      </c>
      <c r="M3400">
        <v>45.504454185994803</v>
      </c>
      <c r="N3400">
        <v>52.681179666502999</v>
      </c>
      <c r="O3400">
        <v>51.795248656655097</v>
      </c>
      <c r="P3400">
        <v>-0.165512811918369</v>
      </c>
      <c r="Q3400">
        <v>0.24642426870355599</v>
      </c>
      <c r="R3400">
        <v>0.97921065658980699</v>
      </c>
      <c r="S3400" t="s">
        <v>10046</v>
      </c>
      <c r="T3400" t="s">
        <v>13290</v>
      </c>
      <c r="U3400" t="s">
        <v>13290</v>
      </c>
      <c r="V3400" t="s">
        <v>13290</v>
      </c>
      <c r="W3400" t="s">
        <v>16646</v>
      </c>
      <c r="X3400">
        <v>7</v>
      </c>
      <c r="Y3400" t="s">
        <v>23164</v>
      </c>
      <c r="Z3400" t="s">
        <v>29730</v>
      </c>
      <c r="AA3400">
        <v>0.54730566117116342</v>
      </c>
      <c r="AB3400" t="str">
        <f>HYPERLINK("Melting_Curves/meltCurve_Q13501_SQSTM1.pdf", "Melting_Curves/meltCurve_Q13501_SQSTM1.pdf")</f>
        <v>Melting_Curves/meltCurve_Q13501_SQSTM1.pdf</v>
      </c>
    </row>
    <row r="3401" spans="1:28" x14ac:dyDescent="0.25">
      <c r="A3401" t="s">
        <v>3405</v>
      </c>
      <c r="B3401">
        <v>0.99252571173614901</v>
      </c>
      <c r="C3401">
        <v>0.96374138637891604</v>
      </c>
      <c r="D3401">
        <v>0.88009385833007603</v>
      </c>
      <c r="E3401">
        <v>0.78659541921682496</v>
      </c>
      <c r="F3401">
        <v>0.65627061366144201</v>
      </c>
      <c r="G3401">
        <v>0.32266339602524602</v>
      </c>
      <c r="H3401">
        <v>0.158328270677418</v>
      </c>
      <c r="I3401">
        <v>0.113190441489551</v>
      </c>
      <c r="J3401">
        <v>0.11066809542600201</v>
      </c>
      <c r="K3401">
        <v>0.102124845281682</v>
      </c>
      <c r="L3401">
        <v>829.00465685682502</v>
      </c>
      <c r="M3401">
        <v>15.341781165658899</v>
      </c>
      <c r="N3401">
        <v>54.395541989019499</v>
      </c>
      <c r="O3401">
        <v>53.142631769946</v>
      </c>
      <c r="P3401">
        <v>-6.8696837946015707E-2</v>
      </c>
      <c r="Q3401">
        <v>4.8247925016703698E-2</v>
      </c>
      <c r="R3401">
        <v>0.98982922279424002</v>
      </c>
      <c r="S3401" t="s">
        <v>10047</v>
      </c>
      <c r="T3401" t="s">
        <v>13290</v>
      </c>
      <c r="U3401" t="s">
        <v>13290</v>
      </c>
      <c r="V3401" t="s">
        <v>13290</v>
      </c>
      <c r="W3401" t="s">
        <v>16647</v>
      </c>
      <c r="X3401">
        <v>14</v>
      </c>
      <c r="Y3401" t="s">
        <v>23165</v>
      </c>
      <c r="Z3401" t="s">
        <v>29731</v>
      </c>
      <c r="AA3401">
        <v>0.5124818598710037</v>
      </c>
      <c r="AB3401" t="str">
        <f>HYPERLINK("Melting_Curves/meltCurve_Q13505_3_MTX1.pdf", "Melting_Curves/meltCurve_Q13505_3_MTX1.pdf")</f>
        <v>Melting_Curves/meltCurve_Q13505_3_MTX1.pdf</v>
      </c>
    </row>
    <row r="3402" spans="1:28" x14ac:dyDescent="0.25">
      <c r="A3402" t="s">
        <v>3406</v>
      </c>
      <c r="B3402">
        <v>0.99252571173614901</v>
      </c>
      <c r="C3402">
        <v>0.99348817106351195</v>
      </c>
      <c r="D3402">
        <v>1.0084654043554999</v>
      </c>
      <c r="E3402">
        <v>0.98642110461891797</v>
      </c>
      <c r="F3402">
        <v>0.91472700626792602</v>
      </c>
      <c r="G3402">
        <v>0.70712893462631599</v>
      </c>
      <c r="H3402">
        <v>0.44905313028477201</v>
      </c>
      <c r="I3402">
        <v>0.14611836885683199</v>
      </c>
      <c r="J3402">
        <v>0.121889733503919</v>
      </c>
      <c r="K3402">
        <v>0.109267004269685</v>
      </c>
      <c r="L3402">
        <v>1259.4771428655299</v>
      </c>
      <c r="M3402">
        <v>21.2706163296087</v>
      </c>
      <c r="N3402">
        <v>59.501720781234901</v>
      </c>
      <c r="O3402">
        <v>58.6961547201008</v>
      </c>
      <c r="P3402">
        <v>-8.6142931446479901E-2</v>
      </c>
      <c r="Q3402">
        <v>4.9180305817158099E-2</v>
      </c>
      <c r="R3402">
        <v>0.99422564204906505</v>
      </c>
      <c r="S3402" t="s">
        <v>10048</v>
      </c>
      <c r="T3402" t="s">
        <v>13290</v>
      </c>
      <c r="U3402" t="s">
        <v>13290</v>
      </c>
      <c r="V3402" t="s">
        <v>13290</v>
      </c>
      <c r="W3402" t="s">
        <v>16648</v>
      </c>
      <c r="X3402">
        <v>35</v>
      </c>
      <c r="Y3402" t="s">
        <v>23166</v>
      </c>
      <c r="Z3402" t="s">
        <v>29732</v>
      </c>
      <c r="AA3402">
        <v>0.66699645070444924</v>
      </c>
      <c r="AB3402" t="str">
        <f>HYPERLINK("Melting_Curves/meltCurve_Q13509_TUBB3.pdf", "Melting_Curves/meltCurve_Q13509_TUBB3.pdf")</f>
        <v>Melting_Curves/meltCurve_Q13509_TUBB3.pdf</v>
      </c>
    </row>
    <row r="3403" spans="1:28" x14ac:dyDescent="0.25">
      <c r="A3403" t="s">
        <v>3407</v>
      </c>
      <c r="B3403">
        <v>0.99252571173614901</v>
      </c>
      <c r="C3403">
        <v>1.0778360638103599</v>
      </c>
      <c r="D3403">
        <v>0.93760602176043195</v>
      </c>
      <c r="E3403">
        <v>0.63823511838938096</v>
      </c>
      <c r="F3403">
        <v>0.30550463570319902</v>
      </c>
      <c r="G3403">
        <v>0.20396727820451799</v>
      </c>
      <c r="H3403">
        <v>0.15902645668523799</v>
      </c>
      <c r="I3403">
        <v>0.17097433001745899</v>
      </c>
      <c r="J3403">
        <v>0.215229297267751</v>
      </c>
      <c r="K3403">
        <v>0.23945512793260099</v>
      </c>
      <c r="L3403">
        <v>1574.81683620015</v>
      </c>
      <c r="M3403">
        <v>31.5377962088529</v>
      </c>
      <c r="N3403">
        <v>50.728764989953902</v>
      </c>
      <c r="O3403">
        <v>49.734784513252102</v>
      </c>
      <c r="P3403">
        <v>-0.12763480195931401</v>
      </c>
      <c r="Q3403">
        <v>0.194889046564552</v>
      </c>
      <c r="R3403">
        <v>0.99096359344947704</v>
      </c>
      <c r="S3403" t="s">
        <v>10049</v>
      </c>
      <c r="T3403" t="s">
        <v>13290</v>
      </c>
      <c r="U3403" t="s">
        <v>13290</v>
      </c>
      <c r="V3403" t="s">
        <v>13290</v>
      </c>
      <c r="W3403" t="s">
        <v>16649</v>
      </c>
      <c r="X3403">
        <v>7</v>
      </c>
      <c r="Y3403" t="s">
        <v>23167</v>
      </c>
      <c r="Z3403" t="s">
        <v>29733</v>
      </c>
      <c r="AA3403">
        <v>0.46599088315292359</v>
      </c>
      <c r="AB3403" t="str">
        <f>HYPERLINK("Melting_Curves/meltCurve_Q13526_PIN1.pdf", "Melting_Curves/meltCurve_Q13526_PIN1.pdf")</f>
        <v>Melting_Curves/meltCurve_Q13526_PIN1.pdf</v>
      </c>
    </row>
    <row r="3404" spans="1:28" x14ac:dyDescent="0.25">
      <c r="A3404" t="s">
        <v>3408</v>
      </c>
      <c r="B3404">
        <v>0.99252571173614901</v>
      </c>
      <c r="C3404">
        <v>0.87467979579154698</v>
      </c>
      <c r="D3404">
        <v>1.0156672439118699</v>
      </c>
      <c r="E3404">
        <v>0.84463226346075204</v>
      </c>
      <c r="F3404">
        <v>0.17504787532782001</v>
      </c>
      <c r="G3404">
        <v>0.10486393276605301</v>
      </c>
      <c r="H3404">
        <v>8.2657979667373704E-2</v>
      </c>
      <c r="I3404">
        <v>7.7484837379098601E-2</v>
      </c>
      <c r="J3404">
        <v>0.119759224412693</v>
      </c>
      <c r="K3404">
        <v>0.123963257214644</v>
      </c>
      <c r="L3404">
        <v>2925.2999531186001</v>
      </c>
      <c r="M3404">
        <v>57.408691990295502</v>
      </c>
      <c r="N3404">
        <v>51.157493355975497</v>
      </c>
      <c r="O3404">
        <v>50.893976923196099</v>
      </c>
      <c r="P3404">
        <v>-0.25343028799747203</v>
      </c>
      <c r="Q3404">
        <v>0.101315924978666</v>
      </c>
      <c r="R3404">
        <v>0.98907963697962697</v>
      </c>
      <c r="S3404" t="s">
        <v>10050</v>
      </c>
      <c r="T3404" t="s">
        <v>13290</v>
      </c>
      <c r="U3404" t="s">
        <v>13290</v>
      </c>
      <c r="V3404" t="s">
        <v>13290</v>
      </c>
      <c r="W3404" t="s">
        <v>16650</v>
      </c>
      <c r="X3404">
        <v>8</v>
      </c>
      <c r="Y3404" t="s">
        <v>23168</v>
      </c>
      <c r="Z3404" t="s">
        <v>29734</v>
      </c>
      <c r="AA3404">
        <v>0.43103644409229602</v>
      </c>
      <c r="AB3404" t="str">
        <f>HYPERLINK("Melting_Curves/meltCurve_Q13535_3_ATR.pdf", "Melting_Curves/meltCurve_Q13535_3_ATR.pdf")</f>
        <v>Melting_Curves/meltCurve_Q13535_3_ATR.pdf</v>
      </c>
    </row>
    <row r="3405" spans="1:28" x14ac:dyDescent="0.25">
      <c r="A3405" t="s">
        <v>3409</v>
      </c>
      <c r="B3405">
        <v>0.99252571173614901</v>
      </c>
      <c r="C3405">
        <v>1.0947323502361499</v>
      </c>
      <c r="D3405">
        <v>0.98008829911990802</v>
      </c>
      <c r="E3405">
        <v>0.93205721647054696</v>
      </c>
      <c r="F3405">
        <v>0.75032526525856802</v>
      </c>
      <c r="G3405">
        <v>0.58709792697368501</v>
      </c>
      <c r="H3405">
        <v>0.55942516189765101</v>
      </c>
      <c r="I3405">
        <v>0.69855524314473705</v>
      </c>
      <c r="J3405">
        <v>1.05484776956389</v>
      </c>
      <c r="K3405">
        <v>1.12602299371626</v>
      </c>
      <c r="L3405">
        <v>12434.4260245923</v>
      </c>
      <c r="M3405">
        <v>250</v>
      </c>
      <c r="O3405">
        <v>49.734521293431101</v>
      </c>
      <c r="P3405">
        <v>-0.25630370748046799</v>
      </c>
      <c r="Q3405">
        <v>0.79604572540346896</v>
      </c>
      <c r="R3405">
        <v>0.260215023872998</v>
      </c>
      <c r="S3405" t="s">
        <v>10051</v>
      </c>
      <c r="T3405" t="s">
        <v>13290</v>
      </c>
      <c r="U3405" t="s">
        <v>13290</v>
      </c>
      <c r="V3405" t="s">
        <v>13290</v>
      </c>
      <c r="W3405" t="s">
        <v>16651</v>
      </c>
      <c r="X3405">
        <v>10</v>
      </c>
      <c r="Y3405" t="s">
        <v>23169</v>
      </c>
      <c r="Z3405" t="s">
        <v>29735</v>
      </c>
      <c r="AA3405">
        <v>0.86226507420100795</v>
      </c>
      <c r="AB3405" t="str">
        <f>HYPERLINK("Melting_Curves/meltCurve_Q13541_EIF4EBP1.pdf", "Melting_Curves/meltCurve_Q13541_EIF4EBP1.pdf")</f>
        <v>Melting_Curves/meltCurve_Q13541_EIF4EBP1.pdf</v>
      </c>
    </row>
    <row r="3406" spans="1:28" x14ac:dyDescent="0.25">
      <c r="A3406" t="s">
        <v>3410</v>
      </c>
      <c r="B3406">
        <v>0.99252571173614901</v>
      </c>
      <c r="C3406">
        <v>1.0859822935882</v>
      </c>
      <c r="D3406">
        <v>0.96630250277405105</v>
      </c>
      <c r="E3406">
        <v>0.87394358227008995</v>
      </c>
      <c r="F3406">
        <v>0.77842735552453401</v>
      </c>
      <c r="G3406">
        <v>0.56969805844988697</v>
      </c>
      <c r="H3406">
        <v>0.51543254378498804</v>
      </c>
      <c r="I3406">
        <v>0.54753886470596502</v>
      </c>
      <c r="J3406">
        <v>0.70407863427605799</v>
      </c>
      <c r="K3406">
        <v>0.71114267868683301</v>
      </c>
      <c r="L3406">
        <v>1462.2443235688199</v>
      </c>
      <c r="M3406">
        <v>28.377941554944101</v>
      </c>
      <c r="O3406">
        <v>51.2736571723228</v>
      </c>
      <c r="P3406">
        <v>-5.39195836359204E-2</v>
      </c>
      <c r="Q3406">
        <v>0.61031256986943705</v>
      </c>
      <c r="R3406">
        <v>0.86319254295189796</v>
      </c>
      <c r="S3406" t="s">
        <v>10052</v>
      </c>
      <c r="T3406" t="s">
        <v>13290</v>
      </c>
      <c r="U3406" t="s">
        <v>13290</v>
      </c>
      <c r="V3406" t="s">
        <v>13290</v>
      </c>
      <c r="W3406" t="s">
        <v>16652</v>
      </c>
      <c r="X3406">
        <v>3</v>
      </c>
      <c r="Y3406" t="s">
        <v>23170</v>
      </c>
      <c r="Z3406" t="s">
        <v>29736</v>
      </c>
      <c r="AA3406">
        <v>0.76280984168596588</v>
      </c>
      <c r="AB3406" t="str">
        <f>HYPERLINK("Melting_Curves/meltCurve_Q13542_EIF4EBP2.pdf", "Melting_Curves/meltCurve_Q13542_EIF4EBP2.pdf")</f>
        <v>Melting_Curves/meltCurve_Q13542_EIF4EBP2.pdf</v>
      </c>
    </row>
    <row r="3407" spans="1:28" x14ac:dyDescent="0.25">
      <c r="A3407" t="s">
        <v>3411</v>
      </c>
      <c r="B3407">
        <v>0.99252571173614901</v>
      </c>
      <c r="C3407">
        <v>0.91751075433459905</v>
      </c>
      <c r="D3407">
        <v>0.54069487454339304</v>
      </c>
      <c r="E3407">
        <v>0.20053192370799999</v>
      </c>
      <c r="F3407">
        <v>0.102872098243357</v>
      </c>
      <c r="G3407">
        <v>5.8283367933420899E-2</v>
      </c>
      <c r="H3407">
        <v>4.6271084338581597E-2</v>
      </c>
      <c r="I3407">
        <v>5.1771640652935998E-2</v>
      </c>
      <c r="J3407">
        <v>7.7248504236302806E-2</v>
      </c>
      <c r="K3407">
        <v>7.4817267879458096E-2</v>
      </c>
      <c r="L3407">
        <v>1271.6195755881499</v>
      </c>
      <c r="M3407">
        <v>27.541038481462099</v>
      </c>
      <c r="N3407">
        <v>46.404708054185399</v>
      </c>
      <c r="O3407">
        <v>45.930440956129502</v>
      </c>
      <c r="P3407">
        <v>-0.14023165907858501</v>
      </c>
      <c r="Q3407">
        <v>6.4546105161413903E-2</v>
      </c>
      <c r="R3407">
        <v>0.99837873001869204</v>
      </c>
      <c r="S3407" t="s">
        <v>10053</v>
      </c>
      <c r="T3407" t="s">
        <v>13290</v>
      </c>
      <c r="U3407" t="s">
        <v>13290</v>
      </c>
      <c r="V3407" t="s">
        <v>13290</v>
      </c>
      <c r="W3407" t="s">
        <v>16653</v>
      </c>
      <c r="X3407">
        <v>8</v>
      </c>
      <c r="Y3407" t="s">
        <v>23171</v>
      </c>
      <c r="Z3407" t="s">
        <v>29737</v>
      </c>
      <c r="AA3407">
        <v>0.26386980698062112</v>
      </c>
      <c r="AB3407" t="str">
        <f>HYPERLINK("Melting_Curves/meltCurve_Q13546_RIPK1.pdf", "Melting_Curves/meltCurve_Q13546_RIPK1.pdf")</f>
        <v>Melting_Curves/meltCurve_Q13546_RIPK1.pdf</v>
      </c>
    </row>
    <row r="3408" spans="1:28" x14ac:dyDescent="0.25">
      <c r="A3408" t="s">
        <v>3412</v>
      </c>
      <c r="B3408">
        <v>0.99252571173614901</v>
      </c>
      <c r="C3408">
        <v>0.86809365809639205</v>
      </c>
      <c r="D3408">
        <v>0.89750467670841905</v>
      </c>
      <c r="E3408">
        <v>0.58254841388106604</v>
      </c>
      <c r="F3408">
        <v>0.21637172098516499</v>
      </c>
      <c r="G3408">
        <v>0.104344848626768</v>
      </c>
      <c r="H3408">
        <v>7.6014381686102195E-2</v>
      </c>
      <c r="I3408">
        <v>8.5201447998637894E-2</v>
      </c>
      <c r="J3408">
        <v>0.106420741949807</v>
      </c>
      <c r="K3408">
        <v>0.116564075400792</v>
      </c>
      <c r="L3408">
        <v>1252.4121345823901</v>
      </c>
      <c r="M3408">
        <v>25.172328983653301</v>
      </c>
      <c r="N3408">
        <v>50.128376905995303</v>
      </c>
      <c r="O3408">
        <v>49.442731975855601</v>
      </c>
      <c r="P3408">
        <v>-0.116362635294445</v>
      </c>
      <c r="Q3408">
        <v>8.5788338641980794E-2</v>
      </c>
      <c r="R3408">
        <v>0.98782408975571301</v>
      </c>
      <c r="S3408" t="s">
        <v>10054</v>
      </c>
      <c r="T3408" t="s">
        <v>13290</v>
      </c>
      <c r="U3408" t="s">
        <v>13290</v>
      </c>
      <c r="V3408" t="s">
        <v>13290</v>
      </c>
      <c r="W3408" t="s">
        <v>16654</v>
      </c>
      <c r="X3408">
        <v>10</v>
      </c>
      <c r="Y3408" t="s">
        <v>23172</v>
      </c>
      <c r="Z3408" t="s">
        <v>29738</v>
      </c>
      <c r="AA3408">
        <v>0.39105329844587972</v>
      </c>
      <c r="AB3408" t="str">
        <f>HYPERLINK("Melting_Curves/meltCurve_Q13547_HDAC1.pdf", "Melting_Curves/meltCurve_Q13547_HDAC1.pdf")</f>
        <v>Melting_Curves/meltCurve_Q13547_HDAC1.pdf</v>
      </c>
    </row>
    <row r="3409" spans="1:28" x14ac:dyDescent="0.25">
      <c r="A3409" t="s">
        <v>3413</v>
      </c>
      <c r="B3409">
        <v>0.99252571173614901</v>
      </c>
      <c r="C3409">
        <v>1.0035236292470799</v>
      </c>
      <c r="D3409">
        <v>0.955470687227025</v>
      </c>
      <c r="E3409">
        <v>0.62812326871379598</v>
      </c>
      <c r="F3409">
        <v>0.17002078291272299</v>
      </c>
      <c r="G3409">
        <v>9.0973926020282703E-2</v>
      </c>
      <c r="H3409">
        <v>6.2635489074383502E-2</v>
      </c>
      <c r="I3409">
        <v>6.3572209016363193E-2</v>
      </c>
      <c r="J3409">
        <v>7.6270215376087705E-2</v>
      </c>
      <c r="K3409">
        <v>7.4958946646309907E-2</v>
      </c>
      <c r="L3409">
        <v>1796.3391272415199</v>
      </c>
      <c r="M3409">
        <v>35.823730542039598</v>
      </c>
      <c r="N3409">
        <v>50.354967847488403</v>
      </c>
      <c r="O3409">
        <v>49.988350529719497</v>
      </c>
      <c r="P3409">
        <v>-0.166667255040958</v>
      </c>
      <c r="Q3409">
        <v>6.9734643137475794E-2</v>
      </c>
      <c r="R3409">
        <v>0.999729690171694</v>
      </c>
      <c r="S3409" t="s">
        <v>10055</v>
      </c>
      <c r="T3409" t="s">
        <v>13290</v>
      </c>
      <c r="U3409" t="s">
        <v>13290</v>
      </c>
      <c r="V3409" t="s">
        <v>13290</v>
      </c>
      <c r="W3409" t="s">
        <v>16655</v>
      </c>
      <c r="X3409">
        <v>25</v>
      </c>
      <c r="Y3409" t="s">
        <v>23173</v>
      </c>
      <c r="Z3409" t="s">
        <v>29739</v>
      </c>
      <c r="AA3409">
        <v>0.3883126396112106</v>
      </c>
      <c r="AB3409" t="str">
        <f>HYPERLINK("Melting_Curves/meltCurve_Q13564_NAE1.pdf", "Melting_Curves/meltCurve_Q13564_NAE1.pdf")</f>
        <v>Melting_Curves/meltCurve_Q13564_NAE1.pdf</v>
      </c>
    </row>
    <row r="3410" spans="1:28" x14ac:dyDescent="0.25">
      <c r="A3410" t="s">
        <v>3414</v>
      </c>
      <c r="B3410">
        <v>0.99252571173614901</v>
      </c>
      <c r="C3410">
        <v>0.99699305225754198</v>
      </c>
      <c r="D3410">
        <v>0.82459063728557103</v>
      </c>
      <c r="E3410">
        <v>0.53462270975525805</v>
      </c>
      <c r="F3410">
        <v>0.23593414416008501</v>
      </c>
      <c r="G3410">
        <v>0.11417071401126901</v>
      </c>
      <c r="H3410">
        <v>7.9368613053731593E-2</v>
      </c>
      <c r="I3410">
        <v>8.4199280257285194E-2</v>
      </c>
      <c r="J3410">
        <v>7.9447433014525906E-2</v>
      </c>
      <c r="K3410">
        <v>5.9370055172549799E-2</v>
      </c>
      <c r="L3410">
        <v>1059.44025194695</v>
      </c>
      <c r="M3410">
        <v>21.402684899623601</v>
      </c>
      <c r="N3410">
        <v>49.832749646733198</v>
      </c>
      <c r="O3410">
        <v>49.074263376245597</v>
      </c>
      <c r="P3410">
        <v>-0.101781682432886</v>
      </c>
      <c r="Q3410">
        <v>6.6521073471336803E-2</v>
      </c>
      <c r="R3410">
        <v>0.99865545311188797</v>
      </c>
      <c r="S3410" t="s">
        <v>10056</v>
      </c>
      <c r="T3410" t="s">
        <v>13290</v>
      </c>
      <c r="U3410" t="s">
        <v>13290</v>
      </c>
      <c r="V3410" t="s">
        <v>13290</v>
      </c>
      <c r="W3410" t="s">
        <v>16656</v>
      </c>
      <c r="X3410">
        <v>5</v>
      </c>
      <c r="Y3410" t="s">
        <v>23174</v>
      </c>
      <c r="Z3410" t="s">
        <v>29740</v>
      </c>
      <c r="AA3410">
        <v>0.37350722194325919</v>
      </c>
      <c r="AB3410" t="str">
        <f>HYPERLINK("Melting_Curves/meltCurve_Q13572_ITPK1.pdf", "Melting_Curves/meltCurve_Q13572_ITPK1.pdf")</f>
        <v>Melting_Curves/meltCurve_Q13572_ITPK1.pdf</v>
      </c>
    </row>
    <row r="3411" spans="1:28" x14ac:dyDescent="0.25">
      <c r="A3411" t="s">
        <v>3415</v>
      </c>
      <c r="B3411">
        <v>0.99252571173614901</v>
      </c>
      <c r="C3411">
        <v>1.07078541645798</v>
      </c>
      <c r="D3411">
        <v>1.0184712369518401</v>
      </c>
      <c r="E3411">
        <v>0.97782108084658004</v>
      </c>
      <c r="F3411">
        <v>0.65047537271220901</v>
      </c>
      <c r="G3411">
        <v>0.44254914720663502</v>
      </c>
      <c r="H3411">
        <v>0.32232943737012498</v>
      </c>
      <c r="I3411">
        <v>0.36621540399416502</v>
      </c>
      <c r="J3411">
        <v>0.61420988490416395</v>
      </c>
      <c r="K3411">
        <v>0.89549918485281399</v>
      </c>
      <c r="L3411">
        <v>13244.141246331599</v>
      </c>
      <c r="M3411">
        <v>250</v>
      </c>
      <c r="O3411">
        <v>52.973192290705903</v>
      </c>
      <c r="P3411">
        <v>-0.55669613653025796</v>
      </c>
      <c r="Q3411">
        <v>0.52816061141349202</v>
      </c>
      <c r="R3411">
        <v>0.70415655724161197</v>
      </c>
      <c r="S3411" t="s">
        <v>10057</v>
      </c>
      <c r="T3411" t="s">
        <v>13290</v>
      </c>
      <c r="U3411" t="s">
        <v>13290</v>
      </c>
      <c r="V3411" t="s">
        <v>13290</v>
      </c>
      <c r="W3411" t="s">
        <v>16657</v>
      </c>
      <c r="X3411">
        <v>33</v>
      </c>
      <c r="Y3411" t="s">
        <v>23175</v>
      </c>
      <c r="Z3411" t="s">
        <v>29741</v>
      </c>
      <c r="AA3411">
        <v>0.73229962938015147</v>
      </c>
      <c r="AB3411" t="str">
        <f>HYPERLINK("Melting_Curves/meltCurve_Q13573_SNW1.pdf", "Melting_Curves/meltCurve_Q13573_SNW1.pdf")</f>
        <v>Melting_Curves/meltCurve_Q13573_SNW1.pdf</v>
      </c>
    </row>
    <row r="3412" spans="1:28" x14ac:dyDescent="0.25">
      <c r="A3412" t="s">
        <v>3416</v>
      </c>
      <c r="B3412">
        <v>0.99252571173614901</v>
      </c>
      <c r="C3412">
        <v>0.94512187221632105</v>
      </c>
      <c r="D3412">
        <v>0.87626885688562595</v>
      </c>
      <c r="E3412">
        <v>0.65521923967086504</v>
      </c>
      <c r="F3412">
        <v>0.22600566251615301</v>
      </c>
      <c r="G3412">
        <v>0.13431540393142299</v>
      </c>
      <c r="H3412">
        <v>0.104129472899643</v>
      </c>
      <c r="I3412">
        <v>0.109976646719465</v>
      </c>
      <c r="J3412">
        <v>0.16901600399203401</v>
      </c>
      <c r="K3412">
        <v>0.156267214098577</v>
      </c>
      <c r="L3412">
        <v>1440.8708856767</v>
      </c>
      <c r="M3412">
        <v>28.7972032561863</v>
      </c>
      <c r="N3412">
        <v>50.538607012517701</v>
      </c>
      <c r="O3412">
        <v>49.795677256023303</v>
      </c>
      <c r="P3412">
        <v>-0.12654797301295101</v>
      </c>
      <c r="Q3412">
        <v>0.124707533966654</v>
      </c>
      <c r="R3412">
        <v>0.99052919582365695</v>
      </c>
      <c r="S3412" t="s">
        <v>10058</v>
      </c>
      <c r="T3412" t="s">
        <v>13290</v>
      </c>
      <c r="U3412" t="s">
        <v>13290</v>
      </c>
      <c r="V3412" t="s">
        <v>13290</v>
      </c>
      <c r="W3412" t="s">
        <v>16658</v>
      </c>
      <c r="X3412">
        <v>4</v>
      </c>
      <c r="Y3412" t="s">
        <v>23176</v>
      </c>
      <c r="Z3412" t="s">
        <v>29742</v>
      </c>
      <c r="AA3412">
        <v>0.42337994561865733</v>
      </c>
      <c r="AB3412" t="str">
        <f>HYPERLINK("Melting_Curves/meltCurve_Q13586_STIM1.pdf", "Melting_Curves/meltCurve_Q13586_STIM1.pdf")</f>
        <v>Melting_Curves/meltCurve_Q13586_STIM1.pdf</v>
      </c>
    </row>
    <row r="3413" spans="1:28" x14ac:dyDescent="0.25">
      <c r="A3413" t="s">
        <v>3417</v>
      </c>
      <c r="B3413">
        <v>0.99252571173614901</v>
      </c>
      <c r="C3413">
        <v>0.95580382686367604</v>
      </c>
      <c r="D3413">
        <v>0.844935451250449</v>
      </c>
      <c r="E3413">
        <v>0.534862643462655</v>
      </c>
      <c r="F3413">
        <v>0.17537032466667499</v>
      </c>
      <c r="G3413">
        <v>8.6130530400315999E-2</v>
      </c>
      <c r="H3413">
        <v>6.00105981090997E-2</v>
      </c>
      <c r="I3413">
        <v>5.9905349533889402E-2</v>
      </c>
      <c r="J3413">
        <v>6.9241845882009503E-2</v>
      </c>
      <c r="K3413">
        <v>6.5202420374393694E-2</v>
      </c>
      <c r="L3413">
        <v>1185.1801964312101</v>
      </c>
      <c r="M3413">
        <v>23.975127772676</v>
      </c>
      <c r="N3413">
        <v>49.6726759656692</v>
      </c>
      <c r="O3413">
        <v>49.093673216782001</v>
      </c>
      <c r="P3413">
        <v>-0.115441313280827</v>
      </c>
      <c r="Q3413">
        <v>5.4462076620776498E-2</v>
      </c>
      <c r="R3413">
        <v>0.99827259437593596</v>
      </c>
      <c r="S3413" t="s">
        <v>10059</v>
      </c>
      <c r="T3413" t="s">
        <v>13290</v>
      </c>
      <c r="U3413" t="s">
        <v>13290</v>
      </c>
      <c r="V3413" t="s">
        <v>13290</v>
      </c>
      <c r="W3413" t="s">
        <v>16659</v>
      </c>
      <c r="X3413">
        <v>21</v>
      </c>
      <c r="Y3413" t="s">
        <v>23177</v>
      </c>
      <c r="Z3413" t="s">
        <v>29743</v>
      </c>
      <c r="AA3413">
        <v>0.3609480715515942</v>
      </c>
      <c r="AB3413" t="str">
        <f>HYPERLINK("Melting_Curves/meltCurve_Q13596_SNX1.pdf", "Melting_Curves/meltCurve_Q13596_SNX1.pdf")</f>
        <v>Melting_Curves/meltCurve_Q13596_SNX1.pdf</v>
      </c>
    </row>
    <row r="3414" spans="1:28" x14ac:dyDescent="0.25">
      <c r="A3414" t="s">
        <v>3418</v>
      </c>
      <c r="B3414">
        <v>0.99252571173614901</v>
      </c>
      <c r="C3414">
        <v>1.0757329586625199</v>
      </c>
      <c r="D3414">
        <v>0.70604989212978098</v>
      </c>
      <c r="E3414">
        <v>0.33334625027234699</v>
      </c>
      <c r="F3414">
        <v>0.206548928850004</v>
      </c>
      <c r="G3414">
        <v>0.113655868565048</v>
      </c>
      <c r="H3414">
        <v>7.73406314346545E-2</v>
      </c>
      <c r="I3414">
        <v>8.7288565915130303E-2</v>
      </c>
      <c r="J3414">
        <v>0.124369037790221</v>
      </c>
      <c r="K3414">
        <v>0.125494153808591</v>
      </c>
      <c r="L3414">
        <v>1321.0884321833601</v>
      </c>
      <c r="M3414">
        <v>27.7857809316973</v>
      </c>
      <c r="N3414">
        <v>47.985496107367901</v>
      </c>
      <c r="O3414">
        <v>47.301262983632803</v>
      </c>
      <c r="P3414">
        <v>-0.13034135130643701</v>
      </c>
      <c r="Q3414">
        <v>0.112458946437051</v>
      </c>
      <c r="R3414">
        <v>0.98496482317847001</v>
      </c>
      <c r="S3414" t="s">
        <v>10060</v>
      </c>
      <c r="T3414" t="s">
        <v>13290</v>
      </c>
      <c r="U3414" t="s">
        <v>13290</v>
      </c>
      <c r="V3414" t="s">
        <v>13290</v>
      </c>
      <c r="W3414" t="s">
        <v>16660</v>
      </c>
      <c r="X3414">
        <v>4</v>
      </c>
      <c r="Y3414" t="s">
        <v>23178</v>
      </c>
      <c r="Z3414" t="s">
        <v>29744</v>
      </c>
      <c r="AA3414">
        <v>0.34195769581604002</v>
      </c>
      <c r="AB3414" t="str">
        <f>HYPERLINK("Melting_Curves/meltCurve_Q13601_2_KRR1.pdf", "Melting_Curves/meltCurve_Q13601_2_KRR1.pdf")</f>
        <v>Melting_Curves/meltCurve_Q13601_2_KRR1.pdf</v>
      </c>
    </row>
    <row r="3415" spans="1:28" x14ac:dyDescent="0.25">
      <c r="A3415" t="s">
        <v>3419</v>
      </c>
      <c r="B3415">
        <v>0.99252571173614901</v>
      </c>
      <c r="C3415">
        <v>0.87351948954674896</v>
      </c>
      <c r="D3415">
        <v>1.0165955194354399</v>
      </c>
      <c r="E3415">
        <v>0.95390789100155204</v>
      </c>
      <c r="F3415">
        <v>0.67420685710602601</v>
      </c>
      <c r="G3415">
        <v>0.37378333291480897</v>
      </c>
      <c r="H3415">
        <v>0.18246706106906499</v>
      </c>
      <c r="I3415">
        <v>0.124892789363165</v>
      </c>
      <c r="J3415">
        <v>8.0539444115294706E-2</v>
      </c>
      <c r="K3415">
        <v>7.7803958399702403E-2</v>
      </c>
      <c r="L3415">
        <v>1227.60261588505</v>
      </c>
      <c r="M3415">
        <v>22.373974659442101</v>
      </c>
      <c r="N3415">
        <v>55.283532128810101</v>
      </c>
      <c r="O3415">
        <v>54.434768701086398</v>
      </c>
      <c r="P3415">
        <v>-9.47951633216573E-2</v>
      </c>
      <c r="Q3415">
        <v>7.7491582165623393E-2</v>
      </c>
      <c r="R3415">
        <v>0.98765233151051401</v>
      </c>
      <c r="S3415" t="s">
        <v>10061</v>
      </c>
      <c r="T3415" t="s">
        <v>13290</v>
      </c>
      <c r="U3415" t="s">
        <v>13290</v>
      </c>
      <c r="V3415" t="s">
        <v>13290</v>
      </c>
      <c r="W3415" t="s">
        <v>16661</v>
      </c>
      <c r="X3415">
        <v>6</v>
      </c>
      <c r="Y3415" t="s">
        <v>23179</v>
      </c>
      <c r="Z3415" t="s">
        <v>29745</v>
      </c>
      <c r="AA3415">
        <v>0.54498863198559844</v>
      </c>
      <c r="AB3415" t="str">
        <f>HYPERLINK("Melting_Curves/meltCurve_Q13608_PEX6.pdf", "Melting_Curves/meltCurve_Q13608_PEX6.pdf")</f>
        <v>Melting_Curves/meltCurve_Q13608_PEX6.pdf</v>
      </c>
    </row>
    <row r="3416" spans="1:28" x14ac:dyDescent="0.25">
      <c r="A3416" t="s">
        <v>3420</v>
      </c>
      <c r="B3416">
        <v>0.99252571173614901</v>
      </c>
      <c r="C3416">
        <v>0.99322834915691904</v>
      </c>
      <c r="D3416">
        <v>0.962197140781761</v>
      </c>
      <c r="E3416">
        <v>0.78609448877663402</v>
      </c>
      <c r="F3416">
        <v>0.44305658640700701</v>
      </c>
      <c r="G3416">
        <v>0.26655507120003902</v>
      </c>
      <c r="H3416">
        <v>0.12930194979257201</v>
      </c>
      <c r="I3416">
        <v>9.2236368475816496E-2</v>
      </c>
      <c r="J3416">
        <v>0.10035451566127999</v>
      </c>
      <c r="K3416">
        <v>9.0111545923052899E-2</v>
      </c>
      <c r="L3416">
        <v>1085.65213230164</v>
      </c>
      <c r="M3416">
        <v>20.745820286339601</v>
      </c>
      <c r="N3416">
        <v>52.812404882409503</v>
      </c>
      <c r="O3416">
        <v>51.8521664735283</v>
      </c>
      <c r="P3416">
        <v>-9.1411423818521895E-2</v>
      </c>
      <c r="Q3416">
        <v>8.6129771883306602E-2</v>
      </c>
      <c r="R3416">
        <v>0.99864388773417401</v>
      </c>
      <c r="S3416" t="s">
        <v>10062</v>
      </c>
      <c r="T3416" t="s">
        <v>13290</v>
      </c>
      <c r="U3416" t="s">
        <v>13290</v>
      </c>
      <c r="V3416" t="s">
        <v>13290</v>
      </c>
      <c r="W3416" t="s">
        <v>16662</v>
      </c>
      <c r="X3416">
        <v>22</v>
      </c>
      <c r="Y3416" t="s">
        <v>23180</v>
      </c>
      <c r="Z3416" t="s">
        <v>29746</v>
      </c>
      <c r="AA3416">
        <v>0.47359539640703618</v>
      </c>
      <c r="AB3416" t="str">
        <f>HYPERLINK("Melting_Curves/meltCurve_Q13614_MTMR2.pdf", "Melting_Curves/meltCurve_Q13614_MTMR2.pdf")</f>
        <v>Melting_Curves/meltCurve_Q13614_MTMR2.pdf</v>
      </c>
    </row>
    <row r="3417" spans="1:28" x14ac:dyDescent="0.25">
      <c r="A3417" t="s">
        <v>3421</v>
      </c>
      <c r="B3417">
        <v>0.99252571173614901</v>
      </c>
      <c r="C3417">
        <v>0.90313553981619599</v>
      </c>
      <c r="D3417">
        <v>0.92565550601996904</v>
      </c>
      <c r="E3417">
        <v>0.77247584519797696</v>
      </c>
      <c r="F3417">
        <v>0.38450409643792099</v>
      </c>
      <c r="G3417">
        <v>0.197235797670713</v>
      </c>
      <c r="H3417">
        <v>9.7681442443309605E-2</v>
      </c>
      <c r="I3417">
        <v>7.9911176379417595E-2</v>
      </c>
      <c r="J3417">
        <v>0.12627580412626599</v>
      </c>
      <c r="K3417">
        <v>8.4759053555643102E-2</v>
      </c>
      <c r="L3417">
        <v>1181.08246142046</v>
      </c>
      <c r="M3417">
        <v>22.852624194290801</v>
      </c>
      <c r="N3417">
        <v>52.113609271899797</v>
      </c>
      <c r="O3417">
        <v>51.291703873542801</v>
      </c>
      <c r="P3417">
        <v>-0.10179625820058601</v>
      </c>
      <c r="Q3417">
        <v>8.6108760472660195E-2</v>
      </c>
      <c r="R3417">
        <v>0.99199137216165301</v>
      </c>
      <c r="S3417" t="s">
        <v>10063</v>
      </c>
      <c r="T3417" t="s">
        <v>13290</v>
      </c>
      <c r="U3417" t="s">
        <v>13290</v>
      </c>
      <c r="V3417" t="s">
        <v>13290</v>
      </c>
      <c r="W3417" t="s">
        <v>16663</v>
      </c>
      <c r="X3417">
        <v>3</v>
      </c>
      <c r="Y3417" t="s">
        <v>23181</v>
      </c>
      <c r="Z3417" t="s">
        <v>29747</v>
      </c>
      <c r="AA3417">
        <v>0.45187642193205252</v>
      </c>
      <c r="AB3417" t="str">
        <f>HYPERLINK("Melting_Curves/meltCurve_Q13615_3_MTMR3.pdf", "Melting_Curves/meltCurve_Q13615_3_MTMR3.pdf")</f>
        <v>Melting_Curves/meltCurve_Q13615_3_MTMR3.pdf</v>
      </c>
    </row>
    <row r="3418" spans="1:28" x14ac:dyDescent="0.25">
      <c r="A3418" t="s">
        <v>3422</v>
      </c>
      <c r="B3418">
        <v>0.99252571173614901</v>
      </c>
      <c r="C3418">
        <v>0.93657127886167901</v>
      </c>
      <c r="D3418">
        <v>1.1853607631866601</v>
      </c>
      <c r="E3418">
        <v>1.3237589960779601</v>
      </c>
      <c r="F3418">
        <v>1.25548399713944</v>
      </c>
      <c r="G3418">
        <v>0.95575876056698195</v>
      </c>
      <c r="H3418">
        <v>0.51526778612981206</v>
      </c>
      <c r="I3418">
        <v>0.11242020711897099</v>
      </c>
      <c r="J3418">
        <v>0.11281432682518901</v>
      </c>
      <c r="K3418">
        <v>9.6782820010599194E-2</v>
      </c>
      <c r="L3418">
        <v>3806.6254412472199</v>
      </c>
      <c r="M3418">
        <v>62.771969003003598</v>
      </c>
      <c r="N3418">
        <v>60.849992732290197</v>
      </c>
      <c r="O3418">
        <v>60.580666018930799</v>
      </c>
      <c r="P3418">
        <v>-0.234044941278267</v>
      </c>
      <c r="Q3418">
        <v>9.6501589805881194E-2</v>
      </c>
      <c r="R3418">
        <v>0.90470557766621196</v>
      </c>
      <c r="S3418" t="s">
        <v>10064</v>
      </c>
      <c r="T3418" t="s">
        <v>13290</v>
      </c>
      <c r="U3418" t="s">
        <v>13290</v>
      </c>
      <c r="V3418" t="s">
        <v>13290</v>
      </c>
      <c r="W3418" t="s">
        <v>16664</v>
      </c>
      <c r="X3418">
        <v>30</v>
      </c>
      <c r="Y3418" t="s">
        <v>23182</v>
      </c>
      <c r="Z3418" t="s">
        <v>29748</v>
      </c>
      <c r="AA3418">
        <v>0.71969353113342016</v>
      </c>
      <c r="AB3418" t="str">
        <f>HYPERLINK("Melting_Curves/meltCurve_Q13616_CUL1.pdf", "Melting_Curves/meltCurve_Q13616_CUL1.pdf")</f>
        <v>Melting_Curves/meltCurve_Q13616_CUL1.pdf</v>
      </c>
    </row>
    <row r="3419" spans="1:28" x14ac:dyDescent="0.25">
      <c r="A3419" t="s">
        <v>3423</v>
      </c>
      <c r="B3419">
        <v>0.99252571173614901</v>
      </c>
      <c r="C3419">
        <v>0.97066236831255903</v>
      </c>
      <c r="D3419">
        <v>1.05140202304988</v>
      </c>
      <c r="E3419">
        <v>1.0418914200131699</v>
      </c>
      <c r="F3419">
        <v>0.77490075502942601</v>
      </c>
      <c r="G3419">
        <v>0.19139466458110099</v>
      </c>
      <c r="H3419">
        <v>0.106443209510033</v>
      </c>
      <c r="I3419">
        <v>9.61778615635141E-2</v>
      </c>
      <c r="J3419">
        <v>0.114580765264271</v>
      </c>
      <c r="K3419">
        <v>0.102501990166934</v>
      </c>
      <c r="L3419">
        <v>2861.8679701947099</v>
      </c>
      <c r="M3419">
        <v>52.681595876478298</v>
      </c>
      <c r="N3419">
        <v>54.567844071466297</v>
      </c>
      <c r="O3419">
        <v>54.245759519462602</v>
      </c>
      <c r="P3419">
        <v>-0.217315463532955</v>
      </c>
      <c r="Q3419">
        <v>0.104929610117244</v>
      </c>
      <c r="R3419">
        <v>0.99669816787056997</v>
      </c>
      <c r="S3419" t="s">
        <v>10065</v>
      </c>
      <c r="T3419" t="s">
        <v>13290</v>
      </c>
      <c r="U3419" t="s">
        <v>13290</v>
      </c>
      <c r="V3419" t="s">
        <v>13290</v>
      </c>
      <c r="W3419" t="s">
        <v>16665</v>
      </c>
      <c r="X3419">
        <v>31</v>
      </c>
      <c r="Y3419" t="s">
        <v>23183</v>
      </c>
      <c r="Z3419" t="s">
        <v>29749</v>
      </c>
      <c r="AA3419">
        <v>0.53422243181391627</v>
      </c>
      <c r="AB3419" t="str">
        <f>HYPERLINK("Melting_Curves/meltCurve_Q13617_CUL2.pdf", "Melting_Curves/meltCurve_Q13617_CUL2.pdf")</f>
        <v>Melting_Curves/meltCurve_Q13617_CUL2.pdf</v>
      </c>
    </row>
    <row r="3420" spans="1:28" x14ac:dyDescent="0.25">
      <c r="A3420" t="s">
        <v>3424</v>
      </c>
      <c r="B3420">
        <v>0.99252571173614901</v>
      </c>
      <c r="C3420">
        <v>0.92927127043199798</v>
      </c>
      <c r="D3420">
        <v>1.1231473323715899</v>
      </c>
      <c r="E3420">
        <v>1.1679329740976401</v>
      </c>
      <c r="F3420">
        <v>1.05837851502175</v>
      </c>
      <c r="G3420">
        <v>0.25408361121114498</v>
      </c>
      <c r="H3420">
        <v>0.119425056183908</v>
      </c>
      <c r="I3420">
        <v>0.103477286637294</v>
      </c>
      <c r="J3420">
        <v>0.117126660310421</v>
      </c>
      <c r="K3420">
        <v>0.105037865031019</v>
      </c>
      <c r="L3420">
        <v>14106.1068185723</v>
      </c>
      <c r="M3420">
        <v>250</v>
      </c>
      <c r="N3420">
        <v>56.4812959157112</v>
      </c>
      <c r="O3420">
        <v>56.420820260916202</v>
      </c>
      <c r="P3420">
        <v>-0.98449181137165198</v>
      </c>
      <c r="Q3420">
        <v>0.111266691850587</v>
      </c>
      <c r="R3420">
        <v>0.97573115166369595</v>
      </c>
      <c r="S3420" t="s">
        <v>10066</v>
      </c>
      <c r="T3420" t="s">
        <v>13290</v>
      </c>
      <c r="U3420" t="s">
        <v>13290</v>
      </c>
      <c r="V3420" t="s">
        <v>13290</v>
      </c>
      <c r="W3420" t="s">
        <v>16666</v>
      </c>
      <c r="X3420">
        <v>42</v>
      </c>
      <c r="Y3420" t="s">
        <v>23184</v>
      </c>
      <c r="Z3420" t="s">
        <v>29750</v>
      </c>
      <c r="AA3420">
        <v>0.59791921730160702</v>
      </c>
      <c r="AB3420" t="str">
        <f>HYPERLINK("Melting_Curves/meltCurve_Q13618_CUL3.pdf", "Melting_Curves/meltCurve_Q13618_CUL3.pdf")</f>
        <v>Melting_Curves/meltCurve_Q13618_CUL3.pdf</v>
      </c>
    </row>
    <row r="3421" spans="1:28" x14ac:dyDescent="0.25">
      <c r="A3421" t="s">
        <v>3425</v>
      </c>
      <c r="B3421">
        <v>0.99252571173614901</v>
      </c>
      <c r="C3421">
        <v>0.90326550505372805</v>
      </c>
      <c r="D3421">
        <v>1.0920942914918299</v>
      </c>
      <c r="E3421">
        <v>0.82793784695617101</v>
      </c>
      <c r="F3421">
        <v>0.22735972206790001</v>
      </c>
      <c r="G3421">
        <v>0.14736560104712401</v>
      </c>
      <c r="H3421">
        <v>0.102905774508008</v>
      </c>
      <c r="I3421">
        <v>0.102019417648419</v>
      </c>
      <c r="J3421">
        <v>0.114904985791869</v>
      </c>
      <c r="K3421">
        <v>0.10467207695401499</v>
      </c>
      <c r="L3421">
        <v>2478.2200868248501</v>
      </c>
      <c r="M3421">
        <v>48.503840864449401</v>
      </c>
      <c r="N3421">
        <v>51.364536489637203</v>
      </c>
      <c r="O3421">
        <v>51.006650184908203</v>
      </c>
      <c r="P3421">
        <v>-0.21087407805250299</v>
      </c>
      <c r="Q3421">
        <v>0.11297993585428</v>
      </c>
      <c r="R3421">
        <v>0.98816124582147602</v>
      </c>
      <c r="S3421" t="s">
        <v>10067</v>
      </c>
      <c r="T3421" t="s">
        <v>13290</v>
      </c>
      <c r="U3421" t="s">
        <v>13290</v>
      </c>
      <c r="V3421" t="s">
        <v>13290</v>
      </c>
      <c r="W3421" t="s">
        <v>16667</v>
      </c>
      <c r="X3421">
        <v>24</v>
      </c>
      <c r="Y3421" t="s">
        <v>23185</v>
      </c>
      <c r="Z3421" t="s">
        <v>29751</v>
      </c>
      <c r="AA3421">
        <v>0.44310352581530588</v>
      </c>
      <c r="AB3421" t="str">
        <f>HYPERLINK("Melting_Curves/meltCurve_Q13619_CUL4A.pdf", "Melting_Curves/meltCurve_Q13619_CUL4A.pdf")</f>
        <v>Melting_Curves/meltCurve_Q13619_CUL4A.pdf</v>
      </c>
    </row>
    <row r="3422" spans="1:28" x14ac:dyDescent="0.25">
      <c r="A3422" t="s">
        <v>3426</v>
      </c>
      <c r="B3422">
        <v>0.99252571173614901</v>
      </c>
      <c r="C3422">
        <v>1.0806416099841201</v>
      </c>
      <c r="D3422">
        <v>1.0397666029517401</v>
      </c>
      <c r="E3422">
        <v>1.0497443947112399</v>
      </c>
      <c r="F3422">
        <v>0.86656007689942105</v>
      </c>
      <c r="G3422">
        <v>0.73437740076737901</v>
      </c>
      <c r="H3422">
        <v>0.57549962594724202</v>
      </c>
      <c r="I3422">
        <v>0.133180626678226</v>
      </c>
      <c r="J3422">
        <v>0.14562996343061699</v>
      </c>
      <c r="K3422">
        <v>0.13986627879771801</v>
      </c>
      <c r="L3422">
        <v>1196.2736721527001</v>
      </c>
      <c r="M3422">
        <v>19.930215618699599</v>
      </c>
      <c r="N3422">
        <v>60.286633931744298</v>
      </c>
      <c r="O3422">
        <v>59.428634026688599</v>
      </c>
      <c r="P3422">
        <v>-8.0346242112877705E-2</v>
      </c>
      <c r="Q3422">
        <v>4.17144608476884E-2</v>
      </c>
      <c r="R3422">
        <v>0.96664566844739097</v>
      </c>
      <c r="S3422" t="s">
        <v>10068</v>
      </c>
      <c r="T3422" t="s">
        <v>13290</v>
      </c>
      <c r="U3422" t="s">
        <v>13290</v>
      </c>
      <c r="V3422" t="s">
        <v>13290</v>
      </c>
      <c r="W3422" t="s">
        <v>16668</v>
      </c>
      <c r="X3422">
        <v>20</v>
      </c>
      <c r="Y3422" t="s">
        <v>23186</v>
      </c>
      <c r="Z3422" t="s">
        <v>29752</v>
      </c>
      <c r="AA3422">
        <v>0.68927918157107337</v>
      </c>
      <c r="AB3422" t="str">
        <f>HYPERLINK("Melting_Curves/meltCurve_Q13630_TSTA3.pdf", "Melting_Curves/meltCurve_Q13630_TSTA3.pdf")</f>
        <v>Melting_Curves/meltCurve_Q13630_TSTA3.pdf</v>
      </c>
    </row>
    <row r="3423" spans="1:28" x14ac:dyDescent="0.25">
      <c r="A3423" t="s">
        <v>3427</v>
      </c>
      <c r="B3423">
        <v>0.99252571173614901</v>
      </c>
      <c r="C3423">
        <v>1.01667462990506</v>
      </c>
      <c r="D3423">
        <v>0.93332532283882896</v>
      </c>
      <c r="E3423">
        <v>0.870060615531282</v>
      </c>
      <c r="F3423">
        <v>0.70345972966125903</v>
      </c>
      <c r="G3423">
        <v>0.56487787491327701</v>
      </c>
      <c r="H3423">
        <v>0.40166112981226598</v>
      </c>
      <c r="I3423">
        <v>0.41993953377892801</v>
      </c>
      <c r="J3423">
        <v>0.60827624283923099</v>
      </c>
      <c r="K3423">
        <v>0.50783253651028504</v>
      </c>
      <c r="L3423">
        <v>1190.6332918235</v>
      </c>
      <c r="M3423">
        <v>22.8482230628046</v>
      </c>
      <c r="N3423">
        <v>61.178765954847101</v>
      </c>
      <c r="O3423">
        <v>51.716273515297097</v>
      </c>
      <c r="P3423">
        <v>-5.7093774156197701E-2</v>
      </c>
      <c r="Q3423">
        <v>0.48308958352992498</v>
      </c>
      <c r="R3423">
        <v>0.93305530203542097</v>
      </c>
      <c r="S3423" t="s">
        <v>10069</v>
      </c>
      <c r="T3423" t="s">
        <v>13290</v>
      </c>
      <c r="U3423" t="s">
        <v>13290</v>
      </c>
      <c r="V3423" t="s">
        <v>13290</v>
      </c>
      <c r="W3423" t="s">
        <v>16669</v>
      </c>
      <c r="X3423">
        <v>16</v>
      </c>
      <c r="Y3423" t="s">
        <v>23187</v>
      </c>
      <c r="Z3423" t="s">
        <v>29753</v>
      </c>
      <c r="AA3423">
        <v>0.69736209858183118</v>
      </c>
      <c r="AB3423" t="str">
        <f>HYPERLINK("Melting_Curves/meltCurve_Q13641_TPBG.pdf", "Melting_Curves/meltCurve_Q13641_TPBG.pdf")</f>
        <v>Melting_Curves/meltCurve_Q13641_TPBG.pdf</v>
      </c>
    </row>
    <row r="3424" spans="1:28" x14ac:dyDescent="0.25">
      <c r="A3424" t="s">
        <v>3428</v>
      </c>
      <c r="B3424">
        <v>0.99252571173614901</v>
      </c>
      <c r="C3424">
        <v>1.1083344053498601</v>
      </c>
      <c r="D3424">
        <v>0.98632028629124302</v>
      </c>
      <c r="E3424">
        <v>0.98099147265146702</v>
      </c>
      <c r="F3424">
        <v>0.83573179151030397</v>
      </c>
      <c r="G3424">
        <v>0.76398824206944005</v>
      </c>
      <c r="H3424">
        <v>0.77205053665712797</v>
      </c>
      <c r="I3424">
        <v>0.95268067051858196</v>
      </c>
      <c r="J3424">
        <v>1.0652948823991299</v>
      </c>
      <c r="K3424">
        <v>0.80629982551128598</v>
      </c>
      <c r="L3424">
        <v>12489.275054198401</v>
      </c>
      <c r="M3424">
        <v>250</v>
      </c>
      <c r="O3424">
        <v>49.953917460706599</v>
      </c>
      <c r="P3424">
        <v>-0.167644988534284</v>
      </c>
      <c r="Q3424">
        <v>0.86600765527013301</v>
      </c>
      <c r="R3424">
        <v>0.39414545446282001</v>
      </c>
      <c r="S3424" t="s">
        <v>10070</v>
      </c>
      <c r="T3424" t="s">
        <v>13290</v>
      </c>
      <c r="U3424" t="s">
        <v>13290</v>
      </c>
      <c r="V3424" t="s">
        <v>13290</v>
      </c>
      <c r="W3424" t="s">
        <v>16670</v>
      </c>
      <c r="X3424">
        <v>11</v>
      </c>
      <c r="Y3424" t="s">
        <v>23188</v>
      </c>
      <c r="Z3424" t="s">
        <v>29754</v>
      </c>
      <c r="AA3424">
        <v>0.91049190973131933</v>
      </c>
      <c r="AB3424" t="str">
        <f>HYPERLINK("Melting_Curves/meltCurve_Q13642_1_FHL1.pdf", "Melting_Curves/meltCurve_Q13642_1_FHL1.pdf")</f>
        <v>Melting_Curves/meltCurve_Q13642_1_FHL1.pdf</v>
      </c>
    </row>
    <row r="3425" spans="1:28" x14ac:dyDescent="0.25">
      <c r="A3425" t="s">
        <v>3429</v>
      </c>
      <c r="B3425">
        <v>0.99252571173614901</v>
      </c>
      <c r="C3425">
        <v>1.0574400518051701</v>
      </c>
      <c r="D3425">
        <v>0.98153550966548198</v>
      </c>
      <c r="E3425">
        <v>1.0400359158533501</v>
      </c>
      <c r="F3425">
        <v>0.65163435190883201</v>
      </c>
      <c r="G3425">
        <v>0.48063762627865197</v>
      </c>
      <c r="H3425">
        <v>0.379855090920592</v>
      </c>
      <c r="I3425">
        <v>0.45942654429117702</v>
      </c>
      <c r="J3425">
        <v>0.47583423829705901</v>
      </c>
      <c r="K3425">
        <v>0.39260701526429798</v>
      </c>
      <c r="L3425">
        <v>6066.4707108777002</v>
      </c>
      <c r="M3425">
        <v>114.517391482048</v>
      </c>
      <c r="N3425">
        <v>53.954724873751701</v>
      </c>
      <c r="O3425">
        <v>52.958081233979797</v>
      </c>
      <c r="P3425">
        <v>-0.304034266975449</v>
      </c>
      <c r="Q3425">
        <v>0.437602597960356</v>
      </c>
      <c r="R3425">
        <v>0.98106762014834703</v>
      </c>
      <c r="S3425" t="s">
        <v>10071</v>
      </c>
      <c r="T3425" t="s">
        <v>13290</v>
      </c>
      <c r="U3425" t="s">
        <v>13290</v>
      </c>
      <c r="V3425" t="s">
        <v>13290</v>
      </c>
      <c r="W3425" t="s">
        <v>16671</v>
      </c>
      <c r="X3425">
        <v>4</v>
      </c>
      <c r="Y3425" t="s">
        <v>23189</v>
      </c>
      <c r="Z3425" t="s">
        <v>29755</v>
      </c>
      <c r="AA3425">
        <v>0.68107444281567164</v>
      </c>
      <c r="AB3425" t="str">
        <f>HYPERLINK("Melting_Curves/meltCurve_Q13643_FHL3.pdf", "Melting_Curves/meltCurve_Q13643_FHL3.pdf")</f>
        <v>Melting_Curves/meltCurve_Q13643_FHL3.pdf</v>
      </c>
    </row>
    <row r="3426" spans="1:28" x14ac:dyDescent="0.25">
      <c r="A3426" t="s">
        <v>3430</v>
      </c>
      <c r="B3426">
        <v>0.99252571173614901</v>
      </c>
      <c r="C3426">
        <v>0.99262104741334201</v>
      </c>
      <c r="D3426">
        <v>0.75688083972920595</v>
      </c>
      <c r="E3426">
        <v>0.42940296511332099</v>
      </c>
      <c r="F3426">
        <v>0.25212769271513702</v>
      </c>
      <c r="G3426">
        <v>0.13979807097382799</v>
      </c>
      <c r="H3426">
        <v>0.102260922770941</v>
      </c>
      <c r="I3426">
        <v>0.120827086455326</v>
      </c>
      <c r="J3426">
        <v>0.14278949708179201</v>
      </c>
      <c r="K3426">
        <v>0.14910127861438799</v>
      </c>
      <c r="L3426">
        <v>1076.4719402738899</v>
      </c>
      <c r="M3426">
        <v>22.325655526219599</v>
      </c>
      <c r="N3426">
        <v>48.8569310038353</v>
      </c>
      <c r="O3426">
        <v>47.834964514927997</v>
      </c>
      <c r="P3426">
        <v>-0.101887024628704</v>
      </c>
      <c r="Q3426">
        <v>0.12680557933036499</v>
      </c>
      <c r="R3426">
        <v>0.99557793234745695</v>
      </c>
      <c r="S3426" t="s">
        <v>10072</v>
      </c>
      <c r="T3426" t="s">
        <v>13290</v>
      </c>
      <c r="U3426" t="s">
        <v>13290</v>
      </c>
      <c r="V3426" t="s">
        <v>13290</v>
      </c>
      <c r="W3426" t="s">
        <v>16672</v>
      </c>
      <c r="X3426">
        <v>4</v>
      </c>
      <c r="Y3426" t="s">
        <v>23190</v>
      </c>
      <c r="Z3426" t="s">
        <v>29756</v>
      </c>
      <c r="AA3426">
        <v>0.37576719949398762</v>
      </c>
      <c r="AB3426" t="str">
        <f>HYPERLINK("Melting_Curves/meltCurve_Q13686_ALKBH1.pdf", "Melting_Curves/meltCurve_Q13686_ALKBH1.pdf")</f>
        <v>Melting_Curves/meltCurve_Q13686_ALKBH1.pdf</v>
      </c>
    </row>
    <row r="3427" spans="1:28" x14ac:dyDescent="0.25">
      <c r="A3427" t="s">
        <v>3431</v>
      </c>
      <c r="B3427">
        <v>0.99252571173614901</v>
      </c>
      <c r="C3427">
        <v>0.94419020167022905</v>
      </c>
      <c r="D3427">
        <v>0.902746335904133</v>
      </c>
      <c r="E3427">
        <v>0.70554239983024503</v>
      </c>
      <c r="F3427">
        <v>0.28612667354023602</v>
      </c>
      <c r="G3427">
        <v>0.13856415728430699</v>
      </c>
      <c r="H3427">
        <v>0.104141328799338</v>
      </c>
      <c r="I3427">
        <v>0.114098989439259</v>
      </c>
      <c r="J3427">
        <v>0.14364507866672499</v>
      </c>
      <c r="K3427">
        <v>0.132305881430931</v>
      </c>
      <c r="L3427">
        <v>1410.96432186127</v>
      </c>
      <c r="M3427">
        <v>27.873552172454701</v>
      </c>
      <c r="N3427">
        <v>51.1019811113974</v>
      </c>
      <c r="O3427">
        <v>50.361765879515097</v>
      </c>
      <c r="P3427">
        <v>-0.122379964869278</v>
      </c>
      <c r="Q3427">
        <v>0.11554589083700099</v>
      </c>
      <c r="R3427">
        <v>0.99474092861434404</v>
      </c>
      <c r="S3427" t="s">
        <v>10073</v>
      </c>
      <c r="T3427" t="s">
        <v>13290</v>
      </c>
      <c r="U3427" t="s">
        <v>13290</v>
      </c>
      <c r="V3427" t="s">
        <v>13290</v>
      </c>
      <c r="W3427" t="s">
        <v>16673</v>
      </c>
      <c r="X3427">
        <v>25</v>
      </c>
      <c r="Y3427" t="s">
        <v>23191</v>
      </c>
      <c r="Z3427" t="s">
        <v>29757</v>
      </c>
      <c r="AA3427">
        <v>0.43505306414227729</v>
      </c>
      <c r="AB3427" t="str">
        <f>HYPERLINK("Melting_Curves/meltCurve_Q13724_MOGS.pdf", "Melting_Curves/meltCurve_Q13724_MOGS.pdf")</f>
        <v>Melting_Curves/meltCurve_Q13724_MOGS.pdf</v>
      </c>
    </row>
    <row r="3428" spans="1:28" x14ac:dyDescent="0.25">
      <c r="A3428" t="s">
        <v>3432</v>
      </c>
      <c r="B3428">
        <v>0.99252571173614901</v>
      </c>
      <c r="C3428">
        <v>0.92712619762866999</v>
      </c>
      <c r="D3428">
        <v>0.77086126617288697</v>
      </c>
      <c r="E3428">
        <v>0.70917272198445702</v>
      </c>
      <c r="F3428">
        <v>0.53794543638834103</v>
      </c>
      <c r="G3428">
        <v>0.30798608689003198</v>
      </c>
      <c r="H3428">
        <v>0.20944149497041201</v>
      </c>
      <c r="I3428">
        <v>0.16359188968292401</v>
      </c>
      <c r="J3428">
        <v>0.18175766007265501</v>
      </c>
      <c r="K3428">
        <v>0.16540750263581899</v>
      </c>
      <c r="L3428">
        <v>602.10670837207897</v>
      </c>
      <c r="M3428">
        <v>11.5744833512315</v>
      </c>
      <c r="N3428">
        <v>52.999000282245397</v>
      </c>
      <c r="O3428">
        <v>50.5400920144127</v>
      </c>
      <c r="P3428">
        <v>-5.1758710332103601E-2</v>
      </c>
      <c r="Q3428">
        <v>9.6230927279507994E-2</v>
      </c>
      <c r="R3428">
        <v>0.98750452197018102</v>
      </c>
      <c r="S3428" t="s">
        <v>10074</v>
      </c>
      <c r="T3428" t="s">
        <v>13290</v>
      </c>
      <c r="U3428" t="s">
        <v>13290</v>
      </c>
      <c r="V3428" t="s">
        <v>13290</v>
      </c>
      <c r="W3428" t="s">
        <v>16674</v>
      </c>
      <c r="X3428">
        <v>12</v>
      </c>
      <c r="Y3428" t="s">
        <v>23192</v>
      </c>
      <c r="Z3428" t="s">
        <v>29758</v>
      </c>
      <c r="AA3428">
        <v>0.48725321434299129</v>
      </c>
      <c r="AB3428" t="str">
        <f>HYPERLINK("Melting_Curves/meltCurve_Q13733_ATP1A4.pdf", "Melting_Curves/meltCurve_Q13733_ATP1A4.pdf")</f>
        <v>Melting_Curves/meltCurve_Q13733_ATP1A4.pdf</v>
      </c>
    </row>
    <row r="3429" spans="1:28" x14ac:dyDescent="0.25">
      <c r="A3429" t="s">
        <v>3433</v>
      </c>
      <c r="B3429">
        <v>0.99252571173614901</v>
      </c>
      <c r="C3429">
        <v>0.93914967592369802</v>
      </c>
      <c r="D3429">
        <v>0.87111685850716902</v>
      </c>
      <c r="E3429">
        <v>0.78836381111775</v>
      </c>
      <c r="F3429">
        <v>0.63869688406880298</v>
      </c>
      <c r="G3429">
        <v>0.55380620395596603</v>
      </c>
      <c r="H3429">
        <v>0.41790824523349401</v>
      </c>
      <c r="I3429">
        <v>0.429555918947855</v>
      </c>
      <c r="J3429">
        <v>0.59823457915963596</v>
      </c>
      <c r="K3429">
        <v>0.45824755106604098</v>
      </c>
      <c r="L3429">
        <v>750.87405801895898</v>
      </c>
      <c r="M3429">
        <v>14.9155854299166</v>
      </c>
      <c r="N3429">
        <v>60.879129006444501</v>
      </c>
      <c r="O3429">
        <v>49.4626937714403</v>
      </c>
      <c r="P3429">
        <v>-4.0549510060351401E-2</v>
      </c>
      <c r="Q3429">
        <v>0.46217864972199402</v>
      </c>
      <c r="R3429">
        <v>0.93490155906271299</v>
      </c>
      <c r="S3429" t="s">
        <v>10075</v>
      </c>
      <c r="T3429" t="s">
        <v>13290</v>
      </c>
      <c r="U3429" t="s">
        <v>13290</v>
      </c>
      <c r="V3429" t="s">
        <v>13290</v>
      </c>
      <c r="W3429" t="s">
        <v>16675</v>
      </c>
      <c r="X3429">
        <v>31</v>
      </c>
      <c r="Y3429" t="s">
        <v>23193</v>
      </c>
      <c r="Z3429" t="s">
        <v>29759</v>
      </c>
      <c r="AA3429">
        <v>0.66038655296764226</v>
      </c>
      <c r="AB3429" t="str">
        <f>HYPERLINK("Melting_Curves/meltCurve_Q13740_2_ALCAM.pdf", "Melting_Curves/meltCurve_Q13740_2_ALCAM.pdf")</f>
        <v>Melting_Curves/meltCurve_Q13740_2_ALCAM.pdf</v>
      </c>
    </row>
    <row r="3430" spans="1:28" x14ac:dyDescent="0.25">
      <c r="A3430" t="s">
        <v>3434</v>
      </c>
      <c r="B3430">
        <v>0.99252571173614901</v>
      </c>
      <c r="C3430">
        <v>0.94111323698551297</v>
      </c>
      <c r="D3430">
        <v>0.93188850211614505</v>
      </c>
      <c r="E3430">
        <v>0.92978851055051503</v>
      </c>
      <c r="F3430">
        <v>0.483033739955257</v>
      </c>
      <c r="G3430">
        <v>0.33304694920254502</v>
      </c>
      <c r="H3430">
        <v>0.243995783400898</v>
      </c>
      <c r="I3430">
        <v>0.29789438780004102</v>
      </c>
      <c r="J3430">
        <v>0.44472146529780499</v>
      </c>
      <c r="K3430">
        <v>0.43010309240964001</v>
      </c>
      <c r="L3430">
        <v>2565.68451527962</v>
      </c>
      <c r="M3430">
        <v>49.607058816612998</v>
      </c>
      <c r="N3430">
        <v>52.998550115725998</v>
      </c>
      <c r="O3430">
        <v>51.636309972819902</v>
      </c>
      <c r="P3430">
        <v>-0.15638092909572801</v>
      </c>
      <c r="Q3430">
        <v>0.34888888770571502</v>
      </c>
      <c r="R3430">
        <v>0.95503258091648002</v>
      </c>
      <c r="S3430" t="s">
        <v>10076</v>
      </c>
      <c r="T3430" t="s">
        <v>13290</v>
      </c>
      <c r="U3430" t="s">
        <v>13290</v>
      </c>
      <c r="V3430" t="s">
        <v>13290</v>
      </c>
      <c r="W3430" t="s">
        <v>16676</v>
      </c>
      <c r="X3430">
        <v>4</v>
      </c>
      <c r="Y3430" t="s">
        <v>23194</v>
      </c>
      <c r="Z3430" t="s">
        <v>29760</v>
      </c>
      <c r="AA3430">
        <v>0.60476865562252369</v>
      </c>
      <c r="AB3430" t="str">
        <f>HYPERLINK("Melting_Curves/meltCurve_Q13751_LAMB3.pdf", "Melting_Curves/meltCurve_Q13751_LAMB3.pdf")</f>
        <v>Melting_Curves/meltCurve_Q13751_LAMB3.pdf</v>
      </c>
    </row>
    <row r="3431" spans="1:28" x14ac:dyDescent="0.25">
      <c r="A3431" t="s">
        <v>3435</v>
      </c>
      <c r="B3431">
        <v>0.99252571173614901</v>
      </c>
      <c r="C3431">
        <v>0.97320365518797103</v>
      </c>
      <c r="D3431">
        <v>1.01040536338065</v>
      </c>
      <c r="E3431">
        <v>1.02783996779016</v>
      </c>
      <c r="F3431">
        <v>0.31577325256920202</v>
      </c>
      <c r="G3431">
        <v>0.18271988938713499</v>
      </c>
      <c r="H3431">
        <v>0.140704906799378</v>
      </c>
      <c r="I3431">
        <v>0.183176749402612</v>
      </c>
      <c r="J3431">
        <v>0.29278848722093298</v>
      </c>
      <c r="K3431">
        <v>0.26430965843015602</v>
      </c>
      <c r="L3431">
        <v>13199.279807970601</v>
      </c>
      <c r="M3431">
        <v>250</v>
      </c>
      <c r="N3431">
        <v>52.914425981892997</v>
      </c>
      <c r="O3431">
        <v>52.793742323554397</v>
      </c>
      <c r="P3431">
        <v>-0.93199977497364805</v>
      </c>
      <c r="Q3431">
        <v>0.212739931662172</v>
      </c>
      <c r="R3431">
        <v>0.98783020826838097</v>
      </c>
      <c r="S3431" t="s">
        <v>10077</v>
      </c>
      <c r="T3431" t="s">
        <v>13290</v>
      </c>
      <c r="U3431" t="s">
        <v>13290</v>
      </c>
      <c r="V3431" t="s">
        <v>13290</v>
      </c>
      <c r="W3431" t="s">
        <v>16677</v>
      </c>
      <c r="X3431">
        <v>13</v>
      </c>
      <c r="Y3431" t="s">
        <v>23195</v>
      </c>
      <c r="Z3431" t="s">
        <v>29761</v>
      </c>
      <c r="AA3431">
        <v>0.5486349097360298</v>
      </c>
      <c r="AB3431" t="str">
        <f>HYPERLINK("Melting_Curves/meltCurve_Q13753_LAMC2.pdf", "Melting_Curves/meltCurve_Q13753_LAMC2.pdf")</f>
        <v>Melting_Curves/meltCurve_Q13753_LAMC2.pdf</v>
      </c>
    </row>
    <row r="3432" spans="1:28" x14ac:dyDescent="0.25">
      <c r="A3432" t="s">
        <v>3436</v>
      </c>
      <c r="B3432">
        <v>0.99252571173614901</v>
      </c>
      <c r="C3432">
        <v>0.99634409746938402</v>
      </c>
      <c r="D3432">
        <v>1.40041200555253</v>
      </c>
      <c r="E3432">
        <v>2.0091483440602498</v>
      </c>
      <c r="F3432">
        <v>0.55395893735273205</v>
      </c>
      <c r="G3432">
        <v>0.265127166730867</v>
      </c>
      <c r="H3432">
        <v>0.162304864133616</v>
      </c>
      <c r="I3432">
        <v>0.159586443522865</v>
      </c>
      <c r="J3432">
        <v>0.180132341542524</v>
      </c>
      <c r="K3432">
        <v>0.15846870556235901</v>
      </c>
      <c r="L3432">
        <v>13289.888756868</v>
      </c>
      <c r="M3432">
        <v>250</v>
      </c>
      <c r="N3432">
        <v>53.258067263871901</v>
      </c>
      <c r="O3432">
        <v>53.156150871506703</v>
      </c>
      <c r="P3432">
        <v>-0.958115936718968</v>
      </c>
      <c r="Q3432">
        <v>0.18512388116376199</v>
      </c>
      <c r="R3432">
        <v>0.68187142556276503</v>
      </c>
      <c r="S3432" t="s">
        <v>10078</v>
      </c>
      <c r="T3432" t="s">
        <v>13290</v>
      </c>
      <c r="U3432" t="s">
        <v>13290</v>
      </c>
      <c r="V3432" t="s">
        <v>13290</v>
      </c>
      <c r="W3432" t="s">
        <v>16678</v>
      </c>
      <c r="X3432">
        <v>5</v>
      </c>
      <c r="Y3432" t="s">
        <v>23196</v>
      </c>
      <c r="Z3432" t="s">
        <v>29762</v>
      </c>
      <c r="AA3432">
        <v>0.54264680858590331</v>
      </c>
      <c r="AB3432" t="str">
        <f>HYPERLINK("Melting_Curves/meltCurve_Q13769_THOC5.pdf", "Melting_Curves/meltCurve_Q13769_THOC5.pdf")</f>
        <v>Melting_Curves/meltCurve_Q13769_THOC5.pdf</v>
      </c>
    </row>
    <row r="3433" spans="1:28" x14ac:dyDescent="0.25">
      <c r="A3433" t="s">
        <v>3437</v>
      </c>
      <c r="B3433">
        <v>0.99252571173614901</v>
      </c>
      <c r="C3433">
        <v>0.89321951539403999</v>
      </c>
      <c r="D3433">
        <v>0.75353539388171398</v>
      </c>
      <c r="E3433">
        <v>0.50427952579249402</v>
      </c>
      <c r="F3433">
        <v>0.39476857316736302</v>
      </c>
      <c r="G3433">
        <v>0.147223068409741</v>
      </c>
      <c r="H3433">
        <v>5.2479936636052597E-2</v>
      </c>
      <c r="I3433">
        <v>4.2448384097265798E-2</v>
      </c>
      <c r="J3433">
        <v>4.6161147715008198E-2</v>
      </c>
      <c r="K3433">
        <v>4.5119872066504703E-2</v>
      </c>
      <c r="L3433">
        <v>653.28277310774695</v>
      </c>
      <c r="M3433">
        <v>13.0342186020334</v>
      </c>
      <c r="N3433">
        <v>50.1205932665898</v>
      </c>
      <c r="O3433">
        <v>48.984837644051296</v>
      </c>
      <c r="P3433">
        <v>-6.6533331998412895E-2</v>
      </c>
      <c r="Q3433">
        <v>0</v>
      </c>
      <c r="R3433">
        <v>0.99176399170316598</v>
      </c>
      <c r="S3433" t="s">
        <v>10079</v>
      </c>
      <c r="T3433" t="s">
        <v>13290</v>
      </c>
      <c r="U3433" t="s">
        <v>13290</v>
      </c>
      <c r="V3433" t="s">
        <v>13290</v>
      </c>
      <c r="W3433" t="s">
        <v>16679</v>
      </c>
      <c r="X3433">
        <v>2</v>
      </c>
      <c r="Y3433" t="s">
        <v>23197</v>
      </c>
      <c r="Z3433" t="s">
        <v>29763</v>
      </c>
      <c r="AA3433">
        <v>0.36749451286907991</v>
      </c>
      <c r="AB3433" t="str">
        <f>HYPERLINK("Melting_Curves/meltCurve_Q13795_ARFRP1.pdf", "Melting_Curves/meltCurve_Q13795_ARFRP1.pdf")</f>
        <v>Melting_Curves/meltCurve_Q13795_ARFRP1.pdf</v>
      </c>
    </row>
    <row r="3434" spans="1:28" x14ac:dyDescent="0.25">
      <c r="A3434" t="s">
        <v>3438</v>
      </c>
      <c r="B3434">
        <v>0.99252571173614901</v>
      </c>
      <c r="C3434">
        <v>0.88472699220818496</v>
      </c>
      <c r="D3434">
        <v>1.0951129927604399</v>
      </c>
      <c r="E3434">
        <v>1.09902922435156</v>
      </c>
      <c r="F3434">
        <v>0.33105930814989898</v>
      </c>
      <c r="G3434">
        <v>0.19075711934669201</v>
      </c>
      <c r="H3434">
        <v>0.119356031257314</v>
      </c>
      <c r="I3434">
        <v>0.113146710628099</v>
      </c>
      <c r="J3434">
        <v>0.12231746548653</v>
      </c>
      <c r="K3434">
        <v>0.123509038874872</v>
      </c>
      <c r="L3434">
        <v>13235.028782760201</v>
      </c>
      <c r="M3434">
        <v>250</v>
      </c>
      <c r="N3434">
        <v>53.006134396338197</v>
      </c>
      <c r="O3434">
        <v>52.936727291597698</v>
      </c>
      <c r="P3434">
        <v>-1.0226627912362301</v>
      </c>
      <c r="Q3434">
        <v>0.13381725998038299</v>
      </c>
      <c r="R3434">
        <v>0.97989463227176199</v>
      </c>
      <c r="S3434" t="s">
        <v>10080</v>
      </c>
      <c r="T3434" t="s">
        <v>13290</v>
      </c>
      <c r="U3434" t="s">
        <v>13290</v>
      </c>
      <c r="V3434" t="s">
        <v>13290</v>
      </c>
      <c r="W3434" t="s">
        <v>16680</v>
      </c>
      <c r="X3434">
        <v>114</v>
      </c>
      <c r="Y3434" t="s">
        <v>23198</v>
      </c>
      <c r="Z3434" t="s">
        <v>29764</v>
      </c>
      <c r="AA3434">
        <v>0.50751454889938841</v>
      </c>
      <c r="AB3434" t="str">
        <f>HYPERLINK("Melting_Curves/meltCurve_Q13813_SPTAN1.pdf", "Melting_Curves/meltCurve_Q13813_SPTAN1.pdf")</f>
        <v>Melting_Curves/meltCurve_Q13813_SPTAN1.pdf</v>
      </c>
    </row>
    <row r="3435" spans="1:28" x14ac:dyDescent="0.25">
      <c r="A3435" t="s">
        <v>3439</v>
      </c>
      <c r="B3435">
        <v>0.99252571173614901</v>
      </c>
      <c r="C3435">
        <v>0.88684176240208901</v>
      </c>
      <c r="D3435">
        <v>1.1376750330877801</v>
      </c>
      <c r="E3435">
        <v>1.1704615790180199</v>
      </c>
      <c r="F3435">
        <v>0.30008261289133897</v>
      </c>
      <c r="G3435">
        <v>0.15379026297270501</v>
      </c>
      <c r="H3435">
        <v>7.7404769127483702E-2</v>
      </c>
      <c r="I3435">
        <v>7.1790602556457001E-2</v>
      </c>
      <c r="J3435">
        <v>8.0123267630111294E-2</v>
      </c>
      <c r="K3435">
        <v>9.5435860706580306E-2</v>
      </c>
      <c r="L3435">
        <v>13234.5101693652</v>
      </c>
      <c r="M3435">
        <v>250</v>
      </c>
      <c r="N3435">
        <v>52.983095455534297</v>
      </c>
      <c r="O3435">
        <v>52.934653143236403</v>
      </c>
      <c r="P3435">
        <v>-1.0676973989816301</v>
      </c>
      <c r="Q3435">
        <v>9.5708939977040594E-2</v>
      </c>
      <c r="R3435">
        <v>0.96900686008518</v>
      </c>
      <c r="S3435" t="s">
        <v>10081</v>
      </c>
      <c r="T3435" t="s">
        <v>13290</v>
      </c>
      <c r="U3435" t="s">
        <v>13290</v>
      </c>
      <c r="V3435" t="s">
        <v>13290</v>
      </c>
      <c r="W3435" t="s">
        <v>16681</v>
      </c>
      <c r="X3435">
        <v>113</v>
      </c>
      <c r="Y3435" t="s">
        <v>23198</v>
      </c>
      <c r="Z3435" t="s">
        <v>29765</v>
      </c>
      <c r="AA3435">
        <v>0.48578477082829941</v>
      </c>
      <c r="AB3435" t="str">
        <f>HYPERLINK("Melting_Curves/meltCurve_Q13813_2_SPTAN1.pdf", "Melting_Curves/meltCurve_Q13813_2_SPTAN1.pdf")</f>
        <v>Melting_Curves/meltCurve_Q13813_2_SPTAN1.pdf</v>
      </c>
    </row>
    <row r="3436" spans="1:28" x14ac:dyDescent="0.25">
      <c r="A3436" t="s">
        <v>3440</v>
      </c>
      <c r="B3436">
        <v>0.99252571173614901</v>
      </c>
      <c r="C3436">
        <v>1.0247805057010599</v>
      </c>
      <c r="D3436">
        <v>0.96097607141546604</v>
      </c>
      <c r="E3436">
        <v>0.88551692131833604</v>
      </c>
      <c r="F3436">
        <v>0.23552133293292901</v>
      </c>
      <c r="G3436">
        <v>0.12421505191726299</v>
      </c>
      <c r="H3436">
        <v>7.7318572901849902E-2</v>
      </c>
      <c r="I3436">
        <v>7.3891349920569893E-2</v>
      </c>
      <c r="J3436">
        <v>8.1635477445333504E-2</v>
      </c>
      <c r="K3436">
        <v>7.5389322614285298E-2</v>
      </c>
      <c r="L3436">
        <v>2555.9970545612</v>
      </c>
      <c r="M3436">
        <v>49.626032268268901</v>
      </c>
      <c r="N3436">
        <v>51.696409464111298</v>
      </c>
      <c r="O3436">
        <v>51.421738139025699</v>
      </c>
      <c r="P3436">
        <v>-0.22103791658961899</v>
      </c>
      <c r="Q3436">
        <v>8.3856338882870599E-2</v>
      </c>
      <c r="R3436">
        <v>0.99816794115267005</v>
      </c>
      <c r="S3436" t="s">
        <v>10082</v>
      </c>
      <c r="T3436" t="s">
        <v>13290</v>
      </c>
      <c r="U3436" t="s">
        <v>13290</v>
      </c>
      <c r="V3436" t="s">
        <v>13290</v>
      </c>
      <c r="W3436" t="s">
        <v>16682</v>
      </c>
      <c r="X3436">
        <v>10</v>
      </c>
      <c r="Y3436" t="s">
        <v>23199</v>
      </c>
      <c r="Z3436" t="s">
        <v>29766</v>
      </c>
      <c r="AA3436">
        <v>0.43731547329710829</v>
      </c>
      <c r="AB3436" t="str">
        <f>HYPERLINK("Melting_Curves/meltCurve_Q13825_AUH.pdf", "Melting_Curves/meltCurve_Q13825_AUH.pdf")</f>
        <v>Melting_Curves/meltCurve_Q13825_AUH.pdf</v>
      </c>
    </row>
    <row r="3437" spans="1:28" x14ac:dyDescent="0.25">
      <c r="A3437" t="s">
        <v>3441</v>
      </c>
      <c r="B3437">
        <v>0.99252571173614901</v>
      </c>
      <c r="C3437">
        <v>0.93798531803541696</v>
      </c>
      <c r="D3437">
        <v>0.98516270275823004</v>
      </c>
      <c r="E3437">
        <v>0.83063169918650503</v>
      </c>
      <c r="F3437">
        <v>1.09203704741476</v>
      </c>
      <c r="G3437">
        <v>0.91932951889371695</v>
      </c>
      <c r="H3437">
        <v>1.8618609007948901</v>
      </c>
      <c r="I3437">
        <v>1.16796396207443</v>
      </c>
      <c r="J3437">
        <v>1.0332838801153399</v>
      </c>
      <c r="K3437">
        <v>0.93763493904798201</v>
      </c>
      <c r="L3437">
        <v>14625.5048468069</v>
      </c>
      <c r="M3437">
        <v>250</v>
      </c>
      <c r="O3437">
        <v>58.498284907032698</v>
      </c>
      <c r="P3437">
        <v>0.26728088725237698</v>
      </c>
      <c r="Q3437">
        <v>1.2501675360829601</v>
      </c>
      <c r="R3437">
        <v>0.25161290797743402</v>
      </c>
      <c r="S3437" t="s">
        <v>10083</v>
      </c>
      <c r="T3437" t="s">
        <v>13290</v>
      </c>
      <c r="U3437" t="s">
        <v>13290</v>
      </c>
      <c r="V3437" t="s">
        <v>13290</v>
      </c>
      <c r="W3437" t="s">
        <v>16683</v>
      </c>
      <c r="X3437">
        <v>5</v>
      </c>
      <c r="Y3437" t="s">
        <v>23200</v>
      </c>
      <c r="Z3437" t="s">
        <v>29767</v>
      </c>
      <c r="AA3437">
        <v>1.095855031259896</v>
      </c>
      <c r="AB3437" t="str">
        <f>HYPERLINK("Melting_Curves/meltCurve_Q13867_BLMH.pdf", "Melting_Curves/meltCurve_Q13867_BLMH.pdf")</f>
        <v>Melting_Curves/meltCurve_Q13867_BLMH.pdf</v>
      </c>
    </row>
    <row r="3438" spans="1:28" x14ac:dyDescent="0.25">
      <c r="A3438" t="s">
        <v>3442</v>
      </c>
      <c r="B3438">
        <v>0.99252571173614901</v>
      </c>
      <c r="C3438">
        <v>1.0356169989355</v>
      </c>
      <c r="D3438">
        <v>1.4210691900432999</v>
      </c>
      <c r="E3438">
        <v>1.47395438878664</v>
      </c>
      <c r="F3438">
        <v>1.9165060539941099</v>
      </c>
      <c r="G3438">
        <v>1.5138937878833001</v>
      </c>
      <c r="H3438">
        <v>1.0503619927297501</v>
      </c>
      <c r="I3438">
        <v>0.39237765013669801</v>
      </c>
      <c r="J3438">
        <v>0.28982382789276701</v>
      </c>
      <c r="K3438">
        <v>0.192820980265792</v>
      </c>
      <c r="L3438">
        <v>15000</v>
      </c>
      <c r="M3438">
        <v>235.76682039584799</v>
      </c>
      <c r="N3438">
        <v>63.800541285435401</v>
      </c>
      <c r="O3438">
        <v>63.617606111252798</v>
      </c>
      <c r="P3438">
        <v>-0.70291876803779496</v>
      </c>
      <c r="Q3438">
        <v>0.24131802462767801</v>
      </c>
      <c r="R3438">
        <v>0.49967581182337301</v>
      </c>
      <c r="S3438" t="s">
        <v>10084</v>
      </c>
      <c r="T3438" t="s">
        <v>13290</v>
      </c>
      <c r="U3438" t="s">
        <v>13290</v>
      </c>
      <c r="V3438" t="s">
        <v>13290</v>
      </c>
      <c r="W3438" t="s">
        <v>16684</v>
      </c>
      <c r="X3438">
        <v>11</v>
      </c>
      <c r="Y3438" t="s">
        <v>23201</v>
      </c>
      <c r="Z3438" t="s">
        <v>29768</v>
      </c>
      <c r="AA3438">
        <v>0.83880411295004365</v>
      </c>
      <c r="AB3438" t="str">
        <f>HYPERLINK("Melting_Curves/meltCurve_Q13868_EXOSC2.pdf", "Melting_Curves/meltCurve_Q13868_EXOSC2.pdf")</f>
        <v>Melting_Curves/meltCurve_Q13868_EXOSC2.pdf</v>
      </c>
    </row>
    <row r="3439" spans="1:28" x14ac:dyDescent="0.25">
      <c r="A3439" t="s">
        <v>3443</v>
      </c>
      <c r="B3439">
        <v>0.99252571173614901</v>
      </c>
      <c r="C3439">
        <v>0.88222686754637702</v>
      </c>
      <c r="D3439">
        <v>0.63643538930217103</v>
      </c>
      <c r="E3439">
        <v>0.35529521304140099</v>
      </c>
      <c r="F3439">
        <v>0.15191069231622201</v>
      </c>
      <c r="G3439">
        <v>9.3446640462622799E-2</v>
      </c>
      <c r="H3439">
        <v>7.4800855262609503E-2</v>
      </c>
      <c r="I3439">
        <v>8.2950494108777403E-2</v>
      </c>
      <c r="J3439">
        <v>0.118872925077457</v>
      </c>
      <c r="K3439">
        <v>0.13360678688109801</v>
      </c>
      <c r="L3439">
        <v>958.955609627287</v>
      </c>
      <c r="M3439">
        <v>20.388058718068699</v>
      </c>
      <c r="N3439">
        <v>47.510483713484497</v>
      </c>
      <c r="O3439">
        <v>46.589670895719102</v>
      </c>
      <c r="P3439">
        <v>-9.9311969075485201E-2</v>
      </c>
      <c r="Q3439">
        <v>9.2258378057967896E-2</v>
      </c>
      <c r="R3439">
        <v>0.99525977989453795</v>
      </c>
      <c r="S3439" t="s">
        <v>10085</v>
      </c>
      <c r="T3439" t="s">
        <v>13290</v>
      </c>
      <c r="U3439" t="s">
        <v>13290</v>
      </c>
      <c r="V3439" t="s">
        <v>13290</v>
      </c>
      <c r="W3439" t="s">
        <v>16685</v>
      </c>
      <c r="X3439">
        <v>14</v>
      </c>
      <c r="Y3439" t="s">
        <v>23202</v>
      </c>
      <c r="Z3439" t="s">
        <v>29769</v>
      </c>
      <c r="AA3439">
        <v>0.31784725178410661</v>
      </c>
      <c r="AB3439" t="str">
        <f>HYPERLINK("Melting_Curves/meltCurve_Q13884_SNTB1.pdf", "Melting_Curves/meltCurve_Q13884_SNTB1.pdf")</f>
        <v>Melting_Curves/meltCurve_Q13884_SNTB1.pdf</v>
      </c>
    </row>
    <row r="3440" spans="1:28" x14ac:dyDescent="0.25">
      <c r="A3440" t="s">
        <v>3444</v>
      </c>
      <c r="B3440">
        <v>0.99252571173614901</v>
      </c>
      <c r="C3440">
        <v>0.99997001587946999</v>
      </c>
      <c r="D3440">
        <v>1.00403655754146</v>
      </c>
      <c r="E3440">
        <v>0.97848475174227401</v>
      </c>
      <c r="F3440">
        <v>0.88352303250228004</v>
      </c>
      <c r="G3440">
        <v>0.64247894187147203</v>
      </c>
      <c r="H3440">
        <v>0.33228554578160202</v>
      </c>
      <c r="I3440">
        <v>9.2550728233916593E-2</v>
      </c>
      <c r="J3440">
        <v>7.6942986524731902E-2</v>
      </c>
      <c r="K3440">
        <v>6.66910169584055E-2</v>
      </c>
      <c r="L3440">
        <v>1281.6401323176599</v>
      </c>
      <c r="M3440">
        <v>21.9978329614848</v>
      </c>
      <c r="N3440">
        <v>58.383404948915398</v>
      </c>
      <c r="O3440">
        <v>57.7870403619809</v>
      </c>
      <c r="P3440">
        <v>-9.3044209139918801E-2</v>
      </c>
      <c r="Q3440">
        <v>2.2334722802067501E-2</v>
      </c>
      <c r="R3440">
        <v>0.99747442046030599</v>
      </c>
      <c r="S3440" t="s">
        <v>10086</v>
      </c>
      <c r="T3440" t="s">
        <v>13290</v>
      </c>
      <c r="U3440" t="s">
        <v>13290</v>
      </c>
      <c r="V3440" t="s">
        <v>13290</v>
      </c>
      <c r="W3440" t="s">
        <v>16686</v>
      </c>
      <c r="X3440">
        <v>39</v>
      </c>
      <c r="Y3440" t="s">
        <v>23203</v>
      </c>
      <c r="Z3440" t="s">
        <v>29770</v>
      </c>
      <c r="AA3440">
        <v>0.6272933779464217</v>
      </c>
      <c r="AB3440" t="str">
        <f>HYPERLINK("Melting_Curves/meltCurve_Q13885_TUBB2A.pdf", "Melting_Curves/meltCurve_Q13885_TUBB2A.pdf")</f>
        <v>Melting_Curves/meltCurve_Q13885_TUBB2A.pdf</v>
      </c>
    </row>
    <row r="3441" spans="1:28" x14ac:dyDescent="0.25">
      <c r="A3441" t="s">
        <v>3445</v>
      </c>
      <c r="B3441">
        <v>0.99252571173614901</v>
      </c>
      <c r="C3441">
        <v>1.0058930152429599</v>
      </c>
      <c r="D3441">
        <v>0.76940082498223905</v>
      </c>
      <c r="E3441">
        <v>0.39074538637788198</v>
      </c>
      <c r="F3441">
        <v>0.28486479167628398</v>
      </c>
      <c r="G3441">
        <v>0.18669787843341801</v>
      </c>
      <c r="H3441">
        <v>0.13384931590035301</v>
      </c>
      <c r="I3441">
        <v>0.13817184464733601</v>
      </c>
      <c r="J3441">
        <v>0.16981128684358701</v>
      </c>
      <c r="K3441">
        <v>0.159449945351433</v>
      </c>
      <c r="L3441">
        <v>1174.6921666666899</v>
      </c>
      <c r="M3441">
        <v>24.512479479050601</v>
      </c>
      <c r="N3441">
        <v>48.686770066285298</v>
      </c>
      <c r="O3441">
        <v>47.606680737084098</v>
      </c>
      <c r="P3441">
        <v>-0.108161397476029</v>
      </c>
      <c r="Q3441">
        <v>0.15975366534864299</v>
      </c>
      <c r="R3441">
        <v>0.992929307552467</v>
      </c>
      <c r="S3441" t="s">
        <v>10087</v>
      </c>
      <c r="T3441" t="s">
        <v>13290</v>
      </c>
      <c r="U3441" t="s">
        <v>13290</v>
      </c>
      <c r="V3441" t="s">
        <v>13290</v>
      </c>
      <c r="W3441" t="s">
        <v>16687</v>
      </c>
      <c r="X3441">
        <v>13</v>
      </c>
      <c r="Y3441" t="s">
        <v>23204</v>
      </c>
      <c r="Z3441" t="s">
        <v>29771</v>
      </c>
      <c r="AA3441">
        <v>0.3893871204369232</v>
      </c>
      <c r="AB3441" t="str">
        <f>HYPERLINK("Melting_Curves/meltCurve_Q13895_BYSL.pdf", "Melting_Curves/meltCurve_Q13895_BYSL.pdf")</f>
        <v>Melting_Curves/meltCurve_Q13895_BYSL.pdf</v>
      </c>
    </row>
    <row r="3442" spans="1:28" x14ac:dyDescent="0.25">
      <c r="A3442" t="s">
        <v>3446</v>
      </c>
      <c r="B3442">
        <v>0.99252571173614901</v>
      </c>
      <c r="C3442">
        <v>1.0675190442117799</v>
      </c>
      <c r="D3442">
        <v>0.98535910180523101</v>
      </c>
      <c r="E3442">
        <v>0.83784899786722999</v>
      </c>
      <c r="F3442">
        <v>0.85694528649243196</v>
      </c>
      <c r="G3442">
        <v>0.69549716661382699</v>
      </c>
      <c r="H3442">
        <v>0.63228830286149995</v>
      </c>
      <c r="I3442">
        <v>0.67417523347965602</v>
      </c>
      <c r="J3442">
        <v>0.89387458642146</v>
      </c>
      <c r="K3442">
        <v>0.76083324577724598</v>
      </c>
      <c r="L3442">
        <v>1288.59243687547</v>
      </c>
      <c r="M3442">
        <v>25.877276712515101</v>
      </c>
      <c r="O3442">
        <v>49.501779043308197</v>
      </c>
      <c r="P3442">
        <v>-3.4133800797378697E-2</v>
      </c>
      <c r="Q3442">
        <v>0.73881894434158901</v>
      </c>
      <c r="R3442">
        <v>0.71564918082254303</v>
      </c>
      <c r="S3442" t="s">
        <v>10088</v>
      </c>
      <c r="T3442" t="s">
        <v>13290</v>
      </c>
      <c r="U3442" t="s">
        <v>13290</v>
      </c>
      <c r="V3442" t="s">
        <v>13290</v>
      </c>
      <c r="W3442" t="s">
        <v>16688</v>
      </c>
      <c r="X3442">
        <v>19</v>
      </c>
      <c r="Y3442" t="s">
        <v>23205</v>
      </c>
      <c r="Z3442" t="s">
        <v>29772</v>
      </c>
      <c r="AA3442">
        <v>0.82627854908150467</v>
      </c>
      <c r="AB3442" t="str">
        <f>HYPERLINK("Melting_Curves/meltCurve_Q13907_IDI1.pdf", "Melting_Curves/meltCurve_Q13907_IDI1.pdf")</f>
        <v>Melting_Curves/meltCurve_Q13907_IDI1.pdf</v>
      </c>
    </row>
    <row r="3443" spans="1:28" x14ac:dyDescent="0.25">
      <c r="A3443" t="s">
        <v>3447</v>
      </c>
      <c r="B3443">
        <v>0.99252571173614901</v>
      </c>
      <c r="C3443">
        <v>0.755289258177397</v>
      </c>
      <c r="D3443">
        <v>0.83736779852486698</v>
      </c>
      <c r="E3443">
        <v>0.64503849287297699</v>
      </c>
      <c r="F3443">
        <v>0.19796880765693101</v>
      </c>
      <c r="G3443">
        <v>0.15089038560317</v>
      </c>
      <c r="H3443">
        <v>0.116902298647442</v>
      </c>
      <c r="I3443">
        <v>0.112996464826796</v>
      </c>
      <c r="J3443">
        <v>0.14454328940892</v>
      </c>
      <c r="K3443">
        <v>0.13706809573260201</v>
      </c>
      <c r="L3443">
        <v>896.60836903818597</v>
      </c>
      <c r="M3443">
        <v>18.1242549550288</v>
      </c>
      <c r="N3443">
        <v>50.085512034123298</v>
      </c>
      <c r="O3443">
        <v>48.879626346379901</v>
      </c>
      <c r="P3443">
        <v>-8.3448905522427799E-2</v>
      </c>
      <c r="Q3443">
        <v>9.9823759603988593E-2</v>
      </c>
      <c r="R3443">
        <v>0.945296366895921</v>
      </c>
      <c r="S3443" t="s">
        <v>10089</v>
      </c>
      <c r="T3443" t="s">
        <v>13290</v>
      </c>
      <c r="U3443" t="s">
        <v>13290</v>
      </c>
      <c r="V3443" t="s">
        <v>13290</v>
      </c>
      <c r="W3443" t="s">
        <v>16689</v>
      </c>
      <c r="X3443">
        <v>10</v>
      </c>
      <c r="Y3443" t="s">
        <v>22360</v>
      </c>
      <c r="Z3443" t="s">
        <v>29773</v>
      </c>
      <c r="AA3443">
        <v>0.39924267293761062</v>
      </c>
      <c r="AB3443" t="str">
        <f>HYPERLINK("Melting_Curves/meltCurve_Q13948_CUX1.pdf", "Melting_Curves/meltCurve_Q13948_CUX1.pdf")</f>
        <v>Melting_Curves/meltCurve_Q13948_CUX1.pdf</v>
      </c>
    </row>
    <row r="3444" spans="1:28" x14ac:dyDescent="0.25">
      <c r="A3444" t="s">
        <v>3448</v>
      </c>
      <c r="B3444">
        <v>0.99252571173614901</v>
      </c>
      <c r="C3444">
        <v>1.0766920475277899</v>
      </c>
      <c r="D3444">
        <v>0.80436322963441997</v>
      </c>
      <c r="E3444">
        <v>0.38033181602448701</v>
      </c>
      <c r="F3444">
        <v>0.18857406599061399</v>
      </c>
      <c r="G3444">
        <v>0.110118706422977</v>
      </c>
      <c r="H3444">
        <v>8.5372194958441103E-2</v>
      </c>
      <c r="I3444">
        <v>9.7496642503580699E-2</v>
      </c>
      <c r="J3444">
        <v>0.10719101096608501</v>
      </c>
      <c r="K3444">
        <v>0.104284879424264</v>
      </c>
      <c r="L3444">
        <v>1409.78250348868</v>
      </c>
      <c r="M3444">
        <v>29.214013208780599</v>
      </c>
      <c r="N3444">
        <v>48.640998903001098</v>
      </c>
      <c r="O3444">
        <v>48.032648477109902</v>
      </c>
      <c r="P3444">
        <v>-0.13639719939837799</v>
      </c>
      <c r="Q3444">
        <v>0.102968768191052</v>
      </c>
      <c r="R3444">
        <v>0.99194339918874896</v>
      </c>
      <c r="S3444" t="s">
        <v>10090</v>
      </c>
      <c r="T3444" t="s">
        <v>13290</v>
      </c>
      <c r="U3444" t="s">
        <v>13290</v>
      </c>
      <c r="V3444" t="s">
        <v>13290</v>
      </c>
      <c r="W3444" t="s">
        <v>16690</v>
      </c>
      <c r="X3444">
        <v>18</v>
      </c>
      <c r="Y3444" t="s">
        <v>23206</v>
      </c>
      <c r="Z3444" t="s">
        <v>29774</v>
      </c>
      <c r="AA3444">
        <v>0.3555832278717948</v>
      </c>
      <c r="AB3444" t="str">
        <f>HYPERLINK("Melting_Curves/meltCurve_Q13951_2_CBFB.pdf", "Melting_Curves/meltCurve_Q13951_2_CBFB.pdf")</f>
        <v>Melting_Curves/meltCurve_Q13951_2_CBFB.pdf</v>
      </c>
    </row>
    <row r="3445" spans="1:28" x14ac:dyDescent="0.25">
      <c r="A3445" t="s">
        <v>3449</v>
      </c>
      <c r="B3445">
        <v>0.99252571173614901</v>
      </c>
      <c r="C3445">
        <v>1.02841469891695</v>
      </c>
      <c r="D3445">
        <v>0.85263641409860502</v>
      </c>
      <c r="E3445">
        <v>0.70732630674576602</v>
      </c>
      <c r="F3445">
        <v>0.57002581110298201</v>
      </c>
      <c r="G3445">
        <v>0.33817550379193401</v>
      </c>
      <c r="H3445">
        <v>9.7205878745329502E-2</v>
      </c>
      <c r="I3445">
        <v>6.6787453149843495E-2</v>
      </c>
      <c r="J3445">
        <v>7.6389532085393994E-2</v>
      </c>
      <c r="K3445">
        <v>8.6546751346108106E-2</v>
      </c>
      <c r="L3445">
        <v>732.57234325508205</v>
      </c>
      <c r="M3445">
        <v>13.7117174962418</v>
      </c>
      <c r="N3445">
        <v>53.4737168074574</v>
      </c>
      <c r="O3445">
        <v>52.328795165789401</v>
      </c>
      <c r="P3445">
        <v>-6.5124699528312499E-2</v>
      </c>
      <c r="Q3445">
        <v>5.9865366061822396E-3</v>
      </c>
      <c r="R3445">
        <v>0.98680147685113395</v>
      </c>
      <c r="S3445" t="s">
        <v>10091</v>
      </c>
      <c r="T3445" t="s">
        <v>13290</v>
      </c>
      <c r="U3445" t="s">
        <v>13290</v>
      </c>
      <c r="V3445" t="s">
        <v>13290</v>
      </c>
      <c r="W3445" t="s">
        <v>16691</v>
      </c>
      <c r="X3445">
        <v>9</v>
      </c>
      <c r="Y3445" t="s">
        <v>23207</v>
      </c>
      <c r="Z3445" t="s">
        <v>29775</v>
      </c>
      <c r="AA3445">
        <v>0.47439190678934712</v>
      </c>
      <c r="AB3445" t="str">
        <f>HYPERLINK("Melting_Curves/meltCurve_Q13952_3_NFYC.pdf", "Melting_Curves/meltCurve_Q13952_3_NFYC.pdf")</f>
        <v>Melting_Curves/meltCurve_Q13952_3_NFYC.pdf</v>
      </c>
    </row>
    <row r="3446" spans="1:28" x14ac:dyDescent="0.25">
      <c r="A3446" t="s">
        <v>3450</v>
      </c>
      <c r="B3446">
        <v>0.99252571173614901</v>
      </c>
      <c r="C3446">
        <v>0.86185059904338801</v>
      </c>
      <c r="D3446">
        <v>0.72130376523384299</v>
      </c>
      <c r="E3446">
        <v>0.26886186609297402</v>
      </c>
      <c r="F3446">
        <v>0.15490928026456099</v>
      </c>
      <c r="G3446">
        <v>8.4249488836592404E-2</v>
      </c>
      <c r="H3446">
        <v>6.4898712997213198E-2</v>
      </c>
      <c r="I3446">
        <v>6.7697665397297699E-2</v>
      </c>
      <c r="J3446">
        <v>7.0399781389858002E-2</v>
      </c>
      <c r="K3446">
        <v>6.3664826571361896E-2</v>
      </c>
      <c r="L3446">
        <v>1081.7190399687299</v>
      </c>
      <c r="M3446">
        <v>22.872800934098901</v>
      </c>
      <c r="N3446">
        <v>47.582225142320397</v>
      </c>
      <c r="O3446">
        <v>46.935744081537997</v>
      </c>
      <c r="P3446">
        <v>-0.11392073275622901</v>
      </c>
      <c r="Q3446">
        <v>6.4941095391576303E-2</v>
      </c>
      <c r="R3446">
        <v>0.99445767840326504</v>
      </c>
      <c r="S3446" t="s">
        <v>10092</v>
      </c>
      <c r="T3446" t="s">
        <v>13290</v>
      </c>
      <c r="U3446" t="s">
        <v>13290</v>
      </c>
      <c r="V3446" t="s">
        <v>13290</v>
      </c>
      <c r="W3446" t="s">
        <v>16692</v>
      </c>
      <c r="X3446">
        <v>54</v>
      </c>
      <c r="Y3446" t="s">
        <v>23208</v>
      </c>
      <c r="Z3446" t="s">
        <v>29776</v>
      </c>
      <c r="AA3446">
        <v>0.30233972245965401</v>
      </c>
      <c r="AB3446" t="str">
        <f>HYPERLINK("Melting_Curves/meltCurve_Q14008_2_CKAP5.pdf", "Melting_Curves/meltCurve_Q14008_2_CKAP5.pdf")</f>
        <v>Melting_Curves/meltCurve_Q14008_2_CKAP5.pdf</v>
      </c>
    </row>
    <row r="3447" spans="1:28" x14ac:dyDescent="0.25">
      <c r="A3447" t="s">
        <v>3451</v>
      </c>
      <c r="B3447">
        <v>0.99252571173614901</v>
      </c>
      <c r="C3447">
        <v>1.1016517128459</v>
      </c>
      <c r="D3447">
        <v>1.0147094863557</v>
      </c>
      <c r="E3447">
        <v>0.99199723479924695</v>
      </c>
      <c r="F3447">
        <v>0.54676298483340902</v>
      </c>
      <c r="G3447">
        <v>0.39905782242639298</v>
      </c>
      <c r="H3447">
        <v>0.30906933197279801</v>
      </c>
      <c r="I3447">
        <v>0.38791843278423499</v>
      </c>
      <c r="J3447">
        <v>0.53116202348625596</v>
      </c>
      <c r="K3447">
        <v>0.63398566813704205</v>
      </c>
      <c r="L3447">
        <v>4932.3556995283298</v>
      </c>
      <c r="M3447">
        <v>94.286385117991998</v>
      </c>
      <c r="N3447">
        <v>53.648811758393101</v>
      </c>
      <c r="O3447">
        <v>52.288972290615</v>
      </c>
      <c r="P3447">
        <v>-0.24692549383036699</v>
      </c>
      <c r="Q3447">
        <v>0.45224417680345502</v>
      </c>
      <c r="R3447">
        <v>0.90648113517581697</v>
      </c>
      <c r="S3447" t="s">
        <v>10093</v>
      </c>
      <c r="T3447" t="s">
        <v>13290</v>
      </c>
      <c r="U3447" t="s">
        <v>13290</v>
      </c>
      <c r="V3447" t="s">
        <v>13290</v>
      </c>
      <c r="W3447" t="s">
        <v>16693</v>
      </c>
      <c r="X3447">
        <v>8</v>
      </c>
      <c r="Y3447" t="s">
        <v>23209</v>
      </c>
      <c r="Z3447" t="s">
        <v>29777</v>
      </c>
      <c r="AA3447">
        <v>0.67740615734399678</v>
      </c>
      <c r="AB3447" t="str">
        <f>HYPERLINK("Melting_Curves/meltCurve_Q14011_CIRBP.pdf", "Melting_Curves/meltCurve_Q14011_CIRBP.pdf")</f>
        <v>Melting_Curves/meltCurve_Q14011_CIRBP.pdf</v>
      </c>
    </row>
    <row r="3448" spans="1:28" x14ac:dyDescent="0.25">
      <c r="A3448" t="s">
        <v>3452</v>
      </c>
      <c r="B3448">
        <v>0.99252571173614901</v>
      </c>
      <c r="C3448">
        <v>1.1197451464812</v>
      </c>
      <c r="D3448">
        <v>1.0004786474785099</v>
      </c>
      <c r="E3448">
        <v>0.73049111673886002</v>
      </c>
      <c r="F3448">
        <v>0.39393940913741798</v>
      </c>
      <c r="G3448">
        <v>0.16644544981905501</v>
      </c>
      <c r="H3448">
        <v>0.11457526008067501</v>
      </c>
      <c r="I3448">
        <v>0.10098008752256001</v>
      </c>
      <c r="J3448">
        <v>0.10928977510784101</v>
      </c>
      <c r="K3448">
        <v>9.9911497922462497E-2</v>
      </c>
      <c r="L3448">
        <v>1349.9489186456201</v>
      </c>
      <c r="M3448">
        <v>26.204131047078999</v>
      </c>
      <c r="N3448">
        <v>51.962334318604299</v>
      </c>
      <c r="O3448">
        <v>51.219405106194799</v>
      </c>
      <c r="P3448">
        <v>-0.115030003336726</v>
      </c>
      <c r="Q3448">
        <v>0.10064487062382101</v>
      </c>
      <c r="R3448">
        <v>0.98901294620522295</v>
      </c>
      <c r="S3448" t="s">
        <v>10094</v>
      </c>
      <c r="T3448" t="s">
        <v>13290</v>
      </c>
      <c r="U3448" t="s">
        <v>13290</v>
      </c>
      <c r="V3448" t="s">
        <v>13290</v>
      </c>
      <c r="W3448" t="s">
        <v>16694</v>
      </c>
      <c r="X3448">
        <v>11</v>
      </c>
      <c r="Y3448" t="s">
        <v>23210</v>
      </c>
      <c r="Z3448" t="s">
        <v>29778</v>
      </c>
      <c r="AA3448">
        <v>0.45334922656287108</v>
      </c>
      <c r="AB3448" t="str">
        <f>HYPERLINK("Melting_Curves/meltCurve_Q14019_COTL1.pdf", "Melting_Curves/meltCurve_Q14019_COTL1.pdf")</f>
        <v>Melting_Curves/meltCurve_Q14019_COTL1.pdf</v>
      </c>
    </row>
    <row r="3449" spans="1:28" x14ac:dyDescent="0.25">
      <c r="A3449" t="s">
        <v>3453</v>
      </c>
      <c r="B3449">
        <v>0.99252571173614901</v>
      </c>
      <c r="C3449">
        <v>1.1578250136478301</v>
      </c>
      <c r="D3449">
        <v>1.0612801480479801</v>
      </c>
      <c r="E3449">
        <v>0.95529616858512201</v>
      </c>
      <c r="F3449">
        <v>0.84951181380653595</v>
      </c>
      <c r="G3449">
        <v>0.79607281792765106</v>
      </c>
      <c r="H3449">
        <v>0.87603954868331602</v>
      </c>
      <c r="I3449">
        <v>1.2955061504723999</v>
      </c>
      <c r="J3449">
        <v>1.9377982716050901</v>
      </c>
      <c r="K3449">
        <v>2.2122314274161399</v>
      </c>
      <c r="L3449">
        <v>15000</v>
      </c>
      <c r="M3449">
        <v>234.74333051245</v>
      </c>
      <c r="O3449">
        <v>63.894948194281397</v>
      </c>
      <c r="P3449">
        <v>0.459236925950743</v>
      </c>
      <c r="Q3449">
        <v>1.5</v>
      </c>
      <c r="R3449">
        <v>0.61301011810039896</v>
      </c>
      <c r="S3449" t="s">
        <v>10095</v>
      </c>
      <c r="T3449" t="s">
        <v>13290</v>
      </c>
      <c r="U3449" t="s">
        <v>13290</v>
      </c>
      <c r="V3449" t="s">
        <v>13290</v>
      </c>
      <c r="W3449" t="s">
        <v>16695</v>
      </c>
      <c r="X3449">
        <v>5</v>
      </c>
      <c r="Y3449" t="s">
        <v>23211</v>
      </c>
      <c r="Z3449" t="s">
        <v>29779</v>
      </c>
      <c r="AA3449">
        <v>1.101610084214139</v>
      </c>
      <c r="AB3449" t="str">
        <f>HYPERLINK("Melting_Curves/meltCurve_Q14061_COX17.pdf", "Melting_Curves/meltCurve_Q14061_COX17.pdf")</f>
        <v>Melting_Curves/meltCurve_Q14061_COX17.pdf</v>
      </c>
    </row>
    <row r="3450" spans="1:28" x14ac:dyDescent="0.25">
      <c r="A3450" t="s">
        <v>3454</v>
      </c>
      <c r="B3450">
        <v>0.99252571173614901</v>
      </c>
      <c r="C3450">
        <v>1.0876465261054999</v>
      </c>
      <c r="D3450">
        <v>1.0124316987247799</v>
      </c>
      <c r="E3450">
        <v>0.94904592529853204</v>
      </c>
      <c r="F3450">
        <v>0.84692587859200297</v>
      </c>
      <c r="G3450">
        <v>0.65833065450819195</v>
      </c>
      <c r="H3450">
        <v>0.51849761764441504</v>
      </c>
      <c r="I3450">
        <v>0.498263843925911</v>
      </c>
      <c r="J3450">
        <v>0.61665594045627203</v>
      </c>
      <c r="K3450">
        <v>0.78074047394233204</v>
      </c>
      <c r="L3450">
        <v>2084.6252932562802</v>
      </c>
      <c r="M3450">
        <v>38.792330911048701</v>
      </c>
      <c r="O3450">
        <v>53.595871836959603</v>
      </c>
      <c r="P3450">
        <v>-7.1475722176187098E-2</v>
      </c>
      <c r="Q3450">
        <v>0.60499467248940397</v>
      </c>
      <c r="R3450">
        <v>0.85454464828921595</v>
      </c>
      <c r="S3450" t="s">
        <v>10096</v>
      </c>
      <c r="T3450" t="s">
        <v>13290</v>
      </c>
      <c r="U3450" t="s">
        <v>13290</v>
      </c>
      <c r="V3450" t="s">
        <v>13290</v>
      </c>
      <c r="W3450" t="s">
        <v>16696</v>
      </c>
      <c r="X3450">
        <v>26</v>
      </c>
      <c r="Y3450" t="s">
        <v>20072</v>
      </c>
      <c r="Z3450" t="s">
        <v>29780</v>
      </c>
      <c r="AA3450">
        <v>0.78743912920708603</v>
      </c>
      <c r="AB3450" t="str">
        <f>HYPERLINK("Melting_Curves/meltCurve_Q14103_3_HNRNPD.pdf", "Melting_Curves/meltCurve_Q14103_3_HNRNPD.pdf")</f>
        <v>Melting_Curves/meltCurve_Q14103_3_HNRNPD.pdf</v>
      </c>
    </row>
    <row r="3451" spans="1:28" x14ac:dyDescent="0.25">
      <c r="A3451" t="s">
        <v>3455</v>
      </c>
      <c r="B3451">
        <v>0.99252571173614901</v>
      </c>
      <c r="C3451">
        <v>0.98069045241481601</v>
      </c>
      <c r="D3451">
        <v>0.88001274985938205</v>
      </c>
      <c r="E3451">
        <v>0.89619941296516603</v>
      </c>
      <c r="F3451">
        <v>0.71164400889709301</v>
      </c>
      <c r="G3451">
        <v>0.56841484869761305</v>
      </c>
      <c r="H3451">
        <v>0.50187578531840804</v>
      </c>
      <c r="I3451">
        <v>0.57259661519250604</v>
      </c>
      <c r="J3451">
        <v>0.74579062097299598</v>
      </c>
      <c r="K3451">
        <v>0.46570964949766902</v>
      </c>
      <c r="L3451">
        <v>1094.28494873864</v>
      </c>
      <c r="M3451">
        <v>21.351521621990301</v>
      </c>
      <c r="O3451">
        <v>50.807692550974402</v>
      </c>
      <c r="P3451">
        <v>-4.6181974222372899E-2</v>
      </c>
      <c r="Q3451">
        <v>0.56043585257770401</v>
      </c>
      <c r="R3451">
        <v>0.83429939770545203</v>
      </c>
      <c r="S3451" t="s">
        <v>10097</v>
      </c>
      <c r="T3451" t="s">
        <v>13290</v>
      </c>
      <c r="U3451" t="s">
        <v>13290</v>
      </c>
      <c r="V3451" t="s">
        <v>13290</v>
      </c>
      <c r="W3451" t="s">
        <v>16697</v>
      </c>
      <c r="X3451">
        <v>11</v>
      </c>
      <c r="Y3451" t="s">
        <v>23212</v>
      </c>
      <c r="Z3451" t="s">
        <v>29781</v>
      </c>
      <c r="AA3451">
        <v>0.73068136302878695</v>
      </c>
      <c r="AB3451" t="str">
        <f>HYPERLINK("Melting_Curves/meltCurve_Q14108_SCARB2.pdf", "Melting_Curves/meltCurve_Q14108_SCARB2.pdf")</f>
        <v>Melting_Curves/meltCurve_Q14108_SCARB2.pdf</v>
      </c>
    </row>
    <row r="3452" spans="1:28" x14ac:dyDescent="0.25">
      <c r="A3452" t="s">
        <v>3456</v>
      </c>
      <c r="B3452">
        <v>0.99252571173614901</v>
      </c>
      <c r="C3452">
        <v>0.94199299476189402</v>
      </c>
      <c r="D3452">
        <v>0.88483304735441004</v>
      </c>
      <c r="E3452">
        <v>0.83872837919003496</v>
      </c>
      <c r="F3452">
        <v>0.66984341560134697</v>
      </c>
      <c r="G3452">
        <v>0.55643816786302103</v>
      </c>
      <c r="H3452">
        <v>0.42572492193519201</v>
      </c>
      <c r="I3452">
        <v>0.50517092040146705</v>
      </c>
      <c r="J3452">
        <v>0.65762467855410101</v>
      </c>
      <c r="K3452">
        <v>0.44964314785473602</v>
      </c>
      <c r="L3452">
        <v>848.74820247283196</v>
      </c>
      <c r="M3452">
        <v>16.709533186822298</v>
      </c>
      <c r="O3452">
        <v>50.0834717979033</v>
      </c>
      <c r="P3452">
        <v>-4.1958006551477002E-2</v>
      </c>
      <c r="Q3452">
        <v>0.496990459329262</v>
      </c>
      <c r="R3452">
        <v>0.89623082717748503</v>
      </c>
      <c r="S3452" t="s">
        <v>10098</v>
      </c>
      <c r="T3452" t="s">
        <v>13290</v>
      </c>
      <c r="U3452" t="s">
        <v>13290</v>
      </c>
      <c r="V3452" t="s">
        <v>13290</v>
      </c>
      <c r="W3452" t="s">
        <v>16698</v>
      </c>
      <c r="X3452">
        <v>11</v>
      </c>
      <c r="Y3452" t="s">
        <v>23213</v>
      </c>
      <c r="Z3452" t="s">
        <v>29782</v>
      </c>
      <c r="AA3452">
        <v>0.68768812280668012</v>
      </c>
      <c r="AB3452" t="str">
        <f>HYPERLINK("Melting_Curves/meltCurve_Q14114_4_LRP8.pdf", "Melting_Curves/meltCurve_Q14114_4_LRP8.pdf")</f>
        <v>Melting_Curves/meltCurve_Q14114_4_LRP8.pdf</v>
      </c>
    </row>
    <row r="3453" spans="1:28" x14ac:dyDescent="0.25">
      <c r="A3453" t="s">
        <v>3457</v>
      </c>
      <c r="B3453">
        <v>0.99252571173614901</v>
      </c>
      <c r="C3453">
        <v>1.0456331794995499</v>
      </c>
      <c r="D3453">
        <v>0.92186447363665203</v>
      </c>
      <c r="E3453">
        <v>0.82603733078397501</v>
      </c>
      <c r="F3453">
        <v>0.72011585142365098</v>
      </c>
      <c r="G3453">
        <v>0.56476401729645997</v>
      </c>
      <c r="H3453">
        <v>0.46769658348124099</v>
      </c>
      <c r="I3453">
        <v>0.58631371683552203</v>
      </c>
      <c r="J3453">
        <v>0.71514389158981495</v>
      </c>
      <c r="K3453">
        <v>0.66555183042354704</v>
      </c>
      <c r="L3453">
        <v>1247.5501061960099</v>
      </c>
      <c r="M3453">
        <v>24.909456569964199</v>
      </c>
      <c r="O3453">
        <v>49.7639508387701</v>
      </c>
      <c r="P3453">
        <v>-4.9836094658285701E-2</v>
      </c>
      <c r="Q3453">
        <v>0.60175651940714103</v>
      </c>
      <c r="R3453">
        <v>0.86231617106589398</v>
      </c>
      <c r="S3453" t="s">
        <v>10099</v>
      </c>
      <c r="T3453" t="s">
        <v>13290</v>
      </c>
      <c r="U3453" t="s">
        <v>13290</v>
      </c>
      <c r="V3453" t="s">
        <v>13290</v>
      </c>
      <c r="W3453" t="s">
        <v>16699</v>
      </c>
      <c r="X3453">
        <v>15</v>
      </c>
      <c r="Y3453" t="s">
        <v>23214</v>
      </c>
      <c r="Z3453" t="s">
        <v>29783</v>
      </c>
      <c r="AA3453">
        <v>0.73919983515477528</v>
      </c>
      <c r="AB3453" t="str">
        <f>HYPERLINK("Melting_Curves/meltCurve_Q14118_DAG1.pdf", "Melting_Curves/meltCurve_Q14118_DAG1.pdf")</f>
        <v>Melting_Curves/meltCurve_Q14118_DAG1.pdf</v>
      </c>
    </row>
    <row r="3454" spans="1:28" x14ac:dyDescent="0.25">
      <c r="A3454" t="s">
        <v>3458</v>
      </c>
      <c r="B3454">
        <v>0.99252571173614901</v>
      </c>
      <c r="C3454">
        <v>0.94296707776262201</v>
      </c>
      <c r="D3454">
        <v>0.92832980190594505</v>
      </c>
      <c r="E3454">
        <v>0.92831802189459001</v>
      </c>
      <c r="F3454">
        <v>0.50889796930891895</v>
      </c>
      <c r="G3454">
        <v>0.33179794183274802</v>
      </c>
      <c r="H3454">
        <v>0.30463838131713999</v>
      </c>
      <c r="I3454">
        <v>0.42491098608399103</v>
      </c>
      <c r="J3454">
        <v>0.735765806953394</v>
      </c>
      <c r="K3454">
        <v>0.73736423981417099</v>
      </c>
      <c r="L3454">
        <v>5264.1046288285697</v>
      </c>
      <c r="M3454">
        <v>104.36035416934899</v>
      </c>
      <c r="O3454">
        <v>50.423090318255198</v>
      </c>
      <c r="P3454">
        <v>-0.25516014766946399</v>
      </c>
      <c r="Q3454">
        <v>0.50686389062280601</v>
      </c>
      <c r="R3454">
        <v>0.70558233203118703</v>
      </c>
      <c r="S3454" t="s">
        <v>10100</v>
      </c>
      <c r="T3454" t="s">
        <v>13290</v>
      </c>
      <c r="U3454" t="s">
        <v>13290</v>
      </c>
      <c r="V3454" t="s">
        <v>13290</v>
      </c>
      <c r="W3454" t="s">
        <v>16700</v>
      </c>
      <c r="X3454">
        <v>18</v>
      </c>
      <c r="Y3454" t="s">
        <v>23215</v>
      </c>
      <c r="Z3454" t="s">
        <v>29784</v>
      </c>
      <c r="AA3454">
        <v>0.678752556616112</v>
      </c>
      <c r="AB3454" t="str">
        <f>HYPERLINK("Melting_Curves/meltCurve_Q14126_DSG2.pdf", "Melting_Curves/meltCurve_Q14126_DSG2.pdf")</f>
        <v>Melting_Curves/meltCurve_Q14126_DSG2.pdf</v>
      </c>
    </row>
    <row r="3455" spans="1:28" x14ac:dyDescent="0.25">
      <c r="A3455" t="s">
        <v>3459</v>
      </c>
      <c r="B3455">
        <v>0.99252571173614901</v>
      </c>
      <c r="C3455">
        <v>1.09501634386832</v>
      </c>
      <c r="D3455">
        <v>1.00647338535978</v>
      </c>
      <c r="E3455">
        <v>0.97209869149008798</v>
      </c>
      <c r="F3455">
        <v>0.80532323932906003</v>
      </c>
      <c r="G3455">
        <v>0.67018637728270303</v>
      </c>
      <c r="H3455">
        <v>0.70069134441591296</v>
      </c>
      <c r="I3455">
        <v>0.882629019541047</v>
      </c>
      <c r="J3455">
        <v>1.39525105021072</v>
      </c>
      <c r="K3455">
        <v>1.52803495729151</v>
      </c>
      <c r="L3455">
        <v>15000</v>
      </c>
      <c r="M3455">
        <v>224.874310966221</v>
      </c>
      <c r="O3455">
        <v>66.698661594355698</v>
      </c>
      <c r="P3455">
        <v>0.42143713013808398</v>
      </c>
      <c r="Q3455">
        <v>1.5</v>
      </c>
      <c r="R3455">
        <v>0.62470516180676405</v>
      </c>
      <c r="S3455" t="s">
        <v>10101</v>
      </c>
      <c r="T3455" t="s">
        <v>13290</v>
      </c>
      <c r="U3455" t="s">
        <v>13290</v>
      </c>
      <c r="V3455" t="s">
        <v>13290</v>
      </c>
      <c r="W3455" t="s">
        <v>16701</v>
      </c>
      <c r="X3455">
        <v>14</v>
      </c>
      <c r="Y3455" t="s">
        <v>23216</v>
      </c>
      <c r="Z3455" t="s">
        <v>29785</v>
      </c>
      <c r="AA3455">
        <v>1.0548623140283571</v>
      </c>
      <c r="AB3455" t="str">
        <f>HYPERLINK("Melting_Curves/meltCurve_Q14135_VGLL4.pdf", "Melting_Curves/meltCurve_Q14135_VGLL4.pdf")</f>
        <v>Melting_Curves/meltCurve_Q14135_VGLL4.pdf</v>
      </c>
    </row>
    <row r="3456" spans="1:28" x14ac:dyDescent="0.25">
      <c r="A3456" t="s">
        <v>3460</v>
      </c>
      <c r="B3456">
        <v>0.99252571173614901</v>
      </c>
      <c r="C3456">
        <v>0.99698002849137002</v>
      </c>
      <c r="D3456">
        <v>0.89503034766010503</v>
      </c>
      <c r="E3456">
        <v>1.02483031129847</v>
      </c>
      <c r="F3456">
        <v>0.53107101474246299</v>
      </c>
      <c r="G3456">
        <v>0.47687768360796201</v>
      </c>
      <c r="H3456">
        <v>0.51023082908866702</v>
      </c>
      <c r="I3456">
        <v>0.727294444121099</v>
      </c>
      <c r="J3456">
        <v>0.89621778625929305</v>
      </c>
      <c r="K3456">
        <v>1.19547742850389</v>
      </c>
      <c r="L3456">
        <v>12783.6629642345</v>
      </c>
      <c r="M3456">
        <v>250</v>
      </c>
      <c r="O3456">
        <v>51.131379693961101</v>
      </c>
      <c r="P3456">
        <v>-0.33875665107067698</v>
      </c>
      <c r="Q3456">
        <v>0.72286248175525203</v>
      </c>
      <c r="R3456">
        <v>0.27335976155174302</v>
      </c>
      <c r="S3456" t="s">
        <v>10102</v>
      </c>
      <c r="T3456" t="s">
        <v>13290</v>
      </c>
      <c r="U3456" t="s">
        <v>13290</v>
      </c>
      <c r="V3456" t="s">
        <v>13290</v>
      </c>
      <c r="W3456" t="s">
        <v>16702</v>
      </c>
      <c r="X3456">
        <v>2</v>
      </c>
      <c r="Y3456" t="s">
        <v>23217</v>
      </c>
      <c r="Z3456" t="s">
        <v>29786</v>
      </c>
      <c r="AA3456">
        <v>0.82574834495811478</v>
      </c>
      <c r="AB3456" t="str">
        <f>HYPERLINK("Melting_Curves/meltCurve_Q14137_BOP1.pdf", "Melting_Curves/meltCurve_Q14137_BOP1.pdf")</f>
        <v>Melting_Curves/meltCurve_Q14137_BOP1.pdf</v>
      </c>
    </row>
    <row r="3457" spans="1:28" x14ac:dyDescent="0.25">
      <c r="A3457" t="s">
        <v>3461</v>
      </c>
      <c r="B3457">
        <v>0.99252571173614901</v>
      </c>
      <c r="C3457">
        <v>0.79443146876043003</v>
      </c>
      <c r="D3457">
        <v>0.51122957099927402</v>
      </c>
      <c r="E3457">
        <v>0.23878085368830301</v>
      </c>
      <c r="F3457">
        <v>0.17765213045130801</v>
      </c>
      <c r="G3457">
        <v>0.103856949419129</v>
      </c>
      <c r="H3457">
        <v>6.5932886288616405E-2</v>
      </c>
      <c r="I3457">
        <v>6.5478678124107001E-2</v>
      </c>
      <c r="J3457">
        <v>5.6744851142098901E-2</v>
      </c>
      <c r="K3457">
        <v>5.8158437619587701E-2</v>
      </c>
      <c r="L3457">
        <v>868.92682042821195</v>
      </c>
      <c r="M3457">
        <v>18.941120508515102</v>
      </c>
      <c r="N3457">
        <v>46.231253947463998</v>
      </c>
      <c r="O3457">
        <v>45.372982825162502</v>
      </c>
      <c r="P3457">
        <v>-9.72835554849934E-2</v>
      </c>
      <c r="Q3457">
        <v>6.7876279458610606E-2</v>
      </c>
      <c r="R3457">
        <v>0.995067719417837</v>
      </c>
      <c r="S3457" t="s">
        <v>10103</v>
      </c>
      <c r="T3457" t="s">
        <v>13290</v>
      </c>
      <c r="U3457" t="s">
        <v>13290</v>
      </c>
      <c r="V3457" t="s">
        <v>13290</v>
      </c>
      <c r="W3457" t="s">
        <v>16703</v>
      </c>
      <c r="X3457">
        <v>12</v>
      </c>
      <c r="Y3457" t="s">
        <v>23218</v>
      </c>
      <c r="Z3457" t="s">
        <v>29787</v>
      </c>
      <c r="AA3457">
        <v>0.26688989252355633</v>
      </c>
      <c r="AB3457" t="str">
        <f>HYPERLINK("Melting_Curves/meltCurve_Q14139_UBE4A.pdf", "Melting_Curves/meltCurve_Q14139_UBE4A.pdf")</f>
        <v>Melting_Curves/meltCurve_Q14139_UBE4A.pdf</v>
      </c>
    </row>
    <row r="3458" spans="1:28" x14ac:dyDescent="0.25">
      <c r="A3458" t="s">
        <v>3462</v>
      </c>
      <c r="B3458">
        <v>0.99252571173614901</v>
      </c>
      <c r="C3458">
        <v>0.74003486853705702</v>
      </c>
      <c r="D3458">
        <v>0.86205177413684297</v>
      </c>
      <c r="E3458">
        <v>0.89725540381109004</v>
      </c>
      <c r="F3458">
        <v>0.409924855085184</v>
      </c>
      <c r="G3458">
        <v>0.157707189552692</v>
      </c>
      <c r="H3458">
        <v>0.16302798213917299</v>
      </c>
      <c r="I3458">
        <v>0</v>
      </c>
      <c r="J3458">
        <v>0.14317813646120001</v>
      </c>
      <c r="K3458">
        <v>0.16609796450703501</v>
      </c>
      <c r="L3458">
        <v>1789.53169528479</v>
      </c>
      <c r="M3458">
        <v>34.2956993585913</v>
      </c>
      <c r="N3458">
        <v>52.574679488939402</v>
      </c>
      <c r="O3458">
        <v>52.003027337980498</v>
      </c>
      <c r="P3458">
        <v>-0.146140406786228</v>
      </c>
      <c r="Q3458">
        <v>0.113624810001513</v>
      </c>
      <c r="R3458">
        <v>0.92012268451792201</v>
      </c>
      <c r="S3458" t="s">
        <v>10104</v>
      </c>
      <c r="T3458" t="s">
        <v>13290</v>
      </c>
      <c r="U3458" t="s">
        <v>13290</v>
      </c>
      <c r="V3458" t="s">
        <v>13290</v>
      </c>
      <c r="W3458" t="s">
        <v>16704</v>
      </c>
      <c r="X3458">
        <v>3</v>
      </c>
      <c r="Y3458" t="s">
        <v>23219</v>
      </c>
      <c r="Z3458" t="s">
        <v>29788</v>
      </c>
      <c r="AA3458">
        <v>0.4778284619996877</v>
      </c>
      <c r="AB3458" t="str">
        <f>HYPERLINK("Melting_Curves/meltCurve_Q14146_URB2.pdf", "Melting_Curves/meltCurve_Q14146_URB2.pdf")</f>
        <v>Melting_Curves/meltCurve_Q14146_URB2.pdf</v>
      </c>
    </row>
    <row r="3459" spans="1:28" x14ac:dyDescent="0.25">
      <c r="A3459" t="s">
        <v>3463</v>
      </c>
      <c r="B3459">
        <v>0.99252571173614901</v>
      </c>
      <c r="C3459">
        <v>0.96993426336049904</v>
      </c>
      <c r="D3459">
        <v>0.84760807021412299</v>
      </c>
      <c r="E3459">
        <v>0.69753363892936104</v>
      </c>
      <c r="F3459">
        <v>0.468953392161781</v>
      </c>
      <c r="G3459">
        <v>0.289300821730749</v>
      </c>
      <c r="H3459">
        <v>0.24836403748859801</v>
      </c>
      <c r="I3459">
        <v>0.27893231661981399</v>
      </c>
      <c r="J3459">
        <v>0.44167715891467002</v>
      </c>
      <c r="K3459">
        <v>0.48135510732493197</v>
      </c>
      <c r="L3459">
        <v>1135.59101831726</v>
      </c>
      <c r="M3459">
        <v>22.987751953617401</v>
      </c>
      <c r="N3459">
        <v>52.057520487474598</v>
      </c>
      <c r="O3459">
        <v>49.030569965885299</v>
      </c>
      <c r="P3459">
        <v>-7.6731012346806099E-2</v>
      </c>
      <c r="Q3459">
        <v>0.34537436042456299</v>
      </c>
      <c r="R3459">
        <v>0.92418194615845695</v>
      </c>
      <c r="S3459" t="s">
        <v>10105</v>
      </c>
      <c r="T3459" t="s">
        <v>13290</v>
      </c>
      <c r="U3459" t="s">
        <v>13290</v>
      </c>
      <c r="V3459" t="s">
        <v>13290</v>
      </c>
      <c r="W3459" t="s">
        <v>16705</v>
      </c>
      <c r="X3459">
        <v>3</v>
      </c>
      <c r="Y3459" t="s">
        <v>23220</v>
      </c>
      <c r="Z3459" t="s">
        <v>29789</v>
      </c>
      <c r="AA3459">
        <v>0.55738890610006775</v>
      </c>
      <c r="AB3459" t="str">
        <f>HYPERLINK("Melting_Curves/meltCurve_Q14149_MORC3.pdf", "Melting_Curves/meltCurve_Q14149_MORC3.pdf")</f>
        <v>Melting_Curves/meltCurve_Q14149_MORC3.pdf</v>
      </c>
    </row>
    <row r="3460" spans="1:28" x14ac:dyDescent="0.25">
      <c r="A3460" t="s">
        <v>3464</v>
      </c>
      <c r="B3460">
        <v>0.99252571173614901</v>
      </c>
      <c r="C3460">
        <v>1.081011995206</v>
      </c>
      <c r="D3460">
        <v>0.98336369397163403</v>
      </c>
      <c r="E3460">
        <v>0.97534692582931504</v>
      </c>
      <c r="F3460">
        <v>0.81474657116341997</v>
      </c>
      <c r="G3460">
        <v>0.90664952294410595</v>
      </c>
      <c r="H3460">
        <v>0.95951892353019097</v>
      </c>
      <c r="I3460">
        <v>1.29717094466794</v>
      </c>
      <c r="J3460">
        <v>2.42453607311618</v>
      </c>
      <c r="K3460">
        <v>3.3545617320473702</v>
      </c>
      <c r="L3460">
        <v>15000</v>
      </c>
      <c r="M3460">
        <v>234.75736564107299</v>
      </c>
      <c r="O3460">
        <v>63.891135795328502</v>
      </c>
      <c r="P3460">
        <v>0.45929183824210501</v>
      </c>
      <c r="Q3460">
        <v>1.5</v>
      </c>
      <c r="R3460">
        <v>0.307659563665591</v>
      </c>
      <c r="S3460" t="s">
        <v>10106</v>
      </c>
      <c r="T3460" t="s">
        <v>13290</v>
      </c>
      <c r="U3460" t="s">
        <v>13290</v>
      </c>
      <c r="V3460" t="s">
        <v>13290</v>
      </c>
      <c r="W3460" t="s">
        <v>16706</v>
      </c>
      <c r="X3460">
        <v>54</v>
      </c>
      <c r="Y3460" t="s">
        <v>23221</v>
      </c>
      <c r="Z3460" t="s">
        <v>29790</v>
      </c>
      <c r="AA3460">
        <v>1.101673766951329</v>
      </c>
      <c r="AB3460" t="str">
        <f>HYPERLINK("Melting_Curves/meltCurve_Q14151_SAFB2.pdf", "Melting_Curves/meltCurve_Q14151_SAFB2.pdf")</f>
        <v>Melting_Curves/meltCurve_Q14151_SAFB2.pdf</v>
      </c>
    </row>
    <row r="3461" spans="1:28" x14ac:dyDescent="0.25">
      <c r="A3461" t="s">
        <v>3465</v>
      </c>
      <c r="B3461">
        <v>0.99252571173614901</v>
      </c>
      <c r="C3461">
        <v>0.89712960184109802</v>
      </c>
      <c r="D3461">
        <v>1.44797857532594</v>
      </c>
      <c r="E3461">
        <v>0.76654366439694999</v>
      </c>
      <c r="F3461">
        <v>0.233178955620955</v>
      </c>
      <c r="G3461">
        <v>0.14449862058317101</v>
      </c>
      <c r="H3461">
        <v>0.117737612844745</v>
      </c>
      <c r="I3461">
        <v>0.15296968218935</v>
      </c>
      <c r="J3461">
        <v>0.20589618329662401</v>
      </c>
      <c r="K3461">
        <v>0.220812817403366</v>
      </c>
      <c r="L3461">
        <v>3431.78577567192</v>
      </c>
      <c r="M3461">
        <v>68.210761295204506</v>
      </c>
      <c r="N3461">
        <v>50.632223121254299</v>
      </c>
      <c r="O3461">
        <v>50.268325050859303</v>
      </c>
      <c r="P3461">
        <v>-0.27972431870564002</v>
      </c>
      <c r="Q3461">
        <v>0.17542248027176799</v>
      </c>
      <c r="R3461">
        <v>0.88881115007786704</v>
      </c>
      <c r="S3461" t="s">
        <v>10107</v>
      </c>
      <c r="T3461" t="s">
        <v>13290</v>
      </c>
      <c r="U3461" t="s">
        <v>13290</v>
      </c>
      <c r="V3461" t="s">
        <v>13290</v>
      </c>
      <c r="W3461" t="s">
        <v>16707</v>
      </c>
      <c r="X3461">
        <v>58</v>
      </c>
      <c r="Y3461" t="s">
        <v>23222</v>
      </c>
      <c r="Z3461" t="s">
        <v>29791</v>
      </c>
      <c r="AA3461">
        <v>0.45982426449441588</v>
      </c>
      <c r="AB3461" t="str">
        <f>HYPERLINK("Melting_Curves/meltCurve_Q14152_EIF3A.pdf", "Melting_Curves/meltCurve_Q14152_EIF3A.pdf")</f>
        <v>Melting_Curves/meltCurve_Q14152_EIF3A.pdf</v>
      </c>
    </row>
    <row r="3462" spans="1:28" x14ac:dyDescent="0.25">
      <c r="A3462" t="s">
        <v>3466</v>
      </c>
      <c r="B3462">
        <v>0.99252571173614901</v>
      </c>
      <c r="C3462">
        <v>1.08678772720297</v>
      </c>
      <c r="D3462">
        <v>0.98289660246502197</v>
      </c>
      <c r="E3462">
        <v>0.90335098286080695</v>
      </c>
      <c r="F3462">
        <v>0.50148351950520198</v>
      </c>
      <c r="G3462">
        <v>0.253380254425569</v>
      </c>
      <c r="H3462">
        <v>0.222767787161752</v>
      </c>
      <c r="I3462">
        <v>0.29423563419277998</v>
      </c>
      <c r="J3462">
        <v>0.51528547035150196</v>
      </c>
      <c r="K3462">
        <v>0.66495407973323295</v>
      </c>
      <c r="L3462">
        <v>2574.2384959710698</v>
      </c>
      <c r="M3462">
        <v>50.125184075252399</v>
      </c>
      <c r="N3462">
        <v>52.977743464237598</v>
      </c>
      <c r="O3462">
        <v>51.274651792155801</v>
      </c>
      <c r="P3462">
        <v>-0.14854659700289399</v>
      </c>
      <c r="Q3462">
        <v>0.39218833769468198</v>
      </c>
      <c r="R3462">
        <v>0.84145514340255501</v>
      </c>
      <c r="S3462" t="s">
        <v>10108</v>
      </c>
      <c r="T3462" t="s">
        <v>13290</v>
      </c>
      <c r="U3462" t="s">
        <v>13290</v>
      </c>
      <c r="V3462" t="s">
        <v>13290</v>
      </c>
      <c r="W3462" t="s">
        <v>16708</v>
      </c>
      <c r="X3462">
        <v>31</v>
      </c>
      <c r="Y3462" t="s">
        <v>20643</v>
      </c>
      <c r="Z3462" t="s">
        <v>29792</v>
      </c>
      <c r="AA3462">
        <v>0.62363910781477272</v>
      </c>
      <c r="AB3462" t="str">
        <f>HYPERLINK("Melting_Curves/meltCurve_Q14157_1_UBAP2L.pdf", "Melting_Curves/meltCurve_Q14157_1_UBAP2L.pdf")</f>
        <v>Melting_Curves/meltCurve_Q14157_1_UBAP2L.pdf</v>
      </c>
    </row>
    <row r="3463" spans="1:28" x14ac:dyDescent="0.25">
      <c r="A3463" t="s">
        <v>3467</v>
      </c>
      <c r="B3463">
        <v>0.99252571173614901</v>
      </c>
      <c r="C3463">
        <v>1.0016098923675401</v>
      </c>
      <c r="D3463">
        <v>0.99238012892317595</v>
      </c>
      <c r="E3463">
        <v>0.92335233670209504</v>
      </c>
      <c r="F3463">
        <v>0.71098663998728495</v>
      </c>
      <c r="G3463">
        <v>0.57964175352353897</v>
      </c>
      <c r="H3463">
        <v>0.59605606523530597</v>
      </c>
      <c r="I3463">
        <v>0.84476776450656299</v>
      </c>
      <c r="J3463">
        <v>1.44146867415169</v>
      </c>
      <c r="K3463">
        <v>1.7896194370726599</v>
      </c>
      <c r="L3463">
        <v>15000</v>
      </c>
      <c r="M3463">
        <v>225.56385771497801</v>
      </c>
      <c r="O3463">
        <v>66.494787905742896</v>
      </c>
      <c r="P3463">
        <v>0.42402544835374001</v>
      </c>
      <c r="Q3463">
        <v>1.5</v>
      </c>
      <c r="R3463">
        <v>0.57693894170081705</v>
      </c>
      <c r="S3463" t="s">
        <v>10109</v>
      </c>
      <c r="T3463" t="s">
        <v>13290</v>
      </c>
      <c r="U3463" t="s">
        <v>13290</v>
      </c>
      <c r="V3463" t="s">
        <v>13290</v>
      </c>
      <c r="W3463" t="s">
        <v>16709</v>
      </c>
      <c r="X3463">
        <v>30</v>
      </c>
      <c r="Y3463" t="s">
        <v>20643</v>
      </c>
      <c r="Z3463" t="s">
        <v>29793</v>
      </c>
      <c r="AA3463">
        <v>1.0582614620915971</v>
      </c>
      <c r="AB3463" t="str">
        <f>HYPERLINK("Melting_Curves/meltCurve_Q14157_5_UBAP2L.pdf", "Melting_Curves/meltCurve_Q14157_5_UBAP2L.pdf")</f>
        <v>Melting_Curves/meltCurve_Q14157_5_UBAP2L.pdf</v>
      </c>
    </row>
    <row r="3464" spans="1:28" x14ac:dyDescent="0.25">
      <c r="A3464" t="s">
        <v>3468</v>
      </c>
      <c r="B3464">
        <v>0.99252571173614901</v>
      </c>
      <c r="C3464">
        <v>0.85070305385225298</v>
      </c>
      <c r="D3464">
        <v>0.44660166910643201</v>
      </c>
      <c r="E3464">
        <v>0.24433439464146001</v>
      </c>
      <c r="F3464">
        <v>0.15289652592251399</v>
      </c>
      <c r="G3464">
        <v>9.3494830514971997E-2</v>
      </c>
      <c r="H3464">
        <v>7.4597587234752696E-2</v>
      </c>
      <c r="I3464">
        <v>8.5592041623689497E-2</v>
      </c>
      <c r="J3464">
        <v>0.10452387298785901</v>
      </c>
      <c r="K3464">
        <v>0.106900068694431</v>
      </c>
      <c r="L3464">
        <v>1111.56431531362</v>
      </c>
      <c r="M3464">
        <v>24.464834369795899</v>
      </c>
      <c r="N3464">
        <v>45.856416874957702</v>
      </c>
      <c r="O3464">
        <v>45.134879605539403</v>
      </c>
      <c r="P3464">
        <v>-0.12187447527824</v>
      </c>
      <c r="Q3464">
        <v>0.100634140704045</v>
      </c>
      <c r="R3464">
        <v>0.99408853102192796</v>
      </c>
      <c r="S3464" t="s">
        <v>10110</v>
      </c>
      <c r="T3464" t="s">
        <v>13290</v>
      </c>
      <c r="U3464" t="s">
        <v>13290</v>
      </c>
      <c r="V3464" t="s">
        <v>13290</v>
      </c>
      <c r="W3464" t="s">
        <v>16710</v>
      </c>
      <c r="X3464">
        <v>25</v>
      </c>
      <c r="Y3464" t="s">
        <v>23223</v>
      </c>
      <c r="Z3464" t="s">
        <v>29794</v>
      </c>
      <c r="AA3464">
        <v>0.27264184275531328</v>
      </c>
      <c r="AB3464" t="str">
        <f>HYPERLINK("Melting_Curves/meltCurve_Q14160_SCRIB.pdf", "Melting_Curves/meltCurve_Q14160_SCRIB.pdf")</f>
        <v>Melting_Curves/meltCurve_Q14160_SCRIB.pdf</v>
      </c>
    </row>
    <row r="3465" spans="1:28" x14ac:dyDescent="0.25">
      <c r="A3465" t="s">
        <v>3469</v>
      </c>
      <c r="B3465">
        <v>0.99252571173614901</v>
      </c>
      <c r="C3465">
        <v>0.94302287327686196</v>
      </c>
      <c r="D3465">
        <v>1.02531130309626</v>
      </c>
      <c r="E3465">
        <v>0.839503236023041</v>
      </c>
      <c r="F3465">
        <v>0.45075332797670498</v>
      </c>
      <c r="G3465">
        <v>0.25859249469317203</v>
      </c>
      <c r="H3465">
        <v>0.18905066268213599</v>
      </c>
      <c r="I3465">
        <v>0.193253301021753</v>
      </c>
      <c r="J3465">
        <v>0.19012556864879199</v>
      </c>
      <c r="K3465">
        <v>0.17102126449023999</v>
      </c>
      <c r="L3465">
        <v>1565.87442544737</v>
      </c>
      <c r="M3465">
        <v>30.133755140150502</v>
      </c>
      <c r="N3465">
        <v>52.773849787052903</v>
      </c>
      <c r="O3465">
        <v>51.736897477816001</v>
      </c>
      <c r="P3465">
        <v>-0.118659366376738</v>
      </c>
      <c r="Q3465">
        <v>0.18509624249267601</v>
      </c>
      <c r="R3465">
        <v>0.99576462929913601</v>
      </c>
      <c r="S3465" t="s">
        <v>10111</v>
      </c>
      <c r="T3465" t="s">
        <v>13290</v>
      </c>
      <c r="U3465" t="s">
        <v>13290</v>
      </c>
      <c r="V3465" t="s">
        <v>13290</v>
      </c>
      <c r="W3465" t="s">
        <v>16711</v>
      </c>
      <c r="X3465">
        <v>5</v>
      </c>
      <c r="Y3465" t="s">
        <v>23224</v>
      </c>
      <c r="Z3465" t="s">
        <v>29795</v>
      </c>
      <c r="AA3465">
        <v>0.51524148847557771</v>
      </c>
      <c r="AB3465" t="str">
        <f>HYPERLINK("Melting_Curves/meltCurve_Q14161_7_GIT2.pdf", "Melting_Curves/meltCurve_Q14161_7_GIT2.pdf")</f>
        <v>Melting_Curves/meltCurve_Q14161_7_GIT2.pdf</v>
      </c>
    </row>
    <row r="3466" spans="1:28" x14ac:dyDescent="0.25">
      <c r="A3466" t="s">
        <v>3470</v>
      </c>
      <c r="B3466">
        <v>0.99252571173614901</v>
      </c>
      <c r="C3466">
        <v>0.64073596293571999</v>
      </c>
      <c r="D3466">
        <v>0.81862053660622003</v>
      </c>
      <c r="E3466">
        <v>0.72499644340958802</v>
      </c>
      <c r="F3466">
        <v>0.36328622092329899</v>
      </c>
      <c r="G3466">
        <v>8.6293621073585694E-2</v>
      </c>
      <c r="H3466">
        <v>4.2751516526688203E-2</v>
      </c>
      <c r="I3466">
        <v>4.0007075005066797E-2</v>
      </c>
      <c r="J3466">
        <v>5.4675391537031E-2</v>
      </c>
      <c r="K3466">
        <v>4.83405803556037E-2</v>
      </c>
      <c r="L3466">
        <v>676.06280967156204</v>
      </c>
      <c r="M3466">
        <v>13.320806174082399</v>
      </c>
      <c r="N3466">
        <v>50.752393699000102</v>
      </c>
      <c r="O3466">
        <v>49.649515611414202</v>
      </c>
      <c r="P3466">
        <v>-6.7084967738311893E-2</v>
      </c>
      <c r="Q3466">
        <v>0</v>
      </c>
      <c r="R3466">
        <v>0.90904643942044405</v>
      </c>
      <c r="S3466" t="s">
        <v>10112</v>
      </c>
      <c r="T3466" t="s">
        <v>13290</v>
      </c>
      <c r="U3466" t="s">
        <v>13290</v>
      </c>
      <c r="V3466" t="s">
        <v>13290</v>
      </c>
      <c r="W3466" t="s">
        <v>16712</v>
      </c>
      <c r="X3466">
        <v>14</v>
      </c>
      <c r="Y3466" t="s">
        <v>23225</v>
      </c>
      <c r="Z3466" t="s">
        <v>29796</v>
      </c>
      <c r="AA3466">
        <v>0.38666507305409609</v>
      </c>
      <c r="AB3466" t="str">
        <f>HYPERLINK("Melting_Curves/meltCurve_Q14165_MLEC.pdf", "Melting_Curves/meltCurve_Q14165_MLEC.pdf")</f>
        <v>Melting_Curves/meltCurve_Q14165_MLEC.pdf</v>
      </c>
    </row>
    <row r="3467" spans="1:28" x14ac:dyDescent="0.25">
      <c r="A3467" t="s">
        <v>3471</v>
      </c>
      <c r="B3467">
        <v>0.99252571173614901</v>
      </c>
      <c r="C3467">
        <v>0.849701552964088</v>
      </c>
      <c r="D3467">
        <v>0.39771740901911101</v>
      </c>
      <c r="E3467">
        <v>0.18202203193619401</v>
      </c>
      <c r="F3467">
        <v>0.118985143672799</v>
      </c>
      <c r="G3467">
        <v>7.3021672685117806E-2</v>
      </c>
      <c r="H3467">
        <v>5.2879564430414999E-2</v>
      </c>
      <c r="I3467">
        <v>5.3632772659394402E-2</v>
      </c>
      <c r="J3467">
        <v>5.42354207251537E-2</v>
      </c>
      <c r="K3467">
        <v>4.88283719122743E-2</v>
      </c>
      <c r="L3467">
        <v>1248.6376338469099</v>
      </c>
      <c r="M3467">
        <v>27.609482276155799</v>
      </c>
      <c r="N3467">
        <v>45.463286737447397</v>
      </c>
      <c r="O3467">
        <v>44.989701858902102</v>
      </c>
      <c r="P3467">
        <v>-0.14308532645911901</v>
      </c>
      <c r="Q3467">
        <v>6.73773251750064E-2</v>
      </c>
      <c r="R3467">
        <v>0.99517162815596105</v>
      </c>
      <c r="S3467" t="s">
        <v>10113</v>
      </c>
      <c r="T3467" t="s">
        <v>13290</v>
      </c>
      <c r="U3467" t="s">
        <v>13290</v>
      </c>
      <c r="V3467" t="s">
        <v>13290</v>
      </c>
      <c r="W3467" t="s">
        <v>16713</v>
      </c>
      <c r="X3467">
        <v>26</v>
      </c>
      <c r="Y3467" t="s">
        <v>23226</v>
      </c>
      <c r="Z3467" t="s">
        <v>29797</v>
      </c>
      <c r="AA3467">
        <v>0.23698652560286071</v>
      </c>
      <c r="AB3467" t="str">
        <f>HYPERLINK("Melting_Curves/meltCurve_Q14166_TTLL12.pdf", "Melting_Curves/meltCurve_Q14166_TTLL12.pdf")</f>
        <v>Melting_Curves/meltCurve_Q14166_TTLL12.pdf</v>
      </c>
    </row>
    <row r="3468" spans="1:28" x14ac:dyDescent="0.25">
      <c r="A3468" t="s">
        <v>3472</v>
      </c>
      <c r="B3468">
        <v>0.99252571173614901</v>
      </c>
      <c r="C3468">
        <v>0.83829499589464296</v>
      </c>
      <c r="D3468">
        <v>0.59534909560697102</v>
      </c>
      <c r="E3468">
        <v>0.28465906180777201</v>
      </c>
      <c r="F3468">
        <v>9.7632098362312403E-2</v>
      </c>
      <c r="G3468">
        <v>4.5753989998443503E-2</v>
      </c>
      <c r="H3468">
        <v>2.4694134199673201E-2</v>
      </c>
      <c r="I3468">
        <v>2.1998271512136E-2</v>
      </c>
      <c r="J3468">
        <v>2.6360718047126201E-2</v>
      </c>
      <c r="K3468">
        <v>2.4337725134237501E-2</v>
      </c>
      <c r="L3468">
        <v>889.98840470732102</v>
      </c>
      <c r="M3468">
        <v>18.988417056572501</v>
      </c>
      <c r="N3468">
        <v>46.952793124179799</v>
      </c>
      <c r="O3468">
        <v>46.359512475707199</v>
      </c>
      <c r="P3468">
        <v>-0.100717126255775</v>
      </c>
      <c r="Q3468">
        <v>1.6450862801345299E-2</v>
      </c>
      <c r="R3468">
        <v>0.99878588460388196</v>
      </c>
      <c r="S3468" t="s">
        <v>10114</v>
      </c>
      <c r="T3468" t="s">
        <v>13290</v>
      </c>
      <c r="U3468" t="s">
        <v>13290</v>
      </c>
      <c r="V3468" t="s">
        <v>13290</v>
      </c>
      <c r="W3468" t="s">
        <v>16714</v>
      </c>
      <c r="X3468">
        <v>6</v>
      </c>
      <c r="Y3468" t="s">
        <v>23227</v>
      </c>
      <c r="Z3468" t="s">
        <v>29798</v>
      </c>
      <c r="AA3468">
        <v>0.25792709651659901</v>
      </c>
      <c r="AB3468" t="str">
        <f>HYPERLINK("Melting_Curves/meltCurve_Q14181_POLA2.pdf", "Melting_Curves/meltCurve_Q14181_POLA2.pdf")</f>
        <v>Melting_Curves/meltCurve_Q14181_POLA2.pdf</v>
      </c>
    </row>
    <row r="3469" spans="1:28" x14ac:dyDescent="0.25">
      <c r="A3469" t="s">
        <v>3473</v>
      </c>
      <c r="B3469">
        <v>0.99252571173614901</v>
      </c>
      <c r="C3469">
        <v>0.87239865862563204</v>
      </c>
      <c r="D3469">
        <v>0.61912683158678505</v>
      </c>
      <c r="E3469">
        <v>0.385969719808754</v>
      </c>
      <c r="F3469">
        <v>0.23526660821724499</v>
      </c>
      <c r="G3469">
        <v>0.12922321792736599</v>
      </c>
      <c r="H3469">
        <v>0.113901460017005</v>
      </c>
      <c r="I3469">
        <v>0.162443235049544</v>
      </c>
      <c r="J3469">
        <v>0.18632080488412001</v>
      </c>
      <c r="K3469">
        <v>0.221280635652191</v>
      </c>
      <c r="L3469">
        <v>926.260280208685</v>
      </c>
      <c r="M3469">
        <v>19.8583165252697</v>
      </c>
      <c r="N3469">
        <v>47.566170759966703</v>
      </c>
      <c r="O3469">
        <v>46.1781758513658</v>
      </c>
      <c r="P3469">
        <v>-9.0326846663734001E-2</v>
      </c>
      <c r="Q3469">
        <v>0.159850359226932</v>
      </c>
      <c r="R3469">
        <v>0.987341135125261</v>
      </c>
      <c r="S3469" t="s">
        <v>10115</v>
      </c>
      <c r="T3469" t="s">
        <v>13290</v>
      </c>
      <c r="U3469" t="s">
        <v>13290</v>
      </c>
      <c r="V3469" t="s">
        <v>13290</v>
      </c>
      <c r="W3469" t="s">
        <v>16715</v>
      </c>
      <c r="X3469">
        <v>1</v>
      </c>
      <c r="Y3469" t="s">
        <v>23228</v>
      </c>
      <c r="Z3469" t="s">
        <v>29799</v>
      </c>
      <c r="AA3469">
        <v>0.35859830819555438</v>
      </c>
      <c r="AB3469" t="str">
        <f>HYPERLINK("Melting_Curves/meltCurve_Q14186_TFDP1.pdf", "Melting_Curves/meltCurve_Q14186_TFDP1.pdf")</f>
        <v>Melting_Curves/meltCurve_Q14186_TFDP1.pdf</v>
      </c>
    </row>
    <row r="3470" spans="1:28" x14ac:dyDescent="0.25">
      <c r="A3470" t="s">
        <v>3474</v>
      </c>
      <c r="B3470">
        <v>0.99252571173614901</v>
      </c>
      <c r="C3470">
        <v>0.89731474932230704</v>
      </c>
      <c r="D3470">
        <v>0.96290300017904495</v>
      </c>
      <c r="E3470">
        <v>0.71326383188423004</v>
      </c>
      <c r="F3470">
        <v>1.1801057646617401</v>
      </c>
      <c r="G3470">
        <v>1.0193550796166</v>
      </c>
      <c r="H3470">
        <v>0.88082446163128802</v>
      </c>
      <c r="I3470">
        <v>0.41065985953705603</v>
      </c>
      <c r="J3470">
        <v>0.33022013561080599</v>
      </c>
      <c r="K3470">
        <v>0.28162817291730802</v>
      </c>
      <c r="L3470">
        <v>3929.2569409308298</v>
      </c>
      <c r="M3470">
        <v>63.047146961645197</v>
      </c>
      <c r="N3470">
        <v>63.2448438471679</v>
      </c>
      <c r="O3470">
        <v>62.259891541536199</v>
      </c>
      <c r="P3470">
        <v>-0.177053484899448</v>
      </c>
      <c r="Q3470">
        <v>0.30062942417520999</v>
      </c>
      <c r="R3470">
        <v>0.85936411580176997</v>
      </c>
      <c r="S3470" t="s">
        <v>10116</v>
      </c>
      <c r="T3470" t="s">
        <v>13290</v>
      </c>
      <c r="U3470" t="s">
        <v>13290</v>
      </c>
      <c r="V3470" t="s">
        <v>13290</v>
      </c>
      <c r="W3470" t="s">
        <v>16716</v>
      </c>
      <c r="X3470">
        <v>1</v>
      </c>
      <c r="Y3470" t="s">
        <v>23229</v>
      </c>
      <c r="Z3470" t="s">
        <v>29800</v>
      </c>
      <c r="AA3470">
        <v>0.82219658705366527</v>
      </c>
      <c r="AB3470" t="str">
        <f>HYPERLINK("Melting_Curves/meltCurve_Q14191_WRN.pdf", "Melting_Curves/meltCurve_Q14191_WRN.pdf")</f>
        <v>Melting_Curves/meltCurve_Q14191_WRN.pdf</v>
      </c>
    </row>
    <row r="3471" spans="1:28" x14ac:dyDescent="0.25">
      <c r="A3471" t="s">
        <v>3475</v>
      </c>
      <c r="B3471">
        <v>0.99252571173614901</v>
      </c>
      <c r="C3471">
        <v>0.91969296698515801</v>
      </c>
      <c r="D3471">
        <v>1.12849158039391</v>
      </c>
      <c r="E3471">
        <v>1.0515085307455001</v>
      </c>
      <c r="F3471">
        <v>0.74613645025266295</v>
      </c>
      <c r="G3471">
        <v>0.48258795993416398</v>
      </c>
      <c r="H3471">
        <v>0.32468233824285297</v>
      </c>
      <c r="I3471">
        <v>0.16678515362251001</v>
      </c>
      <c r="J3471">
        <v>7.6227294571068499E-2</v>
      </c>
      <c r="K3471">
        <v>7.0416481484525298E-2</v>
      </c>
      <c r="L3471">
        <v>1105.2077660877201</v>
      </c>
      <c r="M3471">
        <v>19.5052863397027</v>
      </c>
      <c r="N3471">
        <v>57.052940056566101</v>
      </c>
      <c r="O3471">
        <v>56.076490636615098</v>
      </c>
      <c r="P3471">
        <v>-8.1521252719080395E-2</v>
      </c>
      <c r="Q3471">
        <v>6.2559872875219594E-2</v>
      </c>
      <c r="R3471">
        <v>0.97108541512331903</v>
      </c>
      <c r="S3471" t="s">
        <v>10117</v>
      </c>
      <c r="T3471" t="s">
        <v>13290</v>
      </c>
      <c r="U3471" t="s">
        <v>13290</v>
      </c>
      <c r="V3471" t="s">
        <v>13290</v>
      </c>
      <c r="W3471" t="s">
        <v>16717</v>
      </c>
      <c r="X3471">
        <v>28</v>
      </c>
      <c r="Y3471" t="s">
        <v>23230</v>
      </c>
      <c r="Z3471" t="s">
        <v>29801</v>
      </c>
      <c r="AA3471">
        <v>0.59528144300964869</v>
      </c>
      <c r="AB3471" t="str">
        <f>HYPERLINK("Melting_Curves/meltCurve_Q14195_DPYSL3.pdf", "Melting_Curves/meltCurve_Q14195_DPYSL3.pdf")</f>
        <v>Melting_Curves/meltCurve_Q14195_DPYSL3.pdf</v>
      </c>
    </row>
    <row r="3472" spans="1:28" x14ac:dyDescent="0.25">
      <c r="A3472" t="s">
        <v>3476</v>
      </c>
      <c r="B3472">
        <v>0.99252571173614901</v>
      </c>
      <c r="C3472">
        <v>0.78825060876274899</v>
      </c>
      <c r="D3472">
        <v>1.37142109529788</v>
      </c>
      <c r="E3472">
        <v>1.21177699254164</v>
      </c>
      <c r="F3472">
        <v>0.21587259219980701</v>
      </c>
      <c r="G3472">
        <v>0.14182301939488101</v>
      </c>
      <c r="H3472">
        <v>9.1455299772015303E-2</v>
      </c>
      <c r="I3472">
        <v>9.2258981017885794E-2</v>
      </c>
      <c r="J3472">
        <v>0.10066374566561601</v>
      </c>
      <c r="K3472">
        <v>0.100217118383743</v>
      </c>
      <c r="L3472">
        <v>13195.7945792685</v>
      </c>
      <c r="M3472">
        <v>250</v>
      </c>
      <c r="N3472">
        <v>52.833148616590101</v>
      </c>
      <c r="O3472">
        <v>52.779825394577003</v>
      </c>
      <c r="P3472">
        <v>-1.05949197719137</v>
      </c>
      <c r="Q3472">
        <v>0.105283594209592</v>
      </c>
      <c r="R3472">
        <v>0.906428175092022</v>
      </c>
      <c r="S3472" t="s">
        <v>10118</v>
      </c>
      <c r="T3472" t="s">
        <v>13290</v>
      </c>
      <c r="U3472" t="s">
        <v>13290</v>
      </c>
      <c r="V3472" t="s">
        <v>13290</v>
      </c>
      <c r="W3472" t="s">
        <v>16718</v>
      </c>
      <c r="X3472">
        <v>168</v>
      </c>
      <c r="Y3472" t="s">
        <v>23231</v>
      </c>
      <c r="Z3472" t="s">
        <v>29802</v>
      </c>
      <c r="AA3472">
        <v>0.48661045367609818</v>
      </c>
      <c r="AB3472" t="str">
        <f>HYPERLINK("Melting_Curves/meltCurve_Q14204_DYNC1H1.pdf", "Melting_Curves/meltCurve_Q14204_DYNC1H1.pdf")</f>
        <v>Melting_Curves/meltCurve_Q14204_DYNC1H1.pdf</v>
      </c>
    </row>
    <row r="3473" spans="1:28" x14ac:dyDescent="0.25">
      <c r="A3473" t="s">
        <v>3477</v>
      </c>
      <c r="B3473">
        <v>0.99252571173614901</v>
      </c>
      <c r="C3473">
        <v>0.82113031012558402</v>
      </c>
      <c r="D3473">
        <v>0.61982753644515298</v>
      </c>
      <c r="E3473">
        <v>0.44974042919033302</v>
      </c>
      <c r="F3473">
        <v>0.27774984507433498</v>
      </c>
      <c r="G3473">
        <v>0.15605050871057</v>
      </c>
      <c r="H3473">
        <v>0.12295420011637299</v>
      </c>
      <c r="I3473">
        <v>0.14156763056253499</v>
      </c>
      <c r="J3473">
        <v>0.18832947333831701</v>
      </c>
      <c r="K3473">
        <v>0.231322138383624</v>
      </c>
      <c r="L3473">
        <v>750.37235370255405</v>
      </c>
      <c r="M3473">
        <v>16.002034434317299</v>
      </c>
      <c r="N3473">
        <v>48.017440092777299</v>
      </c>
      <c r="O3473">
        <v>46.1783257295791</v>
      </c>
      <c r="P3473">
        <v>-7.3093481159912696E-2</v>
      </c>
      <c r="Q3473">
        <v>0.15633987468600199</v>
      </c>
      <c r="R3473">
        <v>0.98070378070437703</v>
      </c>
      <c r="S3473" t="s">
        <v>10119</v>
      </c>
      <c r="T3473" t="s">
        <v>13290</v>
      </c>
      <c r="U3473" t="s">
        <v>13290</v>
      </c>
      <c r="V3473" t="s">
        <v>13290</v>
      </c>
      <c r="W3473" t="s">
        <v>16719</v>
      </c>
      <c r="X3473">
        <v>3</v>
      </c>
      <c r="Y3473" t="s">
        <v>23232</v>
      </c>
      <c r="Z3473" t="s">
        <v>29803</v>
      </c>
      <c r="AA3473">
        <v>0.37032594091689508</v>
      </c>
      <c r="AB3473" t="str">
        <f>HYPERLINK("Melting_Curves/meltCurve_Q14207_NPAT.pdf", "Melting_Curves/meltCurve_Q14207_NPAT.pdf")</f>
        <v>Melting_Curves/meltCurve_Q14207_NPAT.pdf</v>
      </c>
    </row>
    <row r="3474" spans="1:28" x14ac:dyDescent="0.25">
      <c r="A3474" t="s">
        <v>3478</v>
      </c>
      <c r="B3474">
        <v>0.99252571173614901</v>
      </c>
      <c r="C3474">
        <v>1.00156587572458</v>
      </c>
      <c r="D3474">
        <v>1.0080463235656001</v>
      </c>
      <c r="E3474">
        <v>0.91698917056433205</v>
      </c>
      <c r="F3474">
        <v>0.92462823864347299</v>
      </c>
      <c r="G3474">
        <v>0.75855216935179903</v>
      </c>
      <c r="H3474">
        <v>0.140437348396657</v>
      </c>
      <c r="I3474">
        <v>9.5403687914493301E-2</v>
      </c>
      <c r="J3474">
        <v>9.0260882325146605E-2</v>
      </c>
      <c r="K3474">
        <v>8.69967126644106E-2</v>
      </c>
      <c r="L3474">
        <v>3062.37446399694</v>
      </c>
      <c r="M3474">
        <v>52.928243181513203</v>
      </c>
      <c r="N3474">
        <v>58.0654429610059</v>
      </c>
      <c r="O3474">
        <v>57.776552353777099</v>
      </c>
      <c r="P3474">
        <v>-0.20937789863910999</v>
      </c>
      <c r="Q3474">
        <v>8.5771426620647101E-2</v>
      </c>
      <c r="R3474">
        <v>0.99316979765201496</v>
      </c>
      <c r="S3474" t="s">
        <v>10120</v>
      </c>
      <c r="T3474" t="s">
        <v>13290</v>
      </c>
      <c r="U3474" t="s">
        <v>13290</v>
      </c>
      <c r="V3474" t="s">
        <v>13290</v>
      </c>
      <c r="W3474" t="s">
        <v>16720</v>
      </c>
      <c r="X3474">
        <v>16</v>
      </c>
      <c r="Y3474" t="s">
        <v>23233</v>
      </c>
      <c r="Z3474" t="s">
        <v>29804</v>
      </c>
      <c r="AA3474">
        <v>0.63208697180952123</v>
      </c>
      <c r="AB3474" t="str">
        <f>HYPERLINK("Melting_Curves/meltCurve_Q14232_EIF2B1.pdf", "Melting_Curves/meltCurve_Q14232_EIF2B1.pdf")</f>
        <v>Melting_Curves/meltCurve_Q14232_EIF2B1.pdf</v>
      </c>
    </row>
    <row r="3475" spans="1:28" x14ac:dyDescent="0.25">
      <c r="A3475" t="s">
        <v>3479</v>
      </c>
      <c r="B3475">
        <v>0.99252571173614901</v>
      </c>
      <c r="C3475">
        <v>1.0937233024845101</v>
      </c>
      <c r="D3475">
        <v>0.97335686645470199</v>
      </c>
      <c r="E3475">
        <v>0.94587875548561995</v>
      </c>
      <c r="F3475">
        <v>0.77043720988130704</v>
      </c>
      <c r="G3475">
        <v>0.48603030349144799</v>
      </c>
      <c r="H3475">
        <v>0.190956475902228</v>
      </c>
      <c r="I3475">
        <v>0.138740682601981</v>
      </c>
      <c r="J3475">
        <v>0.14356965507255801</v>
      </c>
      <c r="K3475">
        <v>0.129520767065397</v>
      </c>
      <c r="L3475">
        <v>1313.14084256672</v>
      </c>
      <c r="M3475">
        <v>23.5556003963686</v>
      </c>
      <c r="N3475">
        <v>56.348421927128598</v>
      </c>
      <c r="O3475">
        <v>55.349331994560998</v>
      </c>
      <c r="P3475">
        <v>-9.4561213956489296E-2</v>
      </c>
      <c r="Q3475">
        <v>0.11124140186489601</v>
      </c>
      <c r="R3475">
        <v>0.99218718520539495</v>
      </c>
      <c r="S3475" t="s">
        <v>10121</v>
      </c>
      <c r="T3475" t="s">
        <v>13290</v>
      </c>
      <c r="U3475" t="s">
        <v>13290</v>
      </c>
      <c r="V3475" t="s">
        <v>13290</v>
      </c>
      <c r="W3475" t="s">
        <v>16721</v>
      </c>
      <c r="X3475">
        <v>26</v>
      </c>
      <c r="Y3475" t="s">
        <v>23234</v>
      </c>
      <c r="Z3475" t="s">
        <v>29805</v>
      </c>
      <c r="AA3475">
        <v>0.58676197068248881</v>
      </c>
      <c r="AB3475" t="str">
        <f>HYPERLINK("Melting_Curves/meltCurve_Q14240_EIF4A2.pdf", "Melting_Curves/meltCurve_Q14240_EIF4A2.pdf")</f>
        <v>Melting_Curves/meltCurve_Q14240_EIF4A2.pdf</v>
      </c>
    </row>
    <row r="3476" spans="1:28" x14ac:dyDescent="0.25">
      <c r="A3476" t="s">
        <v>3480</v>
      </c>
      <c r="B3476">
        <v>0.99252571173614901</v>
      </c>
      <c r="C3476">
        <v>1.0468272453195799</v>
      </c>
      <c r="D3476">
        <v>0.88933068299802998</v>
      </c>
      <c r="E3476">
        <v>0.48231639573673302</v>
      </c>
      <c r="F3476">
        <v>0.20646935635993499</v>
      </c>
      <c r="G3476">
        <v>0.120454726179928</v>
      </c>
      <c r="H3476">
        <v>0.100759576094489</v>
      </c>
      <c r="I3476">
        <v>0.12699120535911901</v>
      </c>
      <c r="J3476">
        <v>0.19045326757460301</v>
      </c>
      <c r="K3476">
        <v>0.19771567821783501</v>
      </c>
      <c r="L3476">
        <v>1610.1873388061899</v>
      </c>
      <c r="M3476">
        <v>32.921421310371898</v>
      </c>
      <c r="N3476">
        <v>49.430079211142697</v>
      </c>
      <c r="O3476">
        <v>48.730611716535002</v>
      </c>
      <c r="P3476">
        <v>-0.144173467206683</v>
      </c>
      <c r="Q3476">
        <v>0.14637590395530001</v>
      </c>
      <c r="R3476">
        <v>0.99140084599037903</v>
      </c>
      <c r="S3476" t="s">
        <v>10122</v>
      </c>
      <c r="T3476" t="s">
        <v>13290</v>
      </c>
      <c r="U3476" t="s">
        <v>13290</v>
      </c>
      <c r="V3476" t="s">
        <v>13290</v>
      </c>
      <c r="W3476" t="s">
        <v>16722</v>
      </c>
      <c r="X3476">
        <v>21</v>
      </c>
      <c r="Y3476" t="s">
        <v>23235</v>
      </c>
      <c r="Z3476" t="s">
        <v>29806</v>
      </c>
      <c r="AA3476">
        <v>0.40419561047073138</v>
      </c>
      <c r="AB3476" t="str">
        <f>HYPERLINK("Melting_Curves/meltCurve_Q14241_TCEB3.pdf", "Melting_Curves/meltCurve_Q14241_TCEB3.pdf")</f>
        <v>Melting_Curves/meltCurve_Q14241_TCEB3.pdf</v>
      </c>
    </row>
    <row r="3477" spans="1:28" x14ac:dyDescent="0.25">
      <c r="A3477" t="s">
        <v>3481</v>
      </c>
      <c r="B3477">
        <v>0.99252571173614901</v>
      </c>
      <c r="C3477">
        <v>1.02898538220991</v>
      </c>
      <c r="D3477">
        <v>0.95013625492117504</v>
      </c>
      <c r="E3477">
        <v>0.89573646015192598</v>
      </c>
      <c r="F3477">
        <v>0.65057065412338699</v>
      </c>
      <c r="G3477">
        <v>0.51809308562757295</v>
      </c>
      <c r="H3477">
        <v>0.44696738470619002</v>
      </c>
      <c r="I3477">
        <v>0.50953718345184096</v>
      </c>
      <c r="J3477">
        <v>0.795778858532321</v>
      </c>
      <c r="K3477">
        <v>1.08102270835548</v>
      </c>
      <c r="L3477">
        <v>12438.969264412101</v>
      </c>
      <c r="M3477">
        <v>250</v>
      </c>
      <c r="O3477">
        <v>49.752693025897798</v>
      </c>
      <c r="P3477">
        <v>-0.41832537808895098</v>
      </c>
      <c r="Q3477">
        <v>0.66699497455039103</v>
      </c>
      <c r="R3477">
        <v>0.43640818480836402</v>
      </c>
      <c r="S3477" t="s">
        <v>10123</v>
      </c>
      <c r="T3477" t="s">
        <v>13290</v>
      </c>
      <c r="U3477" t="s">
        <v>13290</v>
      </c>
      <c r="V3477" t="s">
        <v>13290</v>
      </c>
      <c r="W3477" t="s">
        <v>16723</v>
      </c>
      <c r="X3477">
        <v>33</v>
      </c>
      <c r="Y3477" t="s">
        <v>23236</v>
      </c>
      <c r="Z3477" t="s">
        <v>29807</v>
      </c>
      <c r="AA3477">
        <v>0.77531592240775737</v>
      </c>
      <c r="AB3477" t="str">
        <f>HYPERLINK("Melting_Curves/meltCurve_Q14244_MAP7.pdf", "Melting_Curves/meltCurve_Q14244_MAP7.pdf")</f>
        <v>Melting_Curves/meltCurve_Q14244_MAP7.pdf</v>
      </c>
    </row>
    <row r="3478" spans="1:28" x14ac:dyDescent="0.25">
      <c r="A3478" t="s">
        <v>3482</v>
      </c>
      <c r="B3478">
        <v>0.99252571173614901</v>
      </c>
      <c r="C3478">
        <v>1.0959301460436299</v>
      </c>
      <c r="D3478">
        <v>0.999071164469295</v>
      </c>
      <c r="E3478">
        <v>0.89965937627960701</v>
      </c>
      <c r="F3478">
        <v>0.80173759408855905</v>
      </c>
      <c r="G3478">
        <v>0.76909212314618602</v>
      </c>
      <c r="H3478">
        <v>0.84848898789402205</v>
      </c>
      <c r="I3478">
        <v>1.17255445467223</v>
      </c>
      <c r="J3478">
        <v>1.7652533486433</v>
      </c>
      <c r="K3478">
        <v>1.9015711483052999</v>
      </c>
      <c r="L3478">
        <v>15000</v>
      </c>
      <c r="M3478">
        <v>233.73476811851901</v>
      </c>
      <c r="O3478">
        <v>64.170606686219301</v>
      </c>
      <c r="P3478">
        <v>0.45529951441502903</v>
      </c>
      <c r="Q3478">
        <v>1.5</v>
      </c>
      <c r="R3478">
        <v>0.73965672152004602</v>
      </c>
      <c r="S3478" t="s">
        <v>10124</v>
      </c>
      <c r="T3478" t="s">
        <v>13290</v>
      </c>
      <c r="U3478" t="s">
        <v>13290</v>
      </c>
      <c r="V3478" t="s">
        <v>13290</v>
      </c>
      <c r="W3478" t="s">
        <v>16724</v>
      </c>
      <c r="X3478">
        <v>68</v>
      </c>
      <c r="Y3478" t="s">
        <v>23237</v>
      </c>
      <c r="Z3478" t="s">
        <v>29808</v>
      </c>
      <c r="AA3478">
        <v>1.097013826786281</v>
      </c>
      <c r="AB3478" t="str">
        <f>HYPERLINK("Melting_Curves/meltCurve_Q14247_CTTN.pdf", "Melting_Curves/meltCurve_Q14247_CTTN.pdf")</f>
        <v>Melting_Curves/meltCurve_Q14247_CTTN.pdf</v>
      </c>
    </row>
    <row r="3479" spans="1:28" x14ac:dyDescent="0.25">
      <c r="A3479" t="s">
        <v>3483</v>
      </c>
      <c r="B3479">
        <v>0.99252571173614901</v>
      </c>
      <c r="C3479">
        <v>0.91505874936096099</v>
      </c>
      <c r="D3479">
        <v>0.83018141971788795</v>
      </c>
      <c r="E3479">
        <v>0.71564346798422596</v>
      </c>
      <c r="F3479">
        <v>0.59946139556745903</v>
      </c>
      <c r="G3479">
        <v>0.56390628487628003</v>
      </c>
      <c r="H3479">
        <v>0.57528394075025702</v>
      </c>
      <c r="I3479">
        <v>0.73440309290954797</v>
      </c>
      <c r="J3479">
        <v>1.2793082415072501</v>
      </c>
      <c r="K3479">
        <v>1.15450290892923</v>
      </c>
      <c r="L3479">
        <v>1883.57551509631</v>
      </c>
      <c r="M3479">
        <v>43.6155432623964</v>
      </c>
      <c r="O3479">
        <v>43.0953906343386</v>
      </c>
      <c r="P3479">
        <v>-4.9396145262260903E-2</v>
      </c>
      <c r="Q3479">
        <v>0.80477208378183895</v>
      </c>
      <c r="R3479">
        <v>6.8856954156342701E-2</v>
      </c>
      <c r="S3479" t="s">
        <v>10125</v>
      </c>
      <c r="T3479" t="s">
        <v>13290</v>
      </c>
      <c r="U3479" t="s">
        <v>13290</v>
      </c>
      <c r="V3479" t="s">
        <v>13290</v>
      </c>
      <c r="W3479" t="s">
        <v>16725</v>
      </c>
      <c r="X3479">
        <v>59</v>
      </c>
      <c r="Y3479" t="s">
        <v>23237</v>
      </c>
      <c r="Z3479" t="s">
        <v>29809</v>
      </c>
      <c r="AA3479">
        <v>0.82615605885596699</v>
      </c>
      <c r="AB3479" t="str">
        <f>HYPERLINK("Melting_Curves/meltCurve_Q14247_3_CTTN.pdf", "Melting_Curves/meltCurve_Q14247_3_CTTN.pdf")</f>
        <v>Melting_Curves/meltCurve_Q14247_3_CTTN.pdf</v>
      </c>
    </row>
    <row r="3480" spans="1:28" x14ac:dyDescent="0.25">
      <c r="A3480" t="s">
        <v>3484</v>
      </c>
      <c r="B3480">
        <v>0.99252571173614901</v>
      </c>
      <c r="C3480">
        <v>0.91367631658706305</v>
      </c>
      <c r="D3480">
        <v>0.92956313116670197</v>
      </c>
      <c r="E3480">
        <v>0.77294821763862098</v>
      </c>
      <c r="F3480">
        <v>0.31169036103542802</v>
      </c>
      <c r="G3480">
        <v>0.1106017582885</v>
      </c>
      <c r="H3480">
        <v>6.9572451763148593E-2</v>
      </c>
      <c r="I3480">
        <v>6.1684735932262202E-2</v>
      </c>
      <c r="J3480">
        <v>7.3762881040509501E-2</v>
      </c>
      <c r="K3480">
        <v>7.80536795085396E-2</v>
      </c>
      <c r="L3480">
        <v>1498.8010403813701</v>
      </c>
      <c r="M3480">
        <v>29.170642726724498</v>
      </c>
      <c r="N3480">
        <v>51.626275167046202</v>
      </c>
      <c r="O3480">
        <v>51.140786012749203</v>
      </c>
      <c r="P3480">
        <v>-0.13335445801836199</v>
      </c>
      <c r="Q3480">
        <v>6.4839929056575901E-2</v>
      </c>
      <c r="R3480">
        <v>0.99399796715261901</v>
      </c>
      <c r="S3480" t="s">
        <v>10126</v>
      </c>
      <c r="T3480" t="s">
        <v>13290</v>
      </c>
      <c r="U3480" t="s">
        <v>13290</v>
      </c>
      <c r="V3480" t="s">
        <v>13290</v>
      </c>
      <c r="W3480" t="s">
        <v>16726</v>
      </c>
      <c r="X3480">
        <v>12</v>
      </c>
      <c r="Y3480" t="s">
        <v>23238</v>
      </c>
      <c r="Z3480" t="s">
        <v>29810</v>
      </c>
      <c r="AA3480">
        <v>0.42584803515151859</v>
      </c>
      <c r="AB3480" t="str">
        <f>HYPERLINK("Melting_Curves/meltCurve_Q14249_ENDOG.pdf", "Melting_Curves/meltCurve_Q14249_ENDOG.pdf")</f>
        <v>Melting_Curves/meltCurve_Q14249_ENDOG.pdf</v>
      </c>
    </row>
    <row r="3481" spans="1:28" x14ac:dyDescent="0.25">
      <c r="A3481" t="s">
        <v>3485</v>
      </c>
      <c r="B3481">
        <v>0.99252571173614901</v>
      </c>
      <c r="C3481">
        <v>0.980818006369095</v>
      </c>
      <c r="D3481">
        <v>0.91964895954814296</v>
      </c>
      <c r="E3481">
        <v>0.91288400862302799</v>
      </c>
      <c r="F3481">
        <v>0.61272015381432998</v>
      </c>
      <c r="G3481">
        <v>0.30326292618301498</v>
      </c>
      <c r="H3481">
        <v>0.19251746901083</v>
      </c>
      <c r="I3481">
        <v>0.19561734121351701</v>
      </c>
      <c r="J3481">
        <v>0.24614677835884299</v>
      </c>
      <c r="K3481">
        <v>0.22586946499590399</v>
      </c>
      <c r="L3481">
        <v>1595.6162287132199</v>
      </c>
      <c r="M3481">
        <v>30.005800920991401</v>
      </c>
      <c r="N3481">
        <v>54.150839787032901</v>
      </c>
      <c r="O3481">
        <v>52.942416417923702</v>
      </c>
      <c r="P3481">
        <v>-0.11214513888510599</v>
      </c>
      <c r="Q3481">
        <v>0.20852701890577499</v>
      </c>
      <c r="R3481">
        <v>0.99227471529808398</v>
      </c>
      <c r="S3481" t="s">
        <v>10127</v>
      </c>
      <c r="T3481" t="s">
        <v>13290</v>
      </c>
      <c r="U3481" t="s">
        <v>13290</v>
      </c>
      <c r="V3481" t="s">
        <v>13290</v>
      </c>
      <c r="W3481" t="s">
        <v>16727</v>
      </c>
      <c r="X3481">
        <v>13</v>
      </c>
      <c r="Y3481" t="s">
        <v>23239</v>
      </c>
      <c r="Z3481" t="s">
        <v>29811</v>
      </c>
      <c r="AA3481">
        <v>0.56130967949613397</v>
      </c>
      <c r="AB3481" t="str">
        <f>HYPERLINK("Melting_Curves/meltCurve_Q14254_FLOT2.pdf", "Melting_Curves/meltCurve_Q14254_FLOT2.pdf")</f>
        <v>Melting_Curves/meltCurve_Q14254_FLOT2.pdf</v>
      </c>
    </row>
    <row r="3482" spans="1:28" x14ac:dyDescent="0.25">
      <c r="A3482" t="s">
        <v>3486</v>
      </c>
      <c r="B3482">
        <v>0.99252571173614901</v>
      </c>
      <c r="C3482">
        <v>0.88012980497460203</v>
      </c>
      <c r="D3482">
        <v>0.82455189927272998</v>
      </c>
      <c r="E3482">
        <v>0.62448936447944503</v>
      </c>
      <c r="F3482">
        <v>0.41511216676988399</v>
      </c>
      <c r="G3482">
        <v>0.23559445952451999</v>
      </c>
      <c r="H3482">
        <v>0.16191179353075</v>
      </c>
      <c r="I3482">
        <v>0.18727178409771</v>
      </c>
      <c r="J3482">
        <v>0.23341473495633699</v>
      </c>
      <c r="K3482">
        <v>0.22151318164431799</v>
      </c>
      <c r="L3482">
        <v>794.90698535425304</v>
      </c>
      <c r="M3482">
        <v>15.972592579580599</v>
      </c>
      <c r="N3482">
        <v>51.1645641197589</v>
      </c>
      <c r="O3482">
        <v>49.006446411628403</v>
      </c>
      <c r="P3482">
        <v>-6.7082080292654597E-2</v>
      </c>
      <c r="Q3482">
        <v>0.17679109109379301</v>
      </c>
      <c r="R3482">
        <v>0.98585665748805695</v>
      </c>
      <c r="S3482" t="s">
        <v>10128</v>
      </c>
      <c r="T3482" t="s">
        <v>13290</v>
      </c>
      <c r="U3482" t="s">
        <v>13290</v>
      </c>
      <c r="V3482" t="s">
        <v>13290</v>
      </c>
      <c r="W3482" t="s">
        <v>16728</v>
      </c>
      <c r="X3482">
        <v>7</v>
      </c>
      <c r="Y3482" t="s">
        <v>23240</v>
      </c>
      <c r="Z3482" t="s">
        <v>29812</v>
      </c>
      <c r="AA3482">
        <v>0.46243960313994192</v>
      </c>
      <c r="AB3482" t="str">
        <f>HYPERLINK("Melting_Curves/meltCurve_Q14257_RCN2.pdf", "Melting_Curves/meltCurve_Q14257_RCN2.pdf")</f>
        <v>Melting_Curves/meltCurve_Q14257_RCN2.pdf</v>
      </c>
    </row>
    <row r="3483" spans="1:28" x14ac:dyDescent="0.25">
      <c r="A3483" t="s">
        <v>3487</v>
      </c>
      <c r="B3483">
        <v>0.99252571173614901</v>
      </c>
      <c r="C3483">
        <v>0.921805810174681</v>
      </c>
      <c r="D3483">
        <v>0.76672206042610902</v>
      </c>
      <c r="E3483">
        <v>0.34078327327581398</v>
      </c>
      <c r="F3483">
        <v>0.12837806295006099</v>
      </c>
      <c r="G3483">
        <v>7.4525365060848003E-2</v>
      </c>
      <c r="H3483">
        <v>5.6415691046306303E-2</v>
      </c>
      <c r="I3483">
        <v>6.1323335979031099E-2</v>
      </c>
      <c r="J3483">
        <v>7.5265169642032004E-2</v>
      </c>
      <c r="K3483">
        <v>7.6400717415574401E-2</v>
      </c>
      <c r="L3483">
        <v>1200.6920004676099</v>
      </c>
      <c r="M3483">
        <v>25.064677186152299</v>
      </c>
      <c r="N3483">
        <v>48.161616115259498</v>
      </c>
      <c r="O3483">
        <v>47.601942410909402</v>
      </c>
      <c r="P3483">
        <v>-0.123373012426507</v>
      </c>
      <c r="Q3483">
        <v>6.2789941938410407E-2</v>
      </c>
      <c r="R3483">
        <v>0.99883094736993405</v>
      </c>
      <c r="S3483" t="s">
        <v>10129</v>
      </c>
      <c r="T3483" t="s">
        <v>13290</v>
      </c>
      <c r="U3483" t="s">
        <v>13290</v>
      </c>
      <c r="V3483" t="s">
        <v>13290</v>
      </c>
      <c r="W3483" t="s">
        <v>16729</v>
      </c>
      <c r="X3483">
        <v>18</v>
      </c>
      <c r="Y3483" t="s">
        <v>23241</v>
      </c>
      <c r="Z3483" t="s">
        <v>29813</v>
      </c>
      <c r="AA3483">
        <v>0.3179461845544489</v>
      </c>
      <c r="AB3483" t="str">
        <f>HYPERLINK("Melting_Curves/meltCurve_Q14258_TRIM25.pdf", "Melting_Curves/meltCurve_Q14258_TRIM25.pdf")</f>
        <v>Melting_Curves/meltCurve_Q14258_TRIM25.pdf</v>
      </c>
    </row>
    <row r="3484" spans="1:28" x14ac:dyDescent="0.25">
      <c r="A3484" t="s">
        <v>3488</v>
      </c>
      <c r="B3484">
        <v>0.99252571173614901</v>
      </c>
      <c r="C3484">
        <v>0.80793733576502602</v>
      </c>
      <c r="D3484">
        <v>0.44388251236195803</v>
      </c>
      <c r="E3484">
        <v>0.198153931979828</v>
      </c>
      <c r="F3484">
        <v>0.15653501209759099</v>
      </c>
      <c r="G3484">
        <v>8.6035874749466196E-2</v>
      </c>
      <c r="H3484">
        <v>5.8664088088838398E-2</v>
      </c>
      <c r="I3484">
        <v>6.4265409424516695E-2</v>
      </c>
      <c r="J3484">
        <v>8.8907161460415302E-2</v>
      </c>
      <c r="K3484">
        <v>0.120093124252022</v>
      </c>
      <c r="L3484">
        <v>1088.78946132289</v>
      </c>
      <c r="M3484">
        <v>24.063479842062499</v>
      </c>
      <c r="N3484">
        <v>45.624047825352001</v>
      </c>
      <c r="O3484">
        <v>44.937552723797197</v>
      </c>
      <c r="P3484">
        <v>-0.121789662669936</v>
      </c>
      <c r="Q3484">
        <v>9.0265759444605104E-2</v>
      </c>
      <c r="R3484">
        <v>0.99439687554576695</v>
      </c>
      <c r="S3484" t="s">
        <v>10130</v>
      </c>
      <c r="T3484" t="s">
        <v>13290</v>
      </c>
      <c r="U3484" t="s">
        <v>13290</v>
      </c>
      <c r="V3484" t="s">
        <v>13290</v>
      </c>
      <c r="W3484" t="s">
        <v>16730</v>
      </c>
      <c r="X3484">
        <v>12</v>
      </c>
      <c r="Y3484" t="s">
        <v>23242</v>
      </c>
      <c r="Z3484" t="s">
        <v>29814</v>
      </c>
      <c r="AA3484">
        <v>0.25905911108594742</v>
      </c>
      <c r="AB3484" t="str">
        <f>HYPERLINK("Melting_Curves/meltCurve_Q14318_2_FKBP8.pdf", "Melting_Curves/meltCurve_Q14318_2_FKBP8.pdf")</f>
        <v>Melting_Curves/meltCurve_Q14318_2_FKBP8.pdf</v>
      </c>
    </row>
    <row r="3485" spans="1:28" x14ac:dyDescent="0.25">
      <c r="A3485" t="s">
        <v>3489</v>
      </c>
      <c r="B3485">
        <v>0.99252571173614901</v>
      </c>
      <c r="C3485">
        <v>1.03627285915459</v>
      </c>
      <c r="D3485">
        <v>0.78713554465138003</v>
      </c>
      <c r="E3485">
        <v>0.391832401823351</v>
      </c>
      <c r="F3485">
        <v>0.182453968420837</v>
      </c>
      <c r="G3485">
        <v>0.117993173824229</v>
      </c>
      <c r="H3485">
        <v>9.9372024938769898E-2</v>
      </c>
      <c r="I3485">
        <v>0.116542219594646</v>
      </c>
      <c r="J3485">
        <v>0.14757063149447</v>
      </c>
      <c r="K3485">
        <v>0.15547119466564399</v>
      </c>
      <c r="L3485">
        <v>1377.6371901692301</v>
      </c>
      <c r="M3485">
        <v>28.662528007169598</v>
      </c>
      <c r="N3485">
        <v>48.557780972746301</v>
      </c>
      <c r="O3485">
        <v>47.831924133049696</v>
      </c>
      <c r="P3485">
        <v>-0.13087320934347901</v>
      </c>
      <c r="Q3485">
        <v>0.12640405932447299</v>
      </c>
      <c r="R3485">
        <v>0.99449605460578006</v>
      </c>
      <c r="S3485" t="s">
        <v>10131</v>
      </c>
      <c r="T3485" t="s">
        <v>13290</v>
      </c>
      <c r="U3485" t="s">
        <v>13290</v>
      </c>
      <c r="V3485" t="s">
        <v>13290</v>
      </c>
      <c r="W3485" t="s">
        <v>16731</v>
      </c>
      <c r="X3485">
        <v>22</v>
      </c>
      <c r="Y3485" t="s">
        <v>23243</v>
      </c>
      <c r="Z3485" t="s">
        <v>29815</v>
      </c>
      <c r="AA3485">
        <v>0.36701530852991288</v>
      </c>
      <c r="AB3485" t="str">
        <f>HYPERLINK("Melting_Curves/meltCurve_Q14320_FAM50A.pdf", "Melting_Curves/meltCurve_Q14320_FAM50A.pdf")</f>
        <v>Melting_Curves/meltCurve_Q14320_FAM50A.pdf</v>
      </c>
    </row>
    <row r="3486" spans="1:28" x14ac:dyDescent="0.25">
      <c r="A3486" t="s">
        <v>3490</v>
      </c>
      <c r="B3486">
        <v>0.99252571173614901</v>
      </c>
      <c r="C3486">
        <v>1.0707108495312201</v>
      </c>
      <c r="D3486">
        <v>0.81466796736749703</v>
      </c>
      <c r="E3486">
        <v>0.58113497628022004</v>
      </c>
      <c r="F3486">
        <v>0.207418326977795</v>
      </c>
      <c r="G3486">
        <v>9.1779014431660394E-2</v>
      </c>
      <c r="H3486">
        <v>6.9347773639744703E-2</v>
      </c>
      <c r="I3486">
        <v>7.7783163778349998E-2</v>
      </c>
      <c r="J3486">
        <v>8.6384137853639797E-2</v>
      </c>
      <c r="K3486">
        <v>9.7963527475039294E-2</v>
      </c>
      <c r="L3486">
        <v>1210.56123821561</v>
      </c>
      <c r="M3486">
        <v>24.3737176968495</v>
      </c>
      <c r="N3486">
        <v>49.987598079952697</v>
      </c>
      <c r="O3486">
        <v>49.335957877372998</v>
      </c>
      <c r="P3486">
        <v>-0.114565116316605</v>
      </c>
      <c r="Q3486">
        <v>7.2427825729195802E-2</v>
      </c>
      <c r="R3486">
        <v>0.98954606834014902</v>
      </c>
      <c r="S3486" t="s">
        <v>10132</v>
      </c>
      <c r="T3486" t="s">
        <v>13290</v>
      </c>
      <c r="U3486" t="s">
        <v>13290</v>
      </c>
      <c r="V3486" t="s">
        <v>13290</v>
      </c>
      <c r="W3486" t="s">
        <v>16732</v>
      </c>
      <c r="X3486">
        <v>10</v>
      </c>
      <c r="Y3486" t="s">
        <v>23244</v>
      </c>
      <c r="Z3486" t="s">
        <v>29816</v>
      </c>
      <c r="AA3486">
        <v>0.38001129296863873</v>
      </c>
      <c r="AB3486" t="str">
        <f>HYPERLINK("Melting_Curves/meltCurve_Q14331_FRG1.pdf", "Melting_Curves/meltCurve_Q14331_FRG1.pdf")</f>
        <v>Melting_Curves/meltCurve_Q14331_FRG1.pdf</v>
      </c>
    </row>
    <row r="3487" spans="1:28" x14ac:dyDescent="0.25">
      <c r="A3487" t="s">
        <v>3491</v>
      </c>
      <c r="B3487">
        <v>0.99252571173614901</v>
      </c>
      <c r="C3487">
        <v>0.91730976666317599</v>
      </c>
      <c r="D3487">
        <v>0.85053146336661301</v>
      </c>
      <c r="E3487">
        <v>0.76153045132602804</v>
      </c>
      <c r="F3487">
        <v>0.48338475730255398</v>
      </c>
      <c r="G3487">
        <v>0.17615910759496101</v>
      </c>
      <c r="H3487">
        <v>7.7591007890688998E-2</v>
      </c>
      <c r="I3487">
        <v>8.4133624723934597E-2</v>
      </c>
      <c r="J3487">
        <v>0.101656981784852</v>
      </c>
      <c r="K3487">
        <v>0.11670416946609199</v>
      </c>
      <c r="L3487">
        <v>962.20535015658595</v>
      </c>
      <c r="M3487">
        <v>18.486502063749199</v>
      </c>
      <c r="N3487">
        <v>52.435637377187902</v>
      </c>
      <c r="O3487">
        <v>51.451494245605602</v>
      </c>
      <c r="P3487">
        <v>-8.4106546262026405E-2</v>
      </c>
      <c r="Q3487">
        <v>6.37027474906081E-2</v>
      </c>
      <c r="R3487">
        <v>0.985159684411965</v>
      </c>
      <c r="S3487" t="s">
        <v>10133</v>
      </c>
      <c r="T3487" t="s">
        <v>13290</v>
      </c>
      <c r="U3487" t="s">
        <v>13290</v>
      </c>
      <c r="V3487" t="s">
        <v>13290</v>
      </c>
      <c r="W3487" t="s">
        <v>16733</v>
      </c>
      <c r="X3487">
        <v>11</v>
      </c>
      <c r="Y3487" t="s">
        <v>23245</v>
      </c>
      <c r="Z3487" t="s">
        <v>29817</v>
      </c>
      <c r="AA3487">
        <v>0.45462836698174158</v>
      </c>
      <c r="AB3487" t="str">
        <f>HYPERLINK("Melting_Curves/meltCurve_Q14344_GNA13.pdf", "Melting_Curves/meltCurve_Q14344_GNA13.pdf")</f>
        <v>Melting_Curves/meltCurve_Q14344_GNA13.pdf</v>
      </c>
    </row>
    <row r="3488" spans="1:28" x14ac:dyDescent="0.25">
      <c r="A3488" t="s">
        <v>3492</v>
      </c>
      <c r="B3488">
        <v>0.99252571173614901</v>
      </c>
      <c r="C3488">
        <v>1.03842727830794</v>
      </c>
      <c r="D3488">
        <v>0.95658048239614502</v>
      </c>
      <c r="E3488">
        <v>0.79461967416586199</v>
      </c>
      <c r="F3488">
        <v>0.40180823465231802</v>
      </c>
      <c r="G3488">
        <v>0.15151440616287201</v>
      </c>
      <c r="H3488">
        <v>0.10286007717617</v>
      </c>
      <c r="I3488">
        <v>9.1777657336735305E-2</v>
      </c>
      <c r="J3488">
        <v>0.109160048924621</v>
      </c>
      <c r="K3488">
        <v>0.106441448853698</v>
      </c>
      <c r="L3488">
        <v>1441.2427927620099</v>
      </c>
      <c r="M3488">
        <v>27.809839257930999</v>
      </c>
      <c r="N3488">
        <v>52.220286925314298</v>
      </c>
      <c r="O3488">
        <v>51.559172038356998</v>
      </c>
      <c r="P3488">
        <v>-0.122044488927516</v>
      </c>
      <c r="Q3488">
        <v>9.4930814598882807E-2</v>
      </c>
      <c r="R3488">
        <v>0.99822133358548404</v>
      </c>
      <c r="S3488" t="s">
        <v>10134</v>
      </c>
      <c r="T3488" t="s">
        <v>13290</v>
      </c>
      <c r="U3488" t="s">
        <v>13290</v>
      </c>
      <c r="V3488" t="s">
        <v>13290</v>
      </c>
      <c r="W3488" t="s">
        <v>16734</v>
      </c>
      <c r="X3488">
        <v>14</v>
      </c>
      <c r="Y3488" t="s">
        <v>23246</v>
      </c>
      <c r="Z3488" t="s">
        <v>29818</v>
      </c>
      <c r="AA3488">
        <v>0.45837647190110559</v>
      </c>
      <c r="AB3488" t="str">
        <f>HYPERLINK("Melting_Curves/meltCurve_Q14376_GALE.pdf", "Melting_Curves/meltCurve_Q14376_GALE.pdf")</f>
        <v>Melting_Curves/meltCurve_Q14376_GALE.pdf</v>
      </c>
    </row>
    <row r="3489" spans="1:28" x14ac:dyDescent="0.25">
      <c r="A3489" t="s">
        <v>3493</v>
      </c>
      <c r="B3489">
        <v>0.99252571173614901</v>
      </c>
      <c r="C3489">
        <v>0.87853237090917902</v>
      </c>
      <c r="D3489">
        <v>0.80566663231484903</v>
      </c>
      <c r="E3489">
        <v>0.47255433977675998</v>
      </c>
      <c r="F3489">
        <v>0.18342577316458999</v>
      </c>
      <c r="G3489">
        <v>0.10750720450250099</v>
      </c>
      <c r="H3489">
        <v>7.8997266902369495E-2</v>
      </c>
      <c r="I3489">
        <v>8.4851372476339199E-2</v>
      </c>
      <c r="J3489">
        <v>9.3872841977300794E-2</v>
      </c>
      <c r="K3489">
        <v>8.1306309563538903E-2</v>
      </c>
      <c r="L3489">
        <v>998.86695360660894</v>
      </c>
      <c r="M3489">
        <v>20.5001617166686</v>
      </c>
      <c r="N3489">
        <v>49.096247791718703</v>
      </c>
      <c r="O3489">
        <v>48.268314277869599</v>
      </c>
      <c r="P3489">
        <v>-9.85544790438206E-2</v>
      </c>
      <c r="Q3489">
        <v>7.1828541407408894E-2</v>
      </c>
      <c r="R3489">
        <v>0.99469562162293201</v>
      </c>
      <c r="S3489" t="s">
        <v>10135</v>
      </c>
      <c r="T3489" t="s">
        <v>13290</v>
      </c>
      <c r="U3489" t="s">
        <v>13290</v>
      </c>
      <c r="V3489" t="s">
        <v>13290</v>
      </c>
      <c r="W3489" t="s">
        <v>16735</v>
      </c>
      <c r="X3489">
        <v>9</v>
      </c>
      <c r="Y3489" t="s">
        <v>23247</v>
      </c>
      <c r="Z3489" t="s">
        <v>29819</v>
      </c>
      <c r="AA3489">
        <v>0.35415915349036198</v>
      </c>
      <c r="AB3489" t="str">
        <f>HYPERLINK("Melting_Curves/meltCurve_Q14435_GALNT3.pdf", "Melting_Curves/meltCurve_Q14435_GALNT3.pdf")</f>
        <v>Melting_Curves/meltCurve_Q14435_GALNT3.pdf</v>
      </c>
    </row>
    <row r="3490" spans="1:28" x14ac:dyDescent="0.25">
      <c r="A3490" t="s">
        <v>3494</v>
      </c>
      <c r="B3490">
        <v>0.99252571173614901</v>
      </c>
      <c r="C3490">
        <v>0.815761539869166</v>
      </c>
      <c r="D3490">
        <v>1.04970630502656</v>
      </c>
      <c r="E3490">
        <v>0.95455756681303305</v>
      </c>
      <c r="F3490">
        <v>0.682511686566042</v>
      </c>
      <c r="G3490">
        <v>0.41594804431158799</v>
      </c>
      <c r="H3490">
        <v>0.28401086367280998</v>
      </c>
      <c r="I3490">
        <v>0.380346332473114</v>
      </c>
      <c r="J3490">
        <v>0.58894455245100896</v>
      </c>
      <c r="K3490">
        <v>0.65427661018014605</v>
      </c>
      <c r="L3490">
        <v>13279.9524033865</v>
      </c>
      <c r="M3490">
        <v>250</v>
      </c>
      <c r="N3490">
        <v>53.689091878287897</v>
      </c>
      <c r="O3490">
        <v>53.116412891345497</v>
      </c>
      <c r="P3490">
        <v>-0.62986034315685302</v>
      </c>
      <c r="Q3490">
        <v>0.46470527392604799</v>
      </c>
      <c r="R3490">
        <v>0.79790469531983099</v>
      </c>
      <c r="S3490" t="s">
        <v>10136</v>
      </c>
      <c r="T3490" t="s">
        <v>13290</v>
      </c>
      <c r="U3490" t="s">
        <v>13290</v>
      </c>
      <c r="V3490" t="s">
        <v>13290</v>
      </c>
      <c r="W3490" t="s">
        <v>16736</v>
      </c>
      <c r="X3490">
        <v>27</v>
      </c>
      <c r="Y3490" t="s">
        <v>23248</v>
      </c>
      <c r="Z3490" t="s">
        <v>29820</v>
      </c>
      <c r="AA3490">
        <v>0.69885400625084704</v>
      </c>
      <c r="AB3490" t="str">
        <f>HYPERLINK("Melting_Curves/meltCurve_Q14444_2_CAPRIN1.pdf", "Melting_Curves/meltCurve_Q14444_2_CAPRIN1.pdf")</f>
        <v>Melting_Curves/meltCurve_Q14444_2_CAPRIN1.pdf</v>
      </c>
    </row>
    <row r="3491" spans="1:28" x14ac:dyDescent="0.25">
      <c r="A3491" t="s">
        <v>3495</v>
      </c>
      <c r="B3491">
        <v>0.99252571173614901</v>
      </c>
      <c r="C3491">
        <v>0.88603133701994996</v>
      </c>
      <c r="D3491">
        <v>0.47952558896308201</v>
      </c>
      <c r="E3491">
        <v>0.236916738644494</v>
      </c>
      <c r="F3491">
        <v>0.15299654739071999</v>
      </c>
      <c r="G3491">
        <v>8.1736204306520496E-2</v>
      </c>
      <c r="H3491">
        <v>6.1120550751873698E-2</v>
      </c>
      <c r="I3491">
        <v>5.6386179697157097E-2</v>
      </c>
      <c r="J3491">
        <v>5.84875054779544E-2</v>
      </c>
      <c r="K3491">
        <v>5.7035675050397097E-2</v>
      </c>
      <c r="L3491">
        <v>1070.13126810622</v>
      </c>
      <c r="M3491">
        <v>23.312750317272901</v>
      </c>
      <c r="N3491">
        <v>46.203278190170899</v>
      </c>
      <c r="O3491">
        <v>45.569494412025001</v>
      </c>
      <c r="P3491">
        <v>-0.11891481698848901</v>
      </c>
      <c r="Q3491">
        <v>7.0243887582585401E-2</v>
      </c>
      <c r="R3491">
        <v>0.99356653383046201</v>
      </c>
      <c r="S3491" t="s">
        <v>10137</v>
      </c>
      <c r="T3491" t="s">
        <v>13290</v>
      </c>
      <c r="U3491" t="s">
        <v>13290</v>
      </c>
      <c r="V3491" t="s">
        <v>13290</v>
      </c>
      <c r="W3491" t="s">
        <v>16737</v>
      </c>
      <c r="X3491">
        <v>6</v>
      </c>
      <c r="Y3491" t="s">
        <v>23249</v>
      </c>
      <c r="Z3491" t="s">
        <v>29821</v>
      </c>
      <c r="AA3491">
        <v>0.26334991977097738</v>
      </c>
      <c r="AB3491" t="str">
        <f>HYPERLINK("Melting_Curves/meltCurve_Q14451_GRB7.pdf", "Melting_Curves/meltCurve_Q14451_GRB7.pdf")</f>
        <v>Melting_Curves/meltCurve_Q14451_GRB7.pdf</v>
      </c>
    </row>
    <row r="3492" spans="1:28" x14ac:dyDescent="0.25">
      <c r="A3492" t="s">
        <v>3496</v>
      </c>
      <c r="B3492">
        <v>0.99252571173614901</v>
      </c>
      <c r="C3492">
        <v>0.83221840446352002</v>
      </c>
      <c r="D3492">
        <v>1.1249450102421401</v>
      </c>
      <c r="E3492">
        <v>0.97911352433516297</v>
      </c>
      <c r="F3492">
        <v>0.35541941464764898</v>
      </c>
      <c r="G3492">
        <v>0.110548088807329</v>
      </c>
      <c r="H3492">
        <v>9.0664581919749104E-2</v>
      </c>
      <c r="I3492">
        <v>0.126603042498701</v>
      </c>
      <c r="J3492">
        <v>0.15516869288356699</v>
      </c>
      <c r="K3492">
        <v>0.168643641682727</v>
      </c>
      <c r="L3492">
        <v>3728.0984711732299</v>
      </c>
      <c r="M3492">
        <v>71.132391918825505</v>
      </c>
      <c r="N3492">
        <v>52.632983350930303</v>
      </c>
      <c r="O3492">
        <v>52.3692975322761</v>
      </c>
      <c r="P3492">
        <v>-0.29551177159568698</v>
      </c>
      <c r="Q3492">
        <v>0.12974961447010899</v>
      </c>
      <c r="R3492">
        <v>0.97139648147313595</v>
      </c>
      <c r="S3492" t="s">
        <v>10138</v>
      </c>
      <c r="T3492" t="s">
        <v>13290</v>
      </c>
      <c r="U3492" t="s">
        <v>13290</v>
      </c>
      <c r="V3492" t="s">
        <v>13290</v>
      </c>
      <c r="W3492" t="s">
        <v>16738</v>
      </c>
      <c r="X3492">
        <v>1</v>
      </c>
      <c r="Y3492" t="s">
        <v>23250</v>
      </c>
      <c r="Z3492" t="s">
        <v>29822</v>
      </c>
      <c r="AA3492">
        <v>0.4907547420423739</v>
      </c>
      <c r="AB3492" t="str">
        <f>HYPERLINK("Melting_Curves/meltCurve_Q14457_BECN1.pdf", "Melting_Curves/meltCurve_Q14457_BECN1.pdf")</f>
        <v>Melting_Curves/meltCurve_Q14457_BECN1.pdf</v>
      </c>
    </row>
    <row r="3493" spans="1:28" x14ac:dyDescent="0.25">
      <c r="A3493" t="s">
        <v>3497</v>
      </c>
      <c r="B3493">
        <v>0.99252571173614901</v>
      </c>
      <c r="C3493">
        <v>0.91742557715839002</v>
      </c>
      <c r="D3493">
        <v>0.64312925522632403</v>
      </c>
      <c r="E3493">
        <v>0.43017191078776301</v>
      </c>
      <c r="F3493">
        <v>0.27115811084246</v>
      </c>
      <c r="G3493">
        <v>0.19816482804201399</v>
      </c>
      <c r="H3493">
        <v>0.13089262788490399</v>
      </c>
      <c r="I3493">
        <v>0.12964322291323499</v>
      </c>
      <c r="J3493">
        <v>0.15728255387021201</v>
      </c>
      <c r="K3493">
        <v>0.18585669140239999</v>
      </c>
      <c r="L3493">
        <v>844.672981604298</v>
      </c>
      <c r="M3493">
        <v>17.8319682924846</v>
      </c>
      <c r="N3493">
        <v>48.327860840010999</v>
      </c>
      <c r="O3493">
        <v>46.784785582363497</v>
      </c>
      <c r="P3493">
        <v>-8.1087581108935103E-2</v>
      </c>
      <c r="Q3493">
        <v>0.14906271120001599</v>
      </c>
      <c r="R3493">
        <v>0.99281399414786498</v>
      </c>
      <c r="S3493" t="s">
        <v>10139</v>
      </c>
      <c r="T3493" t="s">
        <v>13290</v>
      </c>
      <c r="U3493" t="s">
        <v>13290</v>
      </c>
      <c r="V3493" t="s">
        <v>13290</v>
      </c>
      <c r="W3493" t="s">
        <v>16739</v>
      </c>
      <c r="X3493">
        <v>4</v>
      </c>
      <c r="Y3493" t="s">
        <v>23251</v>
      </c>
      <c r="Z3493" t="s">
        <v>29823</v>
      </c>
      <c r="AA3493">
        <v>0.37382019977597142</v>
      </c>
      <c r="AB3493" t="str">
        <f>HYPERLINK("Melting_Curves/meltCurve_Q14469_HES1.pdf", "Melting_Curves/meltCurve_Q14469_HES1.pdf")</f>
        <v>Melting_Curves/meltCurve_Q14469_HES1.pdf</v>
      </c>
    </row>
    <row r="3494" spans="1:28" x14ac:dyDescent="0.25">
      <c r="A3494" t="s">
        <v>3498</v>
      </c>
      <c r="B3494">
        <v>0.99252571173614901</v>
      </c>
      <c r="C3494">
        <v>0.87646899565387704</v>
      </c>
      <c r="D3494">
        <v>0.63056396833236705</v>
      </c>
      <c r="E3494">
        <v>0.31734226781291802</v>
      </c>
      <c r="F3494">
        <v>0.12976193872877001</v>
      </c>
      <c r="G3494">
        <v>7.1278922428061595E-2</v>
      </c>
      <c r="H3494">
        <v>5.2078646520421698E-2</v>
      </c>
      <c r="I3494">
        <v>5.3457046277036797E-2</v>
      </c>
      <c r="J3494">
        <v>6.0130851357340899E-2</v>
      </c>
      <c r="K3494">
        <v>6.0130397477136097E-2</v>
      </c>
      <c r="L3494">
        <v>939.83811475571997</v>
      </c>
      <c r="M3494">
        <v>19.951356574203299</v>
      </c>
      <c r="N3494">
        <v>47.3540278799844</v>
      </c>
      <c r="O3494">
        <v>46.640890219313697</v>
      </c>
      <c r="P3494">
        <v>-0.101649182787696</v>
      </c>
      <c r="Q3494">
        <v>4.9517751346465702E-2</v>
      </c>
      <c r="R3494">
        <v>0.99922888760444895</v>
      </c>
      <c r="S3494" t="s">
        <v>10140</v>
      </c>
      <c r="T3494" t="s">
        <v>13290</v>
      </c>
      <c r="U3494" t="s">
        <v>13290</v>
      </c>
      <c r="V3494" t="s">
        <v>13290</v>
      </c>
      <c r="W3494" t="s">
        <v>16740</v>
      </c>
      <c r="X3494">
        <v>16</v>
      </c>
      <c r="Y3494" t="s">
        <v>23252</v>
      </c>
      <c r="Z3494" t="s">
        <v>29824</v>
      </c>
      <c r="AA3494">
        <v>0.2886017580727796</v>
      </c>
      <c r="AB3494" t="str">
        <f>HYPERLINK("Melting_Curves/meltCurve_Q14498_2_RBM39.pdf", "Melting_Curves/meltCurve_Q14498_2_RBM39.pdf")</f>
        <v>Melting_Curves/meltCurve_Q14498_2_RBM39.pdf</v>
      </c>
    </row>
    <row r="3495" spans="1:28" x14ac:dyDescent="0.25">
      <c r="A3495" t="s">
        <v>3499</v>
      </c>
      <c r="B3495">
        <v>0.99252571173614901</v>
      </c>
      <c r="C3495">
        <v>1.1155595110665799</v>
      </c>
      <c r="D3495">
        <v>1.0036469619442101</v>
      </c>
      <c r="E3495">
        <v>1.0084631652289999</v>
      </c>
      <c r="F3495">
        <v>0.98026596169361102</v>
      </c>
      <c r="G3495">
        <v>0.86902826215759199</v>
      </c>
      <c r="H3495">
        <v>1.1040219184786599</v>
      </c>
      <c r="I3495">
        <v>1.54525292944407</v>
      </c>
      <c r="J3495">
        <v>2.4877275523839599</v>
      </c>
      <c r="K3495">
        <v>2.50817570142233</v>
      </c>
      <c r="L3495">
        <v>15000</v>
      </c>
      <c r="M3495">
        <v>245.37382479053599</v>
      </c>
      <c r="O3495">
        <v>61.127153972463503</v>
      </c>
      <c r="P3495">
        <v>0.50176928169801804</v>
      </c>
      <c r="Q3495">
        <v>1.5</v>
      </c>
      <c r="R3495">
        <v>0.42476693582119801</v>
      </c>
      <c r="S3495" t="s">
        <v>10141</v>
      </c>
      <c r="T3495" t="s">
        <v>13290</v>
      </c>
      <c r="U3495" t="s">
        <v>13290</v>
      </c>
      <c r="V3495" t="s">
        <v>13290</v>
      </c>
      <c r="W3495" t="s">
        <v>16741</v>
      </c>
      <c r="X3495">
        <v>5</v>
      </c>
      <c r="Y3495" t="s">
        <v>23253</v>
      </c>
      <c r="Z3495" t="s">
        <v>29825</v>
      </c>
      <c r="AA3495">
        <v>1.1477574015625149</v>
      </c>
      <c r="AB3495" t="str">
        <f>HYPERLINK("Melting_Curves/meltCurve_Q14508_WFDC2.pdf", "Melting_Curves/meltCurve_Q14508_WFDC2.pdf")</f>
        <v>Melting_Curves/meltCurve_Q14508_WFDC2.pdf</v>
      </c>
    </row>
    <row r="3496" spans="1:28" x14ac:dyDescent="0.25">
      <c r="A3496" t="s">
        <v>3500</v>
      </c>
      <c r="B3496">
        <v>0.99252571173614901</v>
      </c>
      <c r="C3496">
        <v>0.98392905860283397</v>
      </c>
      <c r="D3496">
        <v>0.66928461659296001</v>
      </c>
      <c r="E3496">
        <v>0.44848264226340401</v>
      </c>
      <c r="F3496">
        <v>0.30335567359357701</v>
      </c>
      <c r="G3496">
        <v>0.20236482294673599</v>
      </c>
      <c r="H3496">
        <v>0.15511514188737399</v>
      </c>
      <c r="I3496">
        <v>0.19250875361011899</v>
      </c>
      <c r="J3496">
        <v>0.27375473027323699</v>
      </c>
      <c r="K3496">
        <v>0.26450426263013899</v>
      </c>
      <c r="L3496">
        <v>1047.3518822849801</v>
      </c>
      <c r="M3496">
        <v>22.187549914385201</v>
      </c>
      <c r="N3496">
        <v>48.464068700183503</v>
      </c>
      <c r="O3496">
        <v>46.826047814839697</v>
      </c>
      <c r="P3496">
        <v>-9.2503779554770293E-2</v>
      </c>
      <c r="Q3496">
        <v>0.21911289406888901</v>
      </c>
      <c r="R3496">
        <v>0.97903157462281198</v>
      </c>
      <c r="S3496" t="s">
        <v>10142</v>
      </c>
      <c r="T3496" t="s">
        <v>13290</v>
      </c>
      <c r="U3496" t="s">
        <v>13290</v>
      </c>
      <c r="V3496" t="s">
        <v>13290</v>
      </c>
      <c r="W3496" t="s">
        <v>16742</v>
      </c>
      <c r="X3496">
        <v>6</v>
      </c>
      <c r="Y3496" t="s">
        <v>23254</v>
      </c>
      <c r="Z3496" t="s">
        <v>29826</v>
      </c>
      <c r="AA3496">
        <v>0.41567157000114863</v>
      </c>
      <c r="AB3496" t="str">
        <f>HYPERLINK("Melting_Curves/meltCurve_Q14511_3_NEDD9.pdf", "Melting_Curves/meltCurve_Q14511_3_NEDD9.pdf")</f>
        <v>Melting_Curves/meltCurve_Q14511_3_NEDD9.pdf</v>
      </c>
    </row>
    <row r="3497" spans="1:28" x14ac:dyDescent="0.25">
      <c r="A3497" t="s">
        <v>3501</v>
      </c>
      <c r="B3497">
        <v>0.99252571173614901</v>
      </c>
      <c r="C3497">
        <v>0.973745131103259</v>
      </c>
      <c r="D3497">
        <v>1.0034551037492101</v>
      </c>
      <c r="E3497">
        <v>0.81077615527240199</v>
      </c>
      <c r="F3497">
        <v>0.67538019517534897</v>
      </c>
      <c r="G3497">
        <v>0.15643969260082499</v>
      </c>
      <c r="H3497">
        <v>5.4357931402230601E-2</v>
      </c>
      <c r="I3497">
        <v>4.4319580686337401E-2</v>
      </c>
      <c r="J3497">
        <v>4.37578426845356E-2</v>
      </c>
      <c r="K3497">
        <v>4.9747736260545003E-2</v>
      </c>
      <c r="L3497">
        <v>1528.01356820197</v>
      </c>
      <c r="M3497">
        <v>28.347381473297901</v>
      </c>
      <c r="N3497">
        <v>54.013940587577501</v>
      </c>
      <c r="O3497">
        <v>53.637058231681401</v>
      </c>
      <c r="P3497">
        <v>-0.128395782329492</v>
      </c>
      <c r="Q3497">
        <v>2.8239683318153401E-2</v>
      </c>
      <c r="R3497">
        <v>0.98731740001013002</v>
      </c>
      <c r="S3497" t="s">
        <v>10143</v>
      </c>
      <c r="T3497" t="s">
        <v>13290</v>
      </c>
      <c r="U3497" t="s">
        <v>13290</v>
      </c>
      <c r="V3497" t="s">
        <v>13290</v>
      </c>
      <c r="W3497" t="s">
        <v>16743</v>
      </c>
      <c r="X3497">
        <v>1</v>
      </c>
      <c r="Y3497" t="s">
        <v>23255</v>
      </c>
      <c r="Z3497" t="s">
        <v>29827</v>
      </c>
      <c r="AA3497">
        <v>0.48569962659217458</v>
      </c>
      <c r="AB3497" t="str">
        <f>HYPERLINK("Melting_Curves/meltCurve_Q14520_2_HABP2.pdf", "Melting_Curves/meltCurve_Q14520_2_HABP2.pdf")</f>
        <v>Melting_Curves/meltCurve_Q14520_2_HABP2.pdf</v>
      </c>
    </row>
    <row r="3498" spans="1:28" x14ac:dyDescent="0.25">
      <c r="A3498" t="s">
        <v>3502</v>
      </c>
      <c r="B3498">
        <v>0.99252571173614901</v>
      </c>
      <c r="C3498">
        <v>1.1214323247571201</v>
      </c>
      <c r="D3498">
        <v>0.19182462267878</v>
      </c>
      <c r="E3498">
        <v>0.11430839209547899</v>
      </c>
      <c r="F3498">
        <v>5.9729375500099803E-2</v>
      </c>
      <c r="G3498">
        <v>2.5253042141039898E-2</v>
      </c>
      <c r="H3498">
        <v>2.4036381158303002E-2</v>
      </c>
      <c r="I3498">
        <v>2.5810097062519698E-2</v>
      </c>
      <c r="J3498">
        <v>2.4626552848669801E-2</v>
      </c>
      <c r="K3498">
        <v>2.6069950912321199E-2</v>
      </c>
      <c r="L3498">
        <v>11422.219017255</v>
      </c>
      <c r="M3498">
        <v>250</v>
      </c>
      <c r="N3498">
        <v>45.705249989251797</v>
      </c>
      <c r="O3498">
        <v>45.685952323290202</v>
      </c>
      <c r="P3498">
        <v>-1.3094378064040699</v>
      </c>
      <c r="Q3498">
        <v>4.2833390846066903E-2</v>
      </c>
      <c r="R3498">
        <v>0.98657082427159404</v>
      </c>
      <c r="S3498" t="s">
        <v>10144</v>
      </c>
      <c r="T3498" t="s">
        <v>13290</v>
      </c>
      <c r="U3498" t="s">
        <v>13290</v>
      </c>
      <c r="V3498" t="s">
        <v>13290</v>
      </c>
      <c r="W3498" t="s">
        <v>16744</v>
      </c>
      <c r="X3498">
        <v>1</v>
      </c>
      <c r="Y3498" t="s">
        <v>23256</v>
      </c>
      <c r="Z3498" t="s">
        <v>29828</v>
      </c>
      <c r="AA3498">
        <v>0.22441688015399619</v>
      </c>
      <c r="AB3498" t="str">
        <f>HYPERLINK("Melting_Curves/meltCurve_Q14526_HIC1.pdf", "Melting_Curves/meltCurve_Q14526_HIC1.pdf")</f>
        <v>Melting_Curves/meltCurve_Q14526_HIC1.pdf</v>
      </c>
    </row>
    <row r="3499" spans="1:28" x14ac:dyDescent="0.25">
      <c r="A3499" t="s">
        <v>3503</v>
      </c>
      <c r="B3499">
        <v>0.99252571173614901</v>
      </c>
      <c r="C3499">
        <v>1.0318153988257699</v>
      </c>
      <c r="D3499">
        <v>0.91868352784312401</v>
      </c>
      <c r="E3499">
        <v>0.79313681271520498</v>
      </c>
      <c r="F3499">
        <v>0.558065319463668</v>
      </c>
      <c r="G3499">
        <v>0.35280084807302903</v>
      </c>
      <c r="H3499">
        <v>0.18898995906517299</v>
      </c>
      <c r="I3499">
        <v>0.115177581762877</v>
      </c>
      <c r="J3499">
        <v>0.100959871737309</v>
      </c>
      <c r="K3499">
        <v>7.4948843728375597E-2</v>
      </c>
      <c r="L3499">
        <v>821.746954868275</v>
      </c>
      <c r="M3499">
        <v>15.279075184040799</v>
      </c>
      <c r="N3499">
        <v>54.154033395785</v>
      </c>
      <c r="O3499">
        <v>52.886461011669297</v>
      </c>
      <c r="P3499">
        <v>-6.8638568142108905E-2</v>
      </c>
      <c r="Q3499">
        <v>4.9756665963743299E-2</v>
      </c>
      <c r="R3499">
        <v>0.99772522939673902</v>
      </c>
      <c r="S3499" t="s">
        <v>10145</v>
      </c>
      <c r="T3499" t="s">
        <v>13290</v>
      </c>
      <c r="U3499" t="s">
        <v>13290</v>
      </c>
      <c r="V3499" t="s">
        <v>13290</v>
      </c>
      <c r="W3499" t="s">
        <v>16745</v>
      </c>
      <c r="X3499">
        <v>12</v>
      </c>
      <c r="Y3499" t="s">
        <v>23257</v>
      </c>
      <c r="Z3499" t="s">
        <v>29829</v>
      </c>
      <c r="AA3499">
        <v>0.50557234444920773</v>
      </c>
      <c r="AB3499" t="str">
        <f>HYPERLINK("Melting_Curves/meltCurve_Q14534_SQLE.pdf", "Melting_Curves/meltCurve_Q14534_SQLE.pdf")</f>
        <v>Melting_Curves/meltCurve_Q14534_SQLE.pdf</v>
      </c>
    </row>
    <row r="3500" spans="1:28" x14ac:dyDescent="0.25">
      <c r="A3500" t="s">
        <v>3504</v>
      </c>
      <c r="B3500">
        <v>0.99252571173614901</v>
      </c>
      <c r="C3500">
        <v>1.0509945558702101</v>
      </c>
      <c r="D3500">
        <v>0.86568640277166198</v>
      </c>
      <c r="E3500">
        <v>0.72914447918460701</v>
      </c>
      <c r="F3500">
        <v>0.27478474456555302</v>
      </c>
      <c r="G3500">
        <v>0.116489517650627</v>
      </c>
      <c r="H3500">
        <v>8.3217250006190693E-2</v>
      </c>
      <c r="I3500">
        <v>8.1308450421561804E-2</v>
      </c>
      <c r="J3500">
        <v>0.108059733129348</v>
      </c>
      <c r="K3500">
        <v>8.9946111796406006E-2</v>
      </c>
      <c r="L3500">
        <v>1413.8106508726901</v>
      </c>
      <c r="M3500">
        <v>27.803172227597901</v>
      </c>
      <c r="N3500">
        <v>51.183199422273297</v>
      </c>
      <c r="O3500">
        <v>50.589814158964103</v>
      </c>
      <c r="P3500">
        <v>-0.12604420874170499</v>
      </c>
      <c r="Q3500">
        <v>8.2623117797873402E-2</v>
      </c>
      <c r="R3500">
        <v>0.99154956447759501</v>
      </c>
      <c r="S3500" t="s">
        <v>10146</v>
      </c>
      <c r="T3500" t="s">
        <v>13290</v>
      </c>
      <c r="U3500" t="s">
        <v>13290</v>
      </c>
      <c r="V3500" t="s">
        <v>13290</v>
      </c>
      <c r="W3500" t="s">
        <v>16746</v>
      </c>
      <c r="X3500">
        <v>29</v>
      </c>
      <c r="Y3500" t="s">
        <v>23258</v>
      </c>
      <c r="Z3500" t="s">
        <v>29830</v>
      </c>
      <c r="AA3500">
        <v>0.42112876051749021</v>
      </c>
      <c r="AB3500" t="str">
        <f>HYPERLINK("Melting_Curves/meltCurve_Q14554_PDIA5.pdf", "Melting_Curves/meltCurve_Q14554_PDIA5.pdf")</f>
        <v>Melting_Curves/meltCurve_Q14554_PDIA5.pdf</v>
      </c>
    </row>
    <row r="3501" spans="1:28" x14ac:dyDescent="0.25">
      <c r="A3501" t="s">
        <v>3505</v>
      </c>
      <c r="B3501">
        <v>0.99252571173614901</v>
      </c>
      <c r="C3501">
        <v>0.80939061272400303</v>
      </c>
      <c r="D3501">
        <v>1.0409365389148799</v>
      </c>
      <c r="E3501">
        <v>0.96534944675955603</v>
      </c>
      <c r="F3501">
        <v>0.93933243401367195</v>
      </c>
      <c r="G3501">
        <v>0.71067702142759104</v>
      </c>
      <c r="H3501">
        <v>0.60305330799395895</v>
      </c>
      <c r="I3501">
        <v>0.36412560833419999</v>
      </c>
      <c r="J3501">
        <v>0.25335284347103898</v>
      </c>
      <c r="K3501">
        <v>0.18900129590589801</v>
      </c>
      <c r="L3501">
        <v>850.489304621374</v>
      </c>
      <c r="M3501">
        <v>13.8196892585523</v>
      </c>
      <c r="N3501">
        <v>61.781939568407097</v>
      </c>
      <c r="O3501">
        <v>60.296168672752202</v>
      </c>
      <c r="P3501">
        <v>-5.5808971940582E-2</v>
      </c>
      <c r="Q3501">
        <v>2.6143418628204001E-2</v>
      </c>
      <c r="R3501">
        <v>0.95048072843162901</v>
      </c>
      <c r="S3501" t="s">
        <v>10147</v>
      </c>
      <c r="T3501" t="s">
        <v>13290</v>
      </c>
      <c r="U3501" t="s">
        <v>13290</v>
      </c>
      <c r="V3501" t="s">
        <v>13290</v>
      </c>
      <c r="W3501" t="s">
        <v>16747</v>
      </c>
      <c r="X3501">
        <v>9</v>
      </c>
      <c r="Y3501" t="s">
        <v>23259</v>
      </c>
      <c r="Z3501" t="s">
        <v>29831</v>
      </c>
      <c r="AA3501">
        <v>0.72287509113972037</v>
      </c>
      <c r="AB3501" t="str">
        <f>HYPERLINK("Melting_Curves/meltCurve_Q14558_2_PRPSAP1.pdf", "Melting_Curves/meltCurve_Q14558_2_PRPSAP1.pdf")</f>
        <v>Melting_Curves/meltCurve_Q14558_2_PRPSAP1.pdf</v>
      </c>
    </row>
    <row r="3502" spans="1:28" x14ac:dyDescent="0.25">
      <c r="A3502" t="s">
        <v>3506</v>
      </c>
      <c r="B3502">
        <v>0.99252571173614901</v>
      </c>
      <c r="C3502">
        <v>0.94036641014008004</v>
      </c>
      <c r="D3502">
        <v>0.83830470570437199</v>
      </c>
      <c r="E3502">
        <v>0.642452844419098</v>
      </c>
      <c r="F3502">
        <v>0.26013154841978597</v>
      </c>
      <c r="G3502">
        <v>0.109586420733627</v>
      </c>
      <c r="H3502">
        <v>6.19943519583743E-2</v>
      </c>
      <c r="I3502">
        <v>6.5528812528645994E-2</v>
      </c>
      <c r="J3502">
        <v>7.1566377202948395E-2</v>
      </c>
      <c r="K3502">
        <v>7.5732155197588594E-2</v>
      </c>
      <c r="L3502">
        <v>1050.11018198696</v>
      </c>
      <c r="M3502">
        <v>20.878405221866998</v>
      </c>
      <c r="N3502">
        <v>50.563366244675699</v>
      </c>
      <c r="O3502">
        <v>49.841877781761099</v>
      </c>
      <c r="P3502">
        <v>-9.9262089189777206E-2</v>
      </c>
      <c r="Q3502">
        <v>5.2174140805025103E-2</v>
      </c>
      <c r="R3502">
        <v>0.99499484976082098</v>
      </c>
      <c r="S3502" t="s">
        <v>10148</v>
      </c>
      <c r="T3502" t="s">
        <v>13290</v>
      </c>
      <c r="U3502" t="s">
        <v>13290</v>
      </c>
      <c r="V3502" t="s">
        <v>13290</v>
      </c>
      <c r="W3502" t="s">
        <v>16748</v>
      </c>
      <c r="X3502">
        <v>7</v>
      </c>
      <c r="Y3502" t="s">
        <v>23260</v>
      </c>
      <c r="Z3502" t="s">
        <v>29832</v>
      </c>
      <c r="AA3502">
        <v>0.38961174095308793</v>
      </c>
      <c r="AB3502" t="str">
        <f>HYPERLINK("Melting_Curves/meltCurve_Q14562_DHX8.pdf", "Melting_Curves/meltCurve_Q14562_DHX8.pdf")</f>
        <v>Melting_Curves/meltCurve_Q14562_DHX8.pdf</v>
      </c>
    </row>
    <row r="3503" spans="1:28" x14ac:dyDescent="0.25">
      <c r="A3503" t="s">
        <v>3507</v>
      </c>
      <c r="B3503">
        <v>0.99252571173614901</v>
      </c>
      <c r="C3503">
        <v>0.89790001808558995</v>
      </c>
      <c r="D3503">
        <v>1.2473471687758499</v>
      </c>
      <c r="E3503">
        <v>0.97674086407905603</v>
      </c>
      <c r="F3503">
        <v>0.246941074697096</v>
      </c>
      <c r="G3503">
        <v>0.12749105615026399</v>
      </c>
      <c r="H3503">
        <v>9.66482181925504E-2</v>
      </c>
      <c r="I3503">
        <v>9.68370896027579E-2</v>
      </c>
      <c r="J3503">
        <v>0.108517682507588</v>
      </c>
      <c r="K3503">
        <v>9.6777388743642306E-2</v>
      </c>
      <c r="L3503">
        <v>3873.1505642553998</v>
      </c>
      <c r="M3503">
        <v>74.467694152510404</v>
      </c>
      <c r="N3503">
        <v>52.176030149423298</v>
      </c>
      <c r="O3503">
        <v>51.973693620292302</v>
      </c>
      <c r="P3503">
        <v>-0.32064542365405901</v>
      </c>
      <c r="Q3503">
        <v>0.104840283448475</v>
      </c>
      <c r="R3503">
        <v>0.96435421792722298</v>
      </c>
      <c r="S3503" t="s">
        <v>10149</v>
      </c>
      <c r="T3503" t="s">
        <v>13290</v>
      </c>
      <c r="U3503" t="s">
        <v>13290</v>
      </c>
      <c r="V3503" t="s">
        <v>13290</v>
      </c>
      <c r="W3503" t="s">
        <v>16749</v>
      </c>
      <c r="X3503">
        <v>21</v>
      </c>
      <c r="Y3503" t="s">
        <v>23261</v>
      </c>
      <c r="Z3503" t="s">
        <v>29833</v>
      </c>
      <c r="AA3503">
        <v>0.46415994016905832</v>
      </c>
      <c r="AB3503" t="str">
        <f>HYPERLINK("Melting_Curves/meltCurve_Q14566_MCM6.pdf", "Melting_Curves/meltCurve_Q14566_MCM6.pdf")</f>
        <v>Melting_Curves/meltCurve_Q14566_MCM6.pdf</v>
      </c>
    </row>
    <row r="3504" spans="1:28" x14ac:dyDescent="0.25">
      <c r="A3504" t="s">
        <v>3508</v>
      </c>
      <c r="B3504">
        <v>0.99252571173614901</v>
      </c>
      <c r="C3504">
        <v>0.99776707925935704</v>
      </c>
      <c r="D3504">
        <v>0.91966418197115196</v>
      </c>
      <c r="E3504">
        <v>0.54408081578221101</v>
      </c>
      <c r="F3504">
        <v>0.22712767662317501</v>
      </c>
      <c r="G3504">
        <v>0.13615412650669401</v>
      </c>
      <c r="H3504">
        <v>0.114390537021657</v>
      </c>
      <c r="I3504">
        <v>0.14205949025384401</v>
      </c>
      <c r="J3504">
        <v>0.117688583847019</v>
      </c>
      <c r="K3504">
        <v>0.10896089341483101</v>
      </c>
      <c r="L3504">
        <v>1459.6801590231801</v>
      </c>
      <c r="M3504">
        <v>29.483151314073801</v>
      </c>
      <c r="N3504">
        <v>49.972979277308099</v>
      </c>
      <c r="O3504">
        <v>49.282869692701503</v>
      </c>
      <c r="P3504">
        <v>-0.13165277885545201</v>
      </c>
      <c r="Q3504">
        <v>0.119743830200418</v>
      </c>
      <c r="R3504">
        <v>0.99940594610143196</v>
      </c>
      <c r="S3504" t="s">
        <v>10150</v>
      </c>
      <c r="T3504" t="s">
        <v>13290</v>
      </c>
      <c r="U3504" t="s">
        <v>13290</v>
      </c>
      <c r="V3504" t="s">
        <v>13290</v>
      </c>
      <c r="W3504" t="s">
        <v>16750</v>
      </c>
      <c r="X3504">
        <v>19</v>
      </c>
      <c r="Y3504" t="s">
        <v>23262</v>
      </c>
      <c r="Z3504" t="s">
        <v>29834</v>
      </c>
      <c r="AA3504">
        <v>0.40435125622090468</v>
      </c>
      <c r="AB3504" t="str">
        <f>HYPERLINK("Melting_Curves/meltCurve_Q14573_ITPR3.pdf", "Melting_Curves/meltCurve_Q14573_ITPR3.pdf")</f>
        <v>Melting_Curves/meltCurve_Q14573_ITPR3.pdf</v>
      </c>
    </row>
    <row r="3505" spans="1:28" x14ac:dyDescent="0.25">
      <c r="A3505" t="s">
        <v>3509</v>
      </c>
      <c r="B3505">
        <v>0.99252571173614901</v>
      </c>
      <c r="C3505">
        <v>1.0767734043547701</v>
      </c>
      <c r="D3505">
        <v>0.82803328125217701</v>
      </c>
      <c r="E3505">
        <v>0.810934632740544</v>
      </c>
      <c r="F3505">
        <v>0.23500982180084901</v>
      </c>
      <c r="G3505">
        <v>0.14095534793664899</v>
      </c>
      <c r="H3505">
        <v>0.10407050809830599</v>
      </c>
      <c r="I3505">
        <v>0.10256632207170401</v>
      </c>
      <c r="J3505">
        <v>8.5987880135957706E-2</v>
      </c>
      <c r="K3505">
        <v>7.7626527673434198E-2</v>
      </c>
      <c r="L3505">
        <v>1945.25503381628</v>
      </c>
      <c r="M3505">
        <v>38.0691205440042</v>
      </c>
      <c r="N3505">
        <v>51.3813075249601</v>
      </c>
      <c r="O3505">
        <v>50.957589919395502</v>
      </c>
      <c r="P3505">
        <v>-0.16908616469330301</v>
      </c>
      <c r="Q3505">
        <v>9.4678145285142706E-2</v>
      </c>
      <c r="R3505">
        <v>0.97899522682848705</v>
      </c>
      <c r="S3505" t="s">
        <v>10151</v>
      </c>
      <c r="T3505" t="s">
        <v>13290</v>
      </c>
      <c r="U3505" t="s">
        <v>13290</v>
      </c>
      <c r="V3505" t="s">
        <v>13290</v>
      </c>
      <c r="W3505" t="s">
        <v>16751</v>
      </c>
      <c r="X3505">
        <v>14</v>
      </c>
      <c r="Y3505" t="s">
        <v>23263</v>
      </c>
      <c r="Z3505" t="s">
        <v>29835</v>
      </c>
      <c r="AA3505">
        <v>0.43311849689528598</v>
      </c>
      <c r="AB3505" t="str">
        <f>HYPERLINK("Melting_Curves/meltCurve_Q14651_PLS1.pdf", "Melting_Curves/meltCurve_Q14651_PLS1.pdf")</f>
        <v>Melting_Curves/meltCurve_Q14651_PLS1.pdf</v>
      </c>
    </row>
    <row r="3506" spans="1:28" x14ac:dyDescent="0.25">
      <c r="A3506" t="s">
        <v>3510</v>
      </c>
      <c r="B3506">
        <v>0.99252571173614901</v>
      </c>
      <c r="C3506">
        <v>1.0959744781293499</v>
      </c>
      <c r="D3506">
        <v>0.97350794730512402</v>
      </c>
      <c r="E3506">
        <v>0.737363555033832</v>
      </c>
      <c r="F3506">
        <v>0.27829853021016498</v>
      </c>
      <c r="G3506">
        <v>0.13179817243129199</v>
      </c>
      <c r="H3506">
        <v>8.0793365006318896E-2</v>
      </c>
      <c r="I3506">
        <v>8.2691435423975695E-2</v>
      </c>
      <c r="J3506">
        <v>6.6135588913465604E-2</v>
      </c>
      <c r="K3506">
        <v>5.8471541111750097E-2</v>
      </c>
      <c r="L3506">
        <v>1587.49058500506</v>
      </c>
      <c r="M3506">
        <v>31.070521013155801</v>
      </c>
      <c r="N3506">
        <v>51.3557758447756</v>
      </c>
      <c r="O3506">
        <v>50.882892357489702</v>
      </c>
      <c r="P3506">
        <v>-0.141444141511057</v>
      </c>
      <c r="Q3506">
        <v>7.3456653545019901E-2</v>
      </c>
      <c r="R3506">
        <v>0.99407717326374001</v>
      </c>
      <c r="S3506" t="s">
        <v>10152</v>
      </c>
      <c r="T3506" t="s">
        <v>13290</v>
      </c>
      <c r="U3506" t="s">
        <v>13290</v>
      </c>
      <c r="V3506" t="s">
        <v>13290</v>
      </c>
      <c r="W3506" t="s">
        <v>16752</v>
      </c>
      <c r="X3506">
        <v>8</v>
      </c>
      <c r="Y3506" t="s">
        <v>23264</v>
      </c>
      <c r="Z3506" t="s">
        <v>29836</v>
      </c>
      <c r="AA3506">
        <v>0.42150469832362369</v>
      </c>
      <c r="AB3506" t="str">
        <f>HYPERLINK("Melting_Curves/meltCurve_Q14653_IRF3.pdf", "Melting_Curves/meltCurve_Q14653_IRF3.pdf")</f>
        <v>Melting_Curves/meltCurve_Q14653_IRF3.pdf</v>
      </c>
    </row>
    <row r="3507" spans="1:28" x14ac:dyDescent="0.25">
      <c r="A3507" t="s">
        <v>3511</v>
      </c>
      <c r="B3507">
        <v>0.99252571173614901</v>
      </c>
      <c r="C3507">
        <v>0.99750594131843495</v>
      </c>
      <c r="D3507">
        <v>0.84040492212497697</v>
      </c>
      <c r="E3507">
        <v>0.87723613498142605</v>
      </c>
      <c r="F3507">
        <v>0.92144850088108399</v>
      </c>
      <c r="G3507">
        <v>0.57806807698510998</v>
      </c>
      <c r="H3507">
        <v>0.62422592967760804</v>
      </c>
      <c r="I3507">
        <v>0.65323105460526099</v>
      </c>
      <c r="J3507">
        <v>0.888591733567627</v>
      </c>
      <c r="K3507">
        <v>0.87129213361400004</v>
      </c>
      <c r="L3507">
        <v>789.01002695233797</v>
      </c>
      <c r="M3507">
        <v>16.477101675188301</v>
      </c>
      <c r="O3507">
        <v>47.196579729652001</v>
      </c>
      <c r="P3507">
        <v>-2.23765073388624E-2</v>
      </c>
      <c r="Q3507">
        <v>0.74363914254150798</v>
      </c>
      <c r="R3507">
        <v>0.41296684376252102</v>
      </c>
      <c r="S3507" t="s">
        <v>10153</v>
      </c>
      <c r="T3507" t="s">
        <v>13290</v>
      </c>
      <c r="U3507" t="s">
        <v>13290</v>
      </c>
      <c r="V3507" t="s">
        <v>13290</v>
      </c>
      <c r="W3507" t="s">
        <v>16753</v>
      </c>
      <c r="X3507">
        <v>5</v>
      </c>
      <c r="Y3507" t="s">
        <v>23265</v>
      </c>
      <c r="Z3507" t="s">
        <v>29837</v>
      </c>
      <c r="AA3507">
        <v>0.81650675666619743</v>
      </c>
      <c r="AB3507" t="str">
        <f>HYPERLINK("Melting_Curves/meltCurve_Q14657_LAGE3.pdf", "Melting_Curves/meltCurve_Q14657_LAGE3.pdf")</f>
        <v>Melting_Curves/meltCurve_Q14657_LAGE3.pdf</v>
      </c>
    </row>
    <row r="3508" spans="1:28" x14ac:dyDescent="0.25">
      <c r="A3508" t="s">
        <v>3512</v>
      </c>
      <c r="B3508">
        <v>0.99252571173614901</v>
      </c>
      <c r="C3508">
        <v>0.83282427952897597</v>
      </c>
      <c r="D3508">
        <v>0.48054416644931303</v>
      </c>
      <c r="E3508">
        <v>0.3372040050331</v>
      </c>
      <c r="F3508">
        <v>0.18367756685161599</v>
      </c>
      <c r="G3508">
        <v>9.6098212051095103E-2</v>
      </c>
      <c r="H3508">
        <v>7.5111707416922593E-2</v>
      </c>
      <c r="I3508">
        <v>0.101795791012807</v>
      </c>
      <c r="J3508">
        <v>0.142686283195886</v>
      </c>
      <c r="K3508">
        <v>0.13576465265731699</v>
      </c>
      <c r="L3508">
        <v>891.35348541598205</v>
      </c>
      <c r="M3508">
        <v>19.455146670015001</v>
      </c>
      <c r="N3508">
        <v>46.420554097334303</v>
      </c>
      <c r="O3508">
        <v>45.339998812339097</v>
      </c>
      <c r="P3508">
        <v>-9.5268661620021497E-2</v>
      </c>
      <c r="Q3508">
        <v>0.111942103832572</v>
      </c>
      <c r="R3508">
        <v>0.98539285344172101</v>
      </c>
      <c r="S3508" t="s">
        <v>10154</v>
      </c>
      <c r="T3508" t="s">
        <v>13290</v>
      </c>
      <c r="U3508" t="s">
        <v>13290</v>
      </c>
      <c r="V3508" t="s">
        <v>13290</v>
      </c>
      <c r="W3508" t="s">
        <v>16754</v>
      </c>
      <c r="X3508">
        <v>11</v>
      </c>
      <c r="Y3508" t="s">
        <v>23266</v>
      </c>
      <c r="Z3508" t="s">
        <v>29838</v>
      </c>
      <c r="AA3508">
        <v>0.29892968163231032</v>
      </c>
      <c r="AB3508" t="str">
        <f>HYPERLINK("Melting_Curves/meltCurve_Q14669_2_TRIP12.pdf", "Melting_Curves/meltCurve_Q14669_2_TRIP12.pdf")</f>
        <v>Melting_Curves/meltCurve_Q14669_2_TRIP12.pdf</v>
      </c>
    </row>
    <row r="3509" spans="1:28" x14ac:dyDescent="0.25">
      <c r="A3509" t="s">
        <v>3513</v>
      </c>
      <c r="B3509">
        <v>0.99252571173614901</v>
      </c>
      <c r="C3509">
        <v>1.0069692681234801</v>
      </c>
      <c r="D3509">
        <v>0.81952369195654895</v>
      </c>
      <c r="E3509">
        <v>0.72252826497992195</v>
      </c>
      <c r="F3509">
        <v>0.30475747619122001</v>
      </c>
      <c r="G3509">
        <v>0.13172040996082601</v>
      </c>
      <c r="H3509">
        <v>9.4289397682257803E-2</v>
      </c>
      <c r="I3509">
        <v>0.104530122543665</v>
      </c>
      <c r="J3509">
        <v>0.14432169472570999</v>
      </c>
      <c r="K3509">
        <v>0.17437219006118099</v>
      </c>
      <c r="L3509">
        <v>1232.5828541380799</v>
      </c>
      <c r="M3509">
        <v>24.358769786042199</v>
      </c>
      <c r="N3509">
        <v>51.147139125077899</v>
      </c>
      <c r="O3509">
        <v>50.263856347939402</v>
      </c>
      <c r="P3509">
        <v>-0.10728703589663099</v>
      </c>
      <c r="Q3509">
        <v>0.11447420154341401</v>
      </c>
      <c r="R3509">
        <v>0.98275826433306801</v>
      </c>
      <c r="S3509" t="s">
        <v>10155</v>
      </c>
      <c r="T3509" t="s">
        <v>13290</v>
      </c>
      <c r="U3509" t="s">
        <v>13290</v>
      </c>
      <c r="V3509" t="s">
        <v>13290</v>
      </c>
      <c r="W3509" t="s">
        <v>16755</v>
      </c>
      <c r="X3509">
        <v>50</v>
      </c>
      <c r="Y3509" t="s">
        <v>23267</v>
      </c>
      <c r="Z3509" t="s">
        <v>29839</v>
      </c>
      <c r="AA3509">
        <v>0.43578111368736222</v>
      </c>
      <c r="AB3509" t="str">
        <f>HYPERLINK("Melting_Curves/meltCurve_Q14676_MDC1.pdf", "Melting_Curves/meltCurve_Q14676_MDC1.pdf")</f>
        <v>Melting_Curves/meltCurve_Q14676_MDC1.pdf</v>
      </c>
    </row>
    <row r="3510" spans="1:28" x14ac:dyDescent="0.25">
      <c r="A3510" t="s">
        <v>3514</v>
      </c>
      <c r="B3510">
        <v>0.99252571173614901</v>
      </c>
      <c r="C3510">
        <v>0.92370724483288602</v>
      </c>
      <c r="D3510">
        <v>0.83203070453876604</v>
      </c>
      <c r="E3510">
        <v>0.68854333582101901</v>
      </c>
      <c r="F3510">
        <v>0.48114797593179298</v>
      </c>
      <c r="G3510">
        <v>0.30601583719994002</v>
      </c>
      <c r="H3510">
        <v>0.24717426824125399</v>
      </c>
      <c r="I3510">
        <v>0.29979852472659502</v>
      </c>
      <c r="J3510">
        <v>0.44726518327082798</v>
      </c>
      <c r="K3510">
        <v>0.51187597371078297</v>
      </c>
      <c r="L3510">
        <v>1006.53684878105</v>
      </c>
      <c r="M3510">
        <v>20.5502964427412</v>
      </c>
      <c r="N3510">
        <v>52.197522785600697</v>
      </c>
      <c r="O3510">
        <v>48.522476704561498</v>
      </c>
      <c r="P3510">
        <v>-6.7853067992657196E-2</v>
      </c>
      <c r="Q3510">
        <v>0.35917183834704602</v>
      </c>
      <c r="R3510">
        <v>0.90389067210340002</v>
      </c>
      <c r="S3510" t="s">
        <v>10156</v>
      </c>
      <c r="T3510" t="s">
        <v>13290</v>
      </c>
      <c r="U3510" t="s">
        <v>13290</v>
      </c>
      <c r="V3510" t="s">
        <v>13290</v>
      </c>
      <c r="W3510" t="s">
        <v>16756</v>
      </c>
      <c r="X3510">
        <v>15</v>
      </c>
      <c r="Y3510" t="s">
        <v>23268</v>
      </c>
      <c r="Z3510" t="s">
        <v>29840</v>
      </c>
      <c r="AA3510">
        <v>0.55947081592065162</v>
      </c>
      <c r="AB3510" t="str">
        <f>HYPERLINK("Melting_Curves/meltCurve_Q14677_CLINT1.pdf", "Melting_Curves/meltCurve_Q14677_CLINT1.pdf")</f>
        <v>Melting_Curves/meltCurve_Q14677_CLINT1.pdf</v>
      </c>
    </row>
    <row r="3511" spans="1:28" x14ac:dyDescent="0.25">
      <c r="A3511" t="s">
        <v>3515</v>
      </c>
      <c r="B3511">
        <v>0.99252571173614901</v>
      </c>
      <c r="C3511">
        <v>0.78846191453786896</v>
      </c>
      <c r="D3511">
        <v>0.763729049218832</v>
      </c>
      <c r="E3511">
        <v>0.236503935288083</v>
      </c>
      <c r="F3511">
        <v>0.176699114882272</v>
      </c>
      <c r="G3511">
        <v>0.11878856762046899</v>
      </c>
      <c r="H3511">
        <v>9.3509052851921001E-2</v>
      </c>
      <c r="I3511">
        <v>0.102506713661531</v>
      </c>
      <c r="J3511">
        <v>0.17778865153651099</v>
      </c>
      <c r="K3511">
        <v>0.222288765274544</v>
      </c>
      <c r="L3511">
        <v>1249.7146648287201</v>
      </c>
      <c r="M3511">
        <v>26.648281894264699</v>
      </c>
      <c r="N3511">
        <v>47.461108468227899</v>
      </c>
      <c r="O3511">
        <v>46.634927529038002</v>
      </c>
      <c r="P3511">
        <v>-0.12345503367409701</v>
      </c>
      <c r="Q3511">
        <v>0.13581573515430501</v>
      </c>
      <c r="R3511">
        <v>0.95647811980201702</v>
      </c>
      <c r="S3511" t="s">
        <v>10157</v>
      </c>
      <c r="T3511" t="s">
        <v>13290</v>
      </c>
      <c r="U3511" t="s">
        <v>13290</v>
      </c>
      <c r="V3511" t="s">
        <v>13290</v>
      </c>
      <c r="W3511" t="s">
        <v>16757</v>
      </c>
      <c r="X3511">
        <v>4</v>
      </c>
      <c r="Y3511" t="s">
        <v>23269</v>
      </c>
      <c r="Z3511" t="s">
        <v>29841</v>
      </c>
      <c r="AA3511">
        <v>0.34119680921306711</v>
      </c>
      <c r="AB3511" t="str">
        <f>HYPERLINK("Melting_Curves/meltCurve_Q14678_KANK1.pdf", "Melting_Curves/meltCurve_Q14678_KANK1.pdf")</f>
        <v>Melting_Curves/meltCurve_Q14678_KANK1.pdf</v>
      </c>
    </row>
    <row r="3512" spans="1:28" x14ac:dyDescent="0.25">
      <c r="A3512" t="s">
        <v>3516</v>
      </c>
      <c r="B3512">
        <v>0.99252571173614901</v>
      </c>
      <c r="C3512">
        <v>0.98361674655367803</v>
      </c>
      <c r="D3512">
        <v>0.75971300876688896</v>
      </c>
      <c r="E3512">
        <v>0.45382786532922198</v>
      </c>
      <c r="F3512">
        <v>0.253752150058975</v>
      </c>
      <c r="G3512">
        <v>0.147090696419269</v>
      </c>
      <c r="H3512">
        <v>0.107096629520415</v>
      </c>
      <c r="I3512">
        <v>0.110956587724617</v>
      </c>
      <c r="J3512">
        <v>0.13742873234026801</v>
      </c>
      <c r="K3512">
        <v>0.146902732043482</v>
      </c>
      <c r="L3512">
        <v>1026.2120618715301</v>
      </c>
      <c r="M3512">
        <v>21.200313414952799</v>
      </c>
      <c r="N3512">
        <v>49.050749139386497</v>
      </c>
      <c r="O3512">
        <v>47.980996545213301</v>
      </c>
      <c r="P3512">
        <v>-9.7023064212126295E-2</v>
      </c>
      <c r="Q3512">
        <v>0.121684024900877</v>
      </c>
      <c r="R3512">
        <v>0.99660577632672398</v>
      </c>
      <c r="S3512" t="s">
        <v>10158</v>
      </c>
      <c r="T3512" t="s">
        <v>13290</v>
      </c>
      <c r="U3512" t="s">
        <v>13290</v>
      </c>
      <c r="V3512" t="s">
        <v>13290</v>
      </c>
      <c r="W3512" t="s">
        <v>16758</v>
      </c>
      <c r="X3512">
        <v>2</v>
      </c>
      <c r="Y3512" t="s">
        <v>23270</v>
      </c>
      <c r="Z3512" t="s">
        <v>29842</v>
      </c>
      <c r="AA3512">
        <v>0.37874484457275248</v>
      </c>
      <c r="AB3512" t="str">
        <f>HYPERLINK("Melting_Curves/meltCurve_Q14680_3_MELK.pdf", "Melting_Curves/meltCurve_Q14680_3_MELK.pdf")</f>
        <v>Melting_Curves/meltCurve_Q14680_3_MELK.pdf</v>
      </c>
    </row>
    <row r="3513" spans="1:28" x14ac:dyDescent="0.25">
      <c r="A3513" t="s">
        <v>3517</v>
      </c>
      <c r="B3513">
        <v>0.99252571173614901</v>
      </c>
      <c r="C3513">
        <v>1.02548079183408</v>
      </c>
      <c r="D3513">
        <v>0.78535719135496496</v>
      </c>
      <c r="E3513">
        <v>0.79590165639801003</v>
      </c>
      <c r="F3513">
        <v>0.90888042205729902</v>
      </c>
      <c r="G3513">
        <v>0.46682372793652299</v>
      </c>
      <c r="H3513">
        <v>0.76303319944671799</v>
      </c>
      <c r="I3513">
        <v>0.68552477782932397</v>
      </c>
      <c r="J3513">
        <v>0.725858935306534</v>
      </c>
      <c r="K3513">
        <v>0.84507243768757301</v>
      </c>
      <c r="L3513">
        <v>11426.861076430599</v>
      </c>
      <c r="M3513">
        <v>250</v>
      </c>
      <c r="O3513">
        <v>45.704519382233897</v>
      </c>
      <c r="P3513">
        <v>-0.35337722539405397</v>
      </c>
      <c r="Q3513">
        <v>0.74158502062812903</v>
      </c>
      <c r="R3513">
        <v>0.477689447826739</v>
      </c>
      <c r="S3513" t="s">
        <v>10159</v>
      </c>
      <c r="T3513" t="s">
        <v>13290</v>
      </c>
      <c r="U3513" t="s">
        <v>13290</v>
      </c>
      <c r="V3513" t="s">
        <v>13290</v>
      </c>
      <c r="W3513" t="s">
        <v>16759</v>
      </c>
      <c r="X3513">
        <v>1</v>
      </c>
      <c r="Y3513" t="s">
        <v>23271</v>
      </c>
      <c r="Z3513" t="s">
        <v>29843</v>
      </c>
      <c r="AA3513">
        <v>0.79076871969054063</v>
      </c>
      <c r="AB3513" t="str">
        <f>HYPERLINK("Melting_Curves/meltCurve_Q14681_KCTD2.pdf", "Melting_Curves/meltCurve_Q14681_KCTD2.pdf")</f>
        <v>Melting_Curves/meltCurve_Q14681_KCTD2.pdf</v>
      </c>
    </row>
    <row r="3514" spans="1:28" x14ac:dyDescent="0.25">
      <c r="A3514" t="s">
        <v>3518</v>
      </c>
      <c r="B3514">
        <v>0.99252571173614901</v>
      </c>
      <c r="C3514">
        <v>0.73538464725819797</v>
      </c>
      <c r="D3514">
        <v>1.1563019965691099</v>
      </c>
      <c r="E3514">
        <v>1.112896378454</v>
      </c>
      <c r="F3514">
        <v>0.63304495671684902</v>
      </c>
      <c r="G3514">
        <v>0.23466112892591601</v>
      </c>
      <c r="H3514">
        <v>0.13452276685414599</v>
      </c>
      <c r="I3514">
        <v>0.120440159060851</v>
      </c>
      <c r="J3514">
        <v>0.14293674228288</v>
      </c>
      <c r="K3514">
        <v>0.14466119646027101</v>
      </c>
      <c r="L3514">
        <v>2817.8561243283302</v>
      </c>
      <c r="M3514">
        <v>52.603401987351198</v>
      </c>
      <c r="N3514">
        <v>53.9203964438152</v>
      </c>
      <c r="O3514">
        <v>53.490695731664403</v>
      </c>
      <c r="P3514">
        <v>-0.21008637208492301</v>
      </c>
      <c r="Q3514">
        <v>0.14548048480092099</v>
      </c>
      <c r="R3514">
        <v>0.933402138675685</v>
      </c>
      <c r="S3514" t="s">
        <v>10160</v>
      </c>
      <c r="T3514" t="s">
        <v>13290</v>
      </c>
      <c r="U3514" t="s">
        <v>13290</v>
      </c>
      <c r="V3514" t="s">
        <v>13290</v>
      </c>
      <c r="W3514" t="s">
        <v>16760</v>
      </c>
      <c r="X3514">
        <v>63</v>
      </c>
      <c r="Y3514" t="s">
        <v>23272</v>
      </c>
      <c r="Z3514" t="s">
        <v>29844</v>
      </c>
      <c r="AA3514">
        <v>0.53377261723074887</v>
      </c>
      <c r="AB3514" t="str">
        <f>HYPERLINK("Melting_Curves/meltCurve_Q14683_SMC1A.pdf", "Melting_Curves/meltCurve_Q14683_SMC1A.pdf")</f>
        <v>Melting_Curves/meltCurve_Q14683_SMC1A.pdf</v>
      </c>
    </row>
    <row r="3515" spans="1:28" x14ac:dyDescent="0.25">
      <c r="A3515" t="s">
        <v>3519</v>
      </c>
      <c r="B3515">
        <v>0.99252571173614901</v>
      </c>
      <c r="C3515">
        <v>1.04790080458838</v>
      </c>
      <c r="D3515">
        <v>0.77049245453119097</v>
      </c>
      <c r="E3515">
        <v>0.48530496558084102</v>
      </c>
      <c r="F3515">
        <v>0.24610772910682499</v>
      </c>
      <c r="G3515">
        <v>0.12521202569693901</v>
      </c>
      <c r="H3515">
        <v>9.1607013614308397E-2</v>
      </c>
      <c r="I3515">
        <v>0.100336976293562</v>
      </c>
      <c r="J3515">
        <v>0.137127579482338</v>
      </c>
      <c r="K3515">
        <v>0.14510656298786201</v>
      </c>
      <c r="L3515">
        <v>1103.05113917772</v>
      </c>
      <c r="M3515">
        <v>22.6284153298392</v>
      </c>
      <c r="N3515">
        <v>49.306289514751199</v>
      </c>
      <c r="O3515">
        <v>48.370386135212897</v>
      </c>
      <c r="P3515">
        <v>-0.10370294469656299</v>
      </c>
      <c r="Q3515">
        <v>0.113318421611072</v>
      </c>
      <c r="R3515">
        <v>0.98989862093816094</v>
      </c>
      <c r="S3515" t="s">
        <v>10161</v>
      </c>
      <c r="T3515" t="s">
        <v>13290</v>
      </c>
      <c r="U3515" t="s">
        <v>13290</v>
      </c>
      <c r="V3515" t="s">
        <v>13290</v>
      </c>
      <c r="W3515" t="s">
        <v>16761</v>
      </c>
      <c r="X3515">
        <v>4</v>
      </c>
      <c r="Y3515" t="s">
        <v>23273</v>
      </c>
      <c r="Z3515" t="s">
        <v>29845</v>
      </c>
      <c r="AA3515">
        <v>0.38147312799416039</v>
      </c>
      <c r="AB3515" t="str">
        <f>HYPERLINK("Melting_Curves/meltCurve_Q14684_2_RRP1B.pdf", "Melting_Curves/meltCurve_Q14684_2_RRP1B.pdf")</f>
        <v>Melting_Curves/meltCurve_Q14684_2_RRP1B.pdf</v>
      </c>
    </row>
    <row r="3516" spans="1:28" x14ac:dyDescent="0.25">
      <c r="A3516" t="s">
        <v>3520</v>
      </c>
      <c r="B3516">
        <v>0.99252571173614901</v>
      </c>
      <c r="C3516">
        <v>1.04573087982247</v>
      </c>
      <c r="D3516">
        <v>0.86272790674356403</v>
      </c>
      <c r="E3516">
        <v>0.623211123361194</v>
      </c>
      <c r="F3516">
        <v>0.54222893322128596</v>
      </c>
      <c r="G3516">
        <v>0.247170002135986</v>
      </c>
      <c r="H3516">
        <v>0.23211348320660499</v>
      </c>
      <c r="I3516">
        <v>0.303450187988825</v>
      </c>
      <c r="J3516">
        <v>0.53027857489424601</v>
      </c>
      <c r="K3516">
        <v>0.67471606164877496</v>
      </c>
      <c r="L3516">
        <v>1324.97442944563</v>
      </c>
      <c r="M3516">
        <v>27.297321606919599</v>
      </c>
      <c r="N3516">
        <v>51.793698863315399</v>
      </c>
      <c r="O3516">
        <v>48.280367672240899</v>
      </c>
      <c r="P3516">
        <v>-8.3386475014161299E-2</v>
      </c>
      <c r="Q3516">
        <v>0.41006786203985002</v>
      </c>
      <c r="R3516">
        <v>0.78277896105785205</v>
      </c>
      <c r="S3516" t="s">
        <v>10162</v>
      </c>
      <c r="T3516" t="s">
        <v>13290</v>
      </c>
      <c r="U3516" t="s">
        <v>13290</v>
      </c>
      <c r="V3516" t="s">
        <v>13290</v>
      </c>
      <c r="W3516" t="s">
        <v>16762</v>
      </c>
      <c r="X3516">
        <v>5</v>
      </c>
      <c r="Y3516" t="s">
        <v>23274</v>
      </c>
      <c r="Z3516" t="s">
        <v>29846</v>
      </c>
      <c r="AA3516">
        <v>0.582317620973828</v>
      </c>
      <c r="AB3516" t="str">
        <f>HYPERLINK("Melting_Curves/meltCurve_Q14686_NCOA6.pdf", "Melting_Curves/meltCurve_Q14686_NCOA6.pdf")</f>
        <v>Melting_Curves/meltCurve_Q14686_NCOA6.pdf</v>
      </c>
    </row>
    <row r="3517" spans="1:28" x14ac:dyDescent="0.25">
      <c r="A3517" t="s">
        <v>3521</v>
      </c>
      <c r="B3517">
        <v>0.99252571173614901</v>
      </c>
      <c r="C3517">
        <v>0.97639466975961098</v>
      </c>
      <c r="D3517">
        <v>0.77440857469234403</v>
      </c>
      <c r="E3517">
        <v>0.52632911080203204</v>
      </c>
      <c r="F3517">
        <v>0.45981170229055301</v>
      </c>
      <c r="G3517">
        <v>0.206036998566938</v>
      </c>
      <c r="H3517">
        <v>0.25357660182187097</v>
      </c>
      <c r="I3517">
        <v>0.16799633364307401</v>
      </c>
      <c r="J3517">
        <v>0.217205138491881</v>
      </c>
      <c r="K3517">
        <v>0.20640716753815899</v>
      </c>
      <c r="L3517">
        <v>789.41476376994103</v>
      </c>
      <c r="M3517">
        <v>16.0647877257435</v>
      </c>
      <c r="N3517">
        <v>50.640727843332201</v>
      </c>
      <c r="O3517">
        <v>48.396927292322502</v>
      </c>
      <c r="P3517">
        <v>-6.7268622740046705E-2</v>
      </c>
      <c r="Q3517">
        <v>0.18944625485782501</v>
      </c>
      <c r="R3517">
        <v>0.98012654917119102</v>
      </c>
      <c r="S3517" t="s">
        <v>10163</v>
      </c>
      <c r="T3517" t="s">
        <v>13290</v>
      </c>
      <c r="U3517" t="s">
        <v>13290</v>
      </c>
      <c r="V3517" t="s">
        <v>13290</v>
      </c>
      <c r="W3517" t="s">
        <v>16763</v>
      </c>
      <c r="X3517">
        <v>3</v>
      </c>
      <c r="Y3517" t="s">
        <v>23275</v>
      </c>
      <c r="Z3517" t="s">
        <v>29847</v>
      </c>
      <c r="AA3517">
        <v>0.45386112014515212</v>
      </c>
      <c r="AB3517" t="str">
        <f>HYPERLINK("Melting_Curves/meltCurve_Q14687_2_GSE1.pdf", "Melting_Curves/meltCurve_Q14687_2_GSE1.pdf")</f>
        <v>Melting_Curves/meltCurve_Q14687_2_GSE1.pdf</v>
      </c>
    </row>
    <row r="3518" spans="1:28" x14ac:dyDescent="0.25">
      <c r="A3518" t="s">
        <v>3522</v>
      </c>
      <c r="B3518">
        <v>0.99252571173614901</v>
      </c>
      <c r="C3518">
        <v>1.0240236749024501</v>
      </c>
      <c r="D3518">
        <v>0.97076587184563401</v>
      </c>
      <c r="E3518">
        <v>0.76365530575900598</v>
      </c>
      <c r="F3518">
        <v>0.209862945861477</v>
      </c>
      <c r="G3518">
        <v>0.10182223496140901</v>
      </c>
      <c r="H3518">
        <v>6.3952305388627104E-2</v>
      </c>
      <c r="I3518">
        <v>5.77995592189142E-2</v>
      </c>
      <c r="J3518">
        <v>7.0325153927283293E-2</v>
      </c>
      <c r="K3518">
        <v>7.4079055381843506E-2</v>
      </c>
      <c r="L3518">
        <v>2009.02694989578</v>
      </c>
      <c r="M3518">
        <v>39.446063576892598</v>
      </c>
      <c r="N3518">
        <v>51.124300541331998</v>
      </c>
      <c r="O3518">
        <v>50.800623122233198</v>
      </c>
      <c r="P3518">
        <v>-0.18067311885847501</v>
      </c>
      <c r="Q3518">
        <v>6.9282468414377102E-2</v>
      </c>
      <c r="R3518">
        <v>0.999174343275821</v>
      </c>
      <c r="S3518" t="s">
        <v>10164</v>
      </c>
      <c r="T3518" t="s">
        <v>13290</v>
      </c>
      <c r="U3518" t="s">
        <v>13290</v>
      </c>
      <c r="V3518" t="s">
        <v>13290</v>
      </c>
      <c r="W3518" t="s">
        <v>16764</v>
      </c>
      <c r="X3518">
        <v>5</v>
      </c>
      <c r="Y3518" t="s">
        <v>23276</v>
      </c>
      <c r="Z3518" t="s">
        <v>29848</v>
      </c>
      <c r="AA3518">
        <v>0.41177432698708011</v>
      </c>
      <c r="AB3518" t="str">
        <f>HYPERLINK("Melting_Curves/meltCurve_Q14691_GINS1.pdf", "Melting_Curves/meltCurve_Q14691_GINS1.pdf")</f>
        <v>Melting_Curves/meltCurve_Q14691_GINS1.pdf</v>
      </c>
    </row>
    <row r="3519" spans="1:28" x14ac:dyDescent="0.25">
      <c r="A3519" t="s">
        <v>3523</v>
      </c>
      <c r="B3519">
        <v>0.99252571173614901</v>
      </c>
      <c r="C3519">
        <v>0.78872755406626405</v>
      </c>
      <c r="D3519">
        <v>0.43781658197967299</v>
      </c>
      <c r="E3519">
        <v>0.24263545312274301</v>
      </c>
      <c r="F3519">
        <v>0.189014188610374</v>
      </c>
      <c r="G3519">
        <v>8.9863564454865694E-2</v>
      </c>
      <c r="H3519">
        <v>5.9680741811386002E-2</v>
      </c>
      <c r="I3519">
        <v>6.1986254069778701E-2</v>
      </c>
      <c r="J3519">
        <v>6.4739241060013303E-2</v>
      </c>
      <c r="K3519">
        <v>6.4094392299180403E-2</v>
      </c>
      <c r="L3519">
        <v>898.51671362263596</v>
      </c>
      <c r="M3519">
        <v>19.779896052664402</v>
      </c>
      <c r="N3519">
        <v>45.799809572747201</v>
      </c>
      <c r="O3519">
        <v>44.969093520896401</v>
      </c>
      <c r="P3519">
        <v>-0.10176522107458701</v>
      </c>
      <c r="Q3519">
        <v>7.4588851073392595E-2</v>
      </c>
      <c r="R3519">
        <v>0.98995210062329198</v>
      </c>
      <c r="S3519" t="s">
        <v>10165</v>
      </c>
      <c r="T3519" t="s">
        <v>13290</v>
      </c>
      <c r="U3519" t="s">
        <v>13290</v>
      </c>
      <c r="V3519" t="s">
        <v>13290</v>
      </c>
      <c r="W3519" t="s">
        <v>16765</v>
      </c>
      <c r="X3519">
        <v>13</v>
      </c>
      <c r="Y3519" t="s">
        <v>23277</v>
      </c>
      <c r="Z3519" t="s">
        <v>29849</v>
      </c>
      <c r="AA3519">
        <v>0.25734030439399452</v>
      </c>
      <c r="AB3519" t="str">
        <f>HYPERLINK("Melting_Curves/meltCurve_Q14694_USP10.pdf", "Melting_Curves/meltCurve_Q14694_USP10.pdf")</f>
        <v>Melting_Curves/meltCurve_Q14694_USP10.pdf</v>
      </c>
    </row>
    <row r="3520" spans="1:28" x14ac:dyDescent="0.25">
      <c r="A3520" t="s">
        <v>3524</v>
      </c>
      <c r="B3520">
        <v>0.99252571173614901</v>
      </c>
      <c r="C3520">
        <v>1.0885297599307</v>
      </c>
      <c r="D3520">
        <v>1.0066396095805901</v>
      </c>
      <c r="E3520">
        <v>0.74674445014785495</v>
      </c>
      <c r="F3520">
        <v>0.58067708271602003</v>
      </c>
      <c r="G3520">
        <v>0.299316568452557</v>
      </c>
      <c r="H3520">
        <v>0.20906693381219599</v>
      </c>
      <c r="I3520">
        <v>0.200979367070415</v>
      </c>
      <c r="J3520">
        <v>0.26791995368778898</v>
      </c>
      <c r="K3520">
        <v>0.22294215087350699</v>
      </c>
      <c r="L3520">
        <v>1156.43696426876</v>
      </c>
      <c r="M3520">
        <v>22.1573775120861</v>
      </c>
      <c r="N3520">
        <v>53.525011223946898</v>
      </c>
      <c r="O3520">
        <v>51.772428519106299</v>
      </c>
      <c r="P3520">
        <v>-8.4307727403542601E-2</v>
      </c>
      <c r="Q3520">
        <v>0.212051204429894</v>
      </c>
      <c r="R3520">
        <v>0.98076162963486502</v>
      </c>
      <c r="S3520" t="s">
        <v>10166</v>
      </c>
      <c r="T3520" t="s">
        <v>13290</v>
      </c>
      <c r="U3520" t="s">
        <v>13290</v>
      </c>
      <c r="V3520" t="s">
        <v>13290</v>
      </c>
      <c r="W3520" t="s">
        <v>16766</v>
      </c>
      <c r="X3520">
        <v>9</v>
      </c>
      <c r="Y3520" t="s">
        <v>23278</v>
      </c>
      <c r="Z3520" t="s">
        <v>29850</v>
      </c>
      <c r="AA3520">
        <v>0.54131971662148004</v>
      </c>
      <c r="AB3520" t="str">
        <f>HYPERLINK("Melting_Curves/meltCurve_Q14696_MESDC2.pdf", "Melting_Curves/meltCurve_Q14696_MESDC2.pdf")</f>
        <v>Melting_Curves/meltCurve_Q14696_MESDC2.pdf</v>
      </c>
    </row>
    <row r="3521" spans="1:28" x14ac:dyDescent="0.25">
      <c r="A3521" t="s">
        <v>3525</v>
      </c>
      <c r="B3521">
        <v>0.99252571173614901</v>
      </c>
      <c r="C3521">
        <v>1.0240746934602301</v>
      </c>
      <c r="D3521">
        <v>0.79949465344938897</v>
      </c>
      <c r="E3521">
        <v>0.52956235464928003</v>
      </c>
      <c r="F3521">
        <v>0.15302735574314</v>
      </c>
      <c r="G3521">
        <v>9.0177968351667304E-2</v>
      </c>
      <c r="H3521">
        <v>7.1543112453693394E-2</v>
      </c>
      <c r="I3521">
        <v>8.4758849513040704E-2</v>
      </c>
      <c r="J3521">
        <v>0.112819809416805</v>
      </c>
      <c r="K3521">
        <v>9.5022907136288207E-2</v>
      </c>
      <c r="L3521">
        <v>1230.6489081659399</v>
      </c>
      <c r="M3521">
        <v>25.062353569128899</v>
      </c>
      <c r="N3521">
        <v>49.442926264946301</v>
      </c>
      <c r="O3521">
        <v>48.7940728554969</v>
      </c>
      <c r="P3521">
        <v>-0.118261547206305</v>
      </c>
      <c r="Q3521">
        <v>7.9035477720923106E-2</v>
      </c>
      <c r="R3521">
        <v>0.99206174046235296</v>
      </c>
      <c r="S3521" t="s">
        <v>10167</v>
      </c>
      <c r="T3521" t="s">
        <v>13290</v>
      </c>
      <c r="U3521" t="s">
        <v>13290</v>
      </c>
      <c r="V3521" t="s">
        <v>13290</v>
      </c>
      <c r="W3521" t="s">
        <v>16767</v>
      </c>
      <c r="X3521">
        <v>51</v>
      </c>
      <c r="Y3521" t="s">
        <v>23279</v>
      </c>
      <c r="Z3521" t="s">
        <v>29851</v>
      </c>
      <c r="AA3521">
        <v>0.36662671605671993</v>
      </c>
      <c r="AB3521" t="str">
        <f>HYPERLINK("Melting_Curves/meltCurve_Q14697_GANAB.pdf", "Melting_Curves/meltCurve_Q14697_GANAB.pdf")</f>
        <v>Melting_Curves/meltCurve_Q14697_GANAB.pdf</v>
      </c>
    </row>
    <row r="3522" spans="1:28" x14ac:dyDescent="0.25">
      <c r="A3522" t="s">
        <v>3526</v>
      </c>
      <c r="B3522">
        <v>0.99252571173614901</v>
      </c>
      <c r="C3522">
        <v>0.96518674480417399</v>
      </c>
      <c r="D3522">
        <v>0.72684709625794997</v>
      </c>
      <c r="E3522">
        <v>0.40594655903237897</v>
      </c>
      <c r="F3522">
        <v>6.6524803095287396E-2</v>
      </c>
      <c r="G3522">
        <v>2.2158612415098099E-2</v>
      </c>
      <c r="H3522">
        <v>1.31906244440933E-2</v>
      </c>
      <c r="I3522">
        <v>2.2412391449244499E-2</v>
      </c>
      <c r="J3522">
        <v>4.0408304246475298E-2</v>
      </c>
      <c r="K3522">
        <v>3.8393240474184902E-2</v>
      </c>
      <c r="L3522">
        <v>1124.6599287101999</v>
      </c>
      <c r="M3522">
        <v>23.3027248282581</v>
      </c>
      <c r="N3522">
        <v>48.325393015671402</v>
      </c>
      <c r="O3522">
        <v>47.911808677954703</v>
      </c>
      <c r="P3522">
        <v>-0.119792650923007</v>
      </c>
      <c r="Q3522">
        <v>1.4813828610884001E-2</v>
      </c>
      <c r="R3522">
        <v>0.99476354885117302</v>
      </c>
      <c r="S3522" t="s">
        <v>10168</v>
      </c>
      <c r="T3522" t="s">
        <v>13290</v>
      </c>
      <c r="U3522" t="s">
        <v>13290</v>
      </c>
      <c r="V3522" t="s">
        <v>13290</v>
      </c>
      <c r="W3522" t="s">
        <v>16768</v>
      </c>
      <c r="X3522">
        <v>51</v>
      </c>
      <c r="Y3522" t="s">
        <v>23279</v>
      </c>
      <c r="Z3522" t="s">
        <v>29852</v>
      </c>
      <c r="AA3522">
        <v>0.29626436998213762</v>
      </c>
      <c r="AB3522" t="str">
        <f>HYPERLINK("Melting_Curves/meltCurve_Q14697_2_GANAB.pdf", "Melting_Curves/meltCurve_Q14697_2_GANAB.pdf")</f>
        <v>Melting_Curves/meltCurve_Q14697_2_GANAB.pdf</v>
      </c>
    </row>
    <row r="3523" spans="1:28" x14ac:dyDescent="0.25">
      <c r="A3523" t="s">
        <v>3527</v>
      </c>
      <c r="B3523">
        <v>0.99252571173614901</v>
      </c>
      <c r="C3523">
        <v>0.97115451671594999</v>
      </c>
      <c r="D3523">
        <v>0.85704618314787695</v>
      </c>
      <c r="E3523">
        <v>0.88857118287321102</v>
      </c>
      <c r="F3523">
        <v>0.57462274117896806</v>
      </c>
      <c r="G3523">
        <v>0.28695326176272801</v>
      </c>
      <c r="H3523">
        <v>0.19728770155467501</v>
      </c>
      <c r="I3523">
        <v>0.25242145039538799</v>
      </c>
      <c r="J3523">
        <v>0.32718229516142799</v>
      </c>
      <c r="K3523">
        <v>0.311758108306388</v>
      </c>
      <c r="L3523">
        <v>1622.6357579515</v>
      </c>
      <c r="M3523">
        <v>30.957897644989401</v>
      </c>
      <c r="N3523">
        <v>53.713237556599402</v>
      </c>
      <c r="O3523">
        <v>52.197025315499701</v>
      </c>
      <c r="P3523">
        <v>-0.109204906075553</v>
      </c>
      <c r="Q3523">
        <v>0.26349798977317701</v>
      </c>
      <c r="R3523">
        <v>0.96592714302542904</v>
      </c>
      <c r="S3523" t="s">
        <v>10169</v>
      </c>
      <c r="T3523" t="s">
        <v>13290</v>
      </c>
      <c r="U3523" t="s">
        <v>13290</v>
      </c>
      <c r="V3523" t="s">
        <v>13290</v>
      </c>
      <c r="W3523" t="s">
        <v>16769</v>
      </c>
      <c r="X3523">
        <v>10</v>
      </c>
      <c r="Y3523" t="s">
        <v>23280</v>
      </c>
      <c r="Z3523" t="s">
        <v>29853</v>
      </c>
      <c r="AA3523">
        <v>0.5727196526730598</v>
      </c>
      <c r="AB3523" t="str">
        <f>HYPERLINK("Melting_Curves/meltCurve_Q14699_RFTN1.pdf", "Melting_Curves/meltCurve_Q14699_RFTN1.pdf")</f>
        <v>Melting_Curves/meltCurve_Q14699_RFTN1.pdf</v>
      </c>
    </row>
    <row r="3524" spans="1:28" x14ac:dyDescent="0.25">
      <c r="A3524" t="s">
        <v>3528</v>
      </c>
      <c r="B3524">
        <v>0.99252571173614901</v>
      </c>
      <c r="C3524">
        <v>0.91322663502152901</v>
      </c>
      <c r="D3524">
        <v>0.83644478352733698</v>
      </c>
      <c r="E3524">
        <v>0.64731306492628005</v>
      </c>
      <c r="F3524">
        <v>0.287955685658493</v>
      </c>
      <c r="G3524">
        <v>0.119845404640987</v>
      </c>
      <c r="H3524">
        <v>7.3186354885758698E-2</v>
      </c>
      <c r="I3524">
        <v>7.0238869415400695E-2</v>
      </c>
      <c r="J3524">
        <v>9.0921704859590904E-2</v>
      </c>
      <c r="K3524">
        <v>8.8086638452621893E-2</v>
      </c>
      <c r="L3524">
        <v>984.68779479790305</v>
      </c>
      <c r="M3524">
        <v>19.561535810874599</v>
      </c>
      <c r="N3524">
        <v>50.669943912657402</v>
      </c>
      <c r="O3524">
        <v>49.820747939712</v>
      </c>
      <c r="P3524">
        <v>-9.2258956631413397E-2</v>
      </c>
      <c r="Q3524">
        <v>6.0145997263257103E-2</v>
      </c>
      <c r="R3524">
        <v>0.99297090271775901</v>
      </c>
      <c r="S3524" t="s">
        <v>10170</v>
      </c>
      <c r="T3524" t="s">
        <v>13290</v>
      </c>
      <c r="U3524" t="s">
        <v>13290</v>
      </c>
      <c r="V3524" t="s">
        <v>13290</v>
      </c>
      <c r="W3524" t="s">
        <v>16770</v>
      </c>
      <c r="X3524">
        <v>12</v>
      </c>
      <c r="Y3524" t="s">
        <v>23281</v>
      </c>
      <c r="Z3524" t="s">
        <v>29854</v>
      </c>
      <c r="AA3524">
        <v>0.39765531202087617</v>
      </c>
      <c r="AB3524" t="str">
        <f>HYPERLINK("Melting_Curves/meltCurve_Q14739_LBR.pdf", "Melting_Curves/meltCurve_Q14739_LBR.pdf")</f>
        <v>Melting_Curves/meltCurve_Q14739_LBR.pdf</v>
      </c>
    </row>
    <row r="3525" spans="1:28" x14ac:dyDescent="0.25">
      <c r="A3525" t="s">
        <v>3529</v>
      </c>
      <c r="B3525">
        <v>0.99252571173614901</v>
      </c>
      <c r="C3525">
        <v>0.72793604265578804</v>
      </c>
      <c r="D3525">
        <v>0.44925145506390601</v>
      </c>
      <c r="E3525">
        <v>0.22594089028400799</v>
      </c>
      <c r="F3525">
        <v>0.14259639154164899</v>
      </c>
      <c r="G3525">
        <v>9.4925675201091006E-2</v>
      </c>
      <c r="H3525">
        <v>7.3033929843585296E-2</v>
      </c>
      <c r="I3525">
        <v>7.5562884268368796E-2</v>
      </c>
      <c r="J3525">
        <v>9.34782084614902E-2</v>
      </c>
      <c r="K3525">
        <v>8.6240055715626707E-2</v>
      </c>
      <c r="L3525">
        <v>904.26373718919001</v>
      </c>
      <c r="M3525">
        <v>20.0598025042245</v>
      </c>
      <c r="N3525">
        <v>45.499346197861797</v>
      </c>
      <c r="O3525">
        <v>44.6375845185988</v>
      </c>
      <c r="P3525">
        <v>-0.102835984332606</v>
      </c>
      <c r="Q3525">
        <v>8.4696475982428507E-2</v>
      </c>
      <c r="R3525">
        <v>0.994371323798384</v>
      </c>
      <c r="S3525" t="s">
        <v>10171</v>
      </c>
      <c r="T3525" t="s">
        <v>13290</v>
      </c>
      <c r="U3525" t="s">
        <v>13290</v>
      </c>
      <c r="V3525" t="s">
        <v>13290</v>
      </c>
      <c r="W3525" t="s">
        <v>16771</v>
      </c>
      <c r="X3525">
        <v>7</v>
      </c>
      <c r="Y3525" t="s">
        <v>23282</v>
      </c>
      <c r="Z3525" t="s">
        <v>29855</v>
      </c>
      <c r="AA3525">
        <v>0.25489303048880468</v>
      </c>
      <c r="AB3525" t="str">
        <f>HYPERLINK("Melting_Curves/meltCurve_Q14746_2_COG2.pdf", "Melting_Curves/meltCurve_Q14746_2_COG2.pdf")</f>
        <v>Melting_Curves/meltCurve_Q14746_2_COG2.pdf</v>
      </c>
    </row>
    <row r="3526" spans="1:28" x14ac:dyDescent="0.25">
      <c r="A3526" t="s">
        <v>3530</v>
      </c>
      <c r="B3526">
        <v>0.99252571173614901</v>
      </c>
      <c r="C3526">
        <v>0.65939182656217799</v>
      </c>
      <c r="D3526">
        <v>0.324234734728712</v>
      </c>
      <c r="E3526">
        <v>0.23559202163468701</v>
      </c>
      <c r="F3526">
        <v>0.139769632915095</v>
      </c>
      <c r="G3526">
        <v>9.3497433790863602E-2</v>
      </c>
      <c r="H3526">
        <v>7.4222390065997804E-2</v>
      </c>
      <c r="I3526">
        <v>7.9113851181025693E-2</v>
      </c>
      <c r="J3526">
        <v>0.101274375693317</v>
      </c>
      <c r="K3526">
        <v>0.106702199142479</v>
      </c>
      <c r="L3526">
        <v>1038.9564205761001</v>
      </c>
      <c r="M3526">
        <v>23.595121360755002</v>
      </c>
      <c r="N3526">
        <v>44.471025888077797</v>
      </c>
      <c r="O3526">
        <v>43.7200499074428</v>
      </c>
      <c r="P3526">
        <v>-0.12092447871923701</v>
      </c>
      <c r="Q3526">
        <v>0.103757977872518</v>
      </c>
      <c r="R3526">
        <v>0.98437647278792795</v>
      </c>
      <c r="S3526" t="s">
        <v>10172</v>
      </c>
      <c r="T3526" t="s">
        <v>13290</v>
      </c>
      <c r="U3526" t="s">
        <v>13290</v>
      </c>
      <c r="V3526" t="s">
        <v>13290</v>
      </c>
      <c r="W3526" t="s">
        <v>16772</v>
      </c>
      <c r="X3526">
        <v>46</v>
      </c>
      <c r="Y3526" t="s">
        <v>23283</v>
      </c>
      <c r="Z3526" t="s">
        <v>29856</v>
      </c>
      <c r="AA3526">
        <v>0.23597430443446971</v>
      </c>
      <c r="AB3526" t="str">
        <f>HYPERLINK("Melting_Curves/meltCurve_Q14789_GOLGB1.pdf", "Melting_Curves/meltCurve_Q14789_GOLGB1.pdf")</f>
        <v>Melting_Curves/meltCurve_Q14789_GOLGB1.pdf</v>
      </c>
    </row>
    <row r="3527" spans="1:28" x14ac:dyDescent="0.25">
      <c r="A3527" t="s">
        <v>3531</v>
      </c>
      <c r="B3527">
        <v>0.99252571173614901</v>
      </c>
      <c r="C3527">
        <v>1.0145226814425701</v>
      </c>
      <c r="D3527">
        <v>0.62726449818154395</v>
      </c>
      <c r="E3527">
        <v>0.26013656025187398</v>
      </c>
      <c r="F3527">
        <v>0.14976836297937399</v>
      </c>
      <c r="G3527">
        <v>7.9910747107142799E-2</v>
      </c>
      <c r="H3527">
        <v>5.91697477656489E-2</v>
      </c>
      <c r="I3527">
        <v>5.4026324063627201E-2</v>
      </c>
      <c r="J3527">
        <v>6.4414571387215402E-2</v>
      </c>
      <c r="K3527">
        <v>5.9364273431705597E-2</v>
      </c>
      <c r="L3527">
        <v>1287.4325658512901</v>
      </c>
      <c r="M3527">
        <v>27.410948391188299</v>
      </c>
      <c r="N3527">
        <v>47.228441353688098</v>
      </c>
      <c r="O3527">
        <v>46.719977255724103</v>
      </c>
      <c r="P3527">
        <v>-0.13638313496948601</v>
      </c>
      <c r="Q3527">
        <v>7.0187949451550199E-2</v>
      </c>
      <c r="R3527">
        <v>0.99252399176153705</v>
      </c>
      <c r="S3527" t="s">
        <v>10173</v>
      </c>
      <c r="T3527" t="s">
        <v>13290</v>
      </c>
      <c r="U3527" t="s">
        <v>13290</v>
      </c>
      <c r="V3527" t="s">
        <v>13290</v>
      </c>
      <c r="W3527" t="s">
        <v>16773</v>
      </c>
      <c r="X3527">
        <v>7</v>
      </c>
      <c r="Y3527" t="s">
        <v>23284</v>
      </c>
      <c r="Z3527" t="s">
        <v>29857</v>
      </c>
      <c r="AA3527">
        <v>0.29293225712125509</v>
      </c>
      <c r="AB3527" t="str">
        <f>HYPERLINK("Melting_Curves/meltCurve_Q14790_CASP8.pdf", "Melting_Curves/meltCurve_Q14790_CASP8.pdf")</f>
        <v>Melting_Curves/meltCurve_Q14790_CASP8.pdf</v>
      </c>
    </row>
    <row r="3528" spans="1:28" x14ac:dyDescent="0.25">
      <c r="A3528" t="s">
        <v>3532</v>
      </c>
      <c r="B3528">
        <v>0.99252571173614901</v>
      </c>
      <c r="C3528">
        <v>0.99436020451771301</v>
      </c>
      <c r="D3528">
        <v>0.904558471986327</v>
      </c>
      <c r="E3528">
        <v>0.74634881510293805</v>
      </c>
      <c r="F3528">
        <v>0.34534657999710999</v>
      </c>
      <c r="G3528">
        <v>0.266474077682886</v>
      </c>
      <c r="H3528">
        <v>0.20286004499190899</v>
      </c>
      <c r="I3528">
        <v>0.14710225552433001</v>
      </c>
      <c r="J3528">
        <v>0.10535506039690801</v>
      </c>
      <c r="K3528">
        <v>7.6378493841291903E-2</v>
      </c>
      <c r="L3528">
        <v>1035.1135560334701</v>
      </c>
      <c r="M3528">
        <v>20.172506048979098</v>
      </c>
      <c r="N3528">
        <v>52.004078229875297</v>
      </c>
      <c r="O3528">
        <v>50.816802153789197</v>
      </c>
      <c r="P3528">
        <v>-8.7577227764515098E-2</v>
      </c>
      <c r="Q3528">
        <v>0.11756033039406701</v>
      </c>
      <c r="R3528">
        <v>0.99070277872627099</v>
      </c>
      <c r="S3528" t="s">
        <v>10174</v>
      </c>
      <c r="T3528" t="s">
        <v>13290</v>
      </c>
      <c r="U3528" t="s">
        <v>13290</v>
      </c>
      <c r="V3528" t="s">
        <v>13290</v>
      </c>
      <c r="W3528" t="s">
        <v>16774</v>
      </c>
      <c r="X3528">
        <v>4</v>
      </c>
      <c r="Y3528" t="s">
        <v>23285</v>
      </c>
      <c r="Z3528" t="s">
        <v>29858</v>
      </c>
      <c r="AA3528">
        <v>0.4623778040847889</v>
      </c>
      <c r="AB3528" t="str">
        <f>HYPERLINK("Melting_Curves/meltCurve_Q147X3_NAA30.pdf", "Melting_Curves/meltCurve_Q147X3_NAA30.pdf")</f>
        <v>Melting_Curves/meltCurve_Q147X3_NAA30.pdf</v>
      </c>
    </row>
    <row r="3529" spans="1:28" x14ac:dyDescent="0.25">
      <c r="A3529" t="s">
        <v>3533</v>
      </c>
      <c r="B3529">
        <v>0.99252571173614901</v>
      </c>
      <c r="C3529">
        <v>1.04450901432216</v>
      </c>
      <c r="D3529">
        <v>0.97605897438422196</v>
      </c>
      <c r="E3529">
        <v>1.1696133721372499</v>
      </c>
      <c r="F3529">
        <v>0.65603738058703498</v>
      </c>
      <c r="G3529">
        <v>0.55755726750258905</v>
      </c>
      <c r="H3529">
        <v>0.46229981927494102</v>
      </c>
      <c r="I3529">
        <v>0.58754040386534501</v>
      </c>
      <c r="J3529">
        <v>0.99555269903306598</v>
      </c>
      <c r="K3529">
        <v>0.91697855324958899</v>
      </c>
      <c r="L3529">
        <v>5188.43732944782</v>
      </c>
      <c r="M3529">
        <v>100.427547241176</v>
      </c>
      <c r="O3529">
        <v>51.6430113296787</v>
      </c>
      <c r="P3529">
        <v>-0.14902657191067001</v>
      </c>
      <c r="Q3529">
        <v>0.69346336815041598</v>
      </c>
      <c r="R3529">
        <v>0.52015407769204802</v>
      </c>
      <c r="S3529" t="s">
        <v>10175</v>
      </c>
      <c r="T3529" t="s">
        <v>13290</v>
      </c>
      <c r="U3529" t="s">
        <v>13290</v>
      </c>
      <c r="V3529" t="s">
        <v>13290</v>
      </c>
      <c r="W3529" t="s">
        <v>16775</v>
      </c>
      <c r="X3529">
        <v>2</v>
      </c>
      <c r="Y3529" t="s">
        <v>23286</v>
      </c>
      <c r="Z3529" t="s">
        <v>29859</v>
      </c>
      <c r="AA3529">
        <v>0.81281200421821509</v>
      </c>
      <c r="AB3529" t="str">
        <f>HYPERLINK("Melting_Curves/meltCurve_Q14802_2_FXYD3.pdf", "Melting_Curves/meltCurve_Q14802_2_FXYD3.pdf")</f>
        <v>Melting_Curves/meltCurve_Q14802_2_FXYD3.pdf</v>
      </c>
    </row>
    <row r="3530" spans="1:28" x14ac:dyDescent="0.25">
      <c r="A3530" t="s">
        <v>3534</v>
      </c>
      <c r="B3530">
        <v>0.99252571173614901</v>
      </c>
      <c r="C3530">
        <v>0.93704684913222303</v>
      </c>
      <c r="D3530">
        <v>0.42896516123980799</v>
      </c>
      <c r="E3530">
        <v>0.16634653085624501</v>
      </c>
      <c r="F3530">
        <v>9.4313611685477999E-2</v>
      </c>
      <c r="G3530">
        <v>4.70638061764177E-2</v>
      </c>
      <c r="H3530">
        <v>3.9935273616929001E-2</v>
      </c>
      <c r="I3530">
        <v>3.9600489313186098E-2</v>
      </c>
      <c r="J3530">
        <v>2.79155626306891E-2</v>
      </c>
      <c r="K3530">
        <v>2.9579318881036602E-2</v>
      </c>
      <c r="L3530">
        <v>1526.28833806886</v>
      </c>
      <c r="M3530">
        <v>33.463405454532698</v>
      </c>
      <c r="N3530">
        <v>45.758383517196997</v>
      </c>
      <c r="O3530">
        <v>45.448708818153598</v>
      </c>
      <c r="P3530">
        <v>-0.17464917035382599</v>
      </c>
      <c r="Q3530">
        <v>5.1196887761533902E-2</v>
      </c>
      <c r="R3530">
        <v>0.99387266264610197</v>
      </c>
      <c r="S3530" t="s">
        <v>10176</v>
      </c>
      <c r="T3530" t="s">
        <v>13290</v>
      </c>
      <c r="U3530" t="s">
        <v>13290</v>
      </c>
      <c r="V3530" t="s">
        <v>13290</v>
      </c>
      <c r="W3530" t="s">
        <v>16776</v>
      </c>
      <c r="X3530">
        <v>5</v>
      </c>
      <c r="Y3530" t="s">
        <v>23287</v>
      </c>
      <c r="Z3530" t="s">
        <v>29860</v>
      </c>
      <c r="AA3530">
        <v>0.2332224075457183</v>
      </c>
      <c r="AB3530" t="str">
        <f>HYPERLINK("Melting_Curves/meltCurve_Q14807_KIF22.pdf", "Melting_Curves/meltCurve_Q14807_KIF22.pdf")</f>
        <v>Melting_Curves/meltCurve_Q14807_KIF22.pdf</v>
      </c>
    </row>
    <row r="3531" spans="1:28" x14ac:dyDescent="0.25">
      <c r="A3531" t="s">
        <v>3535</v>
      </c>
      <c r="B3531">
        <v>0.99252571173614901</v>
      </c>
      <c r="C3531">
        <v>1.1172741058042299</v>
      </c>
      <c r="D3531">
        <v>1.0190705391397401</v>
      </c>
      <c r="E3531">
        <v>1.04700083590503</v>
      </c>
      <c r="F3531">
        <v>0.92659623058046903</v>
      </c>
      <c r="G3531">
        <v>0.82418489282514995</v>
      </c>
      <c r="H3531">
        <v>0.92595178363581898</v>
      </c>
      <c r="I3531">
        <v>1.06592377980016</v>
      </c>
      <c r="J3531">
        <v>1.34137002906995</v>
      </c>
      <c r="K3531">
        <v>1.33985766392877</v>
      </c>
      <c r="L3531">
        <v>15000</v>
      </c>
      <c r="M3531">
        <v>232.94780303386599</v>
      </c>
      <c r="O3531">
        <v>64.387351408154004</v>
      </c>
      <c r="P3531">
        <v>0.308090400728873</v>
      </c>
      <c r="Q3531">
        <v>1.34062786206006</v>
      </c>
      <c r="R3531">
        <v>0.77505538906495997</v>
      </c>
      <c r="S3531" t="s">
        <v>10177</v>
      </c>
      <c r="T3531" t="s">
        <v>13290</v>
      </c>
      <c r="U3531" t="s">
        <v>13290</v>
      </c>
      <c r="V3531" t="s">
        <v>13290</v>
      </c>
      <c r="W3531" t="s">
        <v>16777</v>
      </c>
      <c r="X3531">
        <v>30</v>
      </c>
      <c r="Y3531" t="s">
        <v>23288</v>
      </c>
      <c r="Z3531" t="s">
        <v>29861</v>
      </c>
      <c r="AA3531">
        <v>1.0636291431935041</v>
      </c>
      <c r="AB3531" t="str">
        <f>HYPERLINK("Melting_Curves/meltCurve_Q14847_LASP1.pdf", "Melting_Curves/meltCurve_Q14847_LASP1.pdf")</f>
        <v>Melting_Curves/meltCurve_Q14847_LASP1.pdf</v>
      </c>
    </row>
    <row r="3532" spans="1:28" x14ac:dyDescent="0.25">
      <c r="A3532" t="s">
        <v>3536</v>
      </c>
      <c r="B3532">
        <v>0.99252571173614901</v>
      </c>
      <c r="C3532">
        <v>1.07586958448329</v>
      </c>
      <c r="D3532">
        <v>0.95331057112181605</v>
      </c>
      <c r="E3532">
        <v>0.85810834299911298</v>
      </c>
      <c r="F3532">
        <v>0.401249132771899</v>
      </c>
      <c r="G3532">
        <v>0.233776723267304</v>
      </c>
      <c r="H3532">
        <v>0.17011631526377799</v>
      </c>
      <c r="I3532">
        <v>0.17280693692327301</v>
      </c>
      <c r="J3532">
        <v>0.19213366669840601</v>
      </c>
      <c r="K3532">
        <v>0.176463283889114</v>
      </c>
      <c r="L3532">
        <v>1786.4859198043901</v>
      </c>
      <c r="M3532">
        <v>34.525971382233898</v>
      </c>
      <c r="N3532">
        <v>52.418554113000901</v>
      </c>
      <c r="O3532">
        <v>51.570585303304398</v>
      </c>
      <c r="P3532">
        <v>-0.13732621578377099</v>
      </c>
      <c r="Q3532">
        <v>0.17952004558345799</v>
      </c>
      <c r="R3532">
        <v>0.99422235522467906</v>
      </c>
      <c r="S3532" t="s">
        <v>10178</v>
      </c>
      <c r="T3532" t="s">
        <v>13290</v>
      </c>
      <c r="U3532" t="s">
        <v>13290</v>
      </c>
      <c r="V3532" t="s">
        <v>13290</v>
      </c>
      <c r="W3532" t="s">
        <v>16778</v>
      </c>
      <c r="X3532">
        <v>11</v>
      </c>
      <c r="Y3532" t="s">
        <v>23289</v>
      </c>
      <c r="Z3532" t="s">
        <v>29862</v>
      </c>
      <c r="AA3532">
        <v>0.50463305263813096</v>
      </c>
      <c r="AB3532" t="str">
        <f>HYPERLINK("Melting_Curves/meltCurve_Q14914_2_PTGR1.pdf", "Melting_Curves/meltCurve_Q14914_2_PTGR1.pdf")</f>
        <v>Melting_Curves/meltCurve_Q14914_2_PTGR1.pdf</v>
      </c>
    </row>
    <row r="3533" spans="1:28" x14ac:dyDescent="0.25">
      <c r="A3533" t="s">
        <v>3537</v>
      </c>
      <c r="B3533">
        <v>0.99252571173614901</v>
      </c>
      <c r="C3533">
        <v>0.94439346285423098</v>
      </c>
      <c r="D3533">
        <v>0.84749114944639203</v>
      </c>
      <c r="E3533">
        <v>0.72802225551425503</v>
      </c>
      <c r="F3533">
        <v>0.76588270204164099</v>
      </c>
      <c r="G3533">
        <v>0.66587042392826801</v>
      </c>
      <c r="H3533">
        <v>0.46830200266702598</v>
      </c>
      <c r="I3533">
        <v>0.383932187984655</v>
      </c>
      <c r="J3533">
        <v>0.11641346828551</v>
      </c>
      <c r="K3533">
        <v>5.87597942450621E-2</v>
      </c>
      <c r="L3533">
        <v>571.56628001295201</v>
      </c>
      <c r="M3533">
        <v>9.7432022263762494</v>
      </c>
      <c r="N3533">
        <v>58.663081050162397</v>
      </c>
      <c r="O3533">
        <v>56.351898372036501</v>
      </c>
      <c r="P3533">
        <v>-4.3248037696681597E-2</v>
      </c>
      <c r="Q3533">
        <v>0</v>
      </c>
      <c r="R3533">
        <v>0.93092076759735998</v>
      </c>
      <c r="S3533" t="s">
        <v>10179</v>
      </c>
      <c r="T3533" t="s">
        <v>13290</v>
      </c>
      <c r="U3533" t="s">
        <v>13290</v>
      </c>
      <c r="V3533" t="s">
        <v>13290</v>
      </c>
      <c r="W3533" t="s">
        <v>16779</v>
      </c>
      <c r="X3533">
        <v>3</v>
      </c>
      <c r="Y3533" t="s">
        <v>23290</v>
      </c>
      <c r="Z3533" t="s">
        <v>29863</v>
      </c>
      <c r="AA3533">
        <v>0.62698313754666368</v>
      </c>
      <c r="AB3533" t="str">
        <f>HYPERLINK("Melting_Curves/meltCurve_Q14964_RAB39A.pdf", "Melting_Curves/meltCurve_Q14964_RAB39A.pdf")</f>
        <v>Melting_Curves/meltCurve_Q14964_RAB39A.pdf</v>
      </c>
    </row>
    <row r="3534" spans="1:28" x14ac:dyDescent="0.25">
      <c r="A3534" t="s">
        <v>3538</v>
      </c>
      <c r="B3534">
        <v>0.99252571173614901</v>
      </c>
      <c r="C3534">
        <v>0.94516450821137199</v>
      </c>
      <c r="D3534">
        <v>0.77023339220731302</v>
      </c>
      <c r="E3534">
        <v>0.61214129513116999</v>
      </c>
      <c r="F3534">
        <v>0.28502354003264502</v>
      </c>
      <c r="G3534">
        <v>0.19342115700635801</v>
      </c>
      <c r="H3534">
        <v>0.182940933268394</v>
      </c>
      <c r="I3534">
        <v>0.246402350500213</v>
      </c>
      <c r="J3534">
        <v>0.34174887221939898</v>
      </c>
      <c r="K3534">
        <v>0.37966385424601301</v>
      </c>
      <c r="L3534">
        <v>1092.4973677196999</v>
      </c>
      <c r="M3534">
        <v>22.599252142602399</v>
      </c>
      <c r="N3534">
        <v>49.965786002419797</v>
      </c>
      <c r="O3534">
        <v>47.9684433063128</v>
      </c>
      <c r="P3534">
        <v>-8.7149737193035204E-2</v>
      </c>
      <c r="Q3534">
        <v>0.26008994550558401</v>
      </c>
      <c r="R3534">
        <v>0.94264865658154295</v>
      </c>
      <c r="S3534" t="s">
        <v>10180</v>
      </c>
      <c r="T3534" t="s">
        <v>13290</v>
      </c>
      <c r="U3534" t="s">
        <v>13290</v>
      </c>
      <c r="V3534" t="s">
        <v>13290</v>
      </c>
      <c r="W3534" t="s">
        <v>16780</v>
      </c>
      <c r="X3534">
        <v>16</v>
      </c>
      <c r="Y3534" t="s">
        <v>23291</v>
      </c>
      <c r="Z3534" t="s">
        <v>29864</v>
      </c>
      <c r="AA3534">
        <v>0.47392467910882202</v>
      </c>
      <c r="AB3534" t="str">
        <f>HYPERLINK("Melting_Curves/meltCurve_Q14966_ZNF638.pdf", "Melting_Curves/meltCurve_Q14966_ZNF638.pdf")</f>
        <v>Melting_Curves/meltCurve_Q14966_ZNF638.pdf</v>
      </c>
    </row>
    <row r="3535" spans="1:28" x14ac:dyDescent="0.25">
      <c r="A3535" t="s">
        <v>3539</v>
      </c>
      <c r="B3535">
        <v>0.99252571173614901</v>
      </c>
      <c r="C3535">
        <v>0.84612474193931098</v>
      </c>
      <c r="D3535">
        <v>0.73093464022277999</v>
      </c>
      <c r="E3535">
        <v>0.43735848768624103</v>
      </c>
      <c r="F3535">
        <v>0.13061745860262899</v>
      </c>
      <c r="G3535">
        <v>7.6489843218989703E-2</v>
      </c>
      <c r="H3535">
        <v>4.98208807304268E-2</v>
      </c>
      <c r="I3535">
        <v>5.4406597917447501E-2</v>
      </c>
      <c r="J3535">
        <v>5.8571156384693401E-2</v>
      </c>
      <c r="K3535">
        <v>5.0823834203136901E-2</v>
      </c>
      <c r="L3535">
        <v>879.98360662927303</v>
      </c>
      <c r="M3535">
        <v>18.251638328599199</v>
      </c>
      <c r="N3535">
        <v>48.403603841242997</v>
      </c>
      <c r="O3535">
        <v>47.646342973917001</v>
      </c>
      <c r="P3535">
        <v>-9.2466154428275896E-2</v>
      </c>
      <c r="Q3535">
        <v>3.4504577201928899E-2</v>
      </c>
      <c r="R3535">
        <v>0.99257130579977104</v>
      </c>
      <c r="S3535" t="s">
        <v>10181</v>
      </c>
      <c r="T3535" t="s">
        <v>13290</v>
      </c>
      <c r="U3535" t="s">
        <v>13290</v>
      </c>
      <c r="V3535" t="s">
        <v>13290</v>
      </c>
      <c r="W3535" t="s">
        <v>16781</v>
      </c>
      <c r="X3535">
        <v>34</v>
      </c>
      <c r="Y3535" t="s">
        <v>23292</v>
      </c>
      <c r="Z3535" t="s">
        <v>29865</v>
      </c>
      <c r="AA3535">
        <v>0.31539816365170881</v>
      </c>
      <c r="AB3535" t="str">
        <f>HYPERLINK("Melting_Curves/meltCurve_Q14974_KPNB1.pdf", "Melting_Curves/meltCurve_Q14974_KPNB1.pdf")</f>
        <v>Melting_Curves/meltCurve_Q14974_KPNB1.pdf</v>
      </c>
    </row>
    <row r="3536" spans="1:28" x14ac:dyDescent="0.25">
      <c r="A3536" t="s">
        <v>3540</v>
      </c>
      <c r="B3536">
        <v>0.99252571173614901</v>
      </c>
      <c r="C3536">
        <v>1.0855953849043201</v>
      </c>
      <c r="D3536">
        <v>1.0025995174478199</v>
      </c>
      <c r="E3536">
        <v>1.14414557057013</v>
      </c>
      <c r="F3536">
        <v>0.98506414161543998</v>
      </c>
      <c r="G3536">
        <v>0.86637603262607599</v>
      </c>
      <c r="H3536">
        <v>0.87093382583937295</v>
      </c>
      <c r="I3536">
        <v>1.3190271853284901</v>
      </c>
      <c r="J3536">
        <v>1.7096032145231901</v>
      </c>
      <c r="K3536">
        <v>1.8983763858045</v>
      </c>
      <c r="L3536">
        <v>15000</v>
      </c>
      <c r="M3536">
        <v>234.94198046526199</v>
      </c>
      <c r="O3536">
        <v>63.840924061316599</v>
      </c>
      <c r="P3536">
        <v>0.46001445073604802</v>
      </c>
      <c r="Q3536">
        <v>1.5</v>
      </c>
      <c r="R3536">
        <v>0.76375457679314995</v>
      </c>
      <c r="S3536" t="s">
        <v>10182</v>
      </c>
      <c r="T3536" t="s">
        <v>13290</v>
      </c>
      <c r="U3536" t="s">
        <v>13290</v>
      </c>
      <c r="V3536" t="s">
        <v>13290</v>
      </c>
      <c r="W3536" t="s">
        <v>16782</v>
      </c>
      <c r="X3536">
        <v>34</v>
      </c>
      <c r="Y3536" t="s">
        <v>23293</v>
      </c>
      <c r="Z3536" t="s">
        <v>29866</v>
      </c>
      <c r="AA3536">
        <v>1.1025107264966889</v>
      </c>
      <c r="AB3536" t="str">
        <f>HYPERLINK("Melting_Curves/meltCurve_Q14978_2_NOLC1.pdf", "Melting_Curves/meltCurve_Q14978_2_NOLC1.pdf")</f>
        <v>Melting_Curves/meltCurve_Q14978_2_NOLC1.pdf</v>
      </c>
    </row>
    <row r="3537" spans="1:28" x14ac:dyDescent="0.25">
      <c r="A3537" t="s">
        <v>3541</v>
      </c>
      <c r="B3537">
        <v>0.99252571173614901</v>
      </c>
      <c r="C3537">
        <v>0.633448199116322</v>
      </c>
      <c r="D3537">
        <v>0.37551167277345898</v>
      </c>
      <c r="E3537">
        <v>0.24829575705943399</v>
      </c>
      <c r="F3537">
        <v>0.145702889061022</v>
      </c>
      <c r="G3537">
        <v>9.1221834796920406E-2</v>
      </c>
      <c r="H3537">
        <v>7.4391157372706698E-2</v>
      </c>
      <c r="I3537">
        <v>8.5820065773340795E-2</v>
      </c>
      <c r="J3537">
        <v>0.119200496610261</v>
      </c>
      <c r="K3537">
        <v>0.14901615949783001</v>
      </c>
      <c r="L3537">
        <v>927.28275454149104</v>
      </c>
      <c r="M3537">
        <v>21.012474096357401</v>
      </c>
      <c r="N3537">
        <v>44.6667162525669</v>
      </c>
      <c r="O3537">
        <v>43.736252349591403</v>
      </c>
      <c r="P3537">
        <v>-0.10671361668341101</v>
      </c>
      <c r="Q3537">
        <v>0.111551022159914</v>
      </c>
      <c r="R3537">
        <v>0.97844069219878305</v>
      </c>
      <c r="S3537" t="s">
        <v>10183</v>
      </c>
      <c r="T3537" t="s">
        <v>13290</v>
      </c>
      <c r="U3537" t="s">
        <v>13290</v>
      </c>
      <c r="V3537" t="s">
        <v>13290</v>
      </c>
      <c r="W3537" t="s">
        <v>16783</v>
      </c>
      <c r="X3537">
        <v>99</v>
      </c>
      <c r="Y3537" t="s">
        <v>23294</v>
      </c>
      <c r="Z3537" t="s">
        <v>29867</v>
      </c>
      <c r="AA3537">
        <v>0.24894413372733931</v>
      </c>
      <c r="AB3537" t="str">
        <f>HYPERLINK("Melting_Curves/meltCurve_Q14980_NUMA1.pdf", "Melting_Curves/meltCurve_Q14980_NUMA1.pdf")</f>
        <v>Melting_Curves/meltCurve_Q14980_NUMA1.pdf</v>
      </c>
    </row>
    <row r="3538" spans="1:28" x14ac:dyDescent="0.25">
      <c r="A3538" t="s">
        <v>3542</v>
      </c>
      <c r="B3538">
        <v>0.99252571173614901</v>
      </c>
      <c r="C3538">
        <v>1.0387391652815801</v>
      </c>
      <c r="D3538">
        <v>1.0672891108485401</v>
      </c>
      <c r="E3538">
        <v>1.69161788190036</v>
      </c>
      <c r="F3538">
        <v>0.72946468378681995</v>
      </c>
      <c r="G3538">
        <v>0.65405610501721601</v>
      </c>
      <c r="H3538">
        <v>0.87642261802424404</v>
      </c>
      <c r="I3538">
        <v>2.0541920814561498</v>
      </c>
      <c r="J3538">
        <v>1.12386109505758</v>
      </c>
      <c r="K3538">
        <v>0.97409829169719497</v>
      </c>
      <c r="L3538">
        <v>11513.573191588999</v>
      </c>
      <c r="M3538">
        <v>250</v>
      </c>
      <c r="O3538">
        <v>46.0513454809183</v>
      </c>
      <c r="P3538">
        <v>0.21399109700723101</v>
      </c>
      <c r="Q3538">
        <v>1.1576732472228899</v>
      </c>
      <c r="R3538">
        <v>2.0299841115599002E-2</v>
      </c>
      <c r="S3538" t="s">
        <v>10184</v>
      </c>
      <c r="T3538" t="s">
        <v>13290</v>
      </c>
      <c r="U3538" t="s">
        <v>13290</v>
      </c>
      <c r="V3538" t="s">
        <v>13290</v>
      </c>
      <c r="W3538" t="s">
        <v>16784</v>
      </c>
      <c r="X3538">
        <v>6</v>
      </c>
      <c r="Y3538" t="s">
        <v>23295</v>
      </c>
      <c r="Z3538" t="s">
        <v>29868</v>
      </c>
      <c r="AA3538">
        <v>1.125840503347302</v>
      </c>
      <c r="AB3538" t="str">
        <f>HYPERLINK("Melting_Curves/meltCurve_Q14997_PSME4.pdf", "Melting_Curves/meltCurve_Q14997_PSME4.pdf")</f>
        <v>Melting_Curves/meltCurve_Q14997_PSME4.pdf</v>
      </c>
    </row>
    <row r="3539" spans="1:28" x14ac:dyDescent="0.25">
      <c r="A3539" t="s">
        <v>3543</v>
      </c>
      <c r="B3539">
        <v>0.99252571173614901</v>
      </c>
      <c r="C3539">
        <v>0.87937807882249197</v>
      </c>
      <c r="D3539">
        <v>0.80183184899634397</v>
      </c>
      <c r="E3539">
        <v>0.52208159164646895</v>
      </c>
      <c r="F3539">
        <v>0.35079969756527601</v>
      </c>
      <c r="G3539">
        <v>0.21676990984282701</v>
      </c>
      <c r="H3539">
        <v>0.157188794576964</v>
      </c>
      <c r="I3539">
        <v>0.15565856089204799</v>
      </c>
      <c r="J3539">
        <v>0.191848300941695</v>
      </c>
      <c r="K3539">
        <v>0.202217430364032</v>
      </c>
      <c r="L3539">
        <v>814.68755968453502</v>
      </c>
      <c r="M3539">
        <v>16.678930646664</v>
      </c>
      <c r="N3539">
        <v>50.012420808238602</v>
      </c>
      <c r="O3539">
        <v>48.159352405058897</v>
      </c>
      <c r="P3539">
        <v>-7.2629003165884207E-2</v>
      </c>
      <c r="Q3539">
        <v>0.161209341787173</v>
      </c>
      <c r="R3539">
        <v>0.99300087819529104</v>
      </c>
      <c r="S3539" t="s">
        <v>10185</v>
      </c>
      <c r="T3539" t="s">
        <v>13290</v>
      </c>
      <c r="U3539" t="s">
        <v>13290</v>
      </c>
      <c r="V3539" t="s">
        <v>13290</v>
      </c>
      <c r="W3539" t="s">
        <v>16785</v>
      </c>
      <c r="X3539">
        <v>7</v>
      </c>
      <c r="Y3539" t="s">
        <v>23296</v>
      </c>
      <c r="Z3539" t="s">
        <v>29869</v>
      </c>
      <c r="AA3539">
        <v>0.4254806524060849</v>
      </c>
      <c r="AB3539" t="str">
        <f>HYPERLINK("Melting_Curves/meltCurve_Q14BN4_2_SLMAP.pdf", "Melting_Curves/meltCurve_Q14BN4_2_SLMAP.pdf")</f>
        <v>Melting_Curves/meltCurve_Q14BN4_2_SLMAP.pdf</v>
      </c>
    </row>
    <row r="3540" spans="1:28" x14ac:dyDescent="0.25">
      <c r="A3540" t="s">
        <v>3544</v>
      </c>
      <c r="B3540">
        <v>0.99252571173614901</v>
      </c>
      <c r="C3540">
        <v>0.916303872850735</v>
      </c>
      <c r="D3540">
        <v>0.78577398022077305</v>
      </c>
      <c r="E3540">
        <v>0.34085724661470601</v>
      </c>
      <c r="F3540">
        <v>0.17003545510689</v>
      </c>
      <c r="G3540">
        <v>0.10530472368068899</v>
      </c>
      <c r="H3540">
        <v>8.5783860742797896E-2</v>
      </c>
      <c r="I3540">
        <v>9.9370387782016997E-2</v>
      </c>
      <c r="J3540">
        <v>0.11766766492217801</v>
      </c>
      <c r="K3540">
        <v>0.11163443572472501</v>
      </c>
      <c r="L3540">
        <v>1257.3636729411601</v>
      </c>
      <c r="M3540">
        <v>26.292642958467699</v>
      </c>
      <c r="N3540">
        <v>48.235858866876498</v>
      </c>
      <c r="O3540">
        <v>47.547816784746097</v>
      </c>
      <c r="P3540">
        <v>-0.124281655020898</v>
      </c>
      <c r="Q3540">
        <v>0.10100233339020701</v>
      </c>
      <c r="R3540">
        <v>0.99743020613432898</v>
      </c>
      <c r="S3540" t="s">
        <v>10186</v>
      </c>
      <c r="T3540" t="s">
        <v>13290</v>
      </c>
      <c r="U3540" t="s">
        <v>13290</v>
      </c>
      <c r="V3540" t="s">
        <v>13290</v>
      </c>
      <c r="W3540" t="s">
        <v>16786</v>
      </c>
      <c r="X3540">
        <v>28</v>
      </c>
      <c r="Y3540" t="s">
        <v>23297</v>
      </c>
      <c r="Z3540" t="s">
        <v>29870</v>
      </c>
      <c r="AA3540">
        <v>0.34253780274892431</v>
      </c>
      <c r="AB3540" t="str">
        <f>HYPERLINK("Melting_Curves/meltCurve_Q14C86_6_GAPVD1.pdf", "Melting_Curves/meltCurve_Q14C86_6_GAPVD1.pdf")</f>
        <v>Melting_Curves/meltCurve_Q14C86_6_GAPVD1.pdf</v>
      </c>
    </row>
    <row r="3541" spans="1:28" x14ac:dyDescent="0.25">
      <c r="A3541" t="s">
        <v>3545</v>
      </c>
      <c r="B3541">
        <v>0.99252571173614901</v>
      </c>
      <c r="C3541">
        <v>1.0882273380151799</v>
      </c>
      <c r="D3541">
        <v>1.0435434640975201</v>
      </c>
      <c r="E3541">
        <v>0.87387902278488505</v>
      </c>
      <c r="F3541">
        <v>0.42130935906175898</v>
      </c>
      <c r="G3541">
        <v>0.12134436452279899</v>
      </c>
      <c r="H3541">
        <v>9.4666392924526402E-2</v>
      </c>
      <c r="I3541">
        <v>0.10991388691760599</v>
      </c>
      <c r="J3541">
        <v>0.13040334480170099</v>
      </c>
      <c r="K3541">
        <v>9.8269754131422304E-2</v>
      </c>
      <c r="L3541">
        <v>1935.6887178147399</v>
      </c>
      <c r="M3541">
        <v>37.041197356931299</v>
      </c>
      <c r="N3541">
        <v>52.582915986740304</v>
      </c>
      <c r="O3541">
        <v>52.106113330631203</v>
      </c>
      <c r="P3541">
        <v>-0.15952803331859799</v>
      </c>
      <c r="Q3541">
        <v>0.10236571099380599</v>
      </c>
      <c r="R3541">
        <v>0.99305882372265597</v>
      </c>
      <c r="S3541" t="s">
        <v>10187</v>
      </c>
      <c r="T3541" t="s">
        <v>13290</v>
      </c>
      <c r="U3541" t="s">
        <v>13290</v>
      </c>
      <c r="V3541" t="s">
        <v>13290</v>
      </c>
      <c r="W3541" t="s">
        <v>16787</v>
      </c>
      <c r="X3541">
        <v>2</v>
      </c>
      <c r="Y3541" t="s">
        <v>23298</v>
      </c>
      <c r="Z3541" t="s">
        <v>29871</v>
      </c>
      <c r="AA3541">
        <v>0.47291212918287162</v>
      </c>
      <c r="AB3541" t="str">
        <f>HYPERLINK("Melting_Curves/meltCurve_Q14CM0_FRMPD4.pdf", "Melting_Curves/meltCurve_Q14CM0_FRMPD4.pdf")</f>
        <v>Melting_Curves/meltCurve_Q14CM0_FRMPD4.pdf</v>
      </c>
    </row>
    <row r="3542" spans="1:28" x14ac:dyDescent="0.25">
      <c r="A3542" t="s">
        <v>3546</v>
      </c>
      <c r="B3542">
        <v>0.99252571173614901</v>
      </c>
      <c r="C3542">
        <v>0.98403704691629201</v>
      </c>
      <c r="D3542">
        <v>0.98162440096792103</v>
      </c>
      <c r="E3542">
        <v>0.88111334271414199</v>
      </c>
      <c r="F3542">
        <v>0.22271799461630701</v>
      </c>
      <c r="G3542">
        <v>0.14022682159698899</v>
      </c>
      <c r="H3542">
        <v>9.9505432341524105E-2</v>
      </c>
      <c r="I3542">
        <v>9.86595989542359E-2</v>
      </c>
      <c r="J3542">
        <v>0.102505240125787</v>
      </c>
      <c r="K3542">
        <v>9.6119914242761798E-2</v>
      </c>
      <c r="L3542">
        <v>2726.9980635193801</v>
      </c>
      <c r="M3542">
        <v>53.123141455602102</v>
      </c>
      <c r="N3542">
        <v>51.564169143345403</v>
      </c>
      <c r="O3542">
        <v>51.260935418872101</v>
      </c>
      <c r="P3542">
        <v>-0.231682910104719</v>
      </c>
      <c r="Q3542">
        <v>0.10575508637117501</v>
      </c>
      <c r="R3542">
        <v>0.99902832333193603</v>
      </c>
      <c r="S3542" t="s">
        <v>10188</v>
      </c>
      <c r="T3542" t="s">
        <v>13290</v>
      </c>
      <c r="U3542" t="s">
        <v>13290</v>
      </c>
      <c r="V3542" t="s">
        <v>13290</v>
      </c>
      <c r="W3542" t="s">
        <v>16788</v>
      </c>
      <c r="X3542">
        <v>25</v>
      </c>
      <c r="Y3542" t="s">
        <v>23299</v>
      </c>
      <c r="Z3542" t="s">
        <v>29872</v>
      </c>
      <c r="AA3542">
        <v>0.44537923207762831</v>
      </c>
      <c r="AB3542" t="str">
        <f>HYPERLINK("Melting_Curves/meltCurve_Q14CX7_NAA25.pdf", "Melting_Curves/meltCurve_Q14CX7_NAA25.pdf")</f>
        <v>Melting_Curves/meltCurve_Q14CX7_NAA25.pdf</v>
      </c>
    </row>
    <row r="3543" spans="1:28" x14ac:dyDescent="0.25">
      <c r="A3543" t="s">
        <v>3547</v>
      </c>
      <c r="B3543">
        <v>0.99252571173614901</v>
      </c>
      <c r="C3543">
        <v>0.87225374304271996</v>
      </c>
      <c r="D3543">
        <v>0.30243987723341598</v>
      </c>
      <c r="E3543">
        <v>0.19316445094543799</v>
      </c>
      <c r="F3543">
        <v>0.123597849184949</v>
      </c>
      <c r="G3543">
        <v>9.0290499827144405E-2</v>
      </c>
      <c r="H3543">
        <v>7.1465394406635394E-2</v>
      </c>
      <c r="I3543">
        <v>5.5355172346810602E-2</v>
      </c>
      <c r="J3543">
        <v>7.0220306496538196E-2</v>
      </c>
      <c r="K3543">
        <v>9.4752704807679097E-2</v>
      </c>
      <c r="L3543">
        <v>1788.5047112479201</v>
      </c>
      <c r="M3543">
        <v>39.991650777234597</v>
      </c>
      <c r="N3543">
        <v>44.959752408453802</v>
      </c>
      <c r="O3543">
        <v>44.610564317783201</v>
      </c>
      <c r="P3543">
        <v>-0.20275213207403001</v>
      </c>
      <c r="Q3543">
        <v>9.53243232041429E-2</v>
      </c>
      <c r="R3543">
        <v>0.99048886983766704</v>
      </c>
      <c r="S3543" t="s">
        <v>10189</v>
      </c>
      <c r="T3543" t="s">
        <v>13290</v>
      </c>
      <c r="U3543" t="s">
        <v>13290</v>
      </c>
      <c r="V3543" t="s">
        <v>13290</v>
      </c>
      <c r="W3543" t="s">
        <v>16789</v>
      </c>
      <c r="X3543">
        <v>2</v>
      </c>
      <c r="Y3543" t="s">
        <v>23300</v>
      </c>
      <c r="Z3543" t="s">
        <v>29873</v>
      </c>
      <c r="AA3543">
        <v>0.24074656683486881</v>
      </c>
      <c r="AB3543" t="str">
        <f>HYPERLINK("Melting_Curves/meltCurve_Q14CZ7_FASTKD3.pdf", "Melting_Curves/meltCurve_Q14CZ7_FASTKD3.pdf")</f>
        <v>Melting_Curves/meltCurve_Q14CZ7_FASTKD3.pdf</v>
      </c>
    </row>
    <row r="3544" spans="1:28" x14ac:dyDescent="0.25">
      <c r="A3544" t="s">
        <v>3548</v>
      </c>
      <c r="B3544">
        <v>0.99252571173614901</v>
      </c>
      <c r="C3544">
        <v>0.85326516813128095</v>
      </c>
      <c r="D3544">
        <v>0.86493819002730798</v>
      </c>
      <c r="E3544">
        <v>0.27487995595503101</v>
      </c>
      <c r="F3544">
        <v>0.192076876106379</v>
      </c>
      <c r="G3544">
        <v>0.11571554529333</v>
      </c>
      <c r="H3544">
        <v>8.37638393312444E-2</v>
      </c>
      <c r="I3544">
        <v>8.3692817475495104E-2</v>
      </c>
      <c r="J3544">
        <v>0.113315385992248</v>
      </c>
      <c r="K3544">
        <v>0.128470303188046</v>
      </c>
      <c r="L3544">
        <v>1750.51378398989</v>
      </c>
      <c r="M3544">
        <v>36.599193887150498</v>
      </c>
      <c r="N3544">
        <v>48.164285869217103</v>
      </c>
      <c r="O3544">
        <v>47.687170475139702</v>
      </c>
      <c r="P3544">
        <v>-0.170311636823165</v>
      </c>
      <c r="Q3544">
        <v>0.112367613450451</v>
      </c>
      <c r="R3544">
        <v>0.98013754384667495</v>
      </c>
      <c r="S3544" t="s">
        <v>10190</v>
      </c>
      <c r="T3544" t="s">
        <v>13290</v>
      </c>
      <c r="U3544" t="s">
        <v>13290</v>
      </c>
      <c r="V3544" t="s">
        <v>13290</v>
      </c>
      <c r="W3544" t="s">
        <v>16790</v>
      </c>
      <c r="X3544">
        <v>12</v>
      </c>
      <c r="Y3544" t="s">
        <v>23301</v>
      </c>
      <c r="Z3544" t="s">
        <v>29874</v>
      </c>
      <c r="AA3544">
        <v>0.34755053947585007</v>
      </c>
      <c r="AB3544" t="str">
        <f>HYPERLINK("Melting_Curves/meltCurve_Q15003_NCAPH.pdf", "Melting_Curves/meltCurve_Q15003_NCAPH.pdf")</f>
        <v>Melting_Curves/meltCurve_Q15003_NCAPH.pdf</v>
      </c>
    </row>
    <row r="3545" spans="1:28" x14ac:dyDescent="0.25">
      <c r="A3545" t="s">
        <v>3549</v>
      </c>
      <c r="B3545">
        <v>0.99252571173614901</v>
      </c>
      <c r="C3545">
        <v>1.07181071165491</v>
      </c>
      <c r="D3545">
        <v>0.99317163720895296</v>
      </c>
      <c r="E3545">
        <v>1.07898423152228</v>
      </c>
      <c r="F3545">
        <v>0.937299737930407</v>
      </c>
      <c r="G3545">
        <v>0.83360010970263798</v>
      </c>
      <c r="H3545">
        <v>0.93195427626877403</v>
      </c>
      <c r="I3545">
        <v>1.1017913657626299</v>
      </c>
      <c r="J3545">
        <v>1.7120705009085999</v>
      </c>
      <c r="K3545">
        <v>1.79639226355085</v>
      </c>
      <c r="L3545">
        <v>15000</v>
      </c>
      <c r="M3545">
        <v>233.012192569143</v>
      </c>
      <c r="O3545">
        <v>64.369552053593594</v>
      </c>
      <c r="P3545">
        <v>0.45248901432028299</v>
      </c>
      <c r="Q3545">
        <v>1.5</v>
      </c>
      <c r="R3545">
        <v>0.81745250636053701</v>
      </c>
      <c r="S3545" t="s">
        <v>10191</v>
      </c>
      <c r="T3545" t="s">
        <v>13290</v>
      </c>
      <c r="U3545" t="s">
        <v>13290</v>
      </c>
      <c r="V3545" t="s">
        <v>13290</v>
      </c>
      <c r="W3545" t="s">
        <v>16791</v>
      </c>
      <c r="X3545">
        <v>8</v>
      </c>
      <c r="Y3545" t="s">
        <v>23302</v>
      </c>
      <c r="Z3545" t="s">
        <v>29875</v>
      </c>
      <c r="AA3545">
        <v>1.093696410057448</v>
      </c>
      <c r="AB3545" t="str">
        <f>HYPERLINK("Melting_Curves/meltCurve_Q15004_KIAA0101.pdf", "Melting_Curves/meltCurve_Q15004_KIAA0101.pdf")</f>
        <v>Melting_Curves/meltCurve_Q15004_KIAA0101.pdf</v>
      </c>
    </row>
    <row r="3546" spans="1:28" x14ac:dyDescent="0.25">
      <c r="A3546" t="s">
        <v>3550</v>
      </c>
      <c r="B3546">
        <v>0.99252571173614901</v>
      </c>
      <c r="C3546">
        <v>0.86339338423922896</v>
      </c>
      <c r="D3546">
        <v>0.76773747009594395</v>
      </c>
      <c r="E3546">
        <v>0.73537527236141698</v>
      </c>
      <c r="F3546">
        <v>0.42142366446455298</v>
      </c>
      <c r="G3546">
        <v>0.211644689265822</v>
      </c>
      <c r="H3546">
        <v>0.14349843880464</v>
      </c>
      <c r="I3546">
        <v>0.14021342256917099</v>
      </c>
      <c r="J3546">
        <v>0.17924150311937501</v>
      </c>
      <c r="K3546">
        <v>0.16591188085217901</v>
      </c>
      <c r="L3546">
        <v>710.46868290759699</v>
      </c>
      <c r="M3546">
        <v>13.9828521644306</v>
      </c>
      <c r="N3546">
        <v>51.712253155049602</v>
      </c>
      <c r="O3546">
        <v>49.804621059881903</v>
      </c>
      <c r="P3546">
        <v>-6.2599409513871204E-2</v>
      </c>
      <c r="Q3546">
        <v>0.108243344680109</v>
      </c>
      <c r="R3546">
        <v>0.97084705478965505</v>
      </c>
      <c r="S3546" t="s">
        <v>10192</v>
      </c>
      <c r="T3546" t="s">
        <v>13290</v>
      </c>
      <c r="U3546" t="s">
        <v>13290</v>
      </c>
      <c r="V3546" t="s">
        <v>13290</v>
      </c>
      <c r="W3546" t="s">
        <v>16792</v>
      </c>
      <c r="X3546">
        <v>10</v>
      </c>
      <c r="Y3546" t="s">
        <v>23303</v>
      </c>
      <c r="Z3546" t="s">
        <v>29876</v>
      </c>
      <c r="AA3546">
        <v>0.45283726959225751</v>
      </c>
      <c r="AB3546" t="str">
        <f>HYPERLINK("Melting_Curves/meltCurve_Q15005_SPCS2.pdf", "Melting_Curves/meltCurve_Q15005_SPCS2.pdf")</f>
        <v>Melting_Curves/meltCurve_Q15005_SPCS2.pdf</v>
      </c>
    </row>
    <row r="3547" spans="1:28" x14ac:dyDescent="0.25">
      <c r="A3547" t="s">
        <v>3551</v>
      </c>
      <c r="B3547">
        <v>0.99252571173614901</v>
      </c>
      <c r="C3547">
        <v>0.91910390435124001</v>
      </c>
      <c r="D3547">
        <v>0.88863644912059603</v>
      </c>
      <c r="E3547">
        <v>0.87576754960668202</v>
      </c>
      <c r="F3547">
        <v>0.54644623051031005</v>
      </c>
      <c r="G3547">
        <v>0.205666983908629</v>
      </c>
      <c r="H3547">
        <v>0.13023509822576601</v>
      </c>
      <c r="I3547">
        <v>0.13641472835690099</v>
      </c>
      <c r="J3547">
        <v>0.15730616098449099</v>
      </c>
      <c r="K3547">
        <v>0.16507910127871001</v>
      </c>
      <c r="L3547">
        <v>1490.9436220360101</v>
      </c>
      <c r="M3547">
        <v>28.239800150021999</v>
      </c>
      <c r="N3547">
        <v>53.393492246928602</v>
      </c>
      <c r="O3547">
        <v>52.533209842934902</v>
      </c>
      <c r="P3547">
        <v>-0.11618018711059799</v>
      </c>
      <c r="Q3547">
        <v>0.13550840231867001</v>
      </c>
      <c r="R3547">
        <v>0.98480562742800004</v>
      </c>
      <c r="S3547" t="s">
        <v>10193</v>
      </c>
      <c r="T3547" t="s">
        <v>13290</v>
      </c>
      <c r="U3547" t="s">
        <v>13290</v>
      </c>
      <c r="V3547" t="s">
        <v>13290</v>
      </c>
      <c r="W3547" t="s">
        <v>16793</v>
      </c>
      <c r="X3547">
        <v>6</v>
      </c>
      <c r="Y3547" t="s">
        <v>23304</v>
      </c>
      <c r="Z3547" t="s">
        <v>29877</v>
      </c>
      <c r="AA3547">
        <v>0.51052921335150858</v>
      </c>
      <c r="AB3547" t="str">
        <f>HYPERLINK("Melting_Curves/meltCurve_Q15006_EMC2.pdf", "Melting_Curves/meltCurve_Q15006_EMC2.pdf")</f>
        <v>Melting_Curves/meltCurve_Q15006_EMC2.pdf</v>
      </c>
    </row>
    <row r="3548" spans="1:28" x14ac:dyDescent="0.25">
      <c r="A3548" t="s">
        <v>3552</v>
      </c>
      <c r="B3548">
        <v>0.99252571173614901</v>
      </c>
      <c r="C3548">
        <v>0.83387554931946095</v>
      </c>
      <c r="D3548">
        <v>0.99479039770518396</v>
      </c>
      <c r="E3548">
        <v>0.483210519366921</v>
      </c>
      <c r="F3548">
        <v>0.26490846030186899</v>
      </c>
      <c r="G3548">
        <v>0.17565681783280199</v>
      </c>
      <c r="H3548">
        <v>0.15763850646987601</v>
      </c>
      <c r="I3548">
        <v>0.18345814637931701</v>
      </c>
      <c r="J3548">
        <v>0.26601241961722699</v>
      </c>
      <c r="K3548">
        <v>0.25958749636880102</v>
      </c>
      <c r="L3548">
        <v>2533.7723446232499</v>
      </c>
      <c r="M3548">
        <v>51.712128363375598</v>
      </c>
      <c r="N3548">
        <v>49.536308814505801</v>
      </c>
      <c r="O3548">
        <v>48.924533158239299</v>
      </c>
      <c r="P3548">
        <v>-0.207416289786507</v>
      </c>
      <c r="Q3548">
        <v>0.215059374834075</v>
      </c>
      <c r="R3548">
        <v>0.96297023068835597</v>
      </c>
      <c r="S3548" t="s">
        <v>10194</v>
      </c>
      <c r="T3548" t="s">
        <v>13290</v>
      </c>
      <c r="U3548" t="s">
        <v>13290</v>
      </c>
      <c r="V3548" t="s">
        <v>13290</v>
      </c>
      <c r="W3548" t="s">
        <v>16794</v>
      </c>
      <c r="X3548">
        <v>13</v>
      </c>
      <c r="Y3548" t="s">
        <v>23305</v>
      </c>
      <c r="Z3548" t="s">
        <v>29878</v>
      </c>
      <c r="AA3548">
        <v>0.45206543247720998</v>
      </c>
      <c r="AB3548" t="str">
        <f>HYPERLINK("Melting_Curves/meltCurve_Q15007_WTAP.pdf", "Melting_Curves/meltCurve_Q15007_WTAP.pdf")</f>
        <v>Melting_Curves/meltCurve_Q15007_WTAP.pdf</v>
      </c>
    </row>
    <row r="3549" spans="1:28" x14ac:dyDescent="0.25">
      <c r="A3549" t="s">
        <v>3553</v>
      </c>
      <c r="B3549">
        <v>0.99252571173614901</v>
      </c>
      <c r="C3549">
        <v>0.82965418914526001</v>
      </c>
      <c r="D3549">
        <v>1.13439749483076</v>
      </c>
      <c r="E3549">
        <v>0.88225235762870202</v>
      </c>
      <c r="F3549">
        <v>0.59514258022543998</v>
      </c>
      <c r="G3549">
        <v>0.32854519290973999</v>
      </c>
      <c r="H3549">
        <v>0.110544675437752</v>
      </c>
      <c r="I3549">
        <v>9.2509415290616501E-2</v>
      </c>
      <c r="J3549">
        <v>8.5823967447358998E-2</v>
      </c>
      <c r="K3549">
        <v>7.70899357246769E-2</v>
      </c>
      <c r="L3549">
        <v>1257.42249282387</v>
      </c>
      <c r="M3549">
        <v>23.2800077450846</v>
      </c>
      <c r="N3549">
        <v>54.367639923392197</v>
      </c>
      <c r="O3549">
        <v>53.6191610127592</v>
      </c>
      <c r="P3549">
        <v>-0.100898744867294</v>
      </c>
      <c r="Q3549">
        <v>7.0445408579476496E-2</v>
      </c>
      <c r="R3549">
        <v>0.96679605205661701</v>
      </c>
      <c r="S3549" t="s">
        <v>10195</v>
      </c>
      <c r="T3549" t="s">
        <v>13290</v>
      </c>
      <c r="U3549" t="s">
        <v>13290</v>
      </c>
      <c r="V3549" t="s">
        <v>13290</v>
      </c>
      <c r="W3549" t="s">
        <v>16795</v>
      </c>
      <c r="X3549">
        <v>18</v>
      </c>
      <c r="Y3549" t="s">
        <v>23306</v>
      </c>
      <c r="Z3549" t="s">
        <v>29879</v>
      </c>
      <c r="AA3549">
        <v>0.51441376574699904</v>
      </c>
      <c r="AB3549" t="str">
        <f>HYPERLINK("Melting_Curves/meltCurve_Q15008_PSMD6.pdf", "Melting_Curves/meltCurve_Q15008_PSMD6.pdf")</f>
        <v>Melting_Curves/meltCurve_Q15008_PSMD6.pdf</v>
      </c>
    </row>
    <row r="3550" spans="1:28" x14ac:dyDescent="0.25">
      <c r="A3550" t="s">
        <v>3554</v>
      </c>
      <c r="B3550">
        <v>0.99252571173614901</v>
      </c>
      <c r="C3550">
        <v>1.0241912061641201</v>
      </c>
      <c r="D3550">
        <v>0.89414666322493697</v>
      </c>
      <c r="E3550">
        <v>0.87380733142637101</v>
      </c>
      <c r="F3550">
        <v>0.44085362973082598</v>
      </c>
      <c r="G3550">
        <v>0.26632351300280099</v>
      </c>
      <c r="H3550">
        <v>0.16072808684749601</v>
      </c>
      <c r="I3550">
        <v>0.131501962405117</v>
      </c>
      <c r="J3550">
        <v>0.15876785788778</v>
      </c>
      <c r="K3550">
        <v>0.13870131584124101</v>
      </c>
      <c r="L3550">
        <v>1381.49573690342</v>
      </c>
      <c r="M3550">
        <v>26.443538476699398</v>
      </c>
      <c r="N3550">
        <v>52.920629250775299</v>
      </c>
      <c r="O3550">
        <v>51.947196428387699</v>
      </c>
      <c r="P3550">
        <v>-0.108991073597271</v>
      </c>
      <c r="Q3550">
        <v>0.14357608998987201</v>
      </c>
      <c r="R3550">
        <v>0.99131454523579399</v>
      </c>
      <c r="S3550" t="s">
        <v>10196</v>
      </c>
      <c r="T3550" t="s">
        <v>13290</v>
      </c>
      <c r="U3550" t="s">
        <v>13290</v>
      </c>
      <c r="V3550" t="s">
        <v>13290</v>
      </c>
      <c r="W3550" t="s">
        <v>16796</v>
      </c>
      <c r="X3550">
        <v>6</v>
      </c>
      <c r="Y3550" t="s">
        <v>23307</v>
      </c>
      <c r="Z3550" t="s">
        <v>29880</v>
      </c>
      <c r="AA3550">
        <v>0.50012231842421029</v>
      </c>
      <c r="AB3550" t="str">
        <f>HYPERLINK("Melting_Curves/meltCurve_Q15011_3_HERPUD1.pdf", "Melting_Curves/meltCurve_Q15011_3_HERPUD1.pdf")</f>
        <v>Melting_Curves/meltCurve_Q15011_3_HERPUD1.pdf</v>
      </c>
    </row>
    <row r="3551" spans="1:28" x14ac:dyDescent="0.25">
      <c r="A3551" t="s">
        <v>3555</v>
      </c>
      <c r="B3551">
        <v>0.99252571173614901</v>
      </c>
      <c r="C3551">
        <v>0.87959376293970604</v>
      </c>
      <c r="D3551">
        <v>0.77398809796708501</v>
      </c>
      <c r="E3551">
        <v>0.70276096853603198</v>
      </c>
      <c r="F3551">
        <v>0.54158831488925896</v>
      </c>
      <c r="G3551">
        <v>0.44623409281933701</v>
      </c>
      <c r="H3551">
        <v>0.33637388336250301</v>
      </c>
      <c r="I3551">
        <v>0.32167568459988</v>
      </c>
      <c r="J3551">
        <v>0.40452574109654499</v>
      </c>
      <c r="K3551">
        <v>0.309087875688693</v>
      </c>
      <c r="L3551">
        <v>549.68746071132</v>
      </c>
      <c r="M3551">
        <v>10.978506430782399</v>
      </c>
      <c r="N3551">
        <v>54.434557400623802</v>
      </c>
      <c r="O3551">
        <v>48.494174841737497</v>
      </c>
      <c r="P3551">
        <v>-4.0045500555108998E-2</v>
      </c>
      <c r="Q3551">
        <v>0.29268574358597899</v>
      </c>
      <c r="R3551">
        <v>0.97794423586749601</v>
      </c>
      <c r="S3551" t="s">
        <v>10197</v>
      </c>
      <c r="T3551" t="s">
        <v>13290</v>
      </c>
      <c r="U3551" t="s">
        <v>13290</v>
      </c>
      <c r="V3551" t="s">
        <v>13290</v>
      </c>
      <c r="W3551" t="s">
        <v>16797</v>
      </c>
      <c r="X3551">
        <v>1</v>
      </c>
      <c r="Y3551" t="s">
        <v>23308</v>
      </c>
      <c r="Z3551" t="s">
        <v>29881</v>
      </c>
      <c r="AA3551">
        <v>0.55797440314398883</v>
      </c>
      <c r="AB3551" t="str">
        <f>HYPERLINK("Melting_Curves/meltCurve_Q15012_LAPTM4A.pdf", "Melting_Curves/meltCurve_Q15012_LAPTM4A.pdf")</f>
        <v>Melting_Curves/meltCurve_Q15012_LAPTM4A.pdf</v>
      </c>
    </row>
    <row r="3552" spans="1:28" x14ac:dyDescent="0.25">
      <c r="A3552" t="s">
        <v>3556</v>
      </c>
      <c r="B3552">
        <v>0.99252571173614901</v>
      </c>
      <c r="C3552">
        <v>1.0271125952135201</v>
      </c>
      <c r="D3552">
        <v>0.82944289627007195</v>
      </c>
      <c r="E3552">
        <v>0.69269123059579596</v>
      </c>
      <c r="F3552">
        <v>0.27009248449362599</v>
      </c>
      <c r="G3552">
        <v>0.118173485359324</v>
      </c>
      <c r="H3552">
        <v>6.5127322626141002E-2</v>
      </c>
      <c r="I3552">
        <v>8.4664299819303596E-2</v>
      </c>
      <c r="J3552">
        <v>9.9273800270615206E-2</v>
      </c>
      <c r="K3552">
        <v>9.4258467318279401E-2</v>
      </c>
      <c r="L3552">
        <v>1199.78890660299</v>
      </c>
      <c r="M3552">
        <v>23.7284562877797</v>
      </c>
      <c r="N3552">
        <v>50.9050174348925</v>
      </c>
      <c r="O3552">
        <v>50.208273470988097</v>
      </c>
      <c r="P3552">
        <v>-0.10945316639385901</v>
      </c>
      <c r="Q3552">
        <v>7.3624760449223406E-2</v>
      </c>
      <c r="R3552">
        <v>0.99012347298706804</v>
      </c>
      <c r="S3552" t="s">
        <v>10198</v>
      </c>
      <c r="T3552" t="s">
        <v>13290</v>
      </c>
      <c r="U3552" t="s">
        <v>13290</v>
      </c>
      <c r="V3552" t="s">
        <v>13290</v>
      </c>
      <c r="W3552" t="s">
        <v>16798</v>
      </c>
      <c r="X3552">
        <v>4</v>
      </c>
      <c r="Y3552" t="s">
        <v>23309</v>
      </c>
      <c r="Z3552" t="s">
        <v>29882</v>
      </c>
      <c r="AA3552">
        <v>0.4090464128498606</v>
      </c>
      <c r="AB3552" t="str">
        <f>HYPERLINK("Melting_Curves/meltCurve_Q15013_MAD2L1BP.pdf", "Melting_Curves/meltCurve_Q15013_MAD2L1BP.pdf")</f>
        <v>Melting_Curves/meltCurve_Q15013_MAD2L1BP.pdf</v>
      </c>
    </row>
    <row r="3553" spans="1:28" x14ac:dyDescent="0.25">
      <c r="A3553" t="s">
        <v>3557</v>
      </c>
      <c r="B3553">
        <v>0.99252571173614901</v>
      </c>
      <c r="C3553">
        <v>0.95134553773654496</v>
      </c>
      <c r="D3553">
        <v>1.06830220610805</v>
      </c>
      <c r="E3553">
        <v>1.1513586330461101</v>
      </c>
      <c r="F3553">
        <v>1.03568505812537</v>
      </c>
      <c r="G3553">
        <v>0.75930241099302997</v>
      </c>
      <c r="H3553">
        <v>0.73402758421214598</v>
      </c>
      <c r="I3553">
        <v>0.49467659463126601</v>
      </c>
      <c r="J3553">
        <v>0.18723158460142</v>
      </c>
      <c r="K3553">
        <v>0.175532003539104</v>
      </c>
      <c r="L3553">
        <v>1166.48873416416</v>
      </c>
      <c r="M3553">
        <v>18.414566840142498</v>
      </c>
      <c r="N3553">
        <v>63.345980550959801</v>
      </c>
      <c r="O3553">
        <v>62.613097489558498</v>
      </c>
      <c r="P3553">
        <v>-7.3528520364825295E-2</v>
      </c>
      <c r="Q3553">
        <v>0</v>
      </c>
      <c r="R3553">
        <v>0.943907360638371</v>
      </c>
      <c r="S3553" t="s">
        <v>10199</v>
      </c>
      <c r="T3553" t="s">
        <v>13290</v>
      </c>
      <c r="U3553" t="s">
        <v>13290</v>
      </c>
      <c r="V3553" t="s">
        <v>13290</v>
      </c>
      <c r="W3553" t="s">
        <v>16799</v>
      </c>
      <c r="X3553">
        <v>13</v>
      </c>
      <c r="Y3553" t="s">
        <v>23310</v>
      </c>
      <c r="Z3553" t="s">
        <v>29883</v>
      </c>
      <c r="AA3553">
        <v>0.77368622965456835</v>
      </c>
      <c r="AB3553" t="str">
        <f>HYPERLINK("Melting_Curves/meltCurve_Q15018_FAM175B.pdf", "Melting_Curves/meltCurve_Q15018_FAM175B.pdf")</f>
        <v>Melting_Curves/meltCurve_Q15018_FAM175B.pdf</v>
      </c>
    </row>
    <row r="3554" spans="1:28" x14ac:dyDescent="0.25">
      <c r="A3554" t="s">
        <v>3558</v>
      </c>
      <c r="B3554">
        <v>0.99252571173614901</v>
      </c>
      <c r="C3554">
        <v>0.94649202913154795</v>
      </c>
      <c r="D3554">
        <v>1.02317732570119</v>
      </c>
      <c r="E3554">
        <v>1.05654210834689</v>
      </c>
      <c r="F3554">
        <v>0.93843061628472002</v>
      </c>
      <c r="G3554">
        <v>0.74123046433149697</v>
      </c>
      <c r="H3554">
        <v>0.63542341767302202</v>
      </c>
      <c r="I3554">
        <v>0.53213135175232595</v>
      </c>
      <c r="J3554">
        <v>0.196429955122605</v>
      </c>
      <c r="K3554">
        <v>0.16584439858480499</v>
      </c>
      <c r="L3554">
        <v>933.509965702258</v>
      </c>
      <c r="M3554">
        <v>14.8671989704167</v>
      </c>
      <c r="N3554">
        <v>62.789901975440003</v>
      </c>
      <c r="O3554">
        <v>61.686729970099897</v>
      </c>
      <c r="P3554">
        <v>-6.0259128061814701E-2</v>
      </c>
      <c r="Q3554">
        <v>0</v>
      </c>
      <c r="R3554">
        <v>0.965960802122528</v>
      </c>
      <c r="S3554" t="s">
        <v>10200</v>
      </c>
      <c r="T3554" t="s">
        <v>13290</v>
      </c>
      <c r="U3554" t="s">
        <v>13290</v>
      </c>
      <c r="V3554" t="s">
        <v>13290</v>
      </c>
      <c r="W3554" t="s">
        <v>16800</v>
      </c>
      <c r="X3554">
        <v>22</v>
      </c>
      <c r="Y3554" t="s">
        <v>23311</v>
      </c>
      <c r="Z3554" t="s">
        <v>29884</v>
      </c>
      <c r="AA3554">
        <v>0.75160287834276285</v>
      </c>
      <c r="AB3554" t="str">
        <f>HYPERLINK("Melting_Curves/meltCurve_Q15019_SEPT2.pdf", "Melting_Curves/meltCurve_Q15019_SEPT2.pdf")</f>
        <v>Melting_Curves/meltCurve_Q15019_SEPT2.pdf</v>
      </c>
    </row>
    <row r="3555" spans="1:28" x14ac:dyDescent="0.25">
      <c r="A3555" t="s">
        <v>3559</v>
      </c>
      <c r="B3555">
        <v>0.99252571173614901</v>
      </c>
      <c r="C3555">
        <v>0.85470564651926695</v>
      </c>
      <c r="D3555">
        <v>0.99921819368043596</v>
      </c>
      <c r="E3555">
        <v>0.52286011344104</v>
      </c>
      <c r="F3555">
        <v>0.249030778556701</v>
      </c>
      <c r="G3555">
        <v>0.12902614547173699</v>
      </c>
      <c r="H3555">
        <v>0.11073870735156</v>
      </c>
      <c r="I3555">
        <v>0.11505543270443799</v>
      </c>
      <c r="J3555">
        <v>0.155264666980786</v>
      </c>
      <c r="K3555">
        <v>0.14389469660072099</v>
      </c>
      <c r="L3555">
        <v>1698.3937492017001</v>
      </c>
      <c r="M3555">
        <v>34.3322541008068</v>
      </c>
      <c r="N3555">
        <v>49.924681688147601</v>
      </c>
      <c r="O3555">
        <v>49.3024000154251</v>
      </c>
      <c r="P3555">
        <v>-0.150688855378183</v>
      </c>
      <c r="Q3555">
        <v>0.13442397670435</v>
      </c>
      <c r="R3555">
        <v>0.978878345554273</v>
      </c>
      <c r="S3555" t="s">
        <v>10201</v>
      </c>
      <c r="T3555" t="s">
        <v>13290</v>
      </c>
      <c r="U3555" t="s">
        <v>13290</v>
      </c>
      <c r="V3555" t="s">
        <v>13290</v>
      </c>
      <c r="W3555" t="s">
        <v>16801</v>
      </c>
      <c r="X3555">
        <v>16</v>
      </c>
      <c r="Y3555" t="s">
        <v>23312</v>
      </c>
      <c r="Z3555" t="s">
        <v>29885</v>
      </c>
      <c r="AA3555">
        <v>0.41167384217014058</v>
      </c>
      <c r="AB3555" t="str">
        <f>HYPERLINK("Melting_Curves/meltCurve_Q15020_SART3.pdf", "Melting_Curves/meltCurve_Q15020_SART3.pdf")</f>
        <v>Melting_Curves/meltCurve_Q15020_SART3.pdf</v>
      </c>
    </row>
    <row r="3556" spans="1:28" x14ac:dyDescent="0.25">
      <c r="A3556" t="s">
        <v>3560</v>
      </c>
      <c r="B3556">
        <v>0.99252571173614901</v>
      </c>
      <c r="C3556">
        <v>0.85919907642622795</v>
      </c>
      <c r="D3556">
        <v>0.82093585040233397</v>
      </c>
      <c r="E3556">
        <v>0.26720944167301802</v>
      </c>
      <c r="F3556">
        <v>0.19222990761762099</v>
      </c>
      <c r="G3556">
        <v>0.112523997022187</v>
      </c>
      <c r="H3556">
        <v>9.3422117683822498E-2</v>
      </c>
      <c r="I3556">
        <v>9.8318085358302498E-2</v>
      </c>
      <c r="J3556">
        <v>0.119429041823508</v>
      </c>
      <c r="K3556">
        <v>0.121355833011127</v>
      </c>
      <c r="L3556">
        <v>1520.6936388015299</v>
      </c>
      <c r="M3556">
        <v>31.956368238094299</v>
      </c>
      <c r="N3556">
        <v>47.971587265050601</v>
      </c>
      <c r="O3556">
        <v>47.4013598447318</v>
      </c>
      <c r="P3556">
        <v>-0.149477187103842</v>
      </c>
      <c r="Q3556">
        <v>0.113117205575652</v>
      </c>
      <c r="R3556">
        <v>0.983935180548975</v>
      </c>
      <c r="S3556" t="s">
        <v>10202</v>
      </c>
      <c r="T3556" t="s">
        <v>13290</v>
      </c>
      <c r="U3556" t="s">
        <v>13290</v>
      </c>
      <c r="V3556" t="s">
        <v>13290</v>
      </c>
      <c r="W3556" t="s">
        <v>16802</v>
      </c>
      <c r="X3556">
        <v>17</v>
      </c>
      <c r="Y3556" t="s">
        <v>23313</v>
      </c>
      <c r="Z3556" t="s">
        <v>29886</v>
      </c>
      <c r="AA3556">
        <v>0.34205731803977152</v>
      </c>
      <c r="AB3556" t="str">
        <f>HYPERLINK("Melting_Curves/meltCurve_Q15021_NCAPD2.pdf", "Melting_Curves/meltCurve_Q15021_NCAPD2.pdf")</f>
        <v>Melting_Curves/meltCurve_Q15021_NCAPD2.pdf</v>
      </c>
    </row>
    <row r="3557" spans="1:28" x14ac:dyDescent="0.25">
      <c r="A3557" t="s">
        <v>3561</v>
      </c>
      <c r="B3557">
        <v>0.99252571173614901</v>
      </c>
      <c r="C3557">
        <v>1.0490334819993801</v>
      </c>
      <c r="D3557">
        <v>1.3579872018696399</v>
      </c>
      <c r="E3557">
        <v>1.4273197636714701</v>
      </c>
      <c r="F3557">
        <v>1.81958649602763</v>
      </c>
      <c r="G3557">
        <v>1.4145535069961801</v>
      </c>
      <c r="H3557">
        <v>1.0366559988522299</v>
      </c>
      <c r="I3557">
        <v>0.51905647458338999</v>
      </c>
      <c r="J3557">
        <v>0.334885308925849</v>
      </c>
      <c r="K3557">
        <v>0.28443397697260098</v>
      </c>
      <c r="L3557">
        <v>15000</v>
      </c>
      <c r="M3557">
        <v>235.20648114342001</v>
      </c>
      <c r="N3557">
        <v>64.036693801460999</v>
      </c>
      <c r="O3557">
        <v>63.769142337310598</v>
      </c>
      <c r="P3557">
        <v>-0.63656743127289295</v>
      </c>
      <c r="Q3557">
        <v>0.309655773781358</v>
      </c>
      <c r="R3557">
        <v>0.50416209996161898</v>
      </c>
      <c r="S3557" t="s">
        <v>10203</v>
      </c>
      <c r="T3557" t="s">
        <v>13290</v>
      </c>
      <c r="U3557" t="s">
        <v>13290</v>
      </c>
      <c r="V3557" t="s">
        <v>13290</v>
      </c>
      <c r="W3557" t="s">
        <v>16803</v>
      </c>
      <c r="X3557">
        <v>12</v>
      </c>
      <c r="Y3557" t="s">
        <v>23314</v>
      </c>
      <c r="Z3557" t="s">
        <v>29887</v>
      </c>
      <c r="AA3557">
        <v>0.85681216665430238</v>
      </c>
      <c r="AB3557" t="str">
        <f>HYPERLINK("Melting_Curves/meltCurve_Q15024_EXOSC7.pdf", "Melting_Curves/meltCurve_Q15024_EXOSC7.pdf")</f>
        <v>Melting_Curves/meltCurve_Q15024_EXOSC7.pdf</v>
      </c>
    </row>
    <row r="3558" spans="1:28" x14ac:dyDescent="0.25">
      <c r="A3558" t="s">
        <v>3562</v>
      </c>
      <c r="B3558">
        <v>0.99252571173614901</v>
      </c>
      <c r="C3558">
        <v>0.98348384965716096</v>
      </c>
      <c r="D3558">
        <v>1.04709526554765</v>
      </c>
      <c r="E3558">
        <v>1.23316673693687</v>
      </c>
      <c r="F3558">
        <v>2.0729131963123799</v>
      </c>
      <c r="G3558">
        <v>1.9217322562166901</v>
      </c>
      <c r="H3558">
        <v>1.04494793084</v>
      </c>
      <c r="I3558">
        <v>0.236078194365899</v>
      </c>
      <c r="J3558">
        <v>0.22383795362551001</v>
      </c>
      <c r="K3558">
        <v>0.19093721682609699</v>
      </c>
      <c r="L3558">
        <v>15000</v>
      </c>
      <c r="M3558">
        <v>237.64911635620999</v>
      </c>
      <c r="N3558">
        <v>63.260795827029703</v>
      </c>
      <c r="O3558">
        <v>63.113795563100297</v>
      </c>
      <c r="P3558">
        <v>-0.74619242114165896</v>
      </c>
      <c r="Q3558">
        <v>0.20731814079807201</v>
      </c>
      <c r="R3558">
        <v>0.47173528741801501</v>
      </c>
      <c r="S3558" t="s">
        <v>10204</v>
      </c>
      <c r="T3558" t="s">
        <v>13290</v>
      </c>
      <c r="U3558" t="s">
        <v>13290</v>
      </c>
      <c r="V3558" t="s">
        <v>13290</v>
      </c>
      <c r="W3558" t="s">
        <v>16804</v>
      </c>
      <c r="X3558">
        <v>48</v>
      </c>
      <c r="Y3558" t="s">
        <v>23315</v>
      </c>
      <c r="Z3558" t="s">
        <v>29888</v>
      </c>
      <c r="AA3558">
        <v>0.81826296717157188</v>
      </c>
      <c r="AB3558" t="str">
        <f>HYPERLINK("Melting_Curves/meltCurve_Q15029_2_EFTUD2.pdf", "Melting_Curves/meltCurve_Q15029_2_EFTUD2.pdf")</f>
        <v>Melting_Curves/meltCurve_Q15029_2_EFTUD2.pdf</v>
      </c>
    </row>
    <row r="3559" spans="1:28" x14ac:dyDescent="0.25">
      <c r="A3559" t="s">
        <v>3563</v>
      </c>
      <c r="B3559">
        <v>0.99252571173614901</v>
      </c>
      <c r="C3559">
        <v>1.003930180202</v>
      </c>
      <c r="D3559">
        <v>0.78088075435272597</v>
      </c>
      <c r="E3559">
        <v>0.58924121759923698</v>
      </c>
      <c r="F3559">
        <v>0.120130977589351</v>
      </c>
      <c r="G3559">
        <v>7.6358128885116394E-2</v>
      </c>
      <c r="H3559">
        <v>5.4910357276351497E-2</v>
      </c>
      <c r="I3559">
        <v>5.7447890503746102E-2</v>
      </c>
      <c r="J3559">
        <v>6.4372151047945303E-2</v>
      </c>
      <c r="K3559">
        <v>6.3895329911355395E-2</v>
      </c>
      <c r="L3559">
        <v>1188.56117307677</v>
      </c>
      <c r="M3559">
        <v>24.0186403472526</v>
      </c>
      <c r="N3559">
        <v>49.679895568785597</v>
      </c>
      <c r="O3559">
        <v>49.145748925550699</v>
      </c>
      <c r="P3559">
        <v>-0.11668770816551199</v>
      </c>
      <c r="Q3559">
        <v>4.4972683051277801E-2</v>
      </c>
      <c r="R3559">
        <v>0.98633205701704496</v>
      </c>
      <c r="S3559" t="s">
        <v>10205</v>
      </c>
      <c r="T3559" t="s">
        <v>13290</v>
      </c>
      <c r="U3559" t="s">
        <v>13290</v>
      </c>
      <c r="V3559" t="s">
        <v>13290</v>
      </c>
      <c r="W3559" t="s">
        <v>16805</v>
      </c>
      <c r="X3559">
        <v>26</v>
      </c>
      <c r="Y3559" t="s">
        <v>23316</v>
      </c>
      <c r="Z3559" t="s">
        <v>29889</v>
      </c>
      <c r="AA3559">
        <v>0.35613378808513257</v>
      </c>
      <c r="AB3559" t="str">
        <f>HYPERLINK("Melting_Curves/meltCurve_Q15031_LARS2.pdf", "Melting_Curves/meltCurve_Q15031_LARS2.pdf")</f>
        <v>Melting_Curves/meltCurve_Q15031_LARS2.pdf</v>
      </c>
    </row>
    <row r="3560" spans="1:28" x14ac:dyDescent="0.25">
      <c r="A3560" t="s">
        <v>3564</v>
      </c>
      <c r="B3560">
        <v>0.99252571173614901</v>
      </c>
      <c r="C3560">
        <v>0.96791251546912005</v>
      </c>
      <c r="D3560">
        <v>0.77621565969608997</v>
      </c>
      <c r="E3560">
        <v>0.54465507209855801</v>
      </c>
      <c r="F3560">
        <v>0.24452143319007799</v>
      </c>
      <c r="G3560">
        <v>0.16918318093944701</v>
      </c>
      <c r="H3560">
        <v>0.11865420930965</v>
      </c>
      <c r="I3560">
        <v>0.14598299927429201</v>
      </c>
      <c r="J3560">
        <v>0.16277119984462499</v>
      </c>
      <c r="K3560">
        <v>0.153885835082646</v>
      </c>
      <c r="L3560">
        <v>1006.13459224908</v>
      </c>
      <c r="M3560">
        <v>20.581923752435198</v>
      </c>
      <c r="N3560">
        <v>49.639400136031199</v>
      </c>
      <c r="O3560">
        <v>48.429925464767202</v>
      </c>
      <c r="P3560">
        <v>-9.19697468896018E-2</v>
      </c>
      <c r="Q3560">
        <v>0.13439415195846299</v>
      </c>
      <c r="R3560">
        <v>0.99479673675566804</v>
      </c>
      <c r="S3560" t="s">
        <v>10206</v>
      </c>
      <c r="T3560" t="s">
        <v>13290</v>
      </c>
      <c r="U3560" t="s">
        <v>13290</v>
      </c>
      <c r="V3560" t="s">
        <v>13290</v>
      </c>
      <c r="W3560" t="s">
        <v>16806</v>
      </c>
      <c r="X3560">
        <v>4</v>
      </c>
      <c r="Y3560" t="s">
        <v>23317</v>
      </c>
      <c r="Z3560" t="s">
        <v>29890</v>
      </c>
      <c r="AA3560">
        <v>0.40218686850535629</v>
      </c>
      <c r="AB3560" t="str">
        <f>HYPERLINK("Melting_Curves/meltCurve_Q15032_2_R3HDM1.pdf", "Melting_Curves/meltCurve_Q15032_2_R3HDM1.pdf")</f>
        <v>Melting_Curves/meltCurve_Q15032_2_R3HDM1.pdf</v>
      </c>
    </row>
    <row r="3561" spans="1:28" x14ac:dyDescent="0.25">
      <c r="A3561" t="s">
        <v>3565</v>
      </c>
      <c r="B3561">
        <v>0.99252571173614901</v>
      </c>
      <c r="C3561">
        <v>0.97226177711761697</v>
      </c>
      <c r="D3561">
        <v>0.72272621906399304</v>
      </c>
      <c r="E3561">
        <v>0.31065526673428101</v>
      </c>
      <c r="F3561">
        <v>0.195660600405828</v>
      </c>
      <c r="G3561">
        <v>0.14140786520652701</v>
      </c>
      <c r="H3561">
        <v>0.124585272446554</v>
      </c>
      <c r="I3561">
        <v>0.13122701912294801</v>
      </c>
      <c r="J3561">
        <v>8.7403951483707804E-2</v>
      </c>
      <c r="K3561">
        <v>6.5287909581865894E-2</v>
      </c>
      <c r="L3561">
        <v>1238.8563113534101</v>
      </c>
      <c r="M3561">
        <v>26.121482330952801</v>
      </c>
      <c r="N3561">
        <v>47.887478821224597</v>
      </c>
      <c r="O3561">
        <v>47.151357969034301</v>
      </c>
      <c r="P3561">
        <v>-0.123109793253799</v>
      </c>
      <c r="Q3561">
        <v>0.111117622680133</v>
      </c>
      <c r="R3561">
        <v>0.99548459462198902</v>
      </c>
      <c r="S3561" t="s">
        <v>10207</v>
      </c>
      <c r="T3561" t="s">
        <v>13290</v>
      </c>
      <c r="U3561" t="s">
        <v>13290</v>
      </c>
      <c r="V3561" t="s">
        <v>13290</v>
      </c>
      <c r="W3561" t="s">
        <v>16807</v>
      </c>
      <c r="X3561">
        <v>4</v>
      </c>
      <c r="Y3561" t="s">
        <v>23318</v>
      </c>
      <c r="Z3561" t="s">
        <v>29891</v>
      </c>
      <c r="AA3561">
        <v>0.33833794054716632</v>
      </c>
      <c r="AB3561" t="str">
        <f>HYPERLINK("Melting_Curves/meltCurve_Q15036_2_SNX17.pdf", "Melting_Curves/meltCurve_Q15036_2_SNX17.pdf")</f>
        <v>Melting_Curves/meltCurve_Q15036_2_SNX17.pdf</v>
      </c>
    </row>
    <row r="3562" spans="1:28" x14ac:dyDescent="0.25">
      <c r="A3562" t="s">
        <v>3566</v>
      </c>
      <c r="B3562">
        <v>0.99252571173614901</v>
      </c>
      <c r="C3562">
        <v>0.91245344509733395</v>
      </c>
      <c r="D3562">
        <v>0.71285535832928304</v>
      </c>
      <c r="E3562">
        <v>0.32555414987571601</v>
      </c>
      <c r="F3562">
        <v>0.179868836542807</v>
      </c>
      <c r="G3562">
        <v>0.106805061601708</v>
      </c>
      <c r="H3562">
        <v>9.0031442055700503E-2</v>
      </c>
      <c r="I3562">
        <v>8.6189208752934496E-2</v>
      </c>
      <c r="J3562">
        <v>9.8453309974082304E-2</v>
      </c>
      <c r="K3562">
        <v>0.10346218107263599</v>
      </c>
      <c r="L3562">
        <v>1082.6596828460799</v>
      </c>
      <c r="M3562">
        <v>22.8205630563046</v>
      </c>
      <c r="N3562">
        <v>47.871965345941199</v>
      </c>
      <c r="O3562">
        <v>47.082468410831297</v>
      </c>
      <c r="P3562">
        <v>-0.10995381068976499</v>
      </c>
      <c r="Q3562">
        <v>9.2608016831320999E-2</v>
      </c>
      <c r="R3562">
        <v>0.99911813796169202</v>
      </c>
      <c r="S3562" t="s">
        <v>10208</v>
      </c>
      <c r="T3562" t="s">
        <v>13290</v>
      </c>
      <c r="U3562" t="s">
        <v>13290</v>
      </c>
      <c r="V3562" t="s">
        <v>13290</v>
      </c>
      <c r="W3562" t="s">
        <v>16808</v>
      </c>
      <c r="X3562">
        <v>13</v>
      </c>
      <c r="Y3562" t="s">
        <v>23319</v>
      </c>
      <c r="Z3562" t="s">
        <v>29892</v>
      </c>
      <c r="AA3562">
        <v>0.32752329651493778</v>
      </c>
      <c r="AB3562" t="str">
        <f>HYPERLINK("Melting_Curves/meltCurve_Q15042_RAB3GAP1.pdf", "Melting_Curves/meltCurve_Q15042_RAB3GAP1.pdf")</f>
        <v>Melting_Curves/meltCurve_Q15042_RAB3GAP1.pdf</v>
      </c>
    </row>
    <row r="3563" spans="1:28" x14ac:dyDescent="0.25">
      <c r="A3563" t="s">
        <v>3567</v>
      </c>
      <c r="B3563">
        <v>0.99252571173614901</v>
      </c>
      <c r="C3563">
        <v>0.86837051649105601</v>
      </c>
      <c r="D3563">
        <v>1.03564925890768</v>
      </c>
      <c r="E3563">
        <v>1.0375966375919099</v>
      </c>
      <c r="F3563">
        <v>0.83096933158113795</v>
      </c>
      <c r="G3563">
        <v>0.70512526083091998</v>
      </c>
      <c r="H3563">
        <v>0.58943522810990501</v>
      </c>
      <c r="I3563">
        <v>0.78536226006211995</v>
      </c>
      <c r="J3563">
        <v>1.32776313571856</v>
      </c>
      <c r="K3563">
        <v>1.13995700276509</v>
      </c>
      <c r="L3563">
        <v>642.34769676751796</v>
      </c>
      <c r="M3563">
        <v>15.3942475651873</v>
      </c>
      <c r="O3563">
        <v>41.041377401935101</v>
      </c>
      <c r="P3563">
        <v>-7.4899401708549999E-3</v>
      </c>
      <c r="Q3563">
        <v>0.92013396589915597</v>
      </c>
      <c r="R3563">
        <v>6.4776033732361097E-3</v>
      </c>
      <c r="S3563" t="s">
        <v>10209</v>
      </c>
      <c r="T3563" t="s">
        <v>13290</v>
      </c>
      <c r="U3563" t="s">
        <v>13290</v>
      </c>
      <c r="V3563" t="s">
        <v>13290</v>
      </c>
      <c r="W3563" t="s">
        <v>16809</v>
      </c>
      <c r="X3563">
        <v>2</v>
      </c>
      <c r="Y3563" t="s">
        <v>23320</v>
      </c>
      <c r="Z3563" t="s">
        <v>29893</v>
      </c>
      <c r="AA3563">
        <v>0.92875669039669995</v>
      </c>
      <c r="AB3563" t="str">
        <f>HYPERLINK("Melting_Curves/meltCurve_Q15043_2_SLC39A14.pdf", "Melting_Curves/meltCurve_Q15043_2_SLC39A14.pdf")</f>
        <v>Melting_Curves/meltCurve_Q15043_2_SLC39A14.pdf</v>
      </c>
    </row>
    <row r="3564" spans="1:28" x14ac:dyDescent="0.25">
      <c r="A3564" t="s">
        <v>3568</v>
      </c>
      <c r="B3564">
        <v>0.99252571173614901</v>
      </c>
      <c r="C3564">
        <v>0.98059471243753704</v>
      </c>
      <c r="D3564">
        <v>1.11722038471827</v>
      </c>
      <c r="E3564">
        <v>1.2061519596450401</v>
      </c>
      <c r="F3564">
        <v>0.96308011345594402</v>
      </c>
      <c r="G3564">
        <v>0.219555648954746</v>
      </c>
      <c r="H3564">
        <v>0.119971248882999</v>
      </c>
      <c r="I3564">
        <v>0.115395954297281</v>
      </c>
      <c r="J3564">
        <v>0.12668297913239501</v>
      </c>
      <c r="K3564">
        <v>0.13286901753074501</v>
      </c>
      <c r="L3564">
        <v>4415.0808658183896</v>
      </c>
      <c r="M3564">
        <v>79.830303160451805</v>
      </c>
      <c r="N3564">
        <v>55.503326662752002</v>
      </c>
      <c r="O3564">
        <v>55.271150610070002</v>
      </c>
      <c r="P3564">
        <v>-0.31644454878754902</v>
      </c>
      <c r="Q3564">
        <v>0.123628453648799</v>
      </c>
      <c r="R3564">
        <v>0.97313730690112399</v>
      </c>
      <c r="S3564" t="s">
        <v>10210</v>
      </c>
      <c r="T3564" t="s">
        <v>13290</v>
      </c>
      <c r="U3564" t="s">
        <v>13290</v>
      </c>
      <c r="V3564" t="s">
        <v>13290</v>
      </c>
      <c r="W3564" t="s">
        <v>16810</v>
      </c>
      <c r="X3564">
        <v>25</v>
      </c>
      <c r="Y3564" t="s">
        <v>23321</v>
      </c>
      <c r="Z3564" t="s">
        <v>29894</v>
      </c>
      <c r="AA3564">
        <v>0.57158398105844765</v>
      </c>
      <c r="AB3564" t="str">
        <f>HYPERLINK("Melting_Curves/meltCurve_Q15046_KARS.pdf", "Melting_Curves/meltCurve_Q15046_KARS.pdf")</f>
        <v>Melting_Curves/meltCurve_Q15046_KARS.pdf</v>
      </c>
    </row>
    <row r="3565" spans="1:28" x14ac:dyDescent="0.25">
      <c r="A3565" t="s">
        <v>3569</v>
      </c>
      <c r="B3565">
        <v>0.99252571173614901</v>
      </c>
      <c r="C3565">
        <v>0.90272252662998997</v>
      </c>
      <c r="D3565">
        <v>0.58905151825969304</v>
      </c>
      <c r="E3565">
        <v>0.31580275667882202</v>
      </c>
      <c r="F3565">
        <v>0.19834351140259501</v>
      </c>
      <c r="G3565">
        <v>0.121307654140568</v>
      </c>
      <c r="H3565">
        <v>9.0106405811557905E-2</v>
      </c>
      <c r="I3565">
        <v>8.8203397304382203E-2</v>
      </c>
      <c r="J3565">
        <v>0.11073762501017401</v>
      </c>
      <c r="K3565">
        <v>0.11364371894924701</v>
      </c>
      <c r="L3565">
        <v>969.10179973448999</v>
      </c>
      <c r="M3565">
        <v>20.766548681108102</v>
      </c>
      <c r="N3565">
        <v>47.192835721546302</v>
      </c>
      <c r="O3565">
        <v>46.240208602631903</v>
      </c>
      <c r="P3565">
        <v>-0.10067189801582201</v>
      </c>
      <c r="Q3565">
        <v>0.10337358770600701</v>
      </c>
      <c r="R3565">
        <v>0.99646093105384304</v>
      </c>
      <c r="S3565" t="s">
        <v>10211</v>
      </c>
      <c r="T3565" t="s">
        <v>13290</v>
      </c>
      <c r="U3565" t="s">
        <v>13290</v>
      </c>
      <c r="V3565" t="s">
        <v>13290</v>
      </c>
      <c r="W3565" t="s">
        <v>16811</v>
      </c>
      <c r="X3565">
        <v>8</v>
      </c>
      <c r="Y3565" t="s">
        <v>23322</v>
      </c>
      <c r="Z3565" t="s">
        <v>29895</v>
      </c>
      <c r="AA3565">
        <v>0.31486325030902068</v>
      </c>
      <c r="AB3565" t="str">
        <f>HYPERLINK("Melting_Curves/meltCurve_Q15047_3_SETDB1.pdf", "Melting_Curves/meltCurve_Q15047_3_SETDB1.pdf")</f>
        <v>Melting_Curves/meltCurve_Q15047_3_SETDB1.pdf</v>
      </c>
    </row>
    <row r="3566" spans="1:28" x14ac:dyDescent="0.25">
      <c r="A3566" t="s">
        <v>3570</v>
      </c>
      <c r="B3566">
        <v>0.99252571173614901</v>
      </c>
      <c r="C3566">
        <v>0.82814451215296403</v>
      </c>
      <c r="D3566">
        <v>0.52992699051545</v>
      </c>
      <c r="E3566">
        <v>0.269186379416123</v>
      </c>
      <c r="F3566">
        <v>0.15908033314940401</v>
      </c>
      <c r="G3566">
        <v>0.156995978784402</v>
      </c>
      <c r="H3566">
        <v>0.15768655981122301</v>
      </c>
      <c r="I3566">
        <v>0.12485287216212999</v>
      </c>
      <c r="J3566">
        <v>7.8078060862586701E-2</v>
      </c>
      <c r="K3566">
        <v>4.3249493148371398E-2</v>
      </c>
      <c r="L3566">
        <v>942.17874830451899</v>
      </c>
      <c r="M3566">
        <v>20.530416283680399</v>
      </c>
      <c r="N3566">
        <v>46.434329611061003</v>
      </c>
      <c r="O3566">
        <v>45.463101455750703</v>
      </c>
      <c r="P3566">
        <v>-0.100861042999062</v>
      </c>
      <c r="Q3566">
        <v>0.106628683110349</v>
      </c>
      <c r="R3566">
        <v>0.99032322150310503</v>
      </c>
      <c r="S3566" t="s">
        <v>10212</v>
      </c>
      <c r="T3566" t="s">
        <v>13290</v>
      </c>
      <c r="U3566" t="s">
        <v>13290</v>
      </c>
      <c r="V3566" t="s">
        <v>13290</v>
      </c>
      <c r="W3566" t="s">
        <v>16812</v>
      </c>
      <c r="X3566">
        <v>1</v>
      </c>
      <c r="Y3566" t="s">
        <v>23323</v>
      </c>
      <c r="Z3566" t="s">
        <v>29896</v>
      </c>
      <c r="AA3566">
        <v>0.29518800901600528</v>
      </c>
      <c r="AB3566" t="str">
        <f>HYPERLINK("Melting_Curves/meltCurve_Q15048_LRRC14.pdf", "Melting_Curves/meltCurve_Q15048_LRRC14.pdf")</f>
        <v>Melting_Curves/meltCurve_Q15048_LRRC14.pdf</v>
      </c>
    </row>
    <row r="3567" spans="1:28" x14ac:dyDescent="0.25">
      <c r="A3567" t="s">
        <v>3571</v>
      </c>
      <c r="B3567">
        <v>0.99252571173614901</v>
      </c>
      <c r="C3567">
        <v>0.99352210882370096</v>
      </c>
      <c r="D3567">
        <v>1.05333329232789</v>
      </c>
      <c r="E3567">
        <v>1.161054827801</v>
      </c>
      <c r="F3567">
        <v>0.73805651064576006</v>
      </c>
      <c r="G3567">
        <v>0.51049434021794104</v>
      </c>
      <c r="H3567">
        <v>0.46780373498975603</v>
      </c>
      <c r="I3567">
        <v>0.48865324211759098</v>
      </c>
      <c r="J3567">
        <v>0.746190058478578</v>
      </c>
      <c r="K3567">
        <v>1.04856164413043</v>
      </c>
      <c r="L3567">
        <v>13240.570799352799</v>
      </c>
      <c r="M3567">
        <v>250</v>
      </c>
      <c r="O3567">
        <v>52.958874352535197</v>
      </c>
      <c r="P3567">
        <v>-0.41029392238150703</v>
      </c>
      <c r="Q3567">
        <v>0.65234060239953195</v>
      </c>
      <c r="R3567">
        <v>0.55872922767602595</v>
      </c>
      <c r="S3567" t="s">
        <v>10213</v>
      </c>
      <c r="T3567" t="s">
        <v>13290</v>
      </c>
      <c r="U3567" t="s">
        <v>13290</v>
      </c>
      <c r="V3567" t="s">
        <v>13290</v>
      </c>
      <c r="W3567" t="s">
        <v>16813</v>
      </c>
      <c r="X3567">
        <v>4</v>
      </c>
      <c r="Y3567" t="s">
        <v>23324</v>
      </c>
      <c r="Z3567" t="s">
        <v>29897</v>
      </c>
      <c r="AA3567">
        <v>0.80258823557050685</v>
      </c>
      <c r="AB3567" t="str">
        <f>HYPERLINK("Melting_Curves/meltCurve_Q15050_RRS1.pdf", "Melting_Curves/meltCurve_Q15050_RRS1.pdf")</f>
        <v>Melting_Curves/meltCurve_Q15050_RRS1.pdf</v>
      </c>
    </row>
    <row r="3568" spans="1:28" x14ac:dyDescent="0.25">
      <c r="A3568" t="s">
        <v>3572</v>
      </c>
      <c r="B3568">
        <v>0.99252571173614901</v>
      </c>
      <c r="C3568">
        <v>0.83830365507237004</v>
      </c>
      <c r="D3568">
        <v>0.459605659768963</v>
      </c>
      <c r="E3568">
        <v>0.23329700017975499</v>
      </c>
      <c r="F3568">
        <v>0.176525210678731</v>
      </c>
      <c r="G3568">
        <v>0.109138464107549</v>
      </c>
      <c r="H3568">
        <v>6.1297704606962301E-2</v>
      </c>
      <c r="I3568">
        <v>4.6226557758240798E-2</v>
      </c>
      <c r="J3568">
        <v>5.1425798187622399E-2</v>
      </c>
      <c r="K3568">
        <v>4.4076539055158903E-2</v>
      </c>
      <c r="L3568">
        <v>956.64996422167201</v>
      </c>
      <c r="M3568">
        <v>20.926423758098299</v>
      </c>
      <c r="N3568">
        <v>46.037367106755603</v>
      </c>
      <c r="O3568">
        <v>45.303614260643599</v>
      </c>
      <c r="P3568">
        <v>-0.10761055187626201</v>
      </c>
      <c r="Q3568">
        <v>6.8161181243508395E-2</v>
      </c>
      <c r="R3568">
        <v>0.99056600331339095</v>
      </c>
      <c r="S3568" t="s">
        <v>10214</v>
      </c>
      <c r="T3568" t="s">
        <v>13290</v>
      </c>
      <c r="U3568" t="s">
        <v>13290</v>
      </c>
      <c r="V3568" t="s">
        <v>13290</v>
      </c>
      <c r="W3568" t="s">
        <v>16814</v>
      </c>
      <c r="X3568">
        <v>3</v>
      </c>
      <c r="Y3568" t="s">
        <v>23325</v>
      </c>
      <c r="Z3568" t="s">
        <v>29898</v>
      </c>
      <c r="AA3568">
        <v>0.25892983193683511</v>
      </c>
      <c r="AB3568" t="str">
        <f>HYPERLINK("Melting_Curves/meltCurve_Q15051_2_IQCB1.pdf", "Melting_Curves/meltCurve_Q15051_2_IQCB1.pdf")</f>
        <v>Melting_Curves/meltCurve_Q15051_2_IQCB1.pdf</v>
      </c>
    </row>
    <row r="3569" spans="1:28" x14ac:dyDescent="0.25">
      <c r="A3569" t="s">
        <v>3573</v>
      </c>
      <c r="B3569">
        <v>0.99252571173614901</v>
      </c>
      <c r="C3569">
        <v>1.1249614341715</v>
      </c>
      <c r="D3569">
        <v>0.91758976718696295</v>
      </c>
      <c r="E3569">
        <v>0.75434871926234104</v>
      </c>
      <c r="F3569">
        <v>0.47904464583438799</v>
      </c>
      <c r="G3569">
        <v>0.31057151293841301</v>
      </c>
      <c r="H3569">
        <v>0.24960342128749299</v>
      </c>
      <c r="I3569">
        <v>0.31401221925168199</v>
      </c>
      <c r="J3569">
        <v>0.43418410532336099</v>
      </c>
      <c r="K3569">
        <v>0.47288301992477899</v>
      </c>
      <c r="L3569">
        <v>1575.3262198120301</v>
      </c>
      <c r="M3569">
        <v>31.305288376968399</v>
      </c>
      <c r="N3569">
        <v>52.407253877436901</v>
      </c>
      <c r="O3569">
        <v>50.117385275689401</v>
      </c>
      <c r="P3569">
        <v>-0.100541076544024</v>
      </c>
      <c r="Q3569">
        <v>0.35616881022942398</v>
      </c>
      <c r="R3569">
        <v>0.93681199755124001</v>
      </c>
      <c r="S3569" t="s">
        <v>10215</v>
      </c>
      <c r="T3569" t="s">
        <v>13290</v>
      </c>
      <c r="U3569" t="s">
        <v>13290</v>
      </c>
      <c r="V3569" t="s">
        <v>13290</v>
      </c>
      <c r="W3569" t="s">
        <v>16815</v>
      </c>
      <c r="X3569">
        <v>19</v>
      </c>
      <c r="Y3569" t="s">
        <v>23326</v>
      </c>
      <c r="Z3569" t="s">
        <v>29899</v>
      </c>
      <c r="AA3569">
        <v>0.5813504946667033</v>
      </c>
      <c r="AB3569" t="str">
        <f>HYPERLINK("Melting_Curves/meltCurve_Q15056_EIF4H.pdf", "Melting_Curves/meltCurve_Q15056_EIF4H.pdf")</f>
        <v>Melting_Curves/meltCurve_Q15056_EIF4H.pdf</v>
      </c>
    </row>
    <row r="3570" spans="1:28" x14ac:dyDescent="0.25">
      <c r="A3570" t="s">
        <v>3574</v>
      </c>
      <c r="B3570">
        <v>0.99252571173614901</v>
      </c>
      <c r="C3570">
        <v>1.0339228388619901</v>
      </c>
      <c r="D3570">
        <v>0.89840960907596001</v>
      </c>
      <c r="E3570">
        <v>0.59301197404246397</v>
      </c>
      <c r="F3570">
        <v>0.37644704732040501</v>
      </c>
      <c r="G3570">
        <v>0.302063295515001</v>
      </c>
      <c r="H3570">
        <v>0.28641002307034402</v>
      </c>
      <c r="I3570">
        <v>0.36012668743121401</v>
      </c>
      <c r="J3570">
        <v>0.56932028434050497</v>
      </c>
      <c r="K3570">
        <v>0.57470801266045601</v>
      </c>
      <c r="L3570">
        <v>1819.2556691306399</v>
      </c>
      <c r="M3570">
        <v>37.663874997493103</v>
      </c>
      <c r="N3570">
        <v>50.617255213562601</v>
      </c>
      <c r="O3570">
        <v>48.166830017838102</v>
      </c>
      <c r="P3570">
        <v>-0.11520275377683099</v>
      </c>
      <c r="Q3570">
        <v>0.41068858126097901</v>
      </c>
      <c r="R3570">
        <v>0.87942202271095504</v>
      </c>
      <c r="S3570" t="s">
        <v>10216</v>
      </c>
      <c r="T3570" t="s">
        <v>13290</v>
      </c>
      <c r="U3570" t="s">
        <v>13290</v>
      </c>
      <c r="V3570" t="s">
        <v>13290</v>
      </c>
      <c r="W3570" t="s">
        <v>16816</v>
      </c>
      <c r="X3570">
        <v>20</v>
      </c>
      <c r="Y3570" t="s">
        <v>23326</v>
      </c>
      <c r="Z3570" t="s">
        <v>29900</v>
      </c>
      <c r="AA3570">
        <v>0.57600721163819923</v>
      </c>
      <c r="AB3570" t="str">
        <f>HYPERLINK("Melting_Curves/meltCurve_Q15056_2_EIF4H.pdf", "Melting_Curves/meltCurve_Q15056_2_EIF4H.pdf")</f>
        <v>Melting_Curves/meltCurve_Q15056_2_EIF4H.pdf</v>
      </c>
    </row>
    <row r="3571" spans="1:28" x14ac:dyDescent="0.25">
      <c r="A3571" t="s">
        <v>3575</v>
      </c>
      <c r="B3571">
        <v>0.99252571173614901</v>
      </c>
      <c r="C3571">
        <v>0.97431852062689595</v>
      </c>
      <c r="D3571">
        <v>0.89821767529493302</v>
      </c>
      <c r="E3571">
        <v>0.56413164503658297</v>
      </c>
      <c r="F3571">
        <v>0.180554498417031</v>
      </c>
      <c r="G3571">
        <v>0.101769437677333</v>
      </c>
      <c r="H3571">
        <v>7.9774211547115198E-2</v>
      </c>
      <c r="I3571">
        <v>7.8405935435689106E-2</v>
      </c>
      <c r="J3571">
        <v>9.8187223129106202E-2</v>
      </c>
      <c r="K3571">
        <v>9.5437153203490596E-2</v>
      </c>
      <c r="L3571">
        <v>1445.0242672772399</v>
      </c>
      <c r="M3571">
        <v>29.1012159007715</v>
      </c>
      <c r="N3571">
        <v>49.966368086462403</v>
      </c>
      <c r="O3571">
        <v>49.422414625970603</v>
      </c>
      <c r="P3571">
        <v>-0.135004884486529</v>
      </c>
      <c r="Q3571">
        <v>8.2894912466370804E-2</v>
      </c>
      <c r="R3571">
        <v>0.99885034887640001</v>
      </c>
      <c r="S3571" t="s">
        <v>10217</v>
      </c>
      <c r="T3571" t="s">
        <v>13290</v>
      </c>
      <c r="U3571" t="s">
        <v>13290</v>
      </c>
      <c r="V3571" t="s">
        <v>13290</v>
      </c>
      <c r="W3571" t="s">
        <v>16817</v>
      </c>
      <c r="X3571">
        <v>10</v>
      </c>
      <c r="Y3571" t="s">
        <v>23327</v>
      </c>
      <c r="Z3571" t="s">
        <v>29901</v>
      </c>
      <c r="AA3571">
        <v>0.38405436120304171</v>
      </c>
      <c r="AB3571" t="str">
        <f>HYPERLINK("Melting_Curves/meltCurve_Q15057_ACAP2.pdf", "Melting_Curves/meltCurve_Q15057_ACAP2.pdf")</f>
        <v>Melting_Curves/meltCurve_Q15057_ACAP2.pdf</v>
      </c>
    </row>
    <row r="3572" spans="1:28" x14ac:dyDescent="0.25">
      <c r="A3572" t="s">
        <v>3576</v>
      </c>
      <c r="B3572">
        <v>0.99252571173614901</v>
      </c>
      <c r="C3572">
        <v>1.0256097774786499</v>
      </c>
      <c r="D3572">
        <v>0.82234607484678701</v>
      </c>
      <c r="E3572">
        <v>0.37207650612286097</v>
      </c>
      <c r="F3572">
        <v>0.181973701725266</v>
      </c>
      <c r="G3572">
        <v>0.100316534419986</v>
      </c>
      <c r="H3572">
        <v>6.6460604471683199E-2</v>
      </c>
      <c r="I3572">
        <v>7.9445296922380795E-2</v>
      </c>
      <c r="J3572">
        <v>0.10970372279648601</v>
      </c>
      <c r="K3572">
        <v>9.9371274490349104E-2</v>
      </c>
      <c r="L3572">
        <v>1406.9952476460001</v>
      </c>
      <c r="M3572">
        <v>29.130507622746801</v>
      </c>
      <c r="N3572">
        <v>48.642275806433901</v>
      </c>
      <c r="O3572">
        <v>48.073821821208199</v>
      </c>
      <c r="P3572">
        <v>-0.13744081395959101</v>
      </c>
      <c r="Q3572">
        <v>9.2737239394683604E-2</v>
      </c>
      <c r="R3572">
        <v>0.99668281442969997</v>
      </c>
      <c r="S3572" t="s">
        <v>10218</v>
      </c>
      <c r="T3572" t="s">
        <v>13290</v>
      </c>
      <c r="U3572" t="s">
        <v>13290</v>
      </c>
      <c r="V3572" t="s">
        <v>13290</v>
      </c>
      <c r="W3572" t="s">
        <v>16818</v>
      </c>
      <c r="X3572">
        <v>11</v>
      </c>
      <c r="Y3572" t="s">
        <v>23328</v>
      </c>
      <c r="Z3572" t="s">
        <v>29902</v>
      </c>
      <c r="AA3572">
        <v>0.34955984498857512</v>
      </c>
      <c r="AB3572" t="str">
        <f>HYPERLINK("Melting_Curves/meltCurve_Q15059_BRD3.pdf", "Melting_Curves/meltCurve_Q15059_BRD3.pdf")</f>
        <v>Melting_Curves/meltCurve_Q15059_BRD3.pdf</v>
      </c>
    </row>
    <row r="3573" spans="1:28" x14ac:dyDescent="0.25">
      <c r="A3573" t="s">
        <v>3577</v>
      </c>
      <c r="B3573">
        <v>0.99252571173614901</v>
      </c>
      <c r="C3573">
        <v>1.0977239033157999</v>
      </c>
      <c r="D3573">
        <v>1.5238294604754801</v>
      </c>
      <c r="E3573">
        <v>3.3726318996821698</v>
      </c>
      <c r="F3573">
        <v>1.5569153367839299</v>
      </c>
      <c r="G3573">
        <v>1.3897324505607</v>
      </c>
      <c r="H3573">
        <v>0.38460456460924802</v>
      </c>
      <c r="I3573">
        <v>0.22979496032334901</v>
      </c>
      <c r="J3573">
        <v>0.25553860079462198</v>
      </c>
      <c r="K3573">
        <v>0.212687616337119</v>
      </c>
      <c r="L3573">
        <v>15000</v>
      </c>
      <c r="M3573">
        <v>248.109361615816</v>
      </c>
      <c r="N3573">
        <v>60.6101751082155</v>
      </c>
      <c r="O3573">
        <v>60.4532828532612</v>
      </c>
      <c r="P3573">
        <v>-0.78730593774822699</v>
      </c>
      <c r="Q3573">
        <v>0.232673395658686</v>
      </c>
      <c r="R3573">
        <v>0.24255221408799399</v>
      </c>
      <c r="S3573" t="s">
        <v>10219</v>
      </c>
      <c r="T3573" t="s">
        <v>13290</v>
      </c>
      <c r="U3573" t="s">
        <v>13290</v>
      </c>
      <c r="V3573" t="s">
        <v>13290</v>
      </c>
      <c r="W3573" t="s">
        <v>16819</v>
      </c>
      <c r="X3573">
        <v>17</v>
      </c>
      <c r="Y3573" t="s">
        <v>23329</v>
      </c>
      <c r="Z3573" t="s">
        <v>29903</v>
      </c>
      <c r="AA3573">
        <v>0.7560014615830517</v>
      </c>
      <c r="AB3573" t="str">
        <f>HYPERLINK("Melting_Curves/meltCurve_Q15061_WDR43.pdf", "Melting_Curves/meltCurve_Q15061_WDR43.pdf")</f>
        <v>Melting_Curves/meltCurve_Q15061_WDR43.pdf</v>
      </c>
    </row>
    <row r="3574" spans="1:28" x14ac:dyDescent="0.25">
      <c r="A3574" t="s">
        <v>3578</v>
      </c>
      <c r="B3574">
        <v>0.99252571173614901</v>
      </c>
      <c r="C3574">
        <v>0.93685037616237998</v>
      </c>
      <c r="D3574">
        <v>1.0352998166004399</v>
      </c>
      <c r="E3574">
        <v>1.00618087642944</v>
      </c>
      <c r="F3574">
        <v>0.93176853674638704</v>
      </c>
      <c r="G3574">
        <v>0.78166115177460704</v>
      </c>
      <c r="H3574">
        <v>0.69529688647433296</v>
      </c>
      <c r="I3574">
        <v>0.73600566742815499</v>
      </c>
      <c r="J3574">
        <v>0.42728529542667998</v>
      </c>
      <c r="K3574">
        <v>0.19341110189289301</v>
      </c>
      <c r="L3574">
        <v>865.07061350490801</v>
      </c>
      <c r="M3574">
        <v>13.2116844196178</v>
      </c>
      <c r="N3574">
        <v>65.477692800319602</v>
      </c>
      <c r="O3574">
        <v>64.032090836415506</v>
      </c>
      <c r="P3574">
        <v>-5.1590835391605798E-2</v>
      </c>
      <c r="Q3574">
        <v>0</v>
      </c>
      <c r="R3574">
        <v>0.91992899442022802</v>
      </c>
      <c r="S3574" t="s">
        <v>10220</v>
      </c>
      <c r="T3574" t="s">
        <v>13290</v>
      </c>
      <c r="U3574" t="s">
        <v>13290</v>
      </c>
      <c r="V3574" t="s">
        <v>13290</v>
      </c>
      <c r="W3574" t="s">
        <v>16820</v>
      </c>
      <c r="X3574">
        <v>25</v>
      </c>
      <c r="Y3574" t="s">
        <v>23330</v>
      </c>
      <c r="Z3574" t="s">
        <v>29904</v>
      </c>
      <c r="AA3574">
        <v>0.81081280277086387</v>
      </c>
      <c r="AB3574" t="str">
        <f>HYPERLINK("Melting_Curves/meltCurve_Q15067_2_ACOX1.pdf", "Melting_Curves/meltCurve_Q15067_2_ACOX1.pdf")</f>
        <v>Melting_Curves/meltCurve_Q15067_2_ACOX1.pdf</v>
      </c>
    </row>
    <row r="3575" spans="1:28" x14ac:dyDescent="0.25">
      <c r="A3575" t="s">
        <v>3579</v>
      </c>
      <c r="B3575">
        <v>0.99252571173614901</v>
      </c>
      <c r="C3575">
        <v>1.10311157081063</v>
      </c>
      <c r="D3575">
        <v>0.89674553079804897</v>
      </c>
      <c r="E3575">
        <v>0.78674822692663504</v>
      </c>
      <c r="F3575">
        <v>0.66882200627963495</v>
      </c>
      <c r="G3575">
        <v>0.57116015785333496</v>
      </c>
      <c r="H3575">
        <v>0.60977005416015995</v>
      </c>
      <c r="I3575">
        <v>0.98612605663223796</v>
      </c>
      <c r="J3575">
        <v>1.4983478502127801</v>
      </c>
      <c r="K3575">
        <v>1.60970536145371</v>
      </c>
      <c r="L3575">
        <v>15000</v>
      </c>
      <c r="M3575">
        <v>228.18021860682899</v>
      </c>
      <c r="O3575">
        <v>65.732467910609202</v>
      </c>
      <c r="P3575">
        <v>0.43391843380997802</v>
      </c>
      <c r="Q3575">
        <v>1.5</v>
      </c>
      <c r="R3575">
        <v>0.53349875817429204</v>
      </c>
      <c r="S3575" t="s">
        <v>10221</v>
      </c>
      <c r="T3575" t="s">
        <v>13290</v>
      </c>
      <c r="U3575" t="s">
        <v>13290</v>
      </c>
      <c r="V3575" t="s">
        <v>13290</v>
      </c>
      <c r="W3575" t="s">
        <v>16821</v>
      </c>
      <c r="X3575">
        <v>123</v>
      </c>
      <c r="Y3575" t="s">
        <v>23331</v>
      </c>
      <c r="Z3575" t="s">
        <v>29905</v>
      </c>
      <c r="AA3575">
        <v>1.070972214614254</v>
      </c>
      <c r="AB3575" t="str">
        <f>HYPERLINK("Melting_Curves/meltCurve_Q15075_EEA1.pdf", "Melting_Curves/meltCurve_Q15075_EEA1.pdf")</f>
        <v>Melting_Curves/meltCurve_Q15075_EEA1.pdf</v>
      </c>
    </row>
    <row r="3576" spans="1:28" x14ac:dyDescent="0.25">
      <c r="A3576" t="s">
        <v>3580</v>
      </c>
      <c r="B3576">
        <v>0.99252571173614901</v>
      </c>
      <c r="C3576">
        <v>1.0653694954489199</v>
      </c>
      <c r="D3576">
        <v>0.84636135485031805</v>
      </c>
      <c r="E3576">
        <v>0.590258627203881</v>
      </c>
      <c r="F3576">
        <v>0.25658375079922202</v>
      </c>
      <c r="G3576">
        <v>0.122035527698274</v>
      </c>
      <c r="H3576">
        <v>7.6278287149402199E-2</v>
      </c>
      <c r="I3576">
        <v>7.1370297430954799E-2</v>
      </c>
      <c r="J3576">
        <v>7.7536171376500804E-2</v>
      </c>
      <c r="K3576">
        <v>8.2320238801998E-2</v>
      </c>
      <c r="L3576">
        <v>1146.1752287535001</v>
      </c>
      <c r="M3576">
        <v>22.923724122881399</v>
      </c>
      <c r="N3576">
        <v>50.330781756836302</v>
      </c>
      <c r="O3576">
        <v>49.623689259191103</v>
      </c>
      <c r="P3576">
        <v>-0.107403055925418</v>
      </c>
      <c r="Q3576">
        <v>7.0022826818668393E-2</v>
      </c>
      <c r="R3576">
        <v>0.99377989863707905</v>
      </c>
      <c r="S3576" t="s">
        <v>10222</v>
      </c>
      <c r="T3576" t="s">
        <v>13290</v>
      </c>
      <c r="U3576" t="s">
        <v>13290</v>
      </c>
      <c r="V3576" t="s">
        <v>13290</v>
      </c>
      <c r="W3576" t="s">
        <v>16822</v>
      </c>
      <c r="X3576">
        <v>14</v>
      </c>
      <c r="Y3576" t="s">
        <v>23332</v>
      </c>
      <c r="Z3576" t="s">
        <v>29906</v>
      </c>
      <c r="AA3576">
        <v>0.38988903464201269</v>
      </c>
      <c r="AB3576" t="str">
        <f>HYPERLINK("Melting_Curves/meltCurve_Q15102_PAFAH1B3.pdf", "Melting_Curves/meltCurve_Q15102_PAFAH1B3.pdf")</f>
        <v>Melting_Curves/meltCurve_Q15102_PAFAH1B3.pdf</v>
      </c>
    </row>
    <row r="3577" spans="1:28" x14ac:dyDescent="0.25">
      <c r="A3577" t="s">
        <v>3581</v>
      </c>
      <c r="B3577">
        <v>0.99252571173614901</v>
      </c>
      <c r="C3577">
        <v>0.92082135439381396</v>
      </c>
      <c r="D3577">
        <v>0.87973132212554395</v>
      </c>
      <c r="E3577">
        <v>0.67677265945391596</v>
      </c>
      <c r="F3577">
        <v>0.21674031970642499</v>
      </c>
      <c r="G3577">
        <v>0.10894093770378201</v>
      </c>
      <c r="H3577">
        <v>7.7647717661737101E-2</v>
      </c>
      <c r="I3577">
        <v>8.1009986185368296E-2</v>
      </c>
      <c r="J3577">
        <v>9.9721783579322404E-2</v>
      </c>
      <c r="K3577">
        <v>8.9482639010609599E-2</v>
      </c>
      <c r="L3577">
        <v>1402.16886822064</v>
      </c>
      <c r="M3577">
        <v>27.8380344969124</v>
      </c>
      <c r="N3577">
        <v>50.679848274406702</v>
      </c>
      <c r="O3577">
        <v>50.111055402851299</v>
      </c>
      <c r="P3577">
        <v>-0.12797721780874499</v>
      </c>
      <c r="Q3577">
        <v>7.8524546174228299E-2</v>
      </c>
      <c r="R3577">
        <v>0.99165330161512399</v>
      </c>
      <c r="S3577" t="s">
        <v>10223</v>
      </c>
      <c r="T3577" t="s">
        <v>13290</v>
      </c>
      <c r="U3577" t="s">
        <v>13290</v>
      </c>
      <c r="V3577" t="s">
        <v>13290</v>
      </c>
      <c r="W3577" t="s">
        <v>16823</v>
      </c>
      <c r="X3577">
        <v>12</v>
      </c>
      <c r="Y3577" t="s">
        <v>23333</v>
      </c>
      <c r="Z3577" t="s">
        <v>29907</v>
      </c>
      <c r="AA3577">
        <v>0.40367719214088438</v>
      </c>
      <c r="AB3577" t="str">
        <f>HYPERLINK("Melting_Curves/meltCurve_Q15118_PDK1.pdf", "Melting_Curves/meltCurve_Q15118_PDK1.pdf")</f>
        <v>Melting_Curves/meltCurve_Q15118_PDK1.pdf</v>
      </c>
    </row>
    <row r="3578" spans="1:28" x14ac:dyDescent="0.25">
      <c r="A3578" t="s">
        <v>3582</v>
      </c>
      <c r="B3578">
        <v>0.99252571173614901</v>
      </c>
      <c r="C3578">
        <v>0.93374598659855002</v>
      </c>
      <c r="D3578">
        <v>0.84059062261025497</v>
      </c>
      <c r="E3578">
        <v>0.79631322274530403</v>
      </c>
      <c r="F3578">
        <v>0.46274034038032302</v>
      </c>
      <c r="G3578">
        <v>0.106805365478613</v>
      </c>
      <c r="H3578">
        <v>7.5634205627394299E-2</v>
      </c>
      <c r="I3578">
        <v>7.3614882655127806E-2</v>
      </c>
      <c r="J3578">
        <v>8.8848536530113806E-2</v>
      </c>
      <c r="K3578">
        <v>7.97735392185943E-2</v>
      </c>
      <c r="L3578">
        <v>1164.76359901297</v>
      </c>
      <c r="M3578">
        <v>22.352690397916</v>
      </c>
      <c r="N3578">
        <v>52.377915639576102</v>
      </c>
      <c r="O3578">
        <v>51.696746530799501</v>
      </c>
      <c r="P3578">
        <v>-0.102225744914441</v>
      </c>
      <c r="Q3578">
        <v>5.4319181919447901E-2</v>
      </c>
      <c r="R3578">
        <v>0.98215413525529205</v>
      </c>
      <c r="S3578" t="s">
        <v>10224</v>
      </c>
      <c r="T3578" t="s">
        <v>13290</v>
      </c>
      <c r="U3578" t="s">
        <v>13290</v>
      </c>
      <c r="V3578" t="s">
        <v>13290</v>
      </c>
      <c r="W3578" t="s">
        <v>16824</v>
      </c>
      <c r="X3578">
        <v>10</v>
      </c>
      <c r="Y3578" t="s">
        <v>23334</v>
      </c>
      <c r="Z3578" t="s">
        <v>29908</v>
      </c>
      <c r="AA3578">
        <v>0.44668961018273129</v>
      </c>
      <c r="AB3578" t="str">
        <f>HYPERLINK("Melting_Curves/meltCurve_Q15120_PDK3.pdf", "Melting_Curves/meltCurve_Q15120_PDK3.pdf")</f>
        <v>Melting_Curves/meltCurve_Q15120_PDK3.pdf</v>
      </c>
    </row>
    <row r="3579" spans="1:28" x14ac:dyDescent="0.25">
      <c r="A3579" t="s">
        <v>3583</v>
      </c>
      <c r="B3579">
        <v>0.99252571173614901</v>
      </c>
      <c r="C3579">
        <v>1.0624520129623301</v>
      </c>
      <c r="D3579">
        <v>0.79309507708551297</v>
      </c>
      <c r="E3579">
        <v>0.42987819474259997</v>
      </c>
      <c r="F3579">
        <v>0.21666267788850899</v>
      </c>
      <c r="G3579">
        <v>0.141125731009526</v>
      </c>
      <c r="H3579">
        <v>0.113625503084075</v>
      </c>
      <c r="I3579">
        <v>0.118857337922755</v>
      </c>
      <c r="J3579">
        <v>0.168216791195681</v>
      </c>
      <c r="K3579">
        <v>0.191553604439997</v>
      </c>
      <c r="L3579">
        <v>1340.054111443</v>
      </c>
      <c r="M3579">
        <v>27.772628053779201</v>
      </c>
      <c r="N3579">
        <v>48.858511164814502</v>
      </c>
      <c r="O3579">
        <v>48.002808816263901</v>
      </c>
      <c r="P3579">
        <v>-0.123520477878721</v>
      </c>
      <c r="Q3579">
        <v>0.14602572983270101</v>
      </c>
      <c r="R3579">
        <v>0.98923217815933495</v>
      </c>
      <c r="S3579" t="s">
        <v>10225</v>
      </c>
      <c r="T3579" t="s">
        <v>13290</v>
      </c>
      <c r="U3579" t="s">
        <v>13290</v>
      </c>
      <c r="V3579" t="s">
        <v>13290</v>
      </c>
      <c r="W3579" t="s">
        <v>16825</v>
      </c>
      <c r="X3579">
        <v>6</v>
      </c>
      <c r="Y3579" t="s">
        <v>23335</v>
      </c>
      <c r="Z3579" t="s">
        <v>29909</v>
      </c>
      <c r="AA3579">
        <v>0.38694526389440459</v>
      </c>
      <c r="AB3579" t="str">
        <f>HYPERLINK("Melting_Curves/meltCurve_Q15121_PEA15.pdf", "Melting_Curves/meltCurve_Q15121_PEA15.pdf")</f>
        <v>Melting_Curves/meltCurve_Q15121_PEA15.pdf</v>
      </c>
    </row>
    <row r="3580" spans="1:28" x14ac:dyDescent="0.25">
      <c r="A3580" t="s">
        <v>3584</v>
      </c>
      <c r="B3580">
        <v>0.99252571173614901</v>
      </c>
      <c r="C3580">
        <v>0.98644950756527405</v>
      </c>
      <c r="D3580">
        <v>0.86905482782614296</v>
      </c>
      <c r="E3580">
        <v>0.64206659318864501</v>
      </c>
      <c r="F3580">
        <v>0.471236004766792</v>
      </c>
      <c r="G3580">
        <v>0.30613630976457601</v>
      </c>
      <c r="H3580">
        <v>0.261038110198062</v>
      </c>
      <c r="I3580">
        <v>0.30926122115771998</v>
      </c>
      <c r="J3580">
        <v>0.38310228824185599</v>
      </c>
      <c r="K3580">
        <v>0.33981983780726099</v>
      </c>
      <c r="L3580">
        <v>1066.82339815872</v>
      </c>
      <c r="M3580">
        <v>21.595192873930799</v>
      </c>
      <c r="N3580">
        <v>51.775339295962198</v>
      </c>
      <c r="O3580">
        <v>48.983186140225101</v>
      </c>
      <c r="P3580">
        <v>-7.5580759031546499E-2</v>
      </c>
      <c r="Q3580">
        <v>0.31427354916759198</v>
      </c>
      <c r="R3580">
        <v>0.98293248495028196</v>
      </c>
      <c r="S3580" t="s">
        <v>10226</v>
      </c>
      <c r="T3580" t="s">
        <v>13290</v>
      </c>
      <c r="U3580" t="s">
        <v>13290</v>
      </c>
      <c r="V3580" t="s">
        <v>13290</v>
      </c>
      <c r="W3580" t="s">
        <v>16826</v>
      </c>
      <c r="X3580">
        <v>2</v>
      </c>
      <c r="Y3580" t="s">
        <v>23336</v>
      </c>
      <c r="Z3580" t="s">
        <v>29910</v>
      </c>
      <c r="AA3580">
        <v>0.53736279951268917</v>
      </c>
      <c r="AB3580" t="str">
        <f>HYPERLINK("Melting_Curves/meltCurve_Q15125_EBP.pdf", "Melting_Curves/meltCurve_Q15125_EBP.pdf")</f>
        <v>Melting_Curves/meltCurve_Q15125_EBP.pdf</v>
      </c>
    </row>
    <row r="3581" spans="1:28" x14ac:dyDescent="0.25">
      <c r="A3581" t="s">
        <v>3585</v>
      </c>
      <c r="B3581">
        <v>0.99252571173614901</v>
      </c>
      <c r="C3581">
        <v>0.99033428920367295</v>
      </c>
      <c r="D3581">
        <v>0.43580483654228602</v>
      </c>
      <c r="E3581">
        <v>0.15789461094794499</v>
      </c>
      <c r="F3581">
        <v>8.4144510118648402E-2</v>
      </c>
      <c r="G3581">
        <v>5.1951380797571702E-2</v>
      </c>
      <c r="H3581">
        <v>4.1226503654976598E-2</v>
      </c>
      <c r="I3581">
        <v>3.4819231352121602E-2</v>
      </c>
      <c r="J3581">
        <v>4.0996596379694897E-2</v>
      </c>
      <c r="K3581">
        <v>3.7647444153674103E-2</v>
      </c>
      <c r="L3581">
        <v>2029.9504523261101</v>
      </c>
      <c r="M3581">
        <v>44.457107686811199</v>
      </c>
      <c r="N3581">
        <v>45.789273668966203</v>
      </c>
      <c r="O3581">
        <v>45.568775289432203</v>
      </c>
      <c r="P3581">
        <v>-0.22960849439867601</v>
      </c>
      <c r="Q3581">
        <v>5.8601496747402497E-2</v>
      </c>
      <c r="R3581">
        <v>0.99307656787130605</v>
      </c>
      <c r="S3581" t="s">
        <v>10227</v>
      </c>
      <c r="T3581" t="s">
        <v>13290</v>
      </c>
      <c r="U3581" t="s">
        <v>13290</v>
      </c>
      <c r="V3581" t="s">
        <v>13290</v>
      </c>
      <c r="W3581" t="s">
        <v>16827</v>
      </c>
      <c r="X3581">
        <v>11</v>
      </c>
      <c r="Y3581" t="s">
        <v>23337</v>
      </c>
      <c r="Z3581" t="s">
        <v>29911</v>
      </c>
      <c r="AA3581">
        <v>0.23868548665355591</v>
      </c>
      <c r="AB3581" t="str">
        <f>HYPERLINK("Melting_Curves/meltCurve_Q15126_PMVK.pdf", "Melting_Curves/meltCurve_Q15126_PMVK.pdf")</f>
        <v>Melting_Curves/meltCurve_Q15126_PMVK.pdf</v>
      </c>
    </row>
    <row r="3582" spans="1:28" x14ac:dyDescent="0.25">
      <c r="A3582" t="s">
        <v>3586</v>
      </c>
      <c r="B3582">
        <v>0.99252571173614901</v>
      </c>
      <c r="C3582">
        <v>0.89795336265572301</v>
      </c>
      <c r="D3582">
        <v>0.783820910285838</v>
      </c>
      <c r="E3582">
        <v>0.49899188603351202</v>
      </c>
      <c r="F3582">
        <v>0.20664454489648701</v>
      </c>
      <c r="G3582">
        <v>0.12820845758642199</v>
      </c>
      <c r="H3582">
        <v>0.13637194894360299</v>
      </c>
      <c r="I3582">
        <v>0.129900882399416</v>
      </c>
      <c r="J3582">
        <v>0.16596819049574801</v>
      </c>
      <c r="K3582">
        <v>0.15246195521526501</v>
      </c>
      <c r="L3582">
        <v>1021.98118006094</v>
      </c>
      <c r="M3582">
        <v>21.091306950207802</v>
      </c>
      <c r="N3582">
        <v>49.149121555982298</v>
      </c>
      <c r="O3582">
        <v>48.025799990825298</v>
      </c>
      <c r="P3582">
        <v>-9.5654466675517205E-2</v>
      </c>
      <c r="Q3582">
        <v>0.128785803658446</v>
      </c>
      <c r="R3582">
        <v>0.99246807943571302</v>
      </c>
      <c r="S3582" t="s">
        <v>10228</v>
      </c>
      <c r="T3582" t="s">
        <v>13290</v>
      </c>
      <c r="U3582" t="s">
        <v>13290</v>
      </c>
      <c r="V3582" t="s">
        <v>13290</v>
      </c>
      <c r="W3582" t="s">
        <v>16828</v>
      </c>
      <c r="X3582">
        <v>7</v>
      </c>
      <c r="Y3582" t="s">
        <v>23338</v>
      </c>
      <c r="Z3582" t="s">
        <v>29912</v>
      </c>
      <c r="AA3582">
        <v>0.38532028362867399</v>
      </c>
      <c r="AB3582" t="str">
        <f>HYPERLINK("Melting_Curves/meltCurve_Q15139_PRKD1.pdf", "Melting_Curves/meltCurve_Q15139_PRKD1.pdf")</f>
        <v>Melting_Curves/meltCurve_Q15139_PRKD1.pdf</v>
      </c>
    </row>
    <row r="3583" spans="1:28" x14ac:dyDescent="0.25">
      <c r="A3583" t="s">
        <v>3587</v>
      </c>
      <c r="B3583">
        <v>0.99252571173614901</v>
      </c>
      <c r="C3583">
        <v>0.935836813258625</v>
      </c>
      <c r="D3583">
        <v>0.79577571169500905</v>
      </c>
      <c r="E3583">
        <v>0.52879609911773895</v>
      </c>
      <c r="F3583">
        <v>0.255902237851934</v>
      </c>
      <c r="G3583">
        <v>0.149585556326613</v>
      </c>
      <c r="H3583">
        <v>0.118703736858515</v>
      </c>
      <c r="I3583">
        <v>0.13234970545184399</v>
      </c>
      <c r="J3583">
        <v>0.16038220209250401</v>
      </c>
      <c r="K3583">
        <v>0.15733441455768299</v>
      </c>
      <c r="L3583">
        <v>1001.29361026461</v>
      </c>
      <c r="M3583">
        <v>20.483031906607302</v>
      </c>
      <c r="N3583">
        <v>49.609105247388499</v>
      </c>
      <c r="O3583">
        <v>48.425269627684301</v>
      </c>
      <c r="P3583">
        <v>-9.2069506302108195E-2</v>
      </c>
      <c r="Q3583">
        <v>0.129355744083723</v>
      </c>
      <c r="R3583">
        <v>0.99624084137617896</v>
      </c>
      <c r="S3583" t="s">
        <v>10229</v>
      </c>
      <c r="T3583" t="s">
        <v>13290</v>
      </c>
      <c r="U3583" t="s">
        <v>13290</v>
      </c>
      <c r="V3583" t="s">
        <v>13290</v>
      </c>
      <c r="W3583" t="s">
        <v>16829</v>
      </c>
      <c r="X3583">
        <v>103</v>
      </c>
      <c r="Y3583" t="s">
        <v>23339</v>
      </c>
      <c r="Z3583" t="s">
        <v>29913</v>
      </c>
      <c r="AA3583">
        <v>0.39881190994218252</v>
      </c>
      <c r="AB3583" t="str">
        <f>HYPERLINK("Melting_Curves/meltCurve_Q15149_4_PLEC.pdf", "Melting_Curves/meltCurve_Q15149_4_PLEC.pdf")</f>
        <v>Melting_Curves/meltCurve_Q15149_4_PLEC.pdf</v>
      </c>
    </row>
    <row r="3584" spans="1:28" x14ac:dyDescent="0.25">
      <c r="A3584" t="s">
        <v>3588</v>
      </c>
      <c r="B3584">
        <v>0.99252571173614901</v>
      </c>
      <c r="C3584">
        <v>1.00186948493816</v>
      </c>
      <c r="D3584">
        <v>0.92630661832483596</v>
      </c>
      <c r="E3584">
        <v>1.0282779271376601</v>
      </c>
      <c r="F3584">
        <v>0.27674440099560299</v>
      </c>
      <c r="G3584">
        <v>0.109732361856118</v>
      </c>
      <c r="H3584">
        <v>6.9662107647699104E-2</v>
      </c>
      <c r="I3584">
        <v>6.3313748140497006E-2</v>
      </c>
      <c r="J3584">
        <v>7.8221040535253694E-2</v>
      </c>
      <c r="K3584">
        <v>6.5984510006337704E-2</v>
      </c>
      <c r="L3584">
        <v>13231.444243829999</v>
      </c>
      <c r="M3584">
        <v>250</v>
      </c>
      <c r="N3584">
        <v>52.961383231189998</v>
      </c>
      <c r="O3584">
        <v>52.9224057112176</v>
      </c>
      <c r="P3584">
        <v>-1.08958757158953</v>
      </c>
      <c r="Q3584">
        <v>7.7382744043598697E-2</v>
      </c>
      <c r="R3584">
        <v>0.99590124775280797</v>
      </c>
      <c r="S3584" t="s">
        <v>10230</v>
      </c>
      <c r="T3584" t="s">
        <v>13290</v>
      </c>
      <c r="U3584" t="s">
        <v>13290</v>
      </c>
      <c r="V3584" t="s">
        <v>13290</v>
      </c>
      <c r="W3584" t="s">
        <v>16830</v>
      </c>
      <c r="X3584">
        <v>40</v>
      </c>
      <c r="Y3584" t="s">
        <v>23340</v>
      </c>
      <c r="Z3584" t="s">
        <v>29914</v>
      </c>
      <c r="AA3584">
        <v>0.47498660314874619</v>
      </c>
      <c r="AB3584" t="str">
        <f>HYPERLINK("Melting_Curves/meltCurve_Q15155_NOMO1.pdf", "Melting_Curves/meltCurve_Q15155_NOMO1.pdf")</f>
        <v>Melting_Curves/meltCurve_Q15155_NOMO1.pdf</v>
      </c>
    </row>
    <row r="3585" spans="1:28" x14ac:dyDescent="0.25">
      <c r="A3585" t="s">
        <v>3589</v>
      </c>
      <c r="B3585">
        <v>0.99252571173614901</v>
      </c>
      <c r="C3585">
        <v>1.06542163604329</v>
      </c>
      <c r="D3585">
        <v>0.92352849887944</v>
      </c>
      <c r="E3585">
        <v>0.88133789547158004</v>
      </c>
      <c r="F3585">
        <v>0.59903342075948596</v>
      </c>
      <c r="G3585">
        <v>0.49231268609404699</v>
      </c>
      <c r="H3585">
        <v>0.516010376308779</v>
      </c>
      <c r="I3585">
        <v>0.67552873505405597</v>
      </c>
      <c r="J3585">
        <v>1.01971894490324</v>
      </c>
      <c r="K3585">
        <v>1.2408115819722501</v>
      </c>
      <c r="L3585">
        <v>12402.223212167301</v>
      </c>
      <c r="M3585">
        <v>250</v>
      </c>
      <c r="O3585">
        <v>49.605718223217998</v>
      </c>
      <c r="P3585">
        <v>-0.305867007279155</v>
      </c>
      <c r="Q3585">
        <v>0.75723595912631303</v>
      </c>
      <c r="R3585">
        <v>0.19376200541532401</v>
      </c>
      <c r="S3585" t="s">
        <v>10231</v>
      </c>
      <c r="T3585" t="s">
        <v>13290</v>
      </c>
      <c r="U3585" t="s">
        <v>13290</v>
      </c>
      <c r="V3585" t="s">
        <v>13290</v>
      </c>
      <c r="W3585" t="s">
        <v>16831</v>
      </c>
      <c r="X3585">
        <v>7</v>
      </c>
      <c r="Y3585" t="s">
        <v>23341</v>
      </c>
      <c r="Z3585" t="s">
        <v>29915</v>
      </c>
      <c r="AA3585">
        <v>0.83501355006075306</v>
      </c>
      <c r="AB3585" t="str">
        <f>HYPERLINK("Melting_Curves/meltCurve_Q15170_2_TCEAL1.pdf", "Melting_Curves/meltCurve_Q15170_2_TCEAL1.pdf")</f>
        <v>Melting_Curves/meltCurve_Q15170_2_TCEAL1.pdf</v>
      </c>
    </row>
    <row r="3586" spans="1:28" x14ac:dyDescent="0.25">
      <c r="A3586" t="s">
        <v>3590</v>
      </c>
      <c r="B3586">
        <v>0.99252571173614901</v>
      </c>
      <c r="C3586">
        <v>0.90022056221106495</v>
      </c>
      <c r="D3586">
        <v>0.832603427032787</v>
      </c>
      <c r="E3586">
        <v>0.38914210364970397</v>
      </c>
      <c r="F3586">
        <v>0.109633899802146</v>
      </c>
      <c r="G3586">
        <v>6.74131144310844E-2</v>
      </c>
      <c r="H3586">
        <v>4.9829657459237502E-2</v>
      </c>
      <c r="I3586">
        <v>5.58934093711927E-2</v>
      </c>
      <c r="J3586">
        <v>5.4337929431644998E-2</v>
      </c>
      <c r="K3586">
        <v>4.9453110727721197E-2</v>
      </c>
      <c r="L3586">
        <v>1277.4232665859299</v>
      </c>
      <c r="M3586">
        <v>26.3522824868935</v>
      </c>
      <c r="N3586">
        <v>48.657110944677598</v>
      </c>
      <c r="O3586">
        <v>48.1982976619909</v>
      </c>
      <c r="P3586">
        <v>-0.130264661870513</v>
      </c>
      <c r="Q3586">
        <v>4.6994663183784598E-2</v>
      </c>
      <c r="R3586">
        <v>0.99598998736339495</v>
      </c>
      <c r="S3586" t="s">
        <v>10232</v>
      </c>
      <c r="T3586" t="s">
        <v>13290</v>
      </c>
      <c r="U3586" t="s">
        <v>13290</v>
      </c>
      <c r="V3586" t="s">
        <v>13290</v>
      </c>
      <c r="W3586" t="s">
        <v>16832</v>
      </c>
      <c r="X3586">
        <v>6</v>
      </c>
      <c r="Y3586" t="s">
        <v>23342</v>
      </c>
      <c r="Z3586" t="s">
        <v>29916</v>
      </c>
      <c r="AA3586">
        <v>0.32376070517310301</v>
      </c>
      <c r="AB3586" t="str">
        <f>HYPERLINK("Melting_Curves/meltCurve_Q15172_PPP2R5A.pdf", "Melting_Curves/meltCurve_Q15172_PPP2R5A.pdf")</f>
        <v>Melting_Curves/meltCurve_Q15172_PPP2R5A.pdf</v>
      </c>
    </row>
    <row r="3587" spans="1:28" x14ac:dyDescent="0.25">
      <c r="A3587" t="s">
        <v>3591</v>
      </c>
      <c r="B3587">
        <v>0.99252571173614901</v>
      </c>
      <c r="C3587">
        <v>1.05143369786765</v>
      </c>
      <c r="D3587">
        <v>0.98961468858166801</v>
      </c>
      <c r="E3587">
        <v>0.87607197550515903</v>
      </c>
      <c r="F3587">
        <v>0.87270842042146501</v>
      </c>
      <c r="G3587">
        <v>0.73611156495782903</v>
      </c>
      <c r="H3587">
        <v>0.59379026014171898</v>
      </c>
      <c r="I3587">
        <v>0.34883572565663601</v>
      </c>
      <c r="J3587">
        <v>0.113763506120748</v>
      </c>
      <c r="K3587">
        <v>0.102092974499347</v>
      </c>
      <c r="L3587">
        <v>943.43416138591397</v>
      </c>
      <c r="M3587">
        <v>15.462641635830501</v>
      </c>
      <c r="N3587">
        <v>61.013785666823999</v>
      </c>
      <c r="O3587">
        <v>60.020611825924099</v>
      </c>
      <c r="P3587">
        <v>-6.4411335376126796E-2</v>
      </c>
      <c r="Q3587">
        <v>0</v>
      </c>
      <c r="R3587">
        <v>0.97624551506998303</v>
      </c>
      <c r="S3587" t="s">
        <v>10233</v>
      </c>
      <c r="T3587" t="s">
        <v>13290</v>
      </c>
      <c r="U3587" t="s">
        <v>13290</v>
      </c>
      <c r="V3587" t="s">
        <v>13290</v>
      </c>
      <c r="W3587" t="s">
        <v>16833</v>
      </c>
      <c r="X3587">
        <v>27</v>
      </c>
      <c r="Y3587" t="s">
        <v>23343</v>
      </c>
      <c r="Z3587" t="s">
        <v>29917</v>
      </c>
      <c r="AA3587">
        <v>0.7034887129563806</v>
      </c>
      <c r="AB3587" t="str">
        <f>HYPERLINK("Melting_Curves/meltCurve_Q15181_PPA1.pdf", "Melting_Curves/meltCurve_Q15181_PPA1.pdf")</f>
        <v>Melting_Curves/meltCurve_Q15181_PPA1.pdf</v>
      </c>
    </row>
    <row r="3588" spans="1:28" x14ac:dyDescent="0.25">
      <c r="A3588" t="s">
        <v>3592</v>
      </c>
      <c r="B3588">
        <v>0.99252571173614901</v>
      </c>
      <c r="C3588">
        <v>0.98033020298632501</v>
      </c>
      <c r="D3588">
        <v>0.702969390560232</v>
      </c>
      <c r="E3588">
        <v>0.32345363889265</v>
      </c>
      <c r="F3588">
        <v>0.12275207099633299</v>
      </c>
      <c r="G3588">
        <v>7.1777889549374904E-2</v>
      </c>
      <c r="H3588">
        <v>6.0886599825599699E-2</v>
      </c>
      <c r="I3588">
        <v>7.5094011140541594E-2</v>
      </c>
      <c r="J3588">
        <v>9.3460603215830093E-2</v>
      </c>
      <c r="K3588">
        <v>0.113784299628009</v>
      </c>
      <c r="L3588">
        <v>1251.4237506894401</v>
      </c>
      <c r="M3588">
        <v>26.3586629669072</v>
      </c>
      <c r="N3588">
        <v>47.793318457399799</v>
      </c>
      <c r="O3588">
        <v>47.206013364515897</v>
      </c>
      <c r="P3588">
        <v>-0.12841320702153</v>
      </c>
      <c r="Q3588">
        <v>8.01036416488103E-2</v>
      </c>
      <c r="R3588">
        <v>0.99693325425654</v>
      </c>
      <c r="S3588" t="s">
        <v>10234</v>
      </c>
      <c r="T3588" t="s">
        <v>13290</v>
      </c>
      <c r="U3588" t="s">
        <v>13290</v>
      </c>
      <c r="V3588" t="s">
        <v>13290</v>
      </c>
      <c r="W3588" t="s">
        <v>16834</v>
      </c>
      <c r="X3588">
        <v>9</v>
      </c>
      <c r="Y3588" t="s">
        <v>23344</v>
      </c>
      <c r="Z3588" t="s">
        <v>29918</v>
      </c>
      <c r="AA3588">
        <v>0.31664038971215802</v>
      </c>
      <c r="AB3588" t="str">
        <f>HYPERLINK("Melting_Curves/meltCurve_Q15208_STK38.pdf", "Melting_Curves/meltCurve_Q15208_STK38.pdf")</f>
        <v>Melting_Curves/meltCurve_Q15208_STK38.pdf</v>
      </c>
    </row>
    <row r="3589" spans="1:28" x14ac:dyDescent="0.25">
      <c r="A3589" t="s">
        <v>3593</v>
      </c>
      <c r="B3589">
        <v>0.99252571173614901</v>
      </c>
      <c r="C3589">
        <v>0.95247260505362097</v>
      </c>
      <c r="D3589">
        <v>0.85290934366024596</v>
      </c>
      <c r="E3589">
        <v>0.72174585403430902</v>
      </c>
      <c r="F3589">
        <v>0.64676003804034499</v>
      </c>
      <c r="G3589">
        <v>0.521873406387942</v>
      </c>
      <c r="H3589">
        <v>0.49074660246921797</v>
      </c>
      <c r="I3589">
        <v>0.54179184612888098</v>
      </c>
      <c r="J3589">
        <v>0.76449059987567003</v>
      </c>
      <c r="K3589">
        <v>0.75934209440005596</v>
      </c>
      <c r="L3589">
        <v>1141.5773183584899</v>
      </c>
      <c r="M3589">
        <v>24.309069985035801</v>
      </c>
      <c r="O3589">
        <v>46.646635472896698</v>
      </c>
      <c r="P3589">
        <v>-4.9691111217692902E-2</v>
      </c>
      <c r="Q3589">
        <v>0.61859704573787</v>
      </c>
      <c r="R3589">
        <v>0.73099597120835502</v>
      </c>
      <c r="S3589" t="s">
        <v>10235</v>
      </c>
      <c r="T3589" t="s">
        <v>13290</v>
      </c>
      <c r="U3589" t="s">
        <v>13290</v>
      </c>
      <c r="V3589" t="s">
        <v>13290</v>
      </c>
      <c r="W3589" t="s">
        <v>16835</v>
      </c>
      <c r="X3589">
        <v>8</v>
      </c>
      <c r="Y3589" t="s">
        <v>23345</v>
      </c>
      <c r="Z3589" t="s">
        <v>29919</v>
      </c>
      <c r="AA3589">
        <v>0.71072074049748402</v>
      </c>
      <c r="AB3589" t="str">
        <f>HYPERLINK("Melting_Curves/meltCurve_Q15223_PVRL1.pdf", "Melting_Curves/meltCurve_Q15223_PVRL1.pdf")</f>
        <v>Melting_Curves/meltCurve_Q15223_PVRL1.pdf</v>
      </c>
    </row>
    <row r="3590" spans="1:28" x14ac:dyDescent="0.25">
      <c r="A3590" t="s">
        <v>3594</v>
      </c>
      <c r="B3590">
        <v>0.99252571173614901</v>
      </c>
      <c r="C3590">
        <v>0.89918982777548995</v>
      </c>
      <c r="D3590">
        <v>0.35235174736001001</v>
      </c>
      <c r="E3590">
        <v>0.15406682080564399</v>
      </c>
      <c r="F3590">
        <v>8.5460194253763999E-2</v>
      </c>
      <c r="G3590">
        <v>4.9657012660547999E-2</v>
      </c>
      <c r="H3590">
        <v>4.0018111132069198E-2</v>
      </c>
      <c r="I3590">
        <v>4.5295766035861398E-2</v>
      </c>
      <c r="J3590">
        <v>5.2423387998032402E-2</v>
      </c>
      <c r="K3590">
        <v>5.6289563698750301E-2</v>
      </c>
      <c r="L3590">
        <v>1678.8387403413501</v>
      </c>
      <c r="M3590">
        <v>37.208831279663798</v>
      </c>
      <c r="N3590">
        <v>45.281198381847602</v>
      </c>
      <c r="O3590">
        <v>44.989643337234</v>
      </c>
      <c r="P3590">
        <v>-0.193890618637653</v>
      </c>
      <c r="Q3590">
        <v>6.22609841187119E-2</v>
      </c>
      <c r="R3590">
        <v>0.99522040884579099</v>
      </c>
      <c r="S3590" t="s">
        <v>10236</v>
      </c>
      <c r="T3590" t="s">
        <v>13290</v>
      </c>
      <c r="U3590" t="s">
        <v>13290</v>
      </c>
      <c r="V3590" t="s">
        <v>13290</v>
      </c>
      <c r="W3590" t="s">
        <v>16836</v>
      </c>
      <c r="X3590">
        <v>47</v>
      </c>
      <c r="Y3590" t="s">
        <v>23346</v>
      </c>
      <c r="Z3590" t="s">
        <v>29920</v>
      </c>
      <c r="AA3590">
        <v>0.22590940045935259</v>
      </c>
      <c r="AB3590" t="str">
        <f>HYPERLINK("Melting_Curves/meltCurve_Q15233_NONO.pdf", "Melting_Curves/meltCurve_Q15233_NONO.pdf")</f>
        <v>Melting_Curves/meltCurve_Q15233_NONO.pdf</v>
      </c>
    </row>
    <row r="3591" spans="1:28" x14ac:dyDescent="0.25">
      <c r="A3591" t="s">
        <v>3595</v>
      </c>
      <c r="B3591">
        <v>0.99252571173614901</v>
      </c>
      <c r="C3591">
        <v>1.10717626369799</v>
      </c>
      <c r="D3591">
        <v>1.0065662457743401</v>
      </c>
      <c r="E3591">
        <v>0.87154843767298695</v>
      </c>
      <c r="F3591">
        <v>0.74647297049922301</v>
      </c>
      <c r="G3591">
        <v>0.35245923711427701</v>
      </c>
      <c r="H3591">
        <v>0.142144691341793</v>
      </c>
      <c r="I3591">
        <v>0.15649574594935001</v>
      </c>
      <c r="J3591">
        <v>0.149916316222408</v>
      </c>
      <c r="K3591">
        <v>0.12744148618847501</v>
      </c>
      <c r="L3591">
        <v>1451.05021892493</v>
      </c>
      <c r="M3591">
        <v>26.553577501933599</v>
      </c>
      <c r="N3591">
        <v>55.240955347407798</v>
      </c>
      <c r="O3591">
        <v>54.339019258768701</v>
      </c>
      <c r="P3591">
        <v>-0.10697716138404301</v>
      </c>
      <c r="Q3591">
        <v>0.12434057374162701</v>
      </c>
      <c r="R3591">
        <v>0.98689679646251904</v>
      </c>
      <c r="S3591" t="s">
        <v>10237</v>
      </c>
      <c r="T3591" t="s">
        <v>13290</v>
      </c>
      <c r="U3591" t="s">
        <v>13290</v>
      </c>
      <c r="V3591" t="s">
        <v>13290</v>
      </c>
      <c r="W3591" t="s">
        <v>16837</v>
      </c>
      <c r="X3591">
        <v>17</v>
      </c>
      <c r="Y3591" t="s">
        <v>23347</v>
      </c>
      <c r="Z3591" t="s">
        <v>29921</v>
      </c>
      <c r="AA3591">
        <v>0.55911424749017946</v>
      </c>
      <c r="AB3591" t="str">
        <f>HYPERLINK("Melting_Curves/meltCurve_Q15257_PPP2R4.pdf", "Melting_Curves/meltCurve_Q15257_PPP2R4.pdf")</f>
        <v>Melting_Curves/meltCurve_Q15257_PPP2R4.pdf</v>
      </c>
    </row>
    <row r="3592" spans="1:28" x14ac:dyDescent="0.25">
      <c r="A3592" t="s">
        <v>3596</v>
      </c>
      <c r="B3592">
        <v>0.99252571173614901</v>
      </c>
      <c r="C3592">
        <v>1.0364354360099599</v>
      </c>
      <c r="D3592">
        <v>1.3440745440898001</v>
      </c>
      <c r="E3592">
        <v>0.87453230498327195</v>
      </c>
      <c r="F3592">
        <v>0.28473002797610902</v>
      </c>
      <c r="G3592">
        <v>0.17001896895295601</v>
      </c>
      <c r="H3592">
        <v>0.10729056231117499</v>
      </c>
      <c r="I3592">
        <v>0.110497300377963</v>
      </c>
      <c r="J3592">
        <v>0.13507542493111799</v>
      </c>
      <c r="K3592">
        <v>0.13431229084258201</v>
      </c>
      <c r="L3592">
        <v>2555.4488062756</v>
      </c>
      <c r="M3592">
        <v>49.5919453368709</v>
      </c>
      <c r="N3592">
        <v>51.8440132264288</v>
      </c>
      <c r="O3592">
        <v>51.445932013426301</v>
      </c>
      <c r="P3592">
        <v>-0.209685815571203</v>
      </c>
      <c r="Q3592">
        <v>0.12990125491655699</v>
      </c>
      <c r="R3592">
        <v>0.94139909327689497</v>
      </c>
      <c r="S3592" t="s">
        <v>10238</v>
      </c>
      <c r="T3592" t="s">
        <v>13290</v>
      </c>
      <c r="U3592" t="s">
        <v>13290</v>
      </c>
      <c r="V3592" t="s">
        <v>13290</v>
      </c>
      <c r="W3592" t="s">
        <v>16838</v>
      </c>
      <c r="X3592">
        <v>9</v>
      </c>
      <c r="Y3592" t="s">
        <v>23348</v>
      </c>
      <c r="Z3592" t="s">
        <v>29922</v>
      </c>
      <c r="AA3592">
        <v>0.46630557166563752</v>
      </c>
      <c r="AB3592" t="str">
        <f>HYPERLINK("Melting_Curves/meltCurve_Q15269_PWP2.pdf", "Melting_Curves/meltCurve_Q15269_PWP2.pdf")</f>
        <v>Melting_Curves/meltCurve_Q15269_PWP2.pdf</v>
      </c>
    </row>
    <row r="3593" spans="1:28" x14ac:dyDescent="0.25">
      <c r="A3593" t="s">
        <v>3597</v>
      </c>
      <c r="B3593">
        <v>0.99252571173614901</v>
      </c>
      <c r="C3593">
        <v>0.93729913243470298</v>
      </c>
      <c r="D3593">
        <v>1.0787812837390001</v>
      </c>
      <c r="E3593">
        <v>0.93639363475163895</v>
      </c>
      <c r="F3593">
        <v>1.1359803652898901</v>
      </c>
      <c r="G3593">
        <v>0.75658828118815302</v>
      </c>
      <c r="H3593">
        <v>0.62765427715853905</v>
      </c>
      <c r="I3593">
        <v>0.80786136442789303</v>
      </c>
      <c r="J3593">
        <v>0.98057067359811301</v>
      </c>
      <c r="K3593">
        <v>1.5067922586457101</v>
      </c>
      <c r="L3593">
        <v>15000</v>
      </c>
      <c r="M3593">
        <v>218.63123527428701</v>
      </c>
      <c r="O3593">
        <v>68.602937692313105</v>
      </c>
      <c r="P3593">
        <v>0.39836347438316799</v>
      </c>
      <c r="Q3593">
        <v>1.5</v>
      </c>
      <c r="R3593">
        <v>0.48316710048147199</v>
      </c>
      <c r="S3593" t="s">
        <v>10239</v>
      </c>
      <c r="T3593" t="s">
        <v>13290</v>
      </c>
      <c r="U3593" t="s">
        <v>13290</v>
      </c>
      <c r="V3593" t="s">
        <v>13290</v>
      </c>
      <c r="W3593" t="s">
        <v>16839</v>
      </c>
      <c r="X3593">
        <v>4</v>
      </c>
      <c r="Y3593" t="s">
        <v>23349</v>
      </c>
      <c r="Z3593" t="s">
        <v>29923</v>
      </c>
      <c r="AA3593">
        <v>1.0231807758806619</v>
      </c>
      <c r="AB3593" t="str">
        <f>HYPERLINK("Melting_Curves/meltCurve_Q15274_QPRT.pdf", "Melting_Curves/meltCurve_Q15274_QPRT.pdf")</f>
        <v>Melting_Curves/meltCurve_Q15274_QPRT.pdf</v>
      </c>
    </row>
    <row r="3594" spans="1:28" x14ac:dyDescent="0.25">
      <c r="A3594" t="s">
        <v>3598</v>
      </c>
      <c r="B3594">
        <v>0.99252571173614901</v>
      </c>
      <c r="C3594">
        <v>1.0061769532549301</v>
      </c>
      <c r="D3594">
        <v>0.91529981033845897</v>
      </c>
      <c r="E3594">
        <v>0.65167345468637805</v>
      </c>
      <c r="F3594">
        <v>0.18661911702716899</v>
      </c>
      <c r="G3594">
        <v>0.12557162797575999</v>
      </c>
      <c r="H3594">
        <v>0.10552063505981001</v>
      </c>
      <c r="I3594">
        <v>0.124371865784104</v>
      </c>
      <c r="J3594">
        <v>0.16872374726042799</v>
      </c>
      <c r="K3594">
        <v>0.18757095358015199</v>
      </c>
      <c r="L3594">
        <v>2013.1873403931399</v>
      </c>
      <c r="M3594">
        <v>40.267289610855201</v>
      </c>
      <c r="N3594">
        <v>50.399099607485802</v>
      </c>
      <c r="O3594">
        <v>49.872772607653097</v>
      </c>
      <c r="P3594">
        <v>-0.17403821543222001</v>
      </c>
      <c r="Q3594">
        <v>0.137786472168104</v>
      </c>
      <c r="R3594">
        <v>0.99336010817551901</v>
      </c>
      <c r="S3594" t="s">
        <v>10240</v>
      </c>
      <c r="T3594" t="s">
        <v>13290</v>
      </c>
      <c r="U3594" t="s">
        <v>13290</v>
      </c>
      <c r="V3594" t="s">
        <v>13290</v>
      </c>
      <c r="W3594" t="s">
        <v>16840</v>
      </c>
      <c r="X3594">
        <v>23</v>
      </c>
      <c r="Y3594" t="s">
        <v>23350</v>
      </c>
      <c r="Z3594" t="s">
        <v>29924</v>
      </c>
      <c r="AA3594">
        <v>0.42800547480610912</v>
      </c>
      <c r="AB3594" t="str">
        <f>HYPERLINK("Melting_Curves/meltCurve_Q15276_RABEP1.pdf", "Melting_Curves/meltCurve_Q15276_RABEP1.pdf")</f>
        <v>Melting_Curves/meltCurve_Q15276_RABEP1.pdf</v>
      </c>
    </row>
    <row r="3595" spans="1:28" x14ac:dyDescent="0.25">
      <c r="A3595" t="s">
        <v>3599</v>
      </c>
      <c r="B3595">
        <v>0.99252571173614901</v>
      </c>
      <c r="C3595">
        <v>0.96803721316682501</v>
      </c>
      <c r="D3595">
        <v>0.52349560804283801</v>
      </c>
      <c r="E3595">
        <v>0.18142311805566</v>
      </c>
      <c r="F3595">
        <v>0.144687559974539</v>
      </c>
      <c r="G3595">
        <v>7.6577519257072194E-2</v>
      </c>
      <c r="H3595">
        <v>3.1383551523753203E-2</v>
      </c>
      <c r="I3595">
        <v>3.67250233022101E-2</v>
      </c>
      <c r="J3595">
        <v>2.8582704207167402E-2</v>
      </c>
      <c r="K3595">
        <v>3.4784243245142503E-2</v>
      </c>
      <c r="L3595">
        <v>1392.7935454426599</v>
      </c>
      <c r="M3595">
        <v>30.164978483101599</v>
      </c>
      <c r="N3595">
        <v>46.356444248125797</v>
      </c>
      <c r="O3595">
        <v>45.971020301475697</v>
      </c>
      <c r="P3595">
        <v>-0.154793397358262</v>
      </c>
      <c r="Q3595">
        <v>5.63934611213169E-2</v>
      </c>
      <c r="R3595">
        <v>0.99113929652533606</v>
      </c>
      <c r="S3595" t="s">
        <v>10241</v>
      </c>
      <c r="T3595" t="s">
        <v>13290</v>
      </c>
      <c r="U3595" t="s">
        <v>13290</v>
      </c>
      <c r="V3595" t="s">
        <v>13290</v>
      </c>
      <c r="W3595" t="s">
        <v>16841</v>
      </c>
      <c r="X3595">
        <v>4</v>
      </c>
      <c r="Y3595" t="s">
        <v>23351</v>
      </c>
      <c r="Z3595" t="s">
        <v>29925</v>
      </c>
      <c r="AA3595">
        <v>0.25619480546449741</v>
      </c>
      <c r="AB3595" t="str">
        <f>HYPERLINK("Melting_Curves/meltCurve_Q15283_2_RASA2.pdf", "Melting_Curves/meltCurve_Q15283_2_RASA2.pdf")</f>
        <v>Melting_Curves/meltCurve_Q15283_2_RASA2.pdf</v>
      </c>
    </row>
    <row r="3596" spans="1:28" x14ac:dyDescent="0.25">
      <c r="A3596" t="s">
        <v>3600</v>
      </c>
      <c r="B3596">
        <v>0.99252571173614901</v>
      </c>
      <c r="C3596">
        <v>0.99378562408438698</v>
      </c>
      <c r="D3596">
        <v>0.92504633779830903</v>
      </c>
      <c r="E3596">
        <v>0.80482398294184498</v>
      </c>
      <c r="F3596">
        <v>0.71623236325893702</v>
      </c>
      <c r="G3596">
        <v>0.48237139640717502</v>
      </c>
      <c r="H3596">
        <v>0.29101346196489503</v>
      </c>
      <c r="I3596">
        <v>0.14654744443928999</v>
      </c>
      <c r="J3596">
        <v>0.121952272587477</v>
      </c>
      <c r="K3596">
        <v>0.131259252994118</v>
      </c>
      <c r="L3596">
        <v>714.42592127739704</v>
      </c>
      <c r="M3596">
        <v>12.725937962424499</v>
      </c>
      <c r="N3596">
        <v>56.3376251645076</v>
      </c>
      <c r="O3596">
        <v>54.807281270523397</v>
      </c>
      <c r="P3596">
        <v>-5.6788256817478698E-2</v>
      </c>
      <c r="Q3596">
        <v>2.18994090804253E-2</v>
      </c>
      <c r="R3596">
        <v>0.99399685474048705</v>
      </c>
      <c r="S3596" t="s">
        <v>10242</v>
      </c>
      <c r="T3596" t="s">
        <v>13290</v>
      </c>
      <c r="U3596" t="s">
        <v>13290</v>
      </c>
      <c r="V3596" t="s">
        <v>13290</v>
      </c>
      <c r="W3596" t="s">
        <v>16842</v>
      </c>
      <c r="X3596">
        <v>15</v>
      </c>
      <c r="Y3596" t="s">
        <v>23352</v>
      </c>
      <c r="Z3596" t="s">
        <v>29926</v>
      </c>
      <c r="AA3596">
        <v>0.56712326739641905</v>
      </c>
      <c r="AB3596" t="str">
        <f>HYPERLINK("Melting_Curves/meltCurve_Q15286_RAB35.pdf", "Melting_Curves/meltCurve_Q15286_RAB35.pdf")</f>
        <v>Melting_Curves/meltCurve_Q15286_RAB35.pdf</v>
      </c>
    </row>
    <row r="3597" spans="1:28" x14ac:dyDescent="0.25">
      <c r="A3597" t="s">
        <v>3601</v>
      </c>
      <c r="B3597">
        <v>0.99252571173614901</v>
      </c>
      <c r="C3597">
        <v>1.03146006090586</v>
      </c>
      <c r="D3597">
        <v>1.1183161779995701</v>
      </c>
      <c r="E3597">
        <v>1.12630639840765</v>
      </c>
      <c r="F3597">
        <v>1.03360067897506</v>
      </c>
      <c r="G3597">
        <v>1.0984387542919101</v>
      </c>
      <c r="H3597">
        <v>1.1322896826320901</v>
      </c>
      <c r="I3597">
        <v>1.15692523986042</v>
      </c>
      <c r="J3597">
        <v>0.94334532189853804</v>
      </c>
      <c r="K3597">
        <v>0.482650393059185</v>
      </c>
      <c r="L3597">
        <v>15000</v>
      </c>
      <c r="M3597">
        <v>221.450237175674</v>
      </c>
      <c r="N3597">
        <v>68.772004782821497</v>
      </c>
      <c r="O3597">
        <v>67.729784355381199</v>
      </c>
      <c r="P3597">
        <v>-0.423210513857325</v>
      </c>
      <c r="Q3597">
        <v>0.48225015432491802</v>
      </c>
      <c r="R3597">
        <v>0.76251039002811904</v>
      </c>
      <c r="S3597" t="s">
        <v>10243</v>
      </c>
      <c r="T3597" t="s">
        <v>13290</v>
      </c>
      <c r="U3597" t="s">
        <v>13290</v>
      </c>
      <c r="V3597" t="s">
        <v>13290</v>
      </c>
      <c r="W3597" t="s">
        <v>16843</v>
      </c>
      <c r="X3597">
        <v>25</v>
      </c>
      <c r="Y3597" t="s">
        <v>23353</v>
      </c>
      <c r="Z3597" t="s">
        <v>29927</v>
      </c>
      <c r="AA3597">
        <v>0.96098924437413291</v>
      </c>
      <c r="AB3597" t="str">
        <f>HYPERLINK("Melting_Curves/meltCurve_Q15291_RBBP5.pdf", "Melting_Curves/meltCurve_Q15291_RBBP5.pdf")</f>
        <v>Melting_Curves/meltCurve_Q15291_RBBP5.pdf</v>
      </c>
    </row>
    <row r="3598" spans="1:28" x14ac:dyDescent="0.25">
      <c r="A3598" t="s">
        <v>3602</v>
      </c>
      <c r="B3598">
        <v>0.99252571173614901</v>
      </c>
      <c r="C3598">
        <v>1.0120728702552699</v>
      </c>
      <c r="D3598">
        <v>0.85849420529468801</v>
      </c>
      <c r="E3598">
        <v>0.63194031838960596</v>
      </c>
      <c r="F3598">
        <v>0.49729134567411398</v>
      </c>
      <c r="G3598">
        <v>0.35029242714648701</v>
      </c>
      <c r="H3598">
        <v>0.32320280753130498</v>
      </c>
      <c r="I3598">
        <v>0.45152989917255099</v>
      </c>
      <c r="J3598">
        <v>0.75239724192829904</v>
      </c>
      <c r="K3598">
        <v>0.86388275035115902</v>
      </c>
      <c r="L3598">
        <v>1740.29159250717</v>
      </c>
      <c r="M3598">
        <v>36.898167266976898</v>
      </c>
      <c r="O3598">
        <v>47.026801862097301</v>
      </c>
      <c r="P3598">
        <v>-8.9867468046292295E-2</v>
      </c>
      <c r="Q3598">
        <v>0.541855910678536</v>
      </c>
      <c r="R3598">
        <v>0.59301279565751797</v>
      </c>
      <c r="S3598" t="s">
        <v>10244</v>
      </c>
      <c r="T3598" t="s">
        <v>13290</v>
      </c>
      <c r="U3598" t="s">
        <v>13290</v>
      </c>
      <c r="V3598" t="s">
        <v>13290</v>
      </c>
      <c r="W3598" t="s">
        <v>16844</v>
      </c>
      <c r="X3598">
        <v>28</v>
      </c>
      <c r="Y3598" t="s">
        <v>23354</v>
      </c>
      <c r="Z3598" t="s">
        <v>29928</v>
      </c>
      <c r="AA3598">
        <v>0.65304803845159631</v>
      </c>
      <c r="AB3598" t="str">
        <f>HYPERLINK("Melting_Curves/meltCurve_Q15293_RCN1.pdf", "Melting_Curves/meltCurve_Q15293_RCN1.pdf")</f>
        <v>Melting_Curves/meltCurve_Q15293_RCN1.pdf</v>
      </c>
    </row>
    <row r="3599" spans="1:28" x14ac:dyDescent="0.25">
      <c r="A3599" t="s">
        <v>3603</v>
      </c>
      <c r="B3599">
        <v>0.99252571173614901</v>
      </c>
      <c r="C3599">
        <v>0.75966917027232195</v>
      </c>
      <c r="D3599">
        <v>0.31772470322122998</v>
      </c>
      <c r="E3599">
        <v>0.22271371806169599</v>
      </c>
      <c r="F3599">
        <v>0.15846539608323801</v>
      </c>
      <c r="G3599">
        <v>0.10416308218652</v>
      </c>
      <c r="H3599">
        <v>8.4412925204417996E-2</v>
      </c>
      <c r="I3599">
        <v>9.6572347382779006E-2</v>
      </c>
      <c r="J3599">
        <v>0.13548615907549699</v>
      </c>
      <c r="K3599">
        <v>0.137176686469479</v>
      </c>
      <c r="L3599">
        <v>1330.1761042027999</v>
      </c>
      <c r="M3599">
        <v>30.049856647853701</v>
      </c>
      <c r="N3599">
        <v>44.697402545175002</v>
      </c>
      <c r="O3599">
        <v>44.0709905080762</v>
      </c>
      <c r="P3599">
        <v>-0.14899052434954899</v>
      </c>
      <c r="Q3599">
        <v>0.12597020831984601</v>
      </c>
      <c r="R3599">
        <v>0.98965208440964503</v>
      </c>
      <c r="S3599" t="s">
        <v>10245</v>
      </c>
      <c r="T3599" t="s">
        <v>13290</v>
      </c>
      <c r="U3599" t="s">
        <v>13290</v>
      </c>
      <c r="V3599" t="s">
        <v>13290</v>
      </c>
      <c r="W3599" t="s">
        <v>16845</v>
      </c>
      <c r="X3599">
        <v>6</v>
      </c>
      <c r="Y3599" t="s">
        <v>23355</v>
      </c>
      <c r="Z3599" t="s">
        <v>29929</v>
      </c>
      <c r="AA3599">
        <v>0.25633402715366288</v>
      </c>
      <c r="AB3599" t="str">
        <f>HYPERLINK("Melting_Curves/meltCurve_Q15311_RALBP1.pdf", "Melting_Curves/meltCurve_Q15311_RALBP1.pdf")</f>
        <v>Melting_Curves/meltCurve_Q15311_RALBP1.pdf</v>
      </c>
    </row>
    <row r="3600" spans="1:28" x14ac:dyDescent="0.25">
      <c r="A3600" t="s">
        <v>3604</v>
      </c>
      <c r="B3600">
        <v>0.99252571173614901</v>
      </c>
      <c r="C3600">
        <v>0.95055258916668905</v>
      </c>
      <c r="D3600">
        <v>0.88634540036799303</v>
      </c>
      <c r="E3600">
        <v>0.66177156682517801</v>
      </c>
      <c r="F3600">
        <v>0.31670667286662402</v>
      </c>
      <c r="G3600">
        <v>0.20258246193986901</v>
      </c>
      <c r="H3600">
        <v>0.1796320704637</v>
      </c>
      <c r="I3600">
        <v>0.243213459622906</v>
      </c>
      <c r="J3600">
        <v>0.30129644388848797</v>
      </c>
      <c r="K3600">
        <v>0.31967289834430301</v>
      </c>
      <c r="L3600">
        <v>1472.90092524847</v>
      </c>
      <c r="M3600">
        <v>29.653488324044002</v>
      </c>
      <c r="N3600">
        <v>50.8163024063576</v>
      </c>
      <c r="O3600">
        <v>49.446161754129697</v>
      </c>
      <c r="P3600">
        <v>-0.113375396770235</v>
      </c>
      <c r="Q3600">
        <v>0.24380701957918899</v>
      </c>
      <c r="R3600">
        <v>0.97692310680164895</v>
      </c>
      <c r="S3600" t="s">
        <v>10246</v>
      </c>
      <c r="T3600" t="s">
        <v>13290</v>
      </c>
      <c r="U3600" t="s">
        <v>13290</v>
      </c>
      <c r="V3600" t="s">
        <v>13290</v>
      </c>
      <c r="W3600" t="s">
        <v>16846</v>
      </c>
      <c r="X3600">
        <v>3</v>
      </c>
      <c r="Y3600" t="s">
        <v>23356</v>
      </c>
      <c r="Z3600" t="s">
        <v>29930</v>
      </c>
      <c r="AA3600">
        <v>0.49232723018158159</v>
      </c>
      <c r="AB3600" t="str">
        <f>HYPERLINK("Melting_Curves/meltCurve_Q15334_LLGL1.pdf", "Melting_Curves/meltCurve_Q15334_LLGL1.pdf")</f>
        <v>Melting_Curves/meltCurve_Q15334_LLGL1.pdf</v>
      </c>
    </row>
    <row r="3601" spans="1:28" x14ac:dyDescent="0.25">
      <c r="A3601" t="s">
        <v>3605</v>
      </c>
      <c r="B3601">
        <v>0.99252571173614901</v>
      </c>
      <c r="C3601">
        <v>0.80477319806662695</v>
      </c>
      <c r="D3601">
        <v>0.74125585383878001</v>
      </c>
      <c r="E3601">
        <v>0.252395085896298</v>
      </c>
      <c r="F3601">
        <v>0.28186599371800902</v>
      </c>
      <c r="G3601">
        <v>0.126425146108507</v>
      </c>
      <c r="H3601">
        <v>0.14234379301371</v>
      </c>
      <c r="I3601">
        <v>0.171135016064204</v>
      </c>
      <c r="J3601">
        <v>0.122851474550161</v>
      </c>
      <c r="K3601">
        <v>0</v>
      </c>
      <c r="L3601">
        <v>870.534426528621</v>
      </c>
      <c r="M3601">
        <v>18.474623330975199</v>
      </c>
      <c r="N3601">
        <v>47.724882383512004</v>
      </c>
      <c r="O3601">
        <v>46.5788712065063</v>
      </c>
      <c r="P3601">
        <v>-8.8819975028168005E-2</v>
      </c>
      <c r="Q3601">
        <v>0.104295682781364</v>
      </c>
      <c r="R3601">
        <v>0.95623449778800795</v>
      </c>
      <c r="S3601" t="s">
        <v>10247</v>
      </c>
      <c r="T3601" t="s">
        <v>13290</v>
      </c>
      <c r="U3601" t="s">
        <v>13290</v>
      </c>
      <c r="V3601" t="s">
        <v>13290</v>
      </c>
      <c r="W3601" t="s">
        <v>16847</v>
      </c>
      <c r="X3601">
        <v>5</v>
      </c>
      <c r="Y3601" t="s">
        <v>23357</v>
      </c>
      <c r="Z3601" t="s">
        <v>29931</v>
      </c>
      <c r="AA3601">
        <v>0.33242001568748081</v>
      </c>
      <c r="AB3601" t="str">
        <f>HYPERLINK("Melting_Curves/meltCurve_Q15345_3_LRRC41.pdf", "Melting_Curves/meltCurve_Q15345_3_LRRC41.pdf")</f>
        <v>Melting_Curves/meltCurve_Q15345_3_LRRC41.pdf</v>
      </c>
    </row>
    <row r="3602" spans="1:28" x14ac:dyDescent="0.25">
      <c r="A3602" t="s">
        <v>3606</v>
      </c>
      <c r="B3602">
        <v>0.99252571173614901</v>
      </c>
      <c r="C3602">
        <v>0.85887867920116601</v>
      </c>
      <c r="D3602">
        <v>0.79339143830211101</v>
      </c>
      <c r="E3602">
        <v>0.58564819195920603</v>
      </c>
      <c r="F3602">
        <v>0.378977836799747</v>
      </c>
      <c r="G3602">
        <v>0.200076146382201</v>
      </c>
      <c r="H3602">
        <v>9.6031366867290802E-2</v>
      </c>
      <c r="I3602">
        <v>9.7163372667375597E-2</v>
      </c>
      <c r="J3602">
        <v>0.12093874249450599</v>
      </c>
      <c r="K3602">
        <v>0.12376075463573601</v>
      </c>
      <c r="L3602">
        <v>690.30200761872902</v>
      </c>
      <c r="M3602">
        <v>13.7797118003081</v>
      </c>
      <c r="N3602">
        <v>50.644517942776503</v>
      </c>
      <c r="O3602">
        <v>49.0758412812336</v>
      </c>
      <c r="P3602">
        <v>-6.5335319337919001E-2</v>
      </c>
      <c r="Q3602">
        <v>6.9375481803777506E-2</v>
      </c>
      <c r="R3602">
        <v>0.99145418859194401</v>
      </c>
      <c r="S3602" t="s">
        <v>10248</v>
      </c>
      <c r="T3602" t="s">
        <v>13290</v>
      </c>
      <c r="U3602" t="s">
        <v>13290</v>
      </c>
      <c r="V3602" t="s">
        <v>13290</v>
      </c>
      <c r="W3602" t="s">
        <v>16848</v>
      </c>
      <c r="X3602">
        <v>4</v>
      </c>
      <c r="Y3602" t="s">
        <v>23358</v>
      </c>
      <c r="Z3602" t="s">
        <v>29932</v>
      </c>
      <c r="AA3602">
        <v>0.40815553693696438</v>
      </c>
      <c r="AB3602" t="str">
        <f>HYPERLINK("Melting_Curves/meltCurve_Q15363_TMED2.pdf", "Melting_Curves/meltCurve_Q15363_TMED2.pdf")</f>
        <v>Melting_Curves/meltCurve_Q15363_TMED2.pdf</v>
      </c>
    </row>
    <row r="3603" spans="1:28" x14ac:dyDescent="0.25">
      <c r="A3603" t="s">
        <v>3607</v>
      </c>
      <c r="B3603">
        <v>0.99252571173614901</v>
      </c>
      <c r="C3603">
        <v>1.02256080792187</v>
      </c>
      <c r="D3603">
        <v>0.68345574232322803</v>
      </c>
      <c r="E3603">
        <v>0.41063203188154601</v>
      </c>
      <c r="F3603">
        <v>0.14436604351354401</v>
      </c>
      <c r="G3603">
        <v>7.3330999331233895E-2</v>
      </c>
      <c r="H3603">
        <v>5.0443030993307797E-2</v>
      </c>
      <c r="I3603">
        <v>4.8010433347534499E-2</v>
      </c>
      <c r="J3603">
        <v>5.61197130685097E-2</v>
      </c>
      <c r="K3603">
        <v>5.8178428969065402E-2</v>
      </c>
      <c r="L3603">
        <v>1047.3485164061401</v>
      </c>
      <c r="M3603">
        <v>21.7635967683205</v>
      </c>
      <c r="N3603">
        <v>48.348024903352297</v>
      </c>
      <c r="O3603">
        <v>47.723094004385203</v>
      </c>
      <c r="P3603">
        <v>-0.108541499099883</v>
      </c>
      <c r="Q3603">
        <v>4.7985388536792899E-2</v>
      </c>
      <c r="R3603">
        <v>0.99125199770992301</v>
      </c>
      <c r="S3603" t="s">
        <v>10249</v>
      </c>
      <c r="T3603" t="s">
        <v>13290</v>
      </c>
      <c r="U3603" t="s">
        <v>13290</v>
      </c>
      <c r="V3603" t="s">
        <v>13290</v>
      </c>
      <c r="W3603" t="s">
        <v>16849</v>
      </c>
      <c r="X3603">
        <v>21</v>
      </c>
      <c r="Y3603" t="s">
        <v>23359</v>
      </c>
      <c r="Z3603" t="s">
        <v>29933</v>
      </c>
      <c r="AA3603">
        <v>0.31707342284790008</v>
      </c>
      <c r="AB3603" t="str">
        <f>HYPERLINK("Melting_Curves/meltCurve_Q15365_PCBP1.pdf", "Melting_Curves/meltCurve_Q15365_PCBP1.pdf")</f>
        <v>Melting_Curves/meltCurve_Q15365_PCBP1.pdf</v>
      </c>
    </row>
    <row r="3604" spans="1:28" x14ac:dyDescent="0.25">
      <c r="A3604" t="s">
        <v>3608</v>
      </c>
      <c r="B3604">
        <v>0.99252571173614901</v>
      </c>
      <c r="C3604">
        <v>1.0792165663138999</v>
      </c>
      <c r="D3604">
        <v>0.89747404233746497</v>
      </c>
      <c r="E3604">
        <v>0.49053624978945698</v>
      </c>
      <c r="F3604">
        <v>0.47729914069889401</v>
      </c>
      <c r="G3604">
        <v>0.40922151131093898</v>
      </c>
      <c r="H3604">
        <v>0.34406529722698798</v>
      </c>
      <c r="I3604">
        <v>0.400157457512897</v>
      </c>
      <c r="J3604">
        <v>0.49338288108154699</v>
      </c>
      <c r="K3604">
        <v>0.60527827777809395</v>
      </c>
      <c r="L3604">
        <v>2716.6239885515001</v>
      </c>
      <c r="M3604">
        <v>57.556361740333998</v>
      </c>
      <c r="N3604">
        <v>49.265544074027702</v>
      </c>
      <c r="O3604">
        <v>47.142492607945996</v>
      </c>
      <c r="P3604">
        <v>-0.16626684858728</v>
      </c>
      <c r="Q3604">
        <v>0.45526578553567898</v>
      </c>
      <c r="R3604">
        <v>0.92516890795532303</v>
      </c>
      <c r="S3604" t="s">
        <v>10250</v>
      </c>
      <c r="T3604" t="s">
        <v>13290</v>
      </c>
      <c r="U3604" t="s">
        <v>13290</v>
      </c>
      <c r="V3604" t="s">
        <v>13290</v>
      </c>
      <c r="W3604" t="s">
        <v>16850</v>
      </c>
      <c r="X3604">
        <v>15</v>
      </c>
      <c r="Y3604" t="s">
        <v>23360</v>
      </c>
      <c r="Z3604" t="s">
        <v>29934</v>
      </c>
      <c r="AA3604">
        <v>0.58684558415313381</v>
      </c>
      <c r="AB3604" t="str">
        <f>HYPERLINK("Melting_Curves/meltCurve_Q15366_PCBP2.pdf", "Melting_Curves/meltCurve_Q15366_PCBP2.pdf")</f>
        <v>Melting_Curves/meltCurve_Q15366_PCBP2.pdf</v>
      </c>
    </row>
    <row r="3605" spans="1:28" x14ac:dyDescent="0.25">
      <c r="A3605" t="s">
        <v>3609</v>
      </c>
      <c r="B3605">
        <v>0.99252571173614901</v>
      </c>
      <c r="C3605">
        <v>1.0149939752179999</v>
      </c>
      <c r="D3605">
        <v>0.665487127016269</v>
      </c>
      <c r="E3605">
        <v>0.28198605783280101</v>
      </c>
      <c r="F3605">
        <v>0.14580293555745599</v>
      </c>
      <c r="G3605">
        <v>8.6763058291524503E-2</v>
      </c>
      <c r="H3605">
        <v>6.4324893804934502E-2</v>
      </c>
      <c r="I3605">
        <v>6.3078735535369898E-2</v>
      </c>
      <c r="J3605">
        <v>6.4696834518541094E-2</v>
      </c>
      <c r="K3605">
        <v>5.7460676806145597E-2</v>
      </c>
      <c r="L3605">
        <v>1271.03601182493</v>
      </c>
      <c r="M3605">
        <v>26.9020082887487</v>
      </c>
      <c r="N3605">
        <v>47.516065350649797</v>
      </c>
      <c r="O3605">
        <v>46.988105533450899</v>
      </c>
      <c r="P3605">
        <v>-0.13301689666781299</v>
      </c>
      <c r="Q3605">
        <v>7.0678723866778606E-2</v>
      </c>
      <c r="R3605">
        <v>0.99450323871908897</v>
      </c>
      <c r="S3605" t="s">
        <v>10251</v>
      </c>
      <c r="T3605" t="s">
        <v>13290</v>
      </c>
      <c r="U3605" t="s">
        <v>13290</v>
      </c>
      <c r="V3605" t="s">
        <v>13290</v>
      </c>
      <c r="W3605" t="s">
        <v>16851</v>
      </c>
      <c r="X3605">
        <v>15</v>
      </c>
      <c r="Y3605" t="s">
        <v>23360</v>
      </c>
      <c r="Z3605" t="s">
        <v>29935</v>
      </c>
      <c r="AA3605">
        <v>0.30221245080564718</v>
      </c>
      <c r="AB3605" t="str">
        <f>HYPERLINK("Melting_Curves/meltCurve_Q15366_2_PCBP2.pdf", "Melting_Curves/meltCurve_Q15366_2_PCBP2.pdf")</f>
        <v>Melting_Curves/meltCurve_Q15366_2_PCBP2.pdf</v>
      </c>
    </row>
    <row r="3606" spans="1:28" x14ac:dyDescent="0.25">
      <c r="A3606" t="s">
        <v>3610</v>
      </c>
      <c r="B3606">
        <v>0.99252571173614901</v>
      </c>
      <c r="C3606">
        <v>0.98117078574383598</v>
      </c>
      <c r="D3606">
        <v>0.69868010851494</v>
      </c>
      <c r="E3606">
        <v>0.20989020708991399</v>
      </c>
      <c r="F3606">
        <v>8.9294402050926799E-2</v>
      </c>
      <c r="G3606">
        <v>4.7783569169050397E-2</v>
      </c>
      <c r="H3606">
        <v>3.6480628722041199E-2</v>
      </c>
      <c r="I3606">
        <v>3.5734860187187197E-2</v>
      </c>
      <c r="J3606">
        <v>3.6731230184865502E-2</v>
      </c>
      <c r="K3606">
        <v>4.7477761625205901E-2</v>
      </c>
      <c r="L3606">
        <v>1490.1707091430801</v>
      </c>
      <c r="M3606">
        <v>31.591588900770901</v>
      </c>
      <c r="N3606">
        <v>47.305376676814603</v>
      </c>
      <c r="O3606">
        <v>46.9820575781768</v>
      </c>
      <c r="P3606">
        <v>-0.16083244787872</v>
      </c>
      <c r="Q3606">
        <v>4.3264427984826798E-2</v>
      </c>
      <c r="R3606">
        <v>0.99928777958326898</v>
      </c>
      <c r="S3606" t="s">
        <v>10252</v>
      </c>
      <c r="T3606" t="s">
        <v>13290</v>
      </c>
      <c r="U3606" t="s">
        <v>13290</v>
      </c>
      <c r="V3606" t="s">
        <v>13290</v>
      </c>
      <c r="W3606" t="s">
        <v>16852</v>
      </c>
      <c r="X3606">
        <v>15</v>
      </c>
      <c r="Y3606" t="s">
        <v>23360</v>
      </c>
      <c r="Z3606" t="s">
        <v>29936</v>
      </c>
      <c r="AA3606">
        <v>0.27705822029301358</v>
      </c>
      <c r="AB3606" t="str">
        <f>HYPERLINK("Melting_Curves/meltCurve_Q15366_3_PCBP2.pdf", "Melting_Curves/meltCurve_Q15366_3_PCBP2.pdf")</f>
        <v>Melting_Curves/meltCurve_Q15366_3_PCBP2.pdf</v>
      </c>
    </row>
    <row r="3607" spans="1:28" x14ac:dyDescent="0.25">
      <c r="A3607" t="s">
        <v>3611</v>
      </c>
      <c r="B3607">
        <v>0.99252571173614901</v>
      </c>
      <c r="C3607">
        <v>0.97614502442362205</v>
      </c>
      <c r="D3607">
        <v>0.84740189848633696</v>
      </c>
      <c r="E3607">
        <v>0.753726449617244</v>
      </c>
      <c r="F3607">
        <v>0.33987802982559501</v>
      </c>
      <c r="G3607">
        <v>0.145270945698002</v>
      </c>
      <c r="H3607">
        <v>8.8456854607910806E-2</v>
      </c>
      <c r="I3607">
        <v>8.9286327934750706E-2</v>
      </c>
      <c r="J3607">
        <v>9.7089488045441499E-2</v>
      </c>
      <c r="K3607">
        <v>0.101345886051545</v>
      </c>
      <c r="L3607">
        <v>1173.5059684482501</v>
      </c>
      <c r="M3607">
        <v>22.914550125448098</v>
      </c>
      <c r="N3607">
        <v>51.601490164687</v>
      </c>
      <c r="O3607">
        <v>50.8270288295247</v>
      </c>
      <c r="P3607">
        <v>-0.10376523687044301</v>
      </c>
      <c r="Q3607">
        <v>7.9366279142525697E-2</v>
      </c>
      <c r="R3607">
        <v>0.99157654024067698</v>
      </c>
      <c r="S3607" t="s">
        <v>10253</v>
      </c>
      <c r="T3607" t="s">
        <v>13290</v>
      </c>
      <c r="U3607" t="s">
        <v>13290</v>
      </c>
      <c r="V3607" t="s">
        <v>13290</v>
      </c>
      <c r="W3607" t="s">
        <v>16853</v>
      </c>
      <c r="X3607">
        <v>13</v>
      </c>
      <c r="Y3607" t="s">
        <v>23361</v>
      </c>
      <c r="Z3607" t="s">
        <v>29937</v>
      </c>
      <c r="AA3607">
        <v>0.43331937168004681</v>
      </c>
      <c r="AB3607" t="str">
        <f>HYPERLINK("Melting_Curves/meltCurve_Q15370_TCEB2.pdf", "Melting_Curves/meltCurve_Q15370_TCEB2.pdf")</f>
        <v>Melting_Curves/meltCurve_Q15370_TCEB2.pdf</v>
      </c>
    </row>
    <row r="3608" spans="1:28" x14ac:dyDescent="0.25">
      <c r="A3608" t="s">
        <v>3612</v>
      </c>
      <c r="B3608">
        <v>0.99252571173614901</v>
      </c>
      <c r="C3608">
        <v>0.99236553453311804</v>
      </c>
      <c r="D3608">
        <v>0.90658111682925901</v>
      </c>
      <c r="E3608">
        <v>0.76261235451856701</v>
      </c>
      <c r="F3608">
        <v>0.58915431250080597</v>
      </c>
      <c r="G3608">
        <v>0.39953450682535302</v>
      </c>
      <c r="H3608">
        <v>0.19051334326306801</v>
      </c>
      <c r="I3608">
        <v>0.175688350874525</v>
      </c>
      <c r="J3608">
        <v>0.227872367565293</v>
      </c>
      <c r="K3608">
        <v>0.22681136390015699</v>
      </c>
      <c r="L3608">
        <v>849.16293518136001</v>
      </c>
      <c r="M3608">
        <v>16.085117614033301</v>
      </c>
      <c r="N3608">
        <v>54.194256174421199</v>
      </c>
      <c r="O3608">
        <v>51.996113119308603</v>
      </c>
      <c r="P3608">
        <v>-6.4176814572504695E-2</v>
      </c>
      <c r="Q3608">
        <v>0.170242279011321</v>
      </c>
      <c r="R3608">
        <v>0.98890726843615995</v>
      </c>
      <c r="S3608" t="s">
        <v>10254</v>
      </c>
      <c r="T3608" t="s">
        <v>13290</v>
      </c>
      <c r="U3608" t="s">
        <v>13290</v>
      </c>
      <c r="V3608" t="s">
        <v>13290</v>
      </c>
      <c r="W3608" t="s">
        <v>16854</v>
      </c>
      <c r="X3608">
        <v>9</v>
      </c>
      <c r="Y3608" t="s">
        <v>23362</v>
      </c>
      <c r="Z3608" t="s">
        <v>29938</v>
      </c>
      <c r="AA3608">
        <v>0.54030773299194423</v>
      </c>
      <c r="AB3608" t="str">
        <f>HYPERLINK("Melting_Curves/meltCurve_Q15382_RHEB.pdf", "Melting_Curves/meltCurve_Q15382_RHEB.pdf")</f>
        <v>Melting_Curves/meltCurve_Q15382_RHEB.pdf</v>
      </c>
    </row>
    <row r="3609" spans="1:28" x14ac:dyDescent="0.25">
      <c r="A3609" t="s">
        <v>3613</v>
      </c>
      <c r="B3609">
        <v>0.99252571173614901</v>
      </c>
      <c r="C3609">
        <v>0.91725654269379298</v>
      </c>
      <c r="D3609">
        <v>0.89263656920944501</v>
      </c>
      <c r="E3609">
        <v>0.45009343959866299</v>
      </c>
      <c r="F3609">
        <v>0.19227885886001</v>
      </c>
      <c r="G3609">
        <v>0.114868155082427</v>
      </c>
      <c r="H3609">
        <v>8.8614709561823393E-2</v>
      </c>
      <c r="I3609">
        <v>8.9393343330518904E-2</v>
      </c>
      <c r="J3609">
        <v>0.11227395221809</v>
      </c>
      <c r="K3609">
        <v>0.10480535887697701</v>
      </c>
      <c r="L3609">
        <v>1371.5159266455</v>
      </c>
      <c r="M3609">
        <v>28.0497648709439</v>
      </c>
      <c r="N3609">
        <v>49.280259722999702</v>
      </c>
      <c r="O3609">
        <v>48.649322329492399</v>
      </c>
      <c r="P3609">
        <v>-0.12997917283726301</v>
      </c>
      <c r="Q3609">
        <v>9.8267908024830902E-2</v>
      </c>
      <c r="R3609">
        <v>0.99586934319491005</v>
      </c>
      <c r="S3609" t="s">
        <v>10255</v>
      </c>
      <c r="T3609" t="s">
        <v>13290</v>
      </c>
      <c r="U3609" t="s">
        <v>13290</v>
      </c>
      <c r="V3609" t="s">
        <v>13290</v>
      </c>
      <c r="W3609" t="s">
        <v>16855</v>
      </c>
      <c r="X3609">
        <v>7</v>
      </c>
      <c r="Y3609" t="s">
        <v>23363</v>
      </c>
      <c r="Z3609" t="s">
        <v>29939</v>
      </c>
      <c r="AA3609">
        <v>0.37195284800357192</v>
      </c>
      <c r="AB3609" t="str">
        <f>HYPERLINK("Melting_Curves/meltCurve_Q15386_UBE3C.pdf", "Melting_Curves/meltCurve_Q15386_UBE3C.pdf")</f>
        <v>Melting_Curves/meltCurve_Q15386_UBE3C.pdf</v>
      </c>
    </row>
    <row r="3610" spans="1:28" x14ac:dyDescent="0.25">
      <c r="A3610" t="s">
        <v>3614</v>
      </c>
      <c r="B3610">
        <v>0.99252571173614901</v>
      </c>
      <c r="C3610">
        <v>0.89755049448211</v>
      </c>
      <c r="D3610">
        <v>1.1549648335251299</v>
      </c>
      <c r="E3610">
        <v>1.51092165721876</v>
      </c>
      <c r="F3610">
        <v>1.3628494012591501</v>
      </c>
      <c r="G3610">
        <v>0.41883276871282898</v>
      </c>
      <c r="H3610">
        <v>0.22148470290059699</v>
      </c>
      <c r="I3610">
        <v>0.17094059225204</v>
      </c>
      <c r="J3610">
        <v>0.187925149670466</v>
      </c>
      <c r="K3610">
        <v>0.16668453765495</v>
      </c>
      <c r="L3610">
        <v>14147.8587018856</v>
      </c>
      <c r="M3610">
        <v>250</v>
      </c>
      <c r="N3610">
        <v>56.697479267212501</v>
      </c>
      <c r="O3610">
        <v>56.587813328027799</v>
      </c>
      <c r="P3610">
        <v>-0.89820718974139802</v>
      </c>
      <c r="Q3610">
        <v>0.18675870838174599</v>
      </c>
      <c r="R3610">
        <v>0.83253047591788498</v>
      </c>
      <c r="S3610" t="s">
        <v>10256</v>
      </c>
      <c r="T3610" t="s">
        <v>13290</v>
      </c>
      <c r="U3610" t="s">
        <v>13290</v>
      </c>
      <c r="V3610" t="s">
        <v>13290</v>
      </c>
      <c r="W3610" t="s">
        <v>16856</v>
      </c>
      <c r="X3610">
        <v>42</v>
      </c>
      <c r="Y3610" t="s">
        <v>23364</v>
      </c>
      <c r="Z3610" t="s">
        <v>29940</v>
      </c>
      <c r="AA3610">
        <v>0.63660080622765391</v>
      </c>
      <c r="AB3610" t="str">
        <f>HYPERLINK("Melting_Curves/meltCurve_Q15393_SF3B3.pdf", "Melting_Curves/meltCurve_Q15393_SF3B3.pdf")</f>
        <v>Melting_Curves/meltCurve_Q15393_SF3B3.pdf</v>
      </c>
    </row>
    <row r="3611" spans="1:28" x14ac:dyDescent="0.25">
      <c r="A3611" t="s">
        <v>3615</v>
      </c>
      <c r="B3611">
        <v>0.99252571173614901</v>
      </c>
      <c r="C3611">
        <v>0.72046009012728895</v>
      </c>
      <c r="D3611">
        <v>0.48904968789167702</v>
      </c>
      <c r="E3611">
        <v>0.32050452014694403</v>
      </c>
      <c r="F3611">
        <v>0.20758559884262201</v>
      </c>
      <c r="G3611">
        <v>0.13690321761108401</v>
      </c>
      <c r="H3611">
        <v>0.108493707676404</v>
      </c>
      <c r="I3611">
        <v>0.112760243792606</v>
      </c>
      <c r="J3611">
        <v>0.14126679917684201</v>
      </c>
      <c r="K3611">
        <v>0.14790244981526299</v>
      </c>
      <c r="L3611">
        <v>782.56381439738902</v>
      </c>
      <c r="M3611">
        <v>17.278784644446599</v>
      </c>
      <c r="N3611">
        <v>46.070155341503401</v>
      </c>
      <c r="O3611">
        <v>44.696861000692401</v>
      </c>
      <c r="P3611">
        <v>-8.4396833540707705E-2</v>
      </c>
      <c r="Q3611">
        <v>0.12677773086468899</v>
      </c>
      <c r="R3611">
        <v>0.98730639193330105</v>
      </c>
      <c r="S3611" t="s">
        <v>10257</v>
      </c>
      <c r="T3611" t="s">
        <v>13290</v>
      </c>
      <c r="U3611" t="s">
        <v>13290</v>
      </c>
      <c r="V3611" t="s">
        <v>13290</v>
      </c>
      <c r="W3611" t="s">
        <v>16857</v>
      </c>
      <c r="X3611">
        <v>3</v>
      </c>
      <c r="Y3611" t="s">
        <v>23365</v>
      </c>
      <c r="Z3611" t="s">
        <v>29941</v>
      </c>
      <c r="AA3611">
        <v>0.30078337442561492</v>
      </c>
      <c r="AB3611" t="str">
        <f>HYPERLINK("Melting_Curves/meltCurve_Q15398_3_DLGAP5.pdf", "Melting_Curves/meltCurve_Q15398_3_DLGAP5.pdf")</f>
        <v>Melting_Curves/meltCurve_Q15398_3_DLGAP5.pdf</v>
      </c>
    </row>
    <row r="3612" spans="1:28" x14ac:dyDescent="0.25">
      <c r="A3612" t="s">
        <v>3616</v>
      </c>
      <c r="B3612">
        <v>0.99252571173614901</v>
      </c>
      <c r="C3612">
        <v>1.06616026798279</v>
      </c>
      <c r="D3612">
        <v>0.96604064615565299</v>
      </c>
      <c r="E3612">
        <v>0.81874953599289901</v>
      </c>
      <c r="F3612">
        <v>0.50930672870500104</v>
      </c>
      <c r="G3612">
        <v>0.33366125359897902</v>
      </c>
      <c r="H3612">
        <v>0.197166280062956</v>
      </c>
      <c r="I3612">
        <v>0.148244306429478</v>
      </c>
      <c r="J3612">
        <v>0.142698533048182</v>
      </c>
      <c r="K3612">
        <v>0.133106967423157</v>
      </c>
      <c r="L3612">
        <v>1057.44876807589</v>
      </c>
      <c r="M3612">
        <v>20.018436211990601</v>
      </c>
      <c r="N3612">
        <v>53.649687883439398</v>
      </c>
      <c r="O3612">
        <v>52.305090246217198</v>
      </c>
      <c r="P3612">
        <v>-8.2995621588384E-2</v>
      </c>
      <c r="Q3612">
        <v>0.13260908915223801</v>
      </c>
      <c r="R3612">
        <v>0.99460964933025997</v>
      </c>
      <c r="S3612" t="s">
        <v>10258</v>
      </c>
      <c r="T3612" t="s">
        <v>13290</v>
      </c>
      <c r="U3612" t="s">
        <v>13290</v>
      </c>
      <c r="V3612" t="s">
        <v>13290</v>
      </c>
      <c r="W3612" t="s">
        <v>16858</v>
      </c>
      <c r="X3612">
        <v>11</v>
      </c>
      <c r="Y3612" t="s">
        <v>23366</v>
      </c>
      <c r="Z3612" t="s">
        <v>29942</v>
      </c>
      <c r="AA3612">
        <v>0.51531041114499321</v>
      </c>
      <c r="AB3612" t="str">
        <f>HYPERLINK("Melting_Curves/meltCurve_Q15404_RSU1.pdf", "Melting_Curves/meltCurve_Q15404_RSU1.pdf")</f>
        <v>Melting_Curves/meltCurve_Q15404_RSU1.pdf</v>
      </c>
    </row>
    <row r="3613" spans="1:28" x14ac:dyDescent="0.25">
      <c r="A3613" t="s">
        <v>3617</v>
      </c>
      <c r="B3613">
        <v>0.99252571173614901</v>
      </c>
      <c r="C3613">
        <v>0.96662512465694606</v>
      </c>
      <c r="D3613">
        <v>0.94462362655360899</v>
      </c>
      <c r="E3613">
        <v>0.47053169619395102</v>
      </c>
      <c r="F3613">
        <v>0.20661772793396499</v>
      </c>
      <c r="G3613">
        <v>0.13292202371173001</v>
      </c>
      <c r="H3613">
        <v>0.121703883820462</v>
      </c>
      <c r="I3613">
        <v>0.15300036652909399</v>
      </c>
      <c r="J3613">
        <v>9.0783579579134896E-2</v>
      </c>
      <c r="K3613">
        <v>8.6330579739387805E-2</v>
      </c>
      <c r="L3613">
        <v>1673.37154922081</v>
      </c>
      <c r="M3613">
        <v>34.074849515981697</v>
      </c>
      <c r="N3613">
        <v>49.502574292614099</v>
      </c>
      <c r="O3613">
        <v>48.940484805509797</v>
      </c>
      <c r="P3613">
        <v>-0.15339468940569101</v>
      </c>
      <c r="Q3613">
        <v>0.11874229840106899</v>
      </c>
      <c r="R3613">
        <v>0.99614851842068797</v>
      </c>
      <c r="S3613" t="s">
        <v>10259</v>
      </c>
      <c r="T3613" t="s">
        <v>13290</v>
      </c>
      <c r="U3613" t="s">
        <v>13290</v>
      </c>
      <c r="V3613" t="s">
        <v>13290</v>
      </c>
      <c r="W3613" t="s">
        <v>16859</v>
      </c>
      <c r="X3613">
        <v>17</v>
      </c>
      <c r="Y3613" t="s">
        <v>23367</v>
      </c>
      <c r="Z3613" t="s">
        <v>29943</v>
      </c>
      <c r="AA3613">
        <v>0.39045797354344808</v>
      </c>
      <c r="AB3613" t="str">
        <f>HYPERLINK("Melting_Curves/meltCurve_Q15417_CNN3.pdf", "Melting_Curves/meltCurve_Q15417_CNN3.pdf")</f>
        <v>Melting_Curves/meltCurve_Q15417_CNN3.pdf</v>
      </c>
    </row>
    <row r="3614" spans="1:28" x14ac:dyDescent="0.25">
      <c r="A3614" t="s">
        <v>3618</v>
      </c>
      <c r="B3614">
        <v>0.99252571173614901</v>
      </c>
      <c r="C3614">
        <v>1.0771382625641599</v>
      </c>
      <c r="D3614">
        <v>0.96939834315320805</v>
      </c>
      <c r="E3614">
        <v>0.97927100359995101</v>
      </c>
      <c r="F3614">
        <v>0.96880628776201405</v>
      </c>
      <c r="G3614">
        <v>1.2828972737486799</v>
      </c>
      <c r="H3614">
        <v>1.4144993475948</v>
      </c>
      <c r="I3614">
        <v>2.1851354183518499</v>
      </c>
      <c r="J3614">
        <v>4.38385069207225</v>
      </c>
      <c r="K3614">
        <v>5.7419801370247603</v>
      </c>
      <c r="L3614">
        <v>4568.1068845583504</v>
      </c>
      <c r="M3614">
        <v>80.674641303726702</v>
      </c>
      <c r="O3614">
        <v>56.589062461569704</v>
      </c>
      <c r="P3614">
        <v>0.17820283914124799</v>
      </c>
      <c r="Q3614">
        <v>1.5</v>
      </c>
      <c r="R3614">
        <v>-4.6287075810193402E-2</v>
      </c>
      <c r="S3614" t="s">
        <v>10260</v>
      </c>
      <c r="T3614" t="s">
        <v>13290</v>
      </c>
      <c r="U3614" t="s">
        <v>13290</v>
      </c>
      <c r="V3614" t="s">
        <v>13290</v>
      </c>
      <c r="W3614" t="s">
        <v>16860</v>
      </c>
      <c r="X3614">
        <v>57</v>
      </c>
      <c r="Y3614" t="s">
        <v>23368</v>
      </c>
      <c r="Z3614" t="s">
        <v>29944</v>
      </c>
      <c r="AA3614">
        <v>1.22245817529597</v>
      </c>
      <c r="AB3614" t="str">
        <f>HYPERLINK("Melting_Curves/meltCurve_Q15424_SAFB.pdf", "Melting_Curves/meltCurve_Q15424_SAFB.pdf")</f>
        <v>Melting_Curves/meltCurve_Q15424_SAFB.pdf</v>
      </c>
    </row>
    <row r="3615" spans="1:28" x14ac:dyDescent="0.25">
      <c r="A3615" t="s">
        <v>3619</v>
      </c>
      <c r="B3615">
        <v>0.99252571173614901</v>
      </c>
      <c r="C3615">
        <v>1.0748176941535901</v>
      </c>
      <c r="D3615">
        <v>0.80257400064823503</v>
      </c>
      <c r="E3615">
        <v>0.49927362786340002</v>
      </c>
      <c r="F3615">
        <v>0.21822627846378401</v>
      </c>
      <c r="G3615">
        <v>0.115048555985165</v>
      </c>
      <c r="H3615">
        <v>8.3435785292267195E-2</v>
      </c>
      <c r="I3615">
        <v>9.0744586718184098E-2</v>
      </c>
      <c r="J3615">
        <v>0.117034233044601</v>
      </c>
      <c r="K3615">
        <v>0.10504216279186</v>
      </c>
      <c r="L3615">
        <v>1189.9930511503401</v>
      </c>
      <c r="M3615">
        <v>24.267044941709599</v>
      </c>
      <c r="N3615">
        <v>49.466758127753998</v>
      </c>
      <c r="O3615">
        <v>48.708049028106501</v>
      </c>
      <c r="P3615">
        <v>-0.112727540256639</v>
      </c>
      <c r="Q3615">
        <v>9.4961007539456702E-2</v>
      </c>
      <c r="R3615">
        <v>0.99048747910577195</v>
      </c>
      <c r="S3615" t="s">
        <v>10261</v>
      </c>
      <c r="T3615" t="s">
        <v>13290</v>
      </c>
      <c r="U3615" t="s">
        <v>13290</v>
      </c>
      <c r="V3615" t="s">
        <v>13290</v>
      </c>
      <c r="W3615" t="s">
        <v>16861</v>
      </c>
      <c r="X3615">
        <v>11</v>
      </c>
      <c r="Y3615" t="s">
        <v>23369</v>
      </c>
      <c r="Z3615" t="s">
        <v>29945</v>
      </c>
      <c r="AA3615">
        <v>0.3761298944006235</v>
      </c>
      <c r="AB3615" t="str">
        <f>HYPERLINK("Melting_Curves/meltCurve_Q15428_SF3A2.pdf", "Melting_Curves/meltCurve_Q15428_SF3A2.pdf")</f>
        <v>Melting_Curves/meltCurve_Q15428_SF3A2.pdf</v>
      </c>
    </row>
    <row r="3616" spans="1:28" x14ac:dyDescent="0.25">
      <c r="A3616" t="s">
        <v>3620</v>
      </c>
      <c r="B3616">
        <v>0.99252571173614901</v>
      </c>
      <c r="C3616">
        <v>1.0504051480837699</v>
      </c>
      <c r="D3616">
        <v>0.93661174464110497</v>
      </c>
      <c r="E3616">
        <v>0.71094826518959098</v>
      </c>
      <c r="F3616">
        <v>0.30885637926508702</v>
      </c>
      <c r="G3616">
        <v>0.10958006261379701</v>
      </c>
      <c r="H3616">
        <v>5.9602603869139702E-2</v>
      </c>
      <c r="I3616">
        <v>4.93861012943035E-2</v>
      </c>
      <c r="J3616">
        <v>4.7807714896219003E-2</v>
      </c>
      <c r="K3616">
        <v>4.3208654853714903E-2</v>
      </c>
      <c r="L3616">
        <v>1322.02188762268</v>
      </c>
      <c r="M3616">
        <v>25.819016941174901</v>
      </c>
      <c r="N3616">
        <v>51.384256087199503</v>
      </c>
      <c r="O3616">
        <v>50.899213497909798</v>
      </c>
      <c r="P3616">
        <v>-0.12130861841804801</v>
      </c>
      <c r="Q3616">
        <v>4.3427531928022199E-2</v>
      </c>
      <c r="R3616">
        <v>0.99797410698386402</v>
      </c>
      <c r="S3616" t="s">
        <v>10262</v>
      </c>
      <c r="T3616" t="s">
        <v>13290</v>
      </c>
      <c r="U3616" t="s">
        <v>13290</v>
      </c>
      <c r="V3616" t="s">
        <v>13290</v>
      </c>
      <c r="W3616" t="s">
        <v>16862</v>
      </c>
      <c r="X3616">
        <v>23</v>
      </c>
      <c r="Y3616" t="s">
        <v>23370</v>
      </c>
      <c r="Z3616" t="s">
        <v>29946</v>
      </c>
      <c r="AA3616">
        <v>0.40878633256551228</v>
      </c>
      <c r="AB3616" t="str">
        <f>HYPERLINK("Melting_Curves/meltCurve_Q15435_PPP1R7.pdf", "Melting_Curves/meltCurve_Q15435_PPP1R7.pdf")</f>
        <v>Melting_Curves/meltCurve_Q15435_PPP1R7.pdf</v>
      </c>
    </row>
    <row r="3617" spans="1:28" x14ac:dyDescent="0.25">
      <c r="A3617" t="s">
        <v>3621</v>
      </c>
      <c r="B3617">
        <v>0.99252571173614901</v>
      </c>
      <c r="C3617">
        <v>0.88759277369078404</v>
      </c>
      <c r="D3617">
        <v>0.92241309660025095</v>
      </c>
      <c r="E3617">
        <v>0.608593241490757</v>
      </c>
      <c r="F3617">
        <v>0.42507836222560502</v>
      </c>
      <c r="G3617">
        <v>0.28394176861210402</v>
      </c>
      <c r="H3617">
        <v>9.2941212379311994E-2</v>
      </c>
      <c r="I3617">
        <v>8.8183356454101205E-2</v>
      </c>
      <c r="J3617">
        <v>9.9399314176692594E-2</v>
      </c>
      <c r="K3617">
        <v>8.7537476962347704E-2</v>
      </c>
      <c r="L3617">
        <v>747.19331861859303</v>
      </c>
      <c r="M3617">
        <v>14.522271466480801</v>
      </c>
      <c r="N3617">
        <v>51.842290456011298</v>
      </c>
      <c r="O3617">
        <v>50.505448911499002</v>
      </c>
      <c r="P3617">
        <v>-6.8166024523295607E-2</v>
      </c>
      <c r="Q3617">
        <v>5.1839540124531798E-2</v>
      </c>
      <c r="R3617">
        <v>0.98806217210792502</v>
      </c>
      <c r="S3617" t="s">
        <v>10263</v>
      </c>
      <c r="T3617" t="s">
        <v>13290</v>
      </c>
      <c r="U3617" t="s">
        <v>13290</v>
      </c>
      <c r="V3617" t="s">
        <v>13290</v>
      </c>
      <c r="W3617" t="s">
        <v>16863</v>
      </c>
      <c r="X3617">
        <v>28</v>
      </c>
      <c r="Y3617" t="s">
        <v>23371</v>
      </c>
      <c r="Z3617" t="s">
        <v>29947</v>
      </c>
      <c r="AA3617">
        <v>0.4364967010140004</v>
      </c>
      <c r="AB3617" t="str">
        <f>HYPERLINK("Melting_Curves/meltCurve_Q15437_SEC23B.pdf", "Melting_Curves/meltCurve_Q15437_SEC23B.pdf")</f>
        <v>Melting_Curves/meltCurve_Q15437_SEC23B.pdf</v>
      </c>
    </row>
    <row r="3618" spans="1:28" x14ac:dyDescent="0.25">
      <c r="A3618" t="s">
        <v>3622</v>
      </c>
      <c r="B3618">
        <v>0.99252571173614901</v>
      </c>
      <c r="C3618">
        <v>1.08723173929134</v>
      </c>
      <c r="D3618">
        <v>0.73177467146945196</v>
      </c>
      <c r="E3618">
        <v>0.46756402649986101</v>
      </c>
      <c r="F3618">
        <v>0.22550279085960201</v>
      </c>
      <c r="G3618">
        <v>0.124947358305461</v>
      </c>
      <c r="H3618">
        <v>9.1133717415458296E-2</v>
      </c>
      <c r="I3618">
        <v>9.6476362030748705E-2</v>
      </c>
      <c r="J3618">
        <v>0.10960754448363</v>
      </c>
      <c r="K3618">
        <v>0.120583914807145</v>
      </c>
      <c r="L3618">
        <v>1095.35762536783</v>
      </c>
      <c r="M3618">
        <v>22.558211386762601</v>
      </c>
      <c r="N3618">
        <v>49.053517987616203</v>
      </c>
      <c r="O3618">
        <v>48.180200376744402</v>
      </c>
      <c r="P3618">
        <v>-0.10510456831834999</v>
      </c>
      <c r="Q3618">
        <v>0.10208224362901699</v>
      </c>
      <c r="R3618">
        <v>0.98318483734984496</v>
      </c>
      <c r="S3618" t="s">
        <v>10264</v>
      </c>
      <c r="T3618" t="s">
        <v>13290</v>
      </c>
      <c r="U3618" t="s">
        <v>13290</v>
      </c>
      <c r="V3618" t="s">
        <v>13290</v>
      </c>
      <c r="W3618" t="s">
        <v>16864</v>
      </c>
      <c r="X3618">
        <v>23</v>
      </c>
      <c r="Y3618" t="s">
        <v>23372</v>
      </c>
      <c r="Z3618" t="s">
        <v>29948</v>
      </c>
      <c r="AA3618">
        <v>0.36803622350334858</v>
      </c>
      <c r="AB3618" t="str">
        <f>HYPERLINK("Melting_Curves/meltCurve_Q15459_SF3A1.pdf", "Melting_Curves/meltCurve_Q15459_SF3A1.pdf")</f>
        <v>Melting_Curves/meltCurve_Q15459_SF3A1.pdf</v>
      </c>
    </row>
    <row r="3619" spans="1:28" x14ac:dyDescent="0.25">
      <c r="A3619" t="s">
        <v>3623</v>
      </c>
      <c r="B3619">
        <v>0.99252571173614901</v>
      </c>
      <c r="C3619">
        <v>1.0534796155731601</v>
      </c>
      <c r="D3619">
        <v>0.881869116870721</v>
      </c>
      <c r="E3619">
        <v>0.72211828097250796</v>
      </c>
      <c r="F3619">
        <v>0.28811021247838597</v>
      </c>
      <c r="G3619">
        <v>0.18107182029461899</v>
      </c>
      <c r="H3619">
        <v>0.121520295098952</v>
      </c>
      <c r="I3619">
        <v>0.155851484967443</v>
      </c>
      <c r="J3619">
        <v>0.265426678490503</v>
      </c>
      <c r="K3619">
        <v>0.24867831354320799</v>
      </c>
      <c r="L3619">
        <v>1707.4288855535001</v>
      </c>
      <c r="M3619">
        <v>33.902426523655599</v>
      </c>
      <c r="N3619">
        <v>51.0791232759099</v>
      </c>
      <c r="O3619">
        <v>50.1887677110307</v>
      </c>
      <c r="P3619">
        <v>-0.136933783453068</v>
      </c>
      <c r="Q3619">
        <v>0.18914236754679201</v>
      </c>
      <c r="R3619">
        <v>0.978321382759195</v>
      </c>
      <c r="S3619" t="s">
        <v>10265</v>
      </c>
      <c r="T3619" t="s">
        <v>13290</v>
      </c>
      <c r="U3619" t="s">
        <v>13290</v>
      </c>
      <c r="V3619" t="s">
        <v>13290</v>
      </c>
      <c r="W3619" t="s">
        <v>16865</v>
      </c>
      <c r="X3619">
        <v>6</v>
      </c>
      <c r="Y3619" t="s">
        <v>23373</v>
      </c>
      <c r="Z3619" t="s">
        <v>29949</v>
      </c>
      <c r="AA3619">
        <v>0.4731823066368796</v>
      </c>
      <c r="AB3619" t="str">
        <f>HYPERLINK("Melting_Curves/meltCurve_Q15464_SHB.pdf", "Melting_Curves/meltCurve_Q15464_SHB.pdf")</f>
        <v>Melting_Curves/meltCurve_Q15464_SHB.pdf</v>
      </c>
    </row>
    <row r="3620" spans="1:28" x14ac:dyDescent="0.25">
      <c r="A3620" t="s">
        <v>3624</v>
      </c>
      <c r="B3620">
        <v>0.99252571173614901</v>
      </c>
      <c r="C3620">
        <v>0.81908759432571698</v>
      </c>
      <c r="D3620">
        <v>0.60174748044124704</v>
      </c>
      <c r="E3620">
        <v>0.26051782011925401</v>
      </c>
      <c r="F3620">
        <v>0.21905586337771099</v>
      </c>
      <c r="G3620">
        <v>0.18811399878651699</v>
      </c>
      <c r="H3620">
        <v>0.154268581917019</v>
      </c>
      <c r="I3620">
        <v>0.195618571059654</v>
      </c>
      <c r="J3620">
        <v>0.41426809300515199</v>
      </c>
      <c r="K3620">
        <v>0.380647985354235</v>
      </c>
      <c r="L3620">
        <v>1244.9772813526199</v>
      </c>
      <c r="M3620">
        <v>27.471500259810501</v>
      </c>
      <c r="N3620">
        <v>46.5019371523817</v>
      </c>
      <c r="O3620">
        <v>45.080747154309101</v>
      </c>
      <c r="P3620">
        <v>-0.11404168576793</v>
      </c>
      <c r="Q3620">
        <v>0.25143670817269997</v>
      </c>
      <c r="R3620">
        <v>0.90747950517961795</v>
      </c>
      <c r="S3620" t="s">
        <v>10266</v>
      </c>
      <c r="T3620" t="s">
        <v>13290</v>
      </c>
      <c r="U3620" t="s">
        <v>13290</v>
      </c>
      <c r="V3620" t="s">
        <v>13290</v>
      </c>
      <c r="W3620" t="s">
        <v>16866</v>
      </c>
      <c r="X3620">
        <v>8</v>
      </c>
      <c r="Y3620" t="s">
        <v>23374</v>
      </c>
      <c r="Z3620" t="s">
        <v>29950</v>
      </c>
      <c r="AA3620">
        <v>0.38994245630808277</v>
      </c>
      <c r="AB3620" t="str">
        <f>HYPERLINK("Melting_Curves/meltCurve_Q15477_SKIV2L.pdf", "Melting_Curves/meltCurve_Q15477_SKIV2L.pdf")</f>
        <v>Melting_Curves/meltCurve_Q15477_SKIV2L.pdf</v>
      </c>
    </row>
    <row r="3621" spans="1:28" x14ac:dyDescent="0.25">
      <c r="A3621" t="s">
        <v>3625</v>
      </c>
      <c r="B3621">
        <v>0.99252571173614901</v>
      </c>
      <c r="C3621">
        <v>0.93605247670432601</v>
      </c>
      <c r="D3621">
        <v>0.82753606867616203</v>
      </c>
      <c r="E3621">
        <v>0.82105332620944005</v>
      </c>
      <c r="F3621">
        <v>0.39968990553603501</v>
      </c>
      <c r="G3621">
        <v>0.18081729079022499</v>
      </c>
      <c r="H3621">
        <v>0.13475163808999599</v>
      </c>
      <c r="I3621">
        <v>0.15422023891105199</v>
      </c>
      <c r="J3621">
        <v>0.205960761563765</v>
      </c>
      <c r="K3621">
        <v>0.20720690213568199</v>
      </c>
      <c r="L3621">
        <v>1411.74786280938</v>
      </c>
      <c r="M3621">
        <v>27.4574826162949</v>
      </c>
      <c r="N3621">
        <v>52.166629778359003</v>
      </c>
      <c r="O3621">
        <v>51.1453920831189</v>
      </c>
      <c r="P3621">
        <v>-0.112306325209987</v>
      </c>
      <c r="Q3621">
        <v>0.163230547234408</v>
      </c>
      <c r="R3621">
        <v>0.97237930270718798</v>
      </c>
      <c r="S3621" t="s">
        <v>10267</v>
      </c>
      <c r="T3621" t="s">
        <v>13290</v>
      </c>
      <c r="U3621" t="s">
        <v>13290</v>
      </c>
      <c r="V3621" t="s">
        <v>13290</v>
      </c>
      <c r="W3621" t="s">
        <v>16867</v>
      </c>
      <c r="X3621">
        <v>14</v>
      </c>
      <c r="Y3621" t="s">
        <v>23375</v>
      </c>
      <c r="Z3621" t="s">
        <v>29951</v>
      </c>
      <c r="AA3621">
        <v>0.4879589347814236</v>
      </c>
      <c r="AB3621" t="str">
        <f>HYPERLINK("Melting_Curves/meltCurve_Q15526_2_SURF1.pdf", "Melting_Curves/meltCurve_Q15526_2_SURF1.pdf")</f>
        <v>Melting_Curves/meltCurve_Q15526_2_SURF1.pdf</v>
      </c>
    </row>
    <row r="3622" spans="1:28" x14ac:dyDescent="0.25">
      <c r="A3622" t="s">
        <v>3626</v>
      </c>
      <c r="B3622">
        <v>0.99252571173614901</v>
      </c>
      <c r="C3622">
        <v>0.98822896974457497</v>
      </c>
      <c r="D3622">
        <v>1.1463023989227901</v>
      </c>
      <c r="E3622">
        <v>1.2093562399845399</v>
      </c>
      <c r="F3622">
        <v>0.407328135992642</v>
      </c>
      <c r="G3622">
        <v>0.27109395140116199</v>
      </c>
      <c r="H3622">
        <v>0.26581126526287202</v>
      </c>
      <c r="I3622">
        <v>0.24122170211590199</v>
      </c>
      <c r="J3622">
        <v>0.34797306766645197</v>
      </c>
      <c r="K3622">
        <v>0.36075270839798401</v>
      </c>
      <c r="L3622">
        <v>13210.3822340723</v>
      </c>
      <c r="M3622">
        <v>250</v>
      </c>
      <c r="N3622">
        <v>53.0331121658214</v>
      </c>
      <c r="O3622">
        <v>52.838149315647598</v>
      </c>
      <c r="P3622">
        <v>-0.83111056794974103</v>
      </c>
      <c r="Q3622">
        <v>0.29737051730464098</v>
      </c>
      <c r="R3622">
        <v>0.94792594113116302</v>
      </c>
      <c r="S3622" t="s">
        <v>10268</v>
      </c>
      <c r="T3622" t="s">
        <v>13290</v>
      </c>
      <c r="U3622" t="s">
        <v>13290</v>
      </c>
      <c r="V3622" t="s">
        <v>13290</v>
      </c>
      <c r="W3622" t="s">
        <v>16868</v>
      </c>
      <c r="X3622">
        <v>12</v>
      </c>
      <c r="Y3622" t="s">
        <v>23376</v>
      </c>
      <c r="Z3622" t="s">
        <v>29952</v>
      </c>
      <c r="AA3622">
        <v>0.59819690417920823</v>
      </c>
      <c r="AB3622" t="str">
        <f>HYPERLINK("Melting_Curves/meltCurve_Q15527_SURF2.pdf", "Melting_Curves/meltCurve_Q15527_SURF2.pdf")</f>
        <v>Melting_Curves/meltCurve_Q15527_SURF2.pdf</v>
      </c>
    </row>
    <row r="3623" spans="1:28" x14ac:dyDescent="0.25">
      <c r="A3623" t="s">
        <v>3627</v>
      </c>
      <c r="B3623">
        <v>0.99252571173614901</v>
      </c>
      <c r="C3623">
        <v>1.04087591099868</v>
      </c>
      <c r="D3623">
        <v>0.92635259952054605</v>
      </c>
      <c r="E3623">
        <v>1.2763558079991899</v>
      </c>
      <c r="F3623">
        <v>0.73357662866586604</v>
      </c>
      <c r="G3623">
        <v>0.56297622842613404</v>
      </c>
      <c r="H3623">
        <v>0.513297948583743</v>
      </c>
      <c r="I3623">
        <v>0.50174161149912899</v>
      </c>
      <c r="J3623">
        <v>0.74957272579201295</v>
      </c>
      <c r="K3623">
        <v>0.810775786085005</v>
      </c>
      <c r="S3623" t="s">
        <v>10269</v>
      </c>
      <c r="T3623" t="s">
        <v>13290</v>
      </c>
      <c r="U3623" t="s">
        <v>13291</v>
      </c>
      <c r="V3623" t="s">
        <v>13290</v>
      </c>
      <c r="W3623" t="s">
        <v>16869</v>
      </c>
      <c r="X3623">
        <v>10</v>
      </c>
      <c r="Y3623" t="s">
        <v>23377</v>
      </c>
      <c r="Z3623" t="s">
        <v>29953</v>
      </c>
      <c r="AB3623" t="str">
        <f>HYPERLINK("Melting_Curves/meltCurve_Q15545_TAF7.pdf", "Melting_Curves/meltCurve_Q15545_TAF7.pdf")</f>
        <v>Melting_Curves/meltCurve_Q15545_TAF7.pdf</v>
      </c>
    </row>
    <row r="3624" spans="1:28" x14ac:dyDescent="0.25">
      <c r="A3624" t="s">
        <v>3628</v>
      </c>
      <c r="B3624">
        <v>0.99252571173614901</v>
      </c>
      <c r="C3624">
        <v>0.96661666997974705</v>
      </c>
      <c r="D3624">
        <v>0.89070748752057205</v>
      </c>
      <c r="E3624">
        <v>0.58410652543252894</v>
      </c>
      <c r="F3624">
        <v>0.202144277704357</v>
      </c>
      <c r="G3624">
        <v>0.12100702847346299</v>
      </c>
      <c r="H3624">
        <v>8.8531093655503101E-2</v>
      </c>
      <c r="I3624">
        <v>8.5666218987786605E-2</v>
      </c>
      <c r="J3624">
        <v>8.7848449011725893E-2</v>
      </c>
      <c r="K3624">
        <v>7.8366094917278403E-2</v>
      </c>
      <c r="L3624">
        <v>1318.2030052503601</v>
      </c>
      <c r="M3624">
        <v>26.464681263714901</v>
      </c>
      <c r="N3624">
        <v>50.143192859142502</v>
      </c>
      <c r="O3624">
        <v>49.528112616822298</v>
      </c>
      <c r="P3624">
        <v>-0.122811744918135</v>
      </c>
      <c r="Q3624">
        <v>8.0651364789449495E-2</v>
      </c>
      <c r="R3624">
        <v>0.99886525111695901</v>
      </c>
      <c r="S3624" t="s">
        <v>10270</v>
      </c>
      <c r="T3624" t="s">
        <v>13290</v>
      </c>
      <c r="U3624" t="s">
        <v>13290</v>
      </c>
      <c r="V3624" t="s">
        <v>13290</v>
      </c>
      <c r="W3624" t="s">
        <v>16870</v>
      </c>
      <c r="X3624">
        <v>15</v>
      </c>
      <c r="Y3624" t="s">
        <v>23378</v>
      </c>
      <c r="Z3624" t="s">
        <v>29954</v>
      </c>
      <c r="AA3624">
        <v>0.38858459651093219</v>
      </c>
      <c r="AB3624" t="str">
        <f>HYPERLINK("Melting_Curves/meltCurve_Q15554_TERF2.pdf", "Melting_Curves/meltCurve_Q15554_TERF2.pdf")</f>
        <v>Melting_Curves/meltCurve_Q15554_TERF2.pdf</v>
      </c>
    </row>
    <row r="3625" spans="1:28" x14ac:dyDescent="0.25">
      <c r="A3625" t="s">
        <v>3629</v>
      </c>
      <c r="B3625">
        <v>0.99252571173614901</v>
      </c>
      <c r="C3625">
        <v>0.79733060539011502</v>
      </c>
      <c r="D3625">
        <v>0.33274381537833497</v>
      </c>
      <c r="E3625">
        <v>0.30052518758107299</v>
      </c>
      <c r="F3625">
        <v>0.20970684112610999</v>
      </c>
      <c r="G3625">
        <v>0.14085684273504501</v>
      </c>
      <c r="H3625">
        <v>0.13640395342727599</v>
      </c>
      <c r="I3625">
        <v>0.15189007285064099</v>
      </c>
      <c r="J3625">
        <v>0.21314017773062599</v>
      </c>
      <c r="K3625">
        <v>0.22195682845433201</v>
      </c>
      <c r="L3625">
        <v>1538.99189386187</v>
      </c>
      <c r="M3625">
        <v>34.823025180648202</v>
      </c>
      <c r="N3625">
        <v>44.813508715805099</v>
      </c>
      <c r="O3625">
        <v>44.0496709379753</v>
      </c>
      <c r="P3625">
        <v>-0.15991069840937799</v>
      </c>
      <c r="Q3625">
        <v>0.190881341508056</v>
      </c>
      <c r="R3625">
        <v>0.97756119376071504</v>
      </c>
      <c r="S3625" t="s">
        <v>10271</v>
      </c>
      <c r="T3625" t="s">
        <v>13290</v>
      </c>
      <c r="U3625" t="s">
        <v>13290</v>
      </c>
      <c r="V3625" t="s">
        <v>13290</v>
      </c>
      <c r="W3625" t="s">
        <v>16871</v>
      </c>
      <c r="X3625">
        <v>9</v>
      </c>
      <c r="Y3625" t="s">
        <v>23379</v>
      </c>
      <c r="Z3625" t="s">
        <v>29955</v>
      </c>
      <c r="AA3625">
        <v>0.30796868686327511</v>
      </c>
      <c r="AB3625" t="str">
        <f>HYPERLINK("Melting_Curves/meltCurve_Q15555_4_MAPRE2.pdf", "Melting_Curves/meltCurve_Q15555_4_MAPRE2.pdf")</f>
        <v>Melting_Curves/meltCurve_Q15555_4_MAPRE2.pdf</v>
      </c>
    </row>
    <row r="3626" spans="1:28" x14ac:dyDescent="0.25">
      <c r="A3626" t="s">
        <v>3630</v>
      </c>
      <c r="B3626">
        <v>0.99252571173614901</v>
      </c>
      <c r="C3626">
        <v>1.04746855124441</v>
      </c>
      <c r="D3626">
        <v>0.83911718481435804</v>
      </c>
      <c r="E3626">
        <v>0.56840051868864605</v>
      </c>
      <c r="F3626">
        <v>0.30321809457170701</v>
      </c>
      <c r="G3626">
        <v>0.16703714540343201</v>
      </c>
      <c r="H3626">
        <v>0.122900064353005</v>
      </c>
      <c r="I3626">
        <v>0.11819960407678599</v>
      </c>
      <c r="J3626">
        <v>0.10005852095977</v>
      </c>
      <c r="K3626">
        <v>8.8487253092225701E-2</v>
      </c>
      <c r="L3626">
        <v>1029.2784456777099</v>
      </c>
      <c r="M3626">
        <v>20.645771757051001</v>
      </c>
      <c r="N3626">
        <v>50.395344454358401</v>
      </c>
      <c r="O3626">
        <v>49.393530482015002</v>
      </c>
      <c r="P3626">
        <v>-9.4110076906735701E-2</v>
      </c>
      <c r="Q3626">
        <v>9.9419089251229498E-2</v>
      </c>
      <c r="R3626">
        <v>0.99483065567485895</v>
      </c>
      <c r="S3626" t="s">
        <v>10272</v>
      </c>
      <c r="T3626" t="s">
        <v>13290</v>
      </c>
      <c r="U3626" t="s">
        <v>13290</v>
      </c>
      <c r="V3626" t="s">
        <v>13290</v>
      </c>
      <c r="W3626" t="s">
        <v>16872</v>
      </c>
      <c r="X3626">
        <v>6</v>
      </c>
      <c r="Y3626" t="s">
        <v>23380</v>
      </c>
      <c r="Z3626" t="s">
        <v>29956</v>
      </c>
      <c r="AA3626">
        <v>0.40702000320648313</v>
      </c>
      <c r="AB3626" t="str">
        <f>HYPERLINK("Melting_Curves/meltCurve_Q15560_2_TCEA2.pdf", "Melting_Curves/meltCurve_Q15560_2_TCEA2.pdf")</f>
        <v>Melting_Curves/meltCurve_Q15560_2_TCEA2.pdf</v>
      </c>
    </row>
    <row r="3627" spans="1:28" x14ac:dyDescent="0.25">
      <c r="A3627" t="s">
        <v>3631</v>
      </c>
      <c r="B3627">
        <v>0.99252571173614901</v>
      </c>
      <c r="C3627">
        <v>1.02029496203744</v>
      </c>
      <c r="D3627">
        <v>0.91949059580501102</v>
      </c>
      <c r="E3627">
        <v>0.946522503997965</v>
      </c>
      <c r="F3627">
        <v>0.63508367567430402</v>
      </c>
      <c r="G3627">
        <v>0.46808676853130798</v>
      </c>
      <c r="H3627">
        <v>0.433204466462077</v>
      </c>
      <c r="I3627">
        <v>0.564367999188638</v>
      </c>
      <c r="J3627">
        <v>0.96979665735836396</v>
      </c>
      <c r="K3627">
        <v>1.0149845770843899</v>
      </c>
      <c r="L3627">
        <v>12479.4957033953</v>
      </c>
      <c r="M3627">
        <v>250</v>
      </c>
      <c r="O3627">
        <v>49.914810854150403</v>
      </c>
      <c r="P3627">
        <v>-0.39953003702022699</v>
      </c>
      <c r="Q3627">
        <v>0.68092068328809197</v>
      </c>
      <c r="R3627">
        <v>0.38065552072134501</v>
      </c>
      <c r="S3627" t="s">
        <v>10273</v>
      </c>
      <c r="T3627" t="s">
        <v>13290</v>
      </c>
      <c r="U3627" t="s">
        <v>13290</v>
      </c>
      <c r="V3627" t="s">
        <v>13290</v>
      </c>
      <c r="W3627" t="s">
        <v>16873</v>
      </c>
      <c r="X3627">
        <v>21</v>
      </c>
      <c r="Y3627" t="s">
        <v>23381</v>
      </c>
      <c r="Z3627" t="s">
        <v>29957</v>
      </c>
      <c r="AA3627">
        <v>0.7864360756325115</v>
      </c>
      <c r="AB3627" t="str">
        <f>HYPERLINK("Melting_Curves/meltCurve_Q15599_SLC9A3R2.pdf", "Melting_Curves/meltCurve_Q15599_SLC9A3R2.pdf")</f>
        <v>Melting_Curves/meltCurve_Q15599_SLC9A3R2.pdf</v>
      </c>
    </row>
    <row r="3628" spans="1:28" x14ac:dyDescent="0.25">
      <c r="A3628" t="s">
        <v>3632</v>
      </c>
      <c r="B3628">
        <v>0.99252571173614901</v>
      </c>
      <c r="C3628">
        <v>1.0212710896255499</v>
      </c>
      <c r="D3628">
        <v>0.59081304010120395</v>
      </c>
      <c r="E3628">
        <v>0.259185026408085</v>
      </c>
      <c r="F3628">
        <v>0.14036457445587</v>
      </c>
      <c r="G3628">
        <v>9.7086472111829497E-2</v>
      </c>
      <c r="H3628">
        <v>8.3271916845555793E-2</v>
      </c>
      <c r="I3628">
        <v>7.3860948222808906E-2</v>
      </c>
      <c r="J3628">
        <v>6.2026454616104301E-2</v>
      </c>
      <c r="K3628">
        <v>6.11803609868301E-2</v>
      </c>
      <c r="L3628">
        <v>1339.93568119515</v>
      </c>
      <c r="M3628">
        <v>28.701651628821399</v>
      </c>
      <c r="N3628">
        <v>46.982580185232102</v>
      </c>
      <c r="O3628">
        <v>46.460099967791201</v>
      </c>
      <c r="P3628">
        <v>-0.14160645463201499</v>
      </c>
      <c r="Q3628">
        <v>8.3119113798125394E-2</v>
      </c>
      <c r="R3628">
        <v>0.99019196284482902</v>
      </c>
      <c r="S3628" t="s">
        <v>10274</v>
      </c>
      <c r="T3628" t="s">
        <v>13290</v>
      </c>
      <c r="U3628" t="s">
        <v>13290</v>
      </c>
      <c r="V3628" t="s">
        <v>13290</v>
      </c>
      <c r="W3628" t="s">
        <v>16874</v>
      </c>
      <c r="X3628">
        <v>7</v>
      </c>
      <c r="Y3628" t="s">
        <v>23382</v>
      </c>
      <c r="Z3628" t="s">
        <v>29958</v>
      </c>
      <c r="AA3628">
        <v>0.29350207880876139</v>
      </c>
      <c r="AB3628" t="str">
        <f>HYPERLINK("Melting_Curves/meltCurve_Q15628_TRADD.pdf", "Melting_Curves/meltCurve_Q15628_TRADD.pdf")</f>
        <v>Melting_Curves/meltCurve_Q15628_TRADD.pdf</v>
      </c>
    </row>
    <row r="3629" spans="1:28" x14ac:dyDescent="0.25">
      <c r="A3629" t="s">
        <v>3633</v>
      </c>
      <c r="B3629">
        <v>0.99252571173614901</v>
      </c>
      <c r="C3629">
        <v>0.88735582797321899</v>
      </c>
      <c r="D3629">
        <v>0.58451487266045699</v>
      </c>
      <c r="E3629">
        <v>0.54202170326294896</v>
      </c>
      <c r="F3629">
        <v>0.40682625132494499</v>
      </c>
      <c r="G3629">
        <v>0.28219172939898202</v>
      </c>
      <c r="H3629">
        <v>0.28763529879917599</v>
      </c>
      <c r="I3629">
        <v>0.225571386736475</v>
      </c>
      <c r="J3629">
        <v>0.21371580546213301</v>
      </c>
      <c r="K3629">
        <v>0.173167575159176</v>
      </c>
      <c r="L3629">
        <v>578.52911961411996</v>
      </c>
      <c r="M3629">
        <v>12.0921414343916</v>
      </c>
      <c r="N3629">
        <v>49.837630926975798</v>
      </c>
      <c r="O3629">
        <v>46.591295151512</v>
      </c>
      <c r="P3629">
        <v>-5.2451554505604799E-2</v>
      </c>
      <c r="Q3629">
        <v>0.191801030004149</v>
      </c>
      <c r="R3629">
        <v>0.96995338544776499</v>
      </c>
      <c r="S3629" t="s">
        <v>10275</v>
      </c>
      <c r="T3629" t="s">
        <v>13290</v>
      </c>
      <c r="U3629" t="s">
        <v>13290</v>
      </c>
      <c r="V3629" t="s">
        <v>13290</v>
      </c>
      <c r="W3629" t="s">
        <v>16875</v>
      </c>
      <c r="X3629">
        <v>1</v>
      </c>
      <c r="Y3629" t="s">
        <v>23383</v>
      </c>
      <c r="Z3629" t="s">
        <v>29959</v>
      </c>
      <c r="AA3629">
        <v>0.43462824360193308</v>
      </c>
      <c r="AB3629" t="str">
        <f>HYPERLINK("Melting_Curves/meltCurve_Q15633_2_TARBP2.pdf", "Melting_Curves/meltCurve_Q15633_2_TARBP2.pdf")</f>
        <v>Melting_Curves/meltCurve_Q15633_2_TARBP2.pdf</v>
      </c>
    </row>
    <row r="3630" spans="1:28" x14ac:dyDescent="0.25">
      <c r="A3630" t="s">
        <v>3634</v>
      </c>
      <c r="B3630">
        <v>0.99252571173614901</v>
      </c>
      <c r="C3630">
        <v>1.0280158285282299</v>
      </c>
      <c r="D3630">
        <v>0.95906192514881905</v>
      </c>
      <c r="E3630">
        <v>0.95880729958529198</v>
      </c>
      <c r="F3630">
        <v>0.77412766839152203</v>
      </c>
      <c r="G3630">
        <v>0.60302081766869997</v>
      </c>
      <c r="H3630">
        <v>0.52726714200596403</v>
      </c>
      <c r="I3630">
        <v>0.62943812371997998</v>
      </c>
      <c r="J3630">
        <v>0.84619162609377996</v>
      </c>
      <c r="K3630">
        <v>0.94216632989593596</v>
      </c>
      <c r="L3630">
        <v>2649.06516371313</v>
      </c>
      <c r="M3630">
        <v>51.374536745549399</v>
      </c>
      <c r="O3630">
        <v>51.485827601380102</v>
      </c>
      <c r="P3630">
        <v>-7.20097285354004E-2</v>
      </c>
      <c r="Q3630">
        <v>0.71133733759231499</v>
      </c>
      <c r="R3630">
        <v>0.57360529584586395</v>
      </c>
      <c r="S3630" t="s">
        <v>10276</v>
      </c>
      <c r="T3630" t="s">
        <v>13290</v>
      </c>
      <c r="U3630" t="s">
        <v>13290</v>
      </c>
      <c r="V3630" t="s">
        <v>13290</v>
      </c>
      <c r="W3630" t="s">
        <v>16876</v>
      </c>
      <c r="X3630">
        <v>27</v>
      </c>
      <c r="Y3630" t="s">
        <v>20889</v>
      </c>
      <c r="Z3630" t="s">
        <v>29960</v>
      </c>
      <c r="AA3630">
        <v>0.82322672011320963</v>
      </c>
      <c r="AB3630" t="str">
        <f>HYPERLINK("Melting_Curves/meltCurve_Q15637_5_SF1.pdf", "Melting_Curves/meltCurve_Q15637_5_SF1.pdf")</f>
        <v>Melting_Curves/meltCurve_Q15637_5_SF1.pdf</v>
      </c>
    </row>
    <row r="3631" spans="1:28" x14ac:dyDescent="0.25">
      <c r="A3631" t="s">
        <v>3635</v>
      </c>
      <c r="B3631">
        <v>0.99252571173614901</v>
      </c>
      <c r="C3631">
        <v>0.97351804482286297</v>
      </c>
      <c r="D3631">
        <v>0.84978637501825205</v>
      </c>
      <c r="E3631">
        <v>0.65291468929811503</v>
      </c>
      <c r="F3631">
        <v>0.571345328123124</v>
      </c>
      <c r="G3631">
        <v>0.28278465184166401</v>
      </c>
      <c r="H3631">
        <v>0.198540599240771</v>
      </c>
      <c r="I3631">
        <v>0.17525373134494501</v>
      </c>
      <c r="J3631">
        <v>0.162773353198648</v>
      </c>
      <c r="K3631">
        <v>0.21270617481297799</v>
      </c>
      <c r="L3631">
        <v>729.15422936101197</v>
      </c>
      <c r="M3631">
        <v>14.117018369533101</v>
      </c>
      <c r="N3631">
        <v>52.876504155237797</v>
      </c>
      <c r="O3631">
        <v>50.647425017267402</v>
      </c>
      <c r="P3631">
        <v>-5.9966215897248903E-2</v>
      </c>
      <c r="Q3631">
        <v>0.13955044638816499</v>
      </c>
      <c r="R3631">
        <v>0.98448589462179303</v>
      </c>
      <c r="S3631" t="s">
        <v>10277</v>
      </c>
      <c r="T3631" t="s">
        <v>13290</v>
      </c>
      <c r="U3631" t="s">
        <v>13290</v>
      </c>
      <c r="V3631" t="s">
        <v>13290</v>
      </c>
      <c r="W3631" t="s">
        <v>16877</v>
      </c>
      <c r="X3631">
        <v>25</v>
      </c>
      <c r="Y3631" t="s">
        <v>20889</v>
      </c>
      <c r="Z3631" t="s">
        <v>29961</v>
      </c>
      <c r="AA3631">
        <v>0.49508877122024758</v>
      </c>
      <c r="AB3631" t="str">
        <f>HYPERLINK("Melting_Curves/meltCurve_Q15637_6_SF1.pdf", "Melting_Curves/meltCurve_Q15637_6_SF1.pdf")</f>
        <v>Melting_Curves/meltCurve_Q15637_6_SF1.pdf</v>
      </c>
    </row>
    <row r="3632" spans="1:28" x14ac:dyDescent="0.25">
      <c r="A3632" t="s">
        <v>3636</v>
      </c>
      <c r="B3632">
        <v>0.99252571173614901</v>
      </c>
      <c r="C3632">
        <v>1.0547656296677099</v>
      </c>
      <c r="D3632">
        <v>0.96169780677310002</v>
      </c>
      <c r="E3632">
        <v>0.71409233125828397</v>
      </c>
      <c r="F3632">
        <v>0.19557912512467099</v>
      </c>
      <c r="G3632">
        <v>0.114904401527457</v>
      </c>
      <c r="H3632">
        <v>7.8171563566503594E-2</v>
      </c>
      <c r="I3632">
        <v>9.1783018444200795E-2</v>
      </c>
      <c r="J3632">
        <v>0.125399347444725</v>
      </c>
      <c r="K3632">
        <v>0.119911723000186</v>
      </c>
      <c r="L3632">
        <v>2101.5764216625698</v>
      </c>
      <c r="M3632">
        <v>41.628218179129298</v>
      </c>
      <c r="N3632">
        <v>50.767553351081602</v>
      </c>
      <c r="O3632">
        <v>50.368351482482197</v>
      </c>
      <c r="P3632">
        <v>-0.185215319850455</v>
      </c>
      <c r="Q3632">
        <v>0.10359163760596</v>
      </c>
      <c r="R3632">
        <v>0.99681715849260799</v>
      </c>
      <c r="S3632" t="s">
        <v>10278</v>
      </c>
      <c r="T3632" t="s">
        <v>13290</v>
      </c>
      <c r="U3632" t="s">
        <v>13290</v>
      </c>
      <c r="V3632" t="s">
        <v>13290</v>
      </c>
      <c r="W3632" t="s">
        <v>16878</v>
      </c>
      <c r="X3632">
        <v>5</v>
      </c>
      <c r="Y3632" t="s">
        <v>23384</v>
      </c>
      <c r="Z3632" t="s">
        <v>29962</v>
      </c>
      <c r="AA3632">
        <v>0.41975580186526251</v>
      </c>
      <c r="AB3632" t="str">
        <f>HYPERLINK("Melting_Curves/meltCurve_Q15642_TRIP10.pdf", "Melting_Curves/meltCurve_Q15642_TRIP10.pdf")</f>
        <v>Melting_Curves/meltCurve_Q15642_TRIP10.pdf</v>
      </c>
    </row>
    <row r="3633" spans="1:28" x14ac:dyDescent="0.25">
      <c r="A3633" t="s">
        <v>3637</v>
      </c>
      <c r="B3633">
        <v>0.99252571173614901</v>
      </c>
      <c r="C3633">
        <v>0.69140869164320795</v>
      </c>
      <c r="D3633">
        <v>0.25034591346451202</v>
      </c>
      <c r="E3633">
        <v>0.19429869207169601</v>
      </c>
      <c r="F3633">
        <v>0.12729168830347101</v>
      </c>
      <c r="G3633">
        <v>8.2331825575094997E-2</v>
      </c>
      <c r="H3633">
        <v>6.7739280900730003E-2</v>
      </c>
      <c r="I3633">
        <v>7.8694312320835E-2</v>
      </c>
      <c r="J3633">
        <v>0.10889768234599199</v>
      </c>
      <c r="K3633">
        <v>0.11440836735733</v>
      </c>
      <c r="L3633">
        <v>1416.8808741038899</v>
      </c>
      <c r="M3633">
        <v>32.357381698817903</v>
      </c>
      <c r="N3633">
        <v>44.111837464079102</v>
      </c>
      <c r="O3633">
        <v>43.622255930390303</v>
      </c>
      <c r="P3633">
        <v>-0.165863202845108</v>
      </c>
      <c r="Q3633">
        <v>0.105577545063269</v>
      </c>
      <c r="R3633">
        <v>0.98972018097543002</v>
      </c>
      <c r="S3633" t="s">
        <v>10279</v>
      </c>
      <c r="T3633" t="s">
        <v>13290</v>
      </c>
      <c r="U3633" t="s">
        <v>13290</v>
      </c>
      <c r="V3633" t="s">
        <v>13290</v>
      </c>
      <c r="W3633" t="s">
        <v>16879</v>
      </c>
      <c r="X3633">
        <v>27</v>
      </c>
      <c r="Y3633" t="s">
        <v>23385</v>
      </c>
      <c r="Z3633" t="s">
        <v>29963</v>
      </c>
      <c r="AA3633">
        <v>0.22414000184514529</v>
      </c>
      <c r="AB3633" t="str">
        <f>HYPERLINK("Melting_Curves/meltCurve_Q15643_TRIP11.pdf", "Melting_Curves/meltCurve_Q15643_TRIP11.pdf")</f>
        <v>Melting_Curves/meltCurve_Q15643_TRIP11.pdf</v>
      </c>
    </row>
    <row r="3634" spans="1:28" x14ac:dyDescent="0.25">
      <c r="A3634" t="s">
        <v>3638</v>
      </c>
      <c r="B3634">
        <v>0.99252571173614901</v>
      </c>
      <c r="C3634">
        <v>0.98604583430105397</v>
      </c>
      <c r="D3634">
        <v>0.849651442854234</v>
      </c>
      <c r="E3634">
        <v>0.58995387926676601</v>
      </c>
      <c r="F3634">
        <v>0.192440480092643</v>
      </c>
      <c r="G3634">
        <v>8.1817562236626895E-2</v>
      </c>
      <c r="H3634">
        <v>5.4048270713020798E-2</v>
      </c>
      <c r="I3634">
        <v>5.14278367356907E-2</v>
      </c>
      <c r="J3634">
        <v>5.8455590362531E-2</v>
      </c>
      <c r="K3634">
        <v>5.9746568038305997E-2</v>
      </c>
      <c r="L3634">
        <v>1212.05995912187</v>
      </c>
      <c r="M3634">
        <v>24.298083828824499</v>
      </c>
      <c r="N3634">
        <v>50.081895915552799</v>
      </c>
      <c r="O3634">
        <v>49.5487498835992</v>
      </c>
      <c r="P3634">
        <v>-0.116958389788239</v>
      </c>
      <c r="Q3634">
        <v>4.6006306014107198E-2</v>
      </c>
      <c r="R3634">
        <v>0.99742096005019099</v>
      </c>
      <c r="S3634" t="s">
        <v>10280</v>
      </c>
      <c r="T3634" t="s">
        <v>13290</v>
      </c>
      <c r="U3634" t="s">
        <v>13290</v>
      </c>
      <c r="V3634" t="s">
        <v>13290</v>
      </c>
      <c r="W3634" t="s">
        <v>16880</v>
      </c>
      <c r="X3634">
        <v>11</v>
      </c>
      <c r="Y3634" t="s">
        <v>23386</v>
      </c>
      <c r="Z3634" t="s">
        <v>29964</v>
      </c>
      <c r="AA3634">
        <v>0.36930125220097121</v>
      </c>
      <c r="AB3634" t="str">
        <f>HYPERLINK("Melting_Curves/meltCurve_Q15645_TRIP13.pdf", "Melting_Curves/meltCurve_Q15645_TRIP13.pdf")</f>
        <v>Melting_Curves/meltCurve_Q15645_TRIP13.pdf</v>
      </c>
    </row>
    <row r="3635" spans="1:28" x14ac:dyDescent="0.25">
      <c r="A3635" t="s">
        <v>3639</v>
      </c>
      <c r="B3635">
        <v>0.99252571173614901</v>
      </c>
      <c r="C3635">
        <v>0.97437946770654904</v>
      </c>
      <c r="D3635">
        <v>0.88691970624296201</v>
      </c>
      <c r="E3635">
        <v>0.79024286339889105</v>
      </c>
      <c r="F3635">
        <v>0.36462553806162301</v>
      </c>
      <c r="G3635">
        <v>0.18701725576401201</v>
      </c>
      <c r="H3635">
        <v>0.157073521931965</v>
      </c>
      <c r="I3635">
        <v>0.206621954009956</v>
      </c>
      <c r="J3635">
        <v>0.28914471914812601</v>
      </c>
      <c r="K3635">
        <v>0.29262514010131402</v>
      </c>
      <c r="L3635">
        <v>1776.18418697017</v>
      </c>
      <c r="M3635">
        <v>34.9199921814308</v>
      </c>
      <c r="N3635">
        <v>51.740867242592699</v>
      </c>
      <c r="O3635">
        <v>50.698456395772403</v>
      </c>
      <c r="P3635">
        <v>-0.13375067432556301</v>
      </c>
      <c r="Q3635">
        <v>0.22326126542697</v>
      </c>
      <c r="R3635">
        <v>0.97553531607081201</v>
      </c>
      <c r="S3635" t="s">
        <v>10281</v>
      </c>
      <c r="T3635" t="s">
        <v>13290</v>
      </c>
      <c r="U3635" t="s">
        <v>13290</v>
      </c>
      <c r="V3635" t="s">
        <v>13290</v>
      </c>
      <c r="W3635" t="s">
        <v>16881</v>
      </c>
      <c r="X3635">
        <v>8</v>
      </c>
      <c r="Y3635" t="s">
        <v>23387</v>
      </c>
      <c r="Z3635" t="s">
        <v>29965</v>
      </c>
      <c r="AA3635">
        <v>0.50814490991709449</v>
      </c>
      <c r="AB3635" t="str">
        <f>HYPERLINK("Melting_Curves/meltCurve_Q15648_MED1.pdf", "Melting_Curves/meltCurve_Q15648_MED1.pdf")</f>
        <v>Melting_Curves/meltCurve_Q15648_MED1.pdf</v>
      </c>
    </row>
    <row r="3636" spans="1:28" x14ac:dyDescent="0.25">
      <c r="A3636" t="s">
        <v>3640</v>
      </c>
      <c r="B3636">
        <v>0.99252571173614901</v>
      </c>
      <c r="C3636">
        <v>1.0107836842397799</v>
      </c>
      <c r="D3636">
        <v>0.96703379243277698</v>
      </c>
      <c r="E3636">
        <v>0.90373967784417697</v>
      </c>
      <c r="F3636">
        <v>0.597108034492568</v>
      </c>
      <c r="G3636">
        <v>0.43195772338927602</v>
      </c>
      <c r="H3636">
        <v>0.35189310194408002</v>
      </c>
      <c r="I3636">
        <v>0.366647887285318</v>
      </c>
      <c r="J3636">
        <v>0.365705843651421</v>
      </c>
      <c r="K3636">
        <v>0.33996313607376499</v>
      </c>
      <c r="L3636">
        <v>1501.47097800201</v>
      </c>
      <c r="M3636">
        <v>28.6636669314748</v>
      </c>
      <c r="N3636">
        <v>54.7342668819294</v>
      </c>
      <c r="O3636">
        <v>52.1294024226898</v>
      </c>
      <c r="P3636">
        <v>-8.8789294555103399E-2</v>
      </c>
      <c r="Q3636">
        <v>0.35409566776511298</v>
      </c>
      <c r="R3636">
        <v>0.99788348847513098</v>
      </c>
      <c r="S3636" t="s">
        <v>10282</v>
      </c>
      <c r="T3636" t="s">
        <v>13290</v>
      </c>
      <c r="U3636" t="s">
        <v>13290</v>
      </c>
      <c r="V3636" t="s">
        <v>13290</v>
      </c>
      <c r="W3636" t="s">
        <v>16882</v>
      </c>
      <c r="X3636">
        <v>4</v>
      </c>
      <c r="Y3636" t="s">
        <v>23388</v>
      </c>
      <c r="Z3636" t="s">
        <v>29966</v>
      </c>
      <c r="AA3636">
        <v>0.62523068461283349</v>
      </c>
      <c r="AB3636" t="str">
        <f>HYPERLINK("Melting_Curves/meltCurve_Q15649_ZNHIT3.pdf", "Melting_Curves/meltCurve_Q15649_ZNHIT3.pdf")</f>
        <v>Melting_Curves/meltCurve_Q15649_ZNHIT3.pdf</v>
      </c>
    </row>
    <row r="3637" spans="1:28" x14ac:dyDescent="0.25">
      <c r="A3637" t="s">
        <v>3641</v>
      </c>
      <c r="B3637">
        <v>0.99252571173614901</v>
      </c>
      <c r="C3637">
        <v>1.0298488844003499</v>
      </c>
      <c r="D3637">
        <v>0.84562472282858503</v>
      </c>
      <c r="E3637">
        <v>0.81252422801521296</v>
      </c>
      <c r="F3637">
        <v>0.93064801704282396</v>
      </c>
      <c r="G3637">
        <v>0.87171964283330905</v>
      </c>
      <c r="H3637">
        <v>1.02957688865538</v>
      </c>
      <c r="I3637">
        <v>1.50810316446647</v>
      </c>
      <c r="J3637">
        <v>3.0371522384065099</v>
      </c>
      <c r="K3637">
        <v>3.4795531714069101</v>
      </c>
      <c r="L3637">
        <v>15000</v>
      </c>
      <c r="M3637">
        <v>243.94425511029999</v>
      </c>
      <c r="O3637">
        <v>61.485331284503303</v>
      </c>
      <c r="P3637">
        <v>0.49593999585885001</v>
      </c>
      <c r="Q3637">
        <v>1.5</v>
      </c>
      <c r="R3637">
        <v>0.25839943673645999</v>
      </c>
      <c r="S3637" t="s">
        <v>10283</v>
      </c>
      <c r="T3637" t="s">
        <v>13290</v>
      </c>
      <c r="U3637" t="s">
        <v>13290</v>
      </c>
      <c r="V3637" t="s">
        <v>13290</v>
      </c>
      <c r="W3637" t="s">
        <v>16883</v>
      </c>
      <c r="X3637">
        <v>4</v>
      </c>
      <c r="Y3637" t="s">
        <v>23389</v>
      </c>
      <c r="Z3637" t="s">
        <v>29967</v>
      </c>
      <c r="AA3637">
        <v>1.141785699377295</v>
      </c>
      <c r="AB3637" t="str">
        <f>HYPERLINK("Melting_Curves/meltCurve_Q15651_HMGN3.pdf", "Melting_Curves/meltCurve_Q15651_HMGN3.pdf")</f>
        <v>Melting_Curves/meltCurve_Q15651_HMGN3.pdf</v>
      </c>
    </row>
    <row r="3638" spans="1:28" x14ac:dyDescent="0.25">
      <c r="A3638" t="s">
        <v>3642</v>
      </c>
      <c r="B3638">
        <v>0.99252571173614901</v>
      </c>
      <c r="C3638">
        <v>0.96306634249961598</v>
      </c>
      <c r="D3638">
        <v>0.84238934968163204</v>
      </c>
      <c r="E3638">
        <v>0.66531949062806806</v>
      </c>
      <c r="F3638">
        <v>0.35786816450613301</v>
      </c>
      <c r="G3638">
        <v>0.246062129641577</v>
      </c>
      <c r="H3638">
        <v>0.23335121025073199</v>
      </c>
      <c r="I3638">
        <v>0.312316488610345</v>
      </c>
      <c r="J3638">
        <v>0.56416732043073803</v>
      </c>
      <c r="K3638">
        <v>0.73765475533878699</v>
      </c>
      <c r="L3638">
        <v>1432.4225052152799</v>
      </c>
      <c r="M3638">
        <v>29.656369875149199</v>
      </c>
      <c r="N3638">
        <v>51.240590292949904</v>
      </c>
      <c r="O3638">
        <v>48.082650710983401</v>
      </c>
      <c r="P3638">
        <v>-9.1160945104825197E-2</v>
      </c>
      <c r="Q3638">
        <v>0.408797554026745</v>
      </c>
      <c r="R3638">
        <v>0.71794055494242603</v>
      </c>
      <c r="S3638" t="s">
        <v>10284</v>
      </c>
      <c r="T3638" t="s">
        <v>13290</v>
      </c>
      <c r="U3638" t="s">
        <v>13290</v>
      </c>
      <c r="V3638" t="s">
        <v>13290</v>
      </c>
      <c r="W3638" t="s">
        <v>16884</v>
      </c>
      <c r="X3638">
        <v>8</v>
      </c>
      <c r="Y3638" t="s">
        <v>23390</v>
      </c>
      <c r="Z3638" t="s">
        <v>29968</v>
      </c>
      <c r="AA3638">
        <v>0.57603196275258717</v>
      </c>
      <c r="AB3638" t="str">
        <f>HYPERLINK("Melting_Curves/meltCurve_Q15652_3_JMJD1C.pdf", "Melting_Curves/meltCurve_Q15652_3_JMJD1C.pdf")</f>
        <v>Melting_Curves/meltCurve_Q15652_3_JMJD1C.pdf</v>
      </c>
    </row>
    <row r="3639" spans="1:28" x14ac:dyDescent="0.25">
      <c r="A3639" t="s">
        <v>3643</v>
      </c>
      <c r="B3639">
        <v>0.99252571173614901</v>
      </c>
      <c r="C3639">
        <v>1.0494669388550599</v>
      </c>
      <c r="D3639">
        <v>0.94526723031942195</v>
      </c>
      <c r="E3639">
        <v>0.80012879779316104</v>
      </c>
      <c r="F3639">
        <v>0.43489687913109598</v>
      </c>
      <c r="G3639">
        <v>0.26086557323139098</v>
      </c>
      <c r="H3639">
        <v>0.170429387723839</v>
      </c>
      <c r="I3639">
        <v>0.154802407896279</v>
      </c>
      <c r="J3639">
        <v>0.18278049324154699</v>
      </c>
      <c r="K3639">
        <v>0.19813131213945401</v>
      </c>
      <c r="L3639">
        <v>1346.40002777109</v>
      </c>
      <c r="M3639">
        <v>26.0438457473523</v>
      </c>
      <c r="N3639">
        <v>52.554864553416898</v>
      </c>
      <c r="O3639">
        <v>51.395525498317397</v>
      </c>
      <c r="P3639">
        <v>-0.104757496045746</v>
      </c>
      <c r="Q3639">
        <v>0.173086025473909</v>
      </c>
      <c r="R3639">
        <v>0.99594391409141503</v>
      </c>
      <c r="S3639" t="s">
        <v>10285</v>
      </c>
      <c r="T3639" t="s">
        <v>13290</v>
      </c>
      <c r="U3639" t="s">
        <v>13290</v>
      </c>
      <c r="V3639" t="s">
        <v>13290</v>
      </c>
      <c r="W3639" t="s">
        <v>16885</v>
      </c>
      <c r="X3639">
        <v>13</v>
      </c>
      <c r="Y3639" t="s">
        <v>23391</v>
      </c>
      <c r="Z3639" t="s">
        <v>29969</v>
      </c>
      <c r="AA3639">
        <v>0.50246207632069328</v>
      </c>
      <c r="AB3639" t="str">
        <f>HYPERLINK("Melting_Curves/meltCurve_Q15654_TRIP6.pdf", "Melting_Curves/meltCurve_Q15654_TRIP6.pdf")</f>
        <v>Melting_Curves/meltCurve_Q15654_TRIP6.pdf</v>
      </c>
    </row>
    <row r="3640" spans="1:28" x14ac:dyDescent="0.25">
      <c r="A3640" t="s">
        <v>3644</v>
      </c>
      <c r="B3640">
        <v>0.99252571173614901</v>
      </c>
      <c r="C3640">
        <v>0.85624665810703204</v>
      </c>
      <c r="D3640">
        <v>1.0634144257474001</v>
      </c>
      <c r="E3640">
        <v>0.88670009195682897</v>
      </c>
      <c r="F3640">
        <v>0.21663440222149</v>
      </c>
      <c r="G3640">
        <v>0.109605416623688</v>
      </c>
      <c r="H3640">
        <v>6.7493444378000297E-2</v>
      </c>
      <c r="I3640">
        <v>6.2153060092556403E-2</v>
      </c>
      <c r="J3640">
        <v>7.0777091077783794E-2</v>
      </c>
      <c r="K3640">
        <v>6.9922626868529805E-2</v>
      </c>
      <c r="L3640">
        <v>2688.0675444149101</v>
      </c>
      <c r="M3640">
        <v>52.216694785795902</v>
      </c>
      <c r="N3640">
        <v>51.637910038717003</v>
      </c>
      <c r="O3640">
        <v>51.403747939250898</v>
      </c>
      <c r="P3640">
        <v>-0.235113941336801</v>
      </c>
      <c r="Q3640">
        <v>7.4186637396184696E-2</v>
      </c>
      <c r="R3640">
        <v>0.985390803689562</v>
      </c>
      <c r="S3640" t="s">
        <v>10286</v>
      </c>
      <c r="T3640" t="s">
        <v>13290</v>
      </c>
      <c r="U3640" t="s">
        <v>13290</v>
      </c>
      <c r="V3640" t="s">
        <v>13290</v>
      </c>
      <c r="W3640" t="s">
        <v>16886</v>
      </c>
      <c r="X3640">
        <v>16</v>
      </c>
      <c r="Y3640" t="s">
        <v>23392</v>
      </c>
      <c r="Z3640" t="s">
        <v>29970</v>
      </c>
      <c r="AA3640">
        <v>0.43036288379484322</v>
      </c>
      <c r="AB3640" t="str">
        <f>HYPERLINK("Melting_Curves/meltCurve_Q15691_MAPRE1.pdf", "Melting_Curves/meltCurve_Q15691_MAPRE1.pdf")</f>
        <v>Melting_Curves/meltCurve_Q15691_MAPRE1.pdf</v>
      </c>
    </row>
    <row r="3641" spans="1:28" x14ac:dyDescent="0.25">
      <c r="A3641" t="s">
        <v>3645</v>
      </c>
      <c r="B3641">
        <v>0.99252571173614901</v>
      </c>
      <c r="C3641">
        <v>1.08206620951253</v>
      </c>
      <c r="D3641">
        <v>0.97455573378879001</v>
      </c>
      <c r="E3641">
        <v>0.90200658877648598</v>
      </c>
      <c r="F3641">
        <v>0.65500647326794703</v>
      </c>
      <c r="G3641">
        <v>0.53464599373409705</v>
      </c>
      <c r="H3641">
        <v>0.52211950947342001</v>
      </c>
      <c r="I3641">
        <v>0.73507837784404795</v>
      </c>
      <c r="J3641">
        <v>1.08298551206419</v>
      </c>
      <c r="K3641">
        <v>1.1865722272430399</v>
      </c>
      <c r="L3641">
        <v>12408.3407241596</v>
      </c>
      <c r="M3641">
        <v>250</v>
      </c>
      <c r="O3641">
        <v>49.630186684573502</v>
      </c>
      <c r="P3641">
        <v>-0.269407589600765</v>
      </c>
      <c r="Q3641">
        <v>0.78606801676664695</v>
      </c>
      <c r="R3641">
        <v>0.206985696160154</v>
      </c>
      <c r="S3641" t="s">
        <v>10287</v>
      </c>
      <c r="T3641" t="s">
        <v>13290</v>
      </c>
      <c r="U3641" t="s">
        <v>13290</v>
      </c>
      <c r="V3641" t="s">
        <v>13290</v>
      </c>
      <c r="W3641" t="s">
        <v>16887</v>
      </c>
      <c r="X3641">
        <v>9</v>
      </c>
      <c r="Y3641" t="s">
        <v>23393</v>
      </c>
      <c r="Z3641" t="s">
        <v>29971</v>
      </c>
      <c r="AA3641">
        <v>0.85478279913493638</v>
      </c>
      <c r="AB3641" t="str">
        <f>HYPERLINK("Melting_Curves/meltCurve_Q15714_TSC22D1.pdf", "Melting_Curves/meltCurve_Q15714_TSC22D1.pdf")</f>
        <v>Melting_Curves/meltCurve_Q15714_TSC22D1.pdf</v>
      </c>
    </row>
    <row r="3642" spans="1:28" x14ac:dyDescent="0.25">
      <c r="A3642" t="s">
        <v>3646</v>
      </c>
      <c r="B3642">
        <v>0.99252571173614901</v>
      </c>
      <c r="C3642">
        <v>1.04583982709053</v>
      </c>
      <c r="D3642">
        <v>0.88626509413785803</v>
      </c>
      <c r="E3642">
        <v>0.50131870577419801</v>
      </c>
      <c r="F3642">
        <v>0.290740404544785</v>
      </c>
      <c r="G3642">
        <v>0.20665934244159501</v>
      </c>
      <c r="H3642">
        <v>0.17154612681878501</v>
      </c>
      <c r="I3642">
        <v>0.18010461763503999</v>
      </c>
      <c r="J3642">
        <v>0.221666398887262</v>
      </c>
      <c r="K3642">
        <v>0.166977334690871</v>
      </c>
      <c r="L3642">
        <v>1407.36554316047</v>
      </c>
      <c r="M3642">
        <v>28.773975951581001</v>
      </c>
      <c r="N3642">
        <v>49.734097679159099</v>
      </c>
      <c r="O3642">
        <v>48.676659026588297</v>
      </c>
      <c r="P3642">
        <v>-0.119788971295908</v>
      </c>
      <c r="Q3642">
        <v>0.189423152500205</v>
      </c>
      <c r="R3642">
        <v>0.99443514868497096</v>
      </c>
      <c r="S3642" t="s">
        <v>10288</v>
      </c>
      <c r="T3642" t="s">
        <v>13290</v>
      </c>
      <c r="U3642" t="s">
        <v>13290</v>
      </c>
      <c r="V3642" t="s">
        <v>13290</v>
      </c>
      <c r="W3642" t="s">
        <v>16888</v>
      </c>
      <c r="X3642">
        <v>7</v>
      </c>
      <c r="Y3642" t="s">
        <v>23394</v>
      </c>
      <c r="Z3642" t="s">
        <v>29972</v>
      </c>
      <c r="AA3642">
        <v>0.43556515224922582</v>
      </c>
      <c r="AB3642" t="str">
        <f>HYPERLINK("Melting_Curves/meltCurve_Q15717_ELAVL1.pdf", "Melting_Curves/meltCurve_Q15717_ELAVL1.pdf")</f>
        <v>Melting_Curves/meltCurve_Q15717_ELAVL1.pdf</v>
      </c>
    </row>
    <row r="3643" spans="1:28" x14ac:dyDescent="0.25">
      <c r="A3643" t="s">
        <v>3647</v>
      </c>
      <c r="B3643">
        <v>0.99252571173614901</v>
      </c>
      <c r="C3643">
        <v>1.0191035716813801</v>
      </c>
      <c r="D3643">
        <v>0.93071995521527895</v>
      </c>
      <c r="E3643">
        <v>0.72317988917950404</v>
      </c>
      <c r="F3643">
        <v>0.30907225173921798</v>
      </c>
      <c r="G3643">
        <v>0.11517179018783</v>
      </c>
      <c r="H3643">
        <v>6.0906558101707198E-2</v>
      </c>
      <c r="I3643">
        <v>6.26953351829172E-2</v>
      </c>
      <c r="J3643">
        <v>7.8401450930777106E-2</v>
      </c>
      <c r="K3643">
        <v>7.9953366181250402E-2</v>
      </c>
      <c r="L3643">
        <v>1383.4012343970401</v>
      </c>
      <c r="M3643">
        <v>27.055120084028601</v>
      </c>
      <c r="N3643">
        <v>51.395234044985997</v>
      </c>
      <c r="O3643">
        <v>50.855793336552203</v>
      </c>
      <c r="P3643">
        <v>-0.124416761341802</v>
      </c>
      <c r="Q3643">
        <v>6.4539222640604396E-2</v>
      </c>
      <c r="R3643">
        <v>0.99872716898659597</v>
      </c>
      <c r="S3643" t="s">
        <v>10289</v>
      </c>
      <c r="T3643" t="s">
        <v>13290</v>
      </c>
      <c r="U3643" t="s">
        <v>13290</v>
      </c>
      <c r="V3643" t="s">
        <v>13290</v>
      </c>
      <c r="W3643" t="s">
        <v>16889</v>
      </c>
      <c r="X3643">
        <v>18</v>
      </c>
      <c r="Y3643" t="s">
        <v>23395</v>
      </c>
      <c r="Z3643" t="s">
        <v>29973</v>
      </c>
      <c r="AA3643">
        <v>0.41892096506648602</v>
      </c>
      <c r="AB3643" t="str">
        <f>HYPERLINK("Melting_Curves/meltCurve_Q15738_NSDHL.pdf", "Melting_Curves/meltCurve_Q15738_NSDHL.pdf")</f>
        <v>Melting_Curves/meltCurve_Q15738_NSDHL.pdf</v>
      </c>
    </row>
    <row r="3644" spans="1:28" x14ac:dyDescent="0.25">
      <c r="A3644" t="s">
        <v>3648</v>
      </c>
      <c r="B3644">
        <v>0.99252571173614901</v>
      </c>
      <c r="C3644">
        <v>1.0006198931851999</v>
      </c>
      <c r="D3644">
        <v>0.80819425968799796</v>
      </c>
      <c r="E3644">
        <v>0.31201426460346399</v>
      </c>
      <c r="F3644">
        <v>0.19505235525730599</v>
      </c>
      <c r="G3644">
        <v>0.122246979307186</v>
      </c>
      <c r="H3644">
        <v>9.55945139261523E-2</v>
      </c>
      <c r="I3644">
        <v>7.59511735519907E-2</v>
      </c>
      <c r="J3644">
        <v>6.9888036585212102E-2</v>
      </c>
      <c r="K3644">
        <v>6.9587674784279699E-2</v>
      </c>
      <c r="L3644">
        <v>1439.1205549874701</v>
      </c>
      <c r="M3644">
        <v>30.014329747288802</v>
      </c>
      <c r="N3644">
        <v>48.276412472732602</v>
      </c>
      <c r="O3644">
        <v>47.736452839251697</v>
      </c>
      <c r="P3644">
        <v>-0.14266491056227101</v>
      </c>
      <c r="Q3644">
        <v>9.2397304786196205E-2</v>
      </c>
      <c r="R3644">
        <v>0.99537862910069397</v>
      </c>
      <c r="S3644" t="s">
        <v>10290</v>
      </c>
      <c r="T3644" t="s">
        <v>13290</v>
      </c>
      <c r="U3644" t="s">
        <v>13290</v>
      </c>
      <c r="V3644" t="s">
        <v>13290</v>
      </c>
      <c r="W3644" t="s">
        <v>16890</v>
      </c>
      <c r="X3644">
        <v>13</v>
      </c>
      <c r="Y3644" t="s">
        <v>23396</v>
      </c>
      <c r="Z3644" t="s">
        <v>29974</v>
      </c>
      <c r="AA3644">
        <v>0.33829953118835687</v>
      </c>
      <c r="AB3644" t="str">
        <f>HYPERLINK("Melting_Curves/meltCurve_Q15750_2_TAB1.pdf", "Melting_Curves/meltCurve_Q15750_2_TAB1.pdf")</f>
        <v>Melting_Curves/meltCurve_Q15750_2_TAB1.pdf</v>
      </c>
    </row>
    <row r="3645" spans="1:28" x14ac:dyDescent="0.25">
      <c r="A3645" t="s">
        <v>3649</v>
      </c>
      <c r="B3645">
        <v>0.99252571173614901</v>
      </c>
      <c r="C3645">
        <v>0.91701390192169197</v>
      </c>
      <c r="D3645">
        <v>0.85973505307956799</v>
      </c>
      <c r="E3645">
        <v>0.94018954734249804</v>
      </c>
      <c r="F3645">
        <v>0.80535577197215802</v>
      </c>
      <c r="G3645">
        <v>0.66495958159319601</v>
      </c>
      <c r="H3645">
        <v>0.61249122298868197</v>
      </c>
      <c r="I3645">
        <v>0.96306304565596801</v>
      </c>
      <c r="J3645">
        <v>1.69275912686332</v>
      </c>
      <c r="K3645">
        <v>1.4096485455647501</v>
      </c>
      <c r="L3645">
        <v>15000</v>
      </c>
      <c r="M3645">
        <v>229.73628434822899</v>
      </c>
      <c r="O3645">
        <v>65.287305787524403</v>
      </c>
      <c r="P3645">
        <v>0.439856335373774</v>
      </c>
      <c r="Q3645">
        <v>1.5</v>
      </c>
      <c r="R3645">
        <v>0.61337366305210295</v>
      </c>
      <c r="S3645" t="s">
        <v>10291</v>
      </c>
      <c r="T3645" t="s">
        <v>13290</v>
      </c>
      <c r="U3645" t="s">
        <v>13290</v>
      </c>
      <c r="V3645" t="s">
        <v>13290</v>
      </c>
      <c r="W3645" t="s">
        <v>16891</v>
      </c>
      <c r="X3645">
        <v>14</v>
      </c>
      <c r="Y3645" t="s">
        <v>23397</v>
      </c>
      <c r="Z3645" t="s">
        <v>29975</v>
      </c>
      <c r="AA3645">
        <v>1.078394573117925</v>
      </c>
      <c r="AB3645" t="str">
        <f>HYPERLINK("Melting_Curves/meltCurve_Q15758_SLC1A5.pdf", "Melting_Curves/meltCurve_Q15758_SLC1A5.pdf")</f>
        <v>Melting_Curves/meltCurve_Q15758_SLC1A5.pdf</v>
      </c>
    </row>
    <row r="3646" spans="1:28" x14ac:dyDescent="0.25">
      <c r="A3646" t="s">
        <v>3650</v>
      </c>
      <c r="B3646">
        <v>0.99252571173614901</v>
      </c>
      <c r="C3646">
        <v>0.96049763493752804</v>
      </c>
      <c r="D3646">
        <v>0.89138342114825297</v>
      </c>
      <c r="E3646">
        <v>0.69876749176352404</v>
      </c>
      <c r="F3646">
        <v>0.35074425237434198</v>
      </c>
      <c r="G3646">
        <v>0.17934525205579999</v>
      </c>
      <c r="H3646">
        <v>8.6692915103971993E-2</v>
      </c>
      <c r="I3646">
        <v>7.67003561197247E-2</v>
      </c>
      <c r="J3646">
        <v>7.3547796648250993E-2</v>
      </c>
      <c r="K3646">
        <v>7.1003196843361094E-2</v>
      </c>
      <c r="L3646">
        <v>1021.03636182401</v>
      </c>
      <c r="M3646">
        <v>19.9356006419065</v>
      </c>
      <c r="N3646">
        <v>51.546179912191199</v>
      </c>
      <c r="O3646">
        <v>50.709734338068102</v>
      </c>
      <c r="P3646">
        <v>-9.2407230557914805E-2</v>
      </c>
      <c r="Q3646">
        <v>5.98142775442288E-2</v>
      </c>
      <c r="R3646">
        <v>0.99886324639965296</v>
      </c>
      <c r="S3646" t="s">
        <v>10292</v>
      </c>
      <c r="T3646" t="s">
        <v>13290</v>
      </c>
      <c r="U3646" t="s">
        <v>13290</v>
      </c>
      <c r="V3646" t="s">
        <v>13290</v>
      </c>
      <c r="W3646" t="s">
        <v>16892</v>
      </c>
      <c r="X3646">
        <v>5</v>
      </c>
      <c r="Y3646" t="s">
        <v>23398</v>
      </c>
      <c r="Z3646" t="s">
        <v>29976</v>
      </c>
      <c r="AA3646">
        <v>0.42446373837766438</v>
      </c>
      <c r="AB3646" t="str">
        <f>HYPERLINK("Melting_Curves/meltCurve_Q15771_RAB30.pdf", "Melting_Curves/meltCurve_Q15771_RAB30.pdf")</f>
        <v>Melting_Curves/meltCurve_Q15771_RAB30.pdf</v>
      </c>
    </row>
    <row r="3647" spans="1:28" x14ac:dyDescent="0.25">
      <c r="A3647" t="s">
        <v>3651</v>
      </c>
      <c r="B3647">
        <v>0.99252571173614901</v>
      </c>
      <c r="C3647">
        <v>1.02430147610671</v>
      </c>
      <c r="D3647">
        <v>0.59547410305890003</v>
      </c>
      <c r="E3647">
        <v>0.22423808411615301</v>
      </c>
      <c r="F3647">
        <v>0.11869980444731899</v>
      </c>
      <c r="G3647">
        <v>7.5448488585141096E-2</v>
      </c>
      <c r="H3647">
        <v>5.80448566959747E-2</v>
      </c>
      <c r="I3647">
        <v>5.9961747641687199E-2</v>
      </c>
      <c r="J3647">
        <v>6.5276269340192206E-2</v>
      </c>
      <c r="K3647">
        <v>6.6930461348208903E-2</v>
      </c>
      <c r="L3647">
        <v>1481.4744395427799</v>
      </c>
      <c r="M3647">
        <v>31.790413447496299</v>
      </c>
      <c r="N3647">
        <v>46.835627907004898</v>
      </c>
      <c r="O3647">
        <v>46.4180584596321</v>
      </c>
      <c r="P3647">
        <v>-0.15862988399661701</v>
      </c>
      <c r="Q3647">
        <v>7.3525342836200699E-2</v>
      </c>
      <c r="R3647">
        <v>0.99274528342969004</v>
      </c>
      <c r="S3647" t="s">
        <v>10293</v>
      </c>
      <c r="T3647" t="s">
        <v>13290</v>
      </c>
      <c r="U3647" t="s">
        <v>13290</v>
      </c>
      <c r="V3647" t="s">
        <v>13290</v>
      </c>
      <c r="W3647" t="s">
        <v>16893</v>
      </c>
      <c r="X3647">
        <v>24</v>
      </c>
      <c r="Y3647" t="s">
        <v>23399</v>
      </c>
      <c r="Z3647" t="s">
        <v>29977</v>
      </c>
      <c r="AA3647">
        <v>0.28230442668576561</v>
      </c>
      <c r="AB3647" t="str">
        <f>HYPERLINK("Melting_Curves/meltCurve_Q15785_TOMM34.pdf", "Melting_Curves/meltCurve_Q15785_TOMM34.pdf")</f>
        <v>Melting_Curves/meltCurve_Q15785_TOMM34.pdf</v>
      </c>
    </row>
    <row r="3648" spans="1:28" x14ac:dyDescent="0.25">
      <c r="A3648" t="s">
        <v>3652</v>
      </c>
      <c r="B3648">
        <v>0.99252571173614901</v>
      </c>
      <c r="C3648">
        <v>0.89032923065532699</v>
      </c>
      <c r="D3648">
        <v>0.67373176485361697</v>
      </c>
      <c r="E3648">
        <v>0.45101498529040501</v>
      </c>
      <c r="F3648">
        <v>0.19336550953916201</v>
      </c>
      <c r="G3648">
        <v>0.124763618234846</v>
      </c>
      <c r="H3648">
        <v>0.118934053254853</v>
      </c>
      <c r="I3648">
        <v>0.13288002553782699</v>
      </c>
      <c r="J3648">
        <v>0.18789602465086599</v>
      </c>
      <c r="K3648">
        <v>0.19712916865968</v>
      </c>
      <c r="L3648">
        <v>930.37677732259704</v>
      </c>
      <c r="M3648">
        <v>19.625753045124799</v>
      </c>
      <c r="N3648">
        <v>48.222355208849201</v>
      </c>
      <c r="O3648">
        <v>46.9219520758611</v>
      </c>
      <c r="P3648">
        <v>-8.9788029878783399E-2</v>
      </c>
      <c r="Q3648">
        <v>0.14135627557087899</v>
      </c>
      <c r="R3648">
        <v>0.98629883917642502</v>
      </c>
      <c r="S3648" t="s">
        <v>10294</v>
      </c>
      <c r="T3648" t="s">
        <v>13290</v>
      </c>
      <c r="U3648" t="s">
        <v>13290</v>
      </c>
      <c r="V3648" t="s">
        <v>13290</v>
      </c>
      <c r="W3648" t="s">
        <v>16894</v>
      </c>
      <c r="X3648">
        <v>3</v>
      </c>
      <c r="Y3648" t="s">
        <v>23400</v>
      </c>
      <c r="Z3648" t="s">
        <v>29978</v>
      </c>
      <c r="AA3648">
        <v>0.36623320481836691</v>
      </c>
      <c r="AB3648" t="str">
        <f>HYPERLINK("Melting_Curves/meltCurve_Q15788_2_NCOA1.pdf", "Melting_Curves/meltCurve_Q15788_2_NCOA1.pdf")</f>
        <v>Melting_Curves/meltCurve_Q15788_2_NCOA1.pdf</v>
      </c>
    </row>
    <row r="3649" spans="1:28" x14ac:dyDescent="0.25">
      <c r="A3649" t="s">
        <v>3653</v>
      </c>
      <c r="B3649">
        <v>0.99252571173614901</v>
      </c>
      <c r="C3649">
        <v>1.0217001572081701</v>
      </c>
      <c r="D3649">
        <v>0.86883150436392298</v>
      </c>
      <c r="E3649">
        <v>0.40653165147071502</v>
      </c>
      <c r="F3649">
        <v>0.12789100234992401</v>
      </c>
      <c r="G3649">
        <v>7.2437646075798501E-2</v>
      </c>
      <c r="H3649">
        <v>5.68737292187938E-2</v>
      </c>
      <c r="I3649">
        <v>6.0710316699173497E-2</v>
      </c>
      <c r="J3649">
        <v>8.2554330573434198E-2</v>
      </c>
      <c r="K3649">
        <v>8.1351916240418903E-2</v>
      </c>
      <c r="L3649">
        <v>1559.2922286616199</v>
      </c>
      <c r="M3649">
        <v>32.012690455175601</v>
      </c>
      <c r="N3649">
        <v>48.934635348079503</v>
      </c>
      <c r="O3649">
        <v>48.519655081127098</v>
      </c>
      <c r="P3649">
        <v>-0.153609486956956</v>
      </c>
      <c r="Q3649">
        <v>6.8738686088236398E-2</v>
      </c>
      <c r="R3649">
        <v>0.99879319892957097</v>
      </c>
      <c r="S3649" t="s">
        <v>10295</v>
      </c>
      <c r="T3649" t="s">
        <v>13290</v>
      </c>
      <c r="U3649" t="s">
        <v>13290</v>
      </c>
      <c r="V3649" t="s">
        <v>13290</v>
      </c>
      <c r="W3649" t="s">
        <v>16895</v>
      </c>
      <c r="X3649">
        <v>13</v>
      </c>
      <c r="Y3649" t="s">
        <v>23401</v>
      </c>
      <c r="Z3649" t="s">
        <v>29979</v>
      </c>
      <c r="AA3649">
        <v>0.34401394032049137</v>
      </c>
      <c r="AB3649" t="str">
        <f>HYPERLINK("Melting_Curves/meltCurve_Q15796_2_SMAD2.pdf", "Melting_Curves/meltCurve_Q15796_2_SMAD2.pdf")</f>
        <v>Melting_Curves/meltCurve_Q15796_2_SMAD2.pdf</v>
      </c>
    </row>
    <row r="3650" spans="1:28" x14ac:dyDescent="0.25">
      <c r="A3650" t="s">
        <v>3654</v>
      </c>
      <c r="B3650">
        <v>0.99252571173614901</v>
      </c>
      <c r="C3650">
        <v>0.99583647301924405</v>
      </c>
      <c r="D3650">
        <v>0.871014892921817</v>
      </c>
      <c r="E3650">
        <v>0.47429325623501201</v>
      </c>
      <c r="F3650">
        <v>0.17525512755585501</v>
      </c>
      <c r="G3650">
        <v>0.113851044587387</v>
      </c>
      <c r="H3650">
        <v>7.25485119083501E-2</v>
      </c>
      <c r="I3650">
        <v>8.6885493156775406E-2</v>
      </c>
      <c r="J3650">
        <v>0.11421527183078201</v>
      </c>
      <c r="K3650">
        <v>0.105074525015579</v>
      </c>
      <c r="L3650">
        <v>1397.44590030063</v>
      </c>
      <c r="M3650">
        <v>28.517096336097602</v>
      </c>
      <c r="N3650">
        <v>49.361907194368001</v>
      </c>
      <c r="O3650">
        <v>48.7647211205337</v>
      </c>
      <c r="P3650">
        <v>-0.13253735728994401</v>
      </c>
      <c r="Q3650">
        <v>9.3442744352828094E-2</v>
      </c>
      <c r="R3650">
        <v>0.99898201165412104</v>
      </c>
      <c r="S3650" t="s">
        <v>10296</v>
      </c>
      <c r="T3650" t="s">
        <v>13290</v>
      </c>
      <c r="U3650" t="s">
        <v>13290</v>
      </c>
      <c r="V3650" t="s">
        <v>13290</v>
      </c>
      <c r="W3650" t="s">
        <v>16896</v>
      </c>
      <c r="X3650">
        <v>9</v>
      </c>
      <c r="Y3650" t="s">
        <v>23402</v>
      </c>
      <c r="Z3650" t="s">
        <v>29980</v>
      </c>
      <c r="AA3650">
        <v>0.37165168207943311</v>
      </c>
      <c r="AB3650" t="str">
        <f>HYPERLINK("Melting_Curves/meltCurve_Q15797_SMAD1.pdf", "Melting_Curves/meltCurve_Q15797_SMAD1.pdf")</f>
        <v>Melting_Curves/meltCurve_Q15797_SMAD1.pdf</v>
      </c>
    </row>
    <row r="3651" spans="1:28" x14ac:dyDescent="0.25">
      <c r="A3651" t="s">
        <v>3655</v>
      </c>
      <c r="B3651">
        <v>0.99252571173614901</v>
      </c>
      <c r="C3651">
        <v>0.89189258933654603</v>
      </c>
      <c r="D3651">
        <v>0.83014127653981196</v>
      </c>
      <c r="E3651">
        <v>0.54312390042037095</v>
      </c>
      <c r="F3651">
        <v>0.46861033581714001</v>
      </c>
      <c r="G3651">
        <v>0.30270177630469097</v>
      </c>
      <c r="H3651">
        <v>0.18889063047343399</v>
      </c>
      <c r="I3651">
        <v>0.140485865416588</v>
      </c>
      <c r="J3651">
        <v>0.13293626329317401</v>
      </c>
      <c r="K3651">
        <v>0.12614240784502501</v>
      </c>
      <c r="L3651">
        <v>596.17863246638103</v>
      </c>
      <c r="M3651">
        <v>11.719061417222701</v>
      </c>
      <c r="N3651">
        <v>51.6564888151782</v>
      </c>
      <c r="O3651">
        <v>49.4590107289198</v>
      </c>
      <c r="P3651">
        <v>-5.4424968581712002E-2</v>
      </c>
      <c r="Q3651">
        <v>8.1464584729391595E-2</v>
      </c>
      <c r="R3651">
        <v>0.99106744412938497</v>
      </c>
      <c r="S3651" t="s">
        <v>10297</v>
      </c>
      <c r="T3651" t="s">
        <v>13290</v>
      </c>
      <c r="U3651" t="s">
        <v>13290</v>
      </c>
      <c r="V3651" t="s">
        <v>13290</v>
      </c>
      <c r="W3651" t="s">
        <v>16897</v>
      </c>
      <c r="X3651">
        <v>4</v>
      </c>
      <c r="Y3651" t="s">
        <v>23403</v>
      </c>
      <c r="Z3651" t="s">
        <v>29981</v>
      </c>
      <c r="AA3651">
        <v>0.44559370388490471</v>
      </c>
      <c r="AB3651" t="str">
        <f>HYPERLINK("Melting_Curves/meltCurve_Q15800_MSMO1.pdf", "Melting_Curves/meltCurve_Q15800_MSMO1.pdf")</f>
        <v>Melting_Curves/meltCurve_Q15800_MSMO1.pdf</v>
      </c>
    </row>
    <row r="3652" spans="1:28" x14ac:dyDescent="0.25">
      <c r="A3652" t="s">
        <v>3656</v>
      </c>
      <c r="B3652">
        <v>0.99252571173614901</v>
      </c>
      <c r="C3652">
        <v>0.95390351991026201</v>
      </c>
      <c r="D3652">
        <v>0.577466727487285</v>
      </c>
      <c r="E3652">
        <v>0.17554570904321601</v>
      </c>
      <c r="F3652">
        <v>0.12011328261472499</v>
      </c>
      <c r="G3652">
        <v>6.9832111500199995E-2</v>
      </c>
      <c r="H3652">
        <v>5.4779395863497102E-2</v>
      </c>
      <c r="I3652">
        <v>6.1143875727612103E-2</v>
      </c>
      <c r="J3652">
        <v>6.2238337730949903E-2</v>
      </c>
      <c r="K3652">
        <v>5.9020746577968297E-2</v>
      </c>
      <c r="L3652">
        <v>1466.97992720153</v>
      </c>
      <c r="M3652">
        <v>31.659757205696199</v>
      </c>
      <c r="N3652">
        <v>46.551071816341803</v>
      </c>
      <c r="O3652">
        <v>46.1521018946653</v>
      </c>
      <c r="P3652">
        <v>-0.15981881192378899</v>
      </c>
      <c r="Q3652">
        <v>6.8099568393786794E-2</v>
      </c>
      <c r="R3652">
        <v>0.99823536465921103</v>
      </c>
      <c r="S3652" t="s">
        <v>10298</v>
      </c>
      <c r="T3652" t="s">
        <v>13290</v>
      </c>
      <c r="U3652" t="s">
        <v>13290</v>
      </c>
      <c r="V3652" t="s">
        <v>13290</v>
      </c>
      <c r="W3652" t="s">
        <v>16898</v>
      </c>
      <c r="X3652">
        <v>16</v>
      </c>
      <c r="Y3652" t="s">
        <v>23404</v>
      </c>
      <c r="Z3652" t="s">
        <v>29982</v>
      </c>
      <c r="AA3652">
        <v>0.26991222133596832</v>
      </c>
      <c r="AB3652" t="str">
        <f>HYPERLINK("Melting_Curves/meltCurve_Q15813_TBCE.pdf", "Melting_Curves/meltCurve_Q15813_TBCE.pdf")</f>
        <v>Melting_Curves/meltCurve_Q15813_TBCE.pdf</v>
      </c>
    </row>
    <row r="3653" spans="1:28" x14ac:dyDescent="0.25">
      <c r="A3653" t="s">
        <v>3657</v>
      </c>
      <c r="B3653">
        <v>0.99252571173614901</v>
      </c>
      <c r="C3653">
        <v>1.0970255639176001</v>
      </c>
      <c r="D3653">
        <v>0.95262650023284001</v>
      </c>
      <c r="E3653">
        <v>0.72472834157155597</v>
      </c>
      <c r="F3653">
        <v>0.26602860756227498</v>
      </c>
      <c r="G3653">
        <v>0.13821689943976601</v>
      </c>
      <c r="H3653">
        <v>9.1476140324294603E-2</v>
      </c>
      <c r="I3653">
        <v>8.5690298629077399E-2</v>
      </c>
      <c r="J3653">
        <v>6.1207769522763703E-2</v>
      </c>
      <c r="K3653">
        <v>5.0650001542974998E-2</v>
      </c>
      <c r="L3653">
        <v>1543.4532809894699</v>
      </c>
      <c r="M3653">
        <v>30.280743560657498</v>
      </c>
      <c r="N3653">
        <v>51.241908119872399</v>
      </c>
      <c r="O3653">
        <v>50.750692223799398</v>
      </c>
      <c r="P3653">
        <v>-0.138148983569124</v>
      </c>
      <c r="Q3653">
        <v>7.3852028881609896E-2</v>
      </c>
      <c r="R3653">
        <v>0.99314426024358304</v>
      </c>
      <c r="S3653" t="s">
        <v>10299</v>
      </c>
      <c r="T3653" t="s">
        <v>13290</v>
      </c>
      <c r="U3653" t="s">
        <v>13290</v>
      </c>
      <c r="V3653" t="s">
        <v>13290</v>
      </c>
      <c r="W3653" t="s">
        <v>16899</v>
      </c>
      <c r="X3653">
        <v>17</v>
      </c>
      <c r="Y3653" t="s">
        <v>23405</v>
      </c>
      <c r="Z3653" t="s">
        <v>29983</v>
      </c>
      <c r="AA3653">
        <v>0.41827084021441491</v>
      </c>
      <c r="AB3653" t="str">
        <f>HYPERLINK("Melting_Curves/meltCurve_Q15814_TBCC.pdf", "Melting_Curves/meltCurve_Q15814_TBCC.pdf")</f>
        <v>Melting_Curves/meltCurve_Q15814_TBCC.pdf</v>
      </c>
    </row>
    <row r="3654" spans="1:28" x14ac:dyDescent="0.25">
      <c r="A3654" t="s">
        <v>3658</v>
      </c>
      <c r="B3654">
        <v>0.99252571173614901</v>
      </c>
      <c r="C3654">
        <v>1.05548744265674</v>
      </c>
      <c r="D3654">
        <v>0.95318586376519499</v>
      </c>
      <c r="E3654">
        <v>0.86473069446917905</v>
      </c>
      <c r="F3654">
        <v>0.45718338693563898</v>
      </c>
      <c r="G3654">
        <v>0.139524393038506</v>
      </c>
      <c r="H3654">
        <v>8.0685948668711593E-2</v>
      </c>
      <c r="I3654">
        <v>6.8083150113955104E-2</v>
      </c>
      <c r="J3654">
        <v>8.0787358363876502E-2</v>
      </c>
      <c r="K3654">
        <v>8.4244238988573694E-2</v>
      </c>
      <c r="L3654">
        <v>1607.54534240058</v>
      </c>
      <c r="M3654">
        <v>30.601067780436001</v>
      </c>
      <c r="N3654">
        <v>52.796735550536198</v>
      </c>
      <c r="O3654">
        <v>52.309514097717503</v>
      </c>
      <c r="P3654">
        <v>-0.13586109130334201</v>
      </c>
      <c r="Q3654">
        <v>7.1040861813437495E-2</v>
      </c>
      <c r="R3654">
        <v>0.99702206667183102</v>
      </c>
      <c r="S3654" t="s">
        <v>10300</v>
      </c>
      <c r="T3654" t="s">
        <v>13290</v>
      </c>
      <c r="U3654" t="s">
        <v>13290</v>
      </c>
      <c r="V3654" t="s">
        <v>13290</v>
      </c>
      <c r="W3654" t="s">
        <v>16900</v>
      </c>
      <c r="X3654">
        <v>15</v>
      </c>
      <c r="Y3654" t="s">
        <v>23406</v>
      </c>
      <c r="Z3654" t="s">
        <v>29984</v>
      </c>
      <c r="AA3654">
        <v>0.46486230215349023</v>
      </c>
      <c r="AB3654" t="str">
        <f>HYPERLINK("Melting_Curves/meltCurve_Q15819_UBE2V2.pdf", "Melting_Curves/meltCurve_Q15819_UBE2V2.pdf")</f>
        <v>Melting_Curves/meltCurve_Q15819_UBE2V2.pdf</v>
      </c>
    </row>
    <row r="3655" spans="1:28" x14ac:dyDescent="0.25">
      <c r="A3655" t="s">
        <v>3659</v>
      </c>
      <c r="B3655">
        <v>0.99252571173614901</v>
      </c>
      <c r="C3655">
        <v>0.93916650110383404</v>
      </c>
      <c r="D3655">
        <v>0.67339544656040795</v>
      </c>
      <c r="E3655">
        <v>0.237911983359677</v>
      </c>
      <c r="F3655">
        <v>0.12334491787693901</v>
      </c>
      <c r="G3655">
        <v>6.8602680276910799E-2</v>
      </c>
      <c r="H3655">
        <v>5.2419060201505698E-2</v>
      </c>
      <c r="I3655">
        <v>5.2828597370573001E-2</v>
      </c>
      <c r="J3655">
        <v>6.4851533288391897E-2</v>
      </c>
      <c r="K3655">
        <v>5.9871747958085503E-2</v>
      </c>
      <c r="L3655">
        <v>1276.98507903564</v>
      </c>
      <c r="M3655">
        <v>27.139737983668599</v>
      </c>
      <c r="N3655">
        <v>47.277018757656997</v>
      </c>
      <c r="O3655">
        <v>46.7989923122161</v>
      </c>
      <c r="P3655">
        <v>-0.13620567305810799</v>
      </c>
      <c r="Q3655">
        <v>6.0532360711513002E-2</v>
      </c>
      <c r="R3655">
        <v>0.99936792748433401</v>
      </c>
      <c r="S3655" t="s">
        <v>10301</v>
      </c>
      <c r="T3655" t="s">
        <v>13290</v>
      </c>
      <c r="U3655" t="s">
        <v>13290</v>
      </c>
      <c r="V3655" t="s">
        <v>13290</v>
      </c>
      <c r="W3655" t="s">
        <v>16901</v>
      </c>
      <c r="X3655">
        <v>18</v>
      </c>
      <c r="Y3655" t="s">
        <v>23407</v>
      </c>
      <c r="Z3655" t="s">
        <v>29985</v>
      </c>
      <c r="AA3655">
        <v>0.28837641768887612</v>
      </c>
      <c r="AB3655" t="str">
        <f>HYPERLINK("Melting_Curves/meltCurve_Q15833_STXBP2.pdf", "Melting_Curves/meltCurve_Q15833_STXBP2.pdf")</f>
        <v>Melting_Curves/meltCurve_Q15833_STXBP2.pdf</v>
      </c>
    </row>
    <row r="3656" spans="1:28" x14ac:dyDescent="0.25">
      <c r="A3656" t="s">
        <v>3660</v>
      </c>
      <c r="B3656">
        <v>0.99252571173614901</v>
      </c>
      <c r="C3656">
        <v>0.95696634473266096</v>
      </c>
      <c r="D3656">
        <v>0.87705688098656698</v>
      </c>
      <c r="E3656">
        <v>0.70615355481781705</v>
      </c>
      <c r="F3656">
        <v>0.67625072254361496</v>
      </c>
      <c r="G3656">
        <v>0.53689656767512095</v>
      </c>
      <c r="H3656">
        <v>0.44492437978857502</v>
      </c>
      <c r="I3656">
        <v>0.55176831284890904</v>
      </c>
      <c r="J3656">
        <v>0.90032367258141799</v>
      </c>
      <c r="K3656">
        <v>0.74729311784119301</v>
      </c>
      <c r="L3656">
        <v>1336.01093334354</v>
      </c>
      <c r="M3656">
        <v>28.460023341935798</v>
      </c>
      <c r="O3656">
        <v>46.713486686104297</v>
      </c>
      <c r="P3656">
        <v>-5.4734559550676902E-2</v>
      </c>
      <c r="Q3656">
        <v>0.64064378313897596</v>
      </c>
      <c r="R3656">
        <v>0.57598309656917701</v>
      </c>
      <c r="S3656" t="s">
        <v>10302</v>
      </c>
      <c r="T3656" t="s">
        <v>13290</v>
      </c>
      <c r="U3656" t="s">
        <v>13290</v>
      </c>
      <c r="V3656" t="s">
        <v>13290</v>
      </c>
      <c r="W3656" t="s">
        <v>16902</v>
      </c>
      <c r="X3656">
        <v>6</v>
      </c>
      <c r="Y3656" t="s">
        <v>23408</v>
      </c>
      <c r="Z3656" t="s">
        <v>29986</v>
      </c>
      <c r="AA3656">
        <v>0.72623280456039341</v>
      </c>
      <c r="AB3656" t="str">
        <f>HYPERLINK("Melting_Curves/meltCurve_Q15836_VAMP3.pdf", "Melting_Curves/meltCurve_Q15836_VAMP3.pdf")</f>
        <v>Melting_Curves/meltCurve_Q15836_VAMP3.pdf</v>
      </c>
    </row>
    <row r="3657" spans="1:28" x14ac:dyDescent="0.25">
      <c r="A3657" t="s">
        <v>3661</v>
      </c>
      <c r="B3657">
        <v>0.99252571173614901</v>
      </c>
      <c r="C3657">
        <v>1.2715855090835799</v>
      </c>
      <c r="D3657">
        <v>1.09941368467665</v>
      </c>
      <c r="E3657">
        <v>1.1604977901573601</v>
      </c>
      <c r="F3657">
        <v>0.768228451537872</v>
      </c>
      <c r="G3657">
        <v>0.461857087736886</v>
      </c>
      <c r="H3657">
        <v>0.38747300551237301</v>
      </c>
      <c r="I3657">
        <v>0.48666972392187202</v>
      </c>
      <c r="J3657">
        <v>0.67292912995877596</v>
      </c>
      <c r="K3657">
        <v>0.64585495257354297</v>
      </c>
      <c r="L3657">
        <v>13301.2477212959</v>
      </c>
      <c r="M3657">
        <v>250</v>
      </c>
      <c r="O3657">
        <v>53.201571288087599</v>
      </c>
      <c r="P3657">
        <v>-0.55102119822209505</v>
      </c>
      <c r="Q3657">
        <v>0.53095677229262195</v>
      </c>
      <c r="R3657">
        <v>0.81145940836146602</v>
      </c>
      <c r="S3657" t="s">
        <v>10303</v>
      </c>
      <c r="T3657" t="s">
        <v>13290</v>
      </c>
      <c r="U3657" t="s">
        <v>13290</v>
      </c>
      <c r="V3657" t="s">
        <v>13290</v>
      </c>
      <c r="W3657" t="s">
        <v>16903</v>
      </c>
      <c r="X3657">
        <v>8</v>
      </c>
      <c r="Y3657" t="s">
        <v>16903</v>
      </c>
      <c r="Z3657" t="s">
        <v>29987</v>
      </c>
      <c r="AA3657">
        <v>0.737457620257013</v>
      </c>
      <c r="AB3657" t="str">
        <f>HYPERLINK("Melting_Curves/meltCurve_Q15843_NEDD8.pdf", "Melting_Curves/meltCurve_Q15843_NEDD8.pdf")</f>
        <v>Melting_Curves/meltCurve_Q15843_NEDD8.pdf</v>
      </c>
    </row>
    <row r="3658" spans="1:28" x14ac:dyDescent="0.25">
      <c r="A3658" t="s">
        <v>3662</v>
      </c>
      <c r="B3658">
        <v>0.99252571173614901</v>
      </c>
      <c r="C3658">
        <v>1.0217538189514801</v>
      </c>
      <c r="D3658">
        <v>0.992929784213199</v>
      </c>
      <c r="E3658">
        <v>0.86099888400270297</v>
      </c>
      <c r="F3658">
        <v>0.93152474081305003</v>
      </c>
      <c r="G3658">
        <v>0.79108196220543903</v>
      </c>
      <c r="H3658">
        <v>1.35902805041421</v>
      </c>
      <c r="I3658">
        <v>1.2044024249404801</v>
      </c>
      <c r="J3658">
        <v>1.17531637533306</v>
      </c>
      <c r="K3658">
        <v>0.68662034275471096</v>
      </c>
      <c r="L3658">
        <v>1360.3889359617001</v>
      </c>
      <c r="M3658">
        <v>23.449514609896301</v>
      </c>
      <c r="O3658">
        <v>57.596559455793098</v>
      </c>
      <c r="P3658">
        <v>6.6777433929715102E-3</v>
      </c>
      <c r="Q3658">
        <v>1.0656061982719001</v>
      </c>
      <c r="R3658">
        <v>3.97276096376021E-2</v>
      </c>
      <c r="S3658" t="s">
        <v>10304</v>
      </c>
      <c r="T3658" t="s">
        <v>13290</v>
      </c>
      <c r="U3658" t="s">
        <v>13290</v>
      </c>
      <c r="V3658" t="s">
        <v>13290</v>
      </c>
      <c r="W3658" t="s">
        <v>16904</v>
      </c>
      <c r="X3658">
        <v>3</v>
      </c>
      <c r="Y3658" t="s">
        <v>23409</v>
      </c>
      <c r="Z3658" t="s">
        <v>29988</v>
      </c>
      <c r="AA3658">
        <v>1.0255917677606681</v>
      </c>
      <c r="AB3658" t="str">
        <f>HYPERLINK("Melting_Curves/meltCurve_Q15847_ADIRF.pdf", "Melting_Curves/meltCurve_Q15847_ADIRF.pdf")</f>
        <v>Melting_Curves/meltCurve_Q15847_ADIRF.pdf</v>
      </c>
    </row>
    <row r="3659" spans="1:28" x14ac:dyDescent="0.25">
      <c r="A3659" t="s">
        <v>3663</v>
      </c>
      <c r="B3659">
        <v>0.99252571173614901</v>
      </c>
      <c r="C3659">
        <v>0.87188186959910696</v>
      </c>
      <c r="D3659">
        <v>0.78294657572694704</v>
      </c>
      <c r="E3659">
        <v>0.60019477991261305</v>
      </c>
      <c r="F3659">
        <v>0.36884927783905702</v>
      </c>
      <c r="G3659">
        <v>0.20412317963666701</v>
      </c>
      <c r="H3659">
        <v>0.14219684407972799</v>
      </c>
      <c r="I3659">
        <v>0.16749981226256599</v>
      </c>
      <c r="J3659">
        <v>0.13743969132765299</v>
      </c>
      <c r="K3659">
        <v>0.11673569590232601</v>
      </c>
      <c r="L3659">
        <v>696.00140305864898</v>
      </c>
      <c r="M3659">
        <v>13.9540925748039</v>
      </c>
      <c r="N3659">
        <v>50.689146070285197</v>
      </c>
      <c r="O3659">
        <v>48.887067952124802</v>
      </c>
      <c r="P3659">
        <v>-6.4226657957570196E-2</v>
      </c>
      <c r="Q3659">
        <v>0.100068406622453</v>
      </c>
      <c r="R3659">
        <v>0.99407000290229097</v>
      </c>
      <c r="S3659" t="s">
        <v>10305</v>
      </c>
      <c r="T3659" t="s">
        <v>13290</v>
      </c>
      <c r="U3659" t="s">
        <v>13290</v>
      </c>
      <c r="V3659" t="s">
        <v>13290</v>
      </c>
      <c r="W3659" t="s">
        <v>16905</v>
      </c>
      <c r="X3659">
        <v>5</v>
      </c>
      <c r="Y3659" t="s">
        <v>23410</v>
      </c>
      <c r="Z3659" t="s">
        <v>29989</v>
      </c>
      <c r="AA3659">
        <v>0.42084235021529348</v>
      </c>
      <c r="AB3659" t="str">
        <f>HYPERLINK("Melting_Curves/meltCurve_Q15904_ATP6AP1.pdf", "Melting_Curves/meltCurve_Q15904_ATP6AP1.pdf")</f>
        <v>Melting_Curves/meltCurve_Q15904_ATP6AP1.pdf</v>
      </c>
    </row>
    <row r="3660" spans="1:28" x14ac:dyDescent="0.25">
      <c r="A3660" t="s">
        <v>3664</v>
      </c>
      <c r="B3660">
        <v>0.99252571173614901</v>
      </c>
      <c r="C3660">
        <v>0.97919576429156996</v>
      </c>
      <c r="D3660">
        <v>0.97945935481637303</v>
      </c>
      <c r="E3660">
        <v>1.1087542684487099</v>
      </c>
      <c r="F3660">
        <v>0.76880628366266501</v>
      </c>
      <c r="G3660">
        <v>0.54538191166065098</v>
      </c>
      <c r="H3660">
        <v>0.52192032193388305</v>
      </c>
      <c r="I3660">
        <v>0.59715944846220503</v>
      </c>
      <c r="J3660">
        <v>0.932706679061027</v>
      </c>
      <c r="K3660">
        <v>1.2175818501972</v>
      </c>
      <c r="L3660">
        <v>13104.486011773301</v>
      </c>
      <c r="M3660">
        <v>250</v>
      </c>
      <c r="O3660">
        <v>52.414589932954897</v>
      </c>
      <c r="P3660">
        <v>-0.28266291972459801</v>
      </c>
      <c r="Q3660">
        <v>0.76294942514806796</v>
      </c>
      <c r="R3660">
        <v>0.28294228791174902</v>
      </c>
      <c r="S3660" t="s">
        <v>10306</v>
      </c>
      <c r="T3660" t="s">
        <v>13290</v>
      </c>
      <c r="U3660" t="s">
        <v>13290</v>
      </c>
      <c r="V3660" t="s">
        <v>13290</v>
      </c>
      <c r="W3660" t="s">
        <v>16906</v>
      </c>
      <c r="X3660">
        <v>3</v>
      </c>
      <c r="Y3660" t="s">
        <v>23411</v>
      </c>
      <c r="Z3660" t="s">
        <v>29990</v>
      </c>
      <c r="AA3660">
        <v>0.86109392455954803</v>
      </c>
      <c r="AB3660" t="str">
        <f>HYPERLINK("Melting_Curves/meltCurve_Q15906_VPS72.pdf", "Melting_Curves/meltCurve_Q15906_VPS72.pdf")</f>
        <v>Melting_Curves/meltCurve_Q15906_VPS72.pdf</v>
      </c>
    </row>
    <row r="3661" spans="1:28" x14ac:dyDescent="0.25">
      <c r="A3661" t="s">
        <v>3665</v>
      </c>
      <c r="B3661">
        <v>0.99252571173614901</v>
      </c>
      <c r="C3661">
        <v>0.98004150305133597</v>
      </c>
      <c r="D3661">
        <v>0.91255717370902101</v>
      </c>
      <c r="E3661">
        <v>0.783519972777035</v>
      </c>
      <c r="F3661">
        <v>0.66494312947256995</v>
      </c>
      <c r="G3661">
        <v>0.59201190152540994</v>
      </c>
      <c r="H3661">
        <v>0.40928253183591701</v>
      </c>
      <c r="I3661">
        <v>0.23785971734372899</v>
      </c>
      <c r="J3661">
        <v>0.106625690698957</v>
      </c>
      <c r="K3661">
        <v>8.3218466482171197E-2</v>
      </c>
      <c r="L3661">
        <v>609.37282349112297</v>
      </c>
      <c r="M3661">
        <v>10.6379394857909</v>
      </c>
      <c r="N3661">
        <v>57.2829750960693</v>
      </c>
      <c r="O3661">
        <v>55.3699636988988</v>
      </c>
      <c r="P3661">
        <v>-4.8049618360848999E-2</v>
      </c>
      <c r="Q3661">
        <v>0</v>
      </c>
      <c r="R3661">
        <v>0.982819279649776</v>
      </c>
      <c r="S3661" t="s">
        <v>10307</v>
      </c>
      <c r="T3661" t="s">
        <v>13290</v>
      </c>
      <c r="U3661" t="s">
        <v>13290</v>
      </c>
      <c r="V3661" t="s">
        <v>13290</v>
      </c>
      <c r="W3661" t="s">
        <v>16907</v>
      </c>
      <c r="X3661">
        <v>19</v>
      </c>
      <c r="Y3661" t="s">
        <v>23412</v>
      </c>
      <c r="Z3661" t="s">
        <v>29991</v>
      </c>
      <c r="AA3661">
        <v>0.59103732865998926</v>
      </c>
      <c r="AB3661" t="str">
        <f>HYPERLINK("Melting_Curves/meltCurve_Q15907_RAB11B.pdf", "Melting_Curves/meltCurve_Q15907_RAB11B.pdf")</f>
        <v>Melting_Curves/meltCurve_Q15907_RAB11B.pdf</v>
      </c>
    </row>
    <row r="3662" spans="1:28" x14ac:dyDescent="0.25">
      <c r="A3662" t="s">
        <v>3666</v>
      </c>
      <c r="B3662">
        <v>0.99252571173614901</v>
      </c>
      <c r="C3662">
        <v>1.0620955112641399</v>
      </c>
      <c r="D3662">
        <v>0.96311481353791695</v>
      </c>
      <c r="E3662">
        <v>0.98387141371320896</v>
      </c>
      <c r="F3662">
        <v>0.82190627122853499</v>
      </c>
      <c r="G3662">
        <v>0.71316066242000098</v>
      </c>
      <c r="H3662">
        <v>0.84179483436336</v>
      </c>
      <c r="I3662">
        <v>1.1139451993774101</v>
      </c>
      <c r="J3662">
        <v>1.4117312692272099</v>
      </c>
      <c r="K3662">
        <v>1.3000082787495</v>
      </c>
      <c r="L3662">
        <v>15000</v>
      </c>
      <c r="M3662">
        <v>233.62219243284099</v>
      </c>
      <c r="O3662">
        <v>64.201521138222901</v>
      </c>
      <c r="P3662">
        <v>0.32374685721694102</v>
      </c>
      <c r="Q3662">
        <v>1.3558744381558001</v>
      </c>
      <c r="R3662">
        <v>0.63478121829394496</v>
      </c>
      <c r="S3662" t="s">
        <v>10308</v>
      </c>
      <c r="T3662" t="s">
        <v>13290</v>
      </c>
      <c r="U3662" t="s">
        <v>13290</v>
      </c>
      <c r="V3662" t="s">
        <v>13290</v>
      </c>
      <c r="W3662" t="s">
        <v>16908</v>
      </c>
      <c r="X3662">
        <v>20</v>
      </c>
      <c r="Y3662" t="s">
        <v>23413</v>
      </c>
      <c r="Z3662" t="s">
        <v>29992</v>
      </c>
      <c r="AA3662">
        <v>1.0686825781517879</v>
      </c>
      <c r="AB3662" t="str">
        <f>HYPERLINK("Melting_Curves/meltCurve_Q15942_ZYX.pdf", "Melting_Curves/meltCurve_Q15942_ZYX.pdf")</f>
        <v>Melting_Curves/meltCurve_Q15942_ZYX.pdf</v>
      </c>
    </row>
    <row r="3663" spans="1:28" x14ac:dyDescent="0.25">
      <c r="A3663" t="s">
        <v>3667</v>
      </c>
      <c r="B3663">
        <v>0.99252571173614901</v>
      </c>
      <c r="C3663">
        <v>0.91740450052784706</v>
      </c>
      <c r="D3663">
        <v>0.85053353490927497</v>
      </c>
      <c r="E3663">
        <v>0.77561828990876003</v>
      </c>
      <c r="F3663">
        <v>0.72541577944699698</v>
      </c>
      <c r="G3663">
        <v>0.308305404827242</v>
      </c>
      <c r="H3663">
        <v>8.2665363508789502E-2</v>
      </c>
      <c r="I3663">
        <v>7.5345863898537202E-2</v>
      </c>
      <c r="J3663">
        <v>8.0296087180717499E-2</v>
      </c>
      <c r="K3663">
        <v>6.9819125139035598E-2</v>
      </c>
      <c r="L3663">
        <v>868.55812904835102</v>
      </c>
      <c r="M3663">
        <v>15.9382171314872</v>
      </c>
      <c r="N3663">
        <v>54.513055007188498</v>
      </c>
      <c r="O3663">
        <v>53.6590733568395</v>
      </c>
      <c r="P3663">
        <v>-7.4070663718112606E-2</v>
      </c>
      <c r="Q3663">
        <v>2.5869511392219201E-3</v>
      </c>
      <c r="R3663">
        <v>0.96862251881202699</v>
      </c>
      <c r="S3663" t="s">
        <v>10309</v>
      </c>
      <c r="T3663" t="s">
        <v>13290</v>
      </c>
      <c r="U3663" t="s">
        <v>13290</v>
      </c>
      <c r="V3663" t="s">
        <v>13290</v>
      </c>
      <c r="W3663" t="s">
        <v>16909</v>
      </c>
      <c r="X3663">
        <v>25</v>
      </c>
      <c r="Y3663" t="s">
        <v>23414</v>
      </c>
      <c r="Z3663" t="s">
        <v>29993</v>
      </c>
      <c r="AA3663">
        <v>0.50300397951082243</v>
      </c>
      <c r="AB3663" t="str">
        <f>HYPERLINK("Melting_Curves/meltCurve_Q16134_ETFDH.pdf", "Melting_Curves/meltCurve_Q16134_ETFDH.pdf")</f>
        <v>Melting_Curves/meltCurve_Q16134_ETFDH.pdf</v>
      </c>
    </row>
    <row r="3664" spans="1:28" x14ac:dyDescent="0.25">
      <c r="A3664" t="s">
        <v>3668</v>
      </c>
      <c r="B3664">
        <v>0.99252571173614901</v>
      </c>
      <c r="C3664">
        <v>0.94378419694766502</v>
      </c>
      <c r="D3664">
        <v>1.0851777845006101</v>
      </c>
      <c r="E3664">
        <v>1.20211602182529</v>
      </c>
      <c r="F3664">
        <v>0.78609704778418699</v>
      </c>
      <c r="G3664">
        <v>0.231577085433019</v>
      </c>
      <c r="H3664">
        <v>0.10493143136420199</v>
      </c>
      <c r="I3664">
        <v>0.107541706742453</v>
      </c>
      <c r="J3664">
        <v>0.108912060803334</v>
      </c>
      <c r="K3664">
        <v>9.5328299266892097E-2</v>
      </c>
      <c r="L3664">
        <v>2714.8793186267999</v>
      </c>
      <c r="M3664">
        <v>49.759213941153099</v>
      </c>
      <c r="N3664">
        <v>54.821451867878203</v>
      </c>
      <c r="O3664">
        <v>54.472441225226298</v>
      </c>
      <c r="P3664">
        <v>-0.204274512719058</v>
      </c>
      <c r="Q3664">
        <v>0.105506865195327</v>
      </c>
      <c r="R3664">
        <v>0.97287539266184397</v>
      </c>
      <c r="S3664" t="s">
        <v>10310</v>
      </c>
      <c r="T3664" t="s">
        <v>13290</v>
      </c>
      <c r="U3664" t="s">
        <v>13290</v>
      </c>
      <c r="V3664" t="s">
        <v>13290</v>
      </c>
      <c r="W3664" t="s">
        <v>16910</v>
      </c>
      <c r="X3664">
        <v>24</v>
      </c>
      <c r="Y3664" t="s">
        <v>23415</v>
      </c>
      <c r="Z3664" t="s">
        <v>29994</v>
      </c>
      <c r="AA3664">
        <v>0.54181694101698319</v>
      </c>
      <c r="AB3664" t="str">
        <f>HYPERLINK("Melting_Curves/meltCurve_Q16181_SEPT7.pdf", "Melting_Curves/meltCurve_Q16181_SEPT7.pdf")</f>
        <v>Melting_Curves/meltCurve_Q16181_SEPT7.pdf</v>
      </c>
    </row>
    <row r="3665" spans="1:28" x14ac:dyDescent="0.25">
      <c r="A3665" t="s">
        <v>3669</v>
      </c>
      <c r="B3665">
        <v>0.99252571173614901</v>
      </c>
      <c r="C3665">
        <v>0.92683787628262304</v>
      </c>
      <c r="D3665">
        <v>0.89454246470190002</v>
      </c>
      <c r="E3665">
        <v>0.69414649567415998</v>
      </c>
      <c r="F3665">
        <v>0.35012881199592899</v>
      </c>
      <c r="G3665">
        <v>0.179650183752011</v>
      </c>
      <c r="H3665">
        <v>0.15470032602047201</v>
      </c>
      <c r="I3665">
        <v>0.14497435828642199</v>
      </c>
      <c r="J3665">
        <v>0.18550857588884301</v>
      </c>
      <c r="K3665">
        <v>0.19302036996295399</v>
      </c>
      <c r="L3665">
        <v>1201.58551305735</v>
      </c>
      <c r="M3665">
        <v>23.790206506827801</v>
      </c>
      <c r="N3665">
        <v>51.321138895019303</v>
      </c>
      <c r="O3665">
        <v>50.154757897721403</v>
      </c>
      <c r="P3665">
        <v>-9.9957495238695293E-2</v>
      </c>
      <c r="Q3665">
        <v>0.15708812713228601</v>
      </c>
      <c r="R3665">
        <v>0.99234802099303299</v>
      </c>
      <c r="S3665" t="s">
        <v>10311</v>
      </c>
      <c r="T3665" t="s">
        <v>13290</v>
      </c>
      <c r="U3665" t="s">
        <v>13290</v>
      </c>
      <c r="V3665" t="s">
        <v>13290</v>
      </c>
      <c r="W3665" t="s">
        <v>16911</v>
      </c>
      <c r="X3665">
        <v>5</v>
      </c>
      <c r="Y3665" t="s">
        <v>23416</v>
      </c>
      <c r="Z3665" t="s">
        <v>29995</v>
      </c>
      <c r="AA3665">
        <v>0.46067675415639348</v>
      </c>
      <c r="AB3665" t="str">
        <f>HYPERLINK("Melting_Curves/meltCurve_Q16186_ADRM1.pdf", "Melting_Curves/meltCurve_Q16186_ADRM1.pdf")</f>
        <v>Melting_Curves/meltCurve_Q16186_ADRM1.pdf</v>
      </c>
    </row>
    <row r="3666" spans="1:28" x14ac:dyDescent="0.25">
      <c r="A3666" t="s">
        <v>3670</v>
      </c>
      <c r="B3666">
        <v>0.99252571173614901</v>
      </c>
      <c r="C3666">
        <v>1.02388459688869</v>
      </c>
      <c r="D3666">
        <v>0.99961454650988202</v>
      </c>
      <c r="E3666">
        <v>0.96408533964573395</v>
      </c>
      <c r="F3666">
        <v>0.69139993840198799</v>
      </c>
      <c r="G3666">
        <v>0.43459133437963998</v>
      </c>
      <c r="H3666">
        <v>0.24063385889160199</v>
      </c>
      <c r="I3666">
        <v>0.21022178953061901</v>
      </c>
      <c r="J3666">
        <v>0.22626774298837901</v>
      </c>
      <c r="K3666">
        <v>0.214817487604573</v>
      </c>
      <c r="L3666">
        <v>1387.5546329636099</v>
      </c>
      <c r="M3666">
        <v>25.501748319982902</v>
      </c>
      <c r="N3666">
        <v>55.576221576382302</v>
      </c>
      <c r="O3666">
        <v>54.078895291160201</v>
      </c>
      <c r="P3666">
        <v>-9.3467724392444607E-2</v>
      </c>
      <c r="Q3666">
        <v>0.20718065466841901</v>
      </c>
      <c r="R3666">
        <v>0.99733098348651605</v>
      </c>
      <c r="S3666" t="s">
        <v>10312</v>
      </c>
      <c r="T3666" t="s">
        <v>13290</v>
      </c>
      <c r="U3666" t="s">
        <v>13290</v>
      </c>
      <c r="V3666" t="s">
        <v>13290</v>
      </c>
      <c r="W3666" t="s">
        <v>16912</v>
      </c>
      <c r="X3666">
        <v>26</v>
      </c>
      <c r="Y3666" t="s">
        <v>23417</v>
      </c>
      <c r="Z3666" t="s">
        <v>29996</v>
      </c>
      <c r="AA3666">
        <v>0.59508601553412466</v>
      </c>
      <c r="AB3666" t="str">
        <f>HYPERLINK("Melting_Curves/meltCurve_Q16204_CCDC6.pdf", "Melting_Curves/meltCurve_Q16204_CCDC6.pdf")</f>
        <v>Melting_Curves/meltCurve_Q16204_CCDC6.pdf</v>
      </c>
    </row>
    <row r="3667" spans="1:28" x14ac:dyDescent="0.25">
      <c r="A3667" t="s">
        <v>3671</v>
      </c>
      <c r="B3667">
        <v>0.99252571173614901</v>
      </c>
      <c r="C3667">
        <v>1.0270037394484</v>
      </c>
      <c r="D3667">
        <v>0.94692316931516596</v>
      </c>
      <c r="E3667">
        <v>0.66099350097421405</v>
      </c>
      <c r="F3667">
        <v>0.280264101124368</v>
      </c>
      <c r="G3667">
        <v>9.8821218672642999E-2</v>
      </c>
      <c r="H3667">
        <v>6.6278427477414595E-2</v>
      </c>
      <c r="I3667">
        <v>8.0618411126353401E-2</v>
      </c>
      <c r="J3667">
        <v>0.112798917108989</v>
      </c>
      <c r="K3667">
        <v>0.116895976484401</v>
      </c>
      <c r="L3667">
        <v>1459.4723878294401</v>
      </c>
      <c r="M3667">
        <v>28.8715263808656</v>
      </c>
      <c r="N3667">
        <v>50.8931428674899</v>
      </c>
      <c r="O3667">
        <v>50.309929026190197</v>
      </c>
      <c r="P3667">
        <v>-0.130799808559495</v>
      </c>
      <c r="Q3667">
        <v>8.8308843926967195E-2</v>
      </c>
      <c r="R3667">
        <v>0.99720644917149204</v>
      </c>
      <c r="S3667" t="s">
        <v>10313</v>
      </c>
      <c r="T3667" t="s">
        <v>13290</v>
      </c>
      <c r="U3667" t="s">
        <v>13290</v>
      </c>
      <c r="V3667" t="s">
        <v>13290</v>
      </c>
      <c r="W3667" t="s">
        <v>16913</v>
      </c>
      <c r="X3667">
        <v>8</v>
      </c>
      <c r="Y3667" t="s">
        <v>23418</v>
      </c>
      <c r="Z3667" t="s">
        <v>29997</v>
      </c>
      <c r="AA3667">
        <v>0.415083765805556</v>
      </c>
      <c r="AB3667" t="str">
        <f>HYPERLINK("Melting_Curves/meltCurve_Q16222_2_UAP1.pdf", "Melting_Curves/meltCurve_Q16222_2_UAP1.pdf")</f>
        <v>Melting_Curves/meltCurve_Q16222_2_UAP1.pdf</v>
      </c>
    </row>
    <row r="3668" spans="1:28" x14ac:dyDescent="0.25">
      <c r="A3668" t="s">
        <v>3672</v>
      </c>
      <c r="B3668">
        <v>0.99252571173614901</v>
      </c>
      <c r="C3668">
        <v>1.0839172258087699</v>
      </c>
      <c r="D3668">
        <v>0.76032315083820801</v>
      </c>
      <c r="E3668">
        <v>1.1387772031052701</v>
      </c>
      <c r="F3668">
        <v>0.37805762907851997</v>
      </c>
      <c r="G3668">
        <v>0.278424727887709</v>
      </c>
      <c r="H3668">
        <v>0.13433120433684301</v>
      </c>
      <c r="I3668">
        <v>0.16373111705464799</v>
      </c>
      <c r="J3668">
        <v>0.20018832168640599</v>
      </c>
      <c r="K3668">
        <v>0.20016190540185699</v>
      </c>
      <c r="L3668">
        <v>13234.827060863499</v>
      </c>
      <c r="M3668">
        <v>250</v>
      </c>
      <c r="N3668">
        <v>53.044421102987002</v>
      </c>
      <c r="O3668">
        <v>52.935920499086301</v>
      </c>
      <c r="P3668">
        <v>-0.95000775716652097</v>
      </c>
      <c r="Q3668">
        <v>0.19536743954038599</v>
      </c>
      <c r="R3668">
        <v>0.93796308489221802</v>
      </c>
      <c r="S3668" t="s">
        <v>10314</v>
      </c>
      <c r="T3668" t="s">
        <v>13290</v>
      </c>
      <c r="U3668" t="s">
        <v>13290</v>
      </c>
      <c r="V3668" t="s">
        <v>13290</v>
      </c>
      <c r="W3668" t="s">
        <v>16914</v>
      </c>
      <c r="X3668">
        <v>2</v>
      </c>
      <c r="Y3668" t="s">
        <v>23419</v>
      </c>
      <c r="Z3668" t="s">
        <v>29998</v>
      </c>
      <c r="AA3668">
        <v>0.54248848682060813</v>
      </c>
      <c r="AB3668" t="str">
        <f>HYPERLINK("Melting_Curves/meltCurve_Q16254_E2F4.pdf", "Melting_Curves/meltCurve_Q16254_E2F4.pdf")</f>
        <v>Melting_Curves/meltCurve_Q16254_E2F4.pdf</v>
      </c>
    </row>
    <row r="3669" spans="1:28" x14ac:dyDescent="0.25">
      <c r="A3669" t="s">
        <v>3673</v>
      </c>
      <c r="B3669">
        <v>0.99252571173614901</v>
      </c>
      <c r="C3669">
        <v>0.84523728899053696</v>
      </c>
      <c r="D3669">
        <v>1.0856995846762201</v>
      </c>
      <c r="E3669">
        <v>0.86655796458600498</v>
      </c>
      <c r="F3669">
        <v>0.36928264195530403</v>
      </c>
      <c r="G3669">
        <v>0.18816539085421799</v>
      </c>
      <c r="H3669">
        <v>8.9319035510717806E-2</v>
      </c>
      <c r="I3669">
        <v>7.8805988567431304E-2</v>
      </c>
      <c r="J3669">
        <v>7.8781858690619003E-2</v>
      </c>
      <c r="K3669">
        <v>7.78341784981436E-2</v>
      </c>
      <c r="L3669">
        <v>1803.53556558488</v>
      </c>
      <c r="M3669">
        <v>34.624382963140803</v>
      </c>
      <c r="N3669">
        <v>52.383660263237701</v>
      </c>
      <c r="O3669">
        <v>51.915760356662297</v>
      </c>
      <c r="P3669">
        <v>-0.151962331612227</v>
      </c>
      <c r="Q3669">
        <v>8.8594724878897899E-2</v>
      </c>
      <c r="R3669">
        <v>0.97804508971738802</v>
      </c>
      <c r="S3669" t="s">
        <v>10315</v>
      </c>
      <c r="T3669" t="s">
        <v>13290</v>
      </c>
      <c r="U3669" t="s">
        <v>13290</v>
      </c>
      <c r="V3669" t="s">
        <v>13290</v>
      </c>
      <c r="W3669" t="s">
        <v>16915</v>
      </c>
      <c r="X3669">
        <v>18</v>
      </c>
      <c r="Y3669" t="s">
        <v>23420</v>
      </c>
      <c r="Z3669" t="s">
        <v>29999</v>
      </c>
      <c r="AA3669">
        <v>0.46023043433691491</v>
      </c>
      <c r="AB3669" t="str">
        <f>HYPERLINK("Melting_Curves/meltCurve_Q16401_2_PSMD5.pdf", "Melting_Curves/meltCurve_Q16401_2_PSMD5.pdf")</f>
        <v>Melting_Curves/meltCurve_Q16401_2_PSMD5.pdf</v>
      </c>
    </row>
    <row r="3670" spans="1:28" x14ac:dyDescent="0.25">
      <c r="A3670" t="s">
        <v>3674</v>
      </c>
      <c r="B3670">
        <v>0.99252571173614901</v>
      </c>
      <c r="C3670">
        <v>1.0004142314791</v>
      </c>
      <c r="D3670">
        <v>0.91843234284299902</v>
      </c>
      <c r="E3670">
        <v>0.48651578348380697</v>
      </c>
      <c r="F3670">
        <v>9.8483471434162403E-2</v>
      </c>
      <c r="G3670">
        <v>5.6459790875895602E-2</v>
      </c>
      <c r="H3670">
        <v>4.2564563607303499E-2</v>
      </c>
      <c r="I3670">
        <v>4.9305688511501501E-2</v>
      </c>
      <c r="J3670">
        <v>6.9736653913390498E-2</v>
      </c>
      <c r="K3670">
        <v>6.9342811560716602E-2</v>
      </c>
      <c r="L3670">
        <v>1785.25562685762</v>
      </c>
      <c r="M3670">
        <v>36.200230981668099</v>
      </c>
      <c r="N3670">
        <v>49.469607608841898</v>
      </c>
      <c r="O3670">
        <v>49.166370402034403</v>
      </c>
      <c r="P3670">
        <v>-0.17429501353954899</v>
      </c>
      <c r="Q3670">
        <v>5.3108077004419101E-2</v>
      </c>
      <c r="R3670">
        <v>0.99912939259758404</v>
      </c>
      <c r="S3670" t="s">
        <v>10316</v>
      </c>
      <c r="T3670" t="s">
        <v>13290</v>
      </c>
      <c r="U3670" t="s">
        <v>13290</v>
      </c>
      <c r="V3670" t="s">
        <v>13290</v>
      </c>
      <c r="W3670" t="s">
        <v>16916</v>
      </c>
      <c r="X3670">
        <v>21</v>
      </c>
      <c r="Y3670" t="s">
        <v>23421</v>
      </c>
      <c r="Z3670" t="s">
        <v>30000</v>
      </c>
      <c r="AA3670">
        <v>0.35110769938037251</v>
      </c>
      <c r="AB3670" t="str">
        <f>HYPERLINK("Melting_Curves/meltCurve_Q16512_PKN1.pdf", "Melting_Curves/meltCurve_Q16512_PKN1.pdf")</f>
        <v>Melting_Curves/meltCurve_Q16512_PKN1.pdf</v>
      </c>
    </row>
    <row r="3671" spans="1:28" x14ac:dyDescent="0.25">
      <c r="A3671" t="s">
        <v>3675</v>
      </c>
      <c r="B3671">
        <v>0.99252571173614901</v>
      </c>
      <c r="C3671">
        <v>0.81720919298101502</v>
      </c>
      <c r="D3671">
        <v>0.59770705220762299</v>
      </c>
      <c r="E3671">
        <v>0.30486964611181999</v>
      </c>
      <c r="F3671">
        <v>0.14531707714179601</v>
      </c>
      <c r="G3671">
        <v>8.4474723575195296E-2</v>
      </c>
      <c r="H3671">
        <v>6.6987444589999001E-2</v>
      </c>
      <c r="I3671">
        <v>6.6009511642397101E-2</v>
      </c>
      <c r="J3671">
        <v>8.4079948188445205E-2</v>
      </c>
      <c r="K3671">
        <v>7.9399373074103205E-2</v>
      </c>
      <c r="L3671">
        <v>864.45400121105297</v>
      </c>
      <c r="M3671">
        <v>18.542703270665498</v>
      </c>
      <c r="N3671">
        <v>46.974674087727898</v>
      </c>
      <c r="O3671">
        <v>46.0875797429889</v>
      </c>
      <c r="P3671">
        <v>-9.4011472370226501E-2</v>
      </c>
      <c r="Q3671">
        <v>6.5385538457713999E-2</v>
      </c>
      <c r="R3671">
        <v>0.99752123770064804</v>
      </c>
      <c r="S3671" t="s">
        <v>10317</v>
      </c>
      <c r="T3671" t="s">
        <v>13290</v>
      </c>
      <c r="U3671" t="s">
        <v>13290</v>
      </c>
      <c r="V3671" t="s">
        <v>13290</v>
      </c>
      <c r="W3671" t="s">
        <v>16917</v>
      </c>
      <c r="X3671">
        <v>19</v>
      </c>
      <c r="Y3671" t="s">
        <v>23422</v>
      </c>
      <c r="Z3671" t="s">
        <v>30001</v>
      </c>
      <c r="AA3671">
        <v>0.2880924019518955</v>
      </c>
      <c r="AB3671" t="str">
        <f>HYPERLINK("Melting_Curves/meltCurve_Q16513_PKN2.pdf", "Melting_Curves/meltCurve_Q16513_PKN2.pdf")</f>
        <v>Melting_Curves/meltCurve_Q16513_PKN2.pdf</v>
      </c>
    </row>
    <row r="3672" spans="1:28" x14ac:dyDescent="0.25">
      <c r="A3672" t="s">
        <v>3676</v>
      </c>
      <c r="B3672">
        <v>0.99252571173614901</v>
      </c>
      <c r="C3672">
        <v>0.97054373065700295</v>
      </c>
      <c r="D3672">
        <v>0.99231723782109005</v>
      </c>
      <c r="E3672">
        <v>0.62092255689589604</v>
      </c>
      <c r="F3672">
        <v>0.35395870995302797</v>
      </c>
      <c r="G3672">
        <v>0.193030888741586</v>
      </c>
      <c r="H3672">
        <v>0.15082941426937699</v>
      </c>
      <c r="I3672">
        <v>0.24460771712486301</v>
      </c>
      <c r="J3672">
        <v>0.236204879191209</v>
      </c>
      <c r="K3672">
        <v>0.27712760105154</v>
      </c>
      <c r="L3672">
        <v>1627.1614866601101</v>
      </c>
      <c r="M3672">
        <v>32.643358713846801</v>
      </c>
      <c r="N3672">
        <v>50.7660806031516</v>
      </c>
      <c r="O3672">
        <v>49.660680523908198</v>
      </c>
      <c r="P3672">
        <v>-0.12765798912019</v>
      </c>
      <c r="Q3672">
        <v>0.223173923316238</v>
      </c>
      <c r="R3672">
        <v>0.986330342039624</v>
      </c>
      <c r="S3672" t="s">
        <v>10318</v>
      </c>
      <c r="T3672" t="s">
        <v>13290</v>
      </c>
      <c r="U3672" t="s">
        <v>13290</v>
      </c>
      <c r="V3672" t="s">
        <v>13290</v>
      </c>
      <c r="W3672" t="s">
        <v>16918</v>
      </c>
      <c r="X3672">
        <v>1</v>
      </c>
      <c r="Y3672" t="s">
        <v>23423</v>
      </c>
      <c r="Z3672" t="s">
        <v>30002</v>
      </c>
      <c r="AA3672">
        <v>0.48218362691435751</v>
      </c>
      <c r="AB3672" t="str">
        <f>HYPERLINK("Melting_Curves/meltCurve_Q16514_2_TAF12.pdf", "Melting_Curves/meltCurve_Q16514_2_TAF12.pdf")</f>
        <v>Melting_Curves/meltCurve_Q16514_2_TAF12.pdf</v>
      </c>
    </row>
    <row r="3673" spans="1:28" x14ac:dyDescent="0.25">
      <c r="A3673" t="s">
        <v>3677</v>
      </c>
      <c r="B3673">
        <v>0.99252571173614901</v>
      </c>
      <c r="C3673">
        <v>0.95996171074549597</v>
      </c>
      <c r="D3673">
        <v>1.07509907555479</v>
      </c>
      <c r="E3673">
        <v>1.0728878203157499</v>
      </c>
      <c r="F3673">
        <v>1.26771145173761</v>
      </c>
      <c r="G3673">
        <v>1.22547385055002</v>
      </c>
      <c r="H3673">
        <v>1.02868872279181</v>
      </c>
      <c r="I3673">
        <v>0.29158645313749298</v>
      </c>
      <c r="J3673">
        <v>0.17332642571757001</v>
      </c>
      <c r="K3673">
        <v>0.14414660771370599</v>
      </c>
      <c r="L3673">
        <v>15000</v>
      </c>
      <c r="M3673">
        <v>236.048732222311</v>
      </c>
      <c r="N3673">
        <v>63.649212121898401</v>
      </c>
      <c r="O3673">
        <v>63.541639260698602</v>
      </c>
      <c r="P3673">
        <v>-0.78129877546702697</v>
      </c>
      <c r="Q3673">
        <v>0.15873296022901301</v>
      </c>
      <c r="R3673">
        <v>0.92166630833169405</v>
      </c>
      <c r="S3673" t="s">
        <v>10319</v>
      </c>
      <c r="T3673" t="s">
        <v>13290</v>
      </c>
      <c r="U3673" t="s">
        <v>13290</v>
      </c>
      <c r="V3673" t="s">
        <v>13290</v>
      </c>
      <c r="W3673" t="s">
        <v>16919</v>
      </c>
      <c r="X3673">
        <v>60</v>
      </c>
      <c r="Y3673" t="s">
        <v>23424</v>
      </c>
      <c r="Z3673" t="s">
        <v>30003</v>
      </c>
      <c r="AA3673">
        <v>0.81912627321762521</v>
      </c>
      <c r="AB3673" t="str">
        <f>HYPERLINK("Melting_Curves/meltCurve_Q16531_DDB1.pdf", "Melting_Curves/meltCurve_Q16531_DDB1.pdf")</f>
        <v>Melting_Curves/meltCurve_Q16531_DDB1.pdf</v>
      </c>
    </row>
    <row r="3674" spans="1:28" x14ac:dyDescent="0.25">
      <c r="A3674" t="s">
        <v>3678</v>
      </c>
      <c r="B3674">
        <v>0.99252571173614901</v>
      </c>
      <c r="C3674">
        <v>0.97393629961754902</v>
      </c>
      <c r="D3674">
        <v>0.81492587726006005</v>
      </c>
      <c r="E3674">
        <v>0.425832423103505</v>
      </c>
      <c r="F3674">
        <v>0.22643566329964701</v>
      </c>
      <c r="G3674">
        <v>0.114129359874036</v>
      </c>
      <c r="H3674">
        <v>8.3826820831450197E-2</v>
      </c>
      <c r="I3674">
        <v>9.9356650402653096E-2</v>
      </c>
      <c r="J3674">
        <v>0.106926973961688</v>
      </c>
      <c r="K3674">
        <v>0.103423531861911</v>
      </c>
      <c r="L3674">
        <v>1152.9287334542701</v>
      </c>
      <c r="M3674">
        <v>23.7339972255036</v>
      </c>
      <c r="N3674">
        <v>49.022055527126199</v>
      </c>
      <c r="O3674">
        <v>48.236186499513003</v>
      </c>
      <c r="P3674">
        <v>-0.111091452026717</v>
      </c>
      <c r="Q3674">
        <v>9.6900728438195499E-2</v>
      </c>
      <c r="R3674">
        <v>0.99866487588057495</v>
      </c>
      <c r="S3674" t="s">
        <v>10320</v>
      </c>
      <c r="T3674" t="s">
        <v>13290</v>
      </c>
      <c r="U3674" t="s">
        <v>13290</v>
      </c>
      <c r="V3674" t="s">
        <v>13290</v>
      </c>
      <c r="W3674" t="s">
        <v>16920</v>
      </c>
      <c r="X3674">
        <v>7</v>
      </c>
      <c r="Y3674" t="s">
        <v>23425</v>
      </c>
      <c r="Z3674" t="s">
        <v>30004</v>
      </c>
      <c r="AA3674">
        <v>0.36400007560945469</v>
      </c>
      <c r="AB3674" t="str">
        <f>HYPERLINK("Melting_Curves/meltCurve_Q16539_2_MAPK14.pdf", "Melting_Curves/meltCurve_Q16539_2_MAPK14.pdf")</f>
        <v>Melting_Curves/meltCurve_Q16539_2_MAPK14.pdf</v>
      </c>
    </row>
    <row r="3675" spans="1:28" x14ac:dyDescent="0.25">
      <c r="A3675" t="s">
        <v>3679</v>
      </c>
      <c r="B3675">
        <v>0.99252571173614901</v>
      </c>
      <c r="C3675">
        <v>0.97203497689989204</v>
      </c>
      <c r="D3675">
        <v>0.97305540865838303</v>
      </c>
      <c r="E3675">
        <v>1.0406135742389599</v>
      </c>
      <c r="F3675">
        <v>0.54288907437243406</v>
      </c>
      <c r="G3675">
        <v>0.1892964765257</v>
      </c>
      <c r="H3675">
        <v>0.112937418829618</v>
      </c>
      <c r="I3675">
        <v>0.103644285825301</v>
      </c>
      <c r="J3675">
        <v>0.111397052525844</v>
      </c>
      <c r="K3675">
        <v>0.10995192717786401</v>
      </c>
      <c r="L3675">
        <v>2892.42146411577</v>
      </c>
      <c r="M3675">
        <v>54.4010566353721</v>
      </c>
      <c r="N3675">
        <v>53.435367384090803</v>
      </c>
      <c r="O3675">
        <v>53.0967790099292</v>
      </c>
      <c r="P3675">
        <v>-0.225671051417419</v>
      </c>
      <c r="Q3675">
        <v>0.11895838853702</v>
      </c>
      <c r="R3675">
        <v>0.99564593334984197</v>
      </c>
      <c r="S3675" t="s">
        <v>10321</v>
      </c>
      <c r="T3675" t="s">
        <v>13290</v>
      </c>
      <c r="U3675" t="s">
        <v>13290</v>
      </c>
      <c r="V3675" t="s">
        <v>13290</v>
      </c>
      <c r="W3675" t="s">
        <v>16921</v>
      </c>
      <c r="X3675">
        <v>39</v>
      </c>
      <c r="Y3675" t="s">
        <v>21088</v>
      </c>
      <c r="Z3675" t="s">
        <v>30005</v>
      </c>
      <c r="AA3675">
        <v>0.50743485824515056</v>
      </c>
      <c r="AB3675" t="str">
        <f>HYPERLINK("Melting_Curves/meltCurve_Q16543_CDC37.pdf", "Melting_Curves/meltCurve_Q16543_CDC37.pdf")</f>
        <v>Melting_Curves/meltCurve_Q16543_CDC37.pdf</v>
      </c>
    </row>
    <row r="3676" spans="1:28" x14ac:dyDescent="0.25">
      <c r="A3676" t="s">
        <v>3680</v>
      </c>
      <c r="B3676">
        <v>0.99252571173614901</v>
      </c>
      <c r="C3676">
        <v>0.90350638005670403</v>
      </c>
      <c r="D3676">
        <v>1.1574981055888001</v>
      </c>
      <c r="E3676">
        <v>1.1705347891325699</v>
      </c>
      <c r="F3676">
        <v>1.1284645402771101</v>
      </c>
      <c r="G3676">
        <v>0.82292009612300698</v>
      </c>
      <c r="H3676">
        <v>0.67699158050160102</v>
      </c>
      <c r="I3676">
        <v>0.29570116526415402</v>
      </c>
      <c r="J3676">
        <v>0.121820640612585</v>
      </c>
      <c r="K3676">
        <v>0.10734592199191</v>
      </c>
      <c r="L3676">
        <v>1719.22214121817</v>
      </c>
      <c r="M3676">
        <v>27.813952324331101</v>
      </c>
      <c r="N3676">
        <v>62.040106932407497</v>
      </c>
      <c r="O3676">
        <v>61.4946314722227</v>
      </c>
      <c r="P3676">
        <v>-0.107568239750786</v>
      </c>
      <c r="Q3676">
        <v>4.8706084845002801E-2</v>
      </c>
      <c r="R3676">
        <v>0.93929225230604396</v>
      </c>
      <c r="S3676" t="s">
        <v>10322</v>
      </c>
      <c r="T3676" t="s">
        <v>13290</v>
      </c>
      <c r="U3676" t="s">
        <v>13290</v>
      </c>
      <c r="V3676" t="s">
        <v>13290</v>
      </c>
      <c r="W3676" t="s">
        <v>16922</v>
      </c>
      <c r="X3676">
        <v>24</v>
      </c>
      <c r="Y3676" t="s">
        <v>23426</v>
      </c>
      <c r="Z3676" t="s">
        <v>30006</v>
      </c>
      <c r="AA3676">
        <v>0.74508573929267807</v>
      </c>
      <c r="AB3676" t="str">
        <f>HYPERLINK("Melting_Curves/meltCurve_Q16555_DPYSL2.pdf", "Melting_Curves/meltCurve_Q16555_DPYSL2.pdf")</f>
        <v>Melting_Curves/meltCurve_Q16555_DPYSL2.pdf</v>
      </c>
    </row>
    <row r="3677" spans="1:28" x14ac:dyDescent="0.25">
      <c r="A3677" t="s">
        <v>3681</v>
      </c>
      <c r="B3677">
        <v>0.99252571173614901</v>
      </c>
      <c r="C3677">
        <v>0.96919079149271004</v>
      </c>
      <c r="D3677">
        <v>1.0115600047381901</v>
      </c>
      <c r="E3677">
        <v>0.95160478164843698</v>
      </c>
      <c r="F3677">
        <v>0.91812334044460897</v>
      </c>
      <c r="G3677">
        <v>0.80449454983454105</v>
      </c>
      <c r="H3677">
        <v>0.47891664752548502</v>
      </c>
      <c r="I3677">
        <v>0.169644464063504</v>
      </c>
      <c r="J3677">
        <v>0.132921149661405</v>
      </c>
      <c r="K3677">
        <v>0.120967893686776</v>
      </c>
      <c r="L3677">
        <v>1478.9871898232</v>
      </c>
      <c r="M3677">
        <v>24.727996219993301</v>
      </c>
      <c r="N3677">
        <v>60.184695346307301</v>
      </c>
      <c r="O3677">
        <v>59.423191267834497</v>
      </c>
      <c r="P3677">
        <v>-9.6616769267274097E-2</v>
      </c>
      <c r="Q3677">
        <v>7.1304259878702397E-2</v>
      </c>
      <c r="R3677">
        <v>0.99287237583670995</v>
      </c>
      <c r="S3677" t="s">
        <v>10323</v>
      </c>
      <c r="T3677" t="s">
        <v>13290</v>
      </c>
      <c r="U3677" t="s">
        <v>13290</v>
      </c>
      <c r="V3677" t="s">
        <v>13290</v>
      </c>
      <c r="W3677" t="s">
        <v>16923</v>
      </c>
      <c r="X3677">
        <v>17</v>
      </c>
      <c r="Y3677" t="s">
        <v>23427</v>
      </c>
      <c r="Z3677" t="s">
        <v>30007</v>
      </c>
      <c r="AA3677">
        <v>0.69168327479760172</v>
      </c>
      <c r="AB3677" t="str">
        <f>HYPERLINK("Melting_Curves/meltCurve_Q16576_RBBP7.pdf", "Melting_Curves/meltCurve_Q16576_RBBP7.pdf")</f>
        <v>Melting_Curves/meltCurve_Q16576_RBBP7.pdf</v>
      </c>
    </row>
    <row r="3678" spans="1:28" x14ac:dyDescent="0.25">
      <c r="A3678" t="s">
        <v>3682</v>
      </c>
      <c r="B3678">
        <v>0.99252571173614901</v>
      </c>
      <c r="C3678">
        <v>0.86387284389799601</v>
      </c>
      <c r="D3678">
        <v>0.77483133984629704</v>
      </c>
      <c r="E3678">
        <v>0.57450396294412398</v>
      </c>
      <c r="F3678">
        <v>0.46672490575280901</v>
      </c>
      <c r="G3678">
        <v>0.43781662236920699</v>
      </c>
      <c r="H3678">
        <v>0.35522887143672899</v>
      </c>
      <c r="I3678">
        <v>0.38730705157822298</v>
      </c>
      <c r="J3678">
        <v>0.51252743597267902</v>
      </c>
      <c r="K3678">
        <v>0.545147039250652</v>
      </c>
      <c r="L3678">
        <v>912.52832743158297</v>
      </c>
      <c r="M3678">
        <v>19.645235009944201</v>
      </c>
      <c r="N3678">
        <v>52.167364262310997</v>
      </c>
      <c r="O3678">
        <v>45.977087074699902</v>
      </c>
      <c r="P3678">
        <v>-5.9615845111816397E-2</v>
      </c>
      <c r="Q3678">
        <v>0.441927338928781</v>
      </c>
      <c r="R3678">
        <v>0.92578102104330495</v>
      </c>
      <c r="S3678" t="s">
        <v>10324</v>
      </c>
      <c r="T3678" t="s">
        <v>13290</v>
      </c>
      <c r="U3678" t="s">
        <v>13290</v>
      </c>
      <c r="V3678" t="s">
        <v>13290</v>
      </c>
      <c r="W3678" t="s">
        <v>16924</v>
      </c>
      <c r="X3678">
        <v>5</v>
      </c>
      <c r="Y3678" t="s">
        <v>23428</v>
      </c>
      <c r="Z3678" t="s">
        <v>30008</v>
      </c>
      <c r="AA3678">
        <v>0.57065141705602185</v>
      </c>
      <c r="AB3678" t="str">
        <f>HYPERLINK("Melting_Curves/meltCurve_Q16594_TAF9.pdf", "Melting_Curves/meltCurve_Q16594_TAF9.pdf")</f>
        <v>Melting_Curves/meltCurve_Q16594_TAF9.pdf</v>
      </c>
    </row>
    <row r="3679" spans="1:28" x14ac:dyDescent="0.25">
      <c r="A3679" t="s">
        <v>3683</v>
      </c>
      <c r="B3679">
        <v>0.99252571173614901</v>
      </c>
      <c r="C3679">
        <v>1.02396601095609</v>
      </c>
      <c r="D3679">
        <v>0.81698437482887898</v>
      </c>
      <c r="E3679">
        <v>0.78727066165844595</v>
      </c>
      <c r="F3679">
        <v>0.47340365055603201</v>
      </c>
      <c r="G3679">
        <v>0.28608314389925599</v>
      </c>
      <c r="H3679">
        <v>0.26724744712922899</v>
      </c>
      <c r="I3679">
        <v>0.23576928137110501</v>
      </c>
      <c r="J3679">
        <v>0.32199984094654499</v>
      </c>
      <c r="K3679">
        <v>0.31874806098507302</v>
      </c>
      <c r="L3679">
        <v>1085.4689322491799</v>
      </c>
      <c r="M3679">
        <v>21.362201634721501</v>
      </c>
      <c r="N3679">
        <v>52.714270772872403</v>
      </c>
      <c r="O3679">
        <v>50.373610993455998</v>
      </c>
      <c r="P3679">
        <v>-7.7539696021259194E-2</v>
      </c>
      <c r="Q3679">
        <v>0.26864164073624702</v>
      </c>
      <c r="R3679">
        <v>0.96987153164517004</v>
      </c>
      <c r="S3679" t="s">
        <v>10325</v>
      </c>
      <c r="T3679" t="s">
        <v>13290</v>
      </c>
      <c r="U3679" t="s">
        <v>13290</v>
      </c>
      <c r="V3679" t="s">
        <v>13290</v>
      </c>
      <c r="W3679" t="s">
        <v>16925</v>
      </c>
      <c r="X3679">
        <v>1</v>
      </c>
      <c r="Y3679" t="s">
        <v>23429</v>
      </c>
      <c r="Z3679" t="s">
        <v>30009</v>
      </c>
      <c r="AA3679">
        <v>0.54119750248094234</v>
      </c>
      <c r="AB3679" t="str">
        <f>HYPERLINK("Melting_Curves/meltCurve_Q16600_ZNF239.pdf", "Melting_Curves/meltCurve_Q16600_ZNF239.pdf")</f>
        <v>Melting_Curves/meltCurve_Q16600_ZNF239.pdf</v>
      </c>
    </row>
    <row r="3680" spans="1:28" x14ac:dyDescent="0.25">
      <c r="A3680" t="s">
        <v>3684</v>
      </c>
      <c r="B3680">
        <v>0.99252571173614901</v>
      </c>
      <c r="C3680">
        <v>1.0145835458897301</v>
      </c>
      <c r="D3680">
        <v>0.95215452020246505</v>
      </c>
      <c r="E3680">
        <v>0.84705641806291998</v>
      </c>
      <c r="F3680">
        <v>0.61371926269447596</v>
      </c>
      <c r="G3680">
        <v>0.42208890469227101</v>
      </c>
      <c r="H3680">
        <v>0.345443479568041</v>
      </c>
      <c r="I3680">
        <v>0.40664466617291001</v>
      </c>
      <c r="J3680">
        <v>0.55472670175092298</v>
      </c>
      <c r="K3680">
        <v>0.45377392406338901</v>
      </c>
      <c r="L3680">
        <v>1522.7379676538401</v>
      </c>
      <c r="M3680">
        <v>29.625664654621598</v>
      </c>
      <c r="N3680">
        <v>55.1327666724479</v>
      </c>
      <c r="O3680">
        <v>51.166797751635698</v>
      </c>
      <c r="P3680">
        <v>-8.2110241223294606E-2</v>
      </c>
      <c r="Q3680">
        <v>0.43275003165992998</v>
      </c>
      <c r="R3680">
        <v>0.95476629943953795</v>
      </c>
      <c r="S3680" t="s">
        <v>10326</v>
      </c>
      <c r="T3680" t="s">
        <v>13290</v>
      </c>
      <c r="U3680" t="s">
        <v>13290</v>
      </c>
      <c r="V3680" t="s">
        <v>13290</v>
      </c>
      <c r="W3680" t="s">
        <v>16926</v>
      </c>
      <c r="X3680">
        <v>4</v>
      </c>
      <c r="Y3680" t="s">
        <v>23430</v>
      </c>
      <c r="Z3680" t="s">
        <v>30010</v>
      </c>
      <c r="AA3680">
        <v>0.65197236119543411</v>
      </c>
      <c r="AB3680" t="str">
        <f>HYPERLINK("Melting_Curves/meltCurve_Q16610_ECM1.pdf", "Melting_Curves/meltCurve_Q16610_ECM1.pdf")</f>
        <v>Melting_Curves/meltCurve_Q16610_ECM1.pdf</v>
      </c>
    </row>
    <row r="3681" spans="1:28" x14ac:dyDescent="0.25">
      <c r="A3681" t="s">
        <v>3685</v>
      </c>
      <c r="B3681">
        <v>0.99252571173614901</v>
      </c>
      <c r="C3681">
        <v>0.91019674320007005</v>
      </c>
      <c r="D3681">
        <v>0.84179964325273204</v>
      </c>
      <c r="E3681">
        <v>0.88441823546120402</v>
      </c>
      <c r="F3681">
        <v>0.70294412389399896</v>
      </c>
      <c r="G3681">
        <v>0.56196825905643399</v>
      </c>
      <c r="H3681">
        <v>0.496536602934671</v>
      </c>
      <c r="I3681">
        <v>0.59539813621753102</v>
      </c>
      <c r="J3681">
        <v>0.81850570957762803</v>
      </c>
      <c r="K3681">
        <v>0.725309253570248</v>
      </c>
      <c r="L3681">
        <v>785.04089943259396</v>
      </c>
      <c r="M3681">
        <v>16.3181471469684</v>
      </c>
      <c r="O3681">
        <v>47.403383575809301</v>
      </c>
      <c r="P3681">
        <v>-3.0885628514712299E-2</v>
      </c>
      <c r="Q3681">
        <v>0.641141423993003</v>
      </c>
      <c r="R3681">
        <v>0.62458065420771003</v>
      </c>
      <c r="S3681" t="s">
        <v>10327</v>
      </c>
      <c r="T3681" t="s">
        <v>13290</v>
      </c>
      <c r="U3681" t="s">
        <v>13290</v>
      </c>
      <c r="V3681" t="s">
        <v>13290</v>
      </c>
      <c r="W3681" t="s">
        <v>16927</v>
      </c>
      <c r="X3681">
        <v>12</v>
      </c>
      <c r="Y3681" t="s">
        <v>23431</v>
      </c>
      <c r="Z3681" t="s">
        <v>30011</v>
      </c>
      <c r="AA3681">
        <v>0.74589837585757424</v>
      </c>
      <c r="AB3681" t="str">
        <f>HYPERLINK("Melting_Curves/meltCurve_Q16625_4_OCLN.pdf", "Melting_Curves/meltCurve_Q16625_4_OCLN.pdf")</f>
        <v>Melting_Curves/meltCurve_Q16625_4_OCLN.pdf</v>
      </c>
    </row>
    <row r="3682" spans="1:28" x14ac:dyDescent="0.25">
      <c r="A3682" t="s">
        <v>3686</v>
      </c>
      <c r="B3682">
        <v>0.99252571173614901</v>
      </c>
      <c r="C3682">
        <v>1.01791244349881</v>
      </c>
      <c r="D3682">
        <v>0.94970137509938501</v>
      </c>
      <c r="E3682">
        <v>0.87886121852181498</v>
      </c>
      <c r="F3682">
        <v>0.67206672017527602</v>
      </c>
      <c r="G3682">
        <v>0.43226907373967099</v>
      </c>
      <c r="H3682">
        <v>0.37760407656302503</v>
      </c>
      <c r="I3682">
        <v>0.98431964514579595</v>
      </c>
      <c r="J3682">
        <v>2.0063545763072801</v>
      </c>
      <c r="K3682">
        <v>2.25922825354963</v>
      </c>
      <c r="L3682">
        <v>15000</v>
      </c>
      <c r="M3682">
        <v>230.473243445832</v>
      </c>
      <c r="O3682">
        <v>65.078576233269899</v>
      </c>
      <c r="P3682">
        <v>0.44268263203367703</v>
      </c>
      <c r="Q3682">
        <v>1.5</v>
      </c>
      <c r="R3682">
        <v>0.50930648864848804</v>
      </c>
      <c r="S3682" t="s">
        <v>10328</v>
      </c>
      <c r="T3682" t="s">
        <v>13290</v>
      </c>
      <c r="U3682" t="s">
        <v>13290</v>
      </c>
      <c r="V3682" t="s">
        <v>13290</v>
      </c>
      <c r="W3682" t="s">
        <v>16928</v>
      </c>
      <c r="X3682">
        <v>3</v>
      </c>
      <c r="Y3682" t="s">
        <v>23432</v>
      </c>
      <c r="Z3682" t="s">
        <v>30012</v>
      </c>
      <c r="AA3682">
        <v>1.0818748532176741</v>
      </c>
      <c r="AB3682" t="str">
        <f>HYPERLINK("Melting_Curves/meltCurve_Q16626_MEA1.pdf", "Melting_Curves/meltCurve_Q16626_MEA1.pdf")</f>
        <v>Melting_Curves/meltCurve_Q16626_MEA1.pdf</v>
      </c>
    </row>
    <row r="3683" spans="1:28" x14ac:dyDescent="0.25">
      <c r="A3683" t="s">
        <v>3687</v>
      </c>
      <c r="B3683">
        <v>0.99252571173614901</v>
      </c>
      <c r="C3683">
        <v>0.98695842873105699</v>
      </c>
      <c r="D3683">
        <v>1.04489600043458</v>
      </c>
      <c r="E3683">
        <v>0.96634369808532095</v>
      </c>
      <c r="F3683">
        <v>0.72116757813756904</v>
      </c>
      <c r="G3683">
        <v>0.30040954769524603</v>
      </c>
      <c r="H3683">
        <v>0.11333243598922001</v>
      </c>
      <c r="I3683">
        <v>0.10821686267391099</v>
      </c>
      <c r="J3683">
        <v>0.110692121534298</v>
      </c>
      <c r="K3683">
        <v>0.124084539193087</v>
      </c>
      <c r="L3683">
        <v>1809.5519856348301</v>
      </c>
      <c r="M3683">
        <v>33.202242773960997</v>
      </c>
      <c r="N3683">
        <v>54.897365341394597</v>
      </c>
      <c r="O3683">
        <v>54.304328552319802</v>
      </c>
      <c r="P3683">
        <v>-0.13655863841305599</v>
      </c>
      <c r="Q3683">
        <v>0.10660338135436</v>
      </c>
      <c r="R3683">
        <v>0.99802515175719497</v>
      </c>
      <c r="S3683" t="s">
        <v>10329</v>
      </c>
      <c r="T3683" t="s">
        <v>13290</v>
      </c>
      <c r="U3683" t="s">
        <v>13290</v>
      </c>
      <c r="V3683" t="s">
        <v>13290</v>
      </c>
      <c r="W3683" t="s">
        <v>16929</v>
      </c>
      <c r="X3683">
        <v>17</v>
      </c>
      <c r="Y3683" t="s">
        <v>23433</v>
      </c>
      <c r="Z3683" t="s">
        <v>30013</v>
      </c>
      <c r="AA3683">
        <v>0.54328845215514832</v>
      </c>
      <c r="AB3683" t="str">
        <f>HYPERLINK("Melting_Curves/meltCurve_Q16630_2_CPSF6.pdf", "Melting_Curves/meltCurve_Q16630_2_CPSF6.pdf")</f>
        <v>Melting_Curves/meltCurve_Q16630_2_CPSF6.pdf</v>
      </c>
    </row>
    <row r="3684" spans="1:28" x14ac:dyDescent="0.25">
      <c r="A3684" t="s">
        <v>3688</v>
      </c>
      <c r="B3684">
        <v>0.99252571173614901</v>
      </c>
      <c r="C3684">
        <v>1.03231887984283</v>
      </c>
      <c r="D3684">
        <v>0.98572774017901399</v>
      </c>
      <c r="E3684">
        <v>0.73962639156287402</v>
      </c>
      <c r="F3684">
        <v>0.36379053870095901</v>
      </c>
      <c r="G3684">
        <v>0.26045278203883498</v>
      </c>
      <c r="H3684">
        <v>0.259495177047389</v>
      </c>
      <c r="I3684">
        <v>0.39120317951866301</v>
      </c>
      <c r="J3684">
        <v>0.98447577023099697</v>
      </c>
      <c r="K3684">
        <v>1.5300689606828299</v>
      </c>
      <c r="L3684">
        <v>12356.373471909301</v>
      </c>
      <c r="M3684">
        <v>250</v>
      </c>
      <c r="O3684">
        <v>49.422332550846797</v>
      </c>
      <c r="P3684">
        <v>-0.46590645658324198</v>
      </c>
      <c r="Q3684">
        <v>0.63158107074972702</v>
      </c>
      <c r="R3684">
        <v>0.17136812507170199</v>
      </c>
      <c r="S3684" t="s">
        <v>10330</v>
      </c>
      <c r="T3684" t="s">
        <v>13290</v>
      </c>
      <c r="U3684" t="s">
        <v>13290</v>
      </c>
      <c r="V3684" t="s">
        <v>13290</v>
      </c>
      <c r="W3684" t="s">
        <v>16930</v>
      </c>
      <c r="X3684">
        <v>10</v>
      </c>
      <c r="Y3684" t="s">
        <v>23434</v>
      </c>
      <c r="Z3684" t="s">
        <v>30014</v>
      </c>
      <c r="AA3684">
        <v>0.74736403995722978</v>
      </c>
      <c r="AB3684" t="str">
        <f>HYPERLINK("Melting_Curves/meltCurve_Q16643_DBN1.pdf", "Melting_Curves/meltCurve_Q16643_DBN1.pdf")</f>
        <v>Melting_Curves/meltCurve_Q16643_DBN1.pdf</v>
      </c>
    </row>
    <row r="3685" spans="1:28" x14ac:dyDescent="0.25">
      <c r="A3685" t="s">
        <v>3689</v>
      </c>
      <c r="B3685">
        <v>0.99252571173614901</v>
      </c>
      <c r="C3685">
        <v>1.00905576658663</v>
      </c>
      <c r="D3685">
        <v>0.80789182668788395</v>
      </c>
      <c r="E3685">
        <v>0.50208136510665302</v>
      </c>
      <c r="F3685">
        <v>0.211537088440271</v>
      </c>
      <c r="G3685">
        <v>0.113235452664771</v>
      </c>
      <c r="H3685">
        <v>8.7206296085542798E-2</v>
      </c>
      <c r="I3685">
        <v>0.103141102259439</v>
      </c>
      <c r="J3685">
        <v>0.153438078673651</v>
      </c>
      <c r="K3685">
        <v>0.17294854596629</v>
      </c>
      <c r="L3685">
        <v>1210.7811988651999</v>
      </c>
      <c r="M3685">
        <v>24.793815465547699</v>
      </c>
      <c r="N3685">
        <v>49.376370576435797</v>
      </c>
      <c r="O3685">
        <v>48.519654385439701</v>
      </c>
      <c r="P3685">
        <v>-0.11252451035839101</v>
      </c>
      <c r="Q3685">
        <v>0.119203958000291</v>
      </c>
      <c r="R3685">
        <v>0.99225613659521605</v>
      </c>
      <c r="S3685" t="s">
        <v>10331</v>
      </c>
      <c r="T3685" t="s">
        <v>13290</v>
      </c>
      <c r="U3685" t="s">
        <v>13290</v>
      </c>
      <c r="V3685" t="s">
        <v>13290</v>
      </c>
      <c r="W3685" t="s">
        <v>16931</v>
      </c>
      <c r="X3685">
        <v>9</v>
      </c>
      <c r="Y3685" t="s">
        <v>23435</v>
      </c>
      <c r="Z3685" t="s">
        <v>30015</v>
      </c>
      <c r="AA3685">
        <v>0.3865013361134772</v>
      </c>
      <c r="AB3685" t="str">
        <f>HYPERLINK("Melting_Curves/meltCurve_Q16644_MAPKAPK3.pdf", "Melting_Curves/meltCurve_Q16644_MAPKAPK3.pdf")</f>
        <v>Melting_Curves/meltCurve_Q16644_MAPKAPK3.pdf</v>
      </c>
    </row>
    <row r="3686" spans="1:28" x14ac:dyDescent="0.25">
      <c r="A3686" t="s">
        <v>3690</v>
      </c>
      <c r="B3686">
        <v>0.99252571173614901</v>
      </c>
      <c r="C3686">
        <v>0.85269217382276796</v>
      </c>
      <c r="D3686">
        <v>0.51485892150768497</v>
      </c>
      <c r="E3686">
        <v>0.33547578488503499</v>
      </c>
      <c r="F3686">
        <v>0.25446006575924202</v>
      </c>
      <c r="G3686">
        <v>0.17248380812176001</v>
      </c>
      <c r="H3686">
        <v>0.130137420135615</v>
      </c>
      <c r="I3686">
        <v>0.109111393193456</v>
      </c>
      <c r="J3686">
        <v>0.109341292870476</v>
      </c>
      <c r="K3686">
        <v>9.94025992504836E-2</v>
      </c>
      <c r="L3686">
        <v>811.11417067223397</v>
      </c>
      <c r="M3686">
        <v>17.559135595539999</v>
      </c>
      <c r="N3686">
        <v>46.930183403346703</v>
      </c>
      <c r="O3686">
        <v>45.606645717933098</v>
      </c>
      <c r="P3686">
        <v>-8.4660706426383306E-2</v>
      </c>
      <c r="Q3686">
        <v>0.12048500257527001</v>
      </c>
      <c r="R3686">
        <v>0.98770317931184404</v>
      </c>
      <c r="S3686" t="s">
        <v>10332</v>
      </c>
      <c r="T3686" t="s">
        <v>13290</v>
      </c>
      <c r="U3686" t="s">
        <v>13290</v>
      </c>
      <c r="V3686" t="s">
        <v>13290</v>
      </c>
      <c r="W3686" t="s">
        <v>16932</v>
      </c>
      <c r="X3686">
        <v>4</v>
      </c>
      <c r="Y3686" t="s">
        <v>23436</v>
      </c>
      <c r="Z3686" t="s">
        <v>30016</v>
      </c>
      <c r="AA3686">
        <v>0.32004341237622819</v>
      </c>
      <c r="AB3686" t="str">
        <f>HYPERLINK("Melting_Curves/meltCurve_Q16656_2_NRF1.pdf", "Melting_Curves/meltCurve_Q16656_2_NRF1.pdf")</f>
        <v>Melting_Curves/meltCurve_Q16656_2_NRF1.pdf</v>
      </c>
    </row>
    <row r="3687" spans="1:28" x14ac:dyDescent="0.25">
      <c r="A3687" t="s">
        <v>3691</v>
      </c>
      <c r="B3687">
        <v>0.99252571173614901</v>
      </c>
      <c r="C3687">
        <v>1.1516423847894699</v>
      </c>
      <c r="D3687">
        <v>0.71571262141980296</v>
      </c>
      <c r="E3687">
        <v>0.76481156764819902</v>
      </c>
      <c r="F3687">
        <v>0.40676973807634098</v>
      </c>
      <c r="G3687">
        <v>0.16466611162073799</v>
      </c>
      <c r="H3687">
        <v>6.6487170874657997E-2</v>
      </c>
      <c r="I3687">
        <v>5.4359724633044601E-2</v>
      </c>
      <c r="J3687">
        <v>5.7698552747235003E-2</v>
      </c>
      <c r="K3687">
        <v>5.1112346599064197E-2</v>
      </c>
      <c r="L3687">
        <v>903.620575101138</v>
      </c>
      <c r="M3687">
        <v>17.449724484763099</v>
      </c>
      <c r="N3687">
        <v>51.920648394293998</v>
      </c>
      <c r="O3687">
        <v>51.118491330643998</v>
      </c>
      <c r="P3687">
        <v>-8.3432106406467699E-2</v>
      </c>
      <c r="Q3687">
        <v>2.2406203631482002E-2</v>
      </c>
      <c r="R3687">
        <v>0.95537681262669105</v>
      </c>
      <c r="S3687" t="s">
        <v>10333</v>
      </c>
      <c r="T3687" t="s">
        <v>13290</v>
      </c>
      <c r="U3687" t="s">
        <v>13290</v>
      </c>
      <c r="V3687" t="s">
        <v>13290</v>
      </c>
      <c r="W3687" t="s">
        <v>16933</v>
      </c>
      <c r="X3687">
        <v>45</v>
      </c>
      <c r="Y3687" t="s">
        <v>23437</v>
      </c>
      <c r="Z3687" t="s">
        <v>30017</v>
      </c>
      <c r="AA3687">
        <v>0.42361945578974619</v>
      </c>
      <c r="AB3687" t="str">
        <f>HYPERLINK("Melting_Curves/meltCurve_Q16658_FSCN1.pdf", "Melting_Curves/meltCurve_Q16658_FSCN1.pdf")</f>
        <v>Melting_Curves/meltCurve_Q16658_FSCN1.pdf</v>
      </c>
    </row>
    <row r="3688" spans="1:28" x14ac:dyDescent="0.25">
      <c r="A3688" t="s">
        <v>3692</v>
      </c>
      <c r="B3688">
        <v>0.99252571173614901</v>
      </c>
      <c r="C3688">
        <v>1.18726493219905</v>
      </c>
      <c r="D3688">
        <v>1.0609279183514</v>
      </c>
      <c r="E3688">
        <v>0.86229685277350998</v>
      </c>
      <c r="F3688">
        <v>0.51119372043382405</v>
      </c>
      <c r="G3688">
        <v>0.399751941074247</v>
      </c>
      <c r="H3688">
        <v>0.34781660476050802</v>
      </c>
      <c r="I3688">
        <v>0.39079210818570398</v>
      </c>
      <c r="J3688">
        <v>0.48602922633892598</v>
      </c>
      <c r="K3688">
        <v>0.44813509784057498</v>
      </c>
      <c r="L3688">
        <v>2227.5969189164698</v>
      </c>
      <c r="M3688">
        <v>43.638329841363301</v>
      </c>
      <c r="N3688">
        <v>53.201923631757403</v>
      </c>
      <c r="O3688">
        <v>50.939945865437103</v>
      </c>
      <c r="P3688">
        <v>-0.12536446694825401</v>
      </c>
      <c r="Q3688">
        <v>0.41463847726862901</v>
      </c>
      <c r="R3688">
        <v>0.94426676341431004</v>
      </c>
      <c r="S3688" t="s">
        <v>10334</v>
      </c>
      <c r="T3688" t="s">
        <v>13290</v>
      </c>
      <c r="U3688" t="s">
        <v>13290</v>
      </c>
      <c r="V3688" t="s">
        <v>13290</v>
      </c>
      <c r="W3688" t="s">
        <v>16934</v>
      </c>
      <c r="X3688">
        <v>1</v>
      </c>
      <c r="Y3688" t="s">
        <v>23438</v>
      </c>
      <c r="Z3688" t="s">
        <v>30018</v>
      </c>
      <c r="AA3688">
        <v>0.63191729050186884</v>
      </c>
      <c r="AB3688" t="str">
        <f>HYPERLINK("Melting_Curves/meltCurve_Q16670_2_ZSCAN26.pdf", "Melting_Curves/meltCurve_Q16670_2_ZSCAN26.pdf")</f>
        <v>Melting_Curves/meltCurve_Q16670_2_ZSCAN26.pdf</v>
      </c>
    </row>
    <row r="3689" spans="1:28" x14ac:dyDescent="0.25">
      <c r="A3689" t="s">
        <v>3693</v>
      </c>
      <c r="B3689">
        <v>0.99252571173614901</v>
      </c>
      <c r="C3689">
        <v>0.83134006551002904</v>
      </c>
      <c r="D3689">
        <v>0.87886531477286001</v>
      </c>
      <c r="E3689">
        <v>0.89827687345561003</v>
      </c>
      <c r="F3689">
        <v>0.67370950120360296</v>
      </c>
      <c r="G3689">
        <v>0.25420289338617902</v>
      </c>
      <c r="H3689">
        <v>7.7605980628345006E-2</v>
      </c>
      <c r="I3689">
        <v>6.3014460608118897E-2</v>
      </c>
      <c r="J3689">
        <v>6.6718517853157605E-2</v>
      </c>
      <c r="K3689">
        <v>6.8448832573738905E-2</v>
      </c>
      <c r="L3689">
        <v>1416.43741360782</v>
      </c>
      <c r="M3689">
        <v>26.117995115692</v>
      </c>
      <c r="N3689">
        <v>54.443174352256896</v>
      </c>
      <c r="O3689">
        <v>53.917315244325501</v>
      </c>
      <c r="P3689">
        <v>-0.115276356954924</v>
      </c>
      <c r="Q3689">
        <v>4.8116760034427199E-2</v>
      </c>
      <c r="R3689">
        <v>0.97050557450943098</v>
      </c>
      <c r="S3689" t="s">
        <v>10335</v>
      </c>
      <c r="T3689" t="s">
        <v>13290</v>
      </c>
      <c r="U3689" t="s">
        <v>13290</v>
      </c>
      <c r="V3689" t="s">
        <v>13290</v>
      </c>
      <c r="W3689" t="s">
        <v>16935</v>
      </c>
      <c r="X3689">
        <v>15</v>
      </c>
      <c r="Y3689" t="s">
        <v>23439</v>
      </c>
      <c r="Z3689" t="s">
        <v>30019</v>
      </c>
      <c r="AA3689">
        <v>0.50783509709645891</v>
      </c>
      <c r="AB3689" t="str">
        <f>HYPERLINK("Melting_Curves/meltCurve_Q16706_MAN2A1.pdf", "Melting_Curves/meltCurve_Q16706_MAN2A1.pdf")</f>
        <v>Melting_Curves/meltCurve_Q16706_MAN2A1.pdf</v>
      </c>
    </row>
    <row r="3690" spans="1:28" x14ac:dyDescent="0.25">
      <c r="A3690" t="s">
        <v>3694</v>
      </c>
      <c r="B3690">
        <v>0.99252571173614901</v>
      </c>
      <c r="C3690">
        <v>0.91339418595190203</v>
      </c>
      <c r="D3690">
        <v>0.96257577475047496</v>
      </c>
      <c r="E3690">
        <v>0.98879517123126104</v>
      </c>
      <c r="F3690">
        <v>0.78538394183037397</v>
      </c>
      <c r="G3690">
        <v>0.53147489279688598</v>
      </c>
      <c r="H3690">
        <v>0.43772043663948101</v>
      </c>
      <c r="I3690">
        <v>0.36781645600429302</v>
      </c>
      <c r="J3690">
        <v>0.38358817480945301</v>
      </c>
      <c r="K3690">
        <v>0.33752287413639298</v>
      </c>
      <c r="L3690">
        <v>1394.34520139697</v>
      </c>
      <c r="M3690">
        <v>25.4839745450758</v>
      </c>
      <c r="N3690">
        <v>57.622521976190598</v>
      </c>
      <c r="O3690">
        <v>54.381011659424303</v>
      </c>
      <c r="P3690">
        <v>-7.47666440464409E-2</v>
      </c>
      <c r="Q3690">
        <v>0.36182091454213799</v>
      </c>
      <c r="R3690">
        <v>0.98390312768155996</v>
      </c>
      <c r="S3690" t="s">
        <v>10336</v>
      </c>
      <c r="T3690" t="s">
        <v>13290</v>
      </c>
      <c r="U3690" t="s">
        <v>13290</v>
      </c>
      <c r="V3690" t="s">
        <v>13290</v>
      </c>
      <c r="W3690" t="s">
        <v>16936</v>
      </c>
      <c r="X3690">
        <v>6</v>
      </c>
      <c r="Y3690" t="s">
        <v>23440</v>
      </c>
      <c r="Z3690" t="s">
        <v>30020</v>
      </c>
      <c r="AA3690">
        <v>0.6805491765468088</v>
      </c>
      <c r="AB3690" t="str">
        <f>HYPERLINK("Melting_Curves/meltCurve_Q16718_NDUFA5.pdf", "Melting_Curves/meltCurve_Q16718_NDUFA5.pdf")</f>
        <v>Melting_Curves/meltCurve_Q16718_NDUFA5.pdf</v>
      </c>
    </row>
    <row r="3691" spans="1:28" x14ac:dyDescent="0.25">
      <c r="A3691" t="s">
        <v>3695</v>
      </c>
      <c r="B3691">
        <v>0.99252571173614901</v>
      </c>
      <c r="C3691">
        <v>0.96757732776577599</v>
      </c>
      <c r="D3691">
        <v>0.98063388250394901</v>
      </c>
      <c r="E3691">
        <v>0.93897531522218702</v>
      </c>
      <c r="F3691">
        <v>0.84552637632812599</v>
      </c>
      <c r="G3691">
        <v>0.64503702999610202</v>
      </c>
      <c r="H3691">
        <v>0.35776441313871699</v>
      </c>
      <c r="I3691">
        <v>0.135527353243725</v>
      </c>
      <c r="J3691">
        <v>8.8427568434975401E-2</v>
      </c>
      <c r="K3691">
        <v>8.0514248450833104E-2</v>
      </c>
      <c r="L3691">
        <v>1050.9175455802399</v>
      </c>
      <c r="M3691">
        <v>17.974261378606901</v>
      </c>
      <c r="N3691">
        <v>58.500939303535397</v>
      </c>
      <c r="O3691">
        <v>57.758609651197197</v>
      </c>
      <c r="P3691">
        <v>-7.7410183628129903E-2</v>
      </c>
      <c r="Q3691">
        <v>5.04780517231337E-3</v>
      </c>
      <c r="R3691">
        <v>0.99647432102951194</v>
      </c>
      <c r="S3691" t="s">
        <v>10337</v>
      </c>
      <c r="T3691" t="s">
        <v>13290</v>
      </c>
      <c r="U3691" t="s">
        <v>13290</v>
      </c>
      <c r="V3691" t="s">
        <v>13290</v>
      </c>
      <c r="W3691" t="s">
        <v>16937</v>
      </c>
      <c r="X3691">
        <v>11</v>
      </c>
      <c r="Y3691" t="s">
        <v>23441</v>
      </c>
      <c r="Z3691" t="s">
        <v>30021</v>
      </c>
      <c r="AA3691">
        <v>0.62908279130152367</v>
      </c>
      <c r="AB3691" t="str">
        <f>HYPERLINK("Melting_Curves/meltCurve_Q16740_CLPP.pdf", "Melting_Curves/meltCurve_Q16740_CLPP.pdf")</f>
        <v>Melting_Curves/meltCurve_Q16740_CLPP.pdf</v>
      </c>
    </row>
    <row r="3692" spans="1:28" x14ac:dyDescent="0.25">
      <c r="A3692" t="s">
        <v>3696</v>
      </c>
      <c r="B3692">
        <v>0.99252571173614901</v>
      </c>
      <c r="C3692">
        <v>1.0769630628808999</v>
      </c>
      <c r="D3692">
        <v>0.83483642256623602</v>
      </c>
      <c r="E3692">
        <v>0.33950520934960399</v>
      </c>
      <c r="F3692">
        <v>0.13851125021515001</v>
      </c>
      <c r="G3692">
        <v>8.6522323047077299E-2</v>
      </c>
      <c r="H3692">
        <v>6.13175362595949E-2</v>
      </c>
      <c r="I3692">
        <v>6.7717751401616205E-2</v>
      </c>
      <c r="J3692">
        <v>5.7692618045194301E-2</v>
      </c>
      <c r="K3692">
        <v>5.1346754578766002E-2</v>
      </c>
      <c r="L3692">
        <v>1580.0567982294799</v>
      </c>
      <c r="M3692">
        <v>32.718161536257</v>
      </c>
      <c r="N3692">
        <v>48.508429143850897</v>
      </c>
      <c r="O3692">
        <v>48.113597336160197</v>
      </c>
      <c r="P3692">
        <v>-0.158507582210029</v>
      </c>
      <c r="Q3692">
        <v>6.7632405670346799E-2</v>
      </c>
      <c r="R3692">
        <v>0.99384340167233298</v>
      </c>
      <c r="S3692" t="s">
        <v>10338</v>
      </c>
      <c r="T3692" t="s">
        <v>13290</v>
      </c>
      <c r="U3692" t="s">
        <v>13290</v>
      </c>
      <c r="V3692" t="s">
        <v>13290</v>
      </c>
      <c r="W3692" t="s">
        <v>16938</v>
      </c>
      <c r="X3692">
        <v>13</v>
      </c>
      <c r="Y3692" t="s">
        <v>23442</v>
      </c>
      <c r="Z3692" t="s">
        <v>30022</v>
      </c>
      <c r="AA3692">
        <v>0.33007237756830149</v>
      </c>
      <c r="AB3692" t="str">
        <f>HYPERLINK("Melting_Curves/meltCurve_Q16762_TST.pdf", "Melting_Curves/meltCurve_Q16762_TST.pdf")</f>
        <v>Melting_Curves/meltCurve_Q16762_TST.pdf</v>
      </c>
    </row>
    <row r="3693" spans="1:28" x14ac:dyDescent="0.25">
      <c r="A3693" t="s">
        <v>3697</v>
      </c>
      <c r="B3693">
        <v>0.99252571173614901</v>
      </c>
      <c r="C3693">
        <v>1.0548503786111201</v>
      </c>
      <c r="D3693">
        <v>0.88418827062343597</v>
      </c>
      <c r="E3693">
        <v>0.60460734211950395</v>
      </c>
      <c r="F3693">
        <v>0.31391757146537103</v>
      </c>
      <c r="G3693">
        <v>0.12580617499021901</v>
      </c>
      <c r="H3693">
        <v>8.7958749981430204E-2</v>
      </c>
      <c r="I3693">
        <v>8.2856285992861406E-2</v>
      </c>
      <c r="J3693">
        <v>8.6371476263704103E-2</v>
      </c>
      <c r="K3693">
        <v>7.1702263308554906E-2</v>
      </c>
      <c r="L3693">
        <v>1115.8951069910299</v>
      </c>
      <c r="M3693">
        <v>22.150822026481901</v>
      </c>
      <c r="N3693">
        <v>50.737680548460602</v>
      </c>
      <c r="O3693">
        <v>49.971946851445601</v>
      </c>
      <c r="P3693">
        <v>-0.102748901484918</v>
      </c>
      <c r="Q3693">
        <v>7.2819772938930397E-2</v>
      </c>
      <c r="R3693">
        <v>0.99557491519875496</v>
      </c>
      <c r="S3693" t="s">
        <v>10339</v>
      </c>
      <c r="T3693" t="s">
        <v>13290</v>
      </c>
      <c r="U3693" t="s">
        <v>13290</v>
      </c>
      <c r="V3693" t="s">
        <v>13290</v>
      </c>
      <c r="W3693" t="s">
        <v>16939</v>
      </c>
      <c r="X3693">
        <v>8</v>
      </c>
      <c r="Y3693" t="s">
        <v>23443</v>
      </c>
      <c r="Z3693" t="s">
        <v>30023</v>
      </c>
      <c r="AA3693">
        <v>0.4041070396122986</v>
      </c>
      <c r="AB3693" t="str">
        <f>HYPERLINK("Melting_Curves/meltCurve_Q16763_UBE2S.pdf", "Melting_Curves/meltCurve_Q16763_UBE2S.pdf")</f>
        <v>Melting_Curves/meltCurve_Q16763_UBE2S.pdf</v>
      </c>
    </row>
    <row r="3694" spans="1:28" x14ac:dyDescent="0.25">
      <c r="A3694" t="s">
        <v>3698</v>
      </c>
      <c r="B3694">
        <v>0.99252571173614901</v>
      </c>
      <c r="C3694">
        <v>1.0202475834326701</v>
      </c>
      <c r="D3694">
        <v>0.95746630218699602</v>
      </c>
      <c r="E3694">
        <v>0.85366357813268001</v>
      </c>
      <c r="F3694">
        <v>0.57021539197110804</v>
      </c>
      <c r="G3694">
        <v>0.44759676408833099</v>
      </c>
      <c r="H3694">
        <v>0.271003779641598</v>
      </c>
      <c r="I3694">
        <v>0.19067406405175299</v>
      </c>
      <c r="J3694">
        <v>0.23385119028208001</v>
      </c>
      <c r="K3694">
        <v>0.21018606153031799</v>
      </c>
      <c r="L3694">
        <v>949.43639967279796</v>
      </c>
      <c r="M3694">
        <v>17.7713097461431</v>
      </c>
      <c r="N3694">
        <v>54.925735527927202</v>
      </c>
      <c r="O3694">
        <v>52.7625259437647</v>
      </c>
      <c r="P3694">
        <v>-6.8015111622958396E-2</v>
      </c>
      <c r="Q3694">
        <v>0.19230200936011499</v>
      </c>
      <c r="R3694">
        <v>0.99327520240495404</v>
      </c>
      <c r="S3694" t="s">
        <v>10340</v>
      </c>
      <c r="T3694" t="s">
        <v>13290</v>
      </c>
      <c r="U3694" t="s">
        <v>13290</v>
      </c>
      <c r="V3694" t="s">
        <v>13290</v>
      </c>
      <c r="W3694" t="s">
        <v>16940</v>
      </c>
      <c r="X3694">
        <v>3</v>
      </c>
      <c r="Y3694" t="s">
        <v>23444</v>
      </c>
      <c r="Z3694" t="s">
        <v>30024</v>
      </c>
      <c r="AA3694">
        <v>0.56712441635514044</v>
      </c>
      <c r="AB3694" t="str">
        <f>HYPERLINK("Melting_Curves/meltCurve_Q16769_QPCT.pdf", "Melting_Curves/meltCurve_Q16769_QPCT.pdf")</f>
        <v>Melting_Curves/meltCurve_Q16769_QPCT.pdf</v>
      </c>
    </row>
    <row r="3695" spans="1:28" x14ac:dyDescent="0.25">
      <c r="A3695" t="s">
        <v>3699</v>
      </c>
      <c r="B3695">
        <v>0.99252571173614901</v>
      </c>
      <c r="C3695">
        <v>1.0707663463932899</v>
      </c>
      <c r="D3695">
        <v>0.97228866886079401</v>
      </c>
      <c r="E3695">
        <v>0.84948724812674603</v>
      </c>
      <c r="F3695">
        <v>0.61585478776846003</v>
      </c>
      <c r="G3695">
        <v>0.47926020421069099</v>
      </c>
      <c r="H3695">
        <v>0.38918046192889599</v>
      </c>
      <c r="I3695">
        <v>0.34271706792143902</v>
      </c>
      <c r="J3695">
        <v>0.27428956525627401</v>
      </c>
      <c r="K3695">
        <v>0.193620134661106</v>
      </c>
      <c r="L3695">
        <v>805.22270623815905</v>
      </c>
      <c r="M3695">
        <v>14.8945372720801</v>
      </c>
      <c r="N3695">
        <v>56.382258608548</v>
      </c>
      <c r="O3695">
        <v>53.115192053351599</v>
      </c>
      <c r="P3695">
        <v>-5.4045896507656302E-2</v>
      </c>
      <c r="Q3695">
        <v>0.22915120403349901</v>
      </c>
      <c r="R3695">
        <v>0.98229995451042196</v>
      </c>
      <c r="S3695" t="s">
        <v>10341</v>
      </c>
      <c r="T3695" t="s">
        <v>13290</v>
      </c>
      <c r="U3695" t="s">
        <v>13290</v>
      </c>
      <c r="V3695" t="s">
        <v>13290</v>
      </c>
      <c r="W3695" t="s">
        <v>16941</v>
      </c>
      <c r="X3695">
        <v>15</v>
      </c>
      <c r="Y3695" t="s">
        <v>23445</v>
      </c>
      <c r="Z3695" t="s">
        <v>30025</v>
      </c>
      <c r="AA3695">
        <v>0.60636359630248959</v>
      </c>
      <c r="AB3695" t="str">
        <f>HYPERLINK("Melting_Curves/meltCurve_Q16775_2_HAGH.pdf", "Melting_Curves/meltCurve_Q16775_2_HAGH.pdf")</f>
        <v>Melting_Curves/meltCurve_Q16775_2_HAGH.pdf</v>
      </c>
    </row>
    <row r="3696" spans="1:28" x14ac:dyDescent="0.25">
      <c r="A3696" t="s">
        <v>3700</v>
      </c>
      <c r="B3696">
        <v>0.99252571173614901</v>
      </c>
      <c r="C3696">
        <v>0.97574289435304795</v>
      </c>
      <c r="D3696">
        <v>0.92748889991147299</v>
      </c>
      <c r="E3696">
        <v>0.66612250802315898</v>
      </c>
      <c r="F3696">
        <v>0.54496847003308402</v>
      </c>
      <c r="G3696">
        <v>0.47614356359927501</v>
      </c>
      <c r="H3696">
        <v>0.52396369062312298</v>
      </c>
      <c r="I3696">
        <v>0.64140132160198804</v>
      </c>
      <c r="J3696">
        <v>0.85485269799114705</v>
      </c>
      <c r="K3696">
        <v>0.66150063077690502</v>
      </c>
      <c r="L3696">
        <v>2281.31286681457</v>
      </c>
      <c r="M3696">
        <v>48.126112361461402</v>
      </c>
      <c r="O3696">
        <v>47.321175165332299</v>
      </c>
      <c r="P3696">
        <v>-9.7138879729031305E-2</v>
      </c>
      <c r="Q3696">
        <v>0.617943660416715</v>
      </c>
      <c r="R3696">
        <v>0.72545263298391405</v>
      </c>
      <c r="S3696" t="s">
        <v>10342</v>
      </c>
      <c r="T3696" t="s">
        <v>13290</v>
      </c>
      <c r="U3696" t="s">
        <v>13290</v>
      </c>
      <c r="V3696" t="s">
        <v>13290</v>
      </c>
      <c r="W3696" t="s">
        <v>16942</v>
      </c>
      <c r="X3696">
        <v>9</v>
      </c>
      <c r="Y3696" t="s">
        <v>23446</v>
      </c>
      <c r="Z3696" t="s">
        <v>30026</v>
      </c>
      <c r="AA3696">
        <v>0.71308382229011447</v>
      </c>
      <c r="AB3696" t="str">
        <f>HYPERLINK("Melting_Curves/meltCurve_Q16778_HIST2H2BE.pdf", "Melting_Curves/meltCurve_Q16778_HIST2H2BE.pdf")</f>
        <v>Melting_Curves/meltCurve_Q16778_HIST2H2BE.pdf</v>
      </c>
    </row>
    <row r="3697" spans="1:28" x14ac:dyDescent="0.25">
      <c r="A3697" t="s">
        <v>3701</v>
      </c>
      <c r="B3697">
        <v>0.99252571173614901</v>
      </c>
      <c r="C3697">
        <v>0.93294497887664096</v>
      </c>
      <c r="D3697">
        <v>0.88566743971469997</v>
      </c>
      <c r="E3697">
        <v>0.928825200977064</v>
      </c>
      <c r="F3697">
        <v>0.69924919704178601</v>
      </c>
      <c r="G3697">
        <v>0.54758881763214295</v>
      </c>
      <c r="H3697">
        <v>0.458916498969482</v>
      </c>
      <c r="I3697">
        <v>0.60175960828862496</v>
      </c>
      <c r="J3697">
        <v>0.91827783334035495</v>
      </c>
      <c r="K3697">
        <v>0.68290466506765302</v>
      </c>
      <c r="L3697">
        <v>2360.8337912629199</v>
      </c>
      <c r="M3697">
        <v>46.271561149231601</v>
      </c>
      <c r="O3697">
        <v>50.926266099437797</v>
      </c>
      <c r="P3697">
        <v>-8.1076833840099394E-2</v>
      </c>
      <c r="Q3697">
        <v>0.64306940525477796</v>
      </c>
      <c r="R3697">
        <v>0.56738228003272095</v>
      </c>
      <c r="S3697" t="s">
        <v>10343</v>
      </c>
      <c r="T3697" t="s">
        <v>13290</v>
      </c>
      <c r="U3697" t="s">
        <v>13290</v>
      </c>
      <c r="V3697" t="s">
        <v>13290</v>
      </c>
      <c r="W3697" t="s">
        <v>16943</v>
      </c>
      <c r="X3697">
        <v>7</v>
      </c>
      <c r="Y3697" t="s">
        <v>23447</v>
      </c>
      <c r="Z3697" t="s">
        <v>30027</v>
      </c>
      <c r="AA3697">
        <v>0.77513580036746677</v>
      </c>
      <c r="AB3697" t="str">
        <f>HYPERLINK("Melting_Curves/meltCurve_Q16790_CA9.pdf", "Melting_Curves/meltCurve_Q16790_CA9.pdf")</f>
        <v>Melting_Curves/meltCurve_Q16790_CA9.pdf</v>
      </c>
    </row>
    <row r="3698" spans="1:28" x14ac:dyDescent="0.25">
      <c r="A3698" t="s">
        <v>3702</v>
      </c>
      <c r="B3698">
        <v>0.99252571173614901</v>
      </c>
      <c r="C3698">
        <v>0.92241425514298003</v>
      </c>
      <c r="D3698">
        <v>0.86262486281149298</v>
      </c>
      <c r="E3698">
        <v>0.59916975446514098</v>
      </c>
      <c r="F3698">
        <v>0.31766219338184398</v>
      </c>
      <c r="G3698">
        <v>0.196321780376324</v>
      </c>
      <c r="H3698">
        <v>0.122826454317411</v>
      </c>
      <c r="I3698">
        <v>9.6756369016789606E-2</v>
      </c>
      <c r="J3698">
        <v>7.6721260847337602E-2</v>
      </c>
      <c r="K3698">
        <v>8.8318727435646893E-2</v>
      </c>
      <c r="L3698">
        <v>874.71634159259702</v>
      </c>
      <c r="M3698">
        <v>17.392868095796899</v>
      </c>
      <c r="N3698">
        <v>50.768946752400602</v>
      </c>
      <c r="O3698">
        <v>49.640995077920699</v>
      </c>
      <c r="P3698">
        <v>-8.0991497460911499E-2</v>
      </c>
      <c r="Q3698">
        <v>7.5421121497421806E-2</v>
      </c>
      <c r="R3698">
        <v>0.99853047335818301</v>
      </c>
      <c r="S3698" t="s">
        <v>10344</v>
      </c>
      <c r="T3698" t="s">
        <v>13290</v>
      </c>
      <c r="U3698" t="s">
        <v>13290</v>
      </c>
      <c r="V3698" t="s">
        <v>13290</v>
      </c>
      <c r="W3698" t="s">
        <v>16944</v>
      </c>
      <c r="X3698">
        <v>4</v>
      </c>
      <c r="Y3698" t="s">
        <v>23448</v>
      </c>
      <c r="Z3698" t="s">
        <v>30028</v>
      </c>
      <c r="AA3698">
        <v>0.40934791299983558</v>
      </c>
      <c r="AB3698" t="str">
        <f>HYPERLINK("Melting_Curves/meltCurve_Q16795_NDUFA9.pdf", "Melting_Curves/meltCurve_Q16795_NDUFA9.pdf")</f>
        <v>Melting_Curves/meltCurve_Q16795_NDUFA9.pdf</v>
      </c>
    </row>
    <row r="3699" spans="1:28" x14ac:dyDescent="0.25">
      <c r="A3699" t="s">
        <v>3703</v>
      </c>
      <c r="B3699">
        <v>0.99252571173614901</v>
      </c>
      <c r="C3699">
        <v>1.0044162880676899</v>
      </c>
      <c r="D3699">
        <v>0.88545510470538202</v>
      </c>
      <c r="E3699">
        <v>0.66753113970505396</v>
      </c>
      <c r="F3699">
        <v>0.26982748341928597</v>
      </c>
      <c r="G3699">
        <v>0.109917488945657</v>
      </c>
      <c r="H3699">
        <v>6.6874674408515397E-2</v>
      </c>
      <c r="I3699">
        <v>6.1767354088468999E-2</v>
      </c>
      <c r="J3699">
        <v>6.2279886105134602E-2</v>
      </c>
      <c r="K3699">
        <v>5.8940631909168401E-2</v>
      </c>
      <c r="L3699">
        <v>1222.8255001175901</v>
      </c>
      <c r="M3699">
        <v>24.139478456522198</v>
      </c>
      <c r="N3699">
        <v>50.894234361376498</v>
      </c>
      <c r="O3699">
        <v>50.312873732979497</v>
      </c>
      <c r="P3699">
        <v>-0.113557628657162</v>
      </c>
      <c r="Q3699">
        <v>5.3281747641546397E-2</v>
      </c>
      <c r="R3699">
        <v>0.99838915953374496</v>
      </c>
      <c r="S3699" t="s">
        <v>10345</v>
      </c>
      <c r="T3699" t="s">
        <v>13290</v>
      </c>
      <c r="U3699" t="s">
        <v>13290</v>
      </c>
      <c r="V3699" t="s">
        <v>13290</v>
      </c>
      <c r="W3699" t="s">
        <v>16945</v>
      </c>
      <c r="X3699">
        <v>38</v>
      </c>
      <c r="Y3699" t="s">
        <v>23449</v>
      </c>
      <c r="Z3699" t="s">
        <v>30029</v>
      </c>
      <c r="AA3699">
        <v>0.39870887132758209</v>
      </c>
      <c r="AB3699" t="str">
        <f>HYPERLINK("Melting_Curves/meltCurve_Q16822_PCK2.pdf", "Melting_Curves/meltCurve_Q16822_PCK2.pdf")</f>
        <v>Melting_Curves/meltCurve_Q16822_PCK2.pdf</v>
      </c>
    </row>
    <row r="3700" spans="1:28" x14ac:dyDescent="0.25">
      <c r="A3700" t="s">
        <v>3704</v>
      </c>
      <c r="B3700">
        <v>0.99252571173614901</v>
      </c>
      <c r="C3700">
        <v>0.94251322250185998</v>
      </c>
      <c r="D3700">
        <v>0.30867875572322001</v>
      </c>
      <c r="E3700">
        <v>0.166645581961026</v>
      </c>
      <c r="F3700">
        <v>0.106488891810472</v>
      </c>
      <c r="G3700">
        <v>6.0376782580322398E-2</v>
      </c>
      <c r="H3700">
        <v>4.1548854474832302E-2</v>
      </c>
      <c r="I3700">
        <v>3.7019246445556299E-2</v>
      </c>
      <c r="J3700">
        <v>3.6320533338536E-2</v>
      </c>
      <c r="K3700">
        <v>3.5357589664002202E-2</v>
      </c>
      <c r="L3700">
        <v>2206.6253989921202</v>
      </c>
      <c r="M3700">
        <v>48.960850391507201</v>
      </c>
      <c r="N3700">
        <v>45.200808610195502</v>
      </c>
      <c r="O3700">
        <v>44.9941850291207</v>
      </c>
      <c r="P3700">
        <v>-0.25396581211339397</v>
      </c>
      <c r="Q3700">
        <v>6.6439899300100899E-2</v>
      </c>
      <c r="R3700">
        <v>0.98950429556462904</v>
      </c>
      <c r="S3700" t="s">
        <v>10346</v>
      </c>
      <c r="T3700" t="s">
        <v>13290</v>
      </c>
      <c r="U3700" t="s">
        <v>13290</v>
      </c>
      <c r="V3700" t="s">
        <v>13290</v>
      </c>
      <c r="W3700" t="s">
        <v>16946</v>
      </c>
      <c r="X3700">
        <v>23</v>
      </c>
      <c r="Y3700" t="s">
        <v>23450</v>
      </c>
      <c r="Z3700" t="s">
        <v>30030</v>
      </c>
      <c r="AA3700">
        <v>0.22616603259615839</v>
      </c>
      <c r="AB3700" t="str">
        <f>HYPERLINK("Melting_Curves/meltCurve_Q16850_CYP51A1.pdf", "Melting_Curves/meltCurve_Q16850_CYP51A1.pdf")</f>
        <v>Melting_Curves/meltCurve_Q16850_CYP51A1.pdf</v>
      </c>
    </row>
    <row r="3701" spans="1:28" x14ac:dyDescent="0.25">
      <c r="A3701" t="s">
        <v>3705</v>
      </c>
      <c r="B3701">
        <v>0.99252571173614901</v>
      </c>
      <c r="C3701">
        <v>0.88385329518049705</v>
      </c>
      <c r="D3701">
        <v>1.39258665651696</v>
      </c>
      <c r="E3701">
        <v>1.73248363260293</v>
      </c>
      <c r="F3701">
        <v>1.4813138820509699</v>
      </c>
      <c r="G3701">
        <v>0.99411424556427896</v>
      </c>
      <c r="H3701">
        <v>0.11071414625928599</v>
      </c>
      <c r="I3701">
        <v>0.10953987316446399</v>
      </c>
      <c r="J3701">
        <v>0.11299314912998</v>
      </c>
      <c r="K3701">
        <v>0.108181886896605</v>
      </c>
      <c r="L3701">
        <v>10867.8421198018</v>
      </c>
      <c r="M3701">
        <v>186.323076867016</v>
      </c>
      <c r="N3701">
        <v>58.406026751978303</v>
      </c>
      <c r="O3701">
        <v>58.3212251640755</v>
      </c>
      <c r="P3701">
        <v>-0.710642722597978</v>
      </c>
      <c r="Q3701">
        <v>0.11024324101525899</v>
      </c>
      <c r="R3701">
        <v>0.74488290218321396</v>
      </c>
      <c r="S3701" t="s">
        <v>10347</v>
      </c>
      <c r="T3701" t="s">
        <v>13290</v>
      </c>
      <c r="U3701" t="s">
        <v>13290</v>
      </c>
      <c r="V3701" t="s">
        <v>13290</v>
      </c>
      <c r="W3701" t="s">
        <v>16947</v>
      </c>
      <c r="X3701">
        <v>27</v>
      </c>
      <c r="Y3701" t="s">
        <v>23451</v>
      </c>
      <c r="Z3701" t="s">
        <v>30031</v>
      </c>
      <c r="AA3701">
        <v>0.65398766326937618</v>
      </c>
      <c r="AB3701" t="str">
        <f>HYPERLINK("Melting_Curves/meltCurve_Q16851_UGP2.pdf", "Melting_Curves/meltCurve_Q16851_UGP2.pdf")</f>
        <v>Melting_Curves/meltCurve_Q16851_UGP2.pdf</v>
      </c>
    </row>
    <row r="3702" spans="1:28" x14ac:dyDescent="0.25">
      <c r="A3702" t="s">
        <v>3706</v>
      </c>
      <c r="B3702">
        <v>0.99252571173614901</v>
      </c>
      <c r="C3702">
        <v>1.00850987849325</v>
      </c>
      <c r="D3702">
        <v>0.93528656154962098</v>
      </c>
      <c r="E3702">
        <v>0.88138015355424204</v>
      </c>
      <c r="F3702">
        <v>0.91087612988319999</v>
      </c>
      <c r="G3702">
        <v>0.81480623240874495</v>
      </c>
      <c r="H3702">
        <v>0.73791328644733301</v>
      </c>
      <c r="I3702">
        <v>0.87781330227057197</v>
      </c>
      <c r="J3702">
        <v>0.97605371070171498</v>
      </c>
      <c r="K3702">
        <v>0.661631900682216</v>
      </c>
      <c r="L3702">
        <v>668.08734143434901</v>
      </c>
      <c r="M3702">
        <v>13.4577039852123</v>
      </c>
      <c r="O3702">
        <v>48.585779283778002</v>
      </c>
      <c r="P3702">
        <v>-1.34040652012974E-2</v>
      </c>
      <c r="Q3702">
        <v>0.80646135999653701</v>
      </c>
      <c r="R3702">
        <v>0.43905388335018197</v>
      </c>
      <c r="S3702" t="s">
        <v>10348</v>
      </c>
      <c r="T3702" t="s">
        <v>13290</v>
      </c>
      <c r="U3702" t="s">
        <v>13290</v>
      </c>
      <c r="V3702" t="s">
        <v>13290</v>
      </c>
      <c r="W3702" t="s">
        <v>16948</v>
      </c>
      <c r="X3702">
        <v>8</v>
      </c>
      <c r="Y3702" t="s">
        <v>23452</v>
      </c>
      <c r="Z3702" t="s">
        <v>30032</v>
      </c>
      <c r="AA3702">
        <v>0.87432963399520813</v>
      </c>
      <c r="AB3702" t="str">
        <f>HYPERLINK("Melting_Curves/meltCurve_Q16854_DGUOK.pdf", "Melting_Curves/meltCurve_Q16854_DGUOK.pdf")</f>
        <v>Melting_Curves/meltCurve_Q16854_DGUOK.pdf</v>
      </c>
    </row>
    <row r="3703" spans="1:28" x14ac:dyDescent="0.25">
      <c r="A3703" t="s">
        <v>3707</v>
      </c>
      <c r="B3703">
        <v>0.99252571173614901</v>
      </c>
      <c r="C3703">
        <v>1.0006093543466501</v>
      </c>
      <c r="D3703">
        <v>0.89476228315960804</v>
      </c>
      <c r="E3703">
        <v>0.91142479988730896</v>
      </c>
      <c r="F3703">
        <v>0.794805709821224</v>
      </c>
      <c r="G3703">
        <v>0.63452176744078703</v>
      </c>
      <c r="H3703">
        <v>0.512364423159125</v>
      </c>
      <c r="I3703">
        <v>0.41892248417177302</v>
      </c>
      <c r="J3703">
        <v>0.502582323706806</v>
      </c>
      <c r="K3703">
        <v>0.53068477238924106</v>
      </c>
      <c r="L3703">
        <v>958.58571797191598</v>
      </c>
      <c r="M3703">
        <v>17.730098360433001</v>
      </c>
      <c r="N3703">
        <v>63.605888131248797</v>
      </c>
      <c r="O3703">
        <v>53.391739586522498</v>
      </c>
      <c r="P3703">
        <v>-4.4417053378830701E-2</v>
      </c>
      <c r="Q3703">
        <v>0.465004758259766</v>
      </c>
      <c r="R3703">
        <v>0.96087461322831103</v>
      </c>
      <c r="S3703" t="s">
        <v>10349</v>
      </c>
      <c r="T3703" t="s">
        <v>13290</v>
      </c>
      <c r="U3703" t="s">
        <v>13290</v>
      </c>
      <c r="V3703" t="s">
        <v>13290</v>
      </c>
      <c r="W3703" t="s">
        <v>16949</v>
      </c>
      <c r="X3703">
        <v>2</v>
      </c>
      <c r="Y3703" t="s">
        <v>23453</v>
      </c>
      <c r="Z3703" t="s">
        <v>30033</v>
      </c>
      <c r="AA3703">
        <v>0.72457191633501972</v>
      </c>
      <c r="AB3703" t="str">
        <f>HYPERLINK("Melting_Curves/meltCurve_Q16864_ATP6V1F.pdf", "Melting_Curves/meltCurve_Q16864_ATP6V1F.pdf")</f>
        <v>Melting_Curves/meltCurve_Q16864_ATP6V1F.pdf</v>
      </c>
    </row>
    <row r="3704" spans="1:28" x14ac:dyDescent="0.25">
      <c r="A3704" t="s">
        <v>3708</v>
      </c>
      <c r="B3704">
        <v>0.99252571173614901</v>
      </c>
      <c r="C3704">
        <v>0.94281112557562596</v>
      </c>
      <c r="D3704">
        <v>0.86666916663272198</v>
      </c>
      <c r="E3704">
        <v>0.640724829573321</v>
      </c>
      <c r="F3704">
        <v>0.34880554522214502</v>
      </c>
      <c r="G3704">
        <v>0.141052057396273</v>
      </c>
      <c r="H3704">
        <v>0.10467327530472301</v>
      </c>
      <c r="I3704">
        <v>9.3063785856217607E-2</v>
      </c>
      <c r="J3704">
        <v>0.11713413886375</v>
      </c>
      <c r="K3704">
        <v>0.112963540476982</v>
      </c>
      <c r="L3704">
        <v>996.296577264039</v>
      </c>
      <c r="M3704">
        <v>19.7261984317438</v>
      </c>
      <c r="N3704">
        <v>51.006300124909203</v>
      </c>
      <c r="O3704">
        <v>49.995783746534897</v>
      </c>
      <c r="P3704">
        <v>-8.99702628258916E-2</v>
      </c>
      <c r="Q3704">
        <v>8.7917278133034599E-2</v>
      </c>
      <c r="R3704">
        <v>0.99660296416777905</v>
      </c>
      <c r="S3704" t="s">
        <v>10350</v>
      </c>
      <c r="T3704" t="s">
        <v>13290</v>
      </c>
      <c r="U3704" t="s">
        <v>13290</v>
      </c>
      <c r="V3704" t="s">
        <v>13290</v>
      </c>
      <c r="W3704" t="s">
        <v>16950</v>
      </c>
      <c r="X3704">
        <v>5</v>
      </c>
      <c r="Y3704" t="s">
        <v>23454</v>
      </c>
      <c r="Z3704" t="s">
        <v>30034</v>
      </c>
      <c r="AA3704">
        <v>0.42035122080211351</v>
      </c>
      <c r="AB3704" t="str">
        <f>HYPERLINK("Melting_Curves/meltCurve_Q16880_UGT8.pdf", "Melting_Curves/meltCurve_Q16880_UGT8.pdf")</f>
        <v>Melting_Curves/meltCurve_Q16880_UGT8.pdf</v>
      </c>
    </row>
    <row r="3705" spans="1:28" x14ac:dyDescent="0.25">
      <c r="A3705" t="s">
        <v>3709</v>
      </c>
      <c r="B3705">
        <v>0.99252571173614901</v>
      </c>
      <c r="C3705">
        <v>1.1084361181037901</v>
      </c>
      <c r="D3705">
        <v>0.99215400847394497</v>
      </c>
      <c r="E3705">
        <v>0.94047186673960503</v>
      </c>
      <c r="F3705">
        <v>0.99222542140555703</v>
      </c>
      <c r="G3705">
        <v>0.79774953694414497</v>
      </c>
      <c r="H3705">
        <v>0.85506982265719</v>
      </c>
      <c r="I3705">
        <v>0.71266900171607095</v>
      </c>
      <c r="J3705">
        <v>0.73825552071795697</v>
      </c>
      <c r="K3705">
        <v>0.51080760859309404</v>
      </c>
      <c r="L3705">
        <v>562.14746266341899</v>
      </c>
      <c r="M3705">
        <v>7.7545625358517096</v>
      </c>
      <c r="O3705">
        <v>68.144862727662996</v>
      </c>
      <c r="P3705">
        <v>-2.84849587494703E-2</v>
      </c>
      <c r="Q3705">
        <v>0</v>
      </c>
      <c r="R3705">
        <v>0.86290265510626896</v>
      </c>
      <c r="S3705" t="s">
        <v>10351</v>
      </c>
      <c r="T3705" t="s">
        <v>13290</v>
      </c>
      <c r="U3705" t="s">
        <v>13290</v>
      </c>
      <c r="V3705" t="s">
        <v>13290</v>
      </c>
      <c r="W3705" t="s">
        <v>16951</v>
      </c>
      <c r="X3705">
        <v>6</v>
      </c>
      <c r="Y3705" t="s">
        <v>23455</v>
      </c>
      <c r="Z3705" t="s">
        <v>30035</v>
      </c>
      <c r="AA3705">
        <v>0.87033725072411905</v>
      </c>
      <c r="AB3705" t="str">
        <f>HYPERLINK("Melting_Curves/meltCurve_Q17R31_2_TATDN3.pdf", "Melting_Curves/meltCurve_Q17R31_2_TATDN3.pdf")</f>
        <v>Melting_Curves/meltCurve_Q17R31_2_TATDN3.pdf</v>
      </c>
    </row>
    <row r="3706" spans="1:28" x14ac:dyDescent="0.25">
      <c r="A3706" t="s">
        <v>3710</v>
      </c>
      <c r="B3706">
        <v>0.99252571173614901</v>
      </c>
      <c r="C3706">
        <v>0.97134774107212396</v>
      </c>
      <c r="D3706">
        <v>1.0228102154504199</v>
      </c>
      <c r="E3706">
        <v>0.90810160890376401</v>
      </c>
      <c r="F3706">
        <v>0.12747421179171001</v>
      </c>
      <c r="G3706">
        <v>6.3900952946717202E-2</v>
      </c>
      <c r="H3706">
        <v>3.9549995760654301E-2</v>
      </c>
      <c r="I3706">
        <v>4.7753355515974899E-2</v>
      </c>
      <c r="J3706">
        <v>3.1282898142666403E-2</v>
      </c>
      <c r="K3706">
        <v>2.76420725258897E-2</v>
      </c>
      <c r="L3706">
        <v>3336.4551899640601</v>
      </c>
      <c r="M3706">
        <v>65.0242128614385</v>
      </c>
      <c r="N3706">
        <v>51.379485245312999</v>
      </c>
      <c r="O3706">
        <v>51.262487837246901</v>
      </c>
      <c r="P3706">
        <v>-0.30394396241542898</v>
      </c>
      <c r="Q3706">
        <v>4.1531013613097897E-2</v>
      </c>
      <c r="R3706">
        <v>0.99892521762685405</v>
      </c>
      <c r="S3706" t="s">
        <v>10352</v>
      </c>
      <c r="T3706" t="s">
        <v>13290</v>
      </c>
      <c r="U3706" t="s">
        <v>13290</v>
      </c>
      <c r="V3706" t="s">
        <v>13290</v>
      </c>
      <c r="W3706" t="s">
        <v>16952</v>
      </c>
      <c r="X3706">
        <v>2</v>
      </c>
      <c r="Y3706" t="s">
        <v>23456</v>
      </c>
      <c r="Z3706" t="s">
        <v>30036</v>
      </c>
      <c r="AA3706">
        <v>0.4041844332918853</v>
      </c>
      <c r="AB3706" t="str">
        <f>HYPERLINK("Melting_Curves/meltCurve_Q17RN3_FAM98C.pdf", "Melting_Curves/meltCurve_Q17RN3_FAM98C.pdf")</f>
        <v>Melting_Curves/meltCurve_Q17RN3_FAM98C.pdf</v>
      </c>
    </row>
    <row r="3707" spans="1:28" x14ac:dyDescent="0.25">
      <c r="A3707" t="s">
        <v>3711</v>
      </c>
      <c r="B3707">
        <v>0.99252571173614901</v>
      </c>
      <c r="C3707">
        <v>0.90419958524434596</v>
      </c>
      <c r="D3707">
        <v>0.65338934834728801</v>
      </c>
      <c r="E3707">
        <v>0.34872231238992402</v>
      </c>
      <c r="F3707">
        <v>0.21491453126915799</v>
      </c>
      <c r="G3707">
        <v>0.115140454543448</v>
      </c>
      <c r="H3707">
        <v>8.7035723740314694E-2</v>
      </c>
      <c r="I3707">
        <v>8.1659075458123204E-2</v>
      </c>
      <c r="J3707">
        <v>8.4300148750146894E-2</v>
      </c>
      <c r="K3707">
        <v>8.34712617931197E-2</v>
      </c>
      <c r="L3707">
        <v>896.06580558797305</v>
      </c>
      <c r="M3707">
        <v>18.912531637875599</v>
      </c>
      <c r="N3707">
        <v>47.828080606748301</v>
      </c>
      <c r="O3707">
        <v>46.859290520001899</v>
      </c>
      <c r="P3707">
        <v>-9.2703850181385106E-2</v>
      </c>
      <c r="Q3707">
        <v>8.1273559305259799E-2</v>
      </c>
      <c r="R3707">
        <v>0.99830155683206301</v>
      </c>
      <c r="S3707" t="s">
        <v>10353</v>
      </c>
      <c r="T3707" t="s">
        <v>13290</v>
      </c>
      <c r="U3707" t="s">
        <v>13290</v>
      </c>
      <c r="V3707" t="s">
        <v>13290</v>
      </c>
      <c r="W3707" t="s">
        <v>16953</v>
      </c>
      <c r="X3707">
        <v>9</v>
      </c>
      <c r="Y3707" t="s">
        <v>23457</v>
      </c>
      <c r="Z3707" t="s">
        <v>30037</v>
      </c>
      <c r="AA3707">
        <v>0.32224352480594493</v>
      </c>
      <c r="AB3707" t="str">
        <f>HYPERLINK("Melting_Curves/meltCurve_Q17RU2_REL.pdf", "Melting_Curves/meltCurve_Q17RU2_REL.pdf")</f>
        <v>Melting_Curves/meltCurve_Q17RU2_REL.pdf</v>
      </c>
    </row>
    <row r="3708" spans="1:28" x14ac:dyDescent="0.25">
      <c r="A3708" t="s">
        <v>3712</v>
      </c>
      <c r="B3708">
        <v>0.99252571173614901</v>
      </c>
      <c r="C3708">
        <v>1.05631188961341</v>
      </c>
      <c r="D3708">
        <v>1.0013908481299001</v>
      </c>
      <c r="E3708">
        <v>0.84222975355600005</v>
      </c>
      <c r="F3708">
        <v>0.73879964147286403</v>
      </c>
      <c r="G3708">
        <v>0.62748512015878799</v>
      </c>
      <c r="H3708">
        <v>0.64173634253149103</v>
      </c>
      <c r="I3708">
        <v>0.79015875124613999</v>
      </c>
      <c r="J3708">
        <v>1.1867614691402699</v>
      </c>
      <c r="K3708">
        <v>1.2937588329087599</v>
      </c>
      <c r="L3708">
        <v>15000</v>
      </c>
      <c r="M3708">
        <v>224.10324429536499</v>
      </c>
      <c r="O3708">
        <v>66.928105037325395</v>
      </c>
      <c r="P3708">
        <v>0.24593081142190601</v>
      </c>
      <c r="Q3708">
        <v>1.2937875030092201</v>
      </c>
      <c r="R3708">
        <v>0.11407556106402</v>
      </c>
      <c r="S3708" t="s">
        <v>10354</v>
      </c>
      <c r="T3708" t="s">
        <v>13290</v>
      </c>
      <c r="U3708" t="s">
        <v>13290</v>
      </c>
      <c r="V3708" t="s">
        <v>13290</v>
      </c>
      <c r="W3708" t="s">
        <v>16954</v>
      </c>
      <c r="X3708">
        <v>1</v>
      </c>
      <c r="Y3708" t="s">
        <v>23458</v>
      </c>
      <c r="Z3708" t="s">
        <v>30038</v>
      </c>
      <c r="AA3708">
        <v>1.0299878395505679</v>
      </c>
      <c r="AB3708" t="str">
        <f>HYPERLINK("Melting_Curves/meltCurve_Q18PE1_2_DOK7.pdf", "Melting_Curves/meltCurve_Q18PE1_2_DOK7.pdf")</f>
        <v>Melting_Curves/meltCurve_Q18PE1_2_DOK7.pdf</v>
      </c>
    </row>
    <row r="3709" spans="1:28" x14ac:dyDescent="0.25">
      <c r="A3709" t="s">
        <v>3713</v>
      </c>
      <c r="B3709">
        <v>0.99252571173614901</v>
      </c>
      <c r="C3709">
        <v>1.0171309343811701</v>
      </c>
      <c r="D3709">
        <v>0.90057519665146002</v>
      </c>
      <c r="E3709">
        <v>0.81821795888500004</v>
      </c>
      <c r="F3709">
        <v>0.61095272622570596</v>
      </c>
      <c r="G3709">
        <v>0.35631767093676597</v>
      </c>
      <c r="H3709">
        <v>0.222067425085167</v>
      </c>
      <c r="I3709">
        <v>0.22172320826415201</v>
      </c>
      <c r="J3709">
        <v>0.30332314404105298</v>
      </c>
      <c r="K3709">
        <v>0.29191129612317501</v>
      </c>
      <c r="L3709">
        <v>1100.14333273392</v>
      </c>
      <c r="M3709">
        <v>20.9582028705758</v>
      </c>
      <c r="N3709">
        <v>54.228975545990998</v>
      </c>
      <c r="O3709">
        <v>52.021371811887498</v>
      </c>
      <c r="P3709">
        <v>-7.6100177116708703E-2</v>
      </c>
      <c r="Q3709">
        <v>0.24445278082309099</v>
      </c>
      <c r="R3709">
        <v>0.98319438235022105</v>
      </c>
      <c r="S3709" t="s">
        <v>10355</v>
      </c>
      <c r="T3709" t="s">
        <v>13290</v>
      </c>
      <c r="U3709" t="s">
        <v>13290</v>
      </c>
      <c r="V3709" t="s">
        <v>13290</v>
      </c>
      <c r="W3709" t="s">
        <v>16955</v>
      </c>
      <c r="X3709">
        <v>6</v>
      </c>
      <c r="Y3709" t="s">
        <v>23459</v>
      </c>
      <c r="Z3709" t="s">
        <v>30039</v>
      </c>
      <c r="AA3709">
        <v>0.56866974650683788</v>
      </c>
      <c r="AB3709" t="str">
        <f>HYPERLINK("Melting_Curves/meltCurve_Q1ED39_KNOP1.pdf", "Melting_Curves/meltCurve_Q1ED39_KNOP1.pdf")</f>
        <v>Melting_Curves/meltCurve_Q1ED39_KNOP1.pdf</v>
      </c>
    </row>
    <row r="3710" spans="1:28" x14ac:dyDescent="0.25">
      <c r="A3710" t="s">
        <v>3714</v>
      </c>
      <c r="B3710">
        <v>0.99252571173614901</v>
      </c>
      <c r="C3710">
        <v>1.0341138567455599</v>
      </c>
      <c r="D3710">
        <v>0.96904072115965401</v>
      </c>
      <c r="E3710">
        <v>0.89529622848323698</v>
      </c>
      <c r="F3710">
        <v>0.25665954375706901</v>
      </c>
      <c r="G3710">
        <v>0.16500945196481101</v>
      </c>
      <c r="H3710">
        <v>0.11306092327415999</v>
      </c>
      <c r="I3710">
        <v>0.13061572150935</v>
      </c>
      <c r="J3710">
        <v>0.12586117264170199</v>
      </c>
      <c r="K3710">
        <v>0.115303753992179</v>
      </c>
      <c r="L3710">
        <v>2700.3376094211098</v>
      </c>
      <c r="M3710">
        <v>52.480703630969202</v>
      </c>
      <c r="N3710">
        <v>51.745698179947702</v>
      </c>
      <c r="O3710">
        <v>51.379376229249999</v>
      </c>
      <c r="P3710">
        <v>-0.22265269746981001</v>
      </c>
      <c r="Q3710">
        <v>0.12807978044325399</v>
      </c>
      <c r="R3710">
        <v>0.99790397003044895</v>
      </c>
      <c r="S3710" t="s">
        <v>10356</v>
      </c>
      <c r="T3710" t="s">
        <v>13290</v>
      </c>
      <c r="U3710" t="s">
        <v>13290</v>
      </c>
      <c r="V3710" t="s">
        <v>13290</v>
      </c>
      <c r="W3710" t="s">
        <v>16956</v>
      </c>
      <c r="X3710">
        <v>17</v>
      </c>
      <c r="Y3710" t="s">
        <v>23460</v>
      </c>
      <c r="Z3710" t="s">
        <v>30040</v>
      </c>
      <c r="AA3710">
        <v>0.46277173367047519</v>
      </c>
      <c r="AB3710" t="str">
        <f>HYPERLINK("Melting_Curves/meltCurve_Q1KMD3_HNRNPUL2.pdf", "Melting_Curves/meltCurve_Q1KMD3_HNRNPUL2.pdf")</f>
        <v>Melting_Curves/meltCurve_Q1KMD3_HNRNPUL2.pdf</v>
      </c>
    </row>
    <row r="3711" spans="1:28" x14ac:dyDescent="0.25">
      <c r="A3711" t="s">
        <v>3715</v>
      </c>
      <c r="B3711">
        <v>0.99252571173614901</v>
      </c>
      <c r="C3711">
        <v>1.2562306666332099</v>
      </c>
      <c r="D3711">
        <v>1.4614830527849401</v>
      </c>
      <c r="E3711">
        <v>1.0515036283564201</v>
      </c>
      <c r="F3711">
        <v>0.52197887415088795</v>
      </c>
      <c r="G3711">
        <v>0.35333069356488001</v>
      </c>
      <c r="H3711">
        <v>0.40056292238743502</v>
      </c>
      <c r="I3711">
        <v>0.65150304812610704</v>
      </c>
      <c r="J3711">
        <v>1.19515472072885</v>
      </c>
      <c r="K3711">
        <v>1.59526545642573</v>
      </c>
      <c r="L3711">
        <v>5702.7013685223401</v>
      </c>
      <c r="M3711">
        <v>111.861799679084</v>
      </c>
      <c r="O3711">
        <v>50.963594339479997</v>
      </c>
      <c r="P3711">
        <v>-0.116980397907666</v>
      </c>
      <c r="Q3711">
        <v>0.78681761396608796</v>
      </c>
      <c r="R3711">
        <v>0.13800736551255999</v>
      </c>
      <c r="S3711" t="s">
        <v>10357</v>
      </c>
      <c r="T3711" t="s">
        <v>13290</v>
      </c>
      <c r="U3711" t="s">
        <v>13290</v>
      </c>
      <c r="V3711" t="s">
        <v>13290</v>
      </c>
      <c r="W3711" t="s">
        <v>16957</v>
      </c>
      <c r="X3711">
        <v>3</v>
      </c>
      <c r="Y3711" t="s">
        <v>23461</v>
      </c>
      <c r="Z3711" t="s">
        <v>30041</v>
      </c>
      <c r="AA3711">
        <v>0.86493688083072351</v>
      </c>
      <c r="AB3711" t="str">
        <f>HYPERLINK("Melting_Curves/meltCurve_Q1MSJ5_1_CSPP1.pdf", "Melting_Curves/meltCurve_Q1MSJ5_1_CSPP1.pdf")</f>
        <v>Melting_Curves/meltCurve_Q1MSJ5_1_CSPP1.pdf</v>
      </c>
    </row>
    <row r="3712" spans="1:28" x14ac:dyDescent="0.25">
      <c r="A3712" t="s">
        <v>3716</v>
      </c>
      <c r="B3712">
        <v>0.99252571173614901</v>
      </c>
      <c r="C3712">
        <v>0.97812562065718001</v>
      </c>
      <c r="D3712">
        <v>0.94467500881434796</v>
      </c>
      <c r="E3712">
        <v>0.88552317288531301</v>
      </c>
      <c r="F3712">
        <v>0.80522378388501203</v>
      </c>
      <c r="G3712">
        <v>0.62360582437689704</v>
      </c>
      <c r="H3712">
        <v>0.457767331855708</v>
      </c>
      <c r="I3712">
        <v>0.49702087580033899</v>
      </c>
      <c r="J3712">
        <v>0.69786445014098997</v>
      </c>
      <c r="K3712">
        <v>0.55953007000921595</v>
      </c>
      <c r="L3712">
        <v>1233.5769259661699</v>
      </c>
      <c r="M3712">
        <v>23.3299495707086</v>
      </c>
      <c r="O3712">
        <v>52.491359951373603</v>
      </c>
      <c r="P3712">
        <v>-4.9987025116468103E-2</v>
      </c>
      <c r="Q3712">
        <v>0.55013353113973795</v>
      </c>
      <c r="R3712">
        <v>0.88517562238148095</v>
      </c>
      <c r="S3712" t="s">
        <v>10358</v>
      </c>
      <c r="T3712" t="s">
        <v>13290</v>
      </c>
      <c r="U3712" t="s">
        <v>13290</v>
      </c>
      <c r="V3712" t="s">
        <v>13290</v>
      </c>
      <c r="W3712" t="s">
        <v>16958</v>
      </c>
      <c r="X3712">
        <v>9</v>
      </c>
      <c r="Y3712" t="s">
        <v>23462</v>
      </c>
      <c r="Z3712" t="s">
        <v>30042</v>
      </c>
      <c r="AA3712">
        <v>0.74791205689189821</v>
      </c>
      <c r="AB3712" t="str">
        <f>HYPERLINK("Melting_Curves/meltCurve_Q24JP5_TMEM132A.pdf", "Melting_Curves/meltCurve_Q24JP5_TMEM132A.pdf")</f>
        <v>Melting_Curves/meltCurve_Q24JP5_TMEM132A.pdf</v>
      </c>
    </row>
    <row r="3713" spans="1:28" x14ac:dyDescent="0.25">
      <c r="A3713" t="s">
        <v>3717</v>
      </c>
      <c r="B3713">
        <v>0.99252571173614901</v>
      </c>
      <c r="C3713">
        <v>0.94305024730237197</v>
      </c>
      <c r="D3713">
        <v>0.68384891840458395</v>
      </c>
      <c r="E3713">
        <v>0.31398927736244198</v>
      </c>
      <c r="F3713">
        <v>0.179787014756536</v>
      </c>
      <c r="G3713">
        <v>0.122383048135303</v>
      </c>
      <c r="H3713">
        <v>7.6674334563385002E-2</v>
      </c>
      <c r="I3713">
        <v>0.112036362082331</v>
      </c>
      <c r="J3713">
        <v>0.15186829471301999</v>
      </c>
      <c r="K3713">
        <v>0.119682176026398</v>
      </c>
      <c r="L3713">
        <v>1180.08233213473</v>
      </c>
      <c r="M3713">
        <v>25.0351265357878</v>
      </c>
      <c r="N3713">
        <v>47.6384507254025</v>
      </c>
      <c r="O3713">
        <v>46.839412471622801</v>
      </c>
      <c r="P3713">
        <v>-0.118147982348541</v>
      </c>
      <c r="Q3713">
        <v>0.11581741103295801</v>
      </c>
      <c r="R3713">
        <v>0.99697406754201101</v>
      </c>
      <c r="S3713" t="s">
        <v>10359</v>
      </c>
      <c r="T3713" t="s">
        <v>13290</v>
      </c>
      <c r="U3713" t="s">
        <v>13290</v>
      </c>
      <c r="V3713" t="s">
        <v>13290</v>
      </c>
      <c r="W3713" t="s">
        <v>16959</v>
      </c>
      <c r="X3713">
        <v>5</v>
      </c>
      <c r="Y3713" t="s">
        <v>23463</v>
      </c>
      <c r="Z3713" t="s">
        <v>30043</v>
      </c>
      <c r="AA3713">
        <v>0.33401673561410111</v>
      </c>
      <c r="AB3713" t="str">
        <f>HYPERLINK("Melting_Curves/meltCurve_Q27J81_2_INF2.pdf", "Melting_Curves/meltCurve_Q27J81_2_INF2.pdf")</f>
        <v>Melting_Curves/meltCurve_Q27J81_2_INF2.pdf</v>
      </c>
    </row>
    <row r="3714" spans="1:28" x14ac:dyDescent="0.25">
      <c r="A3714" t="s">
        <v>3718</v>
      </c>
      <c r="B3714">
        <v>0.99252571173614901</v>
      </c>
      <c r="C3714">
        <v>0.95360208935887802</v>
      </c>
      <c r="D3714">
        <v>0.63900456424381702</v>
      </c>
      <c r="E3714">
        <v>0.18670941910299299</v>
      </c>
      <c r="F3714">
        <v>0.126477528256071</v>
      </c>
      <c r="G3714">
        <v>6.6852398692573298E-2</v>
      </c>
      <c r="H3714">
        <v>5.9326367027002301E-2</v>
      </c>
      <c r="I3714">
        <v>6.8437912182796906E-2</v>
      </c>
      <c r="J3714">
        <v>7.3564347911995107E-2</v>
      </c>
      <c r="K3714">
        <v>7.3958338159634304E-2</v>
      </c>
      <c r="L3714">
        <v>1493.07844740935</v>
      </c>
      <c r="M3714">
        <v>32.005558822356399</v>
      </c>
      <c r="N3714">
        <v>46.883234724082598</v>
      </c>
      <c r="O3714">
        <v>46.469609687561501</v>
      </c>
      <c r="P3714">
        <v>-0.15954407885701699</v>
      </c>
      <c r="Q3714">
        <v>7.3421759149934998E-2</v>
      </c>
      <c r="R3714">
        <v>0.99872738271611095</v>
      </c>
      <c r="S3714" t="s">
        <v>10360</v>
      </c>
      <c r="T3714" t="s">
        <v>13290</v>
      </c>
      <c r="U3714" t="s">
        <v>13290</v>
      </c>
      <c r="V3714" t="s">
        <v>13290</v>
      </c>
      <c r="W3714" t="s">
        <v>16960</v>
      </c>
      <c r="X3714">
        <v>41</v>
      </c>
      <c r="Y3714" t="s">
        <v>23464</v>
      </c>
      <c r="Z3714" t="s">
        <v>30044</v>
      </c>
      <c r="AA3714">
        <v>0.28367435411216008</v>
      </c>
      <c r="AB3714" t="str">
        <f>HYPERLINK("Melting_Curves/meltCurve_Q29RF7_PDS5A.pdf", "Melting_Curves/meltCurve_Q29RF7_PDS5A.pdf")</f>
        <v>Melting_Curves/meltCurve_Q29RF7_PDS5A.pdf</v>
      </c>
    </row>
    <row r="3715" spans="1:28" x14ac:dyDescent="0.25">
      <c r="A3715" t="s">
        <v>3719</v>
      </c>
      <c r="B3715">
        <v>0.99252571173614901</v>
      </c>
      <c r="C3715">
        <v>0.463470718573539</v>
      </c>
      <c r="D3715">
        <v>0.17411486843151999</v>
      </c>
      <c r="E3715">
        <v>8.7386992494268401E-2</v>
      </c>
      <c r="F3715">
        <v>6.0410592054812098E-2</v>
      </c>
      <c r="G3715">
        <v>3.17305556129098E-2</v>
      </c>
      <c r="H3715">
        <v>2.2103039123786802E-2</v>
      </c>
      <c r="I3715">
        <v>2.4219827782424399E-2</v>
      </c>
      <c r="J3715">
        <v>1.5072164271411399E-2</v>
      </c>
      <c r="K3715">
        <v>8.8740678209763904E-3</v>
      </c>
      <c r="L3715">
        <v>1532.04969508473</v>
      </c>
      <c r="M3715">
        <v>35.796622410595802</v>
      </c>
      <c r="N3715">
        <v>42.899764011573403</v>
      </c>
      <c r="O3715">
        <v>42.665813004727198</v>
      </c>
      <c r="P3715">
        <v>-0.201270963151926</v>
      </c>
      <c r="Q3715">
        <v>4.0427726681763101E-2</v>
      </c>
      <c r="R3715">
        <v>0.98487506190537699</v>
      </c>
      <c r="S3715" t="s">
        <v>10361</v>
      </c>
      <c r="T3715" t="s">
        <v>13290</v>
      </c>
      <c r="U3715" t="s">
        <v>13290</v>
      </c>
      <c r="V3715" t="s">
        <v>13290</v>
      </c>
      <c r="W3715" t="s">
        <v>16961</v>
      </c>
      <c r="X3715">
        <v>1</v>
      </c>
      <c r="Y3715" t="s">
        <v>23465</v>
      </c>
      <c r="Z3715" t="s">
        <v>30045</v>
      </c>
      <c r="AA3715">
        <v>0.13599423516743611</v>
      </c>
      <c r="AB3715" t="str">
        <f>HYPERLINK("Melting_Curves/meltCurve_Q2KHR3_2_QSER1.pdf", "Melting_Curves/meltCurve_Q2KHR3_2_QSER1.pdf")</f>
        <v>Melting_Curves/meltCurve_Q2KHR3_2_QSER1.pdf</v>
      </c>
    </row>
    <row r="3716" spans="1:28" x14ac:dyDescent="0.25">
      <c r="A3716" t="s">
        <v>3720</v>
      </c>
      <c r="B3716">
        <v>0.99252571173614901</v>
      </c>
      <c r="C3716">
        <v>1.02024597173174</v>
      </c>
      <c r="D3716">
        <v>1.03505577684273</v>
      </c>
      <c r="E3716">
        <v>1.08207747083203</v>
      </c>
      <c r="F3716">
        <v>0.76471436341445598</v>
      </c>
      <c r="G3716">
        <v>0.36622981533599103</v>
      </c>
      <c r="H3716">
        <v>0.11707909518809501</v>
      </c>
      <c r="I3716">
        <v>9.4003181297827504E-2</v>
      </c>
      <c r="J3716">
        <v>0.103995689995122</v>
      </c>
      <c r="K3716">
        <v>0.114457112899622</v>
      </c>
      <c r="L3716">
        <v>1864.1206037735201</v>
      </c>
      <c r="M3716">
        <v>33.798059219143902</v>
      </c>
      <c r="N3716">
        <v>55.513411627777003</v>
      </c>
      <c r="O3716">
        <v>54.962649799343701</v>
      </c>
      <c r="P3716">
        <v>-0.138650759142671</v>
      </c>
      <c r="Q3716">
        <v>9.8104163243633996E-2</v>
      </c>
      <c r="R3716">
        <v>0.99190708172633002</v>
      </c>
      <c r="S3716" t="s">
        <v>10362</v>
      </c>
      <c r="T3716" t="s">
        <v>13290</v>
      </c>
      <c r="U3716" t="s">
        <v>13290</v>
      </c>
      <c r="V3716" t="s">
        <v>13290</v>
      </c>
      <c r="W3716" t="s">
        <v>16962</v>
      </c>
      <c r="X3716">
        <v>2</v>
      </c>
      <c r="Y3716" t="s">
        <v>23466</v>
      </c>
      <c r="Z3716" t="s">
        <v>30046</v>
      </c>
      <c r="AA3716">
        <v>0.55847060876740484</v>
      </c>
      <c r="AB3716" t="str">
        <f>HYPERLINK("Melting_Curves/meltCurve_Q2KHT3_CLEC16A.pdf", "Melting_Curves/meltCurve_Q2KHT3_CLEC16A.pdf")</f>
        <v>Melting_Curves/meltCurve_Q2KHT3_CLEC16A.pdf</v>
      </c>
    </row>
    <row r="3717" spans="1:28" x14ac:dyDescent="0.25">
      <c r="A3717" t="s">
        <v>3721</v>
      </c>
      <c r="B3717">
        <v>0.99252571173614901</v>
      </c>
      <c r="C3717">
        <v>1.1189352146828999</v>
      </c>
      <c r="D3717">
        <v>0.96213339159081002</v>
      </c>
      <c r="E3717">
        <v>0.774070773837643</v>
      </c>
      <c r="F3717">
        <v>0.66823867740234699</v>
      </c>
      <c r="G3717">
        <v>0.49272821199017203</v>
      </c>
      <c r="H3717">
        <v>0.35593795435835301</v>
      </c>
      <c r="I3717">
        <v>0.26821380405237499</v>
      </c>
      <c r="J3717">
        <v>0.28087913706022299</v>
      </c>
      <c r="K3717">
        <v>0.294885111583157</v>
      </c>
      <c r="L3717">
        <v>840.94878416346</v>
      </c>
      <c r="M3717">
        <v>15.6854151974426</v>
      </c>
      <c r="N3717">
        <v>56.133634897163802</v>
      </c>
      <c r="O3717">
        <v>52.764678000351999</v>
      </c>
      <c r="P3717">
        <v>-5.55384004505413E-2</v>
      </c>
      <c r="Q3717">
        <v>0.25275362977356602</v>
      </c>
      <c r="R3717">
        <v>0.97424020792395005</v>
      </c>
      <c r="S3717" t="s">
        <v>10363</v>
      </c>
      <c r="T3717" t="s">
        <v>13290</v>
      </c>
      <c r="U3717" t="s">
        <v>13290</v>
      </c>
      <c r="V3717" t="s">
        <v>13290</v>
      </c>
      <c r="W3717" t="s">
        <v>16963</v>
      </c>
      <c r="X3717">
        <v>4</v>
      </c>
      <c r="Y3717" t="s">
        <v>23467</v>
      </c>
      <c r="Z3717" t="s">
        <v>30047</v>
      </c>
      <c r="AA3717">
        <v>0.6065759409396877</v>
      </c>
      <c r="AB3717" t="str">
        <f>HYPERLINK("Melting_Curves/meltCurve_Q2M296_2_MTHFSD.pdf", "Melting_Curves/meltCurve_Q2M296_2_MTHFSD.pdf")</f>
        <v>Melting_Curves/meltCurve_Q2M296_2_MTHFSD.pdf</v>
      </c>
    </row>
    <row r="3718" spans="1:28" x14ac:dyDescent="0.25">
      <c r="A3718" t="s">
        <v>3722</v>
      </c>
      <c r="B3718">
        <v>0.99252571173614901</v>
      </c>
      <c r="C3718">
        <v>1.0164149209993201</v>
      </c>
      <c r="D3718">
        <v>0.83435405964670795</v>
      </c>
      <c r="E3718">
        <v>0.62115477683902198</v>
      </c>
      <c r="F3718">
        <v>0.25108273575406698</v>
      </c>
      <c r="G3718">
        <v>0.103250235244516</v>
      </c>
      <c r="H3718">
        <v>6.8434459896674196E-2</v>
      </c>
      <c r="I3718">
        <v>8.08047161988108E-2</v>
      </c>
      <c r="J3718">
        <v>0.10421138866581001</v>
      </c>
      <c r="K3718">
        <v>0.134890341113098</v>
      </c>
      <c r="L3718">
        <v>1182.67253689872</v>
      </c>
      <c r="M3718">
        <v>23.661337405209999</v>
      </c>
      <c r="N3718">
        <v>50.378704864299998</v>
      </c>
      <c r="O3718">
        <v>49.6303914676567</v>
      </c>
      <c r="P3718">
        <v>-0.109090105795373</v>
      </c>
      <c r="Q3718">
        <v>8.4735303614264595E-2</v>
      </c>
      <c r="R3718">
        <v>0.99229232411605595</v>
      </c>
      <c r="S3718" t="s">
        <v>10364</v>
      </c>
      <c r="T3718" t="s">
        <v>13290</v>
      </c>
      <c r="U3718" t="s">
        <v>13290</v>
      </c>
      <c r="V3718" t="s">
        <v>13290</v>
      </c>
      <c r="W3718" t="s">
        <v>16964</v>
      </c>
      <c r="X3718">
        <v>12</v>
      </c>
      <c r="Y3718" t="s">
        <v>23468</v>
      </c>
      <c r="Z3718" t="s">
        <v>30048</v>
      </c>
      <c r="AA3718">
        <v>0.39844940650406591</v>
      </c>
      <c r="AB3718" t="str">
        <f>HYPERLINK("Melting_Curves/meltCurve_Q2M2I8_2_AAK1.pdf", "Melting_Curves/meltCurve_Q2M2I8_2_AAK1.pdf")</f>
        <v>Melting_Curves/meltCurve_Q2M2I8_2_AAK1.pdf</v>
      </c>
    </row>
    <row r="3719" spans="1:28" x14ac:dyDescent="0.25">
      <c r="A3719" t="s">
        <v>3723</v>
      </c>
      <c r="B3719">
        <v>0.99252571173614901</v>
      </c>
      <c r="C3719">
        <v>1.01476357703432</v>
      </c>
      <c r="D3719">
        <v>0.82181535316821297</v>
      </c>
      <c r="E3719">
        <v>0.76410555027849703</v>
      </c>
      <c r="F3719">
        <v>0.56561299934294396</v>
      </c>
      <c r="G3719">
        <v>0.45713261407615602</v>
      </c>
      <c r="H3719">
        <v>0.51923403858351502</v>
      </c>
      <c r="I3719">
        <v>0.69833716987050698</v>
      </c>
      <c r="J3719">
        <v>1.0665216050384001</v>
      </c>
      <c r="K3719">
        <v>1.14512787051072</v>
      </c>
      <c r="L3719">
        <v>11461.203088817299</v>
      </c>
      <c r="M3719">
        <v>250</v>
      </c>
      <c r="O3719">
        <v>45.841898139427002</v>
      </c>
      <c r="P3719">
        <v>-0.34745369136916199</v>
      </c>
      <c r="Q3719">
        <v>0.74515312060136296</v>
      </c>
      <c r="R3719">
        <v>0.194284677035166</v>
      </c>
      <c r="S3719" t="s">
        <v>10365</v>
      </c>
      <c r="T3719" t="s">
        <v>13290</v>
      </c>
      <c r="U3719" t="s">
        <v>13290</v>
      </c>
      <c r="V3719" t="s">
        <v>13290</v>
      </c>
      <c r="W3719" t="s">
        <v>16965</v>
      </c>
      <c r="X3719">
        <v>4</v>
      </c>
      <c r="Y3719" t="s">
        <v>23469</v>
      </c>
      <c r="Z3719" t="s">
        <v>30049</v>
      </c>
      <c r="AA3719">
        <v>0.79482469777982012</v>
      </c>
      <c r="AB3719" t="str">
        <f>HYPERLINK("Melting_Curves/meltCurve_Q2M2Z5_5_PLK1S1.pdf", "Melting_Curves/meltCurve_Q2M2Z5_5_PLK1S1.pdf")</f>
        <v>Melting_Curves/meltCurve_Q2M2Z5_5_PLK1S1.pdf</v>
      </c>
    </row>
    <row r="3720" spans="1:28" x14ac:dyDescent="0.25">
      <c r="A3720" t="s">
        <v>3724</v>
      </c>
      <c r="B3720">
        <v>0.99252571173614901</v>
      </c>
      <c r="C3720">
        <v>0.80025370692650899</v>
      </c>
      <c r="D3720">
        <v>0.94026075301019796</v>
      </c>
      <c r="E3720">
        <v>0.56681923689872504</v>
      </c>
      <c r="F3720">
        <v>0.22568108450261201</v>
      </c>
      <c r="G3720">
        <v>0.13204686405249599</v>
      </c>
      <c r="H3720">
        <v>0.100885468532133</v>
      </c>
      <c r="I3720">
        <v>9.5595184300115404E-2</v>
      </c>
      <c r="J3720">
        <v>0.119846273535876</v>
      </c>
      <c r="K3720">
        <v>9.1407086250615194E-2</v>
      </c>
      <c r="L3720">
        <v>1255.76249670328</v>
      </c>
      <c r="M3720">
        <v>25.25181257497</v>
      </c>
      <c r="N3720">
        <v>50.1515716884916</v>
      </c>
      <c r="O3720">
        <v>49.420870065169602</v>
      </c>
      <c r="P3720">
        <v>-0.115514904649987</v>
      </c>
      <c r="Q3720">
        <v>9.5704830421572906E-2</v>
      </c>
      <c r="R3720">
        <v>0.97162577842322095</v>
      </c>
      <c r="S3720" t="s">
        <v>10366</v>
      </c>
      <c r="T3720" t="s">
        <v>13290</v>
      </c>
      <c r="U3720" t="s">
        <v>13290</v>
      </c>
      <c r="V3720" t="s">
        <v>13290</v>
      </c>
      <c r="W3720" t="s">
        <v>16966</v>
      </c>
      <c r="X3720">
        <v>8</v>
      </c>
      <c r="Y3720" t="s">
        <v>23470</v>
      </c>
      <c r="Z3720" t="s">
        <v>30050</v>
      </c>
      <c r="AA3720">
        <v>0.39688486224730252</v>
      </c>
      <c r="AB3720" t="str">
        <f>HYPERLINK("Melting_Curves/meltCurve_Q2M389_KIAA1033.pdf", "Melting_Curves/meltCurve_Q2M389_KIAA1033.pdf")</f>
        <v>Melting_Curves/meltCurve_Q2M389_KIAA1033.pdf</v>
      </c>
    </row>
    <row r="3721" spans="1:28" x14ac:dyDescent="0.25">
      <c r="A3721" t="s">
        <v>3725</v>
      </c>
      <c r="B3721">
        <v>0.99252571173614901</v>
      </c>
      <c r="C3721">
        <v>0.95486301242678195</v>
      </c>
      <c r="D3721">
        <v>0.88762483185469898</v>
      </c>
      <c r="E3721">
        <v>0.80516647313412604</v>
      </c>
      <c r="F3721">
        <v>0.53756286572912204</v>
      </c>
      <c r="G3721">
        <v>0.42557554449193402</v>
      </c>
      <c r="H3721">
        <v>0.34364310021104</v>
      </c>
      <c r="I3721">
        <v>0.38432949549297202</v>
      </c>
      <c r="J3721">
        <v>0.47257153788767298</v>
      </c>
      <c r="K3721">
        <v>0.41857806894875998</v>
      </c>
      <c r="L3721">
        <v>1151.29634376903</v>
      </c>
      <c r="M3721">
        <v>22.754817171058601</v>
      </c>
      <c r="N3721">
        <v>54.359466886644498</v>
      </c>
      <c r="O3721">
        <v>50.209813328829703</v>
      </c>
      <c r="P3721">
        <v>-6.8371612636788606E-2</v>
      </c>
      <c r="Q3721">
        <v>0.39654819882967002</v>
      </c>
      <c r="R3721">
        <v>0.97173764341039603</v>
      </c>
      <c r="S3721" t="s">
        <v>10367</v>
      </c>
      <c r="T3721" t="s">
        <v>13290</v>
      </c>
      <c r="U3721" t="s">
        <v>13290</v>
      </c>
      <c r="V3721" t="s">
        <v>13290</v>
      </c>
      <c r="W3721" t="s">
        <v>16967</v>
      </c>
      <c r="X3721">
        <v>1</v>
      </c>
      <c r="Y3721" t="s">
        <v>23471</v>
      </c>
      <c r="Z3721" t="s">
        <v>30051</v>
      </c>
      <c r="AA3721">
        <v>0.61621610218650391</v>
      </c>
      <c r="AB3721" t="str">
        <f>HYPERLINK("Melting_Curves/meltCurve_Q2N1I1_KCNE3.pdf", "Melting_Curves/meltCurve_Q2N1I1_KCNE3.pdf")</f>
        <v>Melting_Curves/meltCurve_Q2N1I1_KCNE3.pdf</v>
      </c>
    </row>
    <row r="3722" spans="1:28" x14ac:dyDescent="0.25">
      <c r="A3722" t="s">
        <v>3726</v>
      </c>
      <c r="B3722">
        <v>0.99252571173614901</v>
      </c>
      <c r="C3722">
        <v>0.84730904767055104</v>
      </c>
      <c r="D3722">
        <v>0.31215190016863897</v>
      </c>
      <c r="E3722">
        <v>0.27005828570309698</v>
      </c>
      <c r="F3722">
        <v>0.107089240809966</v>
      </c>
      <c r="G3722">
        <v>7.3582129963931098E-2</v>
      </c>
      <c r="H3722">
        <v>7.0835115851028793E-2</v>
      </c>
      <c r="I3722">
        <v>7.6571622635829603E-2</v>
      </c>
      <c r="J3722">
        <v>6.9563690303693304E-2</v>
      </c>
      <c r="K3722">
        <v>7.4520962914118402E-2</v>
      </c>
      <c r="L3722">
        <v>1408.59687175664</v>
      </c>
      <c r="M3722">
        <v>31.4700513129903</v>
      </c>
      <c r="N3722">
        <v>45.057988782898001</v>
      </c>
      <c r="O3722">
        <v>44.5803425378177</v>
      </c>
      <c r="P3722">
        <v>-0.15989630874879401</v>
      </c>
      <c r="Q3722">
        <v>9.3971121801927002E-2</v>
      </c>
      <c r="R3722">
        <v>0.97685413586347203</v>
      </c>
      <c r="S3722" t="s">
        <v>10368</v>
      </c>
      <c r="T3722" t="s">
        <v>13290</v>
      </c>
      <c r="U3722" t="s">
        <v>13290</v>
      </c>
      <c r="V3722" t="s">
        <v>13290</v>
      </c>
      <c r="W3722" t="s">
        <v>16968</v>
      </c>
      <c r="X3722">
        <v>6</v>
      </c>
      <c r="Y3722" t="s">
        <v>23472</v>
      </c>
      <c r="Z3722" t="s">
        <v>30052</v>
      </c>
      <c r="AA3722">
        <v>0.24303825588737929</v>
      </c>
      <c r="AB3722" t="str">
        <f>HYPERLINK("Melting_Curves/meltCurve_Q2NKX8_ERCC6L.pdf", "Melting_Curves/meltCurve_Q2NKX8_ERCC6L.pdf")</f>
        <v>Melting_Curves/meltCurve_Q2NKX8_ERCC6L.pdf</v>
      </c>
    </row>
    <row r="3723" spans="1:28" x14ac:dyDescent="0.25">
      <c r="A3723" t="s">
        <v>3727</v>
      </c>
      <c r="B3723">
        <v>0.99252571173614901</v>
      </c>
      <c r="C3723">
        <v>0.88140111719222303</v>
      </c>
      <c r="D3723">
        <v>0.86008158342570795</v>
      </c>
      <c r="E3723">
        <v>0.54291089878177601</v>
      </c>
      <c r="F3723">
        <v>0.34070115791907502</v>
      </c>
      <c r="G3723">
        <v>0.15542683946010999</v>
      </c>
      <c r="H3723">
        <v>9.2124019768105303E-2</v>
      </c>
      <c r="I3723">
        <v>9.0080249999019493E-2</v>
      </c>
      <c r="J3723">
        <v>8.7761896984050305E-2</v>
      </c>
      <c r="K3723">
        <v>0.102437293438365</v>
      </c>
      <c r="L3723">
        <v>841.06082153752095</v>
      </c>
      <c r="M3723">
        <v>16.8453786303259</v>
      </c>
      <c r="N3723">
        <v>50.383902644501099</v>
      </c>
      <c r="O3723">
        <v>49.240588817596802</v>
      </c>
      <c r="P3723">
        <v>-7.9488695892533004E-2</v>
      </c>
      <c r="Q3723">
        <v>7.0648502248205902E-2</v>
      </c>
      <c r="R3723">
        <v>0.99347828076774103</v>
      </c>
      <c r="S3723" t="s">
        <v>10369</v>
      </c>
      <c r="T3723" t="s">
        <v>13290</v>
      </c>
      <c r="U3723" t="s">
        <v>13290</v>
      </c>
      <c r="V3723" t="s">
        <v>13290</v>
      </c>
      <c r="W3723" t="s">
        <v>16969</v>
      </c>
      <c r="X3723">
        <v>5</v>
      </c>
      <c r="Y3723" t="s">
        <v>23473</v>
      </c>
      <c r="Z3723" t="s">
        <v>30053</v>
      </c>
      <c r="AA3723">
        <v>0.39618718291242211</v>
      </c>
      <c r="AB3723" t="str">
        <f>HYPERLINK("Melting_Curves/meltCurve_Q2NL82_TSR1.pdf", "Melting_Curves/meltCurve_Q2NL82_TSR1.pdf")</f>
        <v>Melting_Curves/meltCurve_Q2NL82_TSR1.pdf</v>
      </c>
    </row>
    <row r="3724" spans="1:28" x14ac:dyDescent="0.25">
      <c r="A3724" t="s">
        <v>3728</v>
      </c>
      <c r="B3724">
        <v>0.99252571173614901</v>
      </c>
      <c r="C3724">
        <v>0.98562726199651096</v>
      </c>
      <c r="D3724">
        <v>1.00199222816635</v>
      </c>
      <c r="E3724">
        <v>0.83716178965906196</v>
      </c>
      <c r="F3724">
        <v>0.65251125625898299</v>
      </c>
      <c r="G3724">
        <v>0.41517336393716903</v>
      </c>
      <c r="H3724">
        <v>0.22741310797978001</v>
      </c>
      <c r="I3724">
        <v>0.113860352312578</v>
      </c>
      <c r="J3724">
        <v>0.12483590086570399</v>
      </c>
      <c r="K3724">
        <v>8.1843168874964303E-2</v>
      </c>
      <c r="L3724">
        <v>890.46557420637305</v>
      </c>
      <c r="M3724">
        <v>16.199951398030102</v>
      </c>
      <c r="N3724">
        <v>55.372732786838803</v>
      </c>
      <c r="O3724">
        <v>54.150061676684899</v>
      </c>
      <c r="P3724">
        <v>-7.0613277445525702E-2</v>
      </c>
      <c r="Q3724">
        <v>5.5940926496566602E-2</v>
      </c>
      <c r="R3724">
        <v>0.99738894779762999</v>
      </c>
      <c r="S3724" t="s">
        <v>10370</v>
      </c>
      <c r="T3724" t="s">
        <v>13290</v>
      </c>
      <c r="U3724" t="s">
        <v>13290</v>
      </c>
      <c r="V3724" t="s">
        <v>13290</v>
      </c>
      <c r="W3724" t="s">
        <v>16970</v>
      </c>
      <c r="X3724">
        <v>5</v>
      </c>
      <c r="Y3724" t="s">
        <v>23474</v>
      </c>
      <c r="Z3724" t="s">
        <v>30054</v>
      </c>
      <c r="AA3724">
        <v>0.54366247242258736</v>
      </c>
      <c r="AB3724" t="str">
        <f>HYPERLINK("Melting_Curves/meltCurve_Q2T9J0_TYSND1.pdf", "Melting_Curves/meltCurve_Q2T9J0_TYSND1.pdf")</f>
        <v>Melting_Curves/meltCurve_Q2T9J0_TYSND1.pdf</v>
      </c>
    </row>
    <row r="3725" spans="1:28" x14ac:dyDescent="0.25">
      <c r="A3725" t="s">
        <v>3729</v>
      </c>
      <c r="B3725">
        <v>0.99252571173614901</v>
      </c>
      <c r="C3725">
        <v>1.04666246797697</v>
      </c>
      <c r="D3725">
        <v>0.950763313324968</v>
      </c>
      <c r="E3725">
        <v>0.79778627034209204</v>
      </c>
      <c r="F3725">
        <v>0.35770000351993397</v>
      </c>
      <c r="G3725">
        <v>0.15173470421711499</v>
      </c>
      <c r="H3725">
        <v>0.102266468681355</v>
      </c>
      <c r="I3725">
        <v>6.2866366055501902E-2</v>
      </c>
      <c r="J3725">
        <v>4.9248011202141E-2</v>
      </c>
      <c r="K3725">
        <v>4.6125172383728701E-2</v>
      </c>
      <c r="L3725">
        <v>1406.7134007064101</v>
      </c>
      <c r="M3725">
        <v>27.142816714851499</v>
      </c>
      <c r="N3725">
        <v>52.070801667251999</v>
      </c>
      <c r="O3725">
        <v>51.547494671192602</v>
      </c>
      <c r="P3725">
        <v>-0.123766789305679</v>
      </c>
      <c r="Q3725">
        <v>5.9816644717266602E-2</v>
      </c>
      <c r="R3725">
        <v>0.99739305451494398</v>
      </c>
      <c r="S3725" t="s">
        <v>10371</v>
      </c>
      <c r="T3725" t="s">
        <v>13290</v>
      </c>
      <c r="U3725" t="s">
        <v>13290</v>
      </c>
      <c r="V3725" t="s">
        <v>13290</v>
      </c>
      <c r="W3725" t="s">
        <v>16971</v>
      </c>
      <c r="X3725">
        <v>5</v>
      </c>
      <c r="Y3725" t="s">
        <v>23475</v>
      </c>
      <c r="Z3725" t="s">
        <v>30055</v>
      </c>
      <c r="AA3725">
        <v>0.43774826317586812</v>
      </c>
      <c r="AB3725" t="str">
        <f>HYPERLINK("Melting_Curves/meltCurve_Q2TAA5_ALG11.pdf", "Melting_Curves/meltCurve_Q2TAA5_ALG11.pdf")</f>
        <v>Melting_Curves/meltCurve_Q2TAA5_ALG11.pdf</v>
      </c>
    </row>
    <row r="3726" spans="1:28" x14ac:dyDescent="0.25">
      <c r="A3726" t="s">
        <v>3730</v>
      </c>
      <c r="B3726">
        <v>0.99252571173614901</v>
      </c>
      <c r="C3726">
        <v>0.77626801324665096</v>
      </c>
      <c r="D3726">
        <v>0.47426157758573201</v>
      </c>
      <c r="E3726">
        <v>0.24010555722392601</v>
      </c>
      <c r="F3726">
        <v>0.15788075507472801</v>
      </c>
      <c r="G3726">
        <v>0.106886677833804</v>
      </c>
      <c r="H3726">
        <v>8.1789317431656197E-2</v>
      </c>
      <c r="I3726">
        <v>8.0948272924767306E-2</v>
      </c>
      <c r="J3726">
        <v>0.103833407832853</v>
      </c>
      <c r="K3726">
        <v>0.11339234403482</v>
      </c>
      <c r="L3726">
        <v>946.78086244254405</v>
      </c>
      <c r="M3726">
        <v>20.876373333294101</v>
      </c>
      <c r="N3726">
        <v>45.830952368688301</v>
      </c>
      <c r="O3726">
        <v>44.941806292803498</v>
      </c>
      <c r="P3726">
        <v>-0.104747167219544</v>
      </c>
      <c r="Q3726">
        <v>9.8043067697258804E-2</v>
      </c>
      <c r="R3726">
        <v>0.99597539111425604</v>
      </c>
      <c r="S3726" t="s">
        <v>10372</v>
      </c>
      <c r="T3726" t="s">
        <v>13290</v>
      </c>
      <c r="U3726" t="s">
        <v>13290</v>
      </c>
      <c r="V3726" t="s">
        <v>13290</v>
      </c>
      <c r="W3726" t="s">
        <v>16972</v>
      </c>
      <c r="X3726">
        <v>7</v>
      </c>
      <c r="Y3726" t="s">
        <v>23476</v>
      </c>
      <c r="Z3726" t="s">
        <v>30056</v>
      </c>
      <c r="AA3726">
        <v>0.27226141836031592</v>
      </c>
      <c r="AB3726" t="str">
        <f>HYPERLINK("Melting_Curves/meltCurve_Q2TAL8_QRICH1.pdf", "Melting_Curves/meltCurve_Q2TAL8_QRICH1.pdf")</f>
        <v>Melting_Curves/meltCurve_Q2TAL8_QRICH1.pdf</v>
      </c>
    </row>
    <row r="3727" spans="1:28" x14ac:dyDescent="0.25">
      <c r="A3727" t="s">
        <v>3731</v>
      </c>
      <c r="B3727">
        <v>0.99252571173614901</v>
      </c>
      <c r="C3727">
        <v>0.94293316762937895</v>
      </c>
      <c r="D3727">
        <v>0.72909022653780797</v>
      </c>
      <c r="E3727">
        <v>0.34930280565148403</v>
      </c>
      <c r="F3727">
        <v>0.17107648513217899</v>
      </c>
      <c r="G3727">
        <v>0.10683626855463001</v>
      </c>
      <c r="H3727">
        <v>9.3060925502353106E-2</v>
      </c>
      <c r="I3727">
        <v>0.103492649891678</v>
      </c>
      <c r="J3727">
        <v>8.8606306975556798E-2</v>
      </c>
      <c r="K3727">
        <v>8.3008164347257302E-2</v>
      </c>
      <c r="L3727">
        <v>1121.6676606199101</v>
      </c>
      <c r="M3727">
        <v>23.519952021215801</v>
      </c>
      <c r="N3727">
        <v>48.096233040941499</v>
      </c>
      <c r="O3727">
        <v>47.349306641285303</v>
      </c>
      <c r="P3727">
        <v>-0.112999432128882</v>
      </c>
      <c r="Q3727">
        <v>9.0074082842318798E-2</v>
      </c>
      <c r="R3727">
        <v>0.99976083917358904</v>
      </c>
      <c r="S3727" t="s">
        <v>10373</v>
      </c>
      <c r="T3727" t="s">
        <v>13290</v>
      </c>
      <c r="U3727" t="s">
        <v>13290</v>
      </c>
      <c r="V3727" t="s">
        <v>13290</v>
      </c>
      <c r="W3727" t="s">
        <v>16973</v>
      </c>
      <c r="X3727">
        <v>13</v>
      </c>
      <c r="Y3727" t="s">
        <v>23477</v>
      </c>
      <c r="Z3727" t="s">
        <v>30057</v>
      </c>
      <c r="AA3727">
        <v>0.33250314130937703</v>
      </c>
      <c r="AB3727" t="str">
        <f>HYPERLINK("Melting_Curves/meltCurve_Q2TAM5_RELA.pdf", "Melting_Curves/meltCurve_Q2TAM5_RELA.pdf")</f>
        <v>Melting_Curves/meltCurve_Q2TAM5_RELA.pdf</v>
      </c>
    </row>
    <row r="3728" spans="1:28" x14ac:dyDescent="0.25">
      <c r="A3728" t="s">
        <v>3732</v>
      </c>
      <c r="B3728">
        <v>0.99252571173614901</v>
      </c>
      <c r="C3728">
        <v>1.55108098138581</v>
      </c>
      <c r="D3728">
        <v>1.24157528673644</v>
      </c>
      <c r="E3728">
        <v>1.38806236222049</v>
      </c>
      <c r="F3728">
        <v>0.98320783731526795</v>
      </c>
      <c r="G3728">
        <v>0.600218614126663</v>
      </c>
      <c r="H3728">
        <v>0.20819963764238</v>
      </c>
      <c r="I3728">
        <v>0.26990936090988299</v>
      </c>
      <c r="J3728">
        <v>0.42146080959272902</v>
      </c>
      <c r="K3728">
        <v>0.43306985758746602</v>
      </c>
      <c r="L3728">
        <v>14177.084065539801</v>
      </c>
      <c r="M3728">
        <v>250</v>
      </c>
      <c r="N3728">
        <v>56.958376106477203</v>
      </c>
      <c r="O3728">
        <v>56.704721141799403</v>
      </c>
      <c r="P3728">
        <v>-0.73499198780758401</v>
      </c>
      <c r="Q3728">
        <v>0.33315991152234697</v>
      </c>
      <c r="R3728">
        <v>0.74085765378725799</v>
      </c>
      <c r="S3728" t="s">
        <v>10374</v>
      </c>
      <c r="T3728" t="s">
        <v>13290</v>
      </c>
      <c r="U3728" t="s">
        <v>13290</v>
      </c>
      <c r="V3728" t="s">
        <v>13290</v>
      </c>
      <c r="W3728" t="s">
        <v>16974</v>
      </c>
      <c r="X3728">
        <v>4</v>
      </c>
      <c r="Y3728" t="s">
        <v>23478</v>
      </c>
      <c r="Z3728" t="s">
        <v>30058</v>
      </c>
      <c r="AA3728">
        <v>0.70461922465913873</v>
      </c>
      <c r="AB3728" t="str">
        <f>HYPERLINK("Melting_Curves/meltCurve_Q2TAM9_TUSC1.pdf", "Melting_Curves/meltCurve_Q2TAM9_TUSC1.pdf")</f>
        <v>Melting_Curves/meltCurve_Q2TAM9_TUSC1.pdf</v>
      </c>
    </row>
    <row r="3729" spans="1:28" x14ac:dyDescent="0.25">
      <c r="A3729" t="s">
        <v>3733</v>
      </c>
      <c r="B3729">
        <v>0.99252571173614901</v>
      </c>
      <c r="C3729">
        <v>1.05810504168138</v>
      </c>
      <c r="D3729">
        <v>0.91592354406746201</v>
      </c>
      <c r="E3729">
        <v>0.68210693124417598</v>
      </c>
      <c r="F3729">
        <v>0.66037090330131498</v>
      </c>
      <c r="G3729">
        <v>0.325095307687497</v>
      </c>
      <c r="H3729">
        <v>0.23878074647343001</v>
      </c>
      <c r="I3729">
        <v>0.247226276985021</v>
      </c>
      <c r="J3729">
        <v>0.20498150195078599</v>
      </c>
      <c r="K3729">
        <v>0.180054242036889</v>
      </c>
      <c r="L3729">
        <v>791.585179587369</v>
      </c>
      <c r="M3729">
        <v>15.0021713957918</v>
      </c>
      <c r="N3729">
        <v>54.201889200737099</v>
      </c>
      <c r="O3729">
        <v>51.853802736099702</v>
      </c>
      <c r="P3729">
        <v>-6.0466333783933499E-2</v>
      </c>
      <c r="Q3729">
        <v>0.164096265114202</v>
      </c>
      <c r="R3729">
        <v>0.97341457731677195</v>
      </c>
      <c r="S3729" t="s">
        <v>10375</v>
      </c>
      <c r="T3729" t="s">
        <v>13290</v>
      </c>
      <c r="U3729" t="s">
        <v>13290</v>
      </c>
      <c r="V3729" t="s">
        <v>13290</v>
      </c>
      <c r="W3729" t="s">
        <v>16975</v>
      </c>
      <c r="X3729">
        <v>1</v>
      </c>
      <c r="Y3729" t="s">
        <v>23479</v>
      </c>
      <c r="Z3729" t="s">
        <v>30059</v>
      </c>
      <c r="AA3729">
        <v>0.53792384628651035</v>
      </c>
      <c r="AB3729" t="str">
        <f>HYPERLINK("Melting_Curves/meltCurve_Q2TAP0_GOLGA7B.pdf", "Melting_Curves/meltCurve_Q2TAP0_GOLGA7B.pdf")</f>
        <v>Melting_Curves/meltCurve_Q2TAP0_GOLGA7B.pdf</v>
      </c>
    </row>
    <row r="3730" spans="1:28" x14ac:dyDescent="0.25">
      <c r="A3730" t="s">
        <v>3734</v>
      </c>
      <c r="B3730">
        <v>0.99252571173614901</v>
      </c>
      <c r="C3730">
        <v>1.03060811374752</v>
      </c>
      <c r="D3730">
        <v>1.10910259189136</v>
      </c>
      <c r="E3730">
        <v>0.87879075123977701</v>
      </c>
      <c r="F3730">
        <v>0.45418615884068703</v>
      </c>
      <c r="G3730">
        <v>0.182112096644199</v>
      </c>
      <c r="H3730">
        <v>0.10060397933967399</v>
      </c>
      <c r="I3730">
        <v>0.114072494416301</v>
      </c>
      <c r="J3730">
        <v>0.13671102434907401</v>
      </c>
      <c r="K3730">
        <v>0.13182249173292501</v>
      </c>
      <c r="L3730">
        <v>1848.28942165125</v>
      </c>
      <c r="M3730">
        <v>35.250838968304102</v>
      </c>
      <c r="N3730">
        <v>52.845752384110902</v>
      </c>
      <c r="O3730">
        <v>52.264619955178702</v>
      </c>
      <c r="P3730">
        <v>-0.14830498886169599</v>
      </c>
      <c r="Q3730">
        <v>0.120466156990401</v>
      </c>
      <c r="R3730">
        <v>0.99076174796205596</v>
      </c>
      <c r="S3730" t="s">
        <v>10376</v>
      </c>
      <c r="T3730" t="s">
        <v>13290</v>
      </c>
      <c r="U3730" t="s">
        <v>13290</v>
      </c>
      <c r="V3730" t="s">
        <v>13290</v>
      </c>
      <c r="W3730" t="s">
        <v>16976</v>
      </c>
      <c r="X3730">
        <v>20</v>
      </c>
      <c r="Y3730" t="s">
        <v>23480</v>
      </c>
      <c r="Z3730" t="s">
        <v>30060</v>
      </c>
      <c r="AA3730">
        <v>0.4890639951709197</v>
      </c>
      <c r="AB3730" t="str">
        <f>HYPERLINK("Melting_Curves/meltCurve_Q2TAY7_SMU1.pdf", "Melting_Curves/meltCurve_Q2TAY7_SMU1.pdf")</f>
        <v>Melting_Curves/meltCurve_Q2TAY7_SMU1.pdf</v>
      </c>
    </row>
    <row r="3731" spans="1:28" x14ac:dyDescent="0.25">
      <c r="A3731" t="s">
        <v>3735</v>
      </c>
      <c r="B3731">
        <v>0.99252571173614901</v>
      </c>
      <c r="C3731">
        <v>0.91047521027741796</v>
      </c>
      <c r="D3731">
        <v>0.69290400293514898</v>
      </c>
      <c r="E3731">
        <v>0.56296269064222804</v>
      </c>
      <c r="F3731">
        <v>0.44739101298686001</v>
      </c>
      <c r="G3731">
        <v>0.25125665275720699</v>
      </c>
      <c r="H3731">
        <v>0.17740552006875601</v>
      </c>
      <c r="I3731">
        <v>0.126707059806246</v>
      </c>
      <c r="J3731">
        <v>0.13272575090493899</v>
      </c>
      <c r="K3731">
        <v>0.136904334658868</v>
      </c>
      <c r="L3731">
        <v>571.04759345455705</v>
      </c>
      <c r="M3731">
        <v>11.4051661535243</v>
      </c>
      <c r="N3731">
        <v>50.8590867174415</v>
      </c>
      <c r="O3731">
        <v>48.6040636602118</v>
      </c>
      <c r="P3731">
        <v>-5.3918022317797597E-2</v>
      </c>
      <c r="Q3731">
        <v>8.1165128593586794E-2</v>
      </c>
      <c r="R3731">
        <v>0.98884979218648195</v>
      </c>
      <c r="S3731" t="s">
        <v>10377</v>
      </c>
      <c r="T3731" t="s">
        <v>13290</v>
      </c>
      <c r="U3731" t="s">
        <v>13290</v>
      </c>
      <c r="V3731" t="s">
        <v>13290</v>
      </c>
      <c r="W3731" t="s">
        <v>16977</v>
      </c>
      <c r="X3731">
        <v>17</v>
      </c>
      <c r="Y3731" t="s">
        <v>23481</v>
      </c>
      <c r="Z3731" t="s">
        <v>30061</v>
      </c>
      <c r="AA3731">
        <v>0.42379593747246441</v>
      </c>
      <c r="AB3731" t="str">
        <f>HYPERLINK("Melting_Curves/meltCurve_Q2TBE0_CWF19L2.pdf", "Melting_Curves/meltCurve_Q2TBE0_CWF19L2.pdf")</f>
        <v>Melting_Curves/meltCurve_Q2TBE0_CWF19L2.pdf</v>
      </c>
    </row>
    <row r="3732" spans="1:28" x14ac:dyDescent="0.25">
      <c r="A3732" t="s">
        <v>3736</v>
      </c>
      <c r="B3732">
        <v>0.99252571173614901</v>
      </c>
      <c r="C3732">
        <v>1.0449605941487801</v>
      </c>
      <c r="D3732">
        <v>0.92392396906296603</v>
      </c>
      <c r="E3732">
        <v>0.78413706071337497</v>
      </c>
      <c r="F3732">
        <v>0.98252467676033195</v>
      </c>
      <c r="G3732">
        <v>0.88972374240472696</v>
      </c>
      <c r="H3732">
        <v>0.97470345343087506</v>
      </c>
      <c r="I3732">
        <v>1.44774148968649</v>
      </c>
      <c r="J3732">
        <v>2.2590895527765</v>
      </c>
      <c r="K3732">
        <v>2.4330900788538199</v>
      </c>
      <c r="L3732">
        <v>15000</v>
      </c>
      <c r="M3732">
        <v>236.52319696870899</v>
      </c>
      <c r="O3732">
        <v>63.414204140182001</v>
      </c>
      <c r="P3732">
        <v>0.46622685486583698</v>
      </c>
      <c r="Q3732">
        <v>1.5</v>
      </c>
      <c r="R3732">
        <v>0.52081845144829797</v>
      </c>
      <c r="S3732" t="s">
        <v>10378</v>
      </c>
      <c r="T3732" t="s">
        <v>13290</v>
      </c>
      <c r="U3732" t="s">
        <v>13290</v>
      </c>
      <c r="V3732" t="s">
        <v>13290</v>
      </c>
      <c r="W3732" t="s">
        <v>16978</v>
      </c>
      <c r="X3732">
        <v>41</v>
      </c>
      <c r="Y3732" t="s">
        <v>23482</v>
      </c>
      <c r="Z3732" t="s">
        <v>30062</v>
      </c>
      <c r="AA3732">
        <v>1.1096257140060211</v>
      </c>
      <c r="AB3732" t="str">
        <f>HYPERLINK("Melting_Curves/meltCurve_Q32MZ4_2_LRRFIP1.pdf", "Melting_Curves/meltCurve_Q32MZ4_2_LRRFIP1.pdf")</f>
        <v>Melting_Curves/meltCurve_Q32MZ4_2_LRRFIP1.pdf</v>
      </c>
    </row>
    <row r="3733" spans="1:28" x14ac:dyDescent="0.25">
      <c r="A3733" t="s">
        <v>3737</v>
      </c>
      <c r="B3733">
        <v>0.99252571173614901</v>
      </c>
      <c r="C3733">
        <v>1.1081731047275201</v>
      </c>
      <c r="D3733">
        <v>0.93358568904630201</v>
      </c>
      <c r="E3733">
        <v>0.679873632021189</v>
      </c>
      <c r="F3733">
        <v>1.0229950711485001</v>
      </c>
      <c r="G3733">
        <v>0.90635089047659501</v>
      </c>
      <c r="H3733">
        <v>0.97472712973365305</v>
      </c>
      <c r="I3733">
        <v>1.4896191185674501</v>
      </c>
      <c r="J3733">
        <v>2.3311360896043598</v>
      </c>
      <c r="K3733">
        <v>2.4785766082696901</v>
      </c>
      <c r="L3733">
        <v>15000</v>
      </c>
      <c r="M3733">
        <v>238.206259210285</v>
      </c>
      <c r="O3733">
        <v>62.966199211423799</v>
      </c>
      <c r="P3733">
        <v>0.472885181941334</v>
      </c>
      <c r="Q3733">
        <v>1.5</v>
      </c>
      <c r="R3733">
        <v>0.48866615027058002</v>
      </c>
      <c r="S3733" t="s">
        <v>10379</v>
      </c>
      <c r="T3733" t="s">
        <v>13290</v>
      </c>
      <c r="U3733" t="s">
        <v>13290</v>
      </c>
      <c r="V3733" t="s">
        <v>13290</v>
      </c>
      <c r="W3733" t="s">
        <v>16979</v>
      </c>
      <c r="X3733">
        <v>42</v>
      </c>
      <c r="Y3733" t="s">
        <v>23482</v>
      </c>
      <c r="Z3733" t="s">
        <v>30063</v>
      </c>
      <c r="AA3733">
        <v>1.117095176991221</v>
      </c>
      <c r="AB3733" t="str">
        <f>HYPERLINK("Melting_Curves/meltCurve_Q32MZ4_3_LRRFIP1.pdf", "Melting_Curves/meltCurve_Q32MZ4_3_LRRFIP1.pdf")</f>
        <v>Melting_Curves/meltCurve_Q32MZ4_3_LRRFIP1.pdf</v>
      </c>
    </row>
    <row r="3734" spans="1:28" x14ac:dyDescent="0.25">
      <c r="A3734" t="s">
        <v>3738</v>
      </c>
      <c r="B3734">
        <v>0.99252571173614901</v>
      </c>
      <c r="C3734">
        <v>1.06081903762634</v>
      </c>
      <c r="D3734">
        <v>0.88378469794509495</v>
      </c>
      <c r="E3734">
        <v>0.86402729383494403</v>
      </c>
      <c r="F3734">
        <v>0.82015883603972894</v>
      </c>
      <c r="G3734">
        <v>0.71095161763867998</v>
      </c>
      <c r="H3734">
        <v>0.63864110775312699</v>
      </c>
      <c r="I3734">
        <v>0.92578965591830398</v>
      </c>
      <c r="J3734">
        <v>1.1851422164482499</v>
      </c>
      <c r="K3734">
        <v>1.17103915350559</v>
      </c>
      <c r="L3734">
        <v>15000</v>
      </c>
      <c r="M3734">
        <v>227.85497699270201</v>
      </c>
      <c r="O3734">
        <v>65.826275607098907</v>
      </c>
      <c r="P3734">
        <v>0.15504772402042399</v>
      </c>
      <c r="Q3734">
        <v>1.1791703530594899</v>
      </c>
      <c r="R3734">
        <v>2.5514480785517699E-2</v>
      </c>
      <c r="S3734" t="s">
        <v>10380</v>
      </c>
      <c r="T3734" t="s">
        <v>13290</v>
      </c>
      <c r="U3734" t="s">
        <v>13290</v>
      </c>
      <c r="V3734" t="s">
        <v>13290</v>
      </c>
      <c r="W3734" t="s">
        <v>16980</v>
      </c>
      <c r="X3734">
        <v>15</v>
      </c>
      <c r="Y3734" t="s">
        <v>23482</v>
      </c>
      <c r="Z3734" t="s">
        <v>30064</v>
      </c>
      <c r="AA3734">
        <v>1.024871717932101</v>
      </c>
      <c r="AB3734" t="str">
        <f>HYPERLINK("Melting_Curves/meltCurve_Q32MZ4_4_LRRFIP1.pdf", "Melting_Curves/meltCurve_Q32MZ4_4_LRRFIP1.pdf")</f>
        <v>Melting_Curves/meltCurve_Q32MZ4_4_LRRFIP1.pdf</v>
      </c>
    </row>
    <row r="3735" spans="1:28" x14ac:dyDescent="0.25">
      <c r="A3735" t="s">
        <v>3739</v>
      </c>
      <c r="B3735">
        <v>0.99252571173614901</v>
      </c>
      <c r="C3735">
        <v>0.86649585000303897</v>
      </c>
      <c r="D3735">
        <v>0.63327025279665905</v>
      </c>
      <c r="E3735">
        <v>0.26339846751891099</v>
      </c>
      <c r="F3735">
        <v>0.17085508704820601</v>
      </c>
      <c r="G3735">
        <v>9.3790404918334194E-2</v>
      </c>
      <c r="H3735">
        <v>8.5679763100115894E-2</v>
      </c>
      <c r="I3735">
        <v>0.11180012631466001</v>
      </c>
      <c r="J3735">
        <v>0.16250033327209501</v>
      </c>
      <c r="K3735">
        <v>0.161396888280436</v>
      </c>
      <c r="L3735">
        <v>1123.72749135361</v>
      </c>
      <c r="M3735">
        <v>24.188254135773001</v>
      </c>
      <c r="N3735">
        <v>46.995729022230101</v>
      </c>
      <c r="O3735">
        <v>46.1435218773332</v>
      </c>
      <c r="P3735">
        <v>-0.11519813962610199</v>
      </c>
      <c r="Q3735">
        <v>0.120967331982533</v>
      </c>
      <c r="R3735">
        <v>0.99251190340821904</v>
      </c>
      <c r="S3735" t="s">
        <v>10381</v>
      </c>
      <c r="T3735" t="s">
        <v>13290</v>
      </c>
      <c r="U3735" t="s">
        <v>13290</v>
      </c>
      <c r="V3735" t="s">
        <v>13290</v>
      </c>
      <c r="W3735" t="s">
        <v>16981</v>
      </c>
      <c r="X3735">
        <v>5</v>
      </c>
      <c r="Y3735" t="s">
        <v>23483</v>
      </c>
      <c r="Z3735" t="s">
        <v>30065</v>
      </c>
      <c r="AA3735">
        <v>0.31876180148418642</v>
      </c>
      <c r="AB3735" t="str">
        <f>HYPERLINK("Melting_Curves/meltCurve_Q32MZ9_POLD3.pdf", "Melting_Curves/meltCurve_Q32MZ9_POLD3.pdf")</f>
        <v>Melting_Curves/meltCurve_Q32MZ9_POLD3.pdf</v>
      </c>
    </row>
    <row r="3736" spans="1:28" x14ac:dyDescent="0.25">
      <c r="A3736" t="s">
        <v>3740</v>
      </c>
      <c r="B3736">
        <v>0.99252571173614901</v>
      </c>
      <c r="C3736">
        <v>0.89795551446817901</v>
      </c>
      <c r="D3736">
        <v>1.0232068420307601</v>
      </c>
      <c r="E3736">
        <v>0.70953158307249597</v>
      </c>
      <c r="F3736">
        <v>0.37319843133074798</v>
      </c>
      <c r="G3736">
        <v>0.212252084713828</v>
      </c>
      <c r="H3736">
        <v>0.154184523851364</v>
      </c>
      <c r="I3736">
        <v>0.171808749301781</v>
      </c>
      <c r="J3736">
        <v>0.241959280924053</v>
      </c>
      <c r="K3736">
        <v>0.22219071894610401</v>
      </c>
      <c r="L3736">
        <v>1549.1152057146701</v>
      </c>
      <c r="M3736">
        <v>30.549372395938601</v>
      </c>
      <c r="N3736">
        <v>51.547914053950798</v>
      </c>
      <c r="O3736">
        <v>50.492754243516003</v>
      </c>
      <c r="P3736">
        <v>-0.12161819108692599</v>
      </c>
      <c r="Q3736">
        <v>0.19595033604695899</v>
      </c>
      <c r="R3736">
        <v>0.98336781491690695</v>
      </c>
      <c r="S3736" t="s">
        <v>10382</v>
      </c>
      <c r="T3736" t="s">
        <v>13290</v>
      </c>
      <c r="U3736" t="s">
        <v>13290</v>
      </c>
      <c r="V3736" t="s">
        <v>13290</v>
      </c>
      <c r="W3736" t="s">
        <v>16982</v>
      </c>
      <c r="X3736">
        <v>6</v>
      </c>
      <c r="Y3736" t="s">
        <v>23484</v>
      </c>
      <c r="Z3736" t="s">
        <v>30066</v>
      </c>
      <c r="AA3736">
        <v>0.48780901402982402</v>
      </c>
      <c r="AB3736" t="str">
        <f>HYPERLINK("Melting_Curves/meltCurve_Q32P28_LEPRE1.pdf", "Melting_Curves/meltCurve_Q32P28_LEPRE1.pdf")</f>
        <v>Melting_Curves/meltCurve_Q32P28_LEPRE1.pdf</v>
      </c>
    </row>
    <row r="3737" spans="1:28" x14ac:dyDescent="0.25">
      <c r="A3737" t="s">
        <v>3741</v>
      </c>
      <c r="B3737">
        <v>0.99252571173614901</v>
      </c>
      <c r="C3737">
        <v>0.77632401311164101</v>
      </c>
      <c r="D3737">
        <v>0.31240224662871802</v>
      </c>
      <c r="E3737">
        <v>0.14901849868395201</v>
      </c>
      <c r="F3737">
        <v>0.101814359925544</v>
      </c>
      <c r="G3737">
        <v>5.9944375634681697E-2</v>
      </c>
      <c r="H3737">
        <v>4.59335164416977E-2</v>
      </c>
      <c r="I3737">
        <v>4.8293928349815197E-2</v>
      </c>
      <c r="J3737">
        <v>5.1442969350304998E-2</v>
      </c>
      <c r="K3737">
        <v>5.3792694348669803E-2</v>
      </c>
      <c r="L3737">
        <v>1311.35584025198</v>
      </c>
      <c r="M3737">
        <v>29.4293163986389</v>
      </c>
      <c r="N3737">
        <v>44.765074294933797</v>
      </c>
      <c r="O3737">
        <v>44.355280228996399</v>
      </c>
      <c r="P3737">
        <v>-0.15539007315294501</v>
      </c>
      <c r="Q3737">
        <v>6.3203282593832497E-2</v>
      </c>
      <c r="R3737">
        <v>0.99592546764404699</v>
      </c>
      <c r="S3737" t="s">
        <v>10383</v>
      </c>
      <c r="T3737" t="s">
        <v>13290</v>
      </c>
      <c r="U3737" t="s">
        <v>13290</v>
      </c>
      <c r="V3737" t="s">
        <v>13290</v>
      </c>
      <c r="W3737" t="s">
        <v>16983</v>
      </c>
      <c r="X3737">
        <v>10</v>
      </c>
      <c r="Y3737" t="s">
        <v>23485</v>
      </c>
      <c r="Z3737" t="s">
        <v>30067</v>
      </c>
      <c r="AA3737">
        <v>0.21218508856529711</v>
      </c>
      <c r="AB3737" t="str">
        <f>HYPERLINK("Melting_Curves/meltCurve_Q32P41_TRMT5.pdf", "Melting_Curves/meltCurve_Q32P41_TRMT5.pdf")</f>
        <v>Melting_Curves/meltCurve_Q32P41_TRMT5.pdf</v>
      </c>
    </row>
    <row r="3738" spans="1:28" x14ac:dyDescent="0.25">
      <c r="A3738" t="s">
        <v>3742</v>
      </c>
      <c r="B3738">
        <v>0.99252571173614901</v>
      </c>
      <c r="C3738">
        <v>1.0285600832372701</v>
      </c>
      <c r="D3738">
        <v>1.0083479259721</v>
      </c>
      <c r="E3738">
        <v>0.95255234310641401</v>
      </c>
      <c r="F3738">
        <v>0.98865055846229799</v>
      </c>
      <c r="G3738">
        <v>0.91318059509203198</v>
      </c>
      <c r="H3738">
        <v>0.87977117050039</v>
      </c>
      <c r="I3738">
        <v>1.1029448465273399</v>
      </c>
      <c r="J3738">
        <v>0.86473986722956997</v>
      </c>
      <c r="K3738">
        <v>0.34460696761113002</v>
      </c>
      <c r="L3738">
        <v>15000</v>
      </c>
      <c r="M3738">
        <v>222.19956925262301</v>
      </c>
      <c r="N3738">
        <v>67.863333791523999</v>
      </c>
      <c r="O3738">
        <v>67.501413115789006</v>
      </c>
      <c r="P3738">
        <v>-0.53954918020280296</v>
      </c>
      <c r="Q3738">
        <v>0.34436718941905298</v>
      </c>
      <c r="R3738">
        <v>0.90984686906341705</v>
      </c>
      <c r="S3738" t="s">
        <v>10384</v>
      </c>
      <c r="T3738" t="s">
        <v>13290</v>
      </c>
      <c r="U3738" t="s">
        <v>13290</v>
      </c>
      <c r="V3738" t="s">
        <v>13290</v>
      </c>
      <c r="W3738" t="s">
        <v>13654</v>
      </c>
      <c r="X3738">
        <v>22</v>
      </c>
      <c r="Y3738" t="s">
        <v>23486</v>
      </c>
      <c r="Z3738" t="s">
        <v>30068</v>
      </c>
      <c r="AA3738">
        <v>0.94561002341255873</v>
      </c>
      <c r="AB3738" t="str">
        <f>HYPERLINK("Melting_Curves/meltCurve_Q32Q12_NME1_NME2.pdf", "Melting_Curves/meltCurve_Q32Q12_NME1_NME2.pdf")</f>
        <v>Melting_Curves/meltCurve_Q32Q12_NME1_NME2.pdf</v>
      </c>
    </row>
    <row r="3739" spans="1:28" x14ac:dyDescent="0.25">
      <c r="A3739" t="s">
        <v>3743</v>
      </c>
      <c r="B3739">
        <v>0.99252571173614901</v>
      </c>
      <c r="C3739">
        <v>1.0148344544966701</v>
      </c>
      <c r="D3739">
        <v>0.74038714890058299</v>
      </c>
      <c r="E3739">
        <v>0.55477200090609802</v>
      </c>
      <c r="F3739">
        <v>0.39898773700492401</v>
      </c>
      <c r="G3739">
        <v>0.19899867900152499</v>
      </c>
      <c r="H3739">
        <v>0.149173240159264</v>
      </c>
      <c r="I3739">
        <v>0.18449365852715899</v>
      </c>
      <c r="J3739">
        <v>0.27878665654032098</v>
      </c>
      <c r="K3739">
        <v>0.31065127978604901</v>
      </c>
      <c r="L3739">
        <v>945.06610189647904</v>
      </c>
      <c r="M3739">
        <v>19.452587893877901</v>
      </c>
      <c r="N3739">
        <v>50.084243978214097</v>
      </c>
      <c r="O3739">
        <v>48.078358431870903</v>
      </c>
      <c r="P3739">
        <v>-7.8808573308157603E-2</v>
      </c>
      <c r="Q3739">
        <v>0.22090582072206599</v>
      </c>
      <c r="R3739">
        <v>0.96190144343723905</v>
      </c>
      <c r="S3739" t="s">
        <v>10385</v>
      </c>
      <c r="T3739" t="s">
        <v>13290</v>
      </c>
      <c r="U3739" t="s">
        <v>13290</v>
      </c>
      <c r="V3739" t="s">
        <v>13290</v>
      </c>
      <c r="W3739" t="s">
        <v>16984</v>
      </c>
      <c r="X3739">
        <v>4</v>
      </c>
      <c r="Y3739" t="s">
        <v>23487</v>
      </c>
      <c r="Z3739" t="s">
        <v>30069</v>
      </c>
      <c r="AA3739">
        <v>0.4554172036794234</v>
      </c>
      <c r="AB3739" t="str">
        <f>HYPERLINK("Melting_Curves/meltCurve_Q3B726_TWISTNB.pdf", "Melting_Curves/meltCurve_Q3B726_TWISTNB.pdf")</f>
        <v>Melting_Curves/meltCurve_Q3B726_TWISTNB.pdf</v>
      </c>
    </row>
    <row r="3740" spans="1:28" x14ac:dyDescent="0.25">
      <c r="A3740" t="s">
        <v>3744</v>
      </c>
      <c r="B3740">
        <v>0.99252571173614901</v>
      </c>
      <c r="C3740">
        <v>0.81468911387632903</v>
      </c>
      <c r="D3740">
        <v>1.02705455454612</v>
      </c>
      <c r="E3740">
        <v>0.84751937990650605</v>
      </c>
      <c r="F3740">
        <v>0.97537282723850705</v>
      </c>
      <c r="G3740">
        <v>0.22570315745036601</v>
      </c>
      <c r="H3740">
        <v>0.14218887784623399</v>
      </c>
      <c r="I3740">
        <v>0.138715899296564</v>
      </c>
      <c r="J3740">
        <v>0.105793695551574</v>
      </c>
      <c r="K3740">
        <v>0.11293596751915</v>
      </c>
      <c r="L3740">
        <v>4646.80286384186</v>
      </c>
      <c r="M3740">
        <v>83.8435739714741</v>
      </c>
      <c r="N3740">
        <v>55.612609878344003</v>
      </c>
      <c r="O3740">
        <v>55.390788303643603</v>
      </c>
      <c r="P3740">
        <v>-0.33122511174525499</v>
      </c>
      <c r="Q3740">
        <v>0.12471209209678701</v>
      </c>
      <c r="R3740">
        <v>0.96268857450846901</v>
      </c>
      <c r="S3740" t="s">
        <v>10386</v>
      </c>
      <c r="T3740" t="s">
        <v>13290</v>
      </c>
      <c r="U3740" t="s">
        <v>13290</v>
      </c>
      <c r="V3740" t="s">
        <v>13290</v>
      </c>
      <c r="W3740" t="s">
        <v>16985</v>
      </c>
      <c r="X3740">
        <v>1</v>
      </c>
      <c r="Y3740" t="s">
        <v>23488</v>
      </c>
      <c r="Z3740" t="s">
        <v>30070</v>
      </c>
      <c r="AA3740">
        <v>0.57543513219806819</v>
      </c>
      <c r="AB3740" t="str">
        <f>HYPERLINK("Melting_Curves/meltCurve_Q3B7J2_GFOD2.pdf", "Melting_Curves/meltCurve_Q3B7J2_GFOD2.pdf")</f>
        <v>Melting_Curves/meltCurve_Q3B7J2_GFOD2.pdf</v>
      </c>
    </row>
    <row r="3741" spans="1:28" x14ac:dyDescent="0.25">
      <c r="A3741" t="s">
        <v>3745</v>
      </c>
      <c r="B3741">
        <v>0.99252571173614901</v>
      </c>
      <c r="C3741">
        <v>1.1666589122007001</v>
      </c>
      <c r="D3741">
        <v>1.07772643859255</v>
      </c>
      <c r="E3741">
        <v>1.17936470405491</v>
      </c>
      <c r="F3741">
        <v>0.46838521752815998</v>
      </c>
      <c r="G3741">
        <v>0.237977206650868</v>
      </c>
      <c r="H3741">
        <v>0.26927778239433697</v>
      </c>
      <c r="I3741">
        <v>0.38073942640407799</v>
      </c>
      <c r="J3741">
        <v>0.55732095655241898</v>
      </c>
      <c r="K3741">
        <v>0.46238314388780699</v>
      </c>
      <c r="L3741">
        <v>13203.612960042101</v>
      </c>
      <c r="M3741">
        <v>250</v>
      </c>
      <c r="N3741">
        <v>53.120453195159399</v>
      </c>
      <c r="O3741">
        <v>52.811063344615199</v>
      </c>
      <c r="P3741">
        <v>-0.73192548966875903</v>
      </c>
      <c r="Q3741">
        <v>0.38153968395646298</v>
      </c>
      <c r="R3741">
        <v>0.89508411262986298</v>
      </c>
      <c r="S3741" t="s">
        <v>10387</v>
      </c>
      <c r="T3741" t="s">
        <v>13290</v>
      </c>
      <c r="U3741" t="s">
        <v>13290</v>
      </c>
      <c r="V3741" t="s">
        <v>13290</v>
      </c>
      <c r="W3741" t="s">
        <v>16986</v>
      </c>
      <c r="X3741">
        <v>4</v>
      </c>
      <c r="Y3741" t="s">
        <v>23489</v>
      </c>
      <c r="Z3741" t="s">
        <v>30071</v>
      </c>
      <c r="AA3741">
        <v>0.64577133930733432</v>
      </c>
      <c r="AB3741" t="str">
        <f>HYPERLINK("Melting_Curves/meltCurve_Q3KQU3_2_MAP7D1.pdf", "Melting_Curves/meltCurve_Q3KQU3_2_MAP7D1.pdf")</f>
        <v>Melting_Curves/meltCurve_Q3KQU3_2_MAP7D1.pdf</v>
      </c>
    </row>
    <row r="3742" spans="1:28" x14ac:dyDescent="0.25">
      <c r="A3742" t="s">
        <v>3746</v>
      </c>
      <c r="B3742">
        <v>0.99252571173614901</v>
      </c>
      <c r="C3742">
        <v>1.0477509622800401</v>
      </c>
      <c r="D3742">
        <v>0.89808853655213206</v>
      </c>
      <c r="E3742">
        <v>0.68648071725457305</v>
      </c>
      <c r="F3742">
        <v>0.31224551169724302</v>
      </c>
      <c r="G3742">
        <v>0.14396381274454101</v>
      </c>
      <c r="H3742">
        <v>0.110457215176263</v>
      </c>
      <c r="I3742">
        <v>8.9506980754454901E-2</v>
      </c>
      <c r="J3742">
        <v>9.8727571285186694E-2</v>
      </c>
      <c r="K3742">
        <v>8.61961748727961E-2</v>
      </c>
      <c r="L3742">
        <v>1238.4595148862199</v>
      </c>
      <c r="M3742">
        <v>24.3808075123208</v>
      </c>
      <c r="N3742">
        <v>51.202252809496997</v>
      </c>
      <c r="O3742">
        <v>50.458457369558197</v>
      </c>
      <c r="P3742">
        <v>-0.110186674965255</v>
      </c>
      <c r="Q3742">
        <v>8.7845293547819794E-2</v>
      </c>
      <c r="R3742">
        <v>0.99671002779304396</v>
      </c>
      <c r="S3742" t="s">
        <v>10388</v>
      </c>
      <c r="T3742" t="s">
        <v>13290</v>
      </c>
      <c r="U3742" t="s">
        <v>13290</v>
      </c>
      <c r="V3742" t="s">
        <v>13290</v>
      </c>
      <c r="W3742" t="s">
        <v>16987</v>
      </c>
      <c r="X3742">
        <v>10</v>
      </c>
      <c r="Y3742" t="s">
        <v>23490</v>
      </c>
      <c r="Z3742" t="s">
        <v>30072</v>
      </c>
      <c r="AA3742">
        <v>0.42475345145274979</v>
      </c>
      <c r="AB3742" t="str">
        <f>HYPERLINK("Melting_Curves/meltCurve_Q3KQV9_UAP1L1.pdf", "Melting_Curves/meltCurve_Q3KQV9_UAP1L1.pdf")</f>
        <v>Melting_Curves/meltCurve_Q3KQV9_UAP1L1.pdf</v>
      </c>
    </row>
    <row r="3743" spans="1:28" x14ac:dyDescent="0.25">
      <c r="A3743" t="s">
        <v>3747</v>
      </c>
      <c r="B3743">
        <v>0.99252571173614901</v>
      </c>
      <c r="C3743">
        <v>1.1410095982828601</v>
      </c>
      <c r="D3743">
        <v>0.95464322562898996</v>
      </c>
      <c r="E3743">
        <v>0.60889443451974301</v>
      </c>
      <c r="F3743">
        <v>0.230917356073577</v>
      </c>
      <c r="G3743">
        <v>0.13627087997127699</v>
      </c>
      <c r="H3743">
        <v>0.10834334794784301</v>
      </c>
      <c r="I3743">
        <v>0.12831121721835401</v>
      </c>
      <c r="J3743">
        <v>9.8715807248860907E-2</v>
      </c>
      <c r="K3743">
        <v>9.2211559134273105E-2</v>
      </c>
      <c r="L3743">
        <v>1644.2396824861501</v>
      </c>
      <c r="M3743">
        <v>32.867409784625899</v>
      </c>
      <c r="N3743">
        <v>50.407192515656398</v>
      </c>
      <c r="O3743">
        <v>49.8423464621074</v>
      </c>
      <c r="P3743">
        <v>-0.146736124101947</v>
      </c>
      <c r="Q3743">
        <v>0.109922057676449</v>
      </c>
      <c r="R3743">
        <v>0.98677986602865297</v>
      </c>
      <c r="S3743" t="s">
        <v>10389</v>
      </c>
      <c r="T3743" t="s">
        <v>13290</v>
      </c>
      <c r="U3743" t="s">
        <v>13290</v>
      </c>
      <c r="V3743" t="s">
        <v>13290</v>
      </c>
      <c r="W3743" t="s">
        <v>16988</v>
      </c>
      <c r="X3743">
        <v>2</v>
      </c>
      <c r="Y3743" t="s">
        <v>23491</v>
      </c>
      <c r="Z3743" t="s">
        <v>30073</v>
      </c>
      <c r="AA3743">
        <v>0.41197813858090948</v>
      </c>
      <c r="AB3743" t="str">
        <f>HYPERLINK("Melting_Curves/meltCurve_Q3KRA6_C2orf76.pdf", "Melting_Curves/meltCurve_Q3KRA6_C2orf76.pdf")</f>
        <v>Melting_Curves/meltCurve_Q3KRA6_C2orf76.pdf</v>
      </c>
    </row>
    <row r="3744" spans="1:28" x14ac:dyDescent="0.25">
      <c r="A3744" t="s">
        <v>3748</v>
      </c>
      <c r="B3744">
        <v>0.99252571173614901</v>
      </c>
      <c r="C3744">
        <v>1.04371207456829</v>
      </c>
      <c r="D3744">
        <v>0.85625483269908498</v>
      </c>
      <c r="E3744">
        <v>0.61156918667340499</v>
      </c>
      <c r="F3744">
        <v>0.47117510169381599</v>
      </c>
      <c r="G3744">
        <v>0.34560797601972598</v>
      </c>
      <c r="H3744">
        <v>0.33801507192883601</v>
      </c>
      <c r="I3744">
        <v>0.36057951034116298</v>
      </c>
      <c r="J3744">
        <v>0.38445546222737698</v>
      </c>
      <c r="K3744">
        <v>0.206596076062352</v>
      </c>
      <c r="L3744">
        <v>1015.69272180652</v>
      </c>
      <c r="M3744">
        <v>20.624877783341699</v>
      </c>
      <c r="N3744">
        <v>51.7730908989436</v>
      </c>
      <c r="O3744">
        <v>48.790056394099501</v>
      </c>
      <c r="P3744">
        <v>-7.2151700401925103E-2</v>
      </c>
      <c r="Q3744">
        <v>0.31729358562047399</v>
      </c>
      <c r="R3744">
        <v>0.96829742639755501</v>
      </c>
      <c r="S3744" t="s">
        <v>10390</v>
      </c>
      <c r="T3744" t="s">
        <v>13290</v>
      </c>
      <c r="U3744" t="s">
        <v>13290</v>
      </c>
      <c r="V3744" t="s">
        <v>13290</v>
      </c>
      <c r="W3744" t="s">
        <v>16989</v>
      </c>
      <c r="X3744">
        <v>7</v>
      </c>
      <c r="Y3744" t="s">
        <v>23492</v>
      </c>
      <c r="Z3744" t="s">
        <v>30074</v>
      </c>
      <c r="AA3744">
        <v>0.53667296595336245</v>
      </c>
      <c r="AB3744" t="str">
        <f>HYPERLINK("Melting_Curves/meltCurve_Q3KRA9_ALKBH6.pdf", "Melting_Curves/meltCurve_Q3KRA9_ALKBH6.pdf")</f>
        <v>Melting_Curves/meltCurve_Q3KRA9_ALKBH6.pdf</v>
      </c>
    </row>
    <row r="3745" spans="1:28" x14ac:dyDescent="0.25">
      <c r="A3745" t="s">
        <v>3749</v>
      </c>
      <c r="B3745">
        <v>0.99252571173614901</v>
      </c>
      <c r="C3745">
        <v>1.0479796141714099</v>
      </c>
      <c r="D3745">
        <v>1.0068746320998201</v>
      </c>
      <c r="E3745">
        <v>1.0260221432176899</v>
      </c>
      <c r="F3745">
        <v>0.81569619747695399</v>
      </c>
      <c r="G3745">
        <v>0.41209846523738303</v>
      </c>
      <c r="H3745">
        <v>0.101698723990733</v>
      </c>
      <c r="I3745">
        <v>0.105156473504659</v>
      </c>
      <c r="J3745">
        <v>0.126603157611831</v>
      </c>
      <c r="K3745">
        <v>0.11477488234097601</v>
      </c>
      <c r="L3745">
        <v>1901.14607732011</v>
      </c>
      <c r="M3745">
        <v>34.217057988905999</v>
      </c>
      <c r="N3745">
        <v>55.930223236410299</v>
      </c>
      <c r="O3745">
        <v>55.3726085470445</v>
      </c>
      <c r="P3745">
        <v>-0.13888180896496299</v>
      </c>
      <c r="Q3745">
        <v>0.101007695624519</v>
      </c>
      <c r="R3745">
        <v>0.99552683738096803</v>
      </c>
      <c r="S3745" t="s">
        <v>10391</v>
      </c>
      <c r="T3745" t="s">
        <v>13290</v>
      </c>
      <c r="U3745" t="s">
        <v>13290</v>
      </c>
      <c r="V3745" t="s">
        <v>13290</v>
      </c>
      <c r="W3745" t="s">
        <v>16990</v>
      </c>
      <c r="X3745">
        <v>34</v>
      </c>
      <c r="Y3745" t="s">
        <v>23493</v>
      </c>
      <c r="Z3745" t="s">
        <v>30075</v>
      </c>
      <c r="AA3745">
        <v>0.57198887914642071</v>
      </c>
      <c r="AB3745" t="str">
        <f>HYPERLINK("Melting_Curves/meltCurve_Q3LXA3_DAK.pdf", "Melting_Curves/meltCurve_Q3LXA3_DAK.pdf")</f>
        <v>Melting_Curves/meltCurve_Q3LXA3_DAK.pdf</v>
      </c>
    </row>
    <row r="3746" spans="1:28" x14ac:dyDescent="0.25">
      <c r="A3746" t="s">
        <v>3750</v>
      </c>
      <c r="B3746">
        <v>0.99252571173614901</v>
      </c>
      <c r="C3746">
        <v>1.01802776911127</v>
      </c>
      <c r="D3746">
        <v>0.97615404213495505</v>
      </c>
      <c r="E3746">
        <v>1.0009797975934001</v>
      </c>
      <c r="F3746">
        <v>0.41336800930972301</v>
      </c>
      <c r="G3746">
        <v>0.14705656872782</v>
      </c>
      <c r="H3746">
        <v>7.6880069714796398E-2</v>
      </c>
      <c r="I3746">
        <v>7.3871066081451706E-2</v>
      </c>
      <c r="J3746">
        <v>9.7341810822597005E-2</v>
      </c>
      <c r="K3746">
        <v>0.103742331875962</v>
      </c>
      <c r="L3746">
        <v>3304.6132939404602</v>
      </c>
      <c r="M3746">
        <v>62.719010636505601</v>
      </c>
      <c r="N3746">
        <v>52.871778668987801</v>
      </c>
      <c r="O3746">
        <v>52.635693565948799</v>
      </c>
      <c r="P3746">
        <v>-0.26888425479540701</v>
      </c>
      <c r="Q3746">
        <v>9.7377058756768595E-2</v>
      </c>
      <c r="R3746">
        <v>0.99780903482439598</v>
      </c>
      <c r="S3746" t="s">
        <v>10392</v>
      </c>
      <c r="T3746" t="s">
        <v>13290</v>
      </c>
      <c r="U3746" t="s">
        <v>13290</v>
      </c>
      <c r="V3746" t="s">
        <v>13290</v>
      </c>
      <c r="W3746" t="s">
        <v>16991</v>
      </c>
      <c r="X3746">
        <v>8</v>
      </c>
      <c r="Y3746" t="s">
        <v>23494</v>
      </c>
      <c r="Z3746" t="s">
        <v>30076</v>
      </c>
      <c r="AA3746">
        <v>0.4804924291262106</v>
      </c>
      <c r="AB3746" t="str">
        <f>HYPERLINK("Melting_Curves/meltCurve_Q3MHD2_LSM12.pdf", "Melting_Curves/meltCurve_Q3MHD2_LSM12.pdf")</f>
        <v>Melting_Curves/meltCurve_Q3MHD2_LSM12.pdf</v>
      </c>
    </row>
    <row r="3747" spans="1:28" x14ac:dyDescent="0.25">
      <c r="A3747" t="s">
        <v>3751</v>
      </c>
      <c r="B3747">
        <v>0.99252571173614901</v>
      </c>
      <c r="C3747">
        <v>1.1027608778423399</v>
      </c>
      <c r="D3747">
        <v>0.77473311830442204</v>
      </c>
      <c r="E3747">
        <v>0.272659175746291</v>
      </c>
      <c r="F3747">
        <v>0.22964856940022199</v>
      </c>
      <c r="G3747">
        <v>7.6305984735395599E-2</v>
      </c>
      <c r="H3747">
        <v>3.4430138355986198E-2</v>
      </c>
      <c r="I3747">
        <v>0</v>
      </c>
      <c r="J3747">
        <v>5.7808004394362199E-2</v>
      </c>
      <c r="K3747">
        <v>0</v>
      </c>
      <c r="L3747">
        <v>1386.7398374720999</v>
      </c>
      <c r="M3747">
        <v>28.9020320798477</v>
      </c>
      <c r="N3747">
        <v>48.153147071612302</v>
      </c>
      <c r="O3747">
        <v>47.752773022161499</v>
      </c>
      <c r="P3747">
        <v>-0.14387236050486901</v>
      </c>
      <c r="Q3747">
        <v>4.9167087845128903E-2</v>
      </c>
      <c r="R3747">
        <v>0.97535775839113603</v>
      </c>
      <c r="S3747" t="s">
        <v>10393</v>
      </c>
      <c r="T3747" t="s">
        <v>13290</v>
      </c>
      <c r="U3747" t="s">
        <v>13290</v>
      </c>
      <c r="V3747" t="s">
        <v>13290</v>
      </c>
      <c r="W3747" t="s">
        <v>16992</v>
      </c>
      <c r="X3747">
        <v>2</v>
      </c>
      <c r="Y3747" t="s">
        <v>23495</v>
      </c>
      <c r="Z3747" t="s">
        <v>30077</v>
      </c>
      <c r="AA3747">
        <v>0.3082973288030581</v>
      </c>
      <c r="AB3747" t="str">
        <f>HYPERLINK("Melting_Curves/meltCurve_Q3MII6_TBC1D25.pdf", "Melting_Curves/meltCurve_Q3MII6_TBC1D25.pdf")</f>
        <v>Melting_Curves/meltCurve_Q3MII6_TBC1D25.pdf</v>
      </c>
    </row>
    <row r="3748" spans="1:28" x14ac:dyDescent="0.25">
      <c r="A3748" t="s">
        <v>3752</v>
      </c>
      <c r="B3748">
        <v>0.99252571173614901</v>
      </c>
      <c r="C3748">
        <v>0.75190090712562796</v>
      </c>
      <c r="D3748">
        <v>0.26164683922202098</v>
      </c>
      <c r="E3748">
        <v>0.12744031026361499</v>
      </c>
      <c r="F3748">
        <v>8.0530873238475298E-2</v>
      </c>
      <c r="G3748">
        <v>5.5638322351321302E-2</v>
      </c>
      <c r="H3748">
        <v>2.01980206868797E-2</v>
      </c>
      <c r="I3748">
        <v>3.4238156213448397E-2</v>
      </c>
      <c r="J3748">
        <v>0</v>
      </c>
      <c r="K3748">
        <v>0</v>
      </c>
      <c r="L3748">
        <v>1347.47180139803</v>
      </c>
      <c r="M3748">
        <v>30.3691455594772</v>
      </c>
      <c r="N3748">
        <v>44.481515489945998</v>
      </c>
      <c r="O3748">
        <v>44.1787311000204</v>
      </c>
      <c r="P3748">
        <v>-0.16554190343191499</v>
      </c>
      <c r="Q3748">
        <v>3.6735209014852201E-2</v>
      </c>
      <c r="R3748">
        <v>0.99219857589036098</v>
      </c>
      <c r="S3748" t="s">
        <v>10394</v>
      </c>
      <c r="T3748" t="s">
        <v>13290</v>
      </c>
      <c r="U3748" t="s">
        <v>13290</v>
      </c>
      <c r="V3748" t="s">
        <v>13290</v>
      </c>
      <c r="W3748" t="s">
        <v>16993</v>
      </c>
      <c r="X3748">
        <v>2</v>
      </c>
      <c r="Y3748" t="s">
        <v>23496</v>
      </c>
      <c r="Z3748" t="s">
        <v>30078</v>
      </c>
      <c r="AA3748">
        <v>0.1834844035731252</v>
      </c>
      <c r="AB3748" t="str">
        <f>HYPERLINK("Melting_Curves/meltCurve_Q3MIN7_RGL3.pdf", "Melting_Curves/meltCurve_Q3MIN7_RGL3.pdf")</f>
        <v>Melting_Curves/meltCurve_Q3MIN7_RGL3.pdf</v>
      </c>
    </row>
    <row r="3749" spans="1:28" x14ac:dyDescent="0.25">
      <c r="A3749" t="s">
        <v>3753</v>
      </c>
      <c r="B3749">
        <v>0.99252571173614901</v>
      </c>
      <c r="C3749">
        <v>0.96013300535946799</v>
      </c>
      <c r="D3749">
        <v>0.78558040926199801</v>
      </c>
      <c r="E3749">
        <v>0.412738177920914</v>
      </c>
      <c r="F3749">
        <v>0.18229243477176399</v>
      </c>
      <c r="G3749">
        <v>0.12550663104058199</v>
      </c>
      <c r="H3749">
        <v>9.5268377587768405E-2</v>
      </c>
      <c r="I3749">
        <v>7.2023288084400297E-2</v>
      </c>
      <c r="J3749">
        <v>4.9273723133395599E-2</v>
      </c>
      <c r="K3749">
        <v>5.3710787605994702E-2</v>
      </c>
      <c r="L3749">
        <v>1069.4158175784301</v>
      </c>
      <c r="M3749">
        <v>22.055230988511301</v>
      </c>
      <c r="N3749">
        <v>48.8080739655095</v>
      </c>
      <c r="O3749">
        <v>48.094753162443297</v>
      </c>
      <c r="P3749">
        <v>-0.10692980684195599</v>
      </c>
      <c r="Q3749">
        <v>6.7314731836722499E-2</v>
      </c>
      <c r="R3749">
        <v>0.99883117383356401</v>
      </c>
      <c r="S3749" t="s">
        <v>10395</v>
      </c>
      <c r="T3749" t="s">
        <v>13290</v>
      </c>
      <c r="U3749" t="s">
        <v>13290</v>
      </c>
      <c r="V3749" t="s">
        <v>13290</v>
      </c>
      <c r="W3749" t="s">
        <v>16994</v>
      </c>
      <c r="X3749">
        <v>3</v>
      </c>
      <c r="Y3749" t="s">
        <v>23497</v>
      </c>
      <c r="Z3749" t="s">
        <v>30079</v>
      </c>
      <c r="AA3749">
        <v>0.34192257346138027</v>
      </c>
      <c r="AB3749" t="str">
        <f>HYPERLINK("Melting_Curves/meltCurve_Q3MIT2_PUS10.pdf", "Melting_Curves/meltCurve_Q3MIT2_PUS10.pdf")</f>
        <v>Melting_Curves/meltCurve_Q3MIT2_PUS10.pdf</v>
      </c>
    </row>
    <row r="3750" spans="1:28" x14ac:dyDescent="0.25">
      <c r="A3750" t="s">
        <v>3754</v>
      </c>
      <c r="B3750">
        <v>0.99252571173614901</v>
      </c>
      <c r="C3750">
        <v>1.0722789618822699</v>
      </c>
      <c r="D3750">
        <v>0.92641102901057104</v>
      </c>
      <c r="E3750">
        <v>0.86076843776965395</v>
      </c>
      <c r="F3750">
        <v>0.64009523521456002</v>
      </c>
      <c r="G3750">
        <v>0.50938739069954098</v>
      </c>
      <c r="H3750">
        <v>0.34529607832229098</v>
      </c>
      <c r="I3750">
        <v>0.31200797480910297</v>
      </c>
      <c r="J3750">
        <v>0.33645782424917697</v>
      </c>
      <c r="K3750">
        <v>0.25879368875507403</v>
      </c>
      <c r="L3750">
        <v>880.07061823153504</v>
      </c>
      <c r="M3750">
        <v>16.3944975326175</v>
      </c>
      <c r="N3750">
        <v>56.358564488707302</v>
      </c>
      <c r="O3750">
        <v>52.901235982388897</v>
      </c>
      <c r="P3750">
        <v>-5.6519325291940502E-2</v>
      </c>
      <c r="Q3750">
        <v>0.27055304509414702</v>
      </c>
      <c r="R3750">
        <v>0.98647539671782802</v>
      </c>
      <c r="S3750" t="s">
        <v>10396</v>
      </c>
      <c r="T3750" t="s">
        <v>13290</v>
      </c>
      <c r="U3750" t="s">
        <v>13290</v>
      </c>
      <c r="V3750" t="s">
        <v>13290</v>
      </c>
      <c r="W3750" t="s">
        <v>16995</v>
      </c>
      <c r="X3750">
        <v>1</v>
      </c>
      <c r="Y3750" t="s">
        <v>23498</v>
      </c>
      <c r="Z3750" t="s">
        <v>30080</v>
      </c>
      <c r="AA3750">
        <v>0.61669761172737836</v>
      </c>
      <c r="AB3750" t="str">
        <f>HYPERLINK("Melting_Curves/meltCurve_Q3MIX3_ADCK5.pdf", "Melting_Curves/meltCurve_Q3MIX3_ADCK5.pdf")</f>
        <v>Melting_Curves/meltCurve_Q3MIX3_ADCK5.pdf</v>
      </c>
    </row>
    <row r="3751" spans="1:28" x14ac:dyDescent="0.25">
      <c r="A3751" t="s">
        <v>3755</v>
      </c>
      <c r="B3751">
        <v>0.99252571173614901</v>
      </c>
      <c r="C3751">
        <v>0.92448018939208498</v>
      </c>
      <c r="D3751">
        <v>0.949671981971832</v>
      </c>
      <c r="E3751">
        <v>0.84111970641027101</v>
      </c>
      <c r="F3751">
        <v>0.82728966056588504</v>
      </c>
      <c r="G3751">
        <v>0.68181837050676097</v>
      </c>
      <c r="H3751">
        <v>0.51781331418738896</v>
      </c>
      <c r="I3751">
        <v>0.29959889058363598</v>
      </c>
      <c r="J3751">
        <v>0.21461173363936301</v>
      </c>
      <c r="K3751">
        <v>0.14153727320475601</v>
      </c>
      <c r="L3751">
        <v>684.06919917116204</v>
      </c>
      <c r="M3751">
        <v>11.3897156347665</v>
      </c>
      <c r="N3751">
        <v>60.060252725390903</v>
      </c>
      <c r="O3751">
        <v>58.298206313030903</v>
      </c>
      <c r="P3751">
        <v>-4.8856886104238599E-2</v>
      </c>
      <c r="Q3751">
        <v>0</v>
      </c>
      <c r="R3751">
        <v>0.98308499379249603</v>
      </c>
      <c r="S3751" t="s">
        <v>10397</v>
      </c>
      <c r="T3751" t="s">
        <v>13290</v>
      </c>
      <c r="U3751" t="s">
        <v>13290</v>
      </c>
      <c r="V3751" t="s">
        <v>13290</v>
      </c>
      <c r="W3751" t="s">
        <v>16996</v>
      </c>
      <c r="X3751">
        <v>13</v>
      </c>
      <c r="Y3751" t="s">
        <v>23499</v>
      </c>
      <c r="Z3751" t="s">
        <v>30081</v>
      </c>
      <c r="AA3751">
        <v>0.66909022406144048</v>
      </c>
      <c r="AB3751" t="str">
        <f>HYPERLINK("Melting_Curves/meltCurve_Q3SXM5_HSDL1.pdf", "Melting_Curves/meltCurve_Q3SXM5_HSDL1.pdf")</f>
        <v>Melting_Curves/meltCurve_Q3SXM5_HSDL1.pdf</v>
      </c>
    </row>
    <row r="3752" spans="1:28" x14ac:dyDescent="0.25">
      <c r="A3752" t="s">
        <v>3756</v>
      </c>
      <c r="B3752">
        <v>0.99252571173614901</v>
      </c>
      <c r="C3752">
        <v>0.86524195262773096</v>
      </c>
      <c r="D3752">
        <v>0.79263256940512505</v>
      </c>
      <c r="E3752">
        <v>0.519048938314567</v>
      </c>
      <c r="F3752">
        <v>0.17366503024552701</v>
      </c>
      <c r="G3752">
        <v>0.104548378378124</v>
      </c>
      <c r="H3752">
        <v>7.7903408533829294E-2</v>
      </c>
      <c r="I3752">
        <v>7.3355170631062505E-2</v>
      </c>
      <c r="J3752">
        <v>7.5559385442598007E-2</v>
      </c>
      <c r="K3752">
        <v>6.1752285279705998E-2</v>
      </c>
      <c r="L3752">
        <v>927.197803191974</v>
      </c>
      <c r="M3752">
        <v>18.925950302094201</v>
      </c>
      <c r="N3752">
        <v>49.283091290140597</v>
      </c>
      <c r="O3752">
        <v>48.453698778313203</v>
      </c>
      <c r="P3752">
        <v>-9.2469670487268202E-2</v>
      </c>
      <c r="Q3752">
        <v>5.3085108496391302E-2</v>
      </c>
      <c r="R3752">
        <v>0.99136837496239205</v>
      </c>
      <c r="S3752" t="s">
        <v>10398</v>
      </c>
      <c r="T3752" t="s">
        <v>13290</v>
      </c>
      <c r="U3752" t="s">
        <v>13290</v>
      </c>
      <c r="V3752" t="s">
        <v>13290</v>
      </c>
      <c r="W3752" t="s">
        <v>16997</v>
      </c>
      <c r="X3752">
        <v>33</v>
      </c>
      <c r="Y3752" t="s">
        <v>23500</v>
      </c>
      <c r="Z3752" t="s">
        <v>30082</v>
      </c>
      <c r="AA3752">
        <v>0.35170390203884488</v>
      </c>
      <c r="AB3752" t="str">
        <f>HYPERLINK("Melting_Curves/meltCurve_Q3SY69_ALDH1L2.pdf", "Melting_Curves/meltCurve_Q3SY69_ALDH1L2.pdf")</f>
        <v>Melting_Curves/meltCurve_Q3SY69_ALDH1L2.pdf</v>
      </c>
    </row>
    <row r="3753" spans="1:28" x14ac:dyDescent="0.25">
      <c r="A3753" t="s">
        <v>3757</v>
      </c>
      <c r="B3753">
        <v>0.99252571173614901</v>
      </c>
      <c r="C3753">
        <v>1.0585032975161</v>
      </c>
      <c r="D3753">
        <v>0.97296455979205199</v>
      </c>
      <c r="E3753">
        <v>1.08774952358314</v>
      </c>
      <c r="F3753">
        <v>0.813926508134178</v>
      </c>
      <c r="G3753">
        <v>0.45251469121284699</v>
      </c>
      <c r="H3753">
        <v>0.144413478941639</v>
      </c>
      <c r="I3753">
        <v>0.15606599221925499</v>
      </c>
      <c r="J3753">
        <v>0.17956654991837501</v>
      </c>
      <c r="K3753">
        <v>0.17085862797271201</v>
      </c>
      <c r="L3753">
        <v>1926.91876327763</v>
      </c>
      <c r="M3753">
        <v>34.679913146358899</v>
      </c>
      <c r="N3753">
        <v>56.158427445849497</v>
      </c>
      <c r="O3753">
        <v>55.379195596659102</v>
      </c>
      <c r="P3753">
        <v>-0.13247140568763399</v>
      </c>
      <c r="Q3753">
        <v>0.15384656267288099</v>
      </c>
      <c r="R3753">
        <v>0.98741035489575602</v>
      </c>
      <c r="S3753" t="s">
        <v>10399</v>
      </c>
      <c r="T3753" t="s">
        <v>13290</v>
      </c>
      <c r="U3753" t="s">
        <v>13290</v>
      </c>
      <c r="V3753" t="s">
        <v>13290</v>
      </c>
      <c r="W3753" t="s">
        <v>16998</v>
      </c>
      <c r="X3753">
        <v>22</v>
      </c>
      <c r="Y3753" t="s">
        <v>23501</v>
      </c>
      <c r="Z3753" t="s">
        <v>30083</v>
      </c>
      <c r="AA3753">
        <v>0.59707845974203311</v>
      </c>
      <c r="AB3753" t="str">
        <f>HYPERLINK("Melting_Curves/meltCurve_Q3YEC7_RABL6.pdf", "Melting_Curves/meltCurve_Q3YEC7_RABL6.pdf")</f>
        <v>Melting_Curves/meltCurve_Q3YEC7_RABL6.pdf</v>
      </c>
    </row>
    <row r="3754" spans="1:28" x14ac:dyDescent="0.25">
      <c r="A3754" t="s">
        <v>3758</v>
      </c>
      <c r="B3754">
        <v>0.99252571173614901</v>
      </c>
      <c r="C3754">
        <v>0.84202747416133195</v>
      </c>
      <c r="D3754">
        <v>0.79806949655070503</v>
      </c>
      <c r="E3754">
        <v>0.53024356371615899</v>
      </c>
      <c r="F3754">
        <v>0.46156679485082203</v>
      </c>
      <c r="G3754">
        <v>0.35413267468040099</v>
      </c>
      <c r="H3754">
        <v>0.25217290213197002</v>
      </c>
      <c r="I3754">
        <v>0.32046123581368802</v>
      </c>
      <c r="J3754">
        <v>0.46455183186203203</v>
      </c>
      <c r="K3754">
        <v>0.39726473209074598</v>
      </c>
      <c r="L3754">
        <v>832.92299831671596</v>
      </c>
      <c r="M3754">
        <v>17.628473458302899</v>
      </c>
      <c r="N3754">
        <v>50.750012713050097</v>
      </c>
      <c r="O3754">
        <v>46.653296974117197</v>
      </c>
      <c r="P3754">
        <v>-6.1233582568212798E-2</v>
      </c>
      <c r="Q3754">
        <v>0.35182234665482598</v>
      </c>
      <c r="R3754">
        <v>0.934708817639472</v>
      </c>
      <c r="S3754" t="s">
        <v>10400</v>
      </c>
      <c r="T3754" t="s">
        <v>13290</v>
      </c>
      <c r="U3754" t="s">
        <v>13290</v>
      </c>
      <c r="V3754" t="s">
        <v>13290</v>
      </c>
      <c r="W3754" t="s">
        <v>16999</v>
      </c>
      <c r="X3754">
        <v>1</v>
      </c>
      <c r="Y3754" t="s">
        <v>23502</v>
      </c>
      <c r="Z3754" t="s">
        <v>30084</v>
      </c>
      <c r="AA3754">
        <v>0.52080163843015082</v>
      </c>
      <c r="AB3754" t="str">
        <f>HYPERLINK("Melting_Curves/meltCurve_Q3ZAQ7_VMA21.pdf", "Melting_Curves/meltCurve_Q3ZAQ7_VMA21.pdf")</f>
        <v>Melting_Curves/meltCurve_Q3ZAQ7_VMA21.pdf</v>
      </c>
    </row>
    <row r="3755" spans="1:28" x14ac:dyDescent="0.25">
      <c r="A3755" t="s">
        <v>3759</v>
      </c>
      <c r="B3755">
        <v>0.99252571173614901</v>
      </c>
      <c r="C3755">
        <v>1.09255136513391</v>
      </c>
      <c r="D3755">
        <v>1.25530871169658</v>
      </c>
      <c r="E3755">
        <v>1.25634857989061</v>
      </c>
      <c r="F3755">
        <v>0.97122691191211596</v>
      </c>
      <c r="G3755">
        <v>0.70895555060844895</v>
      </c>
      <c r="H3755">
        <v>0.331993811239017</v>
      </c>
      <c r="I3755">
        <v>6.90538700121405E-2</v>
      </c>
      <c r="J3755">
        <v>5.8331600231481699E-2</v>
      </c>
      <c r="K3755">
        <v>5.47426363656816E-2</v>
      </c>
      <c r="L3755">
        <v>1747.8682832879799</v>
      </c>
      <c r="M3755">
        <v>29.7544363670069</v>
      </c>
      <c r="N3755">
        <v>58.877978638874701</v>
      </c>
      <c r="O3755">
        <v>58.479687598218803</v>
      </c>
      <c r="P3755">
        <v>-0.123010508874943</v>
      </c>
      <c r="Q3755">
        <v>3.2941806908430002E-2</v>
      </c>
      <c r="R3755">
        <v>0.93595333863100405</v>
      </c>
      <c r="S3755" t="s">
        <v>10401</v>
      </c>
      <c r="T3755" t="s">
        <v>13290</v>
      </c>
      <c r="U3755" t="s">
        <v>13290</v>
      </c>
      <c r="V3755" t="s">
        <v>13290</v>
      </c>
      <c r="W3755" t="s">
        <v>17000</v>
      </c>
      <c r="X3755">
        <v>13</v>
      </c>
      <c r="Y3755" t="s">
        <v>23503</v>
      </c>
      <c r="Z3755" t="s">
        <v>30085</v>
      </c>
      <c r="AA3755">
        <v>0.64346086454483975</v>
      </c>
      <c r="AB3755" t="str">
        <f>HYPERLINK("Melting_Curves/meltCurve_Q3ZCM7_TUBB8.pdf", "Melting_Curves/meltCurve_Q3ZCM7_TUBB8.pdf")</f>
        <v>Melting_Curves/meltCurve_Q3ZCM7_TUBB8.pdf</v>
      </c>
    </row>
    <row r="3756" spans="1:28" x14ac:dyDescent="0.25">
      <c r="A3756" t="s">
        <v>3760</v>
      </c>
      <c r="B3756">
        <v>0.99252571173614901</v>
      </c>
      <c r="C3756">
        <v>1.0652668582142599</v>
      </c>
      <c r="D3756">
        <v>0.84326455208408901</v>
      </c>
      <c r="E3756">
        <v>0.79164180525462002</v>
      </c>
      <c r="F3756">
        <v>0.73943101430684499</v>
      </c>
      <c r="G3756">
        <v>0.56982665687279699</v>
      </c>
      <c r="H3756">
        <v>0.43468624378159598</v>
      </c>
      <c r="I3756">
        <v>0.56735148665134605</v>
      </c>
      <c r="J3756">
        <v>0.719177864415117</v>
      </c>
      <c r="K3756">
        <v>0.64052082291474899</v>
      </c>
      <c r="L3756">
        <v>947.97041908688402</v>
      </c>
      <c r="M3756">
        <v>19.2494468720115</v>
      </c>
      <c r="O3756">
        <v>48.724360922248103</v>
      </c>
      <c r="P3756">
        <v>-4.0621818129897097E-2</v>
      </c>
      <c r="Q3756">
        <v>0.58872623364679799</v>
      </c>
      <c r="R3756">
        <v>0.80529106355848301</v>
      </c>
      <c r="S3756" t="s">
        <v>10402</v>
      </c>
      <c r="T3756" t="s">
        <v>13290</v>
      </c>
      <c r="U3756" t="s">
        <v>13290</v>
      </c>
      <c r="V3756" t="s">
        <v>13290</v>
      </c>
      <c r="W3756" t="s">
        <v>17001</v>
      </c>
      <c r="X3756">
        <v>1</v>
      </c>
      <c r="Y3756" t="s">
        <v>23504</v>
      </c>
      <c r="Z3756" t="s">
        <v>30086</v>
      </c>
      <c r="AA3756">
        <v>0.721696989583549</v>
      </c>
      <c r="AB3756" t="str">
        <f>HYPERLINK("Melting_Curves/meltCurve_Q3ZCQ3_FAM174B.pdf", "Melting_Curves/meltCurve_Q3ZCQ3_FAM174B.pdf")</f>
        <v>Melting_Curves/meltCurve_Q3ZCQ3_FAM174B.pdf</v>
      </c>
    </row>
    <row r="3757" spans="1:28" x14ac:dyDescent="0.25">
      <c r="A3757" t="s">
        <v>3761</v>
      </c>
      <c r="B3757">
        <v>0.99252571173614901</v>
      </c>
      <c r="C3757">
        <v>0.89817335483593097</v>
      </c>
      <c r="D3757">
        <v>0.82372340568019597</v>
      </c>
      <c r="E3757">
        <v>0.74899313608223295</v>
      </c>
      <c r="F3757">
        <v>0.42399674410536897</v>
      </c>
      <c r="G3757">
        <v>0.25492640374508702</v>
      </c>
      <c r="H3757">
        <v>0.23360063994024</v>
      </c>
      <c r="I3757">
        <v>0.23316562726492701</v>
      </c>
      <c r="J3757">
        <v>0.29490596528683999</v>
      </c>
      <c r="K3757">
        <v>0.22063032920259501</v>
      </c>
      <c r="L3757">
        <v>891.64103776364095</v>
      </c>
      <c r="M3757">
        <v>17.678047036249499</v>
      </c>
      <c r="N3757">
        <v>52.128422650787897</v>
      </c>
      <c r="O3757">
        <v>49.805625381749699</v>
      </c>
      <c r="P3757">
        <v>-6.9378443120017896E-2</v>
      </c>
      <c r="Q3757">
        <v>0.21818207093893599</v>
      </c>
      <c r="R3757">
        <v>0.97408270049192602</v>
      </c>
      <c r="S3757" t="s">
        <v>10403</v>
      </c>
      <c r="T3757" t="s">
        <v>13290</v>
      </c>
      <c r="U3757" t="s">
        <v>13290</v>
      </c>
      <c r="V3757" t="s">
        <v>13290</v>
      </c>
      <c r="W3757" t="s">
        <v>17002</v>
      </c>
      <c r="X3757">
        <v>14</v>
      </c>
      <c r="Y3757" t="s">
        <v>23505</v>
      </c>
      <c r="Z3757" t="s">
        <v>30087</v>
      </c>
      <c r="AA3757">
        <v>0.50390709845501258</v>
      </c>
      <c r="AB3757" t="str">
        <f>HYPERLINK("Melting_Curves/meltCurve_Q3ZCQ8_TIMM50.pdf", "Melting_Curves/meltCurve_Q3ZCQ8_TIMM50.pdf")</f>
        <v>Melting_Curves/meltCurve_Q3ZCQ8_TIMM50.pdf</v>
      </c>
    </row>
    <row r="3758" spans="1:28" x14ac:dyDescent="0.25">
      <c r="A3758" t="s">
        <v>3762</v>
      </c>
      <c r="B3758">
        <v>0.99252571173614901</v>
      </c>
      <c r="C3758">
        <v>1.08550851225122</v>
      </c>
      <c r="D3758">
        <v>0.924343812891808</v>
      </c>
      <c r="E3758">
        <v>0.78501063759831502</v>
      </c>
      <c r="F3758">
        <v>0.58587241568015402</v>
      </c>
      <c r="G3758">
        <v>0.26672052631115201</v>
      </c>
      <c r="H3758">
        <v>0.16541254880004699</v>
      </c>
      <c r="I3758">
        <v>0.13736823370255799</v>
      </c>
      <c r="J3758">
        <v>0.14179726484378899</v>
      </c>
      <c r="K3758">
        <v>0.129573341176695</v>
      </c>
      <c r="L3758">
        <v>1045.7346268721999</v>
      </c>
      <c r="M3758">
        <v>19.738524134563701</v>
      </c>
      <c r="N3758">
        <v>53.676696715808298</v>
      </c>
      <c r="O3758">
        <v>52.444577103495597</v>
      </c>
      <c r="P3758">
        <v>-8.3453891406244707E-2</v>
      </c>
      <c r="Q3758">
        <v>0.113093978207019</v>
      </c>
      <c r="R3758">
        <v>0.98954667534708496</v>
      </c>
      <c r="S3758" t="s">
        <v>10404</v>
      </c>
      <c r="T3758" t="s">
        <v>13290</v>
      </c>
      <c r="U3758" t="s">
        <v>13290</v>
      </c>
      <c r="V3758" t="s">
        <v>13290</v>
      </c>
      <c r="W3758" t="s">
        <v>17003</v>
      </c>
      <c r="X3758">
        <v>4</v>
      </c>
      <c r="Y3758" t="s">
        <v>23506</v>
      </c>
      <c r="Z3758" t="s">
        <v>30088</v>
      </c>
      <c r="AA3758">
        <v>0.50928701522805442</v>
      </c>
      <c r="AB3758" t="str">
        <f>HYPERLINK("Melting_Curves/meltCurve_Q3ZCW2_LGALSL.pdf", "Melting_Curves/meltCurve_Q3ZCW2_LGALSL.pdf")</f>
        <v>Melting_Curves/meltCurve_Q3ZCW2_LGALSL.pdf</v>
      </c>
    </row>
    <row r="3759" spans="1:28" x14ac:dyDescent="0.25">
      <c r="A3759" t="s">
        <v>3763</v>
      </c>
      <c r="B3759">
        <v>0.99252571173614901</v>
      </c>
      <c r="C3759">
        <v>1.07669107960085</v>
      </c>
      <c r="D3759">
        <v>1.01527604526805</v>
      </c>
      <c r="E3759">
        <v>0.94459966005630902</v>
      </c>
      <c r="F3759">
        <v>0.37436161886913999</v>
      </c>
      <c r="G3759">
        <v>0.17492206771539801</v>
      </c>
      <c r="H3759">
        <v>0.16425435535341501</v>
      </c>
      <c r="I3759">
        <v>0.13987551617274099</v>
      </c>
      <c r="J3759">
        <v>0.21889027255673199</v>
      </c>
      <c r="K3759">
        <v>0.15569698311522201</v>
      </c>
      <c r="L3759">
        <v>2771.3853113988098</v>
      </c>
      <c r="M3759">
        <v>53.210295561634197</v>
      </c>
      <c r="N3759">
        <v>52.489766925764499</v>
      </c>
      <c r="O3759">
        <v>52.010223569575601</v>
      </c>
      <c r="P3759">
        <v>-0.21260959451779399</v>
      </c>
      <c r="Q3759">
        <v>0.16874248295056099</v>
      </c>
      <c r="R3759">
        <v>0.99387701381542304</v>
      </c>
      <c r="S3759" t="s">
        <v>10405</v>
      </c>
      <c r="T3759" t="s">
        <v>13290</v>
      </c>
      <c r="U3759" t="s">
        <v>13290</v>
      </c>
      <c r="V3759" t="s">
        <v>13290</v>
      </c>
      <c r="W3759" t="s">
        <v>17004</v>
      </c>
      <c r="X3759">
        <v>4</v>
      </c>
      <c r="Y3759" t="s">
        <v>23507</v>
      </c>
      <c r="Z3759" t="s">
        <v>30089</v>
      </c>
      <c r="AA3759">
        <v>0.50524783767719217</v>
      </c>
      <c r="AB3759" t="str">
        <f>HYPERLINK("Melting_Curves/meltCurve_Q495W5_2_FUT11.pdf", "Melting_Curves/meltCurve_Q495W5_2_FUT11.pdf")</f>
        <v>Melting_Curves/meltCurve_Q495W5_2_FUT11.pdf</v>
      </c>
    </row>
    <row r="3760" spans="1:28" x14ac:dyDescent="0.25">
      <c r="A3760" t="s">
        <v>3764</v>
      </c>
      <c r="B3760">
        <v>0.99252571173614901</v>
      </c>
      <c r="C3760">
        <v>1.0420713967023201</v>
      </c>
      <c r="D3760">
        <v>0.99491866835046205</v>
      </c>
      <c r="E3760">
        <v>0.94521845709819596</v>
      </c>
      <c r="F3760">
        <v>0.86323159846417696</v>
      </c>
      <c r="G3760">
        <v>0.74730303301960099</v>
      </c>
      <c r="H3760">
        <v>0.56843937433049696</v>
      </c>
      <c r="I3760">
        <v>0.66284705133796495</v>
      </c>
      <c r="J3760">
        <v>0.62190352542650096</v>
      </c>
      <c r="K3760">
        <v>0.52609655370866504</v>
      </c>
      <c r="L3760">
        <v>1079.8365857327301</v>
      </c>
      <c r="M3760">
        <v>19.558495786825599</v>
      </c>
      <c r="O3760">
        <v>54.643152569649402</v>
      </c>
      <c r="P3760">
        <v>-3.8313213875385603E-2</v>
      </c>
      <c r="Q3760">
        <v>0.57185238175019804</v>
      </c>
      <c r="R3760">
        <v>0.95658563816196396</v>
      </c>
      <c r="S3760" t="s">
        <v>10406</v>
      </c>
      <c r="T3760" t="s">
        <v>13290</v>
      </c>
      <c r="U3760" t="s">
        <v>13290</v>
      </c>
      <c r="V3760" t="s">
        <v>13290</v>
      </c>
      <c r="W3760" t="s">
        <v>17005</v>
      </c>
      <c r="X3760">
        <v>2</v>
      </c>
      <c r="Y3760" t="s">
        <v>23508</v>
      </c>
      <c r="Z3760" t="s">
        <v>30090</v>
      </c>
      <c r="AA3760">
        <v>0.79478687693489858</v>
      </c>
      <c r="AB3760" t="str">
        <f>HYPERLINK("Melting_Curves/meltCurve_Q49AH0_2_CDNF.pdf", "Melting_Curves/meltCurve_Q49AH0_2_CDNF.pdf")</f>
        <v>Melting_Curves/meltCurve_Q49AH0_2_CDNF.pdf</v>
      </c>
    </row>
    <row r="3761" spans="1:28" x14ac:dyDescent="0.25">
      <c r="A3761" t="s">
        <v>3765</v>
      </c>
      <c r="B3761">
        <v>0.99252571173614901</v>
      </c>
      <c r="C3761">
        <v>1.0375690065027601</v>
      </c>
      <c r="D3761">
        <v>0.90037317691269703</v>
      </c>
      <c r="E3761">
        <v>0.71062346971308399</v>
      </c>
      <c r="F3761">
        <v>0.41498422455025002</v>
      </c>
      <c r="G3761">
        <v>0.25093807184443401</v>
      </c>
      <c r="H3761">
        <v>0.13429804521435901</v>
      </c>
      <c r="I3761">
        <v>9.9134271908342494E-2</v>
      </c>
      <c r="J3761">
        <v>9.2459171105111607E-2</v>
      </c>
      <c r="K3761">
        <v>8.9200958802733599E-2</v>
      </c>
      <c r="L3761">
        <v>945.51947730236998</v>
      </c>
      <c r="M3761">
        <v>18.2824720368878</v>
      </c>
      <c r="N3761">
        <v>52.218131896662499</v>
      </c>
      <c r="O3761">
        <v>51.110426299389097</v>
      </c>
      <c r="P3761">
        <v>-8.2238249033953395E-2</v>
      </c>
      <c r="Q3761">
        <v>8.0422618393138898E-2</v>
      </c>
      <c r="R3761">
        <v>0.99703222454825002</v>
      </c>
      <c r="S3761" t="s">
        <v>10407</v>
      </c>
      <c r="T3761" t="s">
        <v>13290</v>
      </c>
      <c r="U3761" t="s">
        <v>13290</v>
      </c>
      <c r="V3761" t="s">
        <v>13290</v>
      </c>
      <c r="W3761" t="s">
        <v>17006</v>
      </c>
      <c r="X3761">
        <v>9</v>
      </c>
      <c r="Y3761" t="s">
        <v>23509</v>
      </c>
      <c r="Z3761" t="s">
        <v>30091</v>
      </c>
      <c r="AA3761">
        <v>0.45453661435154818</v>
      </c>
      <c r="AB3761" t="str">
        <f>HYPERLINK("Melting_Curves/meltCurve_Q49AR2_C5orf22.pdf", "Melting_Curves/meltCurve_Q49AR2_C5orf22.pdf")</f>
        <v>Melting_Curves/meltCurve_Q49AR2_C5orf22.pdf</v>
      </c>
    </row>
    <row r="3762" spans="1:28" x14ac:dyDescent="0.25">
      <c r="A3762" t="s">
        <v>3766</v>
      </c>
      <c r="B3762">
        <v>0.99252571173614901</v>
      </c>
      <c r="C3762">
        <v>1.06549231528941</v>
      </c>
      <c r="D3762">
        <v>0.95321879092252604</v>
      </c>
      <c r="E3762">
        <v>0.784365430023238</v>
      </c>
      <c r="F3762">
        <v>0.70944916590407503</v>
      </c>
      <c r="G3762">
        <v>0.62425965992701504</v>
      </c>
      <c r="H3762">
        <v>0.63029960678561503</v>
      </c>
      <c r="I3762">
        <v>0.87590343346188404</v>
      </c>
      <c r="J3762">
        <v>1.3267838639582401</v>
      </c>
      <c r="K3762">
        <v>1.4399597382809599</v>
      </c>
      <c r="L3762">
        <v>15000</v>
      </c>
      <c r="M3762">
        <v>224.60654977284401</v>
      </c>
      <c r="O3762">
        <v>66.778177849764703</v>
      </c>
      <c r="P3762">
        <v>0.36997764762524499</v>
      </c>
      <c r="Q3762">
        <v>1.4399947270929501</v>
      </c>
      <c r="R3762">
        <v>0.38056046737875798</v>
      </c>
      <c r="S3762" t="s">
        <v>10408</v>
      </c>
      <c r="T3762" t="s">
        <v>13290</v>
      </c>
      <c r="U3762" t="s">
        <v>13290</v>
      </c>
      <c r="V3762" t="s">
        <v>13290</v>
      </c>
      <c r="W3762" t="s">
        <v>17007</v>
      </c>
      <c r="X3762">
        <v>9</v>
      </c>
      <c r="Y3762" t="s">
        <v>23510</v>
      </c>
      <c r="Z3762" t="s">
        <v>30092</v>
      </c>
      <c r="AA3762">
        <v>1.0471117871415569</v>
      </c>
      <c r="AB3762" t="str">
        <f>HYPERLINK("Melting_Curves/meltCurve_Q49B96_COX19.pdf", "Melting_Curves/meltCurve_Q49B96_COX19.pdf")</f>
        <v>Melting_Curves/meltCurve_Q49B96_COX19.pdf</v>
      </c>
    </row>
    <row r="3763" spans="1:28" x14ac:dyDescent="0.25">
      <c r="A3763" t="s">
        <v>3767</v>
      </c>
      <c r="B3763">
        <v>0.99252571173614901</v>
      </c>
      <c r="C3763">
        <v>0.92831007019068101</v>
      </c>
      <c r="D3763">
        <v>0.97224175543242297</v>
      </c>
      <c r="E3763">
        <v>0.83406061273285903</v>
      </c>
      <c r="F3763">
        <v>0.51754314449196304</v>
      </c>
      <c r="G3763">
        <v>0.25061649376543599</v>
      </c>
      <c r="H3763">
        <v>0.115337428792352</v>
      </c>
      <c r="I3763">
        <v>8.3824163444851496E-2</v>
      </c>
      <c r="J3763">
        <v>8.1507987090500694E-2</v>
      </c>
      <c r="K3763">
        <v>9.4241631740867901E-2</v>
      </c>
      <c r="L3763">
        <v>1164.2549795631601</v>
      </c>
      <c r="M3763">
        <v>21.966299794506899</v>
      </c>
      <c r="N3763">
        <v>53.386101078579898</v>
      </c>
      <c r="O3763">
        <v>52.568469562072998</v>
      </c>
      <c r="P3763">
        <v>-9.6829282843460596E-2</v>
      </c>
      <c r="Q3763">
        <v>7.3116019558951403E-2</v>
      </c>
      <c r="R3763">
        <v>0.99664032959373305</v>
      </c>
      <c r="S3763" t="s">
        <v>10409</v>
      </c>
      <c r="T3763" t="s">
        <v>13290</v>
      </c>
      <c r="U3763" t="s">
        <v>13290</v>
      </c>
      <c r="V3763" t="s">
        <v>13290</v>
      </c>
      <c r="W3763" t="s">
        <v>17008</v>
      </c>
      <c r="X3763">
        <v>6</v>
      </c>
      <c r="Y3763" t="s">
        <v>23511</v>
      </c>
      <c r="Z3763" t="s">
        <v>30093</v>
      </c>
      <c r="AA3763">
        <v>0.4856439304481372</v>
      </c>
      <c r="AB3763" t="str">
        <f>HYPERLINK("Melting_Curves/meltCurve_Q4G0F5_VPS26B.pdf", "Melting_Curves/meltCurve_Q4G0F5_VPS26B.pdf")</f>
        <v>Melting_Curves/meltCurve_Q4G0F5_VPS26B.pdf</v>
      </c>
    </row>
    <row r="3764" spans="1:28" x14ac:dyDescent="0.25">
      <c r="A3764" t="s">
        <v>3768</v>
      </c>
      <c r="B3764">
        <v>0.99252571173614901</v>
      </c>
      <c r="C3764">
        <v>0.90687150179840104</v>
      </c>
      <c r="D3764">
        <v>0.75725978763984803</v>
      </c>
      <c r="E3764">
        <v>0.71962781126767605</v>
      </c>
      <c r="F3764">
        <v>0.66168805111461704</v>
      </c>
      <c r="G3764">
        <v>0.49951074429424802</v>
      </c>
      <c r="H3764">
        <v>0.42625049332478598</v>
      </c>
      <c r="I3764">
        <v>0.52984842634049301</v>
      </c>
      <c r="J3764">
        <v>0.85141362894683803</v>
      </c>
      <c r="K3764">
        <v>0.73328774207493197</v>
      </c>
      <c r="L3764">
        <v>957.222675487694</v>
      </c>
      <c r="M3764">
        <v>21.147604572270801</v>
      </c>
      <c r="O3764">
        <v>44.864971018463102</v>
      </c>
      <c r="P3764">
        <v>-4.49641900804304E-2</v>
      </c>
      <c r="Q3764">
        <v>0.61844106755912198</v>
      </c>
      <c r="R3764">
        <v>0.56138365901638199</v>
      </c>
      <c r="S3764" t="s">
        <v>10410</v>
      </c>
      <c r="T3764" t="s">
        <v>13290</v>
      </c>
      <c r="U3764" t="s">
        <v>13290</v>
      </c>
      <c r="V3764" t="s">
        <v>13290</v>
      </c>
      <c r="W3764" t="s">
        <v>17009</v>
      </c>
      <c r="X3764">
        <v>4</v>
      </c>
      <c r="Y3764" t="s">
        <v>23512</v>
      </c>
      <c r="Z3764" t="s">
        <v>30094</v>
      </c>
      <c r="AA3764">
        <v>0.69090213736734474</v>
      </c>
      <c r="AB3764" t="str">
        <f>HYPERLINK("Melting_Curves/meltCurve_Q4G0I0_CCSMST1.pdf", "Melting_Curves/meltCurve_Q4G0I0_CCSMST1.pdf")</f>
        <v>Melting_Curves/meltCurve_Q4G0I0_CCSMST1.pdf</v>
      </c>
    </row>
    <row r="3765" spans="1:28" x14ac:dyDescent="0.25">
      <c r="A3765" t="s">
        <v>3769</v>
      </c>
      <c r="B3765">
        <v>0.99252571173614901</v>
      </c>
      <c r="C3765">
        <v>0.85750919317346097</v>
      </c>
      <c r="D3765">
        <v>0.851540831475603</v>
      </c>
      <c r="E3765">
        <v>0.42385055030878399</v>
      </c>
      <c r="F3765">
        <v>0.256104428095626</v>
      </c>
      <c r="G3765">
        <v>0.19053094457824901</v>
      </c>
      <c r="H3765">
        <v>0.14094906117334899</v>
      </c>
      <c r="I3765">
        <v>0.19131097816122999</v>
      </c>
      <c r="J3765">
        <v>0.17840092785497799</v>
      </c>
      <c r="K3765">
        <v>0.128572976148456</v>
      </c>
      <c r="L3765">
        <v>1102.64518890051</v>
      </c>
      <c r="M3765">
        <v>22.846127172511999</v>
      </c>
      <c r="N3765">
        <v>49.077313109297798</v>
      </c>
      <c r="O3765">
        <v>47.898766178218899</v>
      </c>
      <c r="P3765">
        <v>-0.100451765159043</v>
      </c>
      <c r="Q3765">
        <v>0.157594980272141</v>
      </c>
      <c r="R3765">
        <v>0.98442832342393005</v>
      </c>
      <c r="S3765" t="s">
        <v>10411</v>
      </c>
      <c r="T3765" t="s">
        <v>13290</v>
      </c>
      <c r="U3765" t="s">
        <v>13290</v>
      </c>
      <c r="V3765" t="s">
        <v>13290</v>
      </c>
      <c r="W3765" t="s">
        <v>17010</v>
      </c>
      <c r="X3765">
        <v>8</v>
      </c>
      <c r="Y3765" t="s">
        <v>23513</v>
      </c>
      <c r="Z3765" t="s">
        <v>30095</v>
      </c>
      <c r="AA3765">
        <v>0.39865062858145173</v>
      </c>
      <c r="AB3765" t="str">
        <f>HYPERLINK("Melting_Curves/meltCurve_Q4G0J3_LARP7.pdf", "Melting_Curves/meltCurve_Q4G0J3_LARP7.pdf")</f>
        <v>Melting_Curves/meltCurve_Q4G0J3_LARP7.pdf</v>
      </c>
    </row>
    <row r="3766" spans="1:28" x14ac:dyDescent="0.25">
      <c r="A3766" t="s">
        <v>3770</v>
      </c>
      <c r="B3766">
        <v>0.99252571173614901</v>
      </c>
      <c r="C3766">
        <v>1.0099051145112401</v>
      </c>
      <c r="D3766">
        <v>0.979512314686529</v>
      </c>
      <c r="E3766">
        <v>0.87639679651625502</v>
      </c>
      <c r="F3766">
        <v>0.81254256593062102</v>
      </c>
      <c r="G3766">
        <v>0.56583986251528695</v>
      </c>
      <c r="H3766">
        <v>0.119199573918446</v>
      </c>
      <c r="I3766">
        <v>8.9832414051280202E-2</v>
      </c>
      <c r="J3766">
        <v>8.2025190655308E-2</v>
      </c>
      <c r="K3766">
        <v>7.5646623542415997E-2</v>
      </c>
      <c r="L3766">
        <v>1353.81576357527</v>
      </c>
      <c r="M3766">
        <v>23.906389858631702</v>
      </c>
      <c r="N3766">
        <v>56.827247328882002</v>
      </c>
      <c r="O3766">
        <v>56.2380834291179</v>
      </c>
      <c r="P3766">
        <v>-0.10204085452004</v>
      </c>
      <c r="Q3766">
        <v>3.9839972776211298E-2</v>
      </c>
      <c r="R3766">
        <v>0.98740209145348301</v>
      </c>
      <c r="S3766" t="s">
        <v>10412</v>
      </c>
      <c r="T3766" t="s">
        <v>13290</v>
      </c>
      <c r="U3766" t="s">
        <v>13290</v>
      </c>
      <c r="V3766" t="s">
        <v>13290</v>
      </c>
      <c r="W3766" t="s">
        <v>17011</v>
      </c>
      <c r="X3766">
        <v>25</v>
      </c>
      <c r="Y3766" t="s">
        <v>23514</v>
      </c>
      <c r="Z3766" t="s">
        <v>30096</v>
      </c>
      <c r="AA3766">
        <v>0.58143981480717666</v>
      </c>
      <c r="AB3766" t="str">
        <f>HYPERLINK("Melting_Curves/meltCurve_Q4G0N4_NADKD1.pdf", "Melting_Curves/meltCurve_Q4G0N4_NADKD1.pdf")</f>
        <v>Melting_Curves/meltCurve_Q4G0N4_NADKD1.pdf</v>
      </c>
    </row>
    <row r="3767" spans="1:28" x14ac:dyDescent="0.25">
      <c r="A3767" t="s">
        <v>3771</v>
      </c>
      <c r="B3767">
        <v>0.99252571173614901</v>
      </c>
      <c r="C3767">
        <v>1.0441299090167899</v>
      </c>
      <c r="D3767">
        <v>1.0088616931451899</v>
      </c>
      <c r="E3767">
        <v>1.0097126369565399</v>
      </c>
      <c r="F3767">
        <v>0.98607589009448005</v>
      </c>
      <c r="G3767">
        <v>0.82070463905143898</v>
      </c>
      <c r="H3767">
        <v>0.81360666003871496</v>
      </c>
      <c r="I3767">
        <v>1.13827654323071</v>
      </c>
      <c r="J3767">
        <v>0.52358667367808898</v>
      </c>
      <c r="K3767">
        <v>0.37711858288919398</v>
      </c>
      <c r="L3767">
        <v>15000</v>
      </c>
      <c r="M3767">
        <v>224.72565873132399</v>
      </c>
      <c r="N3767">
        <v>67.167391000623098</v>
      </c>
      <c r="O3767">
        <v>66.742762003529194</v>
      </c>
      <c r="P3767">
        <v>-0.52435661067504102</v>
      </c>
      <c r="Q3767">
        <v>0.37707139020098002</v>
      </c>
      <c r="R3767">
        <v>0.83573677930849799</v>
      </c>
      <c r="S3767" t="s">
        <v>10413</v>
      </c>
      <c r="T3767" t="s">
        <v>13290</v>
      </c>
      <c r="U3767" t="s">
        <v>13290</v>
      </c>
      <c r="V3767" t="s">
        <v>13290</v>
      </c>
      <c r="W3767" t="s">
        <v>17012</v>
      </c>
      <c r="X3767">
        <v>1</v>
      </c>
      <c r="Y3767" t="s">
        <v>23515</v>
      </c>
      <c r="Z3767" t="s">
        <v>30097</v>
      </c>
      <c r="AA3767">
        <v>0.93256573486726024</v>
      </c>
      <c r="AB3767" t="str">
        <f>HYPERLINK("Melting_Curves/meltCurve_Q4G0X9_3_CCDC40.pdf", "Melting_Curves/meltCurve_Q4G0X9_3_CCDC40.pdf")</f>
        <v>Melting_Curves/meltCurve_Q4G0X9_3_CCDC40.pdf</v>
      </c>
    </row>
    <row r="3768" spans="1:28" x14ac:dyDescent="0.25">
      <c r="A3768" t="s">
        <v>3772</v>
      </c>
      <c r="B3768">
        <v>0.99252571173614901</v>
      </c>
      <c r="C3768">
        <v>1.0266834775290401</v>
      </c>
      <c r="D3768">
        <v>0.984054443888154</v>
      </c>
      <c r="E3768">
        <v>0.98670273895495098</v>
      </c>
      <c r="F3768">
        <v>0.44475120323548301</v>
      </c>
      <c r="G3768">
        <v>0.171678174588593</v>
      </c>
      <c r="H3768">
        <v>0.112588979919701</v>
      </c>
      <c r="I3768">
        <v>0.12351483551393699</v>
      </c>
      <c r="J3768">
        <v>0.17681474988021501</v>
      </c>
      <c r="K3768">
        <v>0.12677171047744201</v>
      </c>
      <c r="L3768">
        <v>3087.5163330564301</v>
      </c>
      <c r="M3768">
        <v>58.623585071334098</v>
      </c>
      <c r="N3768">
        <v>52.962421256131101</v>
      </c>
      <c r="O3768">
        <v>52.605603125019897</v>
      </c>
      <c r="P3768">
        <v>-0.239725110086323</v>
      </c>
      <c r="Q3768">
        <v>0.13953531881613099</v>
      </c>
      <c r="R3768">
        <v>0.99751344554247401</v>
      </c>
      <c r="S3768" t="s">
        <v>10414</v>
      </c>
      <c r="T3768" t="s">
        <v>13290</v>
      </c>
      <c r="U3768" t="s">
        <v>13290</v>
      </c>
      <c r="V3768" t="s">
        <v>13290</v>
      </c>
      <c r="W3768" t="s">
        <v>17013</v>
      </c>
      <c r="X3768">
        <v>2</v>
      </c>
      <c r="Y3768" t="s">
        <v>23516</v>
      </c>
      <c r="Z3768" t="s">
        <v>30098</v>
      </c>
      <c r="AA3768">
        <v>0.50429819861681258</v>
      </c>
      <c r="AB3768" t="str">
        <f>HYPERLINK("Melting_Curves/meltCurve_Q4G148_2_GXYLT1.pdf", "Melting_Curves/meltCurve_Q4G148_2_GXYLT1.pdf")</f>
        <v>Melting_Curves/meltCurve_Q4G148_2_GXYLT1.pdf</v>
      </c>
    </row>
    <row r="3769" spans="1:28" x14ac:dyDescent="0.25">
      <c r="A3769" t="s">
        <v>3773</v>
      </c>
      <c r="B3769">
        <v>0.99252571173614901</v>
      </c>
      <c r="C3769">
        <v>1.03491441221759</v>
      </c>
      <c r="D3769">
        <v>0.84862285879363997</v>
      </c>
      <c r="E3769">
        <v>0.60233328319059098</v>
      </c>
      <c r="F3769">
        <v>0.16575946889528001</v>
      </c>
      <c r="G3769">
        <v>0.100468319377403</v>
      </c>
      <c r="H3769">
        <v>7.3663336325867398E-2</v>
      </c>
      <c r="I3769">
        <v>7.8682221863402305E-2</v>
      </c>
      <c r="J3769">
        <v>8.6351898888438999E-2</v>
      </c>
      <c r="K3769">
        <v>7.4586240870055304E-2</v>
      </c>
      <c r="L3769">
        <v>1372.89636157891</v>
      </c>
      <c r="M3769">
        <v>27.565598804430302</v>
      </c>
      <c r="N3769">
        <v>50.080897255039503</v>
      </c>
      <c r="O3769">
        <v>49.544812787906899</v>
      </c>
      <c r="P3769">
        <v>-0.12928713502425199</v>
      </c>
      <c r="Q3769">
        <v>7.0515863606242804E-2</v>
      </c>
      <c r="R3769">
        <v>0.993551470942175</v>
      </c>
      <c r="S3769" t="s">
        <v>10415</v>
      </c>
      <c r="T3769" t="s">
        <v>13290</v>
      </c>
      <c r="U3769" t="s">
        <v>13290</v>
      </c>
      <c r="V3769" t="s">
        <v>13290</v>
      </c>
      <c r="W3769" t="s">
        <v>17014</v>
      </c>
      <c r="X3769">
        <v>15</v>
      </c>
      <c r="Y3769" t="s">
        <v>23517</v>
      </c>
      <c r="Z3769" t="s">
        <v>30099</v>
      </c>
      <c r="AA3769">
        <v>0.38109683545932821</v>
      </c>
      <c r="AB3769" t="str">
        <f>HYPERLINK("Melting_Curves/meltCurve_Q4G176_ACSF3.pdf", "Melting_Curves/meltCurve_Q4G176_ACSF3.pdf")</f>
        <v>Melting_Curves/meltCurve_Q4G176_ACSF3.pdf</v>
      </c>
    </row>
    <row r="3770" spans="1:28" x14ac:dyDescent="0.25">
      <c r="A3770" t="s">
        <v>3774</v>
      </c>
      <c r="B3770">
        <v>0.99252571173614901</v>
      </c>
      <c r="C3770">
        <v>0.96855575598920496</v>
      </c>
      <c r="D3770">
        <v>0.83938820023168503</v>
      </c>
      <c r="E3770">
        <v>0.63901129654395505</v>
      </c>
      <c r="F3770">
        <v>0.47847323607744202</v>
      </c>
      <c r="G3770">
        <v>0.184137416422466</v>
      </c>
      <c r="H3770">
        <v>0.10667983893373099</v>
      </c>
      <c r="I3770">
        <v>0.10519146492042999</v>
      </c>
      <c r="J3770">
        <v>0.124269347673715</v>
      </c>
      <c r="K3770">
        <v>0.12404678735452999</v>
      </c>
      <c r="L3770">
        <v>812.08407649814501</v>
      </c>
      <c r="M3770">
        <v>15.863661949827801</v>
      </c>
      <c r="N3770">
        <v>51.752045232124203</v>
      </c>
      <c r="O3770">
        <v>50.3987087129047</v>
      </c>
      <c r="P3770">
        <v>-7.2484769684828795E-2</v>
      </c>
      <c r="Q3770">
        <v>7.8940933245173803E-2</v>
      </c>
      <c r="R3770">
        <v>0.98986310510651199</v>
      </c>
      <c r="S3770" t="s">
        <v>10416</v>
      </c>
      <c r="T3770" t="s">
        <v>13290</v>
      </c>
      <c r="U3770" t="s">
        <v>13290</v>
      </c>
      <c r="V3770" t="s">
        <v>13290</v>
      </c>
      <c r="W3770" t="s">
        <v>17015</v>
      </c>
      <c r="X3770">
        <v>21</v>
      </c>
      <c r="Y3770" t="s">
        <v>23518</v>
      </c>
      <c r="Z3770" t="s">
        <v>30100</v>
      </c>
      <c r="AA3770">
        <v>0.44181997655793892</v>
      </c>
      <c r="AB3770" t="str">
        <f>HYPERLINK("Melting_Curves/meltCurve_Q4J6C6_4_PREPL.pdf", "Melting_Curves/meltCurve_Q4J6C6_4_PREPL.pdf")</f>
        <v>Melting_Curves/meltCurve_Q4J6C6_4_PREPL.pdf</v>
      </c>
    </row>
    <row r="3771" spans="1:28" x14ac:dyDescent="0.25">
      <c r="A3771" t="s">
        <v>3775</v>
      </c>
      <c r="B3771">
        <v>0.99252571173614901</v>
      </c>
      <c r="C3771">
        <v>1.13301815758747</v>
      </c>
      <c r="D3771">
        <v>0.77695881488295604</v>
      </c>
      <c r="E3771">
        <v>0.82256796848334401</v>
      </c>
      <c r="F3771">
        <v>0.34006862631894802</v>
      </c>
      <c r="G3771">
        <v>0.19678343816640601</v>
      </c>
      <c r="H3771">
        <v>0.147669798278249</v>
      </c>
      <c r="I3771">
        <v>0.172693484292576</v>
      </c>
      <c r="J3771">
        <v>0.24268475470873499</v>
      </c>
      <c r="K3771">
        <v>0.235759448161384</v>
      </c>
      <c r="L3771">
        <v>1678.84565656939</v>
      </c>
      <c r="M3771">
        <v>32.885677069885602</v>
      </c>
      <c r="N3771">
        <v>51.808857736529198</v>
      </c>
      <c r="O3771">
        <v>50.863303549969601</v>
      </c>
      <c r="P3771">
        <v>-0.13077516322854599</v>
      </c>
      <c r="Q3771">
        <v>0.190939365735974</v>
      </c>
      <c r="R3771">
        <v>0.94713403612882796</v>
      </c>
      <c r="S3771" t="s">
        <v>10417</v>
      </c>
      <c r="T3771" t="s">
        <v>13290</v>
      </c>
      <c r="U3771" t="s">
        <v>13290</v>
      </c>
      <c r="V3771" t="s">
        <v>13290</v>
      </c>
      <c r="W3771" t="s">
        <v>17016</v>
      </c>
      <c r="X3771">
        <v>8</v>
      </c>
      <c r="Y3771" t="s">
        <v>17016</v>
      </c>
      <c r="Z3771" t="s">
        <v>30101</v>
      </c>
      <c r="AA3771">
        <v>0.49320387756234269</v>
      </c>
      <c r="AB3771" t="str">
        <f>HYPERLINK("Melting_Curves/meltCurve_Q4JM47_AGR2.pdf", "Melting_Curves/meltCurve_Q4JM47_AGR2.pdf")</f>
        <v>Melting_Curves/meltCurve_Q4JM47_AGR2.pdf</v>
      </c>
    </row>
    <row r="3772" spans="1:28" x14ac:dyDescent="0.25">
      <c r="A3772" t="s">
        <v>3776</v>
      </c>
      <c r="B3772">
        <v>0.99252571173614901</v>
      </c>
      <c r="C3772">
        <v>1.0439407540802801</v>
      </c>
      <c r="D3772">
        <v>0.870826857061056</v>
      </c>
      <c r="E3772">
        <v>0.76941397261561595</v>
      </c>
      <c r="F3772">
        <v>0.32796180263918401</v>
      </c>
      <c r="G3772">
        <v>0.18501686848649901</v>
      </c>
      <c r="H3772">
        <v>0.14858346690900601</v>
      </c>
      <c r="I3772">
        <v>0.14864797484550499</v>
      </c>
      <c r="J3772">
        <v>0.15330384518599399</v>
      </c>
      <c r="K3772">
        <v>0.15182324957165</v>
      </c>
      <c r="L3772">
        <v>1445.1648945944801</v>
      </c>
      <c r="M3772">
        <v>28.334346130776101</v>
      </c>
      <c r="N3772">
        <v>51.624921698975598</v>
      </c>
      <c r="O3772">
        <v>50.751969114488702</v>
      </c>
      <c r="P3772">
        <v>-0.119419673392577</v>
      </c>
      <c r="Q3772">
        <v>0.14439757450917901</v>
      </c>
      <c r="R3772">
        <v>0.99085307179659798</v>
      </c>
      <c r="S3772" t="s">
        <v>10418</v>
      </c>
      <c r="T3772" t="s">
        <v>13290</v>
      </c>
      <c r="U3772" t="s">
        <v>13290</v>
      </c>
      <c r="V3772" t="s">
        <v>13290</v>
      </c>
      <c r="W3772" t="s">
        <v>17017</v>
      </c>
      <c r="X3772">
        <v>14</v>
      </c>
      <c r="Y3772" t="s">
        <v>23519</v>
      </c>
      <c r="Z3772" t="s">
        <v>30102</v>
      </c>
      <c r="AA3772">
        <v>0.46426318810911599</v>
      </c>
      <c r="AB3772" t="str">
        <f>HYPERLINK("Melting_Curves/meltCurve_Q4KMP7_TBC1D10B.pdf", "Melting_Curves/meltCurve_Q4KMP7_TBC1D10B.pdf")</f>
        <v>Melting_Curves/meltCurve_Q4KMP7_TBC1D10B.pdf</v>
      </c>
    </row>
    <row r="3773" spans="1:28" x14ac:dyDescent="0.25">
      <c r="A3773" t="s">
        <v>3777</v>
      </c>
      <c r="B3773">
        <v>0.99252571173614901</v>
      </c>
      <c r="C3773">
        <v>0.89244480911998603</v>
      </c>
      <c r="D3773">
        <v>0.91257510029223499</v>
      </c>
      <c r="E3773">
        <v>0.84539927162717399</v>
      </c>
      <c r="F3773">
        <v>0.52138415891764001</v>
      </c>
      <c r="G3773">
        <v>0.29470644617529301</v>
      </c>
      <c r="H3773">
        <v>0.24557592930908601</v>
      </c>
      <c r="I3773">
        <v>0.20692224957258501</v>
      </c>
      <c r="J3773">
        <v>0.26438014321264303</v>
      </c>
      <c r="K3773">
        <v>0.32935977025361202</v>
      </c>
      <c r="L3773">
        <v>1378.10508361539</v>
      </c>
      <c r="M3773">
        <v>26.5516074293988</v>
      </c>
      <c r="N3773">
        <v>53.313100466942799</v>
      </c>
      <c r="O3773">
        <v>51.611152679244697</v>
      </c>
      <c r="P3773">
        <v>-9.6167215166896303E-2</v>
      </c>
      <c r="Q3773">
        <v>0.252286586479196</v>
      </c>
      <c r="R3773">
        <v>0.973342575206807</v>
      </c>
      <c r="S3773" t="s">
        <v>10419</v>
      </c>
      <c r="T3773" t="s">
        <v>13290</v>
      </c>
      <c r="U3773" t="s">
        <v>13290</v>
      </c>
      <c r="V3773" t="s">
        <v>13290</v>
      </c>
      <c r="W3773" t="s">
        <v>17018</v>
      </c>
      <c r="X3773">
        <v>3</v>
      </c>
      <c r="Y3773" t="s">
        <v>23520</v>
      </c>
      <c r="Z3773" t="s">
        <v>30103</v>
      </c>
      <c r="AA3773">
        <v>0.55501872515792738</v>
      </c>
      <c r="AB3773" t="str">
        <f>HYPERLINK("Melting_Curves/meltCurve_Q4KMQ2_3_ANO6.pdf", "Melting_Curves/meltCurve_Q4KMQ2_3_ANO6.pdf")</f>
        <v>Melting_Curves/meltCurve_Q4KMQ2_3_ANO6.pdf</v>
      </c>
    </row>
    <row r="3774" spans="1:28" x14ac:dyDescent="0.25">
      <c r="A3774" t="s">
        <v>3778</v>
      </c>
      <c r="B3774">
        <v>0.99252571173614901</v>
      </c>
      <c r="C3774">
        <v>0.92610897729949004</v>
      </c>
      <c r="D3774">
        <v>0.95952283173352904</v>
      </c>
      <c r="E3774">
        <v>0.79576875907951705</v>
      </c>
      <c r="F3774">
        <v>0.39912077364065102</v>
      </c>
      <c r="G3774">
        <v>0.12915895954138501</v>
      </c>
      <c r="H3774">
        <v>9.5753227481248204E-2</v>
      </c>
      <c r="I3774">
        <v>9.3752660285110506E-2</v>
      </c>
      <c r="J3774">
        <v>0.125185801036796</v>
      </c>
      <c r="K3774">
        <v>9.9992889479972799E-2</v>
      </c>
      <c r="L3774">
        <v>1476.80823727029</v>
      </c>
      <c r="M3774">
        <v>28.518946264978499</v>
      </c>
      <c r="N3774">
        <v>52.164160293071298</v>
      </c>
      <c r="O3774">
        <v>51.530806229275903</v>
      </c>
      <c r="P3774">
        <v>-0.125359176301824</v>
      </c>
      <c r="Q3774">
        <v>9.3962665116861493E-2</v>
      </c>
      <c r="R3774">
        <v>0.99474541275279404</v>
      </c>
      <c r="S3774" t="s">
        <v>10420</v>
      </c>
      <c r="T3774" t="s">
        <v>13290</v>
      </c>
      <c r="U3774" t="s">
        <v>13290</v>
      </c>
      <c r="V3774" t="s">
        <v>13290</v>
      </c>
      <c r="W3774" t="s">
        <v>17019</v>
      </c>
      <c r="X3774">
        <v>2</v>
      </c>
      <c r="Y3774" t="s">
        <v>23521</v>
      </c>
      <c r="Z3774" t="s">
        <v>30104</v>
      </c>
      <c r="AA3774">
        <v>0.45621451265444901</v>
      </c>
      <c r="AB3774" t="str">
        <f>HYPERLINK("Melting_Curves/meltCurve_Q4KWH8_3_PLCH1.pdf", "Melting_Curves/meltCurve_Q4KWH8_3_PLCH1.pdf")</f>
        <v>Melting_Curves/meltCurve_Q4KWH8_3_PLCH1.pdf</v>
      </c>
    </row>
    <row r="3775" spans="1:28" x14ac:dyDescent="0.25">
      <c r="A3775" t="s">
        <v>3779</v>
      </c>
      <c r="B3775">
        <v>0.99252571173614901</v>
      </c>
      <c r="C3775">
        <v>1.0895687685645099</v>
      </c>
      <c r="D3775">
        <v>0.98932499569476495</v>
      </c>
      <c r="E3775">
        <v>0.80834175292967902</v>
      </c>
      <c r="F3775">
        <v>0.44192326907200202</v>
      </c>
      <c r="G3775">
        <v>0.192199588666048</v>
      </c>
      <c r="H3775">
        <v>0.11674620246822399</v>
      </c>
      <c r="I3775">
        <v>0.144231356375288</v>
      </c>
      <c r="J3775">
        <v>0.21277999376603901</v>
      </c>
      <c r="K3775">
        <v>0.152263133140114</v>
      </c>
      <c r="L3775">
        <v>1543.7567263107201</v>
      </c>
      <c r="M3775">
        <v>29.771398335465101</v>
      </c>
      <c r="N3775">
        <v>52.488407521053901</v>
      </c>
      <c r="O3775">
        <v>51.6214169500605</v>
      </c>
      <c r="P3775">
        <v>-0.122386337955685</v>
      </c>
      <c r="Q3775">
        <v>0.15117003575180199</v>
      </c>
      <c r="R3775">
        <v>0.98983113048507598</v>
      </c>
      <c r="S3775" t="s">
        <v>10421</v>
      </c>
      <c r="T3775" t="s">
        <v>13290</v>
      </c>
      <c r="U3775" t="s">
        <v>13290</v>
      </c>
      <c r="V3775" t="s">
        <v>13290</v>
      </c>
      <c r="W3775" t="s">
        <v>17020</v>
      </c>
      <c r="X3775">
        <v>4</v>
      </c>
      <c r="Y3775" t="s">
        <v>23522</v>
      </c>
      <c r="Z3775" t="s">
        <v>30105</v>
      </c>
      <c r="AA3775">
        <v>0.49205595440542732</v>
      </c>
      <c r="AB3775" t="str">
        <f>HYPERLINK("Melting_Curves/meltCurve_Q4LDG9_3_DNAL1.pdf", "Melting_Curves/meltCurve_Q4LDG9_3_DNAL1.pdf")</f>
        <v>Melting_Curves/meltCurve_Q4LDG9_3_DNAL1.pdf</v>
      </c>
    </row>
    <row r="3776" spans="1:28" x14ac:dyDescent="0.25">
      <c r="A3776" t="s">
        <v>3780</v>
      </c>
      <c r="B3776">
        <v>0.99252571173614901</v>
      </c>
      <c r="C3776">
        <v>1.2114516204300501</v>
      </c>
      <c r="D3776">
        <v>1.0493163882190499</v>
      </c>
      <c r="E3776">
        <v>0.98905295815702499</v>
      </c>
      <c r="F3776">
        <v>0.850445710288253</v>
      </c>
      <c r="G3776">
        <v>0.62769739727710105</v>
      </c>
      <c r="H3776">
        <v>0.69957449271651195</v>
      </c>
      <c r="I3776">
        <v>1.0860760370106699</v>
      </c>
      <c r="J3776">
        <v>1.60433805304134</v>
      </c>
      <c r="K3776">
        <v>1.54376277009788</v>
      </c>
      <c r="L3776">
        <v>15000</v>
      </c>
      <c r="M3776">
        <v>232.805500142852</v>
      </c>
      <c r="O3776">
        <v>64.426712140221696</v>
      </c>
      <c r="P3776">
        <v>0.45168667331912499</v>
      </c>
      <c r="Q3776">
        <v>1.5</v>
      </c>
      <c r="R3776">
        <v>0.66304903374729895</v>
      </c>
      <c r="S3776" t="s">
        <v>10422</v>
      </c>
      <c r="T3776" t="s">
        <v>13290</v>
      </c>
      <c r="U3776" t="s">
        <v>13290</v>
      </c>
      <c r="V3776" t="s">
        <v>13290</v>
      </c>
      <c r="W3776" t="s">
        <v>17021</v>
      </c>
      <c r="X3776">
        <v>3</v>
      </c>
      <c r="Y3776" t="s">
        <v>23523</v>
      </c>
      <c r="Z3776" t="s">
        <v>30106</v>
      </c>
      <c r="AA3776">
        <v>1.0927436759201381</v>
      </c>
      <c r="AB3776" t="str">
        <f>HYPERLINK("Melting_Curves/meltCurve_Q4LE39_3_ARID4B.pdf", "Melting_Curves/meltCurve_Q4LE39_3_ARID4B.pdf")</f>
        <v>Melting_Curves/meltCurve_Q4LE39_3_ARID4B.pdf</v>
      </c>
    </row>
    <row r="3777" spans="1:28" x14ac:dyDescent="0.25">
      <c r="A3777" t="s">
        <v>3781</v>
      </c>
      <c r="B3777">
        <v>0.99252571173614901</v>
      </c>
      <c r="C3777">
        <v>0.91027189225327199</v>
      </c>
      <c r="D3777">
        <v>0.42487422227447902</v>
      </c>
      <c r="E3777">
        <v>0.31206998620884502</v>
      </c>
      <c r="F3777">
        <v>0.21352179893617301</v>
      </c>
      <c r="G3777">
        <v>0.14838575722641201</v>
      </c>
      <c r="H3777">
        <v>0.12914925879319999</v>
      </c>
      <c r="I3777">
        <v>0.177751153458311</v>
      </c>
      <c r="J3777">
        <v>0.29897453845849897</v>
      </c>
      <c r="K3777">
        <v>0.38190315013235898</v>
      </c>
      <c r="L3777">
        <v>1863.7067040475999</v>
      </c>
      <c r="M3777">
        <v>41.540794240666898</v>
      </c>
      <c r="N3777">
        <v>45.556616986276502</v>
      </c>
      <c r="O3777">
        <v>44.760882675881099</v>
      </c>
      <c r="P3777">
        <v>-0.17772374616963699</v>
      </c>
      <c r="Q3777">
        <v>0.23400016259149101</v>
      </c>
      <c r="R3777">
        <v>0.93846171056981798</v>
      </c>
      <c r="S3777" t="s">
        <v>10423</v>
      </c>
      <c r="T3777" t="s">
        <v>13290</v>
      </c>
      <c r="U3777" t="s">
        <v>13290</v>
      </c>
      <c r="V3777" t="s">
        <v>13290</v>
      </c>
      <c r="W3777" t="s">
        <v>17022</v>
      </c>
      <c r="X3777">
        <v>24</v>
      </c>
      <c r="Y3777" t="s">
        <v>23524</v>
      </c>
      <c r="Z3777" t="s">
        <v>30107</v>
      </c>
      <c r="AA3777">
        <v>0.36054273228870559</v>
      </c>
      <c r="AB3777" t="str">
        <f>HYPERLINK("Melting_Curves/meltCurve_Q4V328_GRIPAP1.pdf", "Melting_Curves/meltCurve_Q4V328_GRIPAP1.pdf")</f>
        <v>Melting_Curves/meltCurve_Q4V328_GRIPAP1.pdf</v>
      </c>
    </row>
    <row r="3778" spans="1:28" x14ac:dyDescent="0.25">
      <c r="A3778" t="s">
        <v>3782</v>
      </c>
      <c r="B3778">
        <v>0.99252571173614901</v>
      </c>
      <c r="C3778">
        <v>0.92713662225675797</v>
      </c>
      <c r="D3778">
        <v>0.85590732001967895</v>
      </c>
      <c r="E3778">
        <v>0.69582665590997905</v>
      </c>
      <c r="F3778">
        <v>0.61692663109252199</v>
      </c>
      <c r="G3778">
        <v>0.556122926871639</v>
      </c>
      <c r="H3778">
        <v>0.725323853017387</v>
      </c>
      <c r="I3778">
        <v>1.28610113330068</v>
      </c>
      <c r="J3778">
        <v>2.4355189960902899</v>
      </c>
      <c r="K3778">
        <v>2.8057630671295599</v>
      </c>
      <c r="L3778">
        <v>15000</v>
      </c>
      <c r="M3778">
        <v>234.66625110281799</v>
      </c>
      <c r="O3778">
        <v>63.915927088998501</v>
      </c>
      <c r="P3778">
        <v>0.45893541091010598</v>
      </c>
      <c r="Q3778">
        <v>1.5</v>
      </c>
      <c r="R3778">
        <v>0.44133129540114002</v>
      </c>
      <c r="S3778" t="s">
        <v>10424</v>
      </c>
      <c r="T3778" t="s">
        <v>13290</v>
      </c>
      <c r="U3778" t="s">
        <v>13290</v>
      </c>
      <c r="V3778" t="s">
        <v>13290</v>
      </c>
      <c r="W3778" t="s">
        <v>17023</v>
      </c>
      <c r="X3778">
        <v>6</v>
      </c>
      <c r="Y3778" t="s">
        <v>23525</v>
      </c>
      <c r="Z3778" t="s">
        <v>30108</v>
      </c>
      <c r="AA3778">
        <v>1.1012602096852619</v>
      </c>
      <c r="AB3778" t="str">
        <f>HYPERLINK("Melting_Curves/meltCurve_Q4VC05_BCL7A.pdf", "Melting_Curves/meltCurve_Q4VC05_BCL7A.pdf")</f>
        <v>Melting_Curves/meltCurve_Q4VC05_BCL7A.pdf</v>
      </c>
    </row>
    <row r="3779" spans="1:28" x14ac:dyDescent="0.25">
      <c r="A3779" t="s">
        <v>3783</v>
      </c>
      <c r="B3779">
        <v>0.99252571173614901</v>
      </c>
      <c r="C3779">
        <v>0.97731529363702196</v>
      </c>
      <c r="D3779">
        <v>0.77725334786058897</v>
      </c>
      <c r="E3779">
        <v>0.51869253346786004</v>
      </c>
      <c r="F3779">
        <v>0.28719029263655199</v>
      </c>
      <c r="G3779">
        <v>0.190691868808084</v>
      </c>
      <c r="H3779">
        <v>0.16461677627838001</v>
      </c>
      <c r="I3779">
        <v>0.19999573197613299</v>
      </c>
      <c r="J3779">
        <v>0.263863426404912</v>
      </c>
      <c r="K3779">
        <v>0.29282470759659401</v>
      </c>
      <c r="L3779">
        <v>1123.7237561522199</v>
      </c>
      <c r="M3779">
        <v>23.306088685692298</v>
      </c>
      <c r="N3779">
        <v>49.426655162249297</v>
      </c>
      <c r="O3779">
        <v>47.865119831296603</v>
      </c>
      <c r="P3779">
        <v>-9.5254407499165306E-2</v>
      </c>
      <c r="Q3779">
        <v>0.21749505899879201</v>
      </c>
      <c r="R3779">
        <v>0.98322355638548598</v>
      </c>
      <c r="S3779" t="s">
        <v>10425</v>
      </c>
      <c r="T3779" t="s">
        <v>13290</v>
      </c>
      <c r="U3779" t="s">
        <v>13290</v>
      </c>
      <c r="V3779" t="s">
        <v>13290</v>
      </c>
      <c r="W3779" t="s">
        <v>17024</v>
      </c>
      <c r="X3779">
        <v>3</v>
      </c>
      <c r="Y3779" t="s">
        <v>23526</v>
      </c>
      <c r="Z3779" t="s">
        <v>30109</v>
      </c>
      <c r="AA3779">
        <v>0.43981297753905368</v>
      </c>
      <c r="AB3779" t="str">
        <f>HYPERLINK("Melting_Curves/meltCurve_Q4VCS5_AMOT.pdf", "Melting_Curves/meltCurve_Q4VCS5_AMOT.pdf")</f>
        <v>Melting_Curves/meltCurve_Q4VCS5_AMOT.pdf</v>
      </c>
    </row>
    <row r="3780" spans="1:28" x14ac:dyDescent="0.25">
      <c r="A3780" t="s">
        <v>3784</v>
      </c>
      <c r="B3780">
        <v>0.99252571173614901</v>
      </c>
      <c r="C3780">
        <v>0.93087370831163296</v>
      </c>
      <c r="D3780">
        <v>0.88208089143851598</v>
      </c>
      <c r="E3780">
        <v>0.82666576703330497</v>
      </c>
      <c r="F3780">
        <v>0.34979317911334201</v>
      </c>
      <c r="G3780">
        <v>0.18419484893704799</v>
      </c>
      <c r="H3780">
        <v>0.117330005230749</v>
      </c>
      <c r="I3780">
        <v>0.12194550735040401</v>
      </c>
      <c r="J3780">
        <v>0.13343924806539501</v>
      </c>
      <c r="K3780">
        <v>0.15872100742189699</v>
      </c>
      <c r="L3780">
        <v>1596.1214223076199</v>
      </c>
      <c r="M3780">
        <v>30.993007310539902</v>
      </c>
      <c r="N3780">
        <v>52.0065756040064</v>
      </c>
      <c r="O3780">
        <v>51.286418004574202</v>
      </c>
      <c r="P3780">
        <v>-0.131375598682415</v>
      </c>
      <c r="Q3780">
        <v>0.130417206042692</v>
      </c>
      <c r="R3780">
        <v>0.98758480614404398</v>
      </c>
      <c r="S3780" t="s">
        <v>10426</v>
      </c>
      <c r="T3780" t="s">
        <v>13290</v>
      </c>
      <c r="U3780" t="s">
        <v>13290</v>
      </c>
      <c r="V3780" t="s">
        <v>13290</v>
      </c>
      <c r="W3780" t="s">
        <v>17025</v>
      </c>
      <c r="X3780">
        <v>5</v>
      </c>
      <c r="Y3780" t="s">
        <v>23527</v>
      </c>
      <c r="Z3780" t="s">
        <v>30110</v>
      </c>
      <c r="AA3780">
        <v>0.46890529809450032</v>
      </c>
      <c r="AB3780" t="str">
        <f>HYPERLINK("Melting_Curves/meltCurve_Q4VXZ8_DECR2.pdf", "Melting_Curves/meltCurve_Q4VXZ8_DECR2.pdf")</f>
        <v>Melting_Curves/meltCurve_Q4VXZ8_DECR2.pdf</v>
      </c>
    </row>
    <row r="3781" spans="1:28" x14ac:dyDescent="0.25">
      <c r="A3781" t="s">
        <v>3785</v>
      </c>
      <c r="B3781">
        <v>0.99252571173614901</v>
      </c>
      <c r="C3781">
        <v>0.92012986531290697</v>
      </c>
      <c r="D3781">
        <v>0.830672604413349</v>
      </c>
      <c r="E3781">
        <v>0.73369995013148304</v>
      </c>
      <c r="F3781">
        <v>0.446353756799929</v>
      </c>
      <c r="G3781">
        <v>0.331428594239422</v>
      </c>
      <c r="H3781">
        <v>0.25918915686671701</v>
      </c>
      <c r="I3781">
        <v>0.28255145637734203</v>
      </c>
      <c r="J3781">
        <v>0.35696885709452902</v>
      </c>
      <c r="K3781">
        <v>0.28292909214954598</v>
      </c>
      <c r="L3781">
        <v>874.24096752544494</v>
      </c>
      <c r="M3781">
        <v>17.457466763702602</v>
      </c>
      <c r="N3781">
        <v>52.491967616176197</v>
      </c>
      <c r="O3781">
        <v>49.435086223185799</v>
      </c>
      <c r="P3781">
        <v>-6.3926742249246493E-2</v>
      </c>
      <c r="Q3781">
        <v>0.27594343349695799</v>
      </c>
      <c r="R3781">
        <v>0.97824235426803097</v>
      </c>
      <c r="S3781" t="s">
        <v>10427</v>
      </c>
      <c r="T3781" t="s">
        <v>13290</v>
      </c>
      <c r="U3781" t="s">
        <v>13290</v>
      </c>
      <c r="V3781" t="s">
        <v>13290</v>
      </c>
      <c r="W3781" t="s">
        <v>17026</v>
      </c>
      <c r="X3781">
        <v>4</v>
      </c>
      <c r="Y3781" t="s">
        <v>23528</v>
      </c>
      <c r="Z3781" t="s">
        <v>30111</v>
      </c>
      <c r="AA3781">
        <v>0.53225306345087187</v>
      </c>
      <c r="AB3781" t="str">
        <f>HYPERLINK("Melting_Curves/meltCurve_Q4ZIN3_2_TMEM259.pdf", "Melting_Curves/meltCurve_Q4ZIN3_2_TMEM259.pdf")</f>
        <v>Melting_Curves/meltCurve_Q4ZIN3_2_TMEM259.pdf</v>
      </c>
    </row>
    <row r="3782" spans="1:28" x14ac:dyDescent="0.25">
      <c r="A3782" t="s">
        <v>3786</v>
      </c>
      <c r="B3782">
        <v>0.99252571173614901</v>
      </c>
      <c r="C3782">
        <v>1.01336588810172</v>
      </c>
      <c r="D3782">
        <v>0.88328443049106198</v>
      </c>
      <c r="E3782">
        <v>0.71630647061670205</v>
      </c>
      <c r="F3782">
        <v>0.50674068291482199</v>
      </c>
      <c r="G3782">
        <v>0.405959176560798</v>
      </c>
      <c r="H3782">
        <v>0.31939709038521102</v>
      </c>
      <c r="I3782">
        <v>0.33989979692162298</v>
      </c>
      <c r="J3782">
        <v>0.375622791114745</v>
      </c>
      <c r="K3782">
        <v>0.417456805108541</v>
      </c>
      <c r="L3782">
        <v>1059.04726697501</v>
      </c>
      <c r="M3782">
        <v>21.1829845674295</v>
      </c>
      <c r="N3782">
        <v>53.173341678828699</v>
      </c>
      <c r="O3782">
        <v>49.556034631710602</v>
      </c>
      <c r="P3782">
        <v>-6.84977592521262E-2</v>
      </c>
      <c r="Q3782">
        <v>0.35903484841469002</v>
      </c>
      <c r="R3782">
        <v>0.98699514901178598</v>
      </c>
      <c r="S3782" t="s">
        <v>10428</v>
      </c>
      <c r="T3782" t="s">
        <v>13290</v>
      </c>
      <c r="U3782" t="s">
        <v>13290</v>
      </c>
      <c r="V3782" t="s">
        <v>13290</v>
      </c>
      <c r="W3782" t="s">
        <v>17027</v>
      </c>
      <c r="X3782">
        <v>1</v>
      </c>
      <c r="Y3782" t="s">
        <v>23529</v>
      </c>
      <c r="Z3782" t="s">
        <v>30112</v>
      </c>
      <c r="AA3782">
        <v>0.5805587654055252</v>
      </c>
      <c r="AB3782" t="str">
        <f>HYPERLINK("Melting_Curves/meltCurve_Q504U0_C4orf46.pdf", "Melting_Curves/meltCurve_Q504U0_C4orf46.pdf")</f>
        <v>Melting_Curves/meltCurve_Q504U0_C4orf46.pdf</v>
      </c>
    </row>
    <row r="3783" spans="1:28" x14ac:dyDescent="0.25">
      <c r="A3783" t="s">
        <v>3787</v>
      </c>
      <c r="B3783">
        <v>0.99252571173614901</v>
      </c>
      <c r="C3783">
        <v>0.90778743790729199</v>
      </c>
      <c r="D3783">
        <v>0.72944518841917305</v>
      </c>
      <c r="E3783">
        <v>0.58579411262693504</v>
      </c>
      <c r="F3783">
        <v>0.57837473748275803</v>
      </c>
      <c r="G3783">
        <v>0.41191164659308699</v>
      </c>
      <c r="H3783">
        <v>0.36034684199765199</v>
      </c>
      <c r="I3783">
        <v>0.479399952085653</v>
      </c>
      <c r="J3783">
        <v>0.78810707498002197</v>
      </c>
      <c r="K3783">
        <v>0.66637155381082203</v>
      </c>
      <c r="L3783">
        <v>1231.21314865471</v>
      </c>
      <c r="M3783">
        <v>27.209106399040301</v>
      </c>
      <c r="O3783">
        <v>45.007738194815303</v>
      </c>
      <c r="P3783">
        <v>-6.85688182667889E-2</v>
      </c>
      <c r="Q3783">
        <v>0.54631401699800597</v>
      </c>
      <c r="R3783">
        <v>0.661762091127999</v>
      </c>
      <c r="S3783" t="s">
        <v>10429</v>
      </c>
      <c r="T3783" t="s">
        <v>13290</v>
      </c>
      <c r="U3783" t="s">
        <v>13290</v>
      </c>
      <c r="V3783" t="s">
        <v>13290</v>
      </c>
      <c r="W3783" t="s">
        <v>17028</v>
      </c>
      <c r="X3783">
        <v>1</v>
      </c>
      <c r="Y3783" t="s">
        <v>23530</v>
      </c>
      <c r="Z3783" t="s">
        <v>30113</v>
      </c>
      <c r="AA3783">
        <v>0.6293178479595497</v>
      </c>
      <c r="AB3783" t="str">
        <f>HYPERLINK("Melting_Curves/meltCurve_Q52LA3_LIN52.pdf", "Melting_Curves/meltCurve_Q52LA3_LIN52.pdf")</f>
        <v>Melting_Curves/meltCurve_Q52LA3_LIN52.pdf</v>
      </c>
    </row>
    <row r="3784" spans="1:28" x14ac:dyDescent="0.25">
      <c r="A3784" t="s">
        <v>3788</v>
      </c>
      <c r="B3784">
        <v>0.99252571173614901</v>
      </c>
      <c r="C3784">
        <v>0.898500318941856</v>
      </c>
      <c r="D3784">
        <v>1.03830469228065</v>
      </c>
      <c r="E3784">
        <v>0.858160159184577</v>
      </c>
      <c r="F3784">
        <v>0.25247191747127401</v>
      </c>
      <c r="G3784">
        <v>0.153369623690048</v>
      </c>
      <c r="H3784">
        <v>0.110372563075644</v>
      </c>
      <c r="I3784">
        <v>0.116716402343885</v>
      </c>
      <c r="J3784">
        <v>0.13872304900959601</v>
      </c>
      <c r="K3784">
        <v>0.140428504760018</v>
      </c>
      <c r="L3784">
        <v>2532.0362904174299</v>
      </c>
      <c r="M3784">
        <v>49.401447284538897</v>
      </c>
      <c r="N3784">
        <v>51.569524614184402</v>
      </c>
      <c r="O3784">
        <v>51.170516394913598</v>
      </c>
      <c r="P3784">
        <v>-0.20990332930797201</v>
      </c>
      <c r="Q3784">
        <v>0.130320849942829</v>
      </c>
      <c r="R3784">
        <v>0.99155547625649798</v>
      </c>
      <c r="S3784" t="s">
        <v>10430</v>
      </c>
      <c r="T3784" t="s">
        <v>13290</v>
      </c>
      <c r="U3784" t="s">
        <v>13290</v>
      </c>
      <c r="V3784" t="s">
        <v>13290</v>
      </c>
      <c r="W3784" t="s">
        <v>17029</v>
      </c>
      <c r="X3784">
        <v>14</v>
      </c>
      <c r="Y3784" t="s">
        <v>23531</v>
      </c>
      <c r="Z3784" t="s">
        <v>30114</v>
      </c>
      <c r="AA3784">
        <v>0.45858933849287109</v>
      </c>
      <c r="AB3784" t="str">
        <f>HYPERLINK("Melting_Curves/meltCurve_Q52LJ0_2_FAM98B.pdf", "Melting_Curves/meltCurve_Q52LJ0_2_FAM98B.pdf")</f>
        <v>Melting_Curves/meltCurve_Q52LJ0_2_FAM98B.pdf</v>
      </c>
    </row>
    <row r="3785" spans="1:28" x14ac:dyDescent="0.25">
      <c r="A3785" t="s">
        <v>3789</v>
      </c>
      <c r="B3785">
        <v>0.99252571173614901</v>
      </c>
      <c r="C3785">
        <v>1.0923999603737</v>
      </c>
      <c r="D3785">
        <v>0.90933046161270603</v>
      </c>
      <c r="E3785">
        <v>0.82716111043923801</v>
      </c>
      <c r="F3785">
        <v>0.20739755236504001</v>
      </c>
      <c r="G3785">
        <v>0.120177489642411</v>
      </c>
      <c r="H3785">
        <v>6.7089950885775199E-2</v>
      </c>
      <c r="I3785">
        <v>6.0653967984273097E-2</v>
      </c>
      <c r="J3785">
        <v>6.3838118604358896E-2</v>
      </c>
      <c r="K3785">
        <v>6.70776415754262E-2</v>
      </c>
      <c r="L3785">
        <v>2255.6586042682702</v>
      </c>
      <c r="M3785">
        <v>44.071216121339901</v>
      </c>
      <c r="N3785">
        <v>51.362099337482199</v>
      </c>
      <c r="O3785">
        <v>51.077060727721999</v>
      </c>
      <c r="P3785">
        <v>-0.200276924634785</v>
      </c>
      <c r="Q3785">
        <v>7.1543991517599201E-2</v>
      </c>
      <c r="R3785">
        <v>0.99036964328189503</v>
      </c>
      <c r="S3785" t="s">
        <v>10431</v>
      </c>
      <c r="T3785" t="s">
        <v>13290</v>
      </c>
      <c r="U3785" t="s">
        <v>13290</v>
      </c>
      <c r="V3785" t="s">
        <v>13290</v>
      </c>
      <c r="W3785" t="s">
        <v>17030</v>
      </c>
      <c r="X3785">
        <v>16</v>
      </c>
      <c r="Y3785" t="s">
        <v>23532</v>
      </c>
      <c r="Z3785" t="s">
        <v>30115</v>
      </c>
      <c r="AA3785">
        <v>0.4203164635266981</v>
      </c>
      <c r="AB3785" t="str">
        <f>HYPERLINK("Melting_Curves/meltCurve_Q53EL6_2_PDCD4.pdf", "Melting_Curves/meltCurve_Q53EL6_2_PDCD4.pdf")</f>
        <v>Melting_Curves/meltCurve_Q53EL6_2_PDCD4.pdf</v>
      </c>
    </row>
    <row r="3786" spans="1:28" x14ac:dyDescent="0.25">
      <c r="A3786" t="s">
        <v>3790</v>
      </c>
      <c r="B3786">
        <v>0.99252571173614901</v>
      </c>
      <c r="C3786">
        <v>0.95746975541367196</v>
      </c>
      <c r="D3786">
        <v>0.798267899002431</v>
      </c>
      <c r="E3786">
        <v>0.661905509326283</v>
      </c>
      <c r="F3786">
        <v>0.30279984560506401</v>
      </c>
      <c r="G3786">
        <v>0.18904616627440299</v>
      </c>
      <c r="H3786">
        <v>0.128339662669989</v>
      </c>
      <c r="I3786">
        <v>0.11409623516017001</v>
      </c>
      <c r="J3786">
        <v>0.15481585487077201</v>
      </c>
      <c r="K3786">
        <v>0.13414560986499399</v>
      </c>
      <c r="L3786">
        <v>931.19447669101805</v>
      </c>
      <c r="M3786">
        <v>18.5943168933217</v>
      </c>
      <c r="N3786">
        <v>50.7846382639894</v>
      </c>
      <c r="O3786">
        <v>49.5110839294519</v>
      </c>
      <c r="P3786">
        <v>-8.3211623833914505E-2</v>
      </c>
      <c r="Q3786">
        <v>0.113768336260167</v>
      </c>
      <c r="R3786">
        <v>0.99095006389856199</v>
      </c>
      <c r="S3786" t="s">
        <v>10432</v>
      </c>
      <c r="T3786" t="s">
        <v>13290</v>
      </c>
      <c r="U3786" t="s">
        <v>13290</v>
      </c>
      <c r="V3786" t="s">
        <v>13290</v>
      </c>
      <c r="W3786" t="s">
        <v>17031</v>
      </c>
      <c r="X3786">
        <v>3</v>
      </c>
      <c r="Y3786" t="s">
        <v>23533</v>
      </c>
      <c r="Z3786" t="s">
        <v>30116</v>
      </c>
      <c r="AA3786">
        <v>0.42572199066628508</v>
      </c>
      <c r="AB3786" t="str">
        <f>HYPERLINK("Melting_Curves/meltCurve_Q53EU6_AGPAT9.pdf", "Melting_Curves/meltCurve_Q53EU6_AGPAT9.pdf")</f>
        <v>Melting_Curves/meltCurve_Q53EU6_AGPAT9.pdf</v>
      </c>
    </row>
    <row r="3787" spans="1:28" x14ac:dyDescent="0.25">
      <c r="A3787" t="s">
        <v>3791</v>
      </c>
      <c r="B3787">
        <v>0.99252571173614901</v>
      </c>
      <c r="C3787">
        <v>0.90406514545067895</v>
      </c>
      <c r="D3787">
        <v>0.47814936576431699</v>
      </c>
      <c r="E3787">
        <v>0.23723273681235099</v>
      </c>
      <c r="F3787">
        <v>0.16225783765028101</v>
      </c>
      <c r="G3787">
        <v>0.116637516293947</v>
      </c>
      <c r="H3787">
        <v>0.10151963534462401</v>
      </c>
      <c r="I3787">
        <v>0.113933842744994</v>
      </c>
      <c r="J3787">
        <v>0.134986185371544</v>
      </c>
      <c r="K3787">
        <v>0.17576971319014201</v>
      </c>
      <c r="L3787">
        <v>1381.41005969863</v>
      </c>
      <c r="M3787">
        <v>30.3498303650548</v>
      </c>
      <c r="N3787">
        <v>45.996826050062602</v>
      </c>
      <c r="O3787">
        <v>45.319998113111097</v>
      </c>
      <c r="P3787">
        <v>-0.144672791109694</v>
      </c>
      <c r="Q3787">
        <v>0.13587263172867101</v>
      </c>
      <c r="R3787">
        <v>0.99398068319973398</v>
      </c>
      <c r="S3787" t="s">
        <v>10433</v>
      </c>
      <c r="T3787" t="s">
        <v>13290</v>
      </c>
      <c r="U3787" t="s">
        <v>13290</v>
      </c>
      <c r="V3787" t="s">
        <v>13290</v>
      </c>
      <c r="W3787" t="s">
        <v>17032</v>
      </c>
      <c r="X3787">
        <v>8</v>
      </c>
      <c r="Y3787" t="s">
        <v>23534</v>
      </c>
      <c r="Z3787" t="s">
        <v>30117</v>
      </c>
      <c r="AA3787">
        <v>0.29999307288632793</v>
      </c>
      <c r="AB3787" t="str">
        <f>HYPERLINK("Melting_Curves/meltCurve_Q53F19_C17orf85.pdf", "Melting_Curves/meltCurve_Q53F19_C17orf85.pdf")</f>
        <v>Melting_Curves/meltCurve_Q53F19_C17orf85.pdf</v>
      </c>
    </row>
    <row r="3788" spans="1:28" x14ac:dyDescent="0.25">
      <c r="A3788" t="s">
        <v>3792</v>
      </c>
      <c r="B3788">
        <v>0.99252571173614901</v>
      </c>
      <c r="C3788">
        <v>1.0272689800447099</v>
      </c>
      <c r="D3788">
        <v>0.96069311539402202</v>
      </c>
      <c r="E3788">
        <v>0.80109571035670202</v>
      </c>
      <c r="F3788">
        <v>0.82952555876933398</v>
      </c>
      <c r="G3788">
        <v>0.73472789472453903</v>
      </c>
      <c r="H3788">
        <v>0.75106804325507104</v>
      </c>
      <c r="I3788">
        <v>0.983698817364834</v>
      </c>
      <c r="J3788">
        <v>0.85165396767638701</v>
      </c>
      <c r="K3788">
        <v>0.67216430441442199</v>
      </c>
      <c r="L3788">
        <v>11563.783111688301</v>
      </c>
      <c r="M3788">
        <v>250</v>
      </c>
      <c r="O3788">
        <v>46.252172447908997</v>
      </c>
      <c r="P3788">
        <v>-0.265637274448488</v>
      </c>
      <c r="Q3788">
        <v>0.80341918390530298</v>
      </c>
      <c r="R3788">
        <v>0.558893075004535</v>
      </c>
      <c r="S3788" t="s">
        <v>10434</v>
      </c>
      <c r="T3788" t="s">
        <v>13290</v>
      </c>
      <c r="U3788" t="s">
        <v>13290</v>
      </c>
      <c r="V3788" t="s">
        <v>13290</v>
      </c>
      <c r="W3788" t="s">
        <v>17033</v>
      </c>
      <c r="X3788">
        <v>17</v>
      </c>
      <c r="Y3788" t="s">
        <v>23535</v>
      </c>
      <c r="Z3788" t="s">
        <v>30118</v>
      </c>
      <c r="AA3788">
        <v>0.84442310979236579</v>
      </c>
      <c r="AB3788" t="str">
        <f>HYPERLINK("Melting_Curves/meltCurve_Q53FA7_TP53I3.pdf", "Melting_Curves/meltCurve_Q53FA7_TP53I3.pdf")</f>
        <v>Melting_Curves/meltCurve_Q53FA7_TP53I3.pdf</v>
      </c>
    </row>
    <row r="3789" spans="1:28" x14ac:dyDescent="0.25">
      <c r="A3789" t="s">
        <v>3793</v>
      </c>
      <c r="B3789">
        <v>0.99252571173614901</v>
      </c>
      <c r="C3789">
        <v>1.09478321457697</v>
      </c>
      <c r="D3789">
        <v>0.96713209900768204</v>
      </c>
      <c r="E3789">
        <v>0.72470183079519501</v>
      </c>
      <c r="F3789">
        <v>0.38880546065347898</v>
      </c>
      <c r="G3789">
        <v>0.16337866371828699</v>
      </c>
      <c r="H3789">
        <v>0.10322172075141001</v>
      </c>
      <c r="I3789">
        <v>9.1440404570698894E-2</v>
      </c>
      <c r="J3789">
        <v>8.1282356274699694E-2</v>
      </c>
      <c r="K3789">
        <v>6.2745511544312002E-2</v>
      </c>
      <c r="L3789">
        <v>1241.41528600689</v>
      </c>
      <c r="M3789">
        <v>24.064349065441601</v>
      </c>
      <c r="N3789">
        <v>51.941035767282798</v>
      </c>
      <c r="O3789">
        <v>51.235037240223299</v>
      </c>
      <c r="P3789">
        <v>-0.108549223160557</v>
      </c>
      <c r="Q3789">
        <v>7.5572507626213106E-2</v>
      </c>
      <c r="R3789">
        <v>0.993134153045649</v>
      </c>
      <c r="S3789" t="s">
        <v>10435</v>
      </c>
      <c r="T3789" t="s">
        <v>13290</v>
      </c>
      <c r="U3789" t="s">
        <v>13290</v>
      </c>
      <c r="V3789" t="s">
        <v>13290</v>
      </c>
      <c r="W3789" t="s">
        <v>17034</v>
      </c>
      <c r="X3789">
        <v>3</v>
      </c>
      <c r="Y3789" t="s">
        <v>23536</v>
      </c>
      <c r="Z3789" t="s">
        <v>30119</v>
      </c>
      <c r="AA3789">
        <v>0.44167489092995948</v>
      </c>
      <c r="AB3789" t="str">
        <f>HYPERLINK("Melting_Curves/meltCurve_Q53FT3_C11orf73.pdf", "Melting_Curves/meltCurve_Q53FT3_C11orf73.pdf")</f>
        <v>Melting_Curves/meltCurve_Q53FT3_C11orf73.pdf</v>
      </c>
    </row>
    <row r="3790" spans="1:28" x14ac:dyDescent="0.25">
      <c r="A3790" t="s">
        <v>3794</v>
      </c>
      <c r="B3790">
        <v>0.99252571173614901</v>
      </c>
      <c r="C3790">
        <v>1.1280173257846899</v>
      </c>
      <c r="D3790">
        <v>0.99317579490561103</v>
      </c>
      <c r="E3790">
        <v>0.97403484918446803</v>
      </c>
      <c r="F3790">
        <v>0.77599385931985099</v>
      </c>
      <c r="G3790">
        <v>0.52551911939861295</v>
      </c>
      <c r="H3790">
        <v>0.41132008290864602</v>
      </c>
      <c r="I3790">
        <v>0.42305101469620399</v>
      </c>
      <c r="J3790">
        <v>0.50063455869430595</v>
      </c>
      <c r="K3790">
        <v>0.55621674414627298</v>
      </c>
      <c r="L3790">
        <v>2267.2819756379099</v>
      </c>
      <c r="M3790">
        <v>42.322519131589303</v>
      </c>
      <c r="N3790">
        <v>57.581932060172399</v>
      </c>
      <c r="O3790">
        <v>53.452350954379902</v>
      </c>
      <c r="P3790">
        <v>-0.104165209507962</v>
      </c>
      <c r="Q3790">
        <v>0.47376811906086802</v>
      </c>
      <c r="R3790">
        <v>0.95416227733417003</v>
      </c>
      <c r="S3790" t="s">
        <v>10436</v>
      </c>
      <c r="T3790" t="s">
        <v>13290</v>
      </c>
      <c r="U3790" t="s">
        <v>13290</v>
      </c>
      <c r="V3790" t="s">
        <v>13290</v>
      </c>
      <c r="W3790" t="s">
        <v>17035</v>
      </c>
      <c r="X3790">
        <v>11</v>
      </c>
      <c r="Y3790" t="s">
        <v>23537</v>
      </c>
      <c r="Z3790" t="s">
        <v>30120</v>
      </c>
      <c r="AA3790">
        <v>0.71356465793150992</v>
      </c>
      <c r="AB3790" t="str">
        <f>HYPERLINK("Melting_Curves/meltCurve_Q53GG5_2_PDLIM3.pdf", "Melting_Curves/meltCurve_Q53GG5_2_PDLIM3.pdf")</f>
        <v>Melting_Curves/meltCurve_Q53GG5_2_PDLIM3.pdf</v>
      </c>
    </row>
    <row r="3791" spans="1:28" x14ac:dyDescent="0.25">
      <c r="A3791" t="s">
        <v>3795</v>
      </c>
      <c r="B3791">
        <v>0.99252571173614901</v>
      </c>
      <c r="C3791">
        <v>0.55640704509705197</v>
      </c>
      <c r="D3791">
        <v>1.0195058366051399</v>
      </c>
      <c r="E3791">
        <v>0.79169697491145197</v>
      </c>
      <c r="F3791">
        <v>0.58823439987319004</v>
      </c>
      <c r="G3791">
        <v>0.39137772179390501</v>
      </c>
      <c r="H3791">
        <v>9.6328934402750199E-2</v>
      </c>
      <c r="I3791">
        <v>7.7445603009733202E-2</v>
      </c>
      <c r="J3791">
        <v>5.6851378765979697E-2</v>
      </c>
      <c r="K3791">
        <v>4.8009926677440203E-2</v>
      </c>
      <c r="L3791">
        <v>758.73081510622796</v>
      </c>
      <c r="M3791">
        <v>14.0046281028376</v>
      </c>
      <c r="N3791">
        <v>54.177148651900303</v>
      </c>
      <c r="O3791">
        <v>53.108368950778903</v>
      </c>
      <c r="P3791">
        <v>-6.5933482974427804E-2</v>
      </c>
      <c r="Q3791">
        <v>0</v>
      </c>
      <c r="R3791">
        <v>0.85509212032592596</v>
      </c>
      <c r="S3791" t="s">
        <v>10437</v>
      </c>
      <c r="T3791" t="s">
        <v>13290</v>
      </c>
      <c r="U3791" t="s">
        <v>13290</v>
      </c>
      <c r="V3791" t="s">
        <v>13290</v>
      </c>
      <c r="W3791" t="s">
        <v>17036</v>
      </c>
      <c r="X3791">
        <v>13</v>
      </c>
      <c r="Y3791" t="s">
        <v>23538</v>
      </c>
      <c r="Z3791" t="s">
        <v>30121</v>
      </c>
      <c r="AA3791">
        <v>0.49457492060900748</v>
      </c>
      <c r="AB3791" t="str">
        <f>HYPERLINK("Melting_Curves/meltCurve_Q53GQ0_HSD17B12.pdf", "Melting_Curves/meltCurve_Q53GQ0_HSD17B12.pdf")</f>
        <v>Melting_Curves/meltCurve_Q53GQ0_HSD17B12.pdf</v>
      </c>
    </row>
    <row r="3792" spans="1:28" x14ac:dyDescent="0.25">
      <c r="A3792" t="s">
        <v>3796</v>
      </c>
      <c r="B3792">
        <v>0.99252571173614901</v>
      </c>
      <c r="C3792">
        <v>0.88604533084781101</v>
      </c>
      <c r="D3792">
        <v>0.81214989050277697</v>
      </c>
      <c r="E3792">
        <v>0.81218664438308696</v>
      </c>
      <c r="F3792">
        <v>0.69428184864278097</v>
      </c>
      <c r="G3792">
        <v>0.38495912364482598</v>
      </c>
      <c r="H3792">
        <v>0.145104081306591</v>
      </c>
      <c r="I3792">
        <v>0.12392322637118799</v>
      </c>
      <c r="J3792">
        <v>0.12969890562845901</v>
      </c>
      <c r="K3792">
        <v>0.136731493213469</v>
      </c>
      <c r="L3792">
        <v>705.14636939034597</v>
      </c>
      <c r="M3792">
        <v>12.9125403844163</v>
      </c>
      <c r="N3792">
        <v>54.8577669509854</v>
      </c>
      <c r="O3792">
        <v>53.349413286842697</v>
      </c>
      <c r="P3792">
        <v>-5.8802094782553598E-2</v>
      </c>
      <c r="Q3792">
        <v>2.83901139706467E-2</v>
      </c>
      <c r="R3792">
        <v>0.96458088456397995</v>
      </c>
      <c r="S3792" t="s">
        <v>10438</v>
      </c>
      <c r="T3792" t="s">
        <v>13290</v>
      </c>
      <c r="U3792" t="s">
        <v>13290</v>
      </c>
      <c r="V3792" t="s">
        <v>13290</v>
      </c>
      <c r="W3792" t="s">
        <v>17037</v>
      </c>
      <c r="X3792">
        <v>7</v>
      </c>
      <c r="Y3792" t="s">
        <v>23539</v>
      </c>
      <c r="Z3792" t="s">
        <v>30122</v>
      </c>
      <c r="AA3792">
        <v>0.52395389609009935</v>
      </c>
      <c r="AB3792" t="str">
        <f>HYPERLINK("Melting_Curves/meltCurve_Q53H12_AGK.pdf", "Melting_Curves/meltCurve_Q53H12_AGK.pdf")</f>
        <v>Melting_Curves/meltCurve_Q53H12_AGK.pdf</v>
      </c>
    </row>
    <row r="3793" spans="1:28" x14ac:dyDescent="0.25">
      <c r="A3793" t="s">
        <v>3797</v>
      </c>
      <c r="B3793">
        <v>0.99252571173614901</v>
      </c>
      <c r="C3793">
        <v>0.96617982689627402</v>
      </c>
      <c r="D3793">
        <v>0.87983933662626801</v>
      </c>
      <c r="E3793">
        <v>0.68710644712008595</v>
      </c>
      <c r="F3793">
        <v>0.45507272401285198</v>
      </c>
      <c r="G3793">
        <v>0.24328275859575901</v>
      </c>
      <c r="H3793">
        <v>0.25718040262174502</v>
      </c>
      <c r="I3793">
        <v>0.36681566729453602</v>
      </c>
      <c r="J3793">
        <v>0.62714928900573996</v>
      </c>
      <c r="K3793">
        <v>0.39168741067350399</v>
      </c>
      <c r="L3793">
        <v>1386.3897542914699</v>
      </c>
      <c r="M3793">
        <v>28.1727224428932</v>
      </c>
      <c r="N3793">
        <v>51.811174600076299</v>
      </c>
      <c r="O3793">
        <v>48.9644378891863</v>
      </c>
      <c r="P3793">
        <v>-8.9407483226220705E-2</v>
      </c>
      <c r="Q3793">
        <v>0.37844151549802901</v>
      </c>
      <c r="R3793">
        <v>0.859661223666501</v>
      </c>
      <c r="S3793" t="s">
        <v>10439</v>
      </c>
      <c r="T3793" t="s">
        <v>13290</v>
      </c>
      <c r="U3793" t="s">
        <v>13290</v>
      </c>
      <c r="V3793" t="s">
        <v>13290</v>
      </c>
      <c r="W3793" t="s">
        <v>17038</v>
      </c>
      <c r="X3793">
        <v>9</v>
      </c>
      <c r="Y3793" t="s">
        <v>23540</v>
      </c>
      <c r="Z3793" t="s">
        <v>30123</v>
      </c>
      <c r="AA3793">
        <v>0.57358555773267272</v>
      </c>
      <c r="AB3793" t="str">
        <f>HYPERLINK("Melting_Curves/meltCurve_Q53H47_SETMAR.pdf", "Melting_Curves/meltCurve_Q53H47_SETMAR.pdf")</f>
        <v>Melting_Curves/meltCurve_Q53H47_SETMAR.pdf</v>
      </c>
    </row>
    <row r="3794" spans="1:28" x14ac:dyDescent="0.25">
      <c r="A3794" t="s">
        <v>3798</v>
      </c>
      <c r="B3794">
        <v>0.99252571173614901</v>
      </c>
      <c r="C3794">
        <v>1.0876244599120799</v>
      </c>
      <c r="D3794">
        <v>1.01105786367318</v>
      </c>
      <c r="E3794">
        <v>0.84207206774433696</v>
      </c>
      <c r="F3794">
        <v>0.80843710726314399</v>
      </c>
      <c r="G3794">
        <v>0.69424319509450105</v>
      </c>
      <c r="H3794">
        <v>0.69724287031348597</v>
      </c>
      <c r="I3794">
        <v>0.47586842863874901</v>
      </c>
      <c r="J3794">
        <v>0.35586434229271202</v>
      </c>
      <c r="K3794">
        <v>0.26554222885094098</v>
      </c>
      <c r="L3794">
        <v>560.14856293195601</v>
      </c>
      <c r="M3794">
        <v>8.8537340784673599</v>
      </c>
      <c r="N3794">
        <v>63.266921130216097</v>
      </c>
      <c r="O3794">
        <v>60.288763640881001</v>
      </c>
      <c r="P3794">
        <v>-3.6742235198350098E-2</v>
      </c>
      <c r="Q3794">
        <v>0</v>
      </c>
      <c r="R3794">
        <v>0.95182107058182197</v>
      </c>
      <c r="S3794" t="s">
        <v>10440</v>
      </c>
      <c r="T3794" t="s">
        <v>13290</v>
      </c>
      <c r="U3794" t="s">
        <v>13290</v>
      </c>
      <c r="V3794" t="s">
        <v>13290</v>
      </c>
      <c r="W3794" t="s">
        <v>17039</v>
      </c>
      <c r="X3794">
        <v>22</v>
      </c>
      <c r="Y3794" t="s">
        <v>23541</v>
      </c>
      <c r="Z3794" t="s">
        <v>30124</v>
      </c>
      <c r="AA3794">
        <v>0.73206926752957246</v>
      </c>
      <c r="AB3794" t="str">
        <f>HYPERLINK("Melting_Curves/meltCurve_Q53H82_LACTB2.pdf", "Melting_Curves/meltCurve_Q53H82_LACTB2.pdf")</f>
        <v>Melting_Curves/meltCurve_Q53H82_LACTB2.pdf</v>
      </c>
    </row>
    <row r="3795" spans="1:28" x14ac:dyDescent="0.25">
      <c r="A3795" t="s">
        <v>3799</v>
      </c>
      <c r="B3795">
        <v>0.99252571173614901</v>
      </c>
      <c r="C3795">
        <v>0.93063576331542597</v>
      </c>
      <c r="D3795">
        <v>1.0194898217491299</v>
      </c>
      <c r="E3795">
        <v>1.0328624752317499</v>
      </c>
      <c r="F3795">
        <v>0.93631729333857106</v>
      </c>
      <c r="G3795">
        <v>0.76615487304001095</v>
      </c>
      <c r="H3795">
        <v>0.83823762855244099</v>
      </c>
      <c r="I3795">
        <v>0.92182222844450901</v>
      </c>
      <c r="J3795">
        <v>0.76773227957290002</v>
      </c>
      <c r="K3795">
        <v>0.33257737390140801</v>
      </c>
      <c r="L3795">
        <v>2642.7747354920002</v>
      </c>
      <c r="M3795">
        <v>38.368761164876602</v>
      </c>
      <c r="N3795">
        <v>68.878301753613698</v>
      </c>
      <c r="O3795">
        <v>68.691986306020496</v>
      </c>
      <c r="P3795">
        <v>-0.139640942763363</v>
      </c>
      <c r="Q3795">
        <v>0</v>
      </c>
      <c r="R3795">
        <v>0.761519889100157</v>
      </c>
      <c r="S3795" t="s">
        <v>10441</v>
      </c>
      <c r="T3795" t="s">
        <v>13290</v>
      </c>
      <c r="U3795" t="s">
        <v>13290</v>
      </c>
      <c r="V3795" t="s">
        <v>13290</v>
      </c>
      <c r="W3795" t="s">
        <v>17040</v>
      </c>
      <c r="X3795">
        <v>10</v>
      </c>
      <c r="Y3795" t="s">
        <v>23542</v>
      </c>
      <c r="Z3795" t="s">
        <v>30125</v>
      </c>
      <c r="AA3795">
        <v>0.93935003654850102</v>
      </c>
      <c r="AB3795" t="str">
        <f>HYPERLINK("Melting_Curves/meltCurve_Q53H96_PYCRL.pdf", "Melting_Curves/meltCurve_Q53H96_PYCRL.pdf")</f>
        <v>Melting_Curves/meltCurve_Q53H96_PYCRL.pdf</v>
      </c>
    </row>
    <row r="3796" spans="1:28" x14ac:dyDescent="0.25">
      <c r="A3796" t="s">
        <v>3800</v>
      </c>
      <c r="B3796">
        <v>0.99252571173614901</v>
      </c>
      <c r="C3796">
        <v>1.0446650893546801</v>
      </c>
      <c r="D3796">
        <v>0.99313236295558704</v>
      </c>
      <c r="E3796">
        <v>0.91716443571262096</v>
      </c>
      <c r="F3796">
        <v>0.775158448873143</v>
      </c>
      <c r="G3796">
        <v>0.40986626605234899</v>
      </c>
      <c r="H3796">
        <v>0.110192368054375</v>
      </c>
      <c r="I3796">
        <v>9.0570227957678301E-2</v>
      </c>
      <c r="J3796">
        <v>9.0323881373619505E-2</v>
      </c>
      <c r="K3796">
        <v>8.4134232026874006E-2</v>
      </c>
      <c r="L3796">
        <v>1462.3742764369699</v>
      </c>
      <c r="M3796">
        <v>26.368543398230699</v>
      </c>
      <c r="N3796">
        <v>55.760026879412401</v>
      </c>
      <c r="O3796">
        <v>55.1430212758004</v>
      </c>
      <c r="P3796">
        <v>-0.11161748707555701</v>
      </c>
      <c r="Q3796">
        <v>6.6333183547753402E-2</v>
      </c>
      <c r="R3796">
        <v>0.99624197968955897</v>
      </c>
      <c r="S3796" t="s">
        <v>10442</v>
      </c>
      <c r="T3796" t="s">
        <v>13290</v>
      </c>
      <c r="U3796" t="s">
        <v>13290</v>
      </c>
      <c r="V3796" t="s">
        <v>13290</v>
      </c>
      <c r="W3796" t="s">
        <v>17041</v>
      </c>
      <c r="X3796">
        <v>15</v>
      </c>
      <c r="Y3796" t="s">
        <v>23543</v>
      </c>
      <c r="Z3796" t="s">
        <v>30126</v>
      </c>
      <c r="AA3796">
        <v>0.55530718644191279</v>
      </c>
      <c r="AB3796" t="str">
        <f>HYPERLINK("Melting_Curves/meltCurve_Q53HC9_TSSC1.pdf", "Melting_Curves/meltCurve_Q53HC9_TSSC1.pdf")</f>
        <v>Melting_Curves/meltCurve_Q53HC9_TSSC1.pdf</v>
      </c>
    </row>
    <row r="3797" spans="1:28" x14ac:dyDescent="0.25">
      <c r="A3797" t="s">
        <v>3801</v>
      </c>
      <c r="B3797">
        <v>0.99252571173614901</v>
      </c>
      <c r="C3797">
        <v>1.0600575822553</v>
      </c>
      <c r="D3797">
        <v>0.89120018892631203</v>
      </c>
      <c r="E3797">
        <v>0.57303951012234899</v>
      </c>
      <c r="F3797">
        <v>0.182804201840951</v>
      </c>
      <c r="G3797">
        <v>7.5999280852970599E-2</v>
      </c>
      <c r="H3797">
        <v>5.20303589740072E-2</v>
      </c>
      <c r="I3797">
        <v>6.6441742695931394E-2</v>
      </c>
      <c r="J3797">
        <v>8.0514558688793494E-2</v>
      </c>
      <c r="K3797">
        <v>6.3023073791600298E-2</v>
      </c>
      <c r="L3797">
        <v>1448.8926738936</v>
      </c>
      <c r="M3797">
        <v>29.078439945809102</v>
      </c>
      <c r="N3797">
        <v>50.049775010686602</v>
      </c>
      <c r="O3797">
        <v>49.593171956921502</v>
      </c>
      <c r="P3797">
        <v>-0.13768957759011899</v>
      </c>
      <c r="Q3797">
        <v>6.0690663679882899E-2</v>
      </c>
      <c r="R3797">
        <v>0.99600036742662001</v>
      </c>
      <c r="S3797" t="s">
        <v>10443</v>
      </c>
      <c r="T3797" t="s">
        <v>13290</v>
      </c>
      <c r="U3797" t="s">
        <v>13290</v>
      </c>
      <c r="V3797" t="s">
        <v>13290</v>
      </c>
      <c r="W3797" t="s">
        <v>17042</v>
      </c>
      <c r="X3797">
        <v>3</v>
      </c>
      <c r="Y3797" t="s">
        <v>23544</v>
      </c>
      <c r="Z3797" t="s">
        <v>30127</v>
      </c>
      <c r="AA3797">
        <v>0.37455039888120861</v>
      </c>
      <c r="AB3797" t="str">
        <f>HYPERLINK("Melting_Curves/meltCurve_Q53HV7_SMUG1.pdf", "Melting_Curves/meltCurve_Q53HV7_SMUG1.pdf")</f>
        <v>Melting_Curves/meltCurve_Q53HV7_SMUG1.pdf</v>
      </c>
    </row>
    <row r="3798" spans="1:28" x14ac:dyDescent="0.25">
      <c r="A3798" t="s">
        <v>3802</v>
      </c>
      <c r="B3798">
        <v>0.99252571173614901</v>
      </c>
      <c r="C3798">
        <v>0.83826749642128595</v>
      </c>
      <c r="D3798">
        <v>0.73907615926615899</v>
      </c>
      <c r="E3798">
        <v>0.329292560277891</v>
      </c>
      <c r="F3798">
        <v>0.22443664474071501</v>
      </c>
      <c r="G3798">
        <v>0.123787449936441</v>
      </c>
      <c r="H3798">
        <v>0.113360340577684</v>
      </c>
      <c r="I3798">
        <v>0.15830631856847499</v>
      </c>
      <c r="J3798">
        <v>0.16368638958708201</v>
      </c>
      <c r="K3798">
        <v>0.157200944593932</v>
      </c>
      <c r="L3798">
        <v>1019.17280711993</v>
      </c>
      <c r="M3798">
        <v>21.599073018010799</v>
      </c>
      <c r="N3798">
        <v>47.900442716607202</v>
      </c>
      <c r="O3798">
        <v>46.787061010371097</v>
      </c>
      <c r="P3798">
        <v>-9.9520121129515804E-2</v>
      </c>
      <c r="Q3798">
        <v>0.13771444121054599</v>
      </c>
      <c r="R3798">
        <v>0.98729652654190203</v>
      </c>
      <c r="S3798" t="s">
        <v>10444</v>
      </c>
      <c r="T3798" t="s">
        <v>13290</v>
      </c>
      <c r="U3798" t="s">
        <v>13290</v>
      </c>
      <c r="V3798" t="s">
        <v>13290</v>
      </c>
      <c r="W3798" t="s">
        <v>17043</v>
      </c>
      <c r="X3798">
        <v>2</v>
      </c>
      <c r="Y3798" t="s">
        <v>23545</v>
      </c>
      <c r="Z3798" t="s">
        <v>30128</v>
      </c>
      <c r="AA3798">
        <v>0.3548427354433053</v>
      </c>
      <c r="AB3798" t="str">
        <f>HYPERLINK("Melting_Curves/meltCurve_Q53LP3_SOWAHC.pdf", "Melting_Curves/meltCurve_Q53LP3_SOWAHC.pdf")</f>
        <v>Melting_Curves/meltCurve_Q53LP3_SOWAHC.pdf</v>
      </c>
    </row>
    <row r="3799" spans="1:28" x14ac:dyDescent="0.25">
      <c r="A3799" t="s">
        <v>3803</v>
      </c>
      <c r="B3799">
        <v>0.99252571173614901</v>
      </c>
      <c r="C3799">
        <v>0.79756350115294805</v>
      </c>
      <c r="D3799">
        <v>0.63596663596035796</v>
      </c>
      <c r="E3799">
        <v>0.26800588060515201</v>
      </c>
      <c r="F3799">
        <v>0.13584763936073099</v>
      </c>
      <c r="G3799">
        <v>5.8856307377603202E-2</v>
      </c>
      <c r="H3799">
        <v>3.7332359924158502E-2</v>
      </c>
      <c r="I3799">
        <v>3.8012450005437799E-2</v>
      </c>
      <c r="J3799">
        <v>3.6824014874639897E-2</v>
      </c>
      <c r="K3799">
        <v>3.0344939283062099E-2</v>
      </c>
      <c r="L3799">
        <v>849.72439783151503</v>
      </c>
      <c r="M3799">
        <v>18.121273233621199</v>
      </c>
      <c r="N3799">
        <v>47.032508340558699</v>
      </c>
      <c r="O3799">
        <v>46.331140204990902</v>
      </c>
      <c r="P3799">
        <v>-9.51913784889558E-2</v>
      </c>
      <c r="Q3799">
        <v>2.6533481815874099E-2</v>
      </c>
      <c r="R3799">
        <v>0.99519444372503096</v>
      </c>
      <c r="S3799" t="s">
        <v>10445</v>
      </c>
      <c r="T3799" t="s">
        <v>13290</v>
      </c>
      <c r="U3799" t="s">
        <v>13290</v>
      </c>
      <c r="V3799" t="s">
        <v>13290</v>
      </c>
      <c r="W3799" t="s">
        <v>17044</v>
      </c>
      <c r="X3799">
        <v>2</v>
      </c>
      <c r="Y3799" t="s">
        <v>23546</v>
      </c>
      <c r="Z3799" t="s">
        <v>30129</v>
      </c>
      <c r="AA3799">
        <v>0.26793411309096088</v>
      </c>
      <c r="AB3799" t="str">
        <f>HYPERLINK("Melting_Curves/meltCurve_Q53R41_FASTKD1.pdf", "Melting_Curves/meltCurve_Q53R41_FASTKD1.pdf")</f>
        <v>Melting_Curves/meltCurve_Q53R41_FASTKD1.pdf</v>
      </c>
    </row>
    <row r="3800" spans="1:28" x14ac:dyDescent="0.25">
      <c r="A3800" t="s">
        <v>3804</v>
      </c>
      <c r="B3800">
        <v>0.99252571173614901</v>
      </c>
      <c r="C3800">
        <v>1.0968530450104399</v>
      </c>
      <c r="D3800">
        <v>0.90971957253374203</v>
      </c>
      <c r="E3800">
        <v>0.90803473681193103</v>
      </c>
      <c r="F3800">
        <v>0.59196062105589098</v>
      </c>
      <c r="G3800">
        <v>0.32126404726228702</v>
      </c>
      <c r="H3800">
        <v>0.21104324230264199</v>
      </c>
      <c r="I3800">
        <v>0.17688739854350999</v>
      </c>
      <c r="J3800">
        <v>0.18808424939006199</v>
      </c>
      <c r="K3800">
        <v>0.17602393454126999</v>
      </c>
      <c r="L3800">
        <v>1330.9246893853101</v>
      </c>
      <c r="M3800">
        <v>24.9706256768679</v>
      </c>
      <c r="N3800">
        <v>54.229211527984198</v>
      </c>
      <c r="O3800">
        <v>52.961302566588103</v>
      </c>
      <c r="P3800">
        <v>-9.7350691206422396E-2</v>
      </c>
      <c r="Q3800">
        <v>0.17410961831996499</v>
      </c>
      <c r="R3800">
        <v>0.98799150320391105</v>
      </c>
      <c r="S3800" t="s">
        <v>10446</v>
      </c>
      <c r="T3800" t="s">
        <v>13290</v>
      </c>
      <c r="U3800" t="s">
        <v>13290</v>
      </c>
      <c r="V3800" t="s">
        <v>13290</v>
      </c>
      <c r="W3800" t="s">
        <v>17045</v>
      </c>
      <c r="X3800">
        <v>1</v>
      </c>
      <c r="Y3800" t="s">
        <v>23547</v>
      </c>
      <c r="Z3800" t="s">
        <v>30130</v>
      </c>
      <c r="AA3800">
        <v>0.54787936654662905</v>
      </c>
      <c r="AB3800" t="str">
        <f>HYPERLINK("Melting_Curves/meltCurve_Q53RT3_ASPRV1.pdf", "Melting_Curves/meltCurve_Q53RT3_ASPRV1.pdf")</f>
        <v>Melting_Curves/meltCurve_Q53RT3_ASPRV1.pdf</v>
      </c>
    </row>
    <row r="3801" spans="1:28" x14ac:dyDescent="0.25">
      <c r="A3801" t="s">
        <v>3805</v>
      </c>
      <c r="B3801">
        <v>0.99252571173614901</v>
      </c>
      <c r="C3801">
        <v>1.09071475403715</v>
      </c>
      <c r="D3801">
        <v>0.979544822556217</v>
      </c>
      <c r="E3801">
        <v>0.80306764269758402</v>
      </c>
      <c r="F3801">
        <v>0.619935258981819</v>
      </c>
      <c r="G3801">
        <v>0.43260374006737401</v>
      </c>
      <c r="H3801">
        <v>0.31100924963669901</v>
      </c>
      <c r="I3801">
        <v>0.31050852132976098</v>
      </c>
      <c r="J3801">
        <v>0.39661899265853401</v>
      </c>
      <c r="K3801">
        <v>0.37878011550253499</v>
      </c>
      <c r="L3801">
        <v>1189.5528701353301</v>
      </c>
      <c r="M3801">
        <v>22.867259288367901</v>
      </c>
      <c r="N3801">
        <v>54.813576967916703</v>
      </c>
      <c r="O3801">
        <v>51.626989092868399</v>
      </c>
      <c r="P3801">
        <v>-7.2629943198783298E-2</v>
      </c>
      <c r="Q3801">
        <v>0.344111435421731</v>
      </c>
      <c r="R3801">
        <v>0.97677948846199403</v>
      </c>
      <c r="S3801" t="s">
        <v>10447</v>
      </c>
      <c r="T3801" t="s">
        <v>13290</v>
      </c>
      <c r="U3801" t="s">
        <v>13290</v>
      </c>
      <c r="V3801" t="s">
        <v>13290</v>
      </c>
      <c r="W3801" t="s">
        <v>17046</v>
      </c>
      <c r="X3801">
        <v>7</v>
      </c>
      <c r="Y3801" t="s">
        <v>23548</v>
      </c>
      <c r="Z3801" t="s">
        <v>30131</v>
      </c>
      <c r="AA3801">
        <v>0.61399821549334554</v>
      </c>
      <c r="AB3801" t="str">
        <f>HYPERLINK("Melting_Curves/meltCurve_Q53S33_BOLA3.pdf", "Melting_Curves/meltCurve_Q53S33_BOLA3.pdf")</f>
        <v>Melting_Curves/meltCurve_Q53S33_BOLA3.pdf</v>
      </c>
    </row>
    <row r="3802" spans="1:28" x14ac:dyDescent="0.25">
      <c r="A3802" t="s">
        <v>3806</v>
      </c>
      <c r="B3802">
        <v>0.99252571173614901</v>
      </c>
      <c r="C3802">
        <v>1.06047795398994</v>
      </c>
      <c r="D3802">
        <v>0.87496009862356705</v>
      </c>
      <c r="E3802">
        <v>0.67567224575251195</v>
      </c>
      <c r="F3802">
        <v>0.25748769901284801</v>
      </c>
      <c r="G3802">
        <v>0.160781607916992</v>
      </c>
      <c r="H3802">
        <v>0.1499468693513</v>
      </c>
      <c r="I3802">
        <v>0.22363997398327301</v>
      </c>
      <c r="J3802">
        <v>0.19719228674137099</v>
      </c>
      <c r="K3802">
        <v>0.190411360125079</v>
      </c>
      <c r="L3802">
        <v>1617.49913245621</v>
      </c>
      <c r="M3802">
        <v>32.332971397656401</v>
      </c>
      <c r="N3802">
        <v>50.715866599425397</v>
      </c>
      <c r="O3802">
        <v>49.8360826283186</v>
      </c>
      <c r="P3802">
        <v>-0.133349302073551</v>
      </c>
      <c r="Q3802">
        <v>0.177857442879026</v>
      </c>
      <c r="R3802">
        <v>0.98705307636569595</v>
      </c>
      <c r="S3802" t="s">
        <v>10448</v>
      </c>
      <c r="T3802" t="s">
        <v>13290</v>
      </c>
      <c r="U3802" t="s">
        <v>13290</v>
      </c>
      <c r="V3802" t="s">
        <v>13290</v>
      </c>
      <c r="W3802" t="s">
        <v>17047</v>
      </c>
      <c r="X3802">
        <v>7</v>
      </c>
      <c r="Y3802" t="s">
        <v>23549</v>
      </c>
      <c r="Z3802" t="s">
        <v>30132</v>
      </c>
      <c r="AA3802">
        <v>0.45699783891150042</v>
      </c>
      <c r="AB3802" t="str">
        <f>HYPERLINK("Melting_Curves/meltCurve_Q53SF7_4_COBLL1.pdf", "Melting_Curves/meltCurve_Q53SF7_4_COBLL1.pdf")</f>
        <v>Melting_Curves/meltCurve_Q53SF7_4_COBLL1.pdf</v>
      </c>
    </row>
    <row r="3803" spans="1:28" x14ac:dyDescent="0.25">
      <c r="A3803" t="s">
        <v>3807</v>
      </c>
      <c r="B3803">
        <v>0.99252571173614901</v>
      </c>
      <c r="C3803">
        <v>1.07084762920692</v>
      </c>
      <c r="D3803">
        <v>0.80454506847724006</v>
      </c>
      <c r="E3803">
        <v>0.34933501376035397</v>
      </c>
      <c r="F3803">
        <v>0.19429113705548001</v>
      </c>
      <c r="G3803">
        <v>0.11515150976169</v>
      </c>
      <c r="H3803">
        <v>8.6902232072581395E-2</v>
      </c>
      <c r="I3803">
        <v>9.1135733106047098E-2</v>
      </c>
      <c r="J3803">
        <v>0.13998320269473699</v>
      </c>
      <c r="K3803">
        <v>0.11868137752192701</v>
      </c>
      <c r="L3803">
        <v>1506.79719408184</v>
      </c>
      <c r="M3803">
        <v>31.377293407879002</v>
      </c>
      <c r="N3803">
        <v>48.426320974113899</v>
      </c>
      <c r="O3803">
        <v>47.8281026732448</v>
      </c>
      <c r="P3803">
        <v>-0.14510761157631599</v>
      </c>
      <c r="Q3803">
        <v>0.115260316607045</v>
      </c>
      <c r="R3803">
        <v>0.99136287723445105</v>
      </c>
      <c r="S3803" t="s">
        <v>10449</v>
      </c>
      <c r="T3803" t="s">
        <v>13290</v>
      </c>
      <c r="U3803" t="s">
        <v>13290</v>
      </c>
      <c r="V3803" t="s">
        <v>13290</v>
      </c>
      <c r="W3803" t="s">
        <v>17048</v>
      </c>
      <c r="X3803">
        <v>9</v>
      </c>
      <c r="Y3803" t="s">
        <v>23550</v>
      </c>
      <c r="Z3803" t="s">
        <v>30133</v>
      </c>
      <c r="AA3803">
        <v>0.35668718580583653</v>
      </c>
      <c r="AB3803" t="str">
        <f>HYPERLINK("Melting_Curves/meltCurve_Q53T59_HS1BP3.pdf", "Melting_Curves/meltCurve_Q53T59_HS1BP3.pdf")</f>
        <v>Melting_Curves/meltCurve_Q53T59_HS1BP3.pdf</v>
      </c>
    </row>
    <row r="3804" spans="1:28" x14ac:dyDescent="0.25">
      <c r="A3804" t="s">
        <v>3808</v>
      </c>
      <c r="B3804">
        <v>0.99252571173614901</v>
      </c>
      <c r="C3804">
        <v>0.88785597334866195</v>
      </c>
      <c r="D3804">
        <v>0.70998353821728</v>
      </c>
      <c r="E3804">
        <v>0.54692752888594798</v>
      </c>
      <c r="F3804">
        <v>0.28564690255698699</v>
      </c>
      <c r="G3804">
        <v>0.14494124518120099</v>
      </c>
      <c r="H3804">
        <v>0.15577853417165499</v>
      </c>
      <c r="I3804">
        <v>0.215829404968538</v>
      </c>
      <c r="J3804">
        <v>0.34967902300919201</v>
      </c>
      <c r="K3804">
        <v>0.39163124743392902</v>
      </c>
      <c r="L3804">
        <v>958.28251780334801</v>
      </c>
      <c r="M3804">
        <v>20.218803625545501</v>
      </c>
      <c r="N3804">
        <v>49.049028377832997</v>
      </c>
      <c r="O3804">
        <v>46.939276054658599</v>
      </c>
      <c r="P3804">
        <v>-8.1080694214283003E-2</v>
      </c>
      <c r="Q3804">
        <v>0.24708686731443799</v>
      </c>
      <c r="R3804">
        <v>0.91852961480455697</v>
      </c>
      <c r="S3804" t="s">
        <v>10450</v>
      </c>
      <c r="T3804" t="s">
        <v>13290</v>
      </c>
      <c r="U3804" t="s">
        <v>13290</v>
      </c>
      <c r="V3804" t="s">
        <v>13290</v>
      </c>
      <c r="W3804" t="s">
        <v>17049</v>
      </c>
      <c r="X3804">
        <v>2</v>
      </c>
      <c r="Y3804" t="s">
        <v>23551</v>
      </c>
      <c r="Z3804" t="s">
        <v>30134</v>
      </c>
      <c r="AA3804">
        <v>0.44330866816199699</v>
      </c>
      <c r="AB3804" t="str">
        <f>HYPERLINK("Melting_Curves/meltCurve_Q562F6_2_SGOL2.pdf", "Melting_Curves/meltCurve_Q562F6_2_SGOL2.pdf")</f>
        <v>Melting_Curves/meltCurve_Q562F6_2_SGOL2.pdf</v>
      </c>
    </row>
    <row r="3805" spans="1:28" x14ac:dyDescent="0.25">
      <c r="A3805" t="s">
        <v>3809</v>
      </c>
      <c r="B3805">
        <v>0.99252571173614901</v>
      </c>
      <c r="C3805">
        <v>0.93053344703387697</v>
      </c>
      <c r="D3805">
        <v>0.83912913471901796</v>
      </c>
      <c r="E3805">
        <v>0.79773202498440998</v>
      </c>
      <c r="F3805">
        <v>0.64217836593355504</v>
      </c>
      <c r="G3805">
        <v>0.50580049833218299</v>
      </c>
      <c r="H3805">
        <v>0.48288056016431502</v>
      </c>
      <c r="I3805">
        <v>0.57921339721606502</v>
      </c>
      <c r="J3805">
        <v>0.81151632460313505</v>
      </c>
      <c r="K3805">
        <v>0.747026879231806</v>
      </c>
      <c r="L3805">
        <v>959.28504848467298</v>
      </c>
      <c r="M3805">
        <v>20.356271881139701</v>
      </c>
      <c r="O3805">
        <v>46.677079197751603</v>
      </c>
      <c r="P3805">
        <v>-4.0598838047413897E-2</v>
      </c>
      <c r="Q3805">
        <v>0.62763758182111296</v>
      </c>
      <c r="R3805">
        <v>0.64859283386503797</v>
      </c>
      <c r="S3805" t="s">
        <v>10451</v>
      </c>
      <c r="T3805" t="s">
        <v>13290</v>
      </c>
      <c r="U3805" t="s">
        <v>13290</v>
      </c>
      <c r="V3805" t="s">
        <v>13290</v>
      </c>
      <c r="W3805" t="s">
        <v>17050</v>
      </c>
      <c r="X3805">
        <v>8</v>
      </c>
      <c r="Y3805" t="s">
        <v>23552</v>
      </c>
      <c r="Z3805" t="s">
        <v>30135</v>
      </c>
      <c r="AA3805">
        <v>0.7212891325714601</v>
      </c>
      <c r="AB3805" t="str">
        <f>HYPERLINK("Melting_Curves/meltCurve_Q56VL3_OCIAD2.pdf", "Melting_Curves/meltCurve_Q56VL3_OCIAD2.pdf")</f>
        <v>Melting_Curves/meltCurve_Q56VL3_OCIAD2.pdf</v>
      </c>
    </row>
    <row r="3806" spans="1:28" x14ac:dyDescent="0.25">
      <c r="A3806" t="s">
        <v>3810</v>
      </c>
      <c r="B3806">
        <v>0.99252571173614901</v>
      </c>
      <c r="C3806">
        <v>0.93809438854790195</v>
      </c>
      <c r="D3806">
        <v>0.89561621686960602</v>
      </c>
      <c r="E3806">
        <v>0.96151155673301902</v>
      </c>
      <c r="F3806">
        <v>0.57604201382668796</v>
      </c>
      <c r="G3806">
        <v>0.52298723128538505</v>
      </c>
      <c r="H3806">
        <v>0.47637931637807601</v>
      </c>
      <c r="I3806">
        <v>0.67242753532147004</v>
      </c>
      <c r="J3806">
        <v>1.2148462953763399</v>
      </c>
      <c r="K3806">
        <v>0.97673454899839096</v>
      </c>
      <c r="L3806">
        <v>12486.827122057801</v>
      </c>
      <c r="M3806">
        <v>250</v>
      </c>
      <c r="O3806">
        <v>49.944113387007299</v>
      </c>
      <c r="P3806">
        <v>-0.32548528009376099</v>
      </c>
      <c r="Q3806">
        <v>0.73990282677016095</v>
      </c>
      <c r="R3806">
        <v>0.17321183449900901</v>
      </c>
      <c r="S3806" t="s">
        <v>10452</v>
      </c>
      <c r="T3806" t="s">
        <v>13290</v>
      </c>
      <c r="U3806" t="s">
        <v>13290</v>
      </c>
      <c r="V3806" t="s">
        <v>13290</v>
      </c>
      <c r="W3806" t="s">
        <v>17051</v>
      </c>
      <c r="X3806">
        <v>1</v>
      </c>
      <c r="Y3806" t="s">
        <v>23553</v>
      </c>
      <c r="Z3806" t="s">
        <v>30136</v>
      </c>
      <c r="AA3806">
        <v>0.82616785334393938</v>
      </c>
      <c r="AB3806" t="str">
        <f>HYPERLINK("Melting_Curves/meltCurve_Q587I9_SFT2D3.pdf", "Melting_Curves/meltCurve_Q587I9_SFT2D3.pdf")</f>
        <v>Melting_Curves/meltCurve_Q587I9_SFT2D3.pdf</v>
      </c>
    </row>
    <row r="3807" spans="1:28" x14ac:dyDescent="0.25">
      <c r="A3807" t="s">
        <v>3811</v>
      </c>
      <c r="B3807">
        <v>0.99252571173614901</v>
      </c>
      <c r="C3807">
        <v>0.99244586346566099</v>
      </c>
      <c r="D3807">
        <v>0.91946199989636401</v>
      </c>
      <c r="E3807">
        <v>0.55290356562437804</v>
      </c>
      <c r="F3807">
        <v>4.6226589763493101E-2</v>
      </c>
      <c r="G3807">
        <v>3.8937481690549502E-2</v>
      </c>
      <c r="H3807">
        <v>2.2349664182790399E-2</v>
      </c>
      <c r="I3807">
        <v>2.8540492796990401E-2</v>
      </c>
      <c r="J3807">
        <v>2.0133856241966501E-2</v>
      </c>
      <c r="K3807">
        <v>1.8095450260831099E-2</v>
      </c>
      <c r="L3807">
        <v>2084.0432065125501</v>
      </c>
      <c r="M3807">
        <v>41.8954443674996</v>
      </c>
      <c r="N3807">
        <v>49.790201897816303</v>
      </c>
      <c r="O3807">
        <v>49.630990817335302</v>
      </c>
      <c r="P3807">
        <v>-0.207004894081531</v>
      </c>
      <c r="Q3807">
        <v>1.90974157166931E-2</v>
      </c>
      <c r="R3807">
        <v>0.99772182698057599</v>
      </c>
      <c r="S3807" t="s">
        <v>10453</v>
      </c>
      <c r="T3807" t="s">
        <v>13290</v>
      </c>
      <c r="U3807" t="s">
        <v>13290</v>
      </c>
      <c r="V3807" t="s">
        <v>13290</v>
      </c>
      <c r="W3807" t="s">
        <v>17052</v>
      </c>
      <c r="X3807">
        <v>2</v>
      </c>
      <c r="Y3807" t="s">
        <v>23554</v>
      </c>
      <c r="Z3807" t="s">
        <v>30137</v>
      </c>
      <c r="AA3807">
        <v>0.34076503431712202</v>
      </c>
      <c r="AB3807" t="str">
        <f>HYPERLINK("Melting_Curves/meltCurve_Q587J8_KHDC3L.pdf", "Melting_Curves/meltCurve_Q587J8_KHDC3L.pdf")</f>
        <v>Melting_Curves/meltCurve_Q587J8_KHDC3L.pdf</v>
      </c>
    </row>
    <row r="3808" spans="1:28" x14ac:dyDescent="0.25">
      <c r="A3808" t="s">
        <v>3812</v>
      </c>
      <c r="B3808">
        <v>0.99252571173614901</v>
      </c>
      <c r="C3808">
        <v>1.0148763540282999</v>
      </c>
      <c r="D3808">
        <v>0.94231362820255005</v>
      </c>
      <c r="E3808">
        <v>0.61683475497880402</v>
      </c>
      <c r="F3808">
        <v>0.15281235053980699</v>
      </c>
      <c r="G3808">
        <v>9.6773202535956906E-2</v>
      </c>
      <c r="H3808">
        <v>6.2060434893388999E-2</v>
      </c>
      <c r="I3808">
        <v>5.8768846214485297E-2</v>
      </c>
      <c r="J3808">
        <v>6.6315136218316806E-2</v>
      </c>
      <c r="K3808">
        <v>6.4663922901351298E-2</v>
      </c>
      <c r="L3808">
        <v>1791.7050259191101</v>
      </c>
      <c r="M3808">
        <v>35.789026051641997</v>
      </c>
      <c r="N3808">
        <v>50.257577032196799</v>
      </c>
      <c r="O3808">
        <v>49.907448405902201</v>
      </c>
      <c r="P3808">
        <v>-0.16767779752289699</v>
      </c>
      <c r="Q3808">
        <v>6.4702970595117107E-2</v>
      </c>
      <c r="R3808">
        <v>0.99918120259141097</v>
      </c>
      <c r="S3808" t="s">
        <v>10454</v>
      </c>
      <c r="T3808" t="s">
        <v>13290</v>
      </c>
      <c r="U3808" t="s">
        <v>13290</v>
      </c>
      <c r="V3808" t="s">
        <v>13290</v>
      </c>
      <c r="W3808" t="s">
        <v>17053</v>
      </c>
      <c r="X3808">
        <v>18</v>
      </c>
      <c r="Y3808" t="s">
        <v>23555</v>
      </c>
      <c r="Z3808" t="s">
        <v>30138</v>
      </c>
      <c r="AA3808">
        <v>0.38248495393271581</v>
      </c>
      <c r="AB3808" t="str">
        <f>HYPERLINK("Melting_Curves/meltCurve_Q58FF8_HSP90AB2P.pdf", "Melting_Curves/meltCurve_Q58FF8_HSP90AB2P.pdf")</f>
        <v>Melting_Curves/meltCurve_Q58FF8_HSP90AB2P.pdf</v>
      </c>
    </row>
    <row r="3809" spans="1:28" x14ac:dyDescent="0.25">
      <c r="A3809" t="s">
        <v>3813</v>
      </c>
      <c r="B3809">
        <v>0.99252571173614901</v>
      </c>
      <c r="C3809">
        <v>1.05446864386663</v>
      </c>
      <c r="D3809">
        <v>1.25487544888026</v>
      </c>
      <c r="E3809">
        <v>2.5381940215951899</v>
      </c>
      <c r="F3809">
        <v>0.18551541491062301</v>
      </c>
      <c r="G3809">
        <v>0.17089703666344</v>
      </c>
      <c r="H3809">
        <v>9.5773930292439996E-2</v>
      </c>
      <c r="I3809">
        <v>9.6654739460956193E-2</v>
      </c>
      <c r="J3809">
        <v>0.129812218014106</v>
      </c>
      <c r="K3809">
        <v>0.143197755798326</v>
      </c>
      <c r="L3809">
        <v>13159.6735924285</v>
      </c>
      <c r="M3809">
        <v>250</v>
      </c>
      <c r="N3809">
        <v>52.700618810483697</v>
      </c>
      <c r="O3809">
        <v>52.635327138376901</v>
      </c>
      <c r="P3809">
        <v>-1.0362977297495299</v>
      </c>
      <c r="Q3809">
        <v>0.12726610221281201</v>
      </c>
      <c r="R3809">
        <v>0.57931089965405203</v>
      </c>
      <c r="S3809" t="s">
        <v>10455</v>
      </c>
      <c r="T3809" t="s">
        <v>13290</v>
      </c>
      <c r="U3809" t="s">
        <v>13290</v>
      </c>
      <c r="V3809" t="s">
        <v>13290</v>
      </c>
      <c r="W3809" t="s">
        <v>17054</v>
      </c>
      <c r="X3809">
        <v>4</v>
      </c>
      <c r="Y3809" t="s">
        <v>23556</v>
      </c>
      <c r="Z3809" t="s">
        <v>30139</v>
      </c>
      <c r="AA3809">
        <v>0.49502062545567732</v>
      </c>
      <c r="AB3809" t="str">
        <f>HYPERLINK("Melting_Curves/meltCurve_Q58FG1_HSP90AA4P.pdf", "Melting_Curves/meltCurve_Q58FG1_HSP90AA4P.pdf")</f>
        <v>Melting_Curves/meltCurve_Q58FG1_HSP90AA4P.pdf</v>
      </c>
    </row>
    <row r="3810" spans="1:28" x14ac:dyDescent="0.25">
      <c r="A3810" t="s">
        <v>3814</v>
      </c>
      <c r="B3810">
        <v>0.99252571173614901</v>
      </c>
      <c r="C3810">
        <v>0.98526746470997495</v>
      </c>
      <c r="D3810">
        <v>0.98183975682878</v>
      </c>
      <c r="E3810">
        <v>0.94223250080333898</v>
      </c>
      <c r="F3810">
        <v>0.66731807922058495</v>
      </c>
      <c r="G3810">
        <v>0.46445868592961898</v>
      </c>
      <c r="H3810">
        <v>0.39806524134413401</v>
      </c>
      <c r="I3810">
        <v>0.247911563439216</v>
      </c>
      <c r="J3810">
        <v>0.32633742703410701</v>
      </c>
      <c r="K3810">
        <v>0.28381761428163799</v>
      </c>
      <c r="L3810">
        <v>1196.1797084027301</v>
      </c>
      <c r="M3810">
        <v>22.2093991978122</v>
      </c>
      <c r="N3810">
        <v>56.0589235011497</v>
      </c>
      <c r="O3810">
        <v>53.428216990650398</v>
      </c>
      <c r="P3810">
        <v>-7.3698900436508702E-2</v>
      </c>
      <c r="Q3810">
        <v>0.29083790007086902</v>
      </c>
      <c r="R3810">
        <v>0.98915550420655196</v>
      </c>
      <c r="S3810" t="s">
        <v>10456</v>
      </c>
      <c r="T3810" t="s">
        <v>13290</v>
      </c>
      <c r="U3810" t="s">
        <v>13290</v>
      </c>
      <c r="V3810" t="s">
        <v>13290</v>
      </c>
      <c r="W3810" t="s">
        <v>17055</v>
      </c>
      <c r="X3810">
        <v>9</v>
      </c>
      <c r="Y3810" t="s">
        <v>23557</v>
      </c>
      <c r="Z3810" t="s">
        <v>30140</v>
      </c>
      <c r="AA3810">
        <v>0.62655141545945126</v>
      </c>
      <c r="AB3810" t="str">
        <f>HYPERLINK("Melting_Curves/meltCurve_Q58WW2_DCAF6.pdf", "Melting_Curves/meltCurve_Q58WW2_DCAF6.pdf")</f>
        <v>Melting_Curves/meltCurve_Q58WW2_DCAF6.pdf</v>
      </c>
    </row>
    <row r="3811" spans="1:28" x14ac:dyDescent="0.25">
      <c r="A3811" t="s">
        <v>3815</v>
      </c>
      <c r="B3811">
        <v>0.99252571173614901</v>
      </c>
      <c r="C3811">
        <v>1.0587724493045201</v>
      </c>
      <c r="D3811">
        <v>1.0115109635889299</v>
      </c>
      <c r="E3811">
        <v>0.90537395536091902</v>
      </c>
      <c r="F3811">
        <v>0.49378405715588197</v>
      </c>
      <c r="G3811">
        <v>0.26112061864000402</v>
      </c>
      <c r="H3811">
        <v>0.18932165502742601</v>
      </c>
      <c r="I3811">
        <v>0.17256379574206099</v>
      </c>
      <c r="J3811">
        <v>0.18314154468867799</v>
      </c>
      <c r="K3811">
        <v>0.195796014125801</v>
      </c>
      <c r="L3811">
        <v>1785.47347549047</v>
      </c>
      <c r="M3811">
        <v>34.020486532225299</v>
      </c>
      <c r="N3811">
        <v>53.209720464396099</v>
      </c>
      <c r="O3811">
        <v>52.3019636052652</v>
      </c>
      <c r="P3811">
        <v>-0.13237632627017201</v>
      </c>
      <c r="Q3811">
        <v>0.18595944453265001</v>
      </c>
      <c r="R3811">
        <v>0.99671221545364996</v>
      </c>
      <c r="S3811" t="s">
        <v>10457</v>
      </c>
      <c r="T3811" t="s">
        <v>13290</v>
      </c>
      <c r="U3811" t="s">
        <v>13290</v>
      </c>
      <c r="V3811" t="s">
        <v>13290</v>
      </c>
      <c r="W3811" t="s">
        <v>17056</v>
      </c>
      <c r="X3811">
        <v>2</v>
      </c>
      <c r="Y3811" t="s">
        <v>23558</v>
      </c>
      <c r="Z3811" t="s">
        <v>30141</v>
      </c>
      <c r="AA3811">
        <v>0.52874474046713982</v>
      </c>
      <c r="AB3811" t="str">
        <f>HYPERLINK("Melting_Curves/meltCurve_Q59GN2_RPL39P5.pdf", "Melting_Curves/meltCurve_Q59GN2_RPL39P5.pdf")</f>
        <v>Melting_Curves/meltCurve_Q59GN2_RPL39P5.pdf</v>
      </c>
    </row>
    <row r="3812" spans="1:28" x14ac:dyDescent="0.25">
      <c r="A3812" t="s">
        <v>3816</v>
      </c>
      <c r="B3812">
        <v>0.99252571173614901</v>
      </c>
      <c r="C3812">
        <v>0.82448021159613605</v>
      </c>
      <c r="D3812">
        <v>0.76491853641848595</v>
      </c>
      <c r="E3812">
        <v>0.53231602198348804</v>
      </c>
      <c r="F3812">
        <v>0.51051911527580895</v>
      </c>
      <c r="G3812">
        <v>0.39630579297907298</v>
      </c>
      <c r="H3812">
        <v>0.31305341555770799</v>
      </c>
      <c r="I3812">
        <v>0.39246710840561</v>
      </c>
      <c r="J3812">
        <v>0.52982171115505206</v>
      </c>
      <c r="K3812">
        <v>0.45433776680416099</v>
      </c>
      <c r="L3812">
        <v>802.61912851632201</v>
      </c>
      <c r="M3812">
        <v>17.353855964488101</v>
      </c>
      <c r="N3812">
        <v>51.541765433211999</v>
      </c>
      <c r="O3812">
        <v>45.649149396414899</v>
      </c>
      <c r="P3812">
        <v>-5.5523274016982101E-2</v>
      </c>
      <c r="Q3812">
        <v>0.41581956108696799</v>
      </c>
      <c r="R3812">
        <v>0.91449594931706002</v>
      </c>
      <c r="S3812" t="s">
        <v>10458</v>
      </c>
      <c r="T3812" t="s">
        <v>13290</v>
      </c>
      <c r="U3812" t="s">
        <v>13290</v>
      </c>
      <c r="V3812" t="s">
        <v>13290</v>
      </c>
      <c r="W3812" t="s">
        <v>17057</v>
      </c>
      <c r="X3812">
        <v>3</v>
      </c>
      <c r="Y3812" t="s">
        <v>23559</v>
      </c>
      <c r="Z3812" t="s">
        <v>30142</v>
      </c>
      <c r="AA3812">
        <v>0.54974110568208756</v>
      </c>
      <c r="AB3812" t="str">
        <f>HYPERLINK("Melting_Curves/meltCurve_Q5BJF2_TMEM97.pdf", "Melting_Curves/meltCurve_Q5BJF2_TMEM97.pdf")</f>
        <v>Melting_Curves/meltCurve_Q5BJF2_TMEM97.pdf</v>
      </c>
    </row>
    <row r="3813" spans="1:28" x14ac:dyDescent="0.25">
      <c r="A3813" t="s">
        <v>3817</v>
      </c>
      <c r="B3813">
        <v>0.99252571173614901</v>
      </c>
      <c r="C3813">
        <v>1.02179153072032</v>
      </c>
      <c r="D3813">
        <v>0.89692476725882198</v>
      </c>
      <c r="E3813">
        <v>0.67274308017685802</v>
      </c>
      <c r="F3813">
        <v>0.65126541062600596</v>
      </c>
      <c r="G3813">
        <v>0.56578837350692601</v>
      </c>
      <c r="H3813">
        <v>0.48372864512004599</v>
      </c>
      <c r="I3813">
        <v>0.44739735966459798</v>
      </c>
      <c r="J3813">
        <v>0.577521553457083</v>
      </c>
      <c r="K3813">
        <v>0.53204986776112295</v>
      </c>
      <c r="L3813">
        <v>1007.0856716089201</v>
      </c>
      <c r="M3813">
        <v>20.650600147304299</v>
      </c>
      <c r="O3813">
        <v>48.317460499716901</v>
      </c>
      <c r="P3813">
        <v>-5.13946066441359E-2</v>
      </c>
      <c r="Q3813">
        <v>0.51900954419904599</v>
      </c>
      <c r="R3813">
        <v>0.95164098060814895</v>
      </c>
      <c r="S3813" t="s">
        <v>10459</v>
      </c>
      <c r="T3813" t="s">
        <v>13290</v>
      </c>
      <c r="U3813" t="s">
        <v>13290</v>
      </c>
      <c r="V3813" t="s">
        <v>13290</v>
      </c>
      <c r="W3813" t="s">
        <v>17058</v>
      </c>
      <c r="X3813">
        <v>3</v>
      </c>
      <c r="Y3813" t="s">
        <v>23560</v>
      </c>
      <c r="Z3813" t="s">
        <v>30143</v>
      </c>
      <c r="AA3813">
        <v>0.66590829666045459</v>
      </c>
      <c r="AB3813" t="str">
        <f>HYPERLINK("Melting_Curves/meltCurve_Q5BKU9_OXLD1.pdf", "Melting_Curves/meltCurve_Q5BKU9_OXLD1.pdf")</f>
        <v>Melting_Curves/meltCurve_Q5BKU9_OXLD1.pdf</v>
      </c>
    </row>
    <row r="3814" spans="1:28" x14ac:dyDescent="0.25">
      <c r="A3814" t="s">
        <v>3818</v>
      </c>
      <c r="B3814">
        <v>0.99252571173614901</v>
      </c>
      <c r="C3814">
        <v>1.0757743379670599</v>
      </c>
      <c r="D3814">
        <v>0.89682581903695302</v>
      </c>
      <c r="E3814">
        <v>0.52120045712593099</v>
      </c>
      <c r="F3814">
        <v>0.14302594249117001</v>
      </c>
      <c r="G3814">
        <v>7.7123878596574796E-2</v>
      </c>
      <c r="H3814">
        <v>5.0596393990007101E-2</v>
      </c>
      <c r="I3814">
        <v>5.3473112459983499E-2</v>
      </c>
      <c r="J3814">
        <v>4.6023362353397802E-2</v>
      </c>
      <c r="K3814">
        <v>5.4059033027671802E-2</v>
      </c>
      <c r="L3814">
        <v>1535.4020841409199</v>
      </c>
      <c r="M3814">
        <v>31.001501205852399</v>
      </c>
      <c r="N3814">
        <v>49.698824609919001</v>
      </c>
      <c r="O3814">
        <v>49.321978209775899</v>
      </c>
      <c r="P3814">
        <v>-0.14914052607024</v>
      </c>
      <c r="Q3814">
        <v>5.0901969254415903E-2</v>
      </c>
      <c r="R3814">
        <v>0.99549572058694602</v>
      </c>
      <c r="S3814" t="s">
        <v>10460</v>
      </c>
      <c r="T3814" t="s">
        <v>13290</v>
      </c>
      <c r="U3814" t="s">
        <v>13290</v>
      </c>
      <c r="V3814" t="s">
        <v>13290</v>
      </c>
      <c r="W3814" t="s">
        <v>17059</v>
      </c>
      <c r="X3814">
        <v>2</v>
      </c>
      <c r="Y3814" t="s">
        <v>23561</v>
      </c>
      <c r="Z3814" t="s">
        <v>30144</v>
      </c>
      <c r="AA3814">
        <v>0.35774421013651669</v>
      </c>
      <c r="AB3814" t="str">
        <f>HYPERLINK("Melting_Curves/meltCurve_Q5BKX5_C19orf54.pdf", "Melting_Curves/meltCurve_Q5BKX5_C19orf54.pdf")</f>
        <v>Melting_Curves/meltCurve_Q5BKX5_C19orf54.pdf</v>
      </c>
    </row>
    <row r="3815" spans="1:28" x14ac:dyDescent="0.25">
      <c r="A3815" t="s">
        <v>3819</v>
      </c>
      <c r="B3815">
        <v>0.99252571173614901</v>
      </c>
      <c r="C3815">
        <v>0.98216000714407303</v>
      </c>
      <c r="D3815">
        <v>0.86734218784150097</v>
      </c>
      <c r="E3815">
        <v>0.68615188053066201</v>
      </c>
      <c r="F3815">
        <v>0.52845416983428894</v>
      </c>
      <c r="G3815">
        <v>0.60152427043822299</v>
      </c>
      <c r="H3815">
        <v>0.79259105300077304</v>
      </c>
      <c r="I3815">
        <v>1.10145866238506</v>
      </c>
      <c r="J3815">
        <v>2.3848985890993699</v>
      </c>
      <c r="K3815">
        <v>4.0986040166687498</v>
      </c>
      <c r="L3815">
        <v>15000</v>
      </c>
      <c r="M3815">
        <v>233.01204287286899</v>
      </c>
      <c r="O3815">
        <v>64.369593407437307</v>
      </c>
      <c r="P3815">
        <v>0.452488432969892</v>
      </c>
      <c r="Q3815">
        <v>1.5</v>
      </c>
      <c r="R3815">
        <v>0.27556436477590002</v>
      </c>
      <c r="S3815" t="s">
        <v>10461</v>
      </c>
      <c r="T3815" t="s">
        <v>13290</v>
      </c>
      <c r="U3815" t="s">
        <v>13290</v>
      </c>
      <c r="V3815" t="s">
        <v>13290</v>
      </c>
      <c r="W3815" t="s">
        <v>17060</v>
      </c>
      <c r="X3815">
        <v>4</v>
      </c>
      <c r="Y3815" t="s">
        <v>23562</v>
      </c>
      <c r="Z3815" t="s">
        <v>30145</v>
      </c>
      <c r="AA3815">
        <v>1.0936957206547899</v>
      </c>
      <c r="AB3815" t="str">
        <f>HYPERLINK("Melting_Curves/meltCurve_Q5BKZ1_ZNF326.pdf", "Melting_Curves/meltCurve_Q5BKZ1_ZNF326.pdf")</f>
        <v>Melting_Curves/meltCurve_Q5BKZ1_ZNF326.pdf</v>
      </c>
    </row>
    <row r="3816" spans="1:28" x14ac:dyDescent="0.25">
      <c r="A3816" t="s">
        <v>3820</v>
      </c>
      <c r="B3816">
        <v>0.99252571173614901</v>
      </c>
      <c r="C3816">
        <v>0.92323787969340598</v>
      </c>
      <c r="D3816">
        <v>0.78883380378768397</v>
      </c>
      <c r="E3816">
        <v>0.61488410844305197</v>
      </c>
      <c r="F3816">
        <v>0.50923675936378299</v>
      </c>
      <c r="G3816">
        <v>0.34778469049942601</v>
      </c>
      <c r="H3816">
        <v>0.238431162620072</v>
      </c>
      <c r="I3816">
        <v>0.234704077062245</v>
      </c>
      <c r="J3816">
        <v>0.274228549774925</v>
      </c>
      <c r="K3816">
        <v>0.21490078505412</v>
      </c>
      <c r="L3816">
        <v>626.18227072148795</v>
      </c>
      <c r="M3816">
        <v>12.459837126434101</v>
      </c>
      <c r="N3816">
        <v>52.3675542963853</v>
      </c>
      <c r="O3816">
        <v>49.014184725089599</v>
      </c>
      <c r="P3816">
        <v>-5.1013956037020497E-2</v>
      </c>
      <c r="Q3816">
        <v>0.197457693989494</v>
      </c>
      <c r="R3816">
        <v>0.99130423944234802</v>
      </c>
      <c r="S3816" t="s">
        <v>10462</v>
      </c>
      <c r="T3816" t="s">
        <v>13290</v>
      </c>
      <c r="U3816" t="s">
        <v>13290</v>
      </c>
      <c r="V3816" t="s">
        <v>13290</v>
      </c>
      <c r="W3816" t="s">
        <v>17061</v>
      </c>
      <c r="X3816">
        <v>5</v>
      </c>
      <c r="Y3816" t="s">
        <v>23563</v>
      </c>
      <c r="Z3816" t="s">
        <v>30146</v>
      </c>
      <c r="AA3816">
        <v>0.49763837508878422</v>
      </c>
      <c r="AB3816" t="str">
        <f>HYPERLINK("Melting_Curves/meltCurve_Q5EBL8_PDZD11.pdf", "Melting_Curves/meltCurve_Q5EBL8_PDZD11.pdf")</f>
        <v>Melting_Curves/meltCurve_Q5EBL8_PDZD11.pdf</v>
      </c>
    </row>
    <row r="3817" spans="1:28" x14ac:dyDescent="0.25">
      <c r="A3817" t="s">
        <v>3821</v>
      </c>
      <c r="B3817">
        <v>0.99252571173614901</v>
      </c>
      <c r="C3817">
        <v>1.0313019165076001</v>
      </c>
      <c r="D3817">
        <v>0.94990589627754096</v>
      </c>
      <c r="E3817">
        <v>0.67012103009018698</v>
      </c>
      <c r="F3817">
        <v>0.31581318238224598</v>
      </c>
      <c r="G3817">
        <v>0.161751118677187</v>
      </c>
      <c r="H3817">
        <v>0.118807869722715</v>
      </c>
      <c r="I3817">
        <v>0.123513534561287</v>
      </c>
      <c r="J3817">
        <v>0.13125570896077601</v>
      </c>
      <c r="K3817">
        <v>0.13637498633249601</v>
      </c>
      <c r="L3817">
        <v>1382.05517072067</v>
      </c>
      <c r="M3817">
        <v>27.3227506185343</v>
      </c>
      <c r="N3817">
        <v>51.118614698577701</v>
      </c>
      <c r="O3817">
        <v>50.313929477389898</v>
      </c>
      <c r="P3817">
        <v>-0.11885180704960201</v>
      </c>
      <c r="Q3817">
        <v>0.124561486641039</v>
      </c>
      <c r="R3817">
        <v>0.99857075459244105</v>
      </c>
      <c r="S3817" t="s">
        <v>10463</v>
      </c>
      <c r="T3817" t="s">
        <v>13290</v>
      </c>
      <c r="U3817" t="s">
        <v>13290</v>
      </c>
      <c r="V3817" t="s">
        <v>13290</v>
      </c>
      <c r="W3817" t="s">
        <v>17062</v>
      </c>
      <c r="X3817">
        <v>8</v>
      </c>
      <c r="Y3817" t="s">
        <v>23564</v>
      </c>
      <c r="Z3817" t="s">
        <v>30147</v>
      </c>
      <c r="AA3817">
        <v>0.43996933229652829</v>
      </c>
      <c r="AB3817" t="str">
        <f>HYPERLINK("Melting_Curves/meltCurve_Q5F1R6_DNAJC21.pdf", "Melting_Curves/meltCurve_Q5F1R6_DNAJC21.pdf")</f>
        <v>Melting_Curves/meltCurve_Q5F1R6_DNAJC21.pdf</v>
      </c>
    </row>
    <row r="3818" spans="1:28" x14ac:dyDescent="0.25">
      <c r="A3818" t="s">
        <v>3822</v>
      </c>
      <c r="B3818">
        <v>0.99252571173614901</v>
      </c>
      <c r="C3818">
        <v>0.99185906479522201</v>
      </c>
      <c r="D3818">
        <v>0.91423053487309802</v>
      </c>
      <c r="E3818">
        <v>0.66947876200863699</v>
      </c>
      <c r="F3818">
        <v>0.32840545017395301</v>
      </c>
      <c r="G3818">
        <v>0.180335725676083</v>
      </c>
      <c r="H3818">
        <v>0.14159574433171901</v>
      </c>
      <c r="I3818">
        <v>0.16144078771182399</v>
      </c>
      <c r="J3818">
        <v>0.22930931326420201</v>
      </c>
      <c r="K3818">
        <v>0.18879700094718199</v>
      </c>
      <c r="L3818">
        <v>1369.29029019728</v>
      </c>
      <c r="M3818">
        <v>27.245722668515601</v>
      </c>
      <c r="N3818">
        <v>51.051788454765799</v>
      </c>
      <c r="O3818">
        <v>49.9886784746354</v>
      </c>
      <c r="P3818">
        <v>-0.112710778622244</v>
      </c>
      <c r="Q3818">
        <v>0.172830387298504</v>
      </c>
      <c r="R3818">
        <v>0.99471485870692</v>
      </c>
      <c r="S3818" t="s">
        <v>10464</v>
      </c>
      <c r="T3818" t="s">
        <v>13290</v>
      </c>
      <c r="U3818" t="s">
        <v>13290</v>
      </c>
      <c r="V3818" t="s">
        <v>13290</v>
      </c>
      <c r="W3818" t="s">
        <v>17063</v>
      </c>
      <c r="X3818">
        <v>16</v>
      </c>
      <c r="Y3818" t="s">
        <v>23565</v>
      </c>
      <c r="Z3818" t="s">
        <v>30148</v>
      </c>
      <c r="AA3818">
        <v>0.46187967350662168</v>
      </c>
      <c r="AB3818" t="str">
        <f>HYPERLINK("Melting_Curves/meltCurve_Q5GFL6_VWA2.pdf", "Melting_Curves/meltCurve_Q5GFL6_VWA2.pdf")</f>
        <v>Melting_Curves/meltCurve_Q5GFL6_VWA2.pdf</v>
      </c>
    </row>
    <row r="3819" spans="1:28" x14ac:dyDescent="0.25">
      <c r="A3819" t="s">
        <v>3823</v>
      </c>
      <c r="B3819">
        <v>0.99252571173614901</v>
      </c>
      <c r="C3819">
        <v>0.97598212137602303</v>
      </c>
      <c r="D3819">
        <v>0.96130213808502096</v>
      </c>
      <c r="E3819">
        <v>0.81970567374520598</v>
      </c>
      <c r="F3819">
        <v>0.20236700895116999</v>
      </c>
      <c r="G3819">
        <v>0.120537191033306</v>
      </c>
      <c r="H3819">
        <v>7.9990297641275299E-2</v>
      </c>
      <c r="I3819">
        <v>8.0012497371605304E-2</v>
      </c>
      <c r="J3819">
        <v>9.7212323671864997E-2</v>
      </c>
      <c r="K3819">
        <v>9.0724070932647796E-2</v>
      </c>
      <c r="L3819">
        <v>2415.9644334126901</v>
      </c>
      <c r="M3819">
        <v>47.336335466078097</v>
      </c>
      <c r="N3819">
        <v>51.2566811156616</v>
      </c>
      <c r="O3819">
        <v>50.947425212280699</v>
      </c>
      <c r="P3819">
        <v>-0.21106474290194699</v>
      </c>
      <c r="Q3819">
        <v>9.1337030297467398E-2</v>
      </c>
      <c r="R3819">
        <v>0.99845576011881498</v>
      </c>
      <c r="S3819" t="s">
        <v>10465</v>
      </c>
      <c r="T3819" t="s">
        <v>13290</v>
      </c>
      <c r="U3819" t="s">
        <v>13290</v>
      </c>
      <c r="V3819" t="s">
        <v>13290</v>
      </c>
      <c r="W3819" t="s">
        <v>17064</v>
      </c>
      <c r="X3819">
        <v>14</v>
      </c>
      <c r="Y3819" t="s">
        <v>23566</v>
      </c>
      <c r="Z3819" t="s">
        <v>30149</v>
      </c>
      <c r="AA3819">
        <v>0.42795620385678401</v>
      </c>
      <c r="AB3819" t="str">
        <f>HYPERLINK("Melting_Curves/meltCurve_Q5GLZ8_3_HERC4.pdf", "Melting_Curves/meltCurve_Q5GLZ8_3_HERC4.pdf")</f>
        <v>Melting_Curves/meltCurve_Q5GLZ8_3_HERC4.pdf</v>
      </c>
    </row>
    <row r="3820" spans="1:28" x14ac:dyDescent="0.25">
      <c r="A3820" t="s">
        <v>3824</v>
      </c>
      <c r="B3820">
        <v>0.99252571173614901</v>
      </c>
      <c r="C3820">
        <v>1.00677826592002</v>
      </c>
      <c r="D3820">
        <v>0.96761667042073396</v>
      </c>
      <c r="E3820">
        <v>0.92516899403523101</v>
      </c>
      <c r="F3820">
        <v>0.74291711938890803</v>
      </c>
      <c r="G3820">
        <v>0.52709106668985195</v>
      </c>
      <c r="H3820">
        <v>0.33214845841242002</v>
      </c>
      <c r="I3820">
        <v>0.32177746109334199</v>
      </c>
      <c r="J3820">
        <v>0.37657421519573098</v>
      </c>
      <c r="K3820">
        <v>0.334154640730703</v>
      </c>
      <c r="L3820">
        <v>1270.2874189133099</v>
      </c>
      <c r="M3820">
        <v>23.3881568237897</v>
      </c>
      <c r="N3820">
        <v>56.873746081648001</v>
      </c>
      <c r="O3820">
        <v>53.920881869866697</v>
      </c>
      <c r="P3820">
        <v>-7.3137535054599398E-2</v>
      </c>
      <c r="Q3820">
        <v>0.32554389132087402</v>
      </c>
      <c r="R3820">
        <v>0.99313898799800104</v>
      </c>
      <c r="S3820" t="s">
        <v>10466</v>
      </c>
      <c r="T3820" t="s">
        <v>13290</v>
      </c>
      <c r="U3820" t="s">
        <v>13290</v>
      </c>
      <c r="V3820" t="s">
        <v>13290</v>
      </c>
      <c r="W3820" t="s">
        <v>17065</v>
      </c>
      <c r="X3820">
        <v>1</v>
      </c>
      <c r="Y3820" t="s">
        <v>23567</v>
      </c>
      <c r="Z3820" t="s">
        <v>30150</v>
      </c>
      <c r="AA3820">
        <v>0.65436118254032893</v>
      </c>
      <c r="AB3820" t="str">
        <f>HYPERLINK("Melting_Curves/meltCurve_Q5H8X8_UTS2.pdf", "Melting_Curves/meltCurve_Q5H8X8_UTS2.pdf")</f>
        <v>Melting_Curves/meltCurve_Q5H8X8_UTS2.pdf</v>
      </c>
    </row>
    <row r="3821" spans="1:28" x14ac:dyDescent="0.25">
      <c r="A3821" t="s">
        <v>3825</v>
      </c>
      <c r="B3821">
        <v>0.99252571173614901</v>
      </c>
      <c r="C3821">
        <v>1.04786458572499</v>
      </c>
      <c r="D3821">
        <v>0.99373608869472096</v>
      </c>
      <c r="E3821">
        <v>0.90414888213503297</v>
      </c>
      <c r="F3821">
        <v>0.71363749227009599</v>
      </c>
      <c r="G3821">
        <v>0.461107342187281</v>
      </c>
      <c r="H3821">
        <v>0.26472704249949702</v>
      </c>
      <c r="I3821">
        <v>0.227548644130632</v>
      </c>
      <c r="J3821">
        <v>0.30795417656003699</v>
      </c>
      <c r="K3821">
        <v>0.30611607058615897</v>
      </c>
      <c r="L3821">
        <v>1343.9563193433501</v>
      </c>
      <c r="M3821">
        <v>24.8391881999069</v>
      </c>
      <c r="N3821">
        <v>55.798212291204898</v>
      </c>
      <c r="O3821">
        <v>53.759255182918203</v>
      </c>
      <c r="P3821">
        <v>-8.4952047201164602E-2</v>
      </c>
      <c r="Q3821">
        <v>0.26456601677800901</v>
      </c>
      <c r="R3821">
        <v>0.98918115831753906</v>
      </c>
      <c r="S3821" t="s">
        <v>10467</v>
      </c>
      <c r="T3821" t="s">
        <v>13290</v>
      </c>
      <c r="U3821" t="s">
        <v>13290</v>
      </c>
      <c r="V3821" t="s">
        <v>13290</v>
      </c>
      <c r="W3821" t="s">
        <v>17066</v>
      </c>
      <c r="X3821">
        <v>1</v>
      </c>
      <c r="Y3821" t="s">
        <v>23568</v>
      </c>
      <c r="Z3821" t="s">
        <v>30151</v>
      </c>
      <c r="AA3821">
        <v>0.61726153481780022</v>
      </c>
      <c r="AB3821" t="str">
        <f>HYPERLINK("Melting_Curves/meltCurve_Q5HY62_CXorf40B.pdf", "Melting_Curves/meltCurve_Q5HY62_CXorf40B.pdf")</f>
        <v>Melting_Curves/meltCurve_Q5HY62_CXorf40B.pdf</v>
      </c>
    </row>
    <row r="3822" spans="1:28" x14ac:dyDescent="0.25">
      <c r="A3822" t="s">
        <v>3826</v>
      </c>
      <c r="B3822">
        <v>0.99252571173614901</v>
      </c>
      <c r="C3822">
        <v>0.95870170031499802</v>
      </c>
      <c r="D3822">
        <v>0.95667980574298395</v>
      </c>
      <c r="E3822">
        <v>0.75020848437931598</v>
      </c>
      <c r="F3822">
        <v>0.56745210675895297</v>
      </c>
      <c r="G3822">
        <v>0.41133225891761899</v>
      </c>
      <c r="H3822">
        <v>0.307582970634113</v>
      </c>
      <c r="I3822">
        <v>0.34193529492356001</v>
      </c>
      <c r="J3822">
        <v>0.46888205093737301</v>
      </c>
      <c r="K3822">
        <v>0.459425558654806</v>
      </c>
      <c r="L3822">
        <v>1218.7112689456301</v>
      </c>
      <c r="M3822">
        <v>24.106358634961399</v>
      </c>
      <c r="N3822">
        <v>53.9738279834406</v>
      </c>
      <c r="O3822">
        <v>50.211544446161199</v>
      </c>
      <c r="P3822">
        <v>-7.3050981320372799E-2</v>
      </c>
      <c r="Q3822">
        <v>0.39137293084196101</v>
      </c>
      <c r="R3822">
        <v>0.96168784866052304</v>
      </c>
      <c r="S3822" t="s">
        <v>10468</v>
      </c>
      <c r="T3822" t="s">
        <v>13290</v>
      </c>
      <c r="U3822" t="s">
        <v>13290</v>
      </c>
      <c r="V3822" t="s">
        <v>13290</v>
      </c>
      <c r="W3822" t="s">
        <v>17067</v>
      </c>
      <c r="X3822">
        <v>4</v>
      </c>
      <c r="Y3822" t="s">
        <v>23569</v>
      </c>
      <c r="Z3822" t="s">
        <v>30152</v>
      </c>
      <c r="AA3822">
        <v>0.61140135409920726</v>
      </c>
      <c r="AB3822" t="str">
        <f>HYPERLINK("Melting_Curves/meltCurve_Q5HYI7_MTX3.pdf", "Melting_Curves/meltCurve_Q5HYI7_MTX3.pdf")</f>
        <v>Melting_Curves/meltCurve_Q5HYI7_MTX3.pdf</v>
      </c>
    </row>
    <row r="3823" spans="1:28" x14ac:dyDescent="0.25">
      <c r="A3823" t="s">
        <v>3827</v>
      </c>
      <c r="B3823">
        <v>0.99252571173614901</v>
      </c>
      <c r="C3823">
        <v>0.94965871198562501</v>
      </c>
      <c r="D3823">
        <v>0.89440086944380703</v>
      </c>
      <c r="E3823">
        <v>0.74972584888267402</v>
      </c>
      <c r="F3823">
        <v>0.39528927789509299</v>
      </c>
      <c r="G3823">
        <v>0.141568435931479</v>
      </c>
      <c r="H3823">
        <v>8.2636497490349806E-2</v>
      </c>
      <c r="I3823">
        <v>8.7817325468107305E-2</v>
      </c>
      <c r="J3823">
        <v>9.0215994817417405E-2</v>
      </c>
      <c r="K3823">
        <v>0.116570203157185</v>
      </c>
      <c r="L3823">
        <v>1179.7170908374101</v>
      </c>
      <c r="M3823">
        <v>22.896409386871099</v>
      </c>
      <c r="N3823">
        <v>51.911672811161402</v>
      </c>
      <c r="O3823">
        <v>51.135914193585499</v>
      </c>
      <c r="P3823">
        <v>-0.103147024096628</v>
      </c>
      <c r="Q3823">
        <v>7.8560138831352599E-2</v>
      </c>
      <c r="R3823">
        <v>0.99447659582784798</v>
      </c>
      <c r="S3823" t="s">
        <v>10469</v>
      </c>
      <c r="T3823" t="s">
        <v>13290</v>
      </c>
      <c r="U3823" t="s">
        <v>13290</v>
      </c>
      <c r="V3823" t="s">
        <v>13290</v>
      </c>
      <c r="W3823" t="s">
        <v>17068</v>
      </c>
      <c r="X3823">
        <v>4</v>
      </c>
      <c r="Y3823" t="s">
        <v>23570</v>
      </c>
      <c r="Z3823" t="s">
        <v>30153</v>
      </c>
      <c r="AA3823">
        <v>0.44243611652329529</v>
      </c>
      <c r="AB3823" t="str">
        <f>HYPERLINK("Melting_Curves/meltCurve_Q5HYI8_RABL3.pdf", "Melting_Curves/meltCurve_Q5HYI8_RABL3.pdf")</f>
        <v>Melting_Curves/meltCurve_Q5HYI8_RABL3.pdf</v>
      </c>
    </row>
    <row r="3824" spans="1:28" x14ac:dyDescent="0.25">
      <c r="A3824" t="s">
        <v>3828</v>
      </c>
      <c r="B3824">
        <v>0.99252571173614901</v>
      </c>
      <c r="C3824">
        <v>1.03325199831988</v>
      </c>
      <c r="D3824">
        <v>0.95474363525508299</v>
      </c>
      <c r="E3824">
        <v>0.84618522403051799</v>
      </c>
      <c r="F3824">
        <v>0.72789857505593902</v>
      </c>
      <c r="G3824">
        <v>0.57385745699711399</v>
      </c>
      <c r="H3824">
        <v>0.446648643583762</v>
      </c>
      <c r="I3824">
        <v>0.36488245548218401</v>
      </c>
      <c r="J3824">
        <v>0.35058414524271198</v>
      </c>
      <c r="K3824">
        <v>0.21828089738642401</v>
      </c>
      <c r="L3824">
        <v>626.31626664642101</v>
      </c>
      <c r="M3824">
        <v>11.0315726430668</v>
      </c>
      <c r="N3824">
        <v>59.059291063944997</v>
      </c>
      <c r="O3824">
        <v>55.004947340746</v>
      </c>
      <c r="P3824">
        <v>-4.1445175183434803E-2</v>
      </c>
      <c r="Q3824">
        <v>0.17367030770583999</v>
      </c>
      <c r="R3824">
        <v>0.98966842081752904</v>
      </c>
      <c r="S3824" t="s">
        <v>10470</v>
      </c>
      <c r="T3824" t="s">
        <v>13290</v>
      </c>
      <c r="U3824" t="s">
        <v>13290</v>
      </c>
      <c r="V3824" t="s">
        <v>13290</v>
      </c>
      <c r="W3824" t="s">
        <v>17069</v>
      </c>
      <c r="X3824">
        <v>14</v>
      </c>
      <c r="Y3824" t="s">
        <v>23571</v>
      </c>
      <c r="Z3824" t="s">
        <v>30154</v>
      </c>
      <c r="AA3824">
        <v>0.6502733251657602</v>
      </c>
      <c r="AB3824" t="str">
        <f>HYPERLINK("Melting_Curves/meltCurve_Q5HYK3_COQ5.pdf", "Melting_Curves/meltCurve_Q5HYK3_COQ5.pdf")</f>
        <v>Melting_Curves/meltCurve_Q5HYK3_COQ5.pdf</v>
      </c>
    </row>
    <row r="3825" spans="1:28" x14ac:dyDescent="0.25">
      <c r="A3825" t="s">
        <v>3829</v>
      </c>
      <c r="B3825">
        <v>0.99252571173614901</v>
      </c>
      <c r="C3825">
        <v>0.93982803892479405</v>
      </c>
      <c r="D3825">
        <v>0.652889030697826</v>
      </c>
      <c r="E3825">
        <v>0.29104465988557399</v>
      </c>
      <c r="F3825">
        <v>0.15852887951526101</v>
      </c>
      <c r="G3825">
        <v>0.109347197787126</v>
      </c>
      <c r="H3825">
        <v>9.6574201644657701E-2</v>
      </c>
      <c r="I3825">
        <v>0.115530071519272</v>
      </c>
      <c r="J3825">
        <v>0.16971621595573699</v>
      </c>
      <c r="K3825">
        <v>0.17434809974839299</v>
      </c>
      <c r="L3825">
        <v>1284.5752978739499</v>
      </c>
      <c r="M3825">
        <v>27.48355810552</v>
      </c>
      <c r="N3825">
        <v>47.267555011346097</v>
      </c>
      <c r="O3825">
        <v>46.4944221459671</v>
      </c>
      <c r="P3825">
        <v>-0.128253988408356</v>
      </c>
      <c r="Q3825">
        <v>0.13212983271256901</v>
      </c>
      <c r="R3825">
        <v>0.99471619446746995</v>
      </c>
      <c r="S3825" t="s">
        <v>10471</v>
      </c>
      <c r="T3825" t="s">
        <v>13290</v>
      </c>
      <c r="U3825" t="s">
        <v>13290</v>
      </c>
      <c r="V3825" t="s">
        <v>13290</v>
      </c>
      <c r="W3825" t="s">
        <v>17070</v>
      </c>
      <c r="X3825">
        <v>14</v>
      </c>
      <c r="Y3825" t="s">
        <v>23572</v>
      </c>
      <c r="Z3825" t="s">
        <v>30155</v>
      </c>
      <c r="AA3825">
        <v>0.33342250481871621</v>
      </c>
      <c r="AB3825" t="str">
        <f>HYPERLINK("Melting_Curves/meltCurve_Q5HYK7_2_SH3D19.pdf", "Melting_Curves/meltCurve_Q5HYK7_2_SH3D19.pdf")</f>
        <v>Melting_Curves/meltCurve_Q5HYK7_2_SH3D19.pdf</v>
      </c>
    </row>
    <row r="3826" spans="1:28" x14ac:dyDescent="0.25">
      <c r="A3826" t="s">
        <v>3830</v>
      </c>
      <c r="B3826">
        <v>0.99252571173614901</v>
      </c>
      <c r="C3826">
        <v>1.0240745010801</v>
      </c>
      <c r="D3826">
        <v>1.0091123384912599</v>
      </c>
      <c r="E3826">
        <v>0.98025420797781804</v>
      </c>
      <c r="F3826">
        <v>0.85513056974654</v>
      </c>
      <c r="G3826">
        <v>0.57770284182127396</v>
      </c>
      <c r="H3826">
        <v>0.26362127460671603</v>
      </c>
      <c r="I3826">
        <v>7.7209063711237702E-2</v>
      </c>
      <c r="J3826">
        <v>7.8244630888567507E-2</v>
      </c>
      <c r="K3826">
        <v>6.9967251188590401E-2</v>
      </c>
      <c r="L3826">
        <v>1330.4450818433099</v>
      </c>
      <c r="M3826">
        <v>23.188610561309101</v>
      </c>
      <c r="N3826">
        <v>57.576575992471</v>
      </c>
      <c r="O3826">
        <v>56.9533247643446</v>
      </c>
      <c r="P3826">
        <v>-9.7819833123359706E-2</v>
      </c>
      <c r="Q3826">
        <v>3.8999619484965102E-2</v>
      </c>
      <c r="R3826">
        <v>0.99793879993323098</v>
      </c>
      <c r="S3826" t="s">
        <v>10472</v>
      </c>
      <c r="T3826" t="s">
        <v>13290</v>
      </c>
      <c r="U3826" t="s">
        <v>13290</v>
      </c>
      <c r="V3826" t="s">
        <v>13290</v>
      </c>
      <c r="W3826" t="s">
        <v>17071</v>
      </c>
      <c r="X3826">
        <v>37</v>
      </c>
      <c r="Y3826" t="s">
        <v>23573</v>
      </c>
      <c r="Z3826" t="s">
        <v>30156</v>
      </c>
      <c r="AA3826">
        <v>0.60511661493138469</v>
      </c>
      <c r="AB3826" t="str">
        <f>HYPERLINK("Melting_Curves/meltCurve_Q5JP53_TUBB.pdf", "Melting_Curves/meltCurve_Q5JP53_TUBB.pdf")</f>
        <v>Melting_Curves/meltCurve_Q5JP53_TUBB.pdf</v>
      </c>
    </row>
    <row r="3827" spans="1:28" x14ac:dyDescent="0.25">
      <c r="A3827" t="s">
        <v>3831</v>
      </c>
      <c r="B3827">
        <v>0.99252571173614901</v>
      </c>
      <c r="C3827">
        <v>0.87297148608209596</v>
      </c>
      <c r="D3827">
        <v>0.86347198888453602</v>
      </c>
      <c r="E3827">
        <v>0.73919746657961805</v>
      </c>
      <c r="F3827">
        <v>0.28561526306858398</v>
      </c>
      <c r="G3827">
        <v>0.114655148598691</v>
      </c>
      <c r="H3827">
        <v>7.2316967877026794E-2</v>
      </c>
      <c r="I3827">
        <v>7.4505571148642202E-2</v>
      </c>
      <c r="J3827">
        <v>8.6294362012704406E-2</v>
      </c>
      <c r="K3827">
        <v>7.3199109862296594E-2</v>
      </c>
      <c r="L3827">
        <v>1229.9206595670701</v>
      </c>
      <c r="M3827">
        <v>24.128664116201801</v>
      </c>
      <c r="N3827">
        <v>51.2578968529279</v>
      </c>
      <c r="O3827">
        <v>50.627177481545303</v>
      </c>
      <c r="P3827">
        <v>-0.111684043450551</v>
      </c>
      <c r="Q3827">
        <v>6.2665199759588994E-2</v>
      </c>
      <c r="R3827">
        <v>0.98302401955612295</v>
      </c>
      <c r="S3827" t="s">
        <v>10473</v>
      </c>
      <c r="T3827" t="s">
        <v>13290</v>
      </c>
      <c r="U3827" t="s">
        <v>13290</v>
      </c>
      <c r="V3827" t="s">
        <v>13290</v>
      </c>
      <c r="W3827" t="s">
        <v>17072</v>
      </c>
      <c r="X3827">
        <v>43</v>
      </c>
      <c r="Y3827" t="s">
        <v>23574</v>
      </c>
      <c r="Z3827" t="s">
        <v>30157</v>
      </c>
      <c r="AA3827">
        <v>0.41460034486928948</v>
      </c>
      <c r="AB3827" t="str">
        <f>HYPERLINK("Melting_Curves/meltCurve_Q5JPE7_2_NOMO2.pdf", "Melting_Curves/meltCurve_Q5JPE7_2_NOMO2.pdf")</f>
        <v>Melting_Curves/meltCurve_Q5JPE7_2_NOMO2.pdf</v>
      </c>
    </row>
    <row r="3828" spans="1:28" x14ac:dyDescent="0.25">
      <c r="A3828" t="s">
        <v>3832</v>
      </c>
      <c r="B3828">
        <v>0.99252571173614901</v>
      </c>
      <c r="C3828">
        <v>0.94892420372110697</v>
      </c>
      <c r="D3828">
        <v>0.71178145000529802</v>
      </c>
      <c r="E3828">
        <v>0.23351573552962199</v>
      </c>
      <c r="F3828">
        <v>0.112238088357776</v>
      </c>
      <c r="G3828">
        <v>6.0223509138933803E-2</v>
      </c>
      <c r="H3828">
        <v>4.7930871100832197E-2</v>
      </c>
      <c r="I3828">
        <v>4.1225054758103299E-2</v>
      </c>
      <c r="J3828">
        <v>4.3486677725892098E-2</v>
      </c>
      <c r="K3828">
        <v>4.6156233684919397E-2</v>
      </c>
      <c r="L3828">
        <v>1361.00788418047</v>
      </c>
      <c r="M3828">
        <v>28.782951228796801</v>
      </c>
      <c r="N3828">
        <v>47.455725751109902</v>
      </c>
      <c r="O3828">
        <v>47.058734311302501</v>
      </c>
      <c r="P3828">
        <v>-0.145398909912693</v>
      </c>
      <c r="Q3828">
        <v>4.9126719244140298E-2</v>
      </c>
      <c r="R3828">
        <v>0.99929109966469398</v>
      </c>
      <c r="S3828" t="s">
        <v>10474</v>
      </c>
      <c r="T3828" t="s">
        <v>13290</v>
      </c>
      <c r="U3828" t="s">
        <v>13290</v>
      </c>
      <c r="V3828" t="s">
        <v>13290</v>
      </c>
      <c r="W3828" t="s">
        <v>17073</v>
      </c>
      <c r="X3828">
        <v>9</v>
      </c>
      <c r="Y3828" t="s">
        <v>23575</v>
      </c>
      <c r="Z3828" t="s">
        <v>30158</v>
      </c>
      <c r="AA3828">
        <v>0.28626662149578141</v>
      </c>
      <c r="AB3828" t="str">
        <f>HYPERLINK("Melting_Curves/meltCurve_Q5JPH6_EARS2.pdf", "Melting_Curves/meltCurve_Q5JPH6_EARS2.pdf")</f>
        <v>Melting_Curves/meltCurve_Q5JPH6_EARS2.pdf</v>
      </c>
    </row>
    <row r="3829" spans="1:28" x14ac:dyDescent="0.25">
      <c r="A3829" t="s">
        <v>3833</v>
      </c>
      <c r="B3829">
        <v>0.99252571173614901</v>
      </c>
      <c r="C3829">
        <v>0.863779500614555</v>
      </c>
      <c r="D3829">
        <v>0.78181077020606005</v>
      </c>
      <c r="E3829">
        <v>0.23659957888783201</v>
      </c>
      <c r="F3829">
        <v>0.13444088844727201</v>
      </c>
      <c r="G3829">
        <v>7.9149120655100505E-2</v>
      </c>
      <c r="H3829">
        <v>5.9052220914424199E-2</v>
      </c>
      <c r="I3829">
        <v>6.0099218091878799E-2</v>
      </c>
      <c r="J3829">
        <v>8.6312459299429795E-2</v>
      </c>
      <c r="K3829">
        <v>8.3299072161618207E-2</v>
      </c>
      <c r="L3829">
        <v>1432.4349825701299</v>
      </c>
      <c r="M3829">
        <v>30.1960249075502</v>
      </c>
      <c r="N3829">
        <v>47.689050213659598</v>
      </c>
      <c r="O3829">
        <v>47.231271415574298</v>
      </c>
      <c r="P3829">
        <v>-0.148080630951273</v>
      </c>
      <c r="Q3829">
        <v>7.3521545281859196E-2</v>
      </c>
      <c r="R3829">
        <v>0.989132432479357</v>
      </c>
      <c r="S3829" t="s">
        <v>10475</v>
      </c>
      <c r="T3829" t="s">
        <v>13290</v>
      </c>
      <c r="U3829" t="s">
        <v>13290</v>
      </c>
      <c r="V3829" t="s">
        <v>13290</v>
      </c>
      <c r="W3829" t="s">
        <v>17074</v>
      </c>
      <c r="X3829">
        <v>3</v>
      </c>
      <c r="Y3829" t="s">
        <v>23576</v>
      </c>
      <c r="Z3829" t="s">
        <v>30159</v>
      </c>
      <c r="AA3829">
        <v>0.30870319930314599</v>
      </c>
      <c r="AB3829" t="str">
        <f>HYPERLINK("Melting_Curves/meltCurve_Q5JQQ2_DPCD.pdf", "Melting_Curves/meltCurve_Q5JQQ2_DPCD.pdf")</f>
        <v>Melting_Curves/meltCurve_Q5JQQ2_DPCD.pdf</v>
      </c>
    </row>
    <row r="3830" spans="1:28" x14ac:dyDescent="0.25">
      <c r="A3830" t="s">
        <v>3834</v>
      </c>
      <c r="B3830">
        <v>0.99252571173614901</v>
      </c>
      <c r="C3830">
        <v>1.04769715632356</v>
      </c>
      <c r="D3830">
        <v>1.0116762241153301</v>
      </c>
      <c r="E3830">
        <v>0.89679188730678605</v>
      </c>
      <c r="F3830">
        <v>0.60644086892329296</v>
      </c>
      <c r="G3830">
        <v>0.40310339618305902</v>
      </c>
      <c r="H3830">
        <v>0.24366426710036701</v>
      </c>
      <c r="I3830">
        <v>0.212643595874839</v>
      </c>
      <c r="J3830">
        <v>0.19930428410509499</v>
      </c>
      <c r="K3830">
        <v>0.18358719415473901</v>
      </c>
      <c r="L3830">
        <v>1175.9156938349199</v>
      </c>
      <c r="M3830">
        <v>21.904235035177599</v>
      </c>
      <c r="N3830">
        <v>54.869893747914098</v>
      </c>
      <c r="O3830">
        <v>53.242971802216204</v>
      </c>
      <c r="P3830">
        <v>-8.3463556428723107E-2</v>
      </c>
      <c r="Q3830">
        <v>0.18851385640882501</v>
      </c>
      <c r="R3830">
        <v>0.99567954550848203</v>
      </c>
      <c r="S3830" t="s">
        <v>10476</v>
      </c>
      <c r="T3830" t="s">
        <v>13290</v>
      </c>
      <c r="U3830" t="s">
        <v>13290</v>
      </c>
      <c r="V3830" t="s">
        <v>13290</v>
      </c>
      <c r="W3830" t="s">
        <v>17075</v>
      </c>
      <c r="X3830">
        <v>12</v>
      </c>
      <c r="Y3830" t="s">
        <v>23577</v>
      </c>
      <c r="Z3830" t="s">
        <v>30160</v>
      </c>
      <c r="AA3830">
        <v>0.56817264488642727</v>
      </c>
      <c r="AB3830" t="str">
        <f>HYPERLINK("Melting_Curves/meltCurve_Q5JR08_RHOC.pdf", "Melting_Curves/meltCurve_Q5JR08_RHOC.pdf")</f>
        <v>Melting_Curves/meltCurve_Q5JR08_RHOC.pdf</v>
      </c>
    </row>
    <row r="3831" spans="1:28" x14ac:dyDescent="0.25">
      <c r="A3831" t="s">
        <v>3835</v>
      </c>
      <c r="B3831">
        <v>0.99252571173614901</v>
      </c>
      <c r="C3831">
        <v>0.99492085711109202</v>
      </c>
      <c r="D3831">
        <v>0.88343558381296905</v>
      </c>
      <c r="E3831">
        <v>0.77866783481188895</v>
      </c>
      <c r="F3831">
        <v>0.62439587403494101</v>
      </c>
      <c r="G3831">
        <v>0.17795197317056499</v>
      </c>
      <c r="H3831">
        <v>4.6964292116366498E-2</v>
      </c>
      <c r="I3831">
        <v>3.8534438019549297E-2</v>
      </c>
      <c r="J3831">
        <v>1.82697173700049E-2</v>
      </c>
      <c r="K3831">
        <v>0</v>
      </c>
      <c r="L3831">
        <v>1086.2662329156999</v>
      </c>
      <c r="M3831">
        <v>20.295452523353799</v>
      </c>
      <c r="N3831">
        <v>53.522641685570399</v>
      </c>
      <c r="O3831">
        <v>53.011131352426702</v>
      </c>
      <c r="P3831">
        <v>-9.5716082594907201E-2</v>
      </c>
      <c r="Q3831">
        <v>0</v>
      </c>
      <c r="R3831">
        <v>0.98650900514159401</v>
      </c>
      <c r="S3831" t="s">
        <v>10477</v>
      </c>
      <c r="T3831" t="s">
        <v>13290</v>
      </c>
      <c r="U3831" t="s">
        <v>13290</v>
      </c>
      <c r="V3831" t="s">
        <v>13290</v>
      </c>
      <c r="W3831" t="s">
        <v>17076</v>
      </c>
      <c r="X3831">
        <v>1</v>
      </c>
      <c r="Y3831" t="s">
        <v>23578</v>
      </c>
      <c r="Z3831" t="s">
        <v>30161</v>
      </c>
      <c r="AA3831">
        <v>0.46410547012062692</v>
      </c>
      <c r="AB3831" t="str">
        <f>HYPERLINK("Melting_Curves/meltCurve_Q5JR12_2_PPM1J.pdf", "Melting_Curves/meltCurve_Q5JR12_2_PPM1J.pdf")</f>
        <v>Melting_Curves/meltCurve_Q5JR12_2_PPM1J.pdf</v>
      </c>
    </row>
    <row r="3832" spans="1:28" x14ac:dyDescent="0.25">
      <c r="A3832" t="s">
        <v>3836</v>
      </c>
      <c r="B3832">
        <v>0.99252571173614901</v>
      </c>
      <c r="C3832">
        <v>1.0269066102852</v>
      </c>
      <c r="D3832">
        <v>0.80965207690734797</v>
      </c>
      <c r="E3832">
        <v>0.576808137690349</v>
      </c>
      <c r="F3832">
        <v>0.242785724145963</v>
      </c>
      <c r="G3832">
        <v>0.14009372169338899</v>
      </c>
      <c r="H3832">
        <v>0.105506827811732</v>
      </c>
      <c r="I3832">
        <v>0.130126201334507</v>
      </c>
      <c r="J3832">
        <v>0.20236482885346099</v>
      </c>
      <c r="K3832">
        <v>0.224380633770426</v>
      </c>
      <c r="L3832">
        <v>1217.78236740691</v>
      </c>
      <c r="M3832">
        <v>24.760540045267</v>
      </c>
      <c r="N3832">
        <v>49.913155318249103</v>
      </c>
      <c r="O3832">
        <v>48.864944380359802</v>
      </c>
      <c r="P3832">
        <v>-0.107420264059465</v>
      </c>
      <c r="Q3832">
        <v>0.152035959181227</v>
      </c>
      <c r="R3832">
        <v>0.982772877326612</v>
      </c>
      <c r="S3832" t="s">
        <v>10478</v>
      </c>
      <c r="T3832" t="s">
        <v>13290</v>
      </c>
      <c r="U3832" t="s">
        <v>13290</v>
      </c>
      <c r="V3832" t="s">
        <v>13290</v>
      </c>
      <c r="W3832" t="s">
        <v>17077</v>
      </c>
      <c r="X3832">
        <v>66</v>
      </c>
      <c r="Y3832" t="s">
        <v>23579</v>
      </c>
      <c r="Z3832" t="s">
        <v>30162</v>
      </c>
      <c r="AA3832">
        <v>0.4192539084010839</v>
      </c>
      <c r="AB3832" t="str">
        <f>HYPERLINK("Melting_Curves/meltCurve_Q5JRA6_MIA3.pdf", "Melting_Curves/meltCurve_Q5JRA6_MIA3.pdf")</f>
        <v>Melting_Curves/meltCurve_Q5JRA6_MIA3.pdf</v>
      </c>
    </row>
    <row r="3833" spans="1:28" x14ac:dyDescent="0.25">
      <c r="A3833" t="s">
        <v>3837</v>
      </c>
      <c r="B3833">
        <v>0.99252571173614901</v>
      </c>
      <c r="C3833">
        <v>1.05984139500561</v>
      </c>
      <c r="D3833">
        <v>1.0290773867819201</v>
      </c>
      <c r="E3833">
        <v>1.17777272965533</v>
      </c>
      <c r="F3833">
        <v>0.74546181509044596</v>
      </c>
      <c r="G3833">
        <v>0.52570839889532095</v>
      </c>
      <c r="H3833">
        <v>0.421586776658602</v>
      </c>
      <c r="I3833">
        <v>0.51218522514706799</v>
      </c>
      <c r="J3833">
        <v>0.65241288162518496</v>
      </c>
      <c r="K3833">
        <v>0.59676511079281203</v>
      </c>
      <c r="L3833">
        <v>13288.154780499401</v>
      </c>
      <c r="M3833">
        <v>250</v>
      </c>
      <c r="O3833">
        <v>53.149216904456303</v>
      </c>
      <c r="P3833">
        <v>-0.53889355216889001</v>
      </c>
      <c r="Q3833">
        <v>0.54173166893413804</v>
      </c>
      <c r="R3833">
        <v>0.89842081783970096</v>
      </c>
      <c r="S3833" t="s">
        <v>10479</v>
      </c>
      <c r="T3833" t="s">
        <v>13290</v>
      </c>
      <c r="U3833" t="s">
        <v>13290</v>
      </c>
      <c r="V3833" t="s">
        <v>13290</v>
      </c>
      <c r="W3833" t="s">
        <v>17078</v>
      </c>
      <c r="X3833">
        <v>12</v>
      </c>
      <c r="Y3833" t="s">
        <v>23580</v>
      </c>
      <c r="Z3833" t="s">
        <v>30163</v>
      </c>
      <c r="AA3833">
        <v>0.74268871093554401</v>
      </c>
      <c r="AB3833" t="str">
        <f>HYPERLINK("Melting_Curves/meltCurve_Q5JRG1_NUPL1.pdf", "Melting_Curves/meltCurve_Q5JRG1_NUPL1.pdf")</f>
        <v>Melting_Curves/meltCurve_Q5JRG1_NUPL1.pdf</v>
      </c>
    </row>
    <row r="3834" spans="1:28" x14ac:dyDescent="0.25">
      <c r="A3834" t="s">
        <v>3838</v>
      </c>
      <c r="B3834">
        <v>0.99252571173614901</v>
      </c>
      <c r="C3834">
        <v>0.96258272320316896</v>
      </c>
      <c r="D3834">
        <v>0.76182189724912996</v>
      </c>
      <c r="E3834">
        <v>0.63103918132509096</v>
      </c>
      <c r="F3834">
        <v>0.42038581290787502</v>
      </c>
      <c r="G3834">
        <v>0.26418312648658099</v>
      </c>
      <c r="H3834">
        <v>0.25805966469194003</v>
      </c>
      <c r="I3834">
        <v>0.477265249507284</v>
      </c>
      <c r="J3834">
        <v>1.1429519283249401</v>
      </c>
      <c r="K3834">
        <v>2.7553713183432502</v>
      </c>
      <c r="L3834">
        <v>10776.2958774074</v>
      </c>
      <c r="M3834">
        <v>250</v>
      </c>
      <c r="O3834">
        <v>43.102425073916798</v>
      </c>
      <c r="P3834">
        <v>-0.233622625909291</v>
      </c>
      <c r="Q3834">
        <v>0.83888477256545302</v>
      </c>
      <c r="R3834">
        <v>6.4655220319473896E-3</v>
      </c>
      <c r="S3834" t="s">
        <v>10480</v>
      </c>
      <c r="T3834" t="s">
        <v>13290</v>
      </c>
      <c r="U3834" t="s">
        <v>13290</v>
      </c>
      <c r="V3834" t="s">
        <v>13290</v>
      </c>
      <c r="W3834" t="s">
        <v>17079</v>
      </c>
      <c r="X3834">
        <v>7</v>
      </c>
      <c r="Y3834" t="s">
        <v>23581</v>
      </c>
      <c r="Z3834" t="s">
        <v>30164</v>
      </c>
      <c r="AA3834">
        <v>0.85557337234168562</v>
      </c>
      <c r="AB3834" t="str">
        <f>HYPERLINK("Melting_Curves/meltCurve_Q5JRI1_SRSF10.pdf", "Melting_Curves/meltCurve_Q5JRI1_SRSF10.pdf")</f>
        <v>Melting_Curves/meltCurve_Q5JRI1_SRSF10.pdf</v>
      </c>
    </row>
    <row r="3835" spans="1:28" x14ac:dyDescent="0.25">
      <c r="A3835" t="s">
        <v>3839</v>
      </c>
      <c r="B3835">
        <v>0.99252571173614901</v>
      </c>
      <c r="C3835">
        <v>0.93029582586577098</v>
      </c>
      <c r="D3835">
        <v>0.84080348727043996</v>
      </c>
      <c r="E3835">
        <v>0.61944299725986596</v>
      </c>
      <c r="F3835">
        <v>0.354675303864737</v>
      </c>
      <c r="G3835">
        <v>0.17545665886326101</v>
      </c>
      <c r="H3835">
        <v>0.100078089420493</v>
      </c>
      <c r="I3835">
        <v>8.4052944407728897E-2</v>
      </c>
      <c r="J3835">
        <v>9.0015323912014902E-2</v>
      </c>
      <c r="K3835">
        <v>7.7341030062945196E-2</v>
      </c>
      <c r="L3835">
        <v>836.31087193027395</v>
      </c>
      <c r="M3835">
        <v>16.532546576997401</v>
      </c>
      <c r="N3835">
        <v>50.974357053544203</v>
      </c>
      <c r="O3835">
        <v>49.862991371547999</v>
      </c>
      <c r="P3835">
        <v>-7.7987141007373098E-2</v>
      </c>
      <c r="Q3835">
        <v>5.92123793103888E-2</v>
      </c>
      <c r="R3835">
        <v>0.99876779701940399</v>
      </c>
      <c r="S3835" t="s">
        <v>10481</v>
      </c>
      <c r="T3835" t="s">
        <v>13290</v>
      </c>
      <c r="U3835" t="s">
        <v>13290</v>
      </c>
      <c r="V3835" t="s">
        <v>13290</v>
      </c>
      <c r="W3835" t="s">
        <v>17080</v>
      </c>
      <c r="X3835">
        <v>33</v>
      </c>
      <c r="Y3835" t="s">
        <v>23582</v>
      </c>
      <c r="Z3835" t="s">
        <v>30165</v>
      </c>
      <c r="AA3835">
        <v>0.40976153008516358</v>
      </c>
      <c r="AB3835" t="str">
        <f>HYPERLINK("Melting_Curves/meltCurve_Q5JRX3_PITRM1.pdf", "Melting_Curves/meltCurve_Q5JRX3_PITRM1.pdf")</f>
        <v>Melting_Curves/meltCurve_Q5JRX3_PITRM1.pdf</v>
      </c>
    </row>
    <row r="3836" spans="1:28" x14ac:dyDescent="0.25">
      <c r="A3836" t="s">
        <v>3840</v>
      </c>
      <c r="B3836">
        <v>0.99252571173614901</v>
      </c>
      <c r="C3836">
        <v>1.0077588177325401</v>
      </c>
      <c r="D3836">
        <v>0.97210650424843403</v>
      </c>
      <c r="E3836">
        <v>0.912973193215317</v>
      </c>
      <c r="F3836">
        <v>0.80643906021398104</v>
      </c>
      <c r="G3836">
        <v>0.70925304083614704</v>
      </c>
      <c r="H3836">
        <v>0.69177055201151905</v>
      </c>
      <c r="I3836">
        <v>0.83722113462724901</v>
      </c>
      <c r="J3836">
        <v>1.08680572381548</v>
      </c>
      <c r="K3836">
        <v>0.96242295824819801</v>
      </c>
      <c r="L3836">
        <v>12384.7467994086</v>
      </c>
      <c r="M3836">
        <v>250</v>
      </c>
      <c r="O3836">
        <v>49.535819864922502</v>
      </c>
      <c r="P3836">
        <v>-0.19053711745443799</v>
      </c>
      <c r="Q3836">
        <v>0.84898541156382501</v>
      </c>
      <c r="R3836">
        <v>0.25661100250803498</v>
      </c>
      <c r="S3836" t="s">
        <v>10482</v>
      </c>
      <c r="T3836" t="s">
        <v>13290</v>
      </c>
      <c r="U3836" t="s">
        <v>13290</v>
      </c>
      <c r="V3836" t="s">
        <v>13290</v>
      </c>
      <c r="W3836" t="s">
        <v>17081</v>
      </c>
      <c r="X3836">
        <v>6</v>
      </c>
      <c r="Y3836" t="s">
        <v>23583</v>
      </c>
      <c r="Z3836" t="s">
        <v>30166</v>
      </c>
      <c r="AA3836">
        <v>0.8970160816533177</v>
      </c>
      <c r="AB3836" t="str">
        <f>HYPERLINK("Melting_Curves/meltCurve_Q5JS37_NHLRC3.pdf", "Melting_Curves/meltCurve_Q5JS37_NHLRC3.pdf")</f>
        <v>Melting_Curves/meltCurve_Q5JS37_NHLRC3.pdf</v>
      </c>
    </row>
    <row r="3837" spans="1:28" x14ac:dyDescent="0.25">
      <c r="A3837" t="s">
        <v>3841</v>
      </c>
      <c r="B3837">
        <v>0.99252571173614901</v>
      </c>
      <c r="C3837">
        <v>1.03428443269778</v>
      </c>
      <c r="D3837">
        <v>0.97923136881580197</v>
      </c>
      <c r="E3837">
        <v>1.02759360205619</v>
      </c>
      <c r="F3837">
        <v>0.87901895154313203</v>
      </c>
      <c r="G3837">
        <v>0.78749044679781</v>
      </c>
      <c r="H3837">
        <v>0.69780121249169602</v>
      </c>
      <c r="I3837">
        <v>0.78128629169638597</v>
      </c>
      <c r="J3837">
        <v>0.85290147745818501</v>
      </c>
      <c r="K3837">
        <v>0.72415357540552905</v>
      </c>
      <c r="L3837">
        <v>4532.4049391776298</v>
      </c>
      <c r="M3837">
        <v>85.276397013809301</v>
      </c>
      <c r="O3837">
        <v>53.120365505174</v>
      </c>
      <c r="P3837">
        <v>-9.2919342935741805E-2</v>
      </c>
      <c r="Q3837">
        <v>0.76847474798716697</v>
      </c>
      <c r="R3837">
        <v>0.88207996522542897</v>
      </c>
      <c r="S3837" t="s">
        <v>10483</v>
      </c>
      <c r="T3837" t="s">
        <v>13290</v>
      </c>
      <c r="U3837" t="s">
        <v>13290</v>
      </c>
      <c r="V3837" t="s">
        <v>13290</v>
      </c>
      <c r="W3837" t="s">
        <v>17082</v>
      </c>
      <c r="X3837">
        <v>5</v>
      </c>
      <c r="Y3837" t="s">
        <v>23584</v>
      </c>
      <c r="Z3837" t="s">
        <v>30167</v>
      </c>
      <c r="AA3837">
        <v>0.87014268491911695</v>
      </c>
      <c r="AB3837" t="str">
        <f>HYPERLINK("Melting_Curves/meltCurve_Q5JS54_PSMG4.pdf", "Melting_Curves/meltCurve_Q5JS54_PSMG4.pdf")</f>
        <v>Melting_Curves/meltCurve_Q5JS54_PSMG4.pdf</v>
      </c>
    </row>
    <row r="3838" spans="1:28" x14ac:dyDescent="0.25">
      <c r="A3838" t="s">
        <v>3842</v>
      </c>
      <c r="B3838">
        <v>0.99252571173614901</v>
      </c>
      <c r="C3838">
        <v>1.04355527788483</v>
      </c>
      <c r="D3838">
        <v>0.95705611018025805</v>
      </c>
      <c r="E3838">
        <v>0.797340575373227</v>
      </c>
      <c r="F3838">
        <v>0.77396734249802501</v>
      </c>
      <c r="G3838">
        <v>0.50878845375313497</v>
      </c>
      <c r="H3838">
        <v>0.18054771357465099</v>
      </c>
      <c r="I3838">
        <v>0.15295778208414099</v>
      </c>
      <c r="J3838">
        <v>0.16439664137679699</v>
      </c>
      <c r="K3838">
        <v>0.15901684842340599</v>
      </c>
      <c r="L3838">
        <v>978.60672563569199</v>
      </c>
      <c r="M3838">
        <v>17.607667113970699</v>
      </c>
      <c r="N3838">
        <v>56.281510357638297</v>
      </c>
      <c r="O3838">
        <v>54.876414549154397</v>
      </c>
      <c r="P3838">
        <v>-7.2299958986980606E-2</v>
      </c>
      <c r="Q3838">
        <v>9.8722331016534895E-2</v>
      </c>
      <c r="R3838">
        <v>0.97834268725254603</v>
      </c>
      <c r="S3838" t="s">
        <v>10484</v>
      </c>
      <c r="T3838" t="s">
        <v>13290</v>
      </c>
      <c r="U3838" t="s">
        <v>13290</v>
      </c>
      <c r="V3838" t="s">
        <v>13290</v>
      </c>
      <c r="W3838" t="s">
        <v>17083</v>
      </c>
      <c r="X3838">
        <v>24</v>
      </c>
      <c r="Y3838" t="s">
        <v>23585</v>
      </c>
      <c r="Z3838" t="s">
        <v>30168</v>
      </c>
      <c r="AA3838">
        <v>0.58069950201809306</v>
      </c>
      <c r="AB3838" t="str">
        <f>HYPERLINK("Melting_Curves/meltCurve_Q5JSH3_2_WDR44.pdf", "Melting_Curves/meltCurve_Q5JSH3_2_WDR44.pdf")</f>
        <v>Melting_Curves/meltCurve_Q5JSH3_2_WDR44.pdf</v>
      </c>
    </row>
    <row r="3839" spans="1:28" x14ac:dyDescent="0.25">
      <c r="A3839" t="s">
        <v>3843</v>
      </c>
      <c r="B3839">
        <v>0.99252571173614901</v>
      </c>
      <c r="C3839">
        <v>1.1108133201222901</v>
      </c>
      <c r="D3839">
        <v>0.91905106841504902</v>
      </c>
      <c r="E3839">
        <v>0.78876752140970896</v>
      </c>
      <c r="F3839">
        <v>0.96331816882496302</v>
      </c>
      <c r="G3839">
        <v>0.670674779359686</v>
      </c>
      <c r="H3839">
        <v>0.69563312489553497</v>
      </c>
      <c r="I3839">
        <v>1.0549877043792999</v>
      </c>
      <c r="J3839">
        <v>1.7072826470626701</v>
      </c>
      <c r="K3839">
        <v>1.8040014349384299</v>
      </c>
      <c r="L3839">
        <v>15000</v>
      </c>
      <c r="M3839">
        <v>232.29081986125601</v>
      </c>
      <c r="O3839">
        <v>64.569440127329401</v>
      </c>
      <c r="P3839">
        <v>0.44969187410819</v>
      </c>
      <c r="Q3839">
        <v>1.5</v>
      </c>
      <c r="R3839">
        <v>0.706099715229763</v>
      </c>
      <c r="S3839" t="s">
        <v>10485</v>
      </c>
      <c r="T3839" t="s">
        <v>13290</v>
      </c>
      <c r="U3839" t="s">
        <v>13290</v>
      </c>
      <c r="V3839" t="s">
        <v>13290</v>
      </c>
      <c r="W3839" t="s">
        <v>17084</v>
      </c>
      <c r="X3839">
        <v>5</v>
      </c>
      <c r="Y3839" t="s">
        <v>23586</v>
      </c>
      <c r="Z3839" t="s">
        <v>30169</v>
      </c>
      <c r="AA3839">
        <v>1.090363924817813</v>
      </c>
      <c r="AB3839" t="str">
        <f>HYPERLINK("Melting_Curves/meltCurve_Q5JSL0_HMGN5.pdf", "Melting_Curves/meltCurve_Q5JSL0_HMGN5.pdf")</f>
        <v>Melting_Curves/meltCurve_Q5JSL0_HMGN5.pdf</v>
      </c>
    </row>
    <row r="3840" spans="1:28" x14ac:dyDescent="0.25">
      <c r="A3840" t="s">
        <v>3844</v>
      </c>
      <c r="B3840">
        <v>0.99252571173614901</v>
      </c>
      <c r="C3840">
        <v>0.98121251422027</v>
      </c>
      <c r="D3840">
        <v>0.92421914594538701</v>
      </c>
      <c r="E3840">
        <v>0.90685346008711099</v>
      </c>
      <c r="F3840">
        <v>0.85191093230884896</v>
      </c>
      <c r="G3840">
        <v>0.72281074817129498</v>
      </c>
      <c r="H3840">
        <v>0.65817322858125504</v>
      </c>
      <c r="I3840">
        <v>0.73508257926007403</v>
      </c>
      <c r="J3840">
        <v>1.3060798277274099</v>
      </c>
      <c r="K3840">
        <v>1.9639620739577901</v>
      </c>
      <c r="L3840">
        <v>15000</v>
      </c>
      <c r="M3840">
        <v>224.004040351539</v>
      </c>
      <c r="O3840">
        <v>66.957733248489106</v>
      </c>
      <c r="P3840">
        <v>0.418181749834107</v>
      </c>
      <c r="Q3840">
        <v>1.5</v>
      </c>
      <c r="R3840">
        <v>0.61014200977288102</v>
      </c>
      <c r="S3840" t="s">
        <v>10486</v>
      </c>
      <c r="T3840" t="s">
        <v>13290</v>
      </c>
      <c r="U3840" t="s">
        <v>13290</v>
      </c>
      <c r="V3840" t="s">
        <v>13290</v>
      </c>
      <c r="W3840" t="s">
        <v>17085</v>
      </c>
      <c r="X3840">
        <v>56</v>
      </c>
      <c r="Y3840" t="s">
        <v>20752</v>
      </c>
      <c r="Z3840" t="s">
        <v>30170</v>
      </c>
      <c r="AA3840">
        <v>1.050542506139865</v>
      </c>
      <c r="AB3840" t="str">
        <f>HYPERLINK("Melting_Curves/meltCurve_Q5JSZ5_PRRC2B.pdf", "Melting_Curves/meltCurve_Q5JSZ5_PRRC2B.pdf")</f>
        <v>Melting_Curves/meltCurve_Q5JSZ5_PRRC2B.pdf</v>
      </c>
    </row>
    <row r="3841" spans="1:28" x14ac:dyDescent="0.25">
      <c r="A3841" t="s">
        <v>3845</v>
      </c>
      <c r="B3841">
        <v>0.99252571173614901</v>
      </c>
      <c r="C3841">
        <v>1.0298294824532499</v>
      </c>
      <c r="D3841">
        <v>0.85132890528590299</v>
      </c>
      <c r="E3841">
        <v>0.55381978952406696</v>
      </c>
      <c r="F3841">
        <v>0.34349306291609</v>
      </c>
      <c r="G3841">
        <v>0.23261377871222899</v>
      </c>
      <c r="H3841">
        <v>0.23117272139595499</v>
      </c>
      <c r="I3841">
        <v>0.30758292141009402</v>
      </c>
      <c r="J3841">
        <v>0.497425180655378</v>
      </c>
      <c r="K3841">
        <v>0.54615602789315298</v>
      </c>
      <c r="L3841">
        <v>1594.4380164730501</v>
      </c>
      <c r="M3841">
        <v>33.203535684405303</v>
      </c>
      <c r="N3841">
        <v>49.915631829915498</v>
      </c>
      <c r="O3841">
        <v>47.846940031078901</v>
      </c>
      <c r="P3841">
        <v>-0.111328408113085</v>
      </c>
      <c r="Q3841">
        <v>0.358297100588157</v>
      </c>
      <c r="R3841">
        <v>0.88419498468980096</v>
      </c>
      <c r="S3841" t="s">
        <v>10487</v>
      </c>
      <c r="T3841" t="s">
        <v>13290</v>
      </c>
      <c r="U3841" t="s">
        <v>13290</v>
      </c>
      <c r="V3841" t="s">
        <v>13290</v>
      </c>
      <c r="W3841" t="s">
        <v>17086</v>
      </c>
      <c r="X3841">
        <v>17</v>
      </c>
      <c r="Y3841" t="s">
        <v>23587</v>
      </c>
      <c r="Z3841" t="s">
        <v>30171</v>
      </c>
      <c r="AA3841">
        <v>0.53297719213512018</v>
      </c>
      <c r="AB3841" t="str">
        <f>HYPERLINK("Melting_Curves/meltCurve_Q5JTD0_2_TJAP1.pdf", "Melting_Curves/meltCurve_Q5JTD0_2_TJAP1.pdf")</f>
        <v>Melting_Curves/meltCurve_Q5JTD0_2_TJAP1.pdf</v>
      </c>
    </row>
    <row r="3842" spans="1:28" x14ac:dyDescent="0.25">
      <c r="A3842" t="s">
        <v>3846</v>
      </c>
      <c r="B3842">
        <v>0.99252571173614901</v>
      </c>
      <c r="C3842">
        <v>0.72337094182226702</v>
      </c>
      <c r="D3842">
        <v>0.31844435444900598</v>
      </c>
      <c r="E3842">
        <v>0.18573825063286301</v>
      </c>
      <c r="F3842">
        <v>9.5410260192446E-2</v>
      </c>
      <c r="G3842">
        <v>5.9187180248793103E-2</v>
      </c>
      <c r="H3842">
        <v>5.06227729152652E-2</v>
      </c>
      <c r="I3842">
        <v>3.1593121986936701E-2</v>
      </c>
      <c r="J3842">
        <v>2.0334287102833099E-2</v>
      </c>
      <c r="K3842">
        <v>1.8200767789354901E-2</v>
      </c>
      <c r="L3842">
        <v>1057.5426781215101</v>
      </c>
      <c r="M3842">
        <v>23.7384758948273</v>
      </c>
      <c r="N3842">
        <v>44.735206770346302</v>
      </c>
      <c r="O3842">
        <v>44.237199455950403</v>
      </c>
      <c r="P3842">
        <v>-0.127869199062908</v>
      </c>
      <c r="Q3842">
        <v>4.6867027219380498E-2</v>
      </c>
      <c r="R3842">
        <v>0.99002649106356599</v>
      </c>
      <c r="S3842" t="s">
        <v>10488</v>
      </c>
      <c r="T3842" t="s">
        <v>13290</v>
      </c>
      <c r="U3842" t="s">
        <v>13290</v>
      </c>
      <c r="V3842" t="s">
        <v>13290</v>
      </c>
      <c r="W3842" t="s">
        <v>17087</v>
      </c>
      <c r="X3842">
        <v>2</v>
      </c>
      <c r="Y3842" t="s">
        <v>23588</v>
      </c>
      <c r="Z3842" t="s">
        <v>30172</v>
      </c>
      <c r="AA3842">
        <v>0.2027744725448721</v>
      </c>
      <c r="AB3842" t="str">
        <f>HYPERLINK("Melting_Curves/meltCurve_Q5JTH9_2_RRP12.pdf", "Melting_Curves/meltCurve_Q5JTH9_2_RRP12.pdf")</f>
        <v>Melting_Curves/meltCurve_Q5JTH9_2_RRP12.pdf</v>
      </c>
    </row>
    <row r="3843" spans="1:28" x14ac:dyDescent="0.25">
      <c r="A3843" t="s">
        <v>3847</v>
      </c>
      <c r="B3843">
        <v>0.99252571173614901</v>
      </c>
      <c r="C3843">
        <v>1.0740731871847899</v>
      </c>
      <c r="D3843">
        <v>0.988621147096584</v>
      </c>
      <c r="E3843">
        <v>0.86638902033108001</v>
      </c>
      <c r="F3843">
        <v>0.79427044148279102</v>
      </c>
      <c r="G3843">
        <v>0.75641225626735997</v>
      </c>
      <c r="H3843">
        <v>0.82276255224698203</v>
      </c>
      <c r="I3843">
        <v>1.0845210641171501</v>
      </c>
      <c r="J3843">
        <v>1.6948311750165199</v>
      </c>
      <c r="K3843">
        <v>1.81503442184226</v>
      </c>
      <c r="L3843">
        <v>15000</v>
      </c>
      <c r="M3843">
        <v>232.78447149833099</v>
      </c>
      <c r="O3843">
        <v>64.432531976635701</v>
      </c>
      <c r="P3843">
        <v>0.45160508393620102</v>
      </c>
      <c r="Q3843">
        <v>1.5</v>
      </c>
      <c r="R3843">
        <v>0.76145046362958002</v>
      </c>
      <c r="S3843" t="s">
        <v>10489</v>
      </c>
      <c r="T3843" t="s">
        <v>13290</v>
      </c>
      <c r="U3843" t="s">
        <v>13290</v>
      </c>
      <c r="V3843" t="s">
        <v>13290</v>
      </c>
      <c r="W3843" t="s">
        <v>17088</v>
      </c>
      <c r="X3843">
        <v>10</v>
      </c>
      <c r="Y3843" t="s">
        <v>23589</v>
      </c>
      <c r="Z3843" t="s">
        <v>30173</v>
      </c>
      <c r="AA3843">
        <v>1.09264665102993</v>
      </c>
      <c r="AB3843" t="str">
        <f>HYPERLINK("Melting_Curves/meltCurve_Q5JTJ3_3_COA6.pdf", "Melting_Curves/meltCurve_Q5JTJ3_3_COA6.pdf")</f>
        <v>Melting_Curves/meltCurve_Q5JTJ3_3_COA6.pdf</v>
      </c>
    </row>
    <row r="3844" spans="1:28" x14ac:dyDescent="0.25">
      <c r="A3844" t="s">
        <v>3848</v>
      </c>
      <c r="B3844">
        <v>0.99252571173614901</v>
      </c>
      <c r="C3844">
        <v>0.776015064536976</v>
      </c>
      <c r="D3844">
        <v>0.43248650357875201</v>
      </c>
      <c r="E3844">
        <v>0.26318989778125301</v>
      </c>
      <c r="F3844">
        <v>0.133703695683275</v>
      </c>
      <c r="G3844">
        <v>8.9115127310675904E-2</v>
      </c>
      <c r="H3844">
        <v>6.4714529357711201E-2</v>
      </c>
      <c r="I3844">
        <v>6.1919891570964697E-2</v>
      </c>
      <c r="J3844">
        <v>6.5056648681622198E-2</v>
      </c>
      <c r="K3844">
        <v>7.6245355960597797E-2</v>
      </c>
      <c r="L3844">
        <v>899.40964341243796</v>
      </c>
      <c r="M3844">
        <v>19.825080504241399</v>
      </c>
      <c r="N3844">
        <v>45.727972239256701</v>
      </c>
      <c r="O3844">
        <v>44.913231442868202</v>
      </c>
      <c r="P3844">
        <v>-0.102367576009826</v>
      </c>
      <c r="Q3844">
        <v>7.2386380290568902E-2</v>
      </c>
      <c r="R3844">
        <v>0.99279984816428102</v>
      </c>
      <c r="S3844" t="s">
        <v>10490</v>
      </c>
      <c r="T3844" t="s">
        <v>13290</v>
      </c>
      <c r="U3844" t="s">
        <v>13290</v>
      </c>
      <c r="V3844" t="s">
        <v>13290</v>
      </c>
      <c r="W3844" t="s">
        <v>17089</v>
      </c>
      <c r="X3844">
        <v>5</v>
      </c>
      <c r="Y3844" t="s">
        <v>23590</v>
      </c>
      <c r="Z3844" t="s">
        <v>30174</v>
      </c>
      <c r="AA3844">
        <v>0.25376848144677</v>
      </c>
      <c r="AB3844" t="str">
        <f>HYPERLINK("Melting_Curves/meltCurve_Q5JTV1_GMEB2.pdf", "Melting_Curves/meltCurve_Q5JTV1_GMEB2.pdf")</f>
        <v>Melting_Curves/meltCurve_Q5JTV1_GMEB2.pdf</v>
      </c>
    </row>
    <row r="3845" spans="1:28" x14ac:dyDescent="0.25">
      <c r="A3845" t="s">
        <v>3849</v>
      </c>
      <c r="B3845">
        <v>0.99252571173614901</v>
      </c>
      <c r="C3845">
        <v>0.96436352541658499</v>
      </c>
      <c r="D3845">
        <v>0.92136207371571599</v>
      </c>
      <c r="E3845">
        <v>0.91384034853533302</v>
      </c>
      <c r="F3845">
        <v>0.61216535584818998</v>
      </c>
      <c r="G3845">
        <v>0.30688713313382199</v>
      </c>
      <c r="H3845">
        <v>0.14120715126043301</v>
      </c>
      <c r="I3845">
        <v>0.14352440494372001</v>
      </c>
      <c r="J3845">
        <v>0.19874613214660999</v>
      </c>
      <c r="K3845">
        <v>0.186246895114446</v>
      </c>
      <c r="L3845">
        <v>1480.2851628613801</v>
      </c>
      <c r="M3845">
        <v>27.6908875457517</v>
      </c>
      <c r="N3845">
        <v>54.211103023066997</v>
      </c>
      <c r="O3845">
        <v>53.181004549999201</v>
      </c>
      <c r="P3845">
        <v>-0.109377811879628</v>
      </c>
      <c r="Q3845">
        <v>0.159756607067078</v>
      </c>
      <c r="R3845">
        <v>0.99149185764976799</v>
      </c>
      <c r="S3845" t="s">
        <v>10491</v>
      </c>
      <c r="T3845" t="s">
        <v>13290</v>
      </c>
      <c r="U3845" t="s">
        <v>13290</v>
      </c>
      <c r="V3845" t="s">
        <v>13290</v>
      </c>
      <c r="W3845" t="s">
        <v>14372</v>
      </c>
      <c r="X3845">
        <v>18</v>
      </c>
      <c r="Y3845" t="s">
        <v>20955</v>
      </c>
      <c r="Z3845" t="s">
        <v>30175</v>
      </c>
      <c r="AA3845">
        <v>0.54307450630661691</v>
      </c>
      <c r="AB3845" t="str">
        <f>HYPERLINK("Melting_Curves/meltCurve_Q5JTV8_TOR1AIP1.pdf", "Melting_Curves/meltCurve_Q5JTV8_TOR1AIP1.pdf")</f>
        <v>Melting_Curves/meltCurve_Q5JTV8_TOR1AIP1.pdf</v>
      </c>
    </row>
    <row r="3846" spans="1:28" x14ac:dyDescent="0.25">
      <c r="A3846" t="s">
        <v>3850</v>
      </c>
      <c r="B3846">
        <v>0.99252571173614901</v>
      </c>
      <c r="C3846">
        <v>0.94059680852875505</v>
      </c>
      <c r="D3846">
        <v>0.78707923331269103</v>
      </c>
      <c r="E3846">
        <v>0.499641792182972</v>
      </c>
      <c r="F3846">
        <v>0.20138690371597001</v>
      </c>
      <c r="G3846">
        <v>0.118099290607916</v>
      </c>
      <c r="H3846">
        <v>9.3726307033215994E-2</v>
      </c>
      <c r="I3846">
        <v>9.4668916808043804E-2</v>
      </c>
      <c r="J3846">
        <v>0.12510052871424299</v>
      </c>
      <c r="K3846">
        <v>0.11518638981375399</v>
      </c>
      <c r="L3846">
        <v>1042.5207117105599</v>
      </c>
      <c r="M3846">
        <v>21.373948594535701</v>
      </c>
      <c r="N3846">
        <v>49.262236260630203</v>
      </c>
      <c r="O3846">
        <v>48.3543662975638</v>
      </c>
      <c r="P3846">
        <v>-9.9986476195627103E-2</v>
      </c>
      <c r="Q3846">
        <v>9.5223495001878197E-2</v>
      </c>
      <c r="R3846">
        <v>0.99699788624181795</v>
      </c>
      <c r="S3846" t="s">
        <v>10492</v>
      </c>
      <c r="T3846" t="s">
        <v>13290</v>
      </c>
      <c r="U3846" t="s">
        <v>13290</v>
      </c>
      <c r="V3846" t="s">
        <v>13290</v>
      </c>
      <c r="W3846" t="s">
        <v>17090</v>
      </c>
      <c r="X3846">
        <v>31</v>
      </c>
      <c r="Y3846" t="s">
        <v>23591</v>
      </c>
      <c r="Z3846" t="s">
        <v>30176</v>
      </c>
      <c r="AA3846">
        <v>0.37095833513884158</v>
      </c>
      <c r="AB3846" t="str">
        <f>HYPERLINK("Melting_Curves/meltCurve_Q5JTZ9_AARS2.pdf", "Melting_Curves/meltCurve_Q5JTZ9_AARS2.pdf")</f>
        <v>Melting_Curves/meltCurve_Q5JTZ9_AARS2.pdf</v>
      </c>
    </row>
    <row r="3847" spans="1:28" x14ac:dyDescent="0.25">
      <c r="A3847" t="s">
        <v>3851</v>
      </c>
      <c r="B3847">
        <v>0.99252571173614901</v>
      </c>
      <c r="C3847">
        <v>1.0452872788393199</v>
      </c>
      <c r="D3847">
        <v>1.1764037295793499</v>
      </c>
      <c r="E3847">
        <v>1.3691292946613001</v>
      </c>
      <c r="F3847">
        <v>0.72726876899078696</v>
      </c>
      <c r="G3847">
        <v>0.37176793819162501</v>
      </c>
      <c r="H3847">
        <v>0.21612584967360501</v>
      </c>
      <c r="I3847">
        <v>0.20948578253432601</v>
      </c>
      <c r="J3847">
        <v>0.18393713028525399</v>
      </c>
      <c r="K3847">
        <v>0.196289986677217</v>
      </c>
      <c r="L3847">
        <v>2361.3892425459399</v>
      </c>
      <c r="M3847">
        <v>43.383137862581698</v>
      </c>
      <c r="N3847">
        <v>55.1128367755421</v>
      </c>
      <c r="O3847">
        <v>54.315748581844304</v>
      </c>
      <c r="P3847">
        <v>-0.15821493231644301</v>
      </c>
      <c r="Q3847">
        <v>0.20765969457787301</v>
      </c>
      <c r="R3847">
        <v>0.90532364288169098</v>
      </c>
      <c r="S3847" t="s">
        <v>10493</v>
      </c>
      <c r="T3847" t="s">
        <v>13290</v>
      </c>
      <c r="U3847" t="s">
        <v>13290</v>
      </c>
      <c r="V3847" t="s">
        <v>13290</v>
      </c>
      <c r="W3847" t="s">
        <v>17091</v>
      </c>
      <c r="X3847">
        <v>1</v>
      </c>
      <c r="Y3847" t="s">
        <v>23592</v>
      </c>
      <c r="Z3847" t="s">
        <v>30177</v>
      </c>
      <c r="AA3847">
        <v>0.59133069986718967</v>
      </c>
      <c r="AB3847" t="str">
        <f>HYPERLINK("Melting_Curves/meltCurve_Q5JU69_TOR2A.pdf", "Melting_Curves/meltCurve_Q5JU69_TOR2A.pdf")</f>
        <v>Melting_Curves/meltCurve_Q5JU69_TOR2A.pdf</v>
      </c>
    </row>
    <row r="3848" spans="1:28" x14ac:dyDescent="0.25">
      <c r="A3848" t="s">
        <v>3852</v>
      </c>
      <c r="B3848">
        <v>0.99252571173614901</v>
      </c>
      <c r="C3848">
        <v>0.88328674813667496</v>
      </c>
      <c r="D3848">
        <v>0.68801767268223202</v>
      </c>
      <c r="E3848">
        <v>0.43073024432679402</v>
      </c>
      <c r="F3848">
        <v>0.42551294397023198</v>
      </c>
      <c r="G3848">
        <v>0.26690036629289998</v>
      </c>
      <c r="H3848">
        <v>0.13622030245868899</v>
      </c>
      <c r="I3848">
        <v>0.13838164262906599</v>
      </c>
      <c r="J3848">
        <v>9.2422602789504094E-2</v>
      </c>
      <c r="K3848">
        <v>8.1602013736656306E-2</v>
      </c>
      <c r="L3848">
        <v>551.825797068405</v>
      </c>
      <c r="M3848">
        <v>11.1853309818783</v>
      </c>
      <c r="N3848">
        <v>49.904037176018001</v>
      </c>
      <c r="O3848">
        <v>47.836677988038097</v>
      </c>
      <c r="P3848">
        <v>-5.4972065105114001E-2</v>
      </c>
      <c r="Q3848">
        <v>5.9893957203656999E-2</v>
      </c>
      <c r="R3848">
        <v>0.98043362069593898</v>
      </c>
      <c r="S3848" t="s">
        <v>10494</v>
      </c>
      <c r="T3848" t="s">
        <v>13290</v>
      </c>
      <c r="U3848" t="s">
        <v>13290</v>
      </c>
      <c r="V3848" t="s">
        <v>13290</v>
      </c>
      <c r="W3848" t="s">
        <v>17092</v>
      </c>
      <c r="X3848">
        <v>1</v>
      </c>
      <c r="Y3848" t="s">
        <v>23593</v>
      </c>
      <c r="Z3848" t="s">
        <v>30178</v>
      </c>
      <c r="AA3848">
        <v>0.39029795969984482</v>
      </c>
      <c r="AB3848" t="str">
        <f>HYPERLINK("Melting_Curves/meltCurve_Q5JUE6_RAPGEF1.pdf", "Melting_Curves/meltCurve_Q5JUE6_RAPGEF1.pdf")</f>
        <v>Melting_Curves/meltCurve_Q5JUE6_RAPGEF1.pdf</v>
      </c>
    </row>
    <row r="3849" spans="1:28" x14ac:dyDescent="0.25">
      <c r="A3849" t="s">
        <v>3853</v>
      </c>
      <c r="B3849">
        <v>0.99252571173614901</v>
      </c>
      <c r="C3849">
        <v>1.04621805327284</v>
      </c>
      <c r="D3849">
        <v>0.76622617225252798</v>
      </c>
      <c r="E3849">
        <v>0.25070002240177802</v>
      </c>
      <c r="F3849">
        <v>0.16091018527644901</v>
      </c>
      <c r="G3849">
        <v>9.3985133097051504E-2</v>
      </c>
      <c r="H3849">
        <v>5.3646898824258098E-2</v>
      </c>
      <c r="I3849">
        <v>4.0235660208476701E-2</v>
      </c>
      <c r="J3849">
        <v>4.21281710880076E-2</v>
      </c>
      <c r="K3849">
        <v>5.6259026039826902E-2</v>
      </c>
      <c r="L3849">
        <v>1568.5189593068201</v>
      </c>
      <c r="M3849">
        <v>32.946463587040903</v>
      </c>
      <c r="N3849">
        <v>47.816324529447201</v>
      </c>
      <c r="O3849">
        <v>47.433740538004002</v>
      </c>
      <c r="P3849">
        <v>-0.16204137336948901</v>
      </c>
      <c r="Q3849">
        <v>6.6826134369394205E-2</v>
      </c>
      <c r="R3849">
        <v>0.99240818809672005</v>
      </c>
      <c r="S3849" t="s">
        <v>10495</v>
      </c>
      <c r="T3849" t="s">
        <v>13290</v>
      </c>
      <c r="U3849" t="s">
        <v>13290</v>
      </c>
      <c r="V3849" t="s">
        <v>13290</v>
      </c>
      <c r="W3849" t="s">
        <v>17093</v>
      </c>
      <c r="X3849">
        <v>2</v>
      </c>
      <c r="Y3849" t="s">
        <v>23594</v>
      </c>
      <c r="Z3849" t="s">
        <v>30179</v>
      </c>
      <c r="AA3849">
        <v>0.3080842185329411</v>
      </c>
      <c r="AB3849" t="str">
        <f>HYPERLINK("Melting_Curves/meltCurve_Q5JUR7_TEX30.pdf", "Melting_Curves/meltCurve_Q5JUR7_TEX30.pdf")</f>
        <v>Melting_Curves/meltCurve_Q5JUR7_TEX30.pdf</v>
      </c>
    </row>
    <row r="3850" spans="1:28" x14ac:dyDescent="0.25">
      <c r="A3850" t="s">
        <v>3854</v>
      </c>
      <c r="B3850">
        <v>0.99252571173614901</v>
      </c>
      <c r="C3850">
        <v>1.10451144800334</v>
      </c>
      <c r="D3850">
        <v>1.02106968308708</v>
      </c>
      <c r="E3850">
        <v>1.07360608556278</v>
      </c>
      <c r="F3850">
        <v>0.45575081307305099</v>
      </c>
      <c r="G3850">
        <v>0.17735149344054699</v>
      </c>
      <c r="H3850">
        <v>0.11213534058742999</v>
      </c>
      <c r="I3850">
        <v>0.126379619857349</v>
      </c>
      <c r="J3850">
        <v>0.14872795921043</v>
      </c>
      <c r="K3850">
        <v>0.143132808676915</v>
      </c>
      <c r="L3850">
        <v>11307.6499979365</v>
      </c>
      <c r="M3850">
        <v>213.099170658943</v>
      </c>
      <c r="N3850">
        <v>53.145853556575801</v>
      </c>
      <c r="O3850">
        <v>53.058199524729901</v>
      </c>
      <c r="P3850">
        <v>-0.86195941416730504</v>
      </c>
      <c r="Q3850">
        <v>0.14154527339259401</v>
      </c>
      <c r="R3850">
        <v>0.98954216850632204</v>
      </c>
      <c r="S3850" t="s">
        <v>10496</v>
      </c>
      <c r="T3850" t="s">
        <v>13290</v>
      </c>
      <c r="U3850" t="s">
        <v>13290</v>
      </c>
      <c r="V3850" t="s">
        <v>13290</v>
      </c>
      <c r="W3850" t="s">
        <v>17094</v>
      </c>
      <c r="X3850">
        <v>15</v>
      </c>
      <c r="Y3850" t="s">
        <v>23595</v>
      </c>
      <c r="Z3850" t="s">
        <v>30180</v>
      </c>
      <c r="AA3850">
        <v>0.51545091000791088</v>
      </c>
      <c r="AB3850" t="str">
        <f>HYPERLINK("Melting_Curves/meltCurve_Q5JUW8_DLG3.pdf", "Melting_Curves/meltCurve_Q5JUW8_DLG3.pdf")</f>
        <v>Melting_Curves/meltCurve_Q5JUW8_DLG3.pdf</v>
      </c>
    </row>
    <row r="3851" spans="1:28" x14ac:dyDescent="0.25">
      <c r="A3851" t="s">
        <v>3855</v>
      </c>
      <c r="B3851">
        <v>0.99252571173614901</v>
      </c>
      <c r="C3851">
        <v>1.12345733582075</v>
      </c>
      <c r="D3851">
        <v>0.92204493547282895</v>
      </c>
      <c r="E3851">
        <v>0.74556225132009801</v>
      </c>
      <c r="F3851">
        <v>0.28617006676207501</v>
      </c>
      <c r="G3851">
        <v>0.19948532215678499</v>
      </c>
      <c r="H3851">
        <v>0.27338532853512199</v>
      </c>
      <c r="I3851">
        <v>0.32851027526312598</v>
      </c>
      <c r="J3851">
        <v>0.57725537562556795</v>
      </c>
      <c r="K3851">
        <v>0.56893077897893796</v>
      </c>
      <c r="L3851">
        <v>12419.009348043401</v>
      </c>
      <c r="M3851">
        <v>250</v>
      </c>
      <c r="N3851">
        <v>49.948728206273401</v>
      </c>
      <c r="O3851">
        <v>49.672854596558402</v>
      </c>
      <c r="P3851">
        <v>-0.78980566534091701</v>
      </c>
      <c r="Q3851">
        <v>0.37228952032982199</v>
      </c>
      <c r="R3851">
        <v>0.84801611521761</v>
      </c>
      <c r="S3851" t="s">
        <v>10497</v>
      </c>
      <c r="T3851" t="s">
        <v>13290</v>
      </c>
      <c r="U3851" t="s">
        <v>13290</v>
      </c>
      <c r="V3851" t="s">
        <v>13290</v>
      </c>
      <c r="W3851" t="s">
        <v>17095</v>
      </c>
      <c r="X3851">
        <v>1</v>
      </c>
      <c r="Y3851" t="s">
        <v>23596</v>
      </c>
      <c r="Z3851" t="s">
        <v>30181</v>
      </c>
      <c r="AA3851">
        <v>0.574802580309833</v>
      </c>
      <c r="AB3851" t="str">
        <f>HYPERLINK("Melting_Curves/meltCurve_Q5JV73_FRMPD3.pdf", "Melting_Curves/meltCurve_Q5JV73_FRMPD3.pdf")</f>
        <v>Melting_Curves/meltCurve_Q5JV73_FRMPD3.pdf</v>
      </c>
    </row>
    <row r="3852" spans="1:28" x14ac:dyDescent="0.25">
      <c r="A3852" t="s">
        <v>3856</v>
      </c>
      <c r="B3852">
        <v>0.99252571173614901</v>
      </c>
      <c r="C3852">
        <v>0.923216549655686</v>
      </c>
      <c r="D3852">
        <v>0.63115449385403499</v>
      </c>
      <c r="E3852">
        <v>0.205577387929363</v>
      </c>
      <c r="F3852">
        <v>0.10410968839097</v>
      </c>
      <c r="G3852">
        <v>5.9980908774835903E-2</v>
      </c>
      <c r="H3852">
        <v>5.2267812516598497E-2</v>
      </c>
      <c r="I3852">
        <v>6.7045804751678206E-2</v>
      </c>
      <c r="J3852">
        <v>8.9527546437577807E-2</v>
      </c>
      <c r="K3852">
        <v>0.10017722329334</v>
      </c>
      <c r="L3852">
        <v>1360.7948798960599</v>
      </c>
      <c r="M3852">
        <v>29.189147389575702</v>
      </c>
      <c r="N3852">
        <v>46.874347717011503</v>
      </c>
      <c r="O3852">
        <v>46.402717401881098</v>
      </c>
      <c r="P3852">
        <v>-0.14573893693586801</v>
      </c>
      <c r="Q3852">
        <v>7.3267402461524703E-2</v>
      </c>
      <c r="R3852">
        <v>0.99843812566621004</v>
      </c>
      <c r="S3852" t="s">
        <v>10498</v>
      </c>
      <c r="T3852" t="s">
        <v>13290</v>
      </c>
      <c r="U3852" t="s">
        <v>13290</v>
      </c>
      <c r="V3852" t="s">
        <v>13290</v>
      </c>
      <c r="W3852" t="s">
        <v>17096</v>
      </c>
      <c r="X3852">
        <v>7</v>
      </c>
      <c r="Y3852" t="s">
        <v>23597</v>
      </c>
      <c r="Z3852" t="s">
        <v>30182</v>
      </c>
      <c r="AA3852">
        <v>0.28368338060091791</v>
      </c>
      <c r="AB3852" t="str">
        <f>HYPERLINK("Melting_Curves/meltCurve_Q5JVF3_3_PCID2.pdf", "Melting_Curves/meltCurve_Q5JVF3_3_PCID2.pdf")</f>
        <v>Melting_Curves/meltCurve_Q5JVF3_3_PCID2.pdf</v>
      </c>
    </row>
    <row r="3853" spans="1:28" x14ac:dyDescent="0.25">
      <c r="A3853" t="s">
        <v>3857</v>
      </c>
      <c r="B3853">
        <v>0.99252571173614901</v>
      </c>
      <c r="C3853">
        <v>1.05135089309992</v>
      </c>
      <c r="D3853">
        <v>0.93962410675613495</v>
      </c>
      <c r="E3853">
        <v>1.0126808279117401</v>
      </c>
      <c r="F3853">
        <v>0.876608339383952</v>
      </c>
      <c r="G3853">
        <v>0.78719004894213995</v>
      </c>
      <c r="H3853">
        <v>0.81232512571508697</v>
      </c>
      <c r="I3853">
        <v>1.0106855015627001</v>
      </c>
      <c r="J3853">
        <v>1.35833499005628</v>
      </c>
      <c r="K3853">
        <v>1.5329191534887401</v>
      </c>
      <c r="L3853">
        <v>15000</v>
      </c>
      <c r="M3853">
        <v>224.47503391550799</v>
      </c>
      <c r="O3853">
        <v>66.817267941907602</v>
      </c>
      <c r="P3853">
        <v>0.41994200619223498</v>
      </c>
      <c r="Q3853">
        <v>1.5</v>
      </c>
      <c r="R3853">
        <v>0.79344391789396396</v>
      </c>
      <c r="S3853" t="s">
        <v>10499</v>
      </c>
      <c r="T3853" t="s">
        <v>13290</v>
      </c>
      <c r="U3853" t="s">
        <v>13290</v>
      </c>
      <c r="V3853" t="s">
        <v>13290</v>
      </c>
      <c r="W3853" t="s">
        <v>17097</v>
      </c>
      <c r="X3853">
        <v>11</v>
      </c>
      <c r="Y3853" t="s">
        <v>23598</v>
      </c>
      <c r="Z3853" t="s">
        <v>30183</v>
      </c>
      <c r="AA3853">
        <v>1.05288454084115</v>
      </c>
      <c r="AB3853" t="str">
        <f>HYPERLINK("Melting_Curves/meltCurve_Q5JVS0_HABP4.pdf", "Melting_Curves/meltCurve_Q5JVS0_HABP4.pdf")</f>
        <v>Melting_Curves/meltCurve_Q5JVS0_HABP4.pdf</v>
      </c>
    </row>
    <row r="3854" spans="1:28" x14ac:dyDescent="0.25">
      <c r="A3854" t="s">
        <v>3858</v>
      </c>
      <c r="B3854">
        <v>0.99252571173614901</v>
      </c>
      <c r="C3854">
        <v>0.78401281414653201</v>
      </c>
      <c r="D3854">
        <v>0.63741749072215803</v>
      </c>
      <c r="E3854">
        <v>0.33600740385497002</v>
      </c>
      <c r="F3854">
        <v>0.198552131049088</v>
      </c>
      <c r="G3854">
        <v>0.103761808200869</v>
      </c>
      <c r="H3854">
        <v>9.5087945943149205E-2</v>
      </c>
      <c r="I3854">
        <v>7.64985435005065E-2</v>
      </c>
      <c r="J3854">
        <v>0.101445972562798</v>
      </c>
      <c r="K3854">
        <v>7.7854963184210604E-2</v>
      </c>
      <c r="L3854">
        <v>766.05686399948399</v>
      </c>
      <c r="M3854">
        <v>16.333788238939501</v>
      </c>
      <c r="N3854">
        <v>47.3612169344322</v>
      </c>
      <c r="O3854">
        <v>46.214055344744899</v>
      </c>
      <c r="P3854">
        <v>-8.1870377419268295E-2</v>
      </c>
      <c r="Q3854">
        <v>7.3506372974543502E-2</v>
      </c>
      <c r="R3854">
        <v>0.99393093350955397</v>
      </c>
      <c r="S3854" t="s">
        <v>10500</v>
      </c>
      <c r="T3854" t="s">
        <v>13290</v>
      </c>
      <c r="U3854" t="s">
        <v>13290</v>
      </c>
      <c r="V3854" t="s">
        <v>13290</v>
      </c>
      <c r="W3854" t="s">
        <v>17098</v>
      </c>
      <c r="X3854">
        <v>2</v>
      </c>
      <c r="Y3854" t="s">
        <v>23599</v>
      </c>
      <c r="Z3854" t="s">
        <v>30184</v>
      </c>
      <c r="AA3854">
        <v>0.30779066965193891</v>
      </c>
      <c r="AB3854" t="str">
        <f>HYPERLINK("Melting_Curves/meltCurve_Q5JVZ5_ELMO2.pdf", "Melting_Curves/meltCurve_Q5JVZ5_ELMO2.pdf")</f>
        <v>Melting_Curves/meltCurve_Q5JVZ5_ELMO2.pdf</v>
      </c>
    </row>
    <row r="3855" spans="1:28" x14ac:dyDescent="0.25">
      <c r="A3855" t="s">
        <v>3859</v>
      </c>
      <c r="B3855">
        <v>0.99252571173614901</v>
      </c>
      <c r="C3855">
        <v>1.0459253815006799</v>
      </c>
      <c r="D3855">
        <v>1.0400927270104301</v>
      </c>
      <c r="E3855">
        <v>0.83650215005279505</v>
      </c>
      <c r="F3855">
        <v>0.44453160435330602</v>
      </c>
      <c r="G3855">
        <v>0.246126334861028</v>
      </c>
      <c r="H3855">
        <v>0.186956146688879</v>
      </c>
      <c r="I3855">
        <v>0.19548571393030501</v>
      </c>
      <c r="J3855">
        <v>0.26116330667732401</v>
      </c>
      <c r="K3855">
        <v>0.40208461412740598</v>
      </c>
      <c r="L3855">
        <v>1914.36530193156</v>
      </c>
      <c r="M3855">
        <v>37.195449534347702</v>
      </c>
      <c r="N3855">
        <v>52.478899594268</v>
      </c>
      <c r="O3855">
        <v>51.319637493705997</v>
      </c>
      <c r="P3855">
        <v>-0.134842747647547</v>
      </c>
      <c r="Q3855">
        <v>0.2558163047798</v>
      </c>
      <c r="R3855">
        <v>0.97036611968758202</v>
      </c>
      <c r="S3855" t="s">
        <v>10501</v>
      </c>
      <c r="T3855" t="s">
        <v>13290</v>
      </c>
      <c r="U3855" t="s">
        <v>13290</v>
      </c>
      <c r="V3855" t="s">
        <v>13290</v>
      </c>
      <c r="W3855" t="s">
        <v>17099</v>
      </c>
      <c r="X3855">
        <v>2</v>
      </c>
      <c r="Y3855" t="s">
        <v>23600</v>
      </c>
      <c r="Z3855" t="s">
        <v>30185</v>
      </c>
      <c r="AA3855">
        <v>0.54334999559184083</v>
      </c>
      <c r="AB3855" t="str">
        <f>HYPERLINK("Melting_Curves/meltCurve_Q5JW30_STAU1.pdf", "Melting_Curves/meltCurve_Q5JW30_STAU1.pdf")</f>
        <v>Melting_Curves/meltCurve_Q5JW30_STAU1.pdf</v>
      </c>
    </row>
    <row r="3856" spans="1:28" x14ac:dyDescent="0.25">
      <c r="A3856" t="s">
        <v>3860</v>
      </c>
      <c r="B3856">
        <v>0.99252571173614901</v>
      </c>
      <c r="C3856">
        <v>0.89660402646361703</v>
      </c>
      <c r="D3856">
        <v>0.86459435613047098</v>
      </c>
      <c r="E3856">
        <v>0.71459471841399902</v>
      </c>
      <c r="F3856">
        <v>0.63557600444896301</v>
      </c>
      <c r="G3856">
        <v>0.520605370117183</v>
      </c>
      <c r="H3856">
        <v>0.45441716204215499</v>
      </c>
      <c r="I3856">
        <v>0.57584912266786203</v>
      </c>
      <c r="J3856">
        <v>0.92243414805618296</v>
      </c>
      <c r="K3856">
        <v>0.69947059832742597</v>
      </c>
      <c r="L3856">
        <v>1054.7807512520001</v>
      </c>
      <c r="M3856">
        <v>22.739889733581599</v>
      </c>
      <c r="O3856">
        <v>46.030375801927597</v>
      </c>
      <c r="P3856">
        <v>-4.5259277528552903E-2</v>
      </c>
      <c r="Q3856">
        <v>0.63354968998180905</v>
      </c>
      <c r="R3856">
        <v>0.53514285399816997</v>
      </c>
      <c r="S3856" t="s">
        <v>10502</v>
      </c>
      <c r="T3856" t="s">
        <v>13290</v>
      </c>
      <c r="U3856" t="s">
        <v>13290</v>
      </c>
      <c r="V3856" t="s">
        <v>13290</v>
      </c>
      <c r="W3856" t="s">
        <v>17100</v>
      </c>
      <c r="X3856">
        <v>3</v>
      </c>
      <c r="Y3856" t="s">
        <v>23601</v>
      </c>
      <c r="Z3856" t="s">
        <v>30186</v>
      </c>
      <c r="AA3856">
        <v>0.71566612222900239</v>
      </c>
      <c r="AB3856" t="str">
        <f>HYPERLINK("Melting_Curves/meltCurve_Q5JWB9_TMEM230.pdf", "Melting_Curves/meltCurve_Q5JWB9_TMEM230.pdf")</f>
        <v>Melting_Curves/meltCurve_Q5JWB9_TMEM230.pdf</v>
      </c>
    </row>
    <row r="3857" spans="1:28" x14ac:dyDescent="0.25">
      <c r="A3857" t="s">
        <v>3861</v>
      </c>
      <c r="B3857">
        <v>0.99252571173614901</v>
      </c>
      <c r="C3857">
        <v>0.87985559757878695</v>
      </c>
      <c r="D3857">
        <v>0.83792235610935395</v>
      </c>
      <c r="E3857">
        <v>0.68220776462320998</v>
      </c>
      <c r="F3857">
        <v>0.49895808200644398</v>
      </c>
      <c r="G3857">
        <v>0.16361579581326199</v>
      </c>
      <c r="H3857">
        <v>0.13719874898116399</v>
      </c>
      <c r="I3857">
        <v>0.124979882701947</v>
      </c>
      <c r="J3857">
        <v>0.15318932919998299</v>
      </c>
      <c r="K3857">
        <v>0.153713084590129</v>
      </c>
      <c r="L3857">
        <v>787.84516536403396</v>
      </c>
      <c r="M3857">
        <v>15.3831595462871</v>
      </c>
      <c r="N3857">
        <v>51.948173603688403</v>
      </c>
      <c r="O3857">
        <v>50.372712887296998</v>
      </c>
      <c r="P3857">
        <v>-6.8901187265231006E-2</v>
      </c>
      <c r="Q3857">
        <v>9.7604874828059004E-2</v>
      </c>
      <c r="R3857">
        <v>0.97689080721044796</v>
      </c>
      <c r="S3857" t="s">
        <v>10503</v>
      </c>
      <c r="T3857" t="s">
        <v>13290</v>
      </c>
      <c r="U3857" t="s">
        <v>13290</v>
      </c>
      <c r="V3857" t="s">
        <v>13290</v>
      </c>
      <c r="W3857" t="s">
        <v>17101</v>
      </c>
      <c r="X3857">
        <v>2</v>
      </c>
      <c r="Y3857" t="s">
        <v>23602</v>
      </c>
      <c r="Z3857" t="s">
        <v>30187</v>
      </c>
      <c r="AA3857">
        <v>0.45481287278288968</v>
      </c>
      <c r="AB3857" t="str">
        <f>HYPERLINK("Melting_Curves/meltCurve_Q5JWT2_MED23.pdf", "Melting_Curves/meltCurve_Q5JWT2_MED23.pdf")</f>
        <v>Melting_Curves/meltCurve_Q5JWT2_MED23.pdf</v>
      </c>
    </row>
    <row r="3858" spans="1:28" x14ac:dyDescent="0.25">
      <c r="A3858" t="s">
        <v>3862</v>
      </c>
      <c r="B3858">
        <v>0.99252571173614901</v>
      </c>
      <c r="C3858">
        <v>0.988492548199563</v>
      </c>
      <c r="D3858">
        <v>0.85198305179482603</v>
      </c>
      <c r="E3858">
        <v>0.78973671526260303</v>
      </c>
      <c r="F3858">
        <v>0.49040735994388102</v>
      </c>
      <c r="G3858">
        <v>0.32129772344712498</v>
      </c>
      <c r="H3858">
        <v>0.27496623873572701</v>
      </c>
      <c r="I3858">
        <v>0.29836036805272897</v>
      </c>
      <c r="J3858">
        <v>0.43327739462529602</v>
      </c>
      <c r="K3858">
        <v>0.45032582946712302</v>
      </c>
      <c r="L3858">
        <v>1288.0500326659401</v>
      </c>
      <c r="M3858">
        <v>25.532096249049999</v>
      </c>
      <c r="N3858">
        <v>52.9377998688338</v>
      </c>
      <c r="O3858">
        <v>50.141846148360102</v>
      </c>
      <c r="P3858">
        <v>-8.28079954276148E-2</v>
      </c>
      <c r="Q3858">
        <v>0.34950984360708498</v>
      </c>
      <c r="R3858">
        <v>0.94284774042658204</v>
      </c>
      <c r="S3858" t="s">
        <v>10504</v>
      </c>
      <c r="T3858" t="s">
        <v>13290</v>
      </c>
      <c r="U3858" t="s">
        <v>13290</v>
      </c>
      <c r="V3858" t="s">
        <v>13290</v>
      </c>
      <c r="W3858" t="s">
        <v>17102</v>
      </c>
      <c r="X3858">
        <v>9</v>
      </c>
      <c r="Y3858" t="s">
        <v>23603</v>
      </c>
      <c r="Z3858" t="s">
        <v>30188</v>
      </c>
      <c r="AA3858">
        <v>0.58166088453859266</v>
      </c>
      <c r="AB3858" t="str">
        <f>HYPERLINK("Melting_Curves/meltCurve_Q5JXX2_MORF4L2.pdf", "Melting_Curves/meltCurve_Q5JXX2_MORF4L2.pdf")</f>
        <v>Melting_Curves/meltCurve_Q5JXX2_MORF4L2.pdf</v>
      </c>
    </row>
    <row r="3859" spans="1:28" x14ac:dyDescent="0.25">
      <c r="A3859" t="s">
        <v>3863</v>
      </c>
      <c r="B3859">
        <v>0.99252571173614901</v>
      </c>
      <c r="C3859">
        <v>0.81265779491999901</v>
      </c>
      <c r="D3859">
        <v>0.274181934762257</v>
      </c>
      <c r="E3859">
        <v>0.21930492399070201</v>
      </c>
      <c r="F3859">
        <v>0.161595732430418</v>
      </c>
      <c r="G3859">
        <v>0.10857528790387699</v>
      </c>
      <c r="H3859">
        <v>8.5645956411311702E-2</v>
      </c>
      <c r="I3859">
        <v>6.8005379010552106E-2</v>
      </c>
      <c r="J3859">
        <v>6.7654036760583305E-2</v>
      </c>
      <c r="K3859">
        <v>6.2735414951112095E-2</v>
      </c>
      <c r="L3859">
        <v>1618.5731150870499</v>
      </c>
      <c r="M3859">
        <v>36.472264317347403</v>
      </c>
      <c r="N3859">
        <v>44.666198488053901</v>
      </c>
      <c r="O3859">
        <v>44.2454125582899</v>
      </c>
      <c r="P3859">
        <v>-0.18448632288098199</v>
      </c>
      <c r="Q3859">
        <v>0.104782901904394</v>
      </c>
      <c r="R3859">
        <v>0.982410097954039</v>
      </c>
      <c r="S3859" t="s">
        <v>10505</v>
      </c>
      <c r="T3859" t="s">
        <v>13290</v>
      </c>
      <c r="U3859" t="s">
        <v>13290</v>
      </c>
      <c r="V3859" t="s">
        <v>13290</v>
      </c>
      <c r="W3859" t="s">
        <v>17103</v>
      </c>
      <c r="X3859">
        <v>13</v>
      </c>
      <c r="Y3859" t="s">
        <v>23604</v>
      </c>
      <c r="Z3859" t="s">
        <v>30189</v>
      </c>
      <c r="AA3859">
        <v>0.23925509292821129</v>
      </c>
      <c r="AB3859" t="str">
        <f>HYPERLINK("Melting_Curves/meltCurve_Q5JY65_CRNKL1.pdf", "Melting_Curves/meltCurve_Q5JY65_CRNKL1.pdf")</f>
        <v>Melting_Curves/meltCurve_Q5JY65_CRNKL1.pdf</v>
      </c>
    </row>
    <row r="3860" spans="1:28" x14ac:dyDescent="0.25">
      <c r="A3860" t="s">
        <v>3864</v>
      </c>
      <c r="B3860">
        <v>0.99252571173614901</v>
      </c>
      <c r="C3860">
        <v>0.94093968280565199</v>
      </c>
      <c r="D3860">
        <v>0.72263237171343497</v>
      </c>
      <c r="E3860">
        <v>0.44611561055551002</v>
      </c>
      <c r="F3860">
        <v>0.22886656358061599</v>
      </c>
      <c r="G3860">
        <v>0.118624116680129</v>
      </c>
      <c r="H3860">
        <v>8.3659105745422901E-2</v>
      </c>
      <c r="I3860">
        <v>9.1191770553227205E-2</v>
      </c>
      <c r="J3860">
        <v>0.135646174572503</v>
      </c>
      <c r="K3860">
        <v>0.116560250384954</v>
      </c>
      <c r="L3860">
        <v>939.82656800746599</v>
      </c>
      <c r="M3860">
        <v>19.493807065166799</v>
      </c>
      <c r="N3860">
        <v>48.751431120039399</v>
      </c>
      <c r="O3860">
        <v>47.712794135751203</v>
      </c>
      <c r="P3860">
        <v>-9.2228665078264604E-2</v>
      </c>
      <c r="Q3860">
        <v>9.70817020264097E-2</v>
      </c>
      <c r="R3860">
        <v>0.99642924532015098</v>
      </c>
      <c r="S3860" t="s">
        <v>10506</v>
      </c>
      <c r="T3860" t="s">
        <v>13290</v>
      </c>
      <c r="U3860" t="s">
        <v>13290</v>
      </c>
      <c r="V3860" t="s">
        <v>13290</v>
      </c>
      <c r="W3860" t="s">
        <v>17104</v>
      </c>
      <c r="X3860">
        <v>9</v>
      </c>
      <c r="Y3860" t="s">
        <v>23605</v>
      </c>
      <c r="Z3860" t="s">
        <v>30190</v>
      </c>
      <c r="AA3860">
        <v>0.35771304134798559</v>
      </c>
      <c r="AB3860" t="str">
        <f>HYPERLINK("Melting_Curves/meltCurve_Q5K4L6_SLC27A3.pdf", "Melting_Curves/meltCurve_Q5K4L6_SLC27A3.pdf")</f>
        <v>Melting_Curves/meltCurve_Q5K4L6_SLC27A3.pdf</v>
      </c>
    </row>
    <row r="3861" spans="1:28" x14ac:dyDescent="0.25">
      <c r="A3861" t="s">
        <v>3865</v>
      </c>
      <c r="B3861">
        <v>0.99252571173614901</v>
      </c>
      <c r="C3861">
        <v>0.98008164935906605</v>
      </c>
      <c r="D3861">
        <v>0.84022254738695101</v>
      </c>
      <c r="E3861">
        <v>0.63451869634459701</v>
      </c>
      <c r="F3861">
        <v>0.38404570082093498</v>
      </c>
      <c r="G3861">
        <v>0.27998435787902698</v>
      </c>
      <c r="H3861">
        <v>0.26461245592116101</v>
      </c>
      <c r="I3861">
        <v>0.40326590331837198</v>
      </c>
      <c r="J3861">
        <v>0.68482621761458895</v>
      </c>
      <c r="K3861">
        <v>0.73775135722030905</v>
      </c>
      <c r="L3861">
        <v>1504.23357552535</v>
      </c>
      <c r="M3861">
        <v>31.602843205795399</v>
      </c>
      <c r="N3861">
        <v>51.831918573873601</v>
      </c>
      <c r="O3861">
        <v>47.408663639524001</v>
      </c>
      <c r="P3861">
        <v>-8.96307072629694E-2</v>
      </c>
      <c r="Q3861">
        <v>0.462168560694732</v>
      </c>
      <c r="R3861">
        <v>0.68274963314503301</v>
      </c>
      <c r="S3861" t="s">
        <v>10507</v>
      </c>
      <c r="T3861" t="s">
        <v>13290</v>
      </c>
      <c r="U3861" t="s">
        <v>13290</v>
      </c>
      <c r="V3861" t="s">
        <v>13290</v>
      </c>
      <c r="W3861" t="s">
        <v>17105</v>
      </c>
      <c r="X3861">
        <v>15</v>
      </c>
      <c r="Y3861" t="s">
        <v>23606</v>
      </c>
      <c r="Z3861" t="s">
        <v>30191</v>
      </c>
      <c r="AA3861">
        <v>0.60127732198094674</v>
      </c>
      <c r="AB3861" t="str">
        <f>HYPERLINK("Melting_Curves/meltCurve_Q5M775_SPECC1.pdf", "Melting_Curves/meltCurve_Q5M775_SPECC1.pdf")</f>
        <v>Melting_Curves/meltCurve_Q5M775_SPECC1.pdf</v>
      </c>
    </row>
    <row r="3862" spans="1:28" x14ac:dyDescent="0.25">
      <c r="A3862" t="s">
        <v>3866</v>
      </c>
      <c r="B3862">
        <v>0.99252571173614901</v>
      </c>
      <c r="C3862">
        <v>1.02901670162752</v>
      </c>
      <c r="D3862">
        <v>0.88675368717898995</v>
      </c>
      <c r="E3862">
        <v>0.76738192360962998</v>
      </c>
      <c r="F3862">
        <v>0.62123952722349196</v>
      </c>
      <c r="G3862">
        <v>0.41337184206915201</v>
      </c>
      <c r="H3862">
        <v>0.35766900471391999</v>
      </c>
      <c r="I3862">
        <v>0.52096424782782902</v>
      </c>
      <c r="J3862">
        <v>0.83107039821922302</v>
      </c>
      <c r="K3862">
        <v>0.683271373824058</v>
      </c>
      <c r="L3862">
        <v>1393.05097158182</v>
      </c>
      <c r="M3862">
        <v>28.529354295401301</v>
      </c>
      <c r="O3862">
        <v>48.590681027653702</v>
      </c>
      <c r="P3862">
        <v>-6.3745114070914904E-2</v>
      </c>
      <c r="Q3862">
        <v>0.56572545028718502</v>
      </c>
      <c r="R3862">
        <v>0.66972002658214602</v>
      </c>
      <c r="S3862" t="s">
        <v>10508</v>
      </c>
      <c r="T3862" t="s">
        <v>13290</v>
      </c>
      <c r="U3862" t="s">
        <v>13290</v>
      </c>
      <c r="V3862" t="s">
        <v>13290</v>
      </c>
      <c r="W3862" t="s">
        <v>17106</v>
      </c>
      <c r="X3862">
        <v>4</v>
      </c>
      <c r="Y3862" t="s">
        <v>23607</v>
      </c>
      <c r="Z3862" t="s">
        <v>30192</v>
      </c>
      <c r="AA3862">
        <v>0.69645425038142106</v>
      </c>
      <c r="AB3862" t="str">
        <f>HYPERLINK("Melting_Curves/meltCurve_Q5M8T2_SLC35D3.pdf", "Melting_Curves/meltCurve_Q5M8T2_SLC35D3.pdf")</f>
        <v>Melting_Curves/meltCurve_Q5M8T2_SLC35D3.pdf</v>
      </c>
    </row>
    <row r="3863" spans="1:28" x14ac:dyDescent="0.25">
      <c r="A3863" t="s">
        <v>3867</v>
      </c>
      <c r="B3863">
        <v>0.99252571173614901</v>
      </c>
      <c r="C3863">
        <v>0.88342735763688496</v>
      </c>
      <c r="D3863">
        <v>0.66185507501582397</v>
      </c>
      <c r="E3863">
        <v>0.27389799096553602</v>
      </c>
      <c r="F3863">
        <v>0.1283284999879</v>
      </c>
      <c r="G3863">
        <v>7.0869387877163695E-2</v>
      </c>
      <c r="H3863">
        <v>4.48110739183845E-2</v>
      </c>
      <c r="I3863">
        <v>4.6484575626173599E-2</v>
      </c>
      <c r="J3863">
        <v>5.9972198756193501E-2</v>
      </c>
      <c r="K3863">
        <v>5.8482057865024202E-2</v>
      </c>
      <c r="L3863">
        <v>1041.8424470723801</v>
      </c>
      <c r="M3863">
        <v>22.117676215576399</v>
      </c>
      <c r="N3863">
        <v>47.330736052875103</v>
      </c>
      <c r="O3863">
        <v>46.724522377694299</v>
      </c>
      <c r="P3863">
        <v>-0.112407512801683</v>
      </c>
      <c r="Q3863">
        <v>5.0158342453522298E-2</v>
      </c>
      <c r="R3863">
        <v>0.99908062704186595</v>
      </c>
      <c r="S3863" t="s">
        <v>10509</v>
      </c>
      <c r="T3863" t="s">
        <v>13290</v>
      </c>
      <c r="U3863" t="s">
        <v>13290</v>
      </c>
      <c r="V3863" t="s">
        <v>13290</v>
      </c>
      <c r="W3863" t="s">
        <v>17107</v>
      </c>
      <c r="X3863">
        <v>10</v>
      </c>
      <c r="Y3863" t="s">
        <v>23608</v>
      </c>
      <c r="Z3863" t="s">
        <v>30193</v>
      </c>
      <c r="AA3863">
        <v>0.2861866640750968</v>
      </c>
      <c r="AB3863" t="str">
        <f>HYPERLINK("Melting_Curves/meltCurve_Q5MIZ7_3_SMEK2.pdf", "Melting_Curves/meltCurve_Q5MIZ7_3_SMEK2.pdf")</f>
        <v>Melting_Curves/meltCurve_Q5MIZ7_3_SMEK2.pdf</v>
      </c>
    </row>
    <row r="3864" spans="1:28" x14ac:dyDescent="0.25">
      <c r="A3864" t="s">
        <v>3868</v>
      </c>
      <c r="B3864">
        <v>0.99252571173614901</v>
      </c>
      <c r="C3864">
        <v>1.04424354680774</v>
      </c>
      <c r="D3864">
        <v>0.97965585446506598</v>
      </c>
      <c r="E3864">
        <v>0.90882974134427996</v>
      </c>
      <c r="F3864">
        <v>0.85263712417261694</v>
      </c>
      <c r="G3864">
        <v>0.83634038399964095</v>
      </c>
      <c r="H3864">
        <v>0.75295656442497305</v>
      </c>
      <c r="I3864">
        <v>0.79425715082167503</v>
      </c>
      <c r="J3864">
        <v>0.58322464247205597</v>
      </c>
      <c r="K3864">
        <v>0.25919735874009497</v>
      </c>
      <c r="L3864">
        <v>761.83150549650497</v>
      </c>
      <c r="M3864">
        <v>11.284497078388</v>
      </c>
      <c r="N3864">
        <v>67.511340653393205</v>
      </c>
      <c r="O3864">
        <v>65.495405342878996</v>
      </c>
      <c r="P3864">
        <v>-4.3086790985571097E-2</v>
      </c>
      <c r="Q3864">
        <v>0</v>
      </c>
      <c r="R3864">
        <v>0.86163622243904603</v>
      </c>
      <c r="S3864" t="s">
        <v>10510</v>
      </c>
      <c r="T3864" t="s">
        <v>13290</v>
      </c>
      <c r="U3864" t="s">
        <v>13290</v>
      </c>
      <c r="V3864" t="s">
        <v>13290</v>
      </c>
      <c r="W3864" t="s">
        <v>17108</v>
      </c>
      <c r="X3864">
        <v>9</v>
      </c>
      <c r="Y3864" t="s">
        <v>23609</v>
      </c>
      <c r="Z3864" t="s">
        <v>30194</v>
      </c>
      <c r="AA3864">
        <v>0.83894179896139487</v>
      </c>
      <c r="AB3864" t="str">
        <f>HYPERLINK("Melting_Curves/meltCurve_Q5MNZ6_WDR45B.pdf", "Melting_Curves/meltCurve_Q5MNZ6_WDR45B.pdf")</f>
        <v>Melting_Curves/meltCurve_Q5MNZ6_WDR45B.pdf</v>
      </c>
    </row>
    <row r="3865" spans="1:28" x14ac:dyDescent="0.25">
      <c r="A3865" t="s">
        <v>3869</v>
      </c>
      <c r="B3865">
        <v>0.99252571173614901</v>
      </c>
      <c r="C3865">
        <v>1.05320127810556</v>
      </c>
      <c r="D3865">
        <v>1.1347076741650799</v>
      </c>
      <c r="E3865">
        <v>1.12167393198947</v>
      </c>
      <c r="F3865">
        <v>1.09143031573861</v>
      </c>
      <c r="G3865">
        <v>0.860405367308547</v>
      </c>
      <c r="H3865">
        <v>0.64943645967080099</v>
      </c>
      <c r="I3865">
        <v>0.58351650022097401</v>
      </c>
      <c r="J3865">
        <v>0.36569625448023302</v>
      </c>
      <c r="K3865">
        <v>0.23115939500280899</v>
      </c>
      <c r="L3865">
        <v>1108.798122789</v>
      </c>
      <c r="M3865">
        <v>17.4499699875993</v>
      </c>
      <c r="N3865">
        <v>64.385271304135898</v>
      </c>
      <c r="O3865">
        <v>62.724677668864203</v>
      </c>
      <c r="P3865">
        <v>-6.2445156932525003E-2</v>
      </c>
      <c r="Q3865">
        <v>0.10220269419634199</v>
      </c>
      <c r="R3865">
        <v>0.93621116469965904</v>
      </c>
      <c r="S3865" t="s">
        <v>10511</v>
      </c>
      <c r="T3865" t="s">
        <v>13290</v>
      </c>
      <c r="U3865" t="s">
        <v>13290</v>
      </c>
      <c r="V3865" t="s">
        <v>13290</v>
      </c>
      <c r="W3865" t="s">
        <v>17109</v>
      </c>
      <c r="X3865">
        <v>1</v>
      </c>
      <c r="Y3865" t="s">
        <v>23610</v>
      </c>
      <c r="Z3865" t="s">
        <v>30195</v>
      </c>
      <c r="AA3865">
        <v>0.80017395371864763</v>
      </c>
      <c r="AB3865" t="str">
        <f>HYPERLINK("Melting_Curves/meltCurve_Q5MNZ9_2_WIPI1.pdf", "Melting_Curves/meltCurve_Q5MNZ9_2_WIPI1.pdf")</f>
        <v>Melting_Curves/meltCurve_Q5MNZ9_2_WIPI1.pdf</v>
      </c>
    </row>
    <row r="3866" spans="1:28" x14ac:dyDescent="0.25">
      <c r="A3866" t="s">
        <v>3870</v>
      </c>
      <c r="B3866">
        <v>0.99252571173614901</v>
      </c>
      <c r="C3866">
        <v>1.0071451967402201</v>
      </c>
      <c r="D3866">
        <v>0.93470359985740503</v>
      </c>
      <c r="E3866">
        <v>0.72785143474172997</v>
      </c>
      <c r="F3866">
        <v>0.28632704609439202</v>
      </c>
      <c r="G3866">
        <v>0.16599607859125101</v>
      </c>
      <c r="H3866">
        <v>0.150910895815731</v>
      </c>
      <c r="I3866">
        <v>0.16826528886238201</v>
      </c>
      <c r="J3866">
        <v>0.21757437250134301</v>
      </c>
      <c r="K3866">
        <v>0.16235436322378999</v>
      </c>
      <c r="L3866">
        <v>1785.64798692248</v>
      </c>
      <c r="M3866">
        <v>35.331430986270497</v>
      </c>
      <c r="N3866">
        <v>51.136724510500898</v>
      </c>
      <c r="O3866">
        <v>50.378848516251402</v>
      </c>
      <c r="P3866">
        <v>-0.14570802945046599</v>
      </c>
      <c r="Q3866">
        <v>0.168946569138436</v>
      </c>
      <c r="R3866">
        <v>0.99616164069921498</v>
      </c>
      <c r="S3866" t="s">
        <v>10512</v>
      </c>
      <c r="T3866" t="s">
        <v>13290</v>
      </c>
      <c r="U3866" t="s">
        <v>13290</v>
      </c>
      <c r="V3866" t="s">
        <v>13290</v>
      </c>
      <c r="W3866" t="s">
        <v>17110</v>
      </c>
      <c r="X3866">
        <v>3</v>
      </c>
      <c r="Y3866" t="s">
        <v>23611</v>
      </c>
      <c r="Z3866" t="s">
        <v>30196</v>
      </c>
      <c r="AA3866">
        <v>0.46465068991980579</v>
      </c>
      <c r="AB3866" t="str">
        <f>HYPERLINK("Melting_Curves/meltCurve_Q5NDL2_EOGT.pdf", "Melting_Curves/meltCurve_Q5NDL2_EOGT.pdf")</f>
        <v>Melting_Curves/meltCurve_Q5NDL2_EOGT.pdf</v>
      </c>
    </row>
    <row r="3867" spans="1:28" x14ac:dyDescent="0.25">
      <c r="A3867" t="s">
        <v>3871</v>
      </c>
      <c r="B3867">
        <v>0.99252571173614901</v>
      </c>
      <c r="C3867">
        <v>1.0178117706585099</v>
      </c>
      <c r="D3867">
        <v>0.91851456928179898</v>
      </c>
      <c r="E3867">
        <v>0.58812397917445003</v>
      </c>
      <c r="F3867">
        <v>0.54649001728678004</v>
      </c>
      <c r="G3867">
        <v>0.246382662712015</v>
      </c>
      <c r="H3867">
        <v>0.21839611294126099</v>
      </c>
      <c r="I3867">
        <v>0.25345229484010801</v>
      </c>
      <c r="J3867">
        <v>0.32276233786115299</v>
      </c>
      <c r="K3867">
        <v>0.37011643548064499</v>
      </c>
      <c r="L3867">
        <v>1074.2744042034401</v>
      </c>
      <c r="M3867">
        <v>21.583374486862599</v>
      </c>
      <c r="N3867">
        <v>51.778601045079</v>
      </c>
      <c r="O3867">
        <v>49.351870828889503</v>
      </c>
      <c r="P3867">
        <v>-7.8365894667182995E-2</v>
      </c>
      <c r="Q3867">
        <v>0.28326121831336099</v>
      </c>
      <c r="R3867">
        <v>0.95229836293602099</v>
      </c>
      <c r="S3867" t="s">
        <v>10513</v>
      </c>
      <c r="T3867" t="s">
        <v>13290</v>
      </c>
      <c r="U3867" t="s">
        <v>13290</v>
      </c>
      <c r="V3867" t="s">
        <v>13290</v>
      </c>
      <c r="W3867" t="s">
        <v>17111</v>
      </c>
      <c r="X3867">
        <v>7</v>
      </c>
      <c r="Y3867" t="s">
        <v>23612</v>
      </c>
      <c r="Z3867" t="s">
        <v>30197</v>
      </c>
      <c r="AA3867">
        <v>0.52534409999066167</v>
      </c>
      <c r="AB3867" t="str">
        <f>HYPERLINK("Melting_Curves/meltCurve_Q5QJE6_DNTTIP2.pdf", "Melting_Curves/meltCurve_Q5QJE6_DNTTIP2.pdf")</f>
        <v>Melting_Curves/meltCurve_Q5QJE6_DNTTIP2.pdf</v>
      </c>
    </row>
    <row r="3868" spans="1:28" x14ac:dyDescent="0.25">
      <c r="A3868" t="s">
        <v>3872</v>
      </c>
      <c r="B3868">
        <v>0.99252571173614901</v>
      </c>
      <c r="C3868">
        <v>1.04014192269799</v>
      </c>
      <c r="D3868">
        <v>0.94781369334549004</v>
      </c>
      <c r="E3868">
        <v>0.87320262006689997</v>
      </c>
      <c r="F3868">
        <v>0.69315537218575096</v>
      </c>
      <c r="G3868">
        <v>0.52357309796304397</v>
      </c>
      <c r="H3868">
        <v>0.41656670576975002</v>
      </c>
      <c r="I3868">
        <v>0.58176596598449004</v>
      </c>
      <c r="J3868">
        <v>0.89462792281148795</v>
      </c>
      <c r="K3868">
        <v>0.91877965677795204</v>
      </c>
      <c r="L3868">
        <v>2383.4724841330199</v>
      </c>
      <c r="M3868">
        <v>47.622109862023898</v>
      </c>
      <c r="O3868">
        <v>49.961692322872501</v>
      </c>
      <c r="P3868">
        <v>-7.9050142181159896E-2</v>
      </c>
      <c r="Q3868">
        <v>0.66826549193097695</v>
      </c>
      <c r="R3868">
        <v>0.50690729781015498</v>
      </c>
      <c r="S3868" t="s">
        <v>10514</v>
      </c>
      <c r="T3868" t="s">
        <v>13290</v>
      </c>
      <c r="U3868" t="s">
        <v>13290</v>
      </c>
      <c r="V3868" t="s">
        <v>13290</v>
      </c>
      <c r="W3868" t="s">
        <v>17112</v>
      </c>
      <c r="X3868">
        <v>15</v>
      </c>
      <c r="Y3868" t="s">
        <v>23613</v>
      </c>
      <c r="Z3868" t="s">
        <v>30198</v>
      </c>
      <c r="AA3868">
        <v>0.78020109602462595</v>
      </c>
      <c r="AB3868" t="str">
        <f>HYPERLINK("Melting_Curves/meltCurve_Q5QNY5_PEX19.pdf", "Melting_Curves/meltCurve_Q5QNY5_PEX19.pdf")</f>
        <v>Melting_Curves/meltCurve_Q5QNY5_PEX19.pdf</v>
      </c>
    </row>
    <row r="3869" spans="1:28" x14ac:dyDescent="0.25">
      <c r="A3869" t="s">
        <v>3873</v>
      </c>
      <c r="B3869">
        <v>0.99252571173614901</v>
      </c>
      <c r="C3869">
        <v>0.84147069898250804</v>
      </c>
      <c r="D3869">
        <v>1.00783971885461</v>
      </c>
      <c r="E3869">
        <v>0.95455826368145302</v>
      </c>
      <c r="F3869">
        <v>0.82185225848007804</v>
      </c>
      <c r="G3869">
        <v>0.57226718879265304</v>
      </c>
      <c r="H3869">
        <v>0.64096544171343905</v>
      </c>
      <c r="I3869">
        <v>0.34066440780102403</v>
      </c>
      <c r="J3869">
        <v>0.17510936138639599</v>
      </c>
      <c r="K3869">
        <v>0.16453194117591599</v>
      </c>
      <c r="L3869">
        <v>689.568051569148</v>
      </c>
      <c r="M3869">
        <v>11.397719343763599</v>
      </c>
      <c r="N3869">
        <v>60.500529197059997</v>
      </c>
      <c r="O3869">
        <v>58.727939346022502</v>
      </c>
      <c r="P3869">
        <v>-4.8533426551748297E-2</v>
      </c>
      <c r="Q3869">
        <v>0</v>
      </c>
      <c r="R3869">
        <v>0.93306976793248098</v>
      </c>
      <c r="S3869" t="s">
        <v>10515</v>
      </c>
      <c r="T3869" t="s">
        <v>13290</v>
      </c>
      <c r="U3869" t="s">
        <v>13290</v>
      </c>
      <c r="V3869" t="s">
        <v>13290</v>
      </c>
      <c r="W3869" t="s">
        <v>17113</v>
      </c>
      <c r="X3869">
        <v>13</v>
      </c>
      <c r="Y3869" t="s">
        <v>23614</v>
      </c>
      <c r="Z3869" t="s">
        <v>30199</v>
      </c>
      <c r="AA3869">
        <v>0.68084672692652104</v>
      </c>
      <c r="AB3869" t="str">
        <f>HYPERLINK("Melting_Curves/meltCurve_Q5QNZ2_ATP5F1.pdf", "Melting_Curves/meltCurve_Q5QNZ2_ATP5F1.pdf")</f>
        <v>Melting_Curves/meltCurve_Q5QNZ2_ATP5F1.pdf</v>
      </c>
    </row>
    <row r="3870" spans="1:28" x14ac:dyDescent="0.25">
      <c r="A3870" t="s">
        <v>3874</v>
      </c>
      <c r="B3870">
        <v>0.99252571173614901</v>
      </c>
      <c r="C3870">
        <v>0.93638877029624201</v>
      </c>
      <c r="D3870">
        <v>0.89170270418786701</v>
      </c>
      <c r="E3870">
        <v>0.76252123861997401</v>
      </c>
      <c r="F3870">
        <v>0.55249269067592399</v>
      </c>
      <c r="G3870">
        <v>0.440216174075648</v>
      </c>
      <c r="H3870">
        <v>0.35049548028371802</v>
      </c>
      <c r="I3870">
        <v>0.40392165949042902</v>
      </c>
      <c r="J3870">
        <v>0.67454975064393097</v>
      </c>
      <c r="K3870">
        <v>0.46766976800260701</v>
      </c>
      <c r="L3870">
        <v>1159.8583592751299</v>
      </c>
      <c r="M3870">
        <v>23.414304349721501</v>
      </c>
      <c r="N3870">
        <v>55.742551188242302</v>
      </c>
      <c r="O3870">
        <v>49.179222116649697</v>
      </c>
      <c r="P3870">
        <v>-6.3903679484024506E-2</v>
      </c>
      <c r="Q3870">
        <v>0.46311820447470298</v>
      </c>
      <c r="R3870">
        <v>0.863274952609979</v>
      </c>
      <c r="S3870" t="s">
        <v>10516</v>
      </c>
      <c r="T3870" t="s">
        <v>13290</v>
      </c>
      <c r="U3870" t="s">
        <v>13290</v>
      </c>
      <c r="V3870" t="s">
        <v>13290</v>
      </c>
      <c r="W3870" t="s">
        <v>17114</v>
      </c>
      <c r="X3870">
        <v>4</v>
      </c>
      <c r="Y3870" t="s">
        <v>23615</v>
      </c>
      <c r="Z3870" t="s">
        <v>30200</v>
      </c>
      <c r="AA3870">
        <v>0.63923753319172272</v>
      </c>
      <c r="AB3870" t="str">
        <f>HYPERLINK("Melting_Curves/meltCurve_Q5QP56_BCL2L1.pdf", "Melting_Curves/meltCurve_Q5QP56_BCL2L1.pdf")</f>
        <v>Melting_Curves/meltCurve_Q5QP56_BCL2L1.pdf</v>
      </c>
    </row>
    <row r="3871" spans="1:28" x14ac:dyDescent="0.25">
      <c r="A3871" t="s">
        <v>3875</v>
      </c>
      <c r="B3871">
        <v>0.99252571173614901</v>
      </c>
      <c r="C3871">
        <v>0.89158333624050301</v>
      </c>
      <c r="D3871">
        <v>0.85563079700934597</v>
      </c>
      <c r="E3871">
        <v>0.80061924497183201</v>
      </c>
      <c r="F3871">
        <v>0.54830737073967395</v>
      </c>
      <c r="G3871">
        <v>0.411592211591438</v>
      </c>
      <c r="H3871">
        <v>0.176317988834682</v>
      </c>
      <c r="I3871">
        <v>8.2941447534148394E-2</v>
      </c>
      <c r="J3871">
        <v>9.3675002713265496E-2</v>
      </c>
      <c r="K3871">
        <v>9.6099253038796295E-2</v>
      </c>
      <c r="L3871">
        <v>656.35344070564599</v>
      </c>
      <c r="M3871">
        <v>12.1036001424257</v>
      </c>
      <c r="N3871">
        <v>54.227951289304897</v>
      </c>
      <c r="O3871">
        <v>52.811331028237703</v>
      </c>
      <c r="P3871">
        <v>-5.73097767338809E-2</v>
      </c>
      <c r="Q3871">
        <v>0</v>
      </c>
      <c r="R3871">
        <v>0.98693240078336897</v>
      </c>
      <c r="S3871" t="s">
        <v>10517</v>
      </c>
      <c r="T3871" t="s">
        <v>13290</v>
      </c>
      <c r="U3871" t="s">
        <v>13290</v>
      </c>
      <c r="V3871" t="s">
        <v>13290</v>
      </c>
      <c r="W3871" t="s">
        <v>17115</v>
      </c>
      <c r="X3871">
        <v>15</v>
      </c>
      <c r="Y3871" t="s">
        <v>23616</v>
      </c>
      <c r="Z3871" t="s">
        <v>30201</v>
      </c>
      <c r="AA3871">
        <v>0.49961292303467952</v>
      </c>
      <c r="AB3871" t="str">
        <f>HYPERLINK("Melting_Curves/meltCurve_Q5QPK2_DPM1.pdf", "Melting_Curves/meltCurve_Q5QPK2_DPM1.pdf")</f>
        <v>Melting_Curves/meltCurve_Q5QPK2_DPM1.pdf</v>
      </c>
    </row>
    <row r="3872" spans="1:28" x14ac:dyDescent="0.25">
      <c r="A3872" t="s">
        <v>3876</v>
      </c>
      <c r="B3872">
        <v>0.99252571173614901</v>
      </c>
      <c r="C3872">
        <v>0.98536382868946204</v>
      </c>
      <c r="D3872">
        <v>1.0456759491968199</v>
      </c>
      <c r="E3872">
        <v>0.79778512638335297</v>
      </c>
      <c r="F3872">
        <v>0.96008859316145101</v>
      </c>
      <c r="G3872">
        <v>0.84401148815390203</v>
      </c>
      <c r="H3872">
        <v>0.71195689546988405</v>
      </c>
      <c r="I3872">
        <v>1.02829740542174</v>
      </c>
      <c r="J3872">
        <v>1.6849358568958499</v>
      </c>
      <c r="K3872">
        <v>2.0440412582154099</v>
      </c>
      <c r="L3872">
        <v>15000</v>
      </c>
      <c r="M3872">
        <v>231.60055228269499</v>
      </c>
      <c r="O3872">
        <v>64.761855701685306</v>
      </c>
      <c r="P3872">
        <v>0.44702346431856399</v>
      </c>
      <c r="Q3872">
        <v>1.5</v>
      </c>
      <c r="R3872">
        <v>0.69704633130063798</v>
      </c>
      <c r="S3872" t="s">
        <v>10518</v>
      </c>
      <c r="T3872" t="s">
        <v>13290</v>
      </c>
      <c r="U3872" t="s">
        <v>13290</v>
      </c>
      <c r="V3872" t="s">
        <v>13290</v>
      </c>
      <c r="W3872" t="s">
        <v>17116</v>
      </c>
      <c r="X3872">
        <v>3</v>
      </c>
      <c r="Y3872" t="s">
        <v>23617</v>
      </c>
      <c r="Z3872" t="s">
        <v>30202</v>
      </c>
      <c r="AA3872">
        <v>1.087155694522306</v>
      </c>
      <c r="AB3872" t="str">
        <f>HYPERLINK("Melting_Curves/meltCurve_Q5QPL9_RALY.pdf", "Melting_Curves/meltCurve_Q5QPL9_RALY.pdf")</f>
        <v>Melting_Curves/meltCurve_Q5QPL9_RALY.pdf</v>
      </c>
    </row>
    <row r="3873" spans="1:28" x14ac:dyDescent="0.25">
      <c r="A3873" t="s">
        <v>3877</v>
      </c>
      <c r="B3873">
        <v>0.99252571173614901</v>
      </c>
      <c r="C3873">
        <v>1.0976879259795</v>
      </c>
      <c r="D3873">
        <v>0.97899319944172702</v>
      </c>
      <c r="E3873">
        <v>0.84247551026997702</v>
      </c>
      <c r="F3873">
        <v>0.32670451415775098</v>
      </c>
      <c r="G3873">
        <v>0.15514050765298701</v>
      </c>
      <c r="H3873">
        <v>0.113403026613193</v>
      </c>
      <c r="I3873">
        <v>0.114992493734145</v>
      </c>
      <c r="J3873">
        <v>0.131688514476238</v>
      </c>
      <c r="K3873">
        <v>0.13150644255767099</v>
      </c>
      <c r="L3873">
        <v>1975.56770978346</v>
      </c>
      <c r="M3873">
        <v>38.3227460196143</v>
      </c>
      <c r="N3873">
        <v>51.935332074705599</v>
      </c>
      <c r="O3873">
        <v>51.4110159549328</v>
      </c>
      <c r="P3873">
        <v>-0.163335145157635</v>
      </c>
      <c r="Q3873">
        <v>0.12352782556264</v>
      </c>
      <c r="R3873">
        <v>0.99383550710248902</v>
      </c>
      <c r="S3873" t="s">
        <v>10519</v>
      </c>
      <c r="T3873" t="s">
        <v>13290</v>
      </c>
      <c r="U3873" t="s">
        <v>13290</v>
      </c>
      <c r="V3873" t="s">
        <v>13290</v>
      </c>
      <c r="W3873" t="s">
        <v>17117</v>
      </c>
      <c r="X3873">
        <v>11</v>
      </c>
      <c r="Y3873" t="s">
        <v>23618</v>
      </c>
      <c r="Z3873" t="s">
        <v>30203</v>
      </c>
      <c r="AA3873">
        <v>0.46439597208958922</v>
      </c>
      <c r="AB3873" t="str">
        <f>HYPERLINK("Melting_Curves/meltCurve_Q5QPM7_PSMF1.pdf", "Melting_Curves/meltCurve_Q5QPM7_PSMF1.pdf")</f>
        <v>Melting_Curves/meltCurve_Q5QPM7_PSMF1.pdf</v>
      </c>
    </row>
    <row r="3874" spans="1:28" x14ac:dyDescent="0.25">
      <c r="A3874" t="s">
        <v>3878</v>
      </c>
      <c r="B3874">
        <v>0.99252571173614901</v>
      </c>
      <c r="C3874">
        <v>1.0188688403222299</v>
      </c>
      <c r="D3874">
        <v>0.89377020607870605</v>
      </c>
      <c r="E3874">
        <v>0.68261482324783196</v>
      </c>
      <c r="F3874">
        <v>0.23408017450312599</v>
      </c>
      <c r="G3874">
        <v>0.138138493554646</v>
      </c>
      <c r="H3874">
        <v>0.104234237751864</v>
      </c>
      <c r="I3874">
        <v>0.118389925541347</v>
      </c>
      <c r="J3874">
        <v>0.15319940880043501</v>
      </c>
      <c r="K3874">
        <v>0.151141978780299</v>
      </c>
      <c r="L3874">
        <v>1614.2549865972601</v>
      </c>
      <c r="M3874">
        <v>32.099834621085897</v>
      </c>
      <c r="N3874">
        <v>50.746148313538399</v>
      </c>
      <c r="O3874">
        <v>50.094597721272997</v>
      </c>
      <c r="P3874">
        <v>-0.14006671642367099</v>
      </c>
      <c r="Q3874">
        <v>0.12565871409775001</v>
      </c>
      <c r="R3874">
        <v>0.99447484684871101</v>
      </c>
      <c r="S3874" t="s">
        <v>10520</v>
      </c>
      <c r="T3874" t="s">
        <v>13290</v>
      </c>
      <c r="U3874" t="s">
        <v>13290</v>
      </c>
      <c r="V3874" t="s">
        <v>13290</v>
      </c>
      <c r="W3874" t="s">
        <v>17118</v>
      </c>
      <c r="X3874">
        <v>12</v>
      </c>
      <c r="Y3874" t="s">
        <v>20602</v>
      </c>
      <c r="Z3874" t="s">
        <v>30204</v>
      </c>
      <c r="AA3874">
        <v>0.43025617628945118</v>
      </c>
      <c r="AB3874" t="str">
        <f>HYPERLINK("Melting_Curves/meltCurve_Q5R372_4_RABGAP1L.pdf", "Melting_Curves/meltCurve_Q5R372_4_RABGAP1L.pdf")</f>
        <v>Melting_Curves/meltCurve_Q5R372_4_RABGAP1L.pdf</v>
      </c>
    </row>
    <row r="3875" spans="1:28" x14ac:dyDescent="0.25">
      <c r="A3875" t="s">
        <v>3879</v>
      </c>
      <c r="B3875">
        <v>0.99252571173614901</v>
      </c>
      <c r="C3875">
        <v>0.86069220650297396</v>
      </c>
      <c r="D3875">
        <v>0.74149021367850598</v>
      </c>
      <c r="E3875">
        <v>0.70012412098618804</v>
      </c>
      <c r="F3875">
        <v>0.428283690884325</v>
      </c>
      <c r="G3875">
        <v>0.20808525618781801</v>
      </c>
      <c r="H3875">
        <v>0.152088896204085</v>
      </c>
      <c r="I3875">
        <v>0.198762611290665</v>
      </c>
      <c r="J3875">
        <v>0.29878024398075498</v>
      </c>
      <c r="K3875">
        <v>0.35363977575009198</v>
      </c>
      <c r="L3875">
        <v>756.13788985780297</v>
      </c>
      <c r="M3875">
        <v>15.360598716269999</v>
      </c>
      <c r="N3875">
        <v>51.1782454443577</v>
      </c>
      <c r="O3875">
        <v>48.414124793075601</v>
      </c>
      <c r="P3875">
        <v>-6.1737484498874798E-2</v>
      </c>
      <c r="Q3875">
        <v>0.22172531739578999</v>
      </c>
      <c r="R3875">
        <v>0.92204621539458398</v>
      </c>
      <c r="S3875" t="s">
        <v>10521</v>
      </c>
      <c r="T3875" t="s">
        <v>13290</v>
      </c>
      <c r="U3875" t="s">
        <v>13290</v>
      </c>
      <c r="V3875" t="s">
        <v>13290</v>
      </c>
      <c r="W3875" t="s">
        <v>17119</v>
      </c>
      <c r="X3875">
        <v>4</v>
      </c>
      <c r="Y3875" t="s">
        <v>23619</v>
      </c>
      <c r="Z3875" t="s">
        <v>30205</v>
      </c>
      <c r="AA3875">
        <v>0.47929030671466161</v>
      </c>
      <c r="AB3875" t="str">
        <f>HYPERLINK("Melting_Curves/meltCurve_Q5R3A8_FYN.pdf", "Melting_Curves/meltCurve_Q5R3A8_FYN.pdf")</f>
        <v>Melting_Curves/meltCurve_Q5R3A8_FYN.pdf</v>
      </c>
    </row>
    <row r="3876" spans="1:28" x14ac:dyDescent="0.25">
      <c r="A3876" t="s">
        <v>3880</v>
      </c>
      <c r="B3876">
        <v>0.99252571173614901</v>
      </c>
      <c r="C3876">
        <v>0.87358052955686405</v>
      </c>
      <c r="D3876">
        <v>0.75238279291777499</v>
      </c>
      <c r="E3876">
        <v>0.61424346908680605</v>
      </c>
      <c r="F3876">
        <v>0.705105476574857</v>
      </c>
      <c r="G3876">
        <v>0.61086686781194499</v>
      </c>
      <c r="H3876">
        <v>0.51679057028154396</v>
      </c>
      <c r="I3876">
        <v>0.63129978521432395</v>
      </c>
      <c r="J3876">
        <v>0.60613359165815295</v>
      </c>
      <c r="K3876">
        <v>0.31982620680495399</v>
      </c>
      <c r="L3876">
        <v>361.90748914502097</v>
      </c>
      <c r="M3876">
        <v>7.3091762722295996</v>
      </c>
      <c r="N3876">
        <v>68.118564432358994</v>
      </c>
      <c r="O3876">
        <v>46.211807441763398</v>
      </c>
      <c r="P3876">
        <v>-2.2492065608397799E-2</v>
      </c>
      <c r="Q3876">
        <v>0.43207948478240699</v>
      </c>
      <c r="R3876">
        <v>0.76138994933561999</v>
      </c>
      <c r="S3876" t="s">
        <v>10522</v>
      </c>
      <c r="T3876" t="s">
        <v>13290</v>
      </c>
      <c r="U3876" t="s">
        <v>13290</v>
      </c>
      <c r="V3876" t="s">
        <v>13290</v>
      </c>
      <c r="W3876" t="s">
        <v>17120</v>
      </c>
      <c r="X3876">
        <v>3</v>
      </c>
      <c r="Y3876" t="s">
        <v>23620</v>
      </c>
      <c r="Z3876" t="s">
        <v>30206</v>
      </c>
      <c r="AA3876">
        <v>0.65158976812117075</v>
      </c>
      <c r="AB3876" t="str">
        <f>HYPERLINK("Melting_Curves/meltCurve_Q5R3B4_MPC2.pdf", "Melting_Curves/meltCurve_Q5R3B4_MPC2.pdf")</f>
        <v>Melting_Curves/meltCurve_Q5R3B4_MPC2.pdf</v>
      </c>
    </row>
    <row r="3877" spans="1:28" x14ac:dyDescent="0.25">
      <c r="A3877" t="s">
        <v>3881</v>
      </c>
      <c r="B3877">
        <v>0.99252571173614901</v>
      </c>
      <c r="C3877">
        <v>0.92018461355000603</v>
      </c>
      <c r="D3877">
        <v>0.82322748844051796</v>
      </c>
      <c r="E3877">
        <v>0.79953949415718994</v>
      </c>
      <c r="F3877">
        <v>0.65423703596740401</v>
      </c>
      <c r="G3877">
        <v>0.48404126842642498</v>
      </c>
      <c r="H3877">
        <v>0.45510790778073601</v>
      </c>
      <c r="I3877">
        <v>0.63309336512692505</v>
      </c>
      <c r="J3877">
        <v>0.92939294239963199</v>
      </c>
      <c r="K3877">
        <v>0.76851775404084</v>
      </c>
      <c r="L3877">
        <v>963.45146917104501</v>
      </c>
      <c r="M3877">
        <v>20.872070812262098</v>
      </c>
      <c r="O3877">
        <v>45.742379887445303</v>
      </c>
      <c r="P3877">
        <v>-3.8948766088827802E-2</v>
      </c>
      <c r="Q3877">
        <v>0.65857524854662297</v>
      </c>
      <c r="R3877">
        <v>0.45544991740334601</v>
      </c>
      <c r="S3877" t="s">
        <v>10523</v>
      </c>
      <c r="T3877" t="s">
        <v>13290</v>
      </c>
      <c r="U3877" t="s">
        <v>13290</v>
      </c>
      <c r="V3877" t="s">
        <v>13290</v>
      </c>
      <c r="W3877" t="s">
        <v>17121</v>
      </c>
      <c r="X3877">
        <v>7</v>
      </c>
      <c r="Y3877" t="s">
        <v>23621</v>
      </c>
      <c r="Z3877" t="s">
        <v>30207</v>
      </c>
      <c r="AA3877">
        <v>0.73341541659969633</v>
      </c>
      <c r="AB3877" t="str">
        <f>HYPERLINK("Melting_Curves/meltCurve_Q5RI15_COX20.pdf", "Melting_Curves/meltCurve_Q5RI15_COX20.pdf")</f>
        <v>Melting_Curves/meltCurve_Q5RI15_COX20.pdf</v>
      </c>
    </row>
    <row r="3878" spans="1:28" x14ac:dyDescent="0.25">
      <c r="A3878" t="s">
        <v>3882</v>
      </c>
      <c r="B3878">
        <v>0.99252571173614901</v>
      </c>
      <c r="C3878">
        <v>1.12379131963584</v>
      </c>
      <c r="D3878">
        <v>1.83303331873845</v>
      </c>
      <c r="E3878">
        <v>2.9124366514261499</v>
      </c>
      <c r="F3878">
        <v>2.7399161012309898</v>
      </c>
      <c r="G3878">
        <v>2.18305391309296</v>
      </c>
      <c r="H3878">
        <v>1.66499564351078</v>
      </c>
      <c r="I3878">
        <v>0.72635942030645495</v>
      </c>
      <c r="J3878">
        <v>0.48025688851367199</v>
      </c>
      <c r="K3878">
        <v>0.41285916368530501</v>
      </c>
      <c r="L3878">
        <v>10772.6852511251</v>
      </c>
      <c r="M3878">
        <v>250</v>
      </c>
      <c r="O3878">
        <v>43.087983550072401</v>
      </c>
      <c r="P3878">
        <v>0.72526021202725899</v>
      </c>
      <c r="Q3878">
        <v>1.5</v>
      </c>
      <c r="R3878">
        <v>5.4177843348671401E-2</v>
      </c>
      <c r="S3878" t="s">
        <v>10524</v>
      </c>
      <c r="T3878" t="s">
        <v>13290</v>
      </c>
      <c r="U3878" t="s">
        <v>13290</v>
      </c>
      <c r="V3878" t="s">
        <v>13290</v>
      </c>
      <c r="W3878" t="s">
        <v>17122</v>
      </c>
      <c r="X3878">
        <v>13</v>
      </c>
      <c r="Y3878" t="s">
        <v>23622</v>
      </c>
      <c r="Z3878" t="s">
        <v>30208</v>
      </c>
      <c r="AA3878">
        <v>1.4484498381250559</v>
      </c>
      <c r="AB3878" t="str">
        <f>HYPERLINK("Melting_Curves/meltCurve_Q5RKV6_EXOSC6.pdf", "Melting_Curves/meltCurve_Q5RKV6_EXOSC6.pdf")</f>
        <v>Melting_Curves/meltCurve_Q5RKV6_EXOSC6.pdf</v>
      </c>
    </row>
    <row r="3879" spans="1:28" x14ac:dyDescent="0.25">
      <c r="A3879" t="s">
        <v>3883</v>
      </c>
      <c r="B3879">
        <v>0.99252571173614901</v>
      </c>
      <c r="C3879">
        <v>1.05471330695119</v>
      </c>
      <c r="D3879">
        <v>0.93226735702312702</v>
      </c>
      <c r="E3879">
        <v>0.88814410330794602</v>
      </c>
      <c r="F3879">
        <v>0.53397431310320798</v>
      </c>
      <c r="G3879">
        <v>0.40030352279969</v>
      </c>
      <c r="H3879">
        <v>0.29247662278293302</v>
      </c>
      <c r="I3879">
        <v>0.40784223480383702</v>
      </c>
      <c r="J3879">
        <v>0.72501657901872796</v>
      </c>
      <c r="K3879">
        <v>0.57957810126460096</v>
      </c>
      <c r="L3879">
        <v>2629.2822286455398</v>
      </c>
      <c r="M3879">
        <v>51.734239765846297</v>
      </c>
      <c r="N3879">
        <v>54.292261692071399</v>
      </c>
      <c r="O3879">
        <v>50.747096864332597</v>
      </c>
      <c r="P3879">
        <v>-0.13210394424835301</v>
      </c>
      <c r="Q3879">
        <v>0.48166733245429399</v>
      </c>
      <c r="R3879">
        <v>0.81724239956671596</v>
      </c>
      <c r="S3879" t="s">
        <v>10525</v>
      </c>
      <c r="T3879" t="s">
        <v>13290</v>
      </c>
      <c r="U3879" t="s">
        <v>13290</v>
      </c>
      <c r="V3879" t="s">
        <v>13290</v>
      </c>
      <c r="W3879" t="s">
        <v>17123</v>
      </c>
      <c r="X3879">
        <v>2</v>
      </c>
      <c r="Y3879" t="s">
        <v>23623</v>
      </c>
      <c r="Z3879" t="s">
        <v>30209</v>
      </c>
      <c r="AA3879">
        <v>0.66974711999990533</v>
      </c>
      <c r="AB3879" t="str">
        <f>HYPERLINK("Melting_Curves/meltCurve_Q5SPY9_NPDC1.pdf", "Melting_Curves/meltCurve_Q5SPY9_NPDC1.pdf")</f>
        <v>Melting_Curves/meltCurve_Q5SPY9_NPDC1.pdf</v>
      </c>
    </row>
    <row r="3880" spans="1:28" x14ac:dyDescent="0.25">
      <c r="A3880" t="s">
        <v>3884</v>
      </c>
      <c r="B3880">
        <v>0.99252571173614901</v>
      </c>
      <c r="C3880">
        <v>0.97663489825552696</v>
      </c>
      <c r="D3880">
        <v>0.38471832288435598</v>
      </c>
      <c r="E3880">
        <v>0.35568344888264902</v>
      </c>
      <c r="F3880">
        <v>0.63504926772308501</v>
      </c>
      <c r="G3880">
        <v>0.20004712209633199</v>
      </c>
      <c r="H3880">
        <v>0.29166147064624198</v>
      </c>
      <c r="I3880">
        <v>0.60440841656173006</v>
      </c>
      <c r="J3880">
        <v>1.01105924661183</v>
      </c>
      <c r="K3880">
        <v>0.70632894614461605</v>
      </c>
      <c r="L3880">
        <v>10852.180778358001</v>
      </c>
      <c r="M3880">
        <v>250</v>
      </c>
      <c r="O3880">
        <v>43.4059452628318</v>
      </c>
      <c r="P3880">
        <v>-0.68593784632244104</v>
      </c>
      <c r="Q3880">
        <v>0.52361951099637305</v>
      </c>
      <c r="R3880">
        <v>0.40674128988590103</v>
      </c>
      <c r="S3880" t="s">
        <v>10526</v>
      </c>
      <c r="T3880" t="s">
        <v>13290</v>
      </c>
      <c r="U3880" t="s">
        <v>13290</v>
      </c>
      <c r="V3880" t="s">
        <v>13290</v>
      </c>
      <c r="W3880" t="s">
        <v>17124</v>
      </c>
      <c r="X3880">
        <v>1</v>
      </c>
      <c r="Y3880" t="s">
        <v>23624</v>
      </c>
      <c r="Z3880" t="s">
        <v>30210</v>
      </c>
      <c r="AA3880">
        <v>0.57778410856329177</v>
      </c>
      <c r="AB3880" t="str">
        <f>HYPERLINK("Melting_Curves/meltCurve_Q5SQI0_5_ATAT1.pdf", "Melting_Curves/meltCurve_Q5SQI0_5_ATAT1.pdf")</f>
        <v>Melting_Curves/meltCurve_Q5SQI0_5_ATAT1.pdf</v>
      </c>
    </row>
    <row r="3881" spans="1:28" x14ac:dyDescent="0.25">
      <c r="A3881" t="s">
        <v>3885</v>
      </c>
      <c r="B3881">
        <v>0.99252571173614901</v>
      </c>
      <c r="C3881">
        <v>0.93367194384266805</v>
      </c>
      <c r="D3881">
        <v>0.75024925800763798</v>
      </c>
      <c r="E3881">
        <v>0.62972330057698001</v>
      </c>
      <c r="F3881">
        <v>0.36682379639572699</v>
      </c>
      <c r="G3881">
        <v>0.22226707798461701</v>
      </c>
      <c r="H3881">
        <v>0.14274455568397201</v>
      </c>
      <c r="I3881">
        <v>0.124565207027366</v>
      </c>
      <c r="J3881">
        <v>0.166734102811716</v>
      </c>
      <c r="K3881">
        <v>0.116456773143568</v>
      </c>
      <c r="L3881">
        <v>719.66453800383204</v>
      </c>
      <c r="M3881">
        <v>14.376336277906899</v>
      </c>
      <c r="N3881">
        <v>50.862104425233802</v>
      </c>
      <c r="O3881">
        <v>49.120289959319301</v>
      </c>
      <c r="P3881">
        <v>-6.5747070114341694E-2</v>
      </c>
      <c r="Q3881">
        <v>0.1015432934157</v>
      </c>
      <c r="R3881">
        <v>0.99234135981018301</v>
      </c>
      <c r="S3881" t="s">
        <v>10527</v>
      </c>
      <c r="T3881" t="s">
        <v>13290</v>
      </c>
      <c r="U3881" t="s">
        <v>13290</v>
      </c>
      <c r="V3881" t="s">
        <v>13290</v>
      </c>
      <c r="W3881" t="s">
        <v>17125</v>
      </c>
      <c r="X3881">
        <v>2</v>
      </c>
      <c r="Y3881" t="s">
        <v>23625</v>
      </c>
      <c r="Z3881" t="s">
        <v>30211</v>
      </c>
      <c r="AA3881">
        <v>0.42582545217080348</v>
      </c>
      <c r="AB3881" t="str">
        <f>HYPERLINK("Melting_Curves/meltCurve_Q5SR54_CLSTN1.pdf", "Melting_Curves/meltCurve_Q5SR54_CLSTN1.pdf")</f>
        <v>Melting_Curves/meltCurve_Q5SR54_CLSTN1.pdf</v>
      </c>
    </row>
    <row r="3882" spans="1:28" x14ac:dyDescent="0.25">
      <c r="A3882" t="s">
        <v>3886</v>
      </c>
      <c r="B3882">
        <v>0.99252571173614901</v>
      </c>
      <c r="C3882">
        <v>1.1036626734830099</v>
      </c>
      <c r="D3882">
        <v>0.81381076887096804</v>
      </c>
      <c r="E3882">
        <v>0.83049947621457498</v>
      </c>
      <c r="F3882">
        <v>0.61336805961746099</v>
      </c>
      <c r="G3882">
        <v>0.55338084605107496</v>
      </c>
      <c r="H3882">
        <v>0.50474589735847397</v>
      </c>
      <c r="I3882">
        <v>0.71344853941901798</v>
      </c>
      <c r="J3882">
        <v>0.90170778121094797</v>
      </c>
      <c r="K3882">
        <v>0.57773700811951301</v>
      </c>
      <c r="L3882">
        <v>1237.25558588679</v>
      </c>
      <c r="M3882">
        <v>25.923488448693298</v>
      </c>
      <c r="O3882">
        <v>47.445911272004601</v>
      </c>
      <c r="P3882">
        <v>-4.8168114173592499E-2</v>
      </c>
      <c r="Q3882">
        <v>0.64736946500172798</v>
      </c>
      <c r="R3882">
        <v>0.62172256712693497</v>
      </c>
      <c r="S3882" t="s">
        <v>10528</v>
      </c>
      <c r="T3882" t="s">
        <v>13290</v>
      </c>
      <c r="U3882" t="s">
        <v>13290</v>
      </c>
      <c r="V3882" t="s">
        <v>13290</v>
      </c>
      <c r="W3882" t="s">
        <v>17126</v>
      </c>
      <c r="X3882">
        <v>1</v>
      </c>
      <c r="Y3882" t="s">
        <v>23626</v>
      </c>
      <c r="Z3882" t="s">
        <v>30212</v>
      </c>
      <c r="AA3882">
        <v>0.74108483352224619</v>
      </c>
      <c r="AB3882" t="str">
        <f>HYPERLINK("Melting_Curves/meltCurve_Q5SR56_HIATL1.pdf", "Melting_Curves/meltCurve_Q5SR56_HIATL1.pdf")</f>
        <v>Melting_Curves/meltCurve_Q5SR56_HIATL1.pdf</v>
      </c>
    </row>
    <row r="3883" spans="1:28" x14ac:dyDescent="0.25">
      <c r="A3883" t="s">
        <v>3887</v>
      </c>
      <c r="B3883">
        <v>0.99252571173614901</v>
      </c>
      <c r="C3883">
        <v>0.85577260916039799</v>
      </c>
      <c r="D3883">
        <v>0.87467122408421805</v>
      </c>
      <c r="E3883">
        <v>0.66217660837653403</v>
      </c>
      <c r="F3883">
        <v>0.36015268600813599</v>
      </c>
      <c r="G3883">
        <v>0.28365545149413302</v>
      </c>
      <c r="H3883">
        <v>0.16922514514818199</v>
      </c>
      <c r="I3883">
        <v>0.18510839749531</v>
      </c>
      <c r="J3883">
        <v>0.116762753191629</v>
      </c>
      <c r="K3883">
        <v>7.6782202767841201E-2</v>
      </c>
      <c r="L3883">
        <v>704.54996017457302</v>
      </c>
      <c r="M3883">
        <v>13.817127346752599</v>
      </c>
      <c r="N3883">
        <v>51.704024480254603</v>
      </c>
      <c r="O3883">
        <v>49.958565276465897</v>
      </c>
      <c r="P3883">
        <v>-6.3154329454948102E-2</v>
      </c>
      <c r="Q3883">
        <v>8.6739187673680399E-2</v>
      </c>
      <c r="R3883">
        <v>0.98563105092761305</v>
      </c>
      <c r="S3883" t="s">
        <v>10529</v>
      </c>
      <c r="T3883" t="s">
        <v>13290</v>
      </c>
      <c r="U3883" t="s">
        <v>13290</v>
      </c>
      <c r="V3883" t="s">
        <v>13290</v>
      </c>
      <c r="W3883" t="s">
        <v>17127</v>
      </c>
      <c r="X3883">
        <v>4</v>
      </c>
      <c r="Y3883" t="s">
        <v>23627</v>
      </c>
      <c r="Z3883" t="s">
        <v>30213</v>
      </c>
      <c r="AA3883">
        <v>0.44543234532784121</v>
      </c>
      <c r="AB3883" t="str">
        <f>HYPERLINK("Melting_Curves/meltCurve_Q5SRE5_NUP188.pdf", "Melting_Curves/meltCurve_Q5SRE5_NUP188.pdf")</f>
        <v>Melting_Curves/meltCurve_Q5SRE5_NUP188.pdf</v>
      </c>
    </row>
    <row r="3884" spans="1:28" x14ac:dyDescent="0.25">
      <c r="A3884" t="s">
        <v>3888</v>
      </c>
      <c r="B3884">
        <v>0.99252571173614901</v>
      </c>
      <c r="C3884">
        <v>0.95917999859730896</v>
      </c>
      <c r="D3884">
        <v>0.90045429506307495</v>
      </c>
      <c r="E3884">
        <v>0.71876881373427204</v>
      </c>
      <c r="F3884">
        <v>0.44549248877997499</v>
      </c>
      <c r="G3884">
        <v>0.232299031728983</v>
      </c>
      <c r="H3884">
        <v>0.14686509707456999</v>
      </c>
      <c r="I3884">
        <v>0.124172020875534</v>
      </c>
      <c r="J3884">
        <v>0.135410629001227</v>
      </c>
      <c r="K3884">
        <v>0.12764603710778899</v>
      </c>
      <c r="L3884">
        <v>951.04509812491096</v>
      </c>
      <c r="M3884">
        <v>18.4350628502355</v>
      </c>
      <c r="N3884">
        <v>52.284906620619701</v>
      </c>
      <c r="O3884">
        <v>50.993380479149103</v>
      </c>
      <c r="P3884">
        <v>-8.0550089033298397E-2</v>
      </c>
      <c r="Q3884">
        <v>0.108798934247561</v>
      </c>
      <c r="R3884">
        <v>0.99871407633434295</v>
      </c>
      <c r="S3884" t="s">
        <v>10530</v>
      </c>
      <c r="T3884" t="s">
        <v>13290</v>
      </c>
      <c r="U3884" t="s">
        <v>13290</v>
      </c>
      <c r="V3884" t="s">
        <v>13290</v>
      </c>
      <c r="W3884" t="s">
        <v>17128</v>
      </c>
      <c r="X3884">
        <v>2</v>
      </c>
      <c r="Y3884" t="s">
        <v>23628</v>
      </c>
      <c r="Z3884" t="s">
        <v>30214</v>
      </c>
      <c r="AA3884">
        <v>0.46736576460036761</v>
      </c>
      <c r="AB3884" t="str">
        <f>HYPERLINK("Melting_Curves/meltCurve_Q5SRI9_MANEA.pdf", "Melting_Curves/meltCurve_Q5SRI9_MANEA.pdf")</f>
        <v>Melting_Curves/meltCurve_Q5SRI9_MANEA.pdf</v>
      </c>
    </row>
    <row r="3885" spans="1:28" x14ac:dyDescent="0.25">
      <c r="A3885" t="s">
        <v>3889</v>
      </c>
      <c r="B3885">
        <v>0.99252571173614901</v>
      </c>
      <c r="C3885">
        <v>0.94225294212321598</v>
      </c>
      <c r="D3885">
        <v>1.0064163733342499</v>
      </c>
      <c r="E3885">
        <v>1.01216094545054</v>
      </c>
      <c r="F3885">
        <v>0.64947286962325901</v>
      </c>
      <c r="G3885">
        <v>0.331397122702346</v>
      </c>
      <c r="H3885">
        <v>9.1118933597452906E-2</v>
      </c>
      <c r="I3885">
        <v>7.93059675868205E-2</v>
      </c>
      <c r="J3885">
        <v>7.5187666634057307E-2</v>
      </c>
      <c r="K3885">
        <v>7.7664357787119803E-2</v>
      </c>
      <c r="L3885">
        <v>1535.3281858995099</v>
      </c>
      <c r="M3885">
        <v>28.163395590641599</v>
      </c>
      <c r="N3885">
        <v>54.801147227280403</v>
      </c>
      <c r="O3885">
        <v>54.242386600898001</v>
      </c>
      <c r="P3885">
        <v>-0.120929255573925</v>
      </c>
      <c r="Q3885">
        <v>6.8374095581981306E-2</v>
      </c>
      <c r="R3885">
        <v>0.99325698077730196</v>
      </c>
      <c r="S3885" t="s">
        <v>10531</v>
      </c>
      <c r="T3885" t="s">
        <v>13290</v>
      </c>
      <c r="U3885" t="s">
        <v>13290</v>
      </c>
      <c r="V3885" t="s">
        <v>13290</v>
      </c>
      <c r="W3885" t="s">
        <v>17129</v>
      </c>
      <c r="X3885">
        <v>7</v>
      </c>
      <c r="Y3885" t="s">
        <v>23629</v>
      </c>
      <c r="Z3885" t="s">
        <v>30215</v>
      </c>
      <c r="AA3885">
        <v>0.52606111898810182</v>
      </c>
      <c r="AB3885" t="str">
        <f>HYPERLINK("Melting_Curves/meltCurve_Q5SRQ6_CSNK2B.pdf", "Melting_Curves/meltCurve_Q5SRQ6_CSNK2B.pdf")</f>
        <v>Melting_Curves/meltCurve_Q5SRQ6_CSNK2B.pdf</v>
      </c>
    </row>
    <row r="3886" spans="1:28" x14ac:dyDescent="0.25">
      <c r="A3886" t="s">
        <v>3890</v>
      </c>
      <c r="B3886">
        <v>0.99252571173614901</v>
      </c>
      <c r="C3886">
        <v>0.87914170945932801</v>
      </c>
      <c r="D3886">
        <v>0.53169542646849399</v>
      </c>
      <c r="E3886">
        <v>0.282632000278488</v>
      </c>
      <c r="F3886">
        <v>0.19827982652380999</v>
      </c>
      <c r="G3886">
        <v>0.13304690012241599</v>
      </c>
      <c r="H3886">
        <v>0.118831174198729</v>
      </c>
      <c r="I3886">
        <v>0.12427380026123699</v>
      </c>
      <c r="J3886">
        <v>0.20880505624942899</v>
      </c>
      <c r="K3886">
        <v>0.22260126095157301</v>
      </c>
      <c r="L3886">
        <v>1183.8006960575999</v>
      </c>
      <c r="M3886">
        <v>25.9066277663715</v>
      </c>
      <c r="N3886">
        <v>46.412426871402097</v>
      </c>
      <c r="O3886">
        <v>45.425235736603298</v>
      </c>
      <c r="P3886">
        <v>-0.11905284639635801</v>
      </c>
      <c r="Q3886">
        <v>0.16501051539391501</v>
      </c>
      <c r="R3886">
        <v>0.98758163838791801</v>
      </c>
      <c r="S3886" t="s">
        <v>10532</v>
      </c>
      <c r="T3886" t="s">
        <v>13290</v>
      </c>
      <c r="U3886" t="s">
        <v>13290</v>
      </c>
      <c r="V3886" t="s">
        <v>13290</v>
      </c>
      <c r="W3886" t="s">
        <v>17130</v>
      </c>
      <c r="X3886">
        <v>4</v>
      </c>
      <c r="Y3886" t="s">
        <v>23630</v>
      </c>
      <c r="Z3886" t="s">
        <v>30216</v>
      </c>
      <c r="AA3886">
        <v>0.33074110682864599</v>
      </c>
      <c r="AB3886" t="str">
        <f>HYPERLINK("Melting_Curves/meltCurve_Q5SSJ5_HP1BP3.pdf", "Melting_Curves/meltCurve_Q5SSJ5_HP1BP3.pdf")</f>
        <v>Melting_Curves/meltCurve_Q5SSJ5_HP1BP3.pdf</v>
      </c>
    </row>
    <row r="3887" spans="1:28" x14ac:dyDescent="0.25">
      <c r="A3887" t="s">
        <v>3891</v>
      </c>
      <c r="B3887">
        <v>0.99252571173614901</v>
      </c>
      <c r="C3887">
        <v>0.86830970619794701</v>
      </c>
      <c r="D3887">
        <v>0.82749996835652995</v>
      </c>
      <c r="E3887">
        <v>0.61677542008557995</v>
      </c>
      <c r="F3887">
        <v>0.268868164488757</v>
      </c>
      <c r="G3887">
        <v>0.143533201067153</v>
      </c>
      <c r="H3887">
        <v>0.10498117262915101</v>
      </c>
      <c r="I3887">
        <v>9.89686323105953E-2</v>
      </c>
      <c r="J3887">
        <v>0.13922774086659201</v>
      </c>
      <c r="K3887">
        <v>0.20421685146676699</v>
      </c>
      <c r="L3887">
        <v>985.835940856653</v>
      </c>
      <c r="M3887">
        <v>19.883230191454</v>
      </c>
      <c r="N3887">
        <v>50.260129754728503</v>
      </c>
      <c r="O3887">
        <v>49.087911467999596</v>
      </c>
      <c r="P3887">
        <v>-8.9341660036124801E-2</v>
      </c>
      <c r="Q3887">
        <v>0.117758979085326</v>
      </c>
      <c r="R3887">
        <v>0.97896176287002501</v>
      </c>
      <c r="S3887" t="s">
        <v>10533</v>
      </c>
      <c r="T3887" t="s">
        <v>13290</v>
      </c>
      <c r="U3887" t="s">
        <v>13290</v>
      </c>
      <c r="V3887" t="s">
        <v>13290</v>
      </c>
      <c r="W3887" t="s">
        <v>17131</v>
      </c>
      <c r="X3887">
        <v>6</v>
      </c>
      <c r="Y3887" t="s">
        <v>23631</v>
      </c>
      <c r="Z3887" t="s">
        <v>30217</v>
      </c>
      <c r="AA3887">
        <v>0.41197507891527507</v>
      </c>
      <c r="AB3887" t="str">
        <f>HYPERLINK("Melting_Curves/meltCurve_Q5ST30_VARS2.pdf", "Melting_Curves/meltCurve_Q5ST30_VARS2.pdf")</f>
        <v>Melting_Curves/meltCurve_Q5ST30_VARS2.pdf</v>
      </c>
    </row>
    <row r="3888" spans="1:28" x14ac:dyDescent="0.25">
      <c r="A3888" t="s">
        <v>3892</v>
      </c>
      <c r="B3888">
        <v>0.99252571173614901</v>
      </c>
      <c r="C3888">
        <v>0.88871546354589404</v>
      </c>
      <c r="D3888">
        <v>0.83807350592544905</v>
      </c>
      <c r="E3888">
        <v>0.76070715052267501</v>
      </c>
      <c r="F3888">
        <v>0.62425733857177501</v>
      </c>
      <c r="G3888">
        <v>0.43261996344554798</v>
      </c>
      <c r="H3888">
        <v>0.33703169076238298</v>
      </c>
      <c r="I3888">
        <v>0.27972899560617598</v>
      </c>
      <c r="J3888">
        <v>0</v>
      </c>
      <c r="K3888">
        <v>0</v>
      </c>
      <c r="L3888">
        <v>578.109834080425</v>
      </c>
      <c r="M3888">
        <v>10.4703187801253</v>
      </c>
      <c r="N3888">
        <v>55.214157863247998</v>
      </c>
      <c r="O3888">
        <v>53.314075543710402</v>
      </c>
      <c r="P3888">
        <v>-4.9117373032488199E-2</v>
      </c>
      <c r="Q3888">
        <v>0</v>
      </c>
      <c r="R3888">
        <v>0.95963830094246005</v>
      </c>
      <c r="S3888" t="s">
        <v>10534</v>
      </c>
      <c r="T3888" t="s">
        <v>13290</v>
      </c>
      <c r="U3888" t="s">
        <v>13290</v>
      </c>
      <c r="V3888" t="s">
        <v>13290</v>
      </c>
      <c r="W3888" t="s">
        <v>17132</v>
      </c>
      <c r="X3888">
        <v>2</v>
      </c>
      <c r="Y3888" t="s">
        <v>23632</v>
      </c>
      <c r="Z3888" t="s">
        <v>30218</v>
      </c>
      <c r="AA3888">
        <v>0.53162450600884092</v>
      </c>
      <c r="AB3888" t="str">
        <f>HYPERLINK("Melting_Curves/meltCurve_Q5SVS4_SLC25A30.pdf", "Melting_Curves/meltCurve_Q5SVS4_SLC25A30.pdf")</f>
        <v>Melting_Curves/meltCurve_Q5SVS4_SLC25A30.pdf</v>
      </c>
    </row>
    <row r="3889" spans="1:28" x14ac:dyDescent="0.25">
      <c r="A3889" t="s">
        <v>3893</v>
      </c>
      <c r="B3889">
        <v>0.99252571173614901</v>
      </c>
      <c r="C3889">
        <v>0.929203247118774</v>
      </c>
      <c r="D3889">
        <v>0.79062801984252495</v>
      </c>
      <c r="E3889">
        <v>0.60187867024873098</v>
      </c>
      <c r="F3889">
        <v>0.35566075266970498</v>
      </c>
      <c r="G3889">
        <v>0.17609508804394799</v>
      </c>
      <c r="H3889">
        <v>0.135835239746945</v>
      </c>
      <c r="I3889">
        <v>0.15528905870460499</v>
      </c>
      <c r="J3889">
        <v>0.22893411873567199</v>
      </c>
      <c r="K3889">
        <v>0.244101887636306</v>
      </c>
      <c r="L3889">
        <v>913.09146381636799</v>
      </c>
      <c r="M3889">
        <v>18.533598246203301</v>
      </c>
      <c r="N3889">
        <v>50.417876069917497</v>
      </c>
      <c r="O3889">
        <v>48.703999113199004</v>
      </c>
      <c r="P3889">
        <v>-7.8726579472609498E-2</v>
      </c>
      <c r="Q3889">
        <v>0.17250161378767401</v>
      </c>
      <c r="R3889">
        <v>0.98134064924648701</v>
      </c>
      <c r="S3889" t="s">
        <v>10535</v>
      </c>
      <c r="T3889" t="s">
        <v>13290</v>
      </c>
      <c r="U3889" t="s">
        <v>13290</v>
      </c>
      <c r="V3889" t="s">
        <v>13290</v>
      </c>
      <c r="W3889" t="s">
        <v>17133</v>
      </c>
      <c r="X3889">
        <v>19</v>
      </c>
      <c r="Y3889" t="s">
        <v>23633</v>
      </c>
      <c r="Z3889" t="s">
        <v>30219</v>
      </c>
      <c r="AA3889">
        <v>0.44157604142691931</v>
      </c>
      <c r="AB3889" t="str">
        <f>HYPERLINK("Melting_Curves/meltCurve_Q5SW79_CEP170.pdf", "Melting_Curves/meltCurve_Q5SW79_CEP170.pdf")</f>
        <v>Melting_Curves/meltCurve_Q5SW79_CEP170.pdf</v>
      </c>
    </row>
    <row r="3890" spans="1:28" x14ac:dyDescent="0.25">
      <c r="A3890" t="s">
        <v>3894</v>
      </c>
      <c r="B3890">
        <v>0.99252571173614901</v>
      </c>
      <c r="C3890">
        <v>0.912185524176086</v>
      </c>
      <c r="D3890">
        <v>1.01656418779275</v>
      </c>
      <c r="E3890">
        <v>0.72169328366831698</v>
      </c>
      <c r="F3890">
        <v>0.42734982725717702</v>
      </c>
      <c r="G3890">
        <v>0.30245101256437001</v>
      </c>
      <c r="H3890">
        <v>0.16018910193674701</v>
      </c>
      <c r="I3890">
        <v>0.13657731713273999</v>
      </c>
      <c r="J3890">
        <v>0.160132748279946</v>
      </c>
      <c r="K3890">
        <v>0.15908157002729201</v>
      </c>
      <c r="L3890">
        <v>1092.9116423068101</v>
      </c>
      <c r="M3890">
        <v>21.183045703032398</v>
      </c>
      <c r="N3890">
        <v>52.459972312118197</v>
      </c>
      <c r="O3890">
        <v>51.140498575482397</v>
      </c>
      <c r="P3890">
        <v>-8.8272630964527393E-2</v>
      </c>
      <c r="Q3890">
        <v>0.14758448058710899</v>
      </c>
      <c r="R3890">
        <v>0.98725396911348295</v>
      </c>
      <c r="S3890" t="s">
        <v>10536</v>
      </c>
      <c r="T3890" t="s">
        <v>13290</v>
      </c>
      <c r="U3890" t="s">
        <v>13290</v>
      </c>
      <c r="V3890" t="s">
        <v>13290</v>
      </c>
      <c r="W3890" t="s">
        <v>17134</v>
      </c>
      <c r="X3890">
        <v>4</v>
      </c>
      <c r="Y3890" t="s">
        <v>23634</v>
      </c>
      <c r="Z3890" t="s">
        <v>30220</v>
      </c>
      <c r="AA3890">
        <v>0.48763213179765341</v>
      </c>
      <c r="AB3890" t="str">
        <f>HYPERLINK("Melting_Curves/meltCurve_Q5SWX3_CAMK2G.pdf", "Melting_Curves/meltCurve_Q5SWX3_CAMK2G.pdf")</f>
        <v>Melting_Curves/meltCurve_Q5SWX3_CAMK2G.pdf</v>
      </c>
    </row>
    <row r="3891" spans="1:28" x14ac:dyDescent="0.25">
      <c r="A3891" t="s">
        <v>3895</v>
      </c>
      <c r="B3891">
        <v>0.99252571173614901</v>
      </c>
      <c r="C3891">
        <v>0.90074288878666797</v>
      </c>
      <c r="D3891">
        <v>0.79385649950464399</v>
      </c>
      <c r="E3891">
        <v>0.50180368306528</v>
      </c>
      <c r="F3891">
        <v>0.13556678352337001</v>
      </c>
      <c r="G3891">
        <v>9.66219005472672E-2</v>
      </c>
      <c r="H3891">
        <v>5.9990392975122403E-2</v>
      </c>
      <c r="I3891">
        <v>6.5224474291760606E-2</v>
      </c>
      <c r="J3891">
        <v>8.14049361065107E-2</v>
      </c>
      <c r="K3891">
        <v>8.8399362510299895E-2</v>
      </c>
      <c r="L3891">
        <v>1063.8081608472901</v>
      </c>
      <c r="M3891">
        <v>21.782058429830201</v>
      </c>
      <c r="N3891">
        <v>49.127660718448602</v>
      </c>
      <c r="O3891">
        <v>48.432696020998499</v>
      </c>
      <c r="P3891">
        <v>-0.105677732599033</v>
      </c>
      <c r="Q3891">
        <v>6.01186901801729E-2</v>
      </c>
      <c r="R3891">
        <v>0.99222094566823904</v>
      </c>
      <c r="S3891" t="s">
        <v>10537</v>
      </c>
      <c r="T3891" t="s">
        <v>13290</v>
      </c>
      <c r="U3891" t="s">
        <v>13290</v>
      </c>
      <c r="V3891" t="s">
        <v>13290</v>
      </c>
      <c r="W3891" t="s">
        <v>17135</v>
      </c>
      <c r="X3891">
        <v>2</v>
      </c>
      <c r="Y3891" t="s">
        <v>23635</v>
      </c>
      <c r="Z3891" t="s">
        <v>30221</v>
      </c>
      <c r="AA3891">
        <v>0.34809521493156897</v>
      </c>
      <c r="AB3891" t="str">
        <f>HYPERLINK("Melting_Curves/meltCurve_Q5SWX8_4_ODR4.pdf", "Melting_Curves/meltCurve_Q5SWX8_4_ODR4.pdf")</f>
        <v>Melting_Curves/meltCurve_Q5SWX8_4_ODR4.pdf</v>
      </c>
    </row>
    <row r="3892" spans="1:28" x14ac:dyDescent="0.25">
      <c r="A3892" t="s">
        <v>3896</v>
      </c>
      <c r="B3892">
        <v>0.99252571173614901</v>
      </c>
      <c r="C3892">
        <v>1.0805341613831401</v>
      </c>
      <c r="D3892">
        <v>1.0394891461776301</v>
      </c>
      <c r="E3892">
        <v>1.56734272103246</v>
      </c>
      <c r="F3892">
        <v>0.79860127053927299</v>
      </c>
      <c r="G3892">
        <v>0.44787935211601199</v>
      </c>
      <c r="H3892">
        <v>0.22950188427372101</v>
      </c>
      <c r="I3892">
        <v>0.21626342247602001</v>
      </c>
      <c r="J3892">
        <v>0.148649091888513</v>
      </c>
      <c r="K3892">
        <v>0.129564760136367</v>
      </c>
      <c r="L3892">
        <v>2143.3316719598402</v>
      </c>
      <c r="M3892">
        <v>38.526394527947303</v>
      </c>
      <c r="N3892">
        <v>56.251949219453699</v>
      </c>
      <c r="O3892">
        <v>55.483557517219303</v>
      </c>
      <c r="P3892">
        <v>-0.14359743579888101</v>
      </c>
      <c r="Q3892">
        <v>0.172798030303695</v>
      </c>
      <c r="R3892">
        <v>0.84398758879002</v>
      </c>
      <c r="S3892" t="s">
        <v>10538</v>
      </c>
      <c r="T3892" t="s">
        <v>13290</v>
      </c>
      <c r="U3892" t="s">
        <v>13290</v>
      </c>
      <c r="V3892" t="s">
        <v>13290</v>
      </c>
      <c r="W3892" t="s">
        <v>17136</v>
      </c>
      <c r="X3892">
        <v>16</v>
      </c>
      <c r="Y3892" t="s">
        <v>20381</v>
      </c>
      <c r="Z3892" t="s">
        <v>30222</v>
      </c>
      <c r="AA3892">
        <v>0.60725529957693236</v>
      </c>
      <c r="AB3892" t="str">
        <f>HYPERLINK("Melting_Curves/meltCurve_Q5SX86_GDI2.pdf", "Melting_Curves/meltCurve_Q5SX86_GDI2.pdf")</f>
        <v>Melting_Curves/meltCurve_Q5SX86_GDI2.pdf</v>
      </c>
    </row>
    <row r="3893" spans="1:28" x14ac:dyDescent="0.25">
      <c r="A3893" t="s">
        <v>3897</v>
      </c>
      <c r="B3893">
        <v>0.99252571173614901</v>
      </c>
      <c r="C3893">
        <v>0.44963022524693702</v>
      </c>
      <c r="D3893">
        <v>0.31534155321757101</v>
      </c>
      <c r="E3893">
        <v>0.22239818224656999</v>
      </c>
      <c r="F3893">
        <v>0.16270976249774599</v>
      </c>
      <c r="G3893">
        <v>0.109447183941017</v>
      </c>
      <c r="H3893">
        <v>8.9086715467965899E-2</v>
      </c>
      <c r="I3893">
        <v>0.12271344020802</v>
      </c>
      <c r="J3893">
        <v>0.181367573794779</v>
      </c>
      <c r="K3893">
        <v>0.18483814837316101</v>
      </c>
      <c r="L3893">
        <v>1704.5550472135201</v>
      </c>
      <c r="M3893">
        <v>40.192828300856199</v>
      </c>
      <c r="N3893">
        <v>42.838876402826997</v>
      </c>
      <c r="O3893">
        <v>42.304855388657799</v>
      </c>
      <c r="P3893">
        <v>-0.19813482518641901</v>
      </c>
      <c r="Q3893">
        <v>0.16581654640326299</v>
      </c>
      <c r="R3893">
        <v>0.95050244117074401</v>
      </c>
      <c r="S3893" t="s">
        <v>10539</v>
      </c>
      <c r="T3893" t="s">
        <v>13290</v>
      </c>
      <c r="U3893" t="s">
        <v>13290</v>
      </c>
      <c r="V3893" t="s">
        <v>13290</v>
      </c>
      <c r="W3893" t="s">
        <v>17137</v>
      </c>
      <c r="X3893">
        <v>1</v>
      </c>
      <c r="Y3893" t="s">
        <v>23636</v>
      </c>
      <c r="Z3893" t="s">
        <v>30223</v>
      </c>
      <c r="AA3893">
        <v>0.23735762375710279</v>
      </c>
      <c r="AB3893" t="str">
        <f>HYPERLINK("Melting_Curves/meltCurve_Q5SXM2_SNAPC4.pdf", "Melting_Curves/meltCurve_Q5SXM2_SNAPC4.pdf")</f>
        <v>Melting_Curves/meltCurve_Q5SXM2_SNAPC4.pdf</v>
      </c>
    </row>
    <row r="3894" spans="1:28" x14ac:dyDescent="0.25">
      <c r="A3894" t="s">
        <v>3898</v>
      </c>
      <c r="B3894">
        <v>0.99252571173614901</v>
      </c>
      <c r="C3894">
        <v>1.0381636223208299</v>
      </c>
      <c r="D3894">
        <v>0.95425331946300995</v>
      </c>
      <c r="E3894">
        <v>0.85108736235612303</v>
      </c>
      <c r="F3894">
        <v>0.72810754388035703</v>
      </c>
      <c r="G3894">
        <v>0.60406514959131596</v>
      </c>
      <c r="H3894">
        <v>0.567646017936977</v>
      </c>
      <c r="I3894">
        <v>0.70950863853374702</v>
      </c>
      <c r="J3894">
        <v>1.0496961759496</v>
      </c>
      <c r="K3894">
        <v>1.14242790304217</v>
      </c>
      <c r="L3894">
        <v>2069.83677346062</v>
      </c>
      <c r="M3894">
        <v>43.425460488492703</v>
      </c>
      <c r="O3894">
        <v>47.563371827037201</v>
      </c>
      <c r="P3894">
        <v>-4.5127005475191599E-2</v>
      </c>
      <c r="Q3894">
        <v>0.80229203708744801</v>
      </c>
      <c r="R3894">
        <v>0.21109375303674599</v>
      </c>
      <c r="S3894" t="s">
        <v>10540</v>
      </c>
      <c r="T3894" t="s">
        <v>13290</v>
      </c>
      <c r="U3894" t="s">
        <v>13290</v>
      </c>
      <c r="V3894" t="s">
        <v>13290</v>
      </c>
      <c r="W3894" t="s">
        <v>17138</v>
      </c>
      <c r="X3894">
        <v>4</v>
      </c>
      <c r="Y3894" t="s">
        <v>23637</v>
      </c>
      <c r="Z3894" t="s">
        <v>30224</v>
      </c>
      <c r="AA3894">
        <v>0.85335395224574162</v>
      </c>
      <c r="AB3894" t="str">
        <f>HYPERLINK("Melting_Curves/meltCurve_Q5SXM8_DNLZ.pdf", "Melting_Curves/meltCurve_Q5SXM8_DNLZ.pdf")</f>
        <v>Melting_Curves/meltCurve_Q5SXM8_DNLZ.pdf</v>
      </c>
    </row>
    <row r="3895" spans="1:28" x14ac:dyDescent="0.25">
      <c r="A3895" t="s">
        <v>3899</v>
      </c>
      <c r="B3895">
        <v>0.99252571173614901</v>
      </c>
      <c r="C3895">
        <v>0.89997060981305399</v>
      </c>
      <c r="D3895">
        <v>1.01057656180088</v>
      </c>
      <c r="E3895">
        <v>0.85823830518598199</v>
      </c>
      <c r="F3895">
        <v>0.49486978059313103</v>
      </c>
      <c r="G3895">
        <v>0.32204111867322399</v>
      </c>
      <c r="H3895">
        <v>0.28059966668531899</v>
      </c>
      <c r="I3895">
        <v>0.34638415780407</v>
      </c>
      <c r="J3895">
        <v>0.54716864821738997</v>
      </c>
      <c r="K3895">
        <v>0.74451730514776304</v>
      </c>
      <c r="L3895">
        <v>2795.3154869750801</v>
      </c>
      <c r="M3895">
        <v>55.280024810918299</v>
      </c>
      <c r="N3895">
        <v>52.764049362520801</v>
      </c>
      <c r="O3895">
        <v>50.500428294557601</v>
      </c>
      <c r="P3895">
        <v>-0.15051674479945401</v>
      </c>
      <c r="Q3895">
        <v>0.449989058109179</v>
      </c>
      <c r="R3895">
        <v>0.77803781636966796</v>
      </c>
      <c r="S3895" t="s">
        <v>10541</v>
      </c>
      <c r="T3895" t="s">
        <v>13290</v>
      </c>
      <c r="U3895" t="s">
        <v>13290</v>
      </c>
      <c r="V3895" t="s">
        <v>13290</v>
      </c>
      <c r="W3895" t="s">
        <v>17139</v>
      </c>
      <c r="X3895">
        <v>18</v>
      </c>
      <c r="Y3895" t="s">
        <v>23638</v>
      </c>
      <c r="Z3895" t="s">
        <v>30225</v>
      </c>
      <c r="AA3895">
        <v>0.64471406529727981</v>
      </c>
      <c r="AB3895" t="str">
        <f>HYPERLINK("Melting_Curves/meltCurve_Q5SYE7_2_NHSL1.pdf", "Melting_Curves/meltCurve_Q5SYE7_2_NHSL1.pdf")</f>
        <v>Melting_Curves/meltCurve_Q5SYE7_2_NHSL1.pdf</v>
      </c>
    </row>
    <row r="3896" spans="1:28" x14ac:dyDescent="0.25">
      <c r="A3896" t="s">
        <v>3900</v>
      </c>
      <c r="B3896">
        <v>0.99252571173614901</v>
      </c>
      <c r="C3896">
        <v>0.95172296812507995</v>
      </c>
      <c r="D3896">
        <v>1.13547434789141</v>
      </c>
      <c r="E3896">
        <v>1.16162150245617</v>
      </c>
      <c r="F3896">
        <v>0.600877025069111</v>
      </c>
      <c r="G3896">
        <v>0.30102218098432898</v>
      </c>
      <c r="H3896">
        <v>0.21487661111958301</v>
      </c>
      <c r="I3896">
        <v>0.23886903072478399</v>
      </c>
      <c r="J3896">
        <v>0.34614149396070698</v>
      </c>
      <c r="K3896">
        <v>0.31445950136576201</v>
      </c>
      <c r="L3896">
        <v>13287.8790769187</v>
      </c>
      <c r="M3896">
        <v>250</v>
      </c>
      <c r="N3896">
        <v>53.329654370044601</v>
      </c>
      <c r="O3896">
        <v>53.148114382152798</v>
      </c>
      <c r="P3896">
        <v>-0.84307582518461599</v>
      </c>
      <c r="Q3896">
        <v>0.28307374676554897</v>
      </c>
      <c r="R3896">
        <v>0.95765398194649798</v>
      </c>
      <c r="S3896" t="s">
        <v>10542</v>
      </c>
      <c r="T3896" t="s">
        <v>13290</v>
      </c>
      <c r="U3896" t="s">
        <v>13290</v>
      </c>
      <c r="V3896" t="s">
        <v>13290</v>
      </c>
      <c r="W3896" t="s">
        <v>17140</v>
      </c>
      <c r="X3896">
        <v>2</v>
      </c>
      <c r="Y3896" t="s">
        <v>23639</v>
      </c>
      <c r="Z3896" t="s">
        <v>30226</v>
      </c>
      <c r="AA3896">
        <v>0.59742953206703642</v>
      </c>
      <c r="AB3896" t="str">
        <f>HYPERLINK("Melting_Curves/meltCurve_Q5SZ64_SF3B4.pdf", "Melting_Curves/meltCurve_Q5SZ64_SF3B4.pdf")</f>
        <v>Melting_Curves/meltCurve_Q5SZ64_SF3B4.pdf</v>
      </c>
    </row>
    <row r="3897" spans="1:28" x14ac:dyDescent="0.25">
      <c r="A3897" t="s">
        <v>3901</v>
      </c>
      <c r="B3897">
        <v>0.99252571173614901</v>
      </c>
      <c r="C3897">
        <v>0.880129960497812</v>
      </c>
      <c r="D3897">
        <v>0.917092651086996</v>
      </c>
      <c r="E3897">
        <v>0.82487229219215696</v>
      </c>
      <c r="F3897">
        <v>0.35917698396702902</v>
      </c>
      <c r="G3897">
        <v>0.20435149888014401</v>
      </c>
      <c r="H3897">
        <v>0.1268396779946</v>
      </c>
      <c r="I3897">
        <v>0.108533115004513</v>
      </c>
      <c r="J3897">
        <v>9.1266942839707793E-2</v>
      </c>
      <c r="K3897">
        <v>8.3729133421436897E-2</v>
      </c>
      <c r="L3897">
        <v>1367.9921403068399</v>
      </c>
      <c r="M3897">
        <v>26.429910062796701</v>
      </c>
      <c r="N3897">
        <v>52.191277805056203</v>
      </c>
      <c r="O3897">
        <v>51.465655431010802</v>
      </c>
      <c r="P3897">
        <v>-0.11577313481757</v>
      </c>
      <c r="Q3897">
        <v>9.8252540385421597E-2</v>
      </c>
      <c r="R3897">
        <v>0.98538640105513198</v>
      </c>
      <c r="S3897" t="s">
        <v>10543</v>
      </c>
      <c r="T3897" t="s">
        <v>13290</v>
      </c>
      <c r="U3897" t="s">
        <v>13290</v>
      </c>
      <c r="V3897" t="s">
        <v>13290</v>
      </c>
      <c r="W3897" t="s">
        <v>17141</v>
      </c>
      <c r="X3897">
        <v>2</v>
      </c>
      <c r="Y3897" t="s">
        <v>23640</v>
      </c>
      <c r="Z3897" t="s">
        <v>30227</v>
      </c>
      <c r="AA3897">
        <v>0.45908476113319191</v>
      </c>
      <c r="AB3897" t="str">
        <f>HYPERLINK("Melting_Curves/meltCurve_Q5SZE2_CERS2.pdf", "Melting_Curves/meltCurve_Q5SZE2_CERS2.pdf")</f>
        <v>Melting_Curves/meltCurve_Q5SZE2_CERS2.pdf</v>
      </c>
    </row>
    <row r="3898" spans="1:28" x14ac:dyDescent="0.25">
      <c r="A3898" t="s">
        <v>3902</v>
      </c>
      <c r="B3898">
        <v>0.99252571173614901</v>
      </c>
      <c r="C3898">
        <v>0.95985837440102595</v>
      </c>
      <c r="D3898">
        <v>0.73069044600030297</v>
      </c>
      <c r="E3898">
        <v>0.44812019266394698</v>
      </c>
      <c r="F3898">
        <v>0.19187329172134901</v>
      </c>
      <c r="G3898">
        <v>0.101047363405082</v>
      </c>
      <c r="H3898">
        <v>8.88858378691504E-2</v>
      </c>
      <c r="I3898">
        <v>0.106805167916628</v>
      </c>
      <c r="J3898">
        <v>0.114466326560513</v>
      </c>
      <c r="K3898">
        <v>0.101474827740701</v>
      </c>
      <c r="L3898">
        <v>1014.8473330624</v>
      </c>
      <c r="M3898">
        <v>21.035837456609801</v>
      </c>
      <c r="N3898">
        <v>48.713082571885998</v>
      </c>
      <c r="O3898">
        <v>47.814096079831998</v>
      </c>
      <c r="P3898">
        <v>-9.9901180594563904E-2</v>
      </c>
      <c r="Q3898">
        <v>9.1729560009339003E-2</v>
      </c>
      <c r="R3898">
        <v>0.99689855202781896</v>
      </c>
      <c r="S3898" t="s">
        <v>10544</v>
      </c>
      <c r="T3898" t="s">
        <v>13290</v>
      </c>
      <c r="U3898" t="s">
        <v>13290</v>
      </c>
      <c r="V3898" t="s">
        <v>13290</v>
      </c>
      <c r="W3898" t="s">
        <v>17142</v>
      </c>
      <c r="X3898">
        <v>4</v>
      </c>
      <c r="Y3898" t="s">
        <v>23641</v>
      </c>
      <c r="Z3898" t="s">
        <v>30228</v>
      </c>
      <c r="AA3898">
        <v>0.35286795554465628</v>
      </c>
      <c r="AB3898" t="str">
        <f>HYPERLINK("Melting_Curves/meltCurve_Q5SZR4_TDRKH.pdf", "Melting_Curves/meltCurve_Q5SZR4_TDRKH.pdf")</f>
        <v>Melting_Curves/meltCurve_Q5SZR4_TDRKH.pdf</v>
      </c>
    </row>
    <row r="3899" spans="1:28" x14ac:dyDescent="0.25">
      <c r="A3899" t="s">
        <v>3903</v>
      </c>
      <c r="B3899">
        <v>0.99252571173614901</v>
      </c>
      <c r="C3899">
        <v>1.21366099202545</v>
      </c>
      <c r="D3899">
        <v>1.0714654607091301</v>
      </c>
      <c r="E3899">
        <v>1.0317111007762101</v>
      </c>
      <c r="F3899">
        <v>0.85104432903000904</v>
      </c>
      <c r="G3899">
        <v>0.542080111266381</v>
      </c>
      <c r="H3899">
        <v>0.51483589319255396</v>
      </c>
      <c r="I3899">
        <v>0.51349860338109699</v>
      </c>
      <c r="J3899">
        <v>0.70895070693726303</v>
      </c>
      <c r="K3899">
        <v>0.70637493263907503</v>
      </c>
      <c r="L3899">
        <v>13328.3703167029</v>
      </c>
      <c r="M3899">
        <v>250</v>
      </c>
      <c r="O3899">
        <v>53.310069560997</v>
      </c>
      <c r="P3899">
        <v>-0.47229815783576001</v>
      </c>
      <c r="Q3899">
        <v>0.59714803813355299</v>
      </c>
      <c r="R3899">
        <v>0.840389686937692</v>
      </c>
      <c r="S3899" t="s">
        <v>10545</v>
      </c>
      <c r="T3899" t="s">
        <v>13290</v>
      </c>
      <c r="U3899" t="s">
        <v>13290</v>
      </c>
      <c r="V3899" t="s">
        <v>13290</v>
      </c>
      <c r="W3899" t="s">
        <v>17143</v>
      </c>
      <c r="X3899">
        <v>3</v>
      </c>
      <c r="Y3899" t="s">
        <v>23642</v>
      </c>
      <c r="Z3899" t="s">
        <v>30229</v>
      </c>
      <c r="AA3899">
        <v>0.77596446562764754</v>
      </c>
      <c r="AB3899" t="str">
        <f>HYPERLINK("Melting_Curves/meltCurve_Q5T085_AMY1B.pdf", "Melting_Curves/meltCurve_Q5T085_AMY1B.pdf")</f>
        <v>Melting_Curves/meltCurve_Q5T085_AMY1B.pdf</v>
      </c>
    </row>
    <row r="3900" spans="1:28" x14ac:dyDescent="0.25">
      <c r="A3900" t="s">
        <v>3904</v>
      </c>
      <c r="B3900">
        <v>0.99252571173614901</v>
      </c>
      <c r="C3900">
        <v>0.98091136492379905</v>
      </c>
      <c r="D3900">
        <v>0.84878362590802803</v>
      </c>
      <c r="E3900">
        <v>0.39630541086181398</v>
      </c>
      <c r="F3900">
        <v>0.19281135564759999</v>
      </c>
      <c r="G3900">
        <v>8.1906684776756403E-2</v>
      </c>
      <c r="H3900">
        <v>4.6902445997730302E-2</v>
      </c>
      <c r="I3900">
        <v>4.6646546774635499E-2</v>
      </c>
      <c r="J3900">
        <v>6.3911948347868897E-2</v>
      </c>
      <c r="K3900">
        <v>4.5994418776392702E-2</v>
      </c>
      <c r="L3900">
        <v>1250.0414299311601</v>
      </c>
      <c r="M3900">
        <v>25.649322653609001</v>
      </c>
      <c r="N3900">
        <v>48.957715831717699</v>
      </c>
      <c r="O3900">
        <v>48.4425137810208</v>
      </c>
      <c r="P3900">
        <v>-0.12510847562343599</v>
      </c>
      <c r="Q3900">
        <v>5.4868872894309403E-2</v>
      </c>
      <c r="R3900">
        <v>0.997904596525508</v>
      </c>
      <c r="S3900" t="s">
        <v>10546</v>
      </c>
      <c r="T3900" t="s">
        <v>13290</v>
      </c>
      <c r="U3900" t="s">
        <v>13290</v>
      </c>
      <c r="V3900" t="s">
        <v>13290</v>
      </c>
      <c r="W3900" t="s">
        <v>17144</v>
      </c>
      <c r="X3900">
        <v>2</v>
      </c>
      <c r="Y3900" t="s">
        <v>23643</v>
      </c>
      <c r="Z3900" t="s">
        <v>30230</v>
      </c>
      <c r="AA3900">
        <v>0.33801572082574721</v>
      </c>
      <c r="AB3900" t="str">
        <f>HYPERLINK("Melting_Curves/meltCurve_Q5T0D9_TPRG1L.pdf", "Melting_Curves/meltCurve_Q5T0D9_TPRG1L.pdf")</f>
        <v>Melting_Curves/meltCurve_Q5T0D9_TPRG1L.pdf</v>
      </c>
    </row>
    <row r="3901" spans="1:28" x14ac:dyDescent="0.25">
      <c r="A3901" t="s">
        <v>3905</v>
      </c>
      <c r="B3901">
        <v>0.99252571173614901</v>
      </c>
      <c r="C3901">
        <v>1.01925155911723</v>
      </c>
      <c r="D3901">
        <v>0.974893978169042</v>
      </c>
      <c r="E3901">
        <v>0.97490698618879001</v>
      </c>
      <c r="F3901">
        <v>0.20360368280652599</v>
      </c>
      <c r="G3901">
        <v>0.142239768893445</v>
      </c>
      <c r="H3901">
        <v>0.115235953304299</v>
      </c>
      <c r="I3901">
        <v>0.131180529420132</v>
      </c>
      <c r="J3901">
        <v>0.16632457062150799</v>
      </c>
      <c r="K3901">
        <v>0.163697416397587</v>
      </c>
      <c r="L3901">
        <v>4461.1322705429202</v>
      </c>
      <c r="M3901">
        <v>86.442960292133094</v>
      </c>
      <c r="N3901">
        <v>51.8108608942076</v>
      </c>
      <c r="O3901">
        <v>51.5802137442762</v>
      </c>
      <c r="P3901">
        <v>-0.35877796383504701</v>
      </c>
      <c r="Q3901">
        <v>0.14367383546838</v>
      </c>
      <c r="R3901">
        <v>0.99825791310640399</v>
      </c>
      <c r="S3901" t="s">
        <v>10547</v>
      </c>
      <c r="T3901" t="s">
        <v>13290</v>
      </c>
      <c r="U3901" t="s">
        <v>13290</v>
      </c>
      <c r="V3901" t="s">
        <v>13290</v>
      </c>
      <c r="W3901" t="s">
        <v>17145</v>
      </c>
      <c r="X3901">
        <v>12</v>
      </c>
      <c r="Y3901" t="s">
        <v>23644</v>
      </c>
      <c r="Z3901" t="s">
        <v>30231</v>
      </c>
      <c r="AA3901">
        <v>0.47565944945314648</v>
      </c>
      <c r="AB3901" t="str">
        <f>HYPERLINK("Melting_Curves/meltCurve_Q5T0N5_3_FNBP1L.pdf", "Melting_Curves/meltCurve_Q5T0N5_3_FNBP1L.pdf")</f>
        <v>Melting_Curves/meltCurve_Q5T0N5_3_FNBP1L.pdf</v>
      </c>
    </row>
    <row r="3902" spans="1:28" x14ac:dyDescent="0.25">
      <c r="A3902" t="s">
        <v>3906</v>
      </c>
      <c r="B3902">
        <v>0.99252571173614901</v>
      </c>
      <c r="C3902">
        <v>1.10934627520648</v>
      </c>
      <c r="D3902">
        <v>1.06590099451583</v>
      </c>
      <c r="E3902">
        <v>1.00534489959679</v>
      </c>
      <c r="F3902">
        <v>0.58799979508764899</v>
      </c>
      <c r="G3902">
        <v>0.427481970211541</v>
      </c>
      <c r="H3902">
        <v>0.26819417940557</v>
      </c>
      <c r="I3902">
        <v>0.24779142712502999</v>
      </c>
      <c r="J3902">
        <v>0.19256792948913401</v>
      </c>
      <c r="K3902">
        <v>0.16469842311968699</v>
      </c>
      <c r="L3902">
        <v>1393.2492757056</v>
      </c>
      <c r="M3902">
        <v>25.880275895933199</v>
      </c>
      <c r="N3902">
        <v>54.982541468974198</v>
      </c>
      <c r="O3902">
        <v>53.516079448804902</v>
      </c>
      <c r="P3902">
        <v>-9.5662850169591099E-2</v>
      </c>
      <c r="Q3902">
        <v>0.20875037224899801</v>
      </c>
      <c r="R3902">
        <v>0.97336888751766404</v>
      </c>
      <c r="S3902" t="s">
        <v>10548</v>
      </c>
      <c r="T3902" t="s">
        <v>13290</v>
      </c>
      <c r="U3902" t="s">
        <v>13290</v>
      </c>
      <c r="V3902" t="s">
        <v>13290</v>
      </c>
      <c r="W3902" t="s">
        <v>17146</v>
      </c>
      <c r="X3902">
        <v>1</v>
      </c>
      <c r="Y3902" t="s">
        <v>23645</v>
      </c>
      <c r="Z3902" t="s">
        <v>30232</v>
      </c>
      <c r="AA3902">
        <v>0.58049856415016887</v>
      </c>
      <c r="AB3902" t="str">
        <f>HYPERLINK("Melting_Curves/meltCurve_Q5T0Q6_DPYSL4.pdf", "Melting_Curves/meltCurve_Q5T0Q6_DPYSL4.pdf")</f>
        <v>Melting_Curves/meltCurve_Q5T0Q6_DPYSL4.pdf</v>
      </c>
    </row>
    <row r="3903" spans="1:28" x14ac:dyDescent="0.25">
      <c r="A3903" t="s">
        <v>3907</v>
      </c>
      <c r="B3903">
        <v>0.99252571173614901</v>
      </c>
      <c r="C3903">
        <v>1.0770359094084201</v>
      </c>
      <c r="D3903">
        <v>0.97281255782988996</v>
      </c>
      <c r="E3903">
        <v>1.07278016404343</v>
      </c>
      <c r="F3903">
        <v>0.65292536754663999</v>
      </c>
      <c r="G3903">
        <v>0.60703038738155002</v>
      </c>
      <c r="H3903">
        <v>0.53362621837957602</v>
      </c>
      <c r="I3903">
        <v>0.677177514016162</v>
      </c>
      <c r="J3903">
        <v>1.11182625033178</v>
      </c>
      <c r="K3903">
        <v>1.2230887057915001</v>
      </c>
      <c r="L3903">
        <v>4208.2925724301404</v>
      </c>
      <c r="M3903">
        <v>82.294648108281095</v>
      </c>
      <c r="O3903">
        <v>51.106721228584398</v>
      </c>
      <c r="P3903">
        <v>-7.9817316417186299E-2</v>
      </c>
      <c r="Q3903">
        <v>0.80172704833988295</v>
      </c>
      <c r="R3903">
        <v>0.210233265219675</v>
      </c>
      <c r="S3903" t="s">
        <v>10549</v>
      </c>
      <c r="T3903" t="s">
        <v>13290</v>
      </c>
      <c r="U3903" t="s">
        <v>13290</v>
      </c>
      <c r="V3903" t="s">
        <v>13290</v>
      </c>
      <c r="W3903" t="s">
        <v>17147</v>
      </c>
      <c r="X3903">
        <v>6</v>
      </c>
      <c r="Y3903" t="s">
        <v>23646</v>
      </c>
      <c r="Z3903" t="s">
        <v>30233</v>
      </c>
      <c r="AA3903">
        <v>0.87549637986394802</v>
      </c>
      <c r="AB3903" t="str">
        <f>HYPERLINK("Melting_Curves/meltCurve_Q5T0Z8_C6orf132.pdf", "Melting_Curves/meltCurve_Q5T0Z8_C6orf132.pdf")</f>
        <v>Melting_Curves/meltCurve_Q5T0Z8_C6orf132.pdf</v>
      </c>
    </row>
    <row r="3904" spans="1:28" x14ac:dyDescent="0.25">
      <c r="A3904" t="s">
        <v>3908</v>
      </c>
      <c r="B3904">
        <v>0.99252571173614901</v>
      </c>
      <c r="C3904">
        <v>1.1023664160546001</v>
      </c>
      <c r="D3904">
        <v>0.94738748493887504</v>
      </c>
      <c r="E3904">
        <v>0.859683927181629</v>
      </c>
      <c r="F3904">
        <v>0.488228592443266</v>
      </c>
      <c r="G3904">
        <v>0.28873957109965698</v>
      </c>
      <c r="H3904">
        <v>0.208900389429827</v>
      </c>
      <c r="I3904">
        <v>0.30696661377471601</v>
      </c>
      <c r="J3904">
        <v>0.66621846488012904</v>
      </c>
      <c r="K3904">
        <v>0.73659685715876799</v>
      </c>
      <c r="L3904">
        <v>2762.2236683287401</v>
      </c>
      <c r="M3904">
        <v>54.604506996831098</v>
      </c>
      <c r="N3904">
        <v>52.681685413586202</v>
      </c>
      <c r="O3904">
        <v>50.518291760487898</v>
      </c>
      <c r="P3904">
        <v>-0.15050398564523701</v>
      </c>
      <c r="Q3904">
        <v>0.44303502977680798</v>
      </c>
      <c r="R3904">
        <v>0.73470368899066896</v>
      </c>
      <c r="S3904" t="s">
        <v>10550</v>
      </c>
      <c r="T3904" t="s">
        <v>13290</v>
      </c>
      <c r="U3904" t="s">
        <v>13290</v>
      </c>
      <c r="V3904" t="s">
        <v>13290</v>
      </c>
      <c r="W3904" t="s">
        <v>17148</v>
      </c>
      <c r="X3904">
        <v>4</v>
      </c>
      <c r="Y3904" t="s">
        <v>23647</v>
      </c>
      <c r="Z3904" t="s">
        <v>30234</v>
      </c>
      <c r="AA3904">
        <v>0.64061051381465894</v>
      </c>
      <c r="AB3904" t="str">
        <f>HYPERLINK("Melting_Curves/meltCurve_Q5T123_SH3BGRL3.pdf", "Melting_Curves/meltCurve_Q5T123_SH3BGRL3.pdf")</f>
        <v>Melting_Curves/meltCurve_Q5T123_SH3BGRL3.pdf</v>
      </c>
    </row>
    <row r="3905" spans="1:28" x14ac:dyDescent="0.25">
      <c r="A3905" t="s">
        <v>3909</v>
      </c>
      <c r="B3905">
        <v>0.99252571173614901</v>
      </c>
      <c r="C3905">
        <v>1.00513528523766</v>
      </c>
      <c r="D3905">
        <v>0.88590307891359898</v>
      </c>
      <c r="E3905">
        <v>0.62871506649491904</v>
      </c>
      <c r="F3905">
        <v>0.20831668291728</v>
      </c>
      <c r="G3905">
        <v>0.12316395029933</v>
      </c>
      <c r="H3905">
        <v>7.3636663087442503E-2</v>
      </c>
      <c r="I3905">
        <v>6.7530031656106104E-2</v>
      </c>
      <c r="J3905">
        <v>6.9649035526379105E-2</v>
      </c>
      <c r="K3905">
        <v>7.3593613278216397E-2</v>
      </c>
      <c r="L3905">
        <v>1334.6562038099401</v>
      </c>
      <c r="M3905">
        <v>26.6055149529742</v>
      </c>
      <c r="N3905">
        <v>50.441004372306303</v>
      </c>
      <c r="O3905">
        <v>49.883808696258498</v>
      </c>
      <c r="P3905">
        <v>-0.12429566852260999</v>
      </c>
      <c r="Q3905">
        <v>6.7820856737357202E-2</v>
      </c>
      <c r="R3905">
        <v>0.99787695823266997</v>
      </c>
      <c r="S3905" t="s">
        <v>10551</v>
      </c>
      <c r="T3905" t="s">
        <v>13290</v>
      </c>
      <c r="U3905" t="s">
        <v>13290</v>
      </c>
      <c r="V3905" t="s">
        <v>13290</v>
      </c>
      <c r="W3905" t="s">
        <v>17149</v>
      </c>
      <c r="X3905">
        <v>13</v>
      </c>
      <c r="Y3905" t="s">
        <v>23648</v>
      </c>
      <c r="Z3905" t="s">
        <v>30235</v>
      </c>
      <c r="AA3905">
        <v>0.39102837149195252</v>
      </c>
      <c r="AB3905" t="str">
        <f>HYPERLINK("Melting_Curves/meltCurve_Q5T160_RARS2.pdf", "Melting_Curves/meltCurve_Q5T160_RARS2.pdf")</f>
        <v>Melting_Curves/meltCurve_Q5T160_RARS2.pdf</v>
      </c>
    </row>
    <row r="3906" spans="1:28" x14ac:dyDescent="0.25">
      <c r="A3906" t="s">
        <v>3910</v>
      </c>
      <c r="B3906">
        <v>0.99252571173614901</v>
      </c>
      <c r="C3906">
        <v>1.0355313075364501</v>
      </c>
      <c r="D3906">
        <v>0.88915164342729702</v>
      </c>
      <c r="E3906">
        <v>0.78214051828033304</v>
      </c>
      <c r="F3906">
        <v>0.59975394993664399</v>
      </c>
      <c r="G3906">
        <v>0.306392099355355</v>
      </c>
      <c r="H3906">
        <v>0.14733896134191099</v>
      </c>
      <c r="I3906">
        <v>0.12794681348498699</v>
      </c>
      <c r="J3906">
        <v>0.18811323889024001</v>
      </c>
      <c r="K3906">
        <v>0.29450252026193402</v>
      </c>
      <c r="L3906">
        <v>1062.6038496588401</v>
      </c>
      <c r="M3906">
        <v>20.2107404778803</v>
      </c>
      <c r="N3906">
        <v>53.695383071776099</v>
      </c>
      <c r="O3906">
        <v>52.069589404007601</v>
      </c>
      <c r="P3906">
        <v>-8.0359994898163298E-2</v>
      </c>
      <c r="Q3906">
        <v>0.17188956987569701</v>
      </c>
      <c r="R3906">
        <v>0.97057411705225904</v>
      </c>
      <c r="S3906" t="s">
        <v>10552</v>
      </c>
      <c r="T3906" t="s">
        <v>13290</v>
      </c>
      <c r="U3906" t="s">
        <v>13290</v>
      </c>
      <c r="V3906" t="s">
        <v>13290</v>
      </c>
      <c r="W3906" t="s">
        <v>17150</v>
      </c>
      <c r="X3906">
        <v>4</v>
      </c>
      <c r="Y3906" t="s">
        <v>23649</v>
      </c>
      <c r="Z3906" t="s">
        <v>30236</v>
      </c>
      <c r="AA3906">
        <v>0.53025703644689914</v>
      </c>
      <c r="AB3906" t="str">
        <f>HYPERLINK("Melting_Curves/meltCurve_Q5T171_PYGO2.pdf", "Melting_Curves/meltCurve_Q5T171_PYGO2.pdf")</f>
        <v>Melting_Curves/meltCurve_Q5T171_PYGO2.pdf</v>
      </c>
    </row>
    <row r="3907" spans="1:28" x14ac:dyDescent="0.25">
      <c r="A3907" t="s">
        <v>3911</v>
      </c>
      <c r="B3907">
        <v>0.99252571173614901</v>
      </c>
      <c r="C3907">
        <v>0.96002250628341401</v>
      </c>
      <c r="D3907">
        <v>0.74233529777399598</v>
      </c>
      <c r="E3907">
        <v>0.33646317148633698</v>
      </c>
      <c r="F3907">
        <v>0.17532445504328401</v>
      </c>
      <c r="G3907">
        <v>9.8616433525907099E-2</v>
      </c>
      <c r="H3907">
        <v>8.2820332765379298E-2</v>
      </c>
      <c r="I3907">
        <v>9.17461398196915E-2</v>
      </c>
      <c r="J3907">
        <v>0.12238888595470999</v>
      </c>
      <c r="K3907">
        <v>0.12360656793185899</v>
      </c>
      <c r="L3907">
        <v>1238.4256591368501</v>
      </c>
      <c r="M3907">
        <v>25.998330681091002</v>
      </c>
      <c r="N3907">
        <v>48.0610539259267</v>
      </c>
      <c r="O3907">
        <v>47.355664783906199</v>
      </c>
      <c r="P3907">
        <v>-0.12312016341894901</v>
      </c>
      <c r="Q3907">
        <v>0.102962395700469</v>
      </c>
      <c r="R3907">
        <v>0.99830173649124199</v>
      </c>
      <c r="S3907" t="s">
        <v>10553</v>
      </c>
      <c r="T3907" t="s">
        <v>13290</v>
      </c>
      <c r="U3907" t="s">
        <v>13290</v>
      </c>
      <c r="V3907" t="s">
        <v>13290</v>
      </c>
      <c r="W3907" t="s">
        <v>17151</v>
      </c>
      <c r="X3907">
        <v>17</v>
      </c>
      <c r="Y3907" t="s">
        <v>23650</v>
      </c>
      <c r="Z3907" t="s">
        <v>30237</v>
      </c>
      <c r="AA3907">
        <v>0.33855468529668148</v>
      </c>
      <c r="AB3907" t="str">
        <f>HYPERLINK("Melting_Curves/meltCurve_Q5T1M5_FKBP15.pdf", "Melting_Curves/meltCurve_Q5T1M5_FKBP15.pdf")</f>
        <v>Melting_Curves/meltCurve_Q5T1M5_FKBP15.pdf</v>
      </c>
    </row>
    <row r="3908" spans="1:28" x14ac:dyDescent="0.25">
      <c r="A3908" t="s">
        <v>3912</v>
      </c>
      <c r="B3908">
        <v>0.99252571173614901</v>
      </c>
      <c r="C3908">
        <v>0.979580364534543</v>
      </c>
      <c r="D3908">
        <v>0.911672791199449</v>
      </c>
      <c r="E3908">
        <v>0.61547258376005398</v>
      </c>
      <c r="F3908">
        <v>0.33907936536567501</v>
      </c>
      <c r="G3908">
        <v>0.14267926391751101</v>
      </c>
      <c r="H3908">
        <v>8.0617331102182402E-2</v>
      </c>
      <c r="I3908">
        <v>8.6694376361023506E-2</v>
      </c>
      <c r="J3908">
        <v>0.12537539404845399</v>
      </c>
      <c r="K3908">
        <v>8.3630525781652101E-2</v>
      </c>
      <c r="L3908">
        <v>1093.1389095643301</v>
      </c>
      <c r="M3908">
        <v>21.643426123429901</v>
      </c>
      <c r="N3908">
        <v>50.9391950390132</v>
      </c>
      <c r="O3908">
        <v>50.081502446571101</v>
      </c>
      <c r="P3908">
        <v>-9.8975964106533101E-2</v>
      </c>
      <c r="Q3908">
        <v>8.3925655856720002E-2</v>
      </c>
      <c r="R3908">
        <v>0.99758233497839399</v>
      </c>
      <c r="S3908" t="s">
        <v>10554</v>
      </c>
      <c r="T3908" t="s">
        <v>13290</v>
      </c>
      <c r="U3908" t="s">
        <v>13290</v>
      </c>
      <c r="V3908" t="s">
        <v>13290</v>
      </c>
      <c r="W3908" t="s">
        <v>17152</v>
      </c>
      <c r="X3908">
        <v>10</v>
      </c>
      <c r="Y3908" t="s">
        <v>23651</v>
      </c>
      <c r="Z3908" t="s">
        <v>30238</v>
      </c>
      <c r="AA3908">
        <v>0.41569108127663851</v>
      </c>
      <c r="AB3908" t="str">
        <f>HYPERLINK("Melting_Curves/meltCurve_Q5T1V6_DDX59.pdf", "Melting_Curves/meltCurve_Q5T1V6_DDX59.pdf")</f>
        <v>Melting_Curves/meltCurve_Q5T1V6_DDX59.pdf</v>
      </c>
    </row>
    <row r="3909" spans="1:28" x14ac:dyDescent="0.25">
      <c r="A3909" t="s">
        <v>3913</v>
      </c>
      <c r="B3909">
        <v>0.99252571173614901</v>
      </c>
      <c r="C3909">
        <v>0.797199997923004</v>
      </c>
      <c r="D3909">
        <v>0.56268282761153998</v>
      </c>
      <c r="E3909">
        <v>0.58915468058871701</v>
      </c>
      <c r="F3909">
        <v>0.22648876063263099</v>
      </c>
      <c r="G3909">
        <v>0.138490812176188</v>
      </c>
      <c r="H3909">
        <v>0.11035412369297801</v>
      </c>
      <c r="I3909">
        <v>0.122059346678179</v>
      </c>
      <c r="J3909">
        <v>0.170600346106805</v>
      </c>
      <c r="K3909">
        <v>0.179867844843455</v>
      </c>
      <c r="L3909">
        <v>637.87448772367202</v>
      </c>
      <c r="M3909">
        <v>13.4426209487983</v>
      </c>
      <c r="N3909">
        <v>48.371316971598098</v>
      </c>
      <c r="O3909">
        <v>46.438452343363601</v>
      </c>
      <c r="P3909">
        <v>-6.4217191899913303E-2</v>
      </c>
      <c r="Q3909">
        <v>0.112766941267295</v>
      </c>
      <c r="R3909">
        <v>0.94512315821372195</v>
      </c>
      <c r="S3909" t="s">
        <v>10555</v>
      </c>
      <c r="T3909" t="s">
        <v>13290</v>
      </c>
      <c r="U3909" t="s">
        <v>13290</v>
      </c>
      <c r="V3909" t="s">
        <v>13290</v>
      </c>
      <c r="W3909" t="s">
        <v>17153</v>
      </c>
      <c r="X3909">
        <v>13</v>
      </c>
      <c r="Y3909" t="s">
        <v>23652</v>
      </c>
      <c r="Z3909" t="s">
        <v>30239</v>
      </c>
      <c r="AA3909">
        <v>0.36230538853154559</v>
      </c>
      <c r="AB3909" t="str">
        <f>HYPERLINK("Melting_Curves/meltCurve_Q5T1Z4_PUM1.pdf", "Melting_Curves/meltCurve_Q5T1Z4_PUM1.pdf")</f>
        <v>Melting_Curves/meltCurve_Q5T1Z4_PUM1.pdf</v>
      </c>
    </row>
    <row r="3910" spans="1:28" x14ac:dyDescent="0.25">
      <c r="A3910" t="s">
        <v>3914</v>
      </c>
      <c r="B3910">
        <v>0.99252571173614901</v>
      </c>
      <c r="C3910">
        <v>0.98860172701811</v>
      </c>
      <c r="D3910">
        <v>1.01582631162847</v>
      </c>
      <c r="E3910">
        <v>0.76859960263256599</v>
      </c>
      <c r="F3910">
        <v>0.46409023961159701</v>
      </c>
      <c r="G3910">
        <v>0.28814300985514202</v>
      </c>
      <c r="H3910">
        <v>0.25770204478547798</v>
      </c>
      <c r="I3910">
        <v>0.320068378624982</v>
      </c>
      <c r="J3910">
        <v>0.45712082084590899</v>
      </c>
      <c r="K3910">
        <v>0.51060796355816895</v>
      </c>
      <c r="L3910">
        <v>2030.54501349773</v>
      </c>
      <c r="M3910">
        <v>40.325955210872699</v>
      </c>
      <c r="N3910">
        <v>52.0942149705172</v>
      </c>
      <c r="O3910">
        <v>50.229951487346099</v>
      </c>
      <c r="P3910">
        <v>-0.12643080695954201</v>
      </c>
      <c r="Q3910">
        <v>0.37007314501890798</v>
      </c>
      <c r="R3910">
        <v>0.93807802574260701</v>
      </c>
      <c r="S3910" t="s">
        <v>10556</v>
      </c>
      <c r="T3910" t="s">
        <v>13290</v>
      </c>
      <c r="U3910" t="s">
        <v>13290</v>
      </c>
      <c r="V3910" t="s">
        <v>13290</v>
      </c>
      <c r="W3910" t="s">
        <v>17154</v>
      </c>
      <c r="X3910">
        <v>24</v>
      </c>
      <c r="Y3910" t="s">
        <v>23653</v>
      </c>
      <c r="Z3910" t="s">
        <v>30240</v>
      </c>
      <c r="AA3910">
        <v>0.58962456674867303</v>
      </c>
      <c r="AB3910" t="str">
        <f>HYPERLINK("Melting_Curves/meltCurve_Q5T200_ZC3H13.pdf", "Melting_Curves/meltCurve_Q5T200_ZC3H13.pdf")</f>
        <v>Melting_Curves/meltCurve_Q5T200_ZC3H13.pdf</v>
      </c>
    </row>
    <row r="3911" spans="1:28" x14ac:dyDescent="0.25">
      <c r="A3911" t="s">
        <v>3915</v>
      </c>
      <c r="B3911">
        <v>0.99252571173614901</v>
      </c>
      <c r="C3911">
        <v>0.82384457189012605</v>
      </c>
      <c r="D3911">
        <v>0.51875993899190498</v>
      </c>
      <c r="E3911">
        <v>0.56396461311846802</v>
      </c>
      <c r="F3911">
        <v>0.68202017807968895</v>
      </c>
      <c r="G3911">
        <v>0.43541015379672798</v>
      </c>
      <c r="H3911">
        <v>0.34533532900456299</v>
      </c>
      <c r="I3911">
        <v>0.38526160510706298</v>
      </c>
      <c r="J3911">
        <v>0.53818283804979805</v>
      </c>
      <c r="K3911">
        <v>0.24376874138562299</v>
      </c>
      <c r="L3911">
        <v>464.940479519196</v>
      </c>
      <c r="M3911">
        <v>10.062957682573201</v>
      </c>
      <c r="N3911">
        <v>53.0264791263481</v>
      </c>
      <c r="O3911">
        <v>44.489794102513201</v>
      </c>
      <c r="P3911">
        <v>-3.6035252301162897E-2</v>
      </c>
      <c r="Q3911">
        <v>0.36303390951785602</v>
      </c>
      <c r="R3911">
        <v>0.73952359189580896</v>
      </c>
      <c r="S3911" t="s">
        <v>10557</v>
      </c>
      <c r="T3911" t="s">
        <v>13290</v>
      </c>
      <c r="U3911" t="s">
        <v>13290</v>
      </c>
      <c r="V3911" t="s">
        <v>13290</v>
      </c>
      <c r="W3911" t="s">
        <v>17155</v>
      </c>
      <c r="X3911">
        <v>1</v>
      </c>
      <c r="Y3911" t="s">
        <v>23654</v>
      </c>
      <c r="Z3911" t="s">
        <v>30241</v>
      </c>
      <c r="AA3911">
        <v>0.53349491851286845</v>
      </c>
      <c r="AB3911" t="str">
        <f>HYPERLINK("Melting_Curves/meltCurve_Q5T266_ZDHHC12.pdf", "Melting_Curves/meltCurve_Q5T266_ZDHHC12.pdf")</f>
        <v>Melting_Curves/meltCurve_Q5T266_ZDHHC12.pdf</v>
      </c>
    </row>
    <row r="3912" spans="1:28" x14ac:dyDescent="0.25">
      <c r="A3912" t="s">
        <v>3916</v>
      </c>
      <c r="B3912">
        <v>0.99252571173614901</v>
      </c>
      <c r="C3912">
        <v>1.07060967836342</v>
      </c>
      <c r="D3912">
        <v>0.92515096582511802</v>
      </c>
      <c r="E3912">
        <v>0.81019186140086596</v>
      </c>
      <c r="F3912">
        <v>0.477274704255159</v>
      </c>
      <c r="G3912">
        <v>0.37208451281585198</v>
      </c>
      <c r="H3912">
        <v>0.34538200057174201</v>
      </c>
      <c r="I3912">
        <v>0.330652007523281</v>
      </c>
      <c r="J3912">
        <v>0.53017207175533398</v>
      </c>
      <c r="K3912">
        <v>0.55084233180708297</v>
      </c>
      <c r="L3912">
        <v>2132.2316305130598</v>
      </c>
      <c r="M3912">
        <v>42.341576483235698</v>
      </c>
      <c r="N3912">
        <v>52.717957005594698</v>
      </c>
      <c r="O3912">
        <v>50.245931617088999</v>
      </c>
      <c r="P3912">
        <v>-0.121161304847379</v>
      </c>
      <c r="Q3912">
        <v>0.42488182344549102</v>
      </c>
      <c r="R3912">
        <v>0.92388093227588397</v>
      </c>
      <c r="S3912" t="s">
        <v>10558</v>
      </c>
      <c r="T3912" t="s">
        <v>13290</v>
      </c>
      <c r="U3912" t="s">
        <v>13290</v>
      </c>
      <c r="V3912" t="s">
        <v>13290</v>
      </c>
      <c r="W3912" t="s">
        <v>17156</v>
      </c>
      <c r="X3912">
        <v>2</v>
      </c>
      <c r="Y3912" t="s">
        <v>23655</v>
      </c>
      <c r="Z3912" t="s">
        <v>30242</v>
      </c>
      <c r="AA3912">
        <v>0.62523381751358742</v>
      </c>
      <c r="AB3912" t="str">
        <f>HYPERLINK("Melting_Curves/meltCurve_Q5T280_C9orf114.pdf", "Melting_Curves/meltCurve_Q5T280_C9orf114.pdf")</f>
        <v>Melting_Curves/meltCurve_Q5T280_C9orf114.pdf</v>
      </c>
    </row>
    <row r="3913" spans="1:28" x14ac:dyDescent="0.25">
      <c r="A3913" t="s">
        <v>3917</v>
      </c>
      <c r="B3913">
        <v>0.99252571173614901</v>
      </c>
      <c r="C3913">
        <v>0.99897004961931402</v>
      </c>
      <c r="D3913">
        <v>0.96943254090655295</v>
      </c>
      <c r="E3913">
        <v>0.84528165813834899</v>
      </c>
      <c r="F3913">
        <v>0.75522596086322402</v>
      </c>
      <c r="G3913">
        <v>0.53876950695208803</v>
      </c>
      <c r="H3913">
        <v>0.23877348211683699</v>
      </c>
      <c r="I3913">
        <v>0.13617055195132499</v>
      </c>
      <c r="J3913">
        <v>0.14920685700254499</v>
      </c>
      <c r="K3913">
        <v>0.13382342430515501</v>
      </c>
      <c r="L3913">
        <v>926.49399782472995</v>
      </c>
      <c r="M3913">
        <v>16.487363149334001</v>
      </c>
      <c r="N3913">
        <v>56.7156501031521</v>
      </c>
      <c r="O3913">
        <v>55.387008489819799</v>
      </c>
      <c r="P3913">
        <v>-6.9190081836499898E-2</v>
      </c>
      <c r="Q3913">
        <v>7.0326706470381098E-2</v>
      </c>
      <c r="R3913">
        <v>0.99166562735981401</v>
      </c>
      <c r="S3913" t="s">
        <v>10559</v>
      </c>
      <c r="T3913" t="s">
        <v>13290</v>
      </c>
      <c r="U3913" t="s">
        <v>13290</v>
      </c>
      <c r="V3913" t="s">
        <v>13290</v>
      </c>
      <c r="W3913" t="s">
        <v>17157</v>
      </c>
      <c r="X3913">
        <v>4</v>
      </c>
      <c r="Y3913" t="s">
        <v>23656</v>
      </c>
      <c r="Z3913" t="s">
        <v>30243</v>
      </c>
      <c r="AA3913">
        <v>0.58703609395693002</v>
      </c>
      <c r="AB3913" t="str">
        <f>HYPERLINK("Melting_Curves/meltCurve_Q5T2E6_C10orf76.pdf", "Melting_Curves/meltCurve_Q5T2E6_C10orf76.pdf")</f>
        <v>Melting_Curves/meltCurve_Q5T2E6_C10orf76.pdf</v>
      </c>
    </row>
    <row r="3914" spans="1:28" x14ac:dyDescent="0.25">
      <c r="A3914" t="s">
        <v>3918</v>
      </c>
      <c r="B3914">
        <v>0.99252571173614901</v>
      </c>
      <c r="C3914">
        <v>0.91339747509716396</v>
      </c>
      <c r="D3914">
        <v>0.92621942646283495</v>
      </c>
      <c r="E3914">
        <v>0.75429724700539602</v>
      </c>
      <c r="F3914">
        <v>0.86980235646664805</v>
      </c>
      <c r="G3914">
        <v>0.45156811325122798</v>
      </c>
      <c r="H3914">
        <v>0.24843672980975201</v>
      </c>
      <c r="I3914">
        <v>0.155166262243952</v>
      </c>
      <c r="J3914">
        <v>0.15038699063609801</v>
      </c>
      <c r="K3914">
        <v>0.14675966631700199</v>
      </c>
      <c r="L3914">
        <v>864.36209760302802</v>
      </c>
      <c r="M3914">
        <v>15.422756267359601</v>
      </c>
      <c r="N3914">
        <v>56.591173580855497</v>
      </c>
      <c r="O3914">
        <v>55.127709164909497</v>
      </c>
      <c r="P3914">
        <v>-6.5107155310904802E-2</v>
      </c>
      <c r="Q3914">
        <v>6.9197983272061406E-2</v>
      </c>
      <c r="R3914">
        <v>0.95387346946201501</v>
      </c>
      <c r="S3914" t="s">
        <v>10560</v>
      </c>
      <c r="T3914" t="s">
        <v>13290</v>
      </c>
      <c r="U3914" t="s">
        <v>13290</v>
      </c>
      <c r="V3914" t="s">
        <v>13290</v>
      </c>
      <c r="W3914" t="s">
        <v>17158</v>
      </c>
      <c r="X3914">
        <v>4</v>
      </c>
      <c r="Y3914" t="s">
        <v>23657</v>
      </c>
      <c r="Z3914" t="s">
        <v>30244</v>
      </c>
      <c r="AA3914">
        <v>0.58306169032415889</v>
      </c>
      <c r="AB3914" t="str">
        <f>HYPERLINK("Melting_Curves/meltCurve_Q5T2R2_3_PDSS1.pdf", "Melting_Curves/meltCurve_Q5T2R2_3_PDSS1.pdf")</f>
        <v>Melting_Curves/meltCurve_Q5T2R2_3_PDSS1.pdf</v>
      </c>
    </row>
    <row r="3915" spans="1:28" x14ac:dyDescent="0.25">
      <c r="A3915" t="s">
        <v>3919</v>
      </c>
      <c r="B3915">
        <v>0.99252571173614901</v>
      </c>
      <c r="C3915">
        <v>0.89540805356505204</v>
      </c>
      <c r="D3915">
        <v>0.73410876175883399</v>
      </c>
      <c r="E3915">
        <v>0.70452562063469004</v>
      </c>
      <c r="F3915">
        <v>0.55853551526622902</v>
      </c>
      <c r="G3915">
        <v>0.418817978537248</v>
      </c>
      <c r="H3915">
        <v>0.43819131882851797</v>
      </c>
      <c r="I3915">
        <v>0.63023141745767397</v>
      </c>
      <c r="J3915">
        <v>0.95867204806069295</v>
      </c>
      <c r="K3915">
        <v>0.86120084585752199</v>
      </c>
      <c r="L3915">
        <v>1335.1993097690499</v>
      </c>
      <c r="M3915">
        <v>30.203749816906701</v>
      </c>
      <c r="O3915">
        <v>44.013976517558802</v>
      </c>
      <c r="P3915">
        <v>-5.9945650016123897E-2</v>
      </c>
      <c r="Q3915">
        <v>0.65058245264266301</v>
      </c>
      <c r="R3915">
        <v>0.354960618821548</v>
      </c>
      <c r="S3915" t="s">
        <v>10561</v>
      </c>
      <c r="T3915" t="s">
        <v>13290</v>
      </c>
      <c r="U3915" t="s">
        <v>13290</v>
      </c>
      <c r="V3915" t="s">
        <v>13290</v>
      </c>
      <c r="W3915" t="s">
        <v>17159</v>
      </c>
      <c r="X3915">
        <v>2</v>
      </c>
      <c r="Y3915" t="s">
        <v>23658</v>
      </c>
      <c r="Z3915" t="s">
        <v>30245</v>
      </c>
      <c r="AA3915">
        <v>0.70199982228699931</v>
      </c>
      <c r="AB3915" t="str">
        <f>HYPERLINK("Melting_Curves/meltCurve_Q5T2W9_C1orf159.pdf", "Melting_Curves/meltCurve_Q5T2W9_C1orf159.pdf")</f>
        <v>Melting_Curves/meltCurve_Q5T2W9_C1orf159.pdf</v>
      </c>
    </row>
    <row r="3916" spans="1:28" x14ac:dyDescent="0.25">
      <c r="A3916" t="s">
        <v>3920</v>
      </c>
      <c r="B3916">
        <v>0.99252571173614901</v>
      </c>
      <c r="C3916">
        <v>1.1353926015137299</v>
      </c>
      <c r="D3916">
        <v>1.0033384223902999</v>
      </c>
      <c r="E3916">
        <v>1.00575665127501</v>
      </c>
      <c r="F3916">
        <v>0.77743559863806999</v>
      </c>
      <c r="G3916">
        <v>0.51130311288840502</v>
      </c>
      <c r="H3916">
        <v>0.39506156807765502</v>
      </c>
      <c r="I3916">
        <v>0.56916110509835005</v>
      </c>
      <c r="J3916">
        <v>0.92123952253236596</v>
      </c>
      <c r="K3916">
        <v>1.1270559181300599</v>
      </c>
      <c r="L3916">
        <v>13240.4548302084</v>
      </c>
      <c r="M3916">
        <v>250</v>
      </c>
      <c r="O3916">
        <v>52.958415117627403</v>
      </c>
      <c r="P3916">
        <v>-0.34842865013297503</v>
      </c>
      <c r="Q3916">
        <v>0.704764250881601</v>
      </c>
      <c r="R3916">
        <v>0.37916440817697999</v>
      </c>
      <c r="S3916" t="s">
        <v>10562</v>
      </c>
      <c r="T3916" t="s">
        <v>13290</v>
      </c>
      <c r="U3916" t="s">
        <v>13290</v>
      </c>
      <c r="V3916" t="s">
        <v>13290</v>
      </c>
      <c r="W3916" t="s">
        <v>17160</v>
      </c>
      <c r="X3916">
        <v>1</v>
      </c>
      <c r="Y3916" t="s">
        <v>23659</v>
      </c>
      <c r="Z3916" t="s">
        <v>30246</v>
      </c>
      <c r="AA3916">
        <v>0.83235144011268469</v>
      </c>
      <c r="AB3916" t="str">
        <f>HYPERLINK("Melting_Curves/meltCurve_Q5T2Z0_PSRC1.pdf", "Melting_Curves/meltCurve_Q5T2Z0_PSRC1.pdf")</f>
        <v>Melting_Curves/meltCurve_Q5T2Z0_PSRC1.pdf</v>
      </c>
    </row>
    <row r="3917" spans="1:28" x14ac:dyDescent="0.25">
      <c r="A3917" t="s">
        <v>3921</v>
      </c>
      <c r="B3917">
        <v>0.99252571173614901</v>
      </c>
      <c r="C3917">
        <v>0.95237003989653901</v>
      </c>
      <c r="D3917">
        <v>0.86078291151370701</v>
      </c>
      <c r="E3917">
        <v>0.84442007721573598</v>
      </c>
      <c r="F3917">
        <v>0.61211932372063704</v>
      </c>
      <c r="G3917">
        <v>0.44542696206778798</v>
      </c>
      <c r="H3917">
        <v>0.34529495805558202</v>
      </c>
      <c r="I3917">
        <v>0.29109624538950601</v>
      </c>
      <c r="J3917">
        <v>0.30595079867606201</v>
      </c>
      <c r="K3917">
        <v>0.223419003710251</v>
      </c>
      <c r="L3917">
        <v>684.76624628424304</v>
      </c>
      <c r="M3917">
        <v>12.8018362126522</v>
      </c>
      <c r="N3917">
        <v>55.870931967873503</v>
      </c>
      <c r="O3917">
        <v>52.234878579685997</v>
      </c>
      <c r="P3917">
        <v>-4.8397004953060603E-2</v>
      </c>
      <c r="Q3917">
        <v>0.21025744876003299</v>
      </c>
      <c r="R3917">
        <v>0.98925809097567097</v>
      </c>
      <c r="S3917" t="s">
        <v>10563</v>
      </c>
      <c r="T3917" t="s">
        <v>13290</v>
      </c>
      <c r="U3917" t="s">
        <v>13290</v>
      </c>
      <c r="V3917" t="s">
        <v>13290</v>
      </c>
      <c r="W3917" t="s">
        <v>17161</v>
      </c>
      <c r="X3917">
        <v>10</v>
      </c>
      <c r="Y3917" t="s">
        <v>23660</v>
      </c>
      <c r="Z3917" t="s">
        <v>30247</v>
      </c>
      <c r="AA3917">
        <v>0.58552882920327298</v>
      </c>
      <c r="AB3917" t="str">
        <f>HYPERLINK("Melting_Curves/meltCurve_Q5T3F8_TMEM63B.pdf", "Melting_Curves/meltCurve_Q5T3F8_TMEM63B.pdf")</f>
        <v>Melting_Curves/meltCurve_Q5T3F8_TMEM63B.pdf</v>
      </c>
    </row>
    <row r="3918" spans="1:28" x14ac:dyDescent="0.25">
      <c r="A3918" t="s">
        <v>3922</v>
      </c>
      <c r="B3918">
        <v>0.99252571173614901</v>
      </c>
      <c r="C3918">
        <v>0.92460859266702</v>
      </c>
      <c r="D3918">
        <v>0.89119392487551796</v>
      </c>
      <c r="E3918">
        <v>0.90882000406799301</v>
      </c>
      <c r="F3918">
        <v>0.51519892733613204</v>
      </c>
      <c r="G3918">
        <v>0.27811253380843998</v>
      </c>
      <c r="H3918">
        <v>0.19432928697364599</v>
      </c>
      <c r="I3918">
        <v>0.20832754296498299</v>
      </c>
      <c r="J3918">
        <v>0.218842831171981</v>
      </c>
      <c r="K3918">
        <v>0.20351635695937001</v>
      </c>
      <c r="L3918">
        <v>1605.96739063117</v>
      </c>
      <c r="M3918">
        <v>30.591975561438201</v>
      </c>
      <c r="N3918">
        <v>53.403195268910899</v>
      </c>
      <c r="O3918">
        <v>52.273577477850097</v>
      </c>
      <c r="P3918">
        <v>-0.11666818545201001</v>
      </c>
      <c r="Q3918">
        <v>0.20258487989899901</v>
      </c>
      <c r="R3918">
        <v>0.98532610188798597</v>
      </c>
      <c r="S3918" t="s">
        <v>10564</v>
      </c>
      <c r="T3918" t="s">
        <v>13290</v>
      </c>
      <c r="U3918" t="s">
        <v>13290</v>
      </c>
      <c r="V3918" t="s">
        <v>13290</v>
      </c>
      <c r="W3918" t="s">
        <v>17162</v>
      </c>
      <c r="X3918">
        <v>4</v>
      </c>
      <c r="Y3918" t="s">
        <v>23661</v>
      </c>
      <c r="Z3918" t="s">
        <v>30248</v>
      </c>
      <c r="AA3918">
        <v>0.53968390621455398</v>
      </c>
      <c r="AB3918" t="str">
        <f>HYPERLINK("Melting_Curves/meltCurve_Q5T3U5_2_ABCC10.pdf", "Melting_Curves/meltCurve_Q5T3U5_2_ABCC10.pdf")</f>
        <v>Melting_Curves/meltCurve_Q5T3U5_2_ABCC10.pdf</v>
      </c>
    </row>
    <row r="3919" spans="1:28" x14ac:dyDescent="0.25">
      <c r="A3919" t="s">
        <v>3923</v>
      </c>
      <c r="B3919">
        <v>0.99252571173614901</v>
      </c>
      <c r="C3919">
        <v>1.0787909808773799</v>
      </c>
      <c r="D3919">
        <v>0.96824002917955299</v>
      </c>
      <c r="E3919">
        <v>0.791343810644212</v>
      </c>
      <c r="F3919">
        <v>0.44991861775027903</v>
      </c>
      <c r="G3919">
        <v>0.14922942075579201</v>
      </c>
      <c r="H3919">
        <v>0.10087902059069</v>
      </c>
      <c r="I3919">
        <v>0.11776610527091901</v>
      </c>
      <c r="J3919">
        <v>0.13433536302811599</v>
      </c>
      <c r="K3919">
        <v>0.116762897114022</v>
      </c>
      <c r="L3919">
        <v>1424.14670018895</v>
      </c>
      <c r="M3919">
        <v>27.3865958239269</v>
      </c>
      <c r="N3919">
        <v>52.460853534551902</v>
      </c>
      <c r="O3919">
        <v>51.7267204490621</v>
      </c>
      <c r="P3919">
        <v>-0.11825492125788301</v>
      </c>
      <c r="Q3919">
        <v>0.106587748956486</v>
      </c>
      <c r="R3919">
        <v>0.993201952736805</v>
      </c>
      <c r="S3919" t="s">
        <v>10565</v>
      </c>
      <c r="T3919" t="s">
        <v>13290</v>
      </c>
      <c r="U3919" t="s">
        <v>13290</v>
      </c>
      <c r="V3919" t="s">
        <v>13290</v>
      </c>
      <c r="W3919" t="s">
        <v>17163</v>
      </c>
      <c r="X3919">
        <v>11</v>
      </c>
      <c r="Y3919" t="s">
        <v>23662</v>
      </c>
      <c r="Z3919" t="s">
        <v>30249</v>
      </c>
      <c r="AA3919">
        <v>0.47083232734050062</v>
      </c>
      <c r="AB3919" t="str">
        <f>HYPERLINK("Melting_Curves/meltCurve_Q5T440_IBA57.pdf", "Melting_Curves/meltCurve_Q5T440_IBA57.pdf")</f>
        <v>Melting_Curves/meltCurve_Q5T440_IBA57.pdf</v>
      </c>
    </row>
    <row r="3920" spans="1:28" x14ac:dyDescent="0.25">
      <c r="A3920" t="s">
        <v>3924</v>
      </c>
      <c r="B3920">
        <v>0.99252571173614901</v>
      </c>
      <c r="C3920">
        <v>1.2039298698024501</v>
      </c>
      <c r="D3920">
        <v>0.94841942622406805</v>
      </c>
      <c r="E3920">
        <v>1.0102486627292</v>
      </c>
      <c r="F3920">
        <v>0.64616844659051398</v>
      </c>
      <c r="G3920">
        <v>0.39314834562387502</v>
      </c>
      <c r="H3920">
        <v>0.399345533935061</v>
      </c>
      <c r="I3920">
        <v>0.59548167857956702</v>
      </c>
      <c r="J3920">
        <v>0.89480322325344797</v>
      </c>
      <c r="K3920">
        <v>0.69269514680456701</v>
      </c>
      <c r="L3920">
        <v>13197.028596374001</v>
      </c>
      <c r="M3920">
        <v>250</v>
      </c>
      <c r="O3920">
        <v>52.784743940383201</v>
      </c>
      <c r="P3920">
        <v>-0.47942980245324401</v>
      </c>
      <c r="Q3920">
        <v>0.595094789220867</v>
      </c>
      <c r="R3920">
        <v>0.66911191421271998</v>
      </c>
      <c r="S3920" t="s">
        <v>10566</v>
      </c>
      <c r="T3920" t="s">
        <v>13290</v>
      </c>
      <c r="U3920" t="s">
        <v>13290</v>
      </c>
      <c r="V3920" t="s">
        <v>13290</v>
      </c>
      <c r="W3920" t="s">
        <v>17164</v>
      </c>
      <c r="X3920">
        <v>1</v>
      </c>
      <c r="Y3920" t="s">
        <v>23663</v>
      </c>
      <c r="Z3920" t="s">
        <v>30250</v>
      </c>
      <c r="AA3920">
        <v>0.76773143893620643</v>
      </c>
      <c r="AB3920" t="str">
        <f>HYPERLINK("Melting_Curves/meltCurve_Q5T4F4_7_ZFYVE27.pdf", "Melting_Curves/meltCurve_Q5T4F4_7_ZFYVE27.pdf")</f>
        <v>Melting_Curves/meltCurve_Q5T4F4_7_ZFYVE27.pdf</v>
      </c>
    </row>
    <row r="3921" spans="1:28" x14ac:dyDescent="0.25">
      <c r="A3921" t="s">
        <v>3925</v>
      </c>
      <c r="B3921">
        <v>0.99252571173614901</v>
      </c>
      <c r="C3921">
        <v>0.85298697864926798</v>
      </c>
      <c r="D3921">
        <v>1.1699530740137001</v>
      </c>
      <c r="E3921">
        <v>0.69268282818041205</v>
      </c>
      <c r="F3921">
        <v>0.447984035204049</v>
      </c>
      <c r="G3921">
        <v>0.25649160160704798</v>
      </c>
      <c r="H3921">
        <v>0.242547729687493</v>
      </c>
      <c r="I3921">
        <v>0.230616147379792</v>
      </c>
      <c r="J3921">
        <v>0.21574811828329901</v>
      </c>
      <c r="K3921">
        <v>0.22520845355215699</v>
      </c>
      <c r="L3921">
        <v>1509.86118467847</v>
      </c>
      <c r="M3921">
        <v>29.634013151680399</v>
      </c>
      <c r="N3921">
        <v>52.031724689375203</v>
      </c>
      <c r="O3921">
        <v>50.7199522214203</v>
      </c>
      <c r="P3921">
        <v>-0.112482551365488</v>
      </c>
      <c r="Q3921">
        <v>0.22992942652918999</v>
      </c>
      <c r="R3921">
        <v>0.94298662061446703</v>
      </c>
      <c r="S3921" t="s">
        <v>10567</v>
      </c>
      <c r="T3921" t="s">
        <v>13290</v>
      </c>
      <c r="U3921" t="s">
        <v>13290</v>
      </c>
      <c r="V3921" t="s">
        <v>13290</v>
      </c>
      <c r="W3921" t="s">
        <v>17165</v>
      </c>
      <c r="X3921">
        <v>16</v>
      </c>
      <c r="Y3921" t="s">
        <v>23664</v>
      </c>
      <c r="Z3921" t="s">
        <v>30251</v>
      </c>
      <c r="AA3921">
        <v>0.51597055651397927</v>
      </c>
      <c r="AB3921" t="str">
        <f>HYPERLINK("Melting_Curves/meltCurve_Q5T4S7_3_UBR4.pdf", "Melting_Curves/meltCurve_Q5T4S7_3_UBR4.pdf")</f>
        <v>Melting_Curves/meltCurve_Q5T4S7_3_UBR4.pdf</v>
      </c>
    </row>
    <row r="3922" spans="1:28" x14ac:dyDescent="0.25">
      <c r="A3922" t="s">
        <v>3926</v>
      </c>
      <c r="B3922">
        <v>0.99252571173614901</v>
      </c>
      <c r="C3922">
        <v>0.91320207277218002</v>
      </c>
      <c r="D3922">
        <v>1.0664679574885001</v>
      </c>
      <c r="E3922">
        <v>1.0932805361451099</v>
      </c>
      <c r="F3922">
        <v>1.03689673764051</v>
      </c>
      <c r="G3922">
        <v>0.67266475000935899</v>
      </c>
      <c r="H3922">
        <v>0.20622590292290099</v>
      </c>
      <c r="I3922">
        <v>0.11273151700046199</v>
      </c>
      <c r="J3922">
        <v>0.10398377138637201</v>
      </c>
      <c r="K3922">
        <v>9.9098056953765806E-2</v>
      </c>
      <c r="L3922">
        <v>2564.9109100175601</v>
      </c>
      <c r="M3922">
        <v>44.541495007778202</v>
      </c>
      <c r="N3922">
        <v>57.8972109040714</v>
      </c>
      <c r="O3922">
        <v>57.469038377303498</v>
      </c>
      <c r="P3922">
        <v>-0.17306237670180899</v>
      </c>
      <c r="Q3922">
        <v>0.106836000783733</v>
      </c>
      <c r="R3922">
        <v>0.98597045004955697</v>
      </c>
      <c r="S3922" t="s">
        <v>10568</v>
      </c>
      <c r="T3922" t="s">
        <v>13290</v>
      </c>
      <c r="U3922" t="s">
        <v>13290</v>
      </c>
      <c r="V3922" t="s">
        <v>13290</v>
      </c>
      <c r="W3922" t="s">
        <v>17166</v>
      </c>
      <c r="X3922">
        <v>26</v>
      </c>
      <c r="Y3922" t="s">
        <v>23665</v>
      </c>
      <c r="Z3922" t="s">
        <v>30252</v>
      </c>
      <c r="AA3922">
        <v>0.63321226937819053</v>
      </c>
      <c r="AB3922" t="str">
        <f>HYPERLINK("Melting_Curves/meltCurve_Q5T4U5_ACADM.pdf", "Melting_Curves/meltCurve_Q5T4U5_ACADM.pdf")</f>
        <v>Melting_Curves/meltCurve_Q5T4U5_ACADM.pdf</v>
      </c>
    </row>
    <row r="3923" spans="1:28" x14ac:dyDescent="0.25">
      <c r="A3923" t="s">
        <v>3927</v>
      </c>
      <c r="B3923">
        <v>0.99252571173614901</v>
      </c>
      <c r="C3923">
        <v>0.97539091739277906</v>
      </c>
      <c r="D3923">
        <v>0.93182765104941601</v>
      </c>
      <c r="E3923">
        <v>0.76950445629578201</v>
      </c>
      <c r="F3923">
        <v>0.45116118655243098</v>
      </c>
      <c r="G3923">
        <v>0.16782831039269999</v>
      </c>
      <c r="H3923">
        <v>7.5877348871062206E-2</v>
      </c>
      <c r="I3923">
        <v>7.3935648700349701E-2</v>
      </c>
      <c r="J3923">
        <v>0.100033437759546</v>
      </c>
      <c r="K3923">
        <v>0.10852424537752201</v>
      </c>
      <c r="L3923">
        <v>1199.0415551866599</v>
      </c>
      <c r="M3923">
        <v>23.034495038134001</v>
      </c>
      <c r="N3923">
        <v>52.422370959896902</v>
      </c>
      <c r="O3923">
        <v>51.666607443520299</v>
      </c>
      <c r="P3923">
        <v>-0.10313471374948401</v>
      </c>
      <c r="Q3923">
        <v>7.4688388922784593E-2</v>
      </c>
      <c r="R3923">
        <v>0.99674249977501705</v>
      </c>
      <c r="S3923" t="s">
        <v>10569</v>
      </c>
      <c r="T3923" t="s">
        <v>13290</v>
      </c>
      <c r="U3923" t="s">
        <v>13290</v>
      </c>
      <c r="V3923" t="s">
        <v>13290</v>
      </c>
      <c r="W3923" t="s">
        <v>17167</v>
      </c>
      <c r="X3923">
        <v>4</v>
      </c>
      <c r="Y3923" t="s">
        <v>23666</v>
      </c>
      <c r="Z3923" t="s">
        <v>30253</v>
      </c>
      <c r="AA3923">
        <v>0.45636028301444398</v>
      </c>
      <c r="AB3923" t="str">
        <f>HYPERLINK("Melting_Curves/meltCurve_Q5T5C0_3_STXBP5.pdf", "Melting_Curves/meltCurve_Q5T5C0_3_STXBP5.pdf")</f>
        <v>Melting_Curves/meltCurve_Q5T5C0_3_STXBP5.pdf</v>
      </c>
    </row>
    <row r="3924" spans="1:28" x14ac:dyDescent="0.25">
      <c r="A3924" t="s">
        <v>3928</v>
      </c>
      <c r="B3924">
        <v>0.99252571173614901</v>
      </c>
      <c r="C3924">
        <v>0.78164762175713098</v>
      </c>
      <c r="D3924">
        <v>0.64210156701049403</v>
      </c>
      <c r="E3924">
        <v>0.52416120318193105</v>
      </c>
      <c r="F3924">
        <v>0.35632702772293601</v>
      </c>
      <c r="G3924">
        <v>0.23940629780810599</v>
      </c>
      <c r="H3924">
        <v>0.232195894709536</v>
      </c>
      <c r="I3924">
        <v>0.19769340798413099</v>
      </c>
      <c r="J3924">
        <v>0.248204503169275</v>
      </c>
      <c r="K3924">
        <v>0.24484392310274</v>
      </c>
      <c r="L3924">
        <v>622.14965810405101</v>
      </c>
      <c r="M3924">
        <v>13.216524177245001</v>
      </c>
      <c r="N3924">
        <v>49.046435819976899</v>
      </c>
      <c r="O3924">
        <v>46.035076735260198</v>
      </c>
      <c r="P3924">
        <v>-5.6985825636773402E-2</v>
      </c>
      <c r="Q3924">
        <v>0.206171866351778</v>
      </c>
      <c r="R3924">
        <v>0.98054118446535499</v>
      </c>
      <c r="S3924" t="s">
        <v>10570</v>
      </c>
      <c r="T3924" t="s">
        <v>13290</v>
      </c>
      <c r="U3924" t="s">
        <v>13290</v>
      </c>
      <c r="V3924" t="s">
        <v>13290</v>
      </c>
      <c r="W3924" t="s">
        <v>17168</v>
      </c>
      <c r="X3924">
        <v>8</v>
      </c>
      <c r="Y3924" t="s">
        <v>23667</v>
      </c>
      <c r="Z3924" t="s">
        <v>30254</v>
      </c>
      <c r="AA3924">
        <v>0.42098576486882788</v>
      </c>
      <c r="AB3924" t="str">
        <f>HYPERLINK("Melting_Curves/meltCurve_Q5T5P2_KIAA1217.pdf", "Melting_Curves/meltCurve_Q5T5P2_KIAA1217.pdf")</f>
        <v>Melting_Curves/meltCurve_Q5T5P2_KIAA1217.pdf</v>
      </c>
    </row>
    <row r="3925" spans="1:28" x14ac:dyDescent="0.25">
      <c r="A3925" t="s">
        <v>3929</v>
      </c>
      <c r="B3925">
        <v>0.99252571173614901</v>
      </c>
      <c r="C3925">
        <v>1.0976386889105401</v>
      </c>
      <c r="D3925">
        <v>0.92695720182973296</v>
      </c>
      <c r="E3925">
        <v>1.2254042454287499</v>
      </c>
      <c r="F3925">
        <v>0.981272284878274</v>
      </c>
      <c r="G3925">
        <v>1.00905369925397</v>
      </c>
      <c r="H3925">
        <v>0.85831609814879795</v>
      </c>
      <c r="I3925">
        <v>0.95339840494786099</v>
      </c>
      <c r="J3925">
        <v>0.85011797390917498</v>
      </c>
      <c r="K3925">
        <v>0.58376004145223803</v>
      </c>
      <c r="L3925">
        <v>1791.95023509413</v>
      </c>
      <c r="M3925">
        <v>25.1996304716609</v>
      </c>
      <c r="Q3925">
        <v>0</v>
      </c>
      <c r="R3925">
        <v>0.67343179004661302</v>
      </c>
      <c r="S3925" t="s">
        <v>10571</v>
      </c>
      <c r="T3925" t="s">
        <v>13290</v>
      </c>
      <c r="U3925" t="s">
        <v>13290</v>
      </c>
      <c r="V3925" t="s">
        <v>13290</v>
      </c>
      <c r="W3925" t="s">
        <v>17169</v>
      </c>
      <c r="X3925">
        <v>6</v>
      </c>
      <c r="Y3925" t="s">
        <v>23668</v>
      </c>
      <c r="Z3925" t="s">
        <v>30255</v>
      </c>
      <c r="AA3925">
        <v>0.95692723349655195</v>
      </c>
      <c r="AB3925" t="str">
        <f>HYPERLINK("Melting_Curves/meltCurve_Q5T5U3_ARHGAP21.pdf", "Melting_Curves/meltCurve_Q5T5U3_ARHGAP21.pdf")</f>
        <v>Melting_Curves/meltCurve_Q5T5U3_ARHGAP21.pdf</v>
      </c>
    </row>
    <row r="3926" spans="1:28" x14ac:dyDescent="0.25">
      <c r="A3926" t="s">
        <v>3930</v>
      </c>
      <c r="B3926">
        <v>0.99252571173614901</v>
      </c>
      <c r="C3926">
        <v>1.02958261978548</v>
      </c>
      <c r="D3926">
        <v>0.87296643117246997</v>
      </c>
      <c r="E3926">
        <v>0.57860460526823498</v>
      </c>
      <c r="F3926">
        <v>0.29889412674327798</v>
      </c>
      <c r="G3926">
        <v>0.13517094081742501</v>
      </c>
      <c r="H3926">
        <v>0.111664023267324</v>
      </c>
      <c r="I3926">
        <v>0.13516132518854199</v>
      </c>
      <c r="J3926">
        <v>0.19367395116118799</v>
      </c>
      <c r="K3926">
        <v>0.205531017721271</v>
      </c>
      <c r="L3926">
        <v>1276.1667298079301</v>
      </c>
      <c r="M3926">
        <v>25.741219062601399</v>
      </c>
      <c r="N3926">
        <v>50.284578664206798</v>
      </c>
      <c r="O3926">
        <v>49.280475950716401</v>
      </c>
      <c r="P3926">
        <v>-0.110741072640565</v>
      </c>
      <c r="Q3926">
        <v>0.151973773941976</v>
      </c>
      <c r="R3926">
        <v>0.99020184094623198</v>
      </c>
      <c r="S3926" t="s">
        <v>10572</v>
      </c>
      <c r="T3926" t="s">
        <v>13290</v>
      </c>
      <c r="U3926" t="s">
        <v>13290</v>
      </c>
      <c r="V3926" t="s">
        <v>13290</v>
      </c>
      <c r="W3926" t="s">
        <v>17170</v>
      </c>
      <c r="X3926">
        <v>11</v>
      </c>
      <c r="Y3926" t="s">
        <v>23669</v>
      </c>
      <c r="Z3926" t="s">
        <v>30256</v>
      </c>
      <c r="AA3926">
        <v>0.4297993697637717</v>
      </c>
      <c r="AB3926" t="str">
        <f>HYPERLINK("Melting_Curves/meltCurve_Q5T5Y3_2_CAMSAP1.pdf", "Melting_Curves/meltCurve_Q5T5Y3_2_CAMSAP1.pdf")</f>
        <v>Melting_Curves/meltCurve_Q5T5Y3_2_CAMSAP1.pdf</v>
      </c>
    </row>
    <row r="3927" spans="1:28" x14ac:dyDescent="0.25">
      <c r="A3927" t="s">
        <v>3931</v>
      </c>
      <c r="B3927">
        <v>0.99252571173614901</v>
      </c>
      <c r="C3927">
        <v>1.05407097136735</v>
      </c>
      <c r="D3927">
        <v>1.01739251785254</v>
      </c>
      <c r="E3927">
        <v>0.97838930740465802</v>
      </c>
      <c r="F3927">
        <v>0.76073996980412295</v>
      </c>
      <c r="G3927">
        <v>0.64257556907994795</v>
      </c>
      <c r="H3927">
        <v>0.68944414678097898</v>
      </c>
      <c r="I3927">
        <v>1.00462553883784</v>
      </c>
      <c r="J3927">
        <v>1.6229040738998399</v>
      </c>
      <c r="K3927">
        <v>1.94509955965752</v>
      </c>
      <c r="L3927">
        <v>15000</v>
      </c>
      <c r="M3927">
        <v>230.51695842772199</v>
      </c>
      <c r="O3927">
        <v>65.066236285090994</v>
      </c>
      <c r="P3927">
        <v>0.44285056685301999</v>
      </c>
      <c r="Q3927">
        <v>1.5</v>
      </c>
      <c r="R3927">
        <v>0.67120950742396202</v>
      </c>
      <c r="S3927" t="s">
        <v>10573</v>
      </c>
      <c r="T3927" t="s">
        <v>13290</v>
      </c>
      <c r="U3927" t="s">
        <v>13290</v>
      </c>
      <c r="V3927" t="s">
        <v>13290</v>
      </c>
      <c r="W3927" t="s">
        <v>17171</v>
      </c>
      <c r="X3927">
        <v>19</v>
      </c>
      <c r="Y3927" t="s">
        <v>23670</v>
      </c>
      <c r="Z3927" t="s">
        <v>30257</v>
      </c>
      <c r="AA3927">
        <v>1.0820805974064329</v>
      </c>
      <c r="AB3927" t="str">
        <f>HYPERLINK("Melting_Curves/meltCurve_Q5T6F2_UBAP2.pdf", "Melting_Curves/meltCurve_Q5T6F2_UBAP2.pdf")</f>
        <v>Melting_Curves/meltCurve_Q5T6F2_UBAP2.pdf</v>
      </c>
    </row>
    <row r="3928" spans="1:28" x14ac:dyDescent="0.25">
      <c r="A3928" t="s">
        <v>3932</v>
      </c>
      <c r="B3928">
        <v>0.99252571173614901</v>
      </c>
      <c r="C3928">
        <v>1.0066539814044999</v>
      </c>
      <c r="D3928">
        <v>0.94988032468811801</v>
      </c>
      <c r="E3928">
        <v>0.77530887823390404</v>
      </c>
      <c r="F3928">
        <v>0.420893972297884</v>
      </c>
      <c r="G3928">
        <v>0.29100435417194498</v>
      </c>
      <c r="H3928">
        <v>0.29119840316610701</v>
      </c>
      <c r="I3928">
        <v>0.419666827469314</v>
      </c>
      <c r="J3928">
        <v>1.30188726006864</v>
      </c>
      <c r="K3928">
        <v>1.99691548167706</v>
      </c>
      <c r="L3928">
        <v>15000</v>
      </c>
      <c r="M3928">
        <v>223.96863154608801</v>
      </c>
      <c r="O3928">
        <v>66.968306061363606</v>
      </c>
      <c r="P3928">
        <v>0.41804956468112803</v>
      </c>
      <c r="Q3928">
        <v>1.5</v>
      </c>
      <c r="R3928">
        <v>0.23175614250673099</v>
      </c>
      <c r="S3928" t="s">
        <v>10574</v>
      </c>
      <c r="T3928" t="s">
        <v>13290</v>
      </c>
      <c r="U3928" t="s">
        <v>13290</v>
      </c>
      <c r="V3928" t="s">
        <v>13290</v>
      </c>
      <c r="W3928" t="s">
        <v>17172</v>
      </c>
      <c r="X3928">
        <v>13</v>
      </c>
      <c r="Y3928" t="s">
        <v>23671</v>
      </c>
      <c r="Z3928" t="s">
        <v>30258</v>
      </c>
      <c r="AA3928">
        <v>1.050366038786736</v>
      </c>
      <c r="AB3928" t="str">
        <f>HYPERLINK("Melting_Curves/meltCurve_Q5T6N4_ABLIM1.pdf", "Melting_Curves/meltCurve_Q5T6N4_ABLIM1.pdf")</f>
        <v>Melting_Curves/meltCurve_Q5T6N4_ABLIM1.pdf</v>
      </c>
    </row>
    <row r="3929" spans="1:28" x14ac:dyDescent="0.25">
      <c r="A3929" t="s">
        <v>3933</v>
      </c>
      <c r="B3929">
        <v>0.99252571173614901</v>
      </c>
      <c r="C3929">
        <v>1.0365876721713501</v>
      </c>
      <c r="D3929">
        <v>0.57503195349965996</v>
      </c>
      <c r="E3929">
        <v>0.238973069127592</v>
      </c>
      <c r="F3929">
        <v>0.13571667027554901</v>
      </c>
      <c r="G3929">
        <v>7.9431661147976798E-2</v>
      </c>
      <c r="H3929">
        <v>6.1867631360182598E-2</v>
      </c>
      <c r="I3929">
        <v>6.6221681041117406E-2</v>
      </c>
      <c r="J3929">
        <v>8.1265624103115802E-2</v>
      </c>
      <c r="K3929">
        <v>7.9443042642780098E-2</v>
      </c>
      <c r="L3929">
        <v>1485.6342917402101</v>
      </c>
      <c r="M3929">
        <v>31.9531078929583</v>
      </c>
      <c r="N3929">
        <v>46.767359360174403</v>
      </c>
      <c r="O3929">
        <v>46.313231871056402</v>
      </c>
      <c r="P3929">
        <v>-0.157801900688257</v>
      </c>
      <c r="Q3929">
        <v>8.5124481508209199E-2</v>
      </c>
      <c r="R3929">
        <v>0.98876676931806495</v>
      </c>
      <c r="S3929" t="s">
        <v>10575</v>
      </c>
      <c r="T3929" t="s">
        <v>13290</v>
      </c>
      <c r="U3929" t="s">
        <v>13290</v>
      </c>
      <c r="V3929" t="s">
        <v>13290</v>
      </c>
      <c r="W3929" t="s">
        <v>17173</v>
      </c>
      <c r="X3929">
        <v>12</v>
      </c>
      <c r="Y3929" t="s">
        <v>23672</v>
      </c>
      <c r="Z3929" t="s">
        <v>30259</v>
      </c>
      <c r="AA3929">
        <v>0.28797457860902981</v>
      </c>
      <c r="AB3929" t="str">
        <f>HYPERLINK("Melting_Curves/meltCurve_Q5T6V5_C9orf64.pdf", "Melting_Curves/meltCurve_Q5T6V5_C9orf64.pdf")</f>
        <v>Melting_Curves/meltCurve_Q5T6V5_C9orf64.pdf</v>
      </c>
    </row>
    <row r="3930" spans="1:28" x14ac:dyDescent="0.25">
      <c r="A3930" t="s">
        <v>3934</v>
      </c>
      <c r="B3930">
        <v>0.99252571173614901</v>
      </c>
      <c r="C3930">
        <v>0.92665539352498905</v>
      </c>
      <c r="D3930">
        <v>1.00512461846495</v>
      </c>
      <c r="E3930">
        <v>1.1384006710235299</v>
      </c>
      <c r="F3930">
        <v>1.3356337691673501</v>
      </c>
      <c r="G3930">
        <v>0.53437261101282796</v>
      </c>
      <c r="H3930">
        <v>1.0293463519584201</v>
      </c>
      <c r="I3930">
        <v>0.79340132972534305</v>
      </c>
      <c r="J3930">
        <v>0.93878049150827703</v>
      </c>
      <c r="K3930">
        <v>0.92339245131819203</v>
      </c>
      <c r="L3930">
        <v>2003.0105514131899</v>
      </c>
      <c r="M3930">
        <v>36.359504238020499</v>
      </c>
      <c r="O3930">
        <v>54.923203567035401</v>
      </c>
      <c r="P3930">
        <v>-2.1501499651045201E-2</v>
      </c>
      <c r="Q3930">
        <v>0.87008319401040501</v>
      </c>
      <c r="R3930">
        <v>0.15764532521494201</v>
      </c>
      <c r="S3930" t="s">
        <v>10576</v>
      </c>
      <c r="T3930" t="s">
        <v>13290</v>
      </c>
      <c r="U3930" t="s">
        <v>13290</v>
      </c>
      <c r="V3930" t="s">
        <v>13290</v>
      </c>
      <c r="W3930" t="s">
        <v>17174</v>
      </c>
      <c r="X3930">
        <v>1</v>
      </c>
      <c r="Y3930" t="s">
        <v>23673</v>
      </c>
      <c r="Z3930" t="s">
        <v>30260</v>
      </c>
      <c r="AA3930">
        <v>0.93602233060935802</v>
      </c>
      <c r="AB3930" t="str">
        <f>HYPERLINK("Melting_Curves/meltCurve_Q5T750_XP32.pdf", "Melting_Curves/meltCurve_Q5T750_XP32.pdf")</f>
        <v>Melting_Curves/meltCurve_Q5T750_XP32.pdf</v>
      </c>
    </row>
    <row r="3931" spans="1:28" x14ac:dyDescent="0.25">
      <c r="A3931" t="s">
        <v>3935</v>
      </c>
      <c r="B3931">
        <v>0.99252571173614901</v>
      </c>
      <c r="C3931">
        <v>0.91798460657122105</v>
      </c>
      <c r="D3931">
        <v>0.88940295794922597</v>
      </c>
      <c r="E3931">
        <v>0.84284689481943398</v>
      </c>
      <c r="F3931">
        <v>0.60126616561398905</v>
      </c>
      <c r="G3931">
        <v>0.40134693871067501</v>
      </c>
      <c r="H3931">
        <v>0.146068863686829</v>
      </c>
      <c r="I3931">
        <v>0.11146543761653099</v>
      </c>
      <c r="J3931">
        <v>0.122961763333074</v>
      </c>
      <c r="K3931">
        <v>0.116430605446196</v>
      </c>
      <c r="L3931">
        <v>836.33484964196396</v>
      </c>
      <c r="M3931">
        <v>15.4296823228471</v>
      </c>
      <c r="N3931">
        <v>54.628672540379199</v>
      </c>
      <c r="O3931">
        <v>53.317004405549902</v>
      </c>
      <c r="P3931">
        <v>-6.8256917769658795E-2</v>
      </c>
      <c r="Q3931">
        <v>5.66428481507378E-2</v>
      </c>
      <c r="R3931">
        <v>0.98846101498523997</v>
      </c>
      <c r="S3931" t="s">
        <v>10577</v>
      </c>
      <c r="T3931" t="s">
        <v>13290</v>
      </c>
      <c r="U3931" t="s">
        <v>13290</v>
      </c>
      <c r="V3931" t="s">
        <v>13290</v>
      </c>
      <c r="W3931" t="s">
        <v>17175</v>
      </c>
      <c r="X3931">
        <v>4</v>
      </c>
      <c r="Y3931" t="s">
        <v>23674</v>
      </c>
      <c r="Z3931" t="s">
        <v>30261</v>
      </c>
      <c r="AA3931">
        <v>0.52174643891637185</v>
      </c>
      <c r="AB3931" t="str">
        <f>HYPERLINK("Melting_Curves/meltCurve_Q5T7M9_FAM69A.pdf", "Melting_Curves/meltCurve_Q5T7M9_FAM69A.pdf")</f>
        <v>Melting_Curves/meltCurve_Q5T7M9_FAM69A.pdf</v>
      </c>
    </row>
    <row r="3932" spans="1:28" x14ac:dyDescent="0.25">
      <c r="A3932" t="s">
        <v>3936</v>
      </c>
      <c r="B3932">
        <v>0.99252571173614901</v>
      </c>
      <c r="C3932">
        <v>1.0216163761641499</v>
      </c>
      <c r="D3932">
        <v>0.85589066260575097</v>
      </c>
      <c r="E3932">
        <v>0.54524733330275799</v>
      </c>
      <c r="F3932">
        <v>0.27964870498950301</v>
      </c>
      <c r="G3932">
        <v>0.18849013738495499</v>
      </c>
      <c r="H3932">
        <v>0.13214542827113501</v>
      </c>
      <c r="I3932">
        <v>0.15066637217411299</v>
      </c>
      <c r="J3932">
        <v>0.22671502317518599</v>
      </c>
      <c r="K3932">
        <v>0.236404189632446</v>
      </c>
      <c r="L3932">
        <v>1287.8303530236899</v>
      </c>
      <c r="M3932">
        <v>26.2418145148227</v>
      </c>
      <c r="N3932">
        <v>49.937682030701097</v>
      </c>
      <c r="O3932">
        <v>48.793175810816201</v>
      </c>
      <c r="P3932">
        <v>-0.109962990844909</v>
      </c>
      <c r="Q3932">
        <v>0.182162646980494</v>
      </c>
      <c r="R3932">
        <v>0.99019831576322304</v>
      </c>
      <c r="S3932" t="s">
        <v>10578</v>
      </c>
      <c r="T3932" t="s">
        <v>13290</v>
      </c>
      <c r="U3932" t="s">
        <v>13290</v>
      </c>
      <c r="V3932" t="s">
        <v>13290</v>
      </c>
      <c r="W3932" t="s">
        <v>17176</v>
      </c>
      <c r="X3932">
        <v>2</v>
      </c>
      <c r="Y3932" t="s">
        <v>23675</v>
      </c>
      <c r="Z3932" t="s">
        <v>30262</v>
      </c>
      <c r="AA3932">
        <v>0.43613513990047009</v>
      </c>
      <c r="AB3932" t="str">
        <f>HYPERLINK("Melting_Curves/meltCurve_Q5T7V8_GORAB.pdf", "Melting_Curves/meltCurve_Q5T7V8_GORAB.pdf")</f>
        <v>Melting_Curves/meltCurve_Q5T7V8_GORAB.pdf</v>
      </c>
    </row>
    <row r="3933" spans="1:28" x14ac:dyDescent="0.25">
      <c r="A3933" t="s">
        <v>3937</v>
      </c>
      <c r="B3933">
        <v>0.99252571173614901</v>
      </c>
      <c r="C3933">
        <v>0.86910690128250301</v>
      </c>
      <c r="D3933">
        <v>0.63298314903907604</v>
      </c>
      <c r="E3933">
        <v>0.327457908915394</v>
      </c>
      <c r="F3933">
        <v>0.21762914962739199</v>
      </c>
      <c r="G3933">
        <v>0.14396825867628099</v>
      </c>
      <c r="H3933">
        <v>0.117611302714366</v>
      </c>
      <c r="I3933">
        <v>0.14023315493420199</v>
      </c>
      <c r="J3933">
        <v>0.22040518095855399</v>
      </c>
      <c r="K3933">
        <v>0.22077342832178001</v>
      </c>
      <c r="L3933">
        <v>1045.8099916574599</v>
      </c>
      <c r="M3933">
        <v>22.531041019957001</v>
      </c>
      <c r="N3933">
        <v>47.266167901854502</v>
      </c>
      <c r="O3933">
        <v>46.055418352635598</v>
      </c>
      <c r="P3933">
        <v>-0.101938303816465</v>
      </c>
      <c r="Q3933">
        <v>0.16653398424112201</v>
      </c>
      <c r="R3933">
        <v>0.98808475315143596</v>
      </c>
      <c r="S3933" t="s">
        <v>10579</v>
      </c>
      <c r="T3933" t="s">
        <v>13290</v>
      </c>
      <c r="U3933" t="s">
        <v>13290</v>
      </c>
      <c r="V3933" t="s">
        <v>13290</v>
      </c>
      <c r="W3933" t="s">
        <v>17177</v>
      </c>
      <c r="X3933">
        <v>5</v>
      </c>
      <c r="Y3933" t="s">
        <v>23676</v>
      </c>
      <c r="Z3933" t="s">
        <v>30263</v>
      </c>
      <c r="AA3933">
        <v>0.35437090836924079</v>
      </c>
      <c r="AB3933" t="str">
        <f>HYPERLINK("Melting_Curves/meltCurve_Q5T8D3_4_ACBD5.pdf", "Melting_Curves/meltCurve_Q5T8D3_4_ACBD5.pdf")</f>
        <v>Melting_Curves/meltCurve_Q5T8D3_4_ACBD5.pdf</v>
      </c>
    </row>
    <row r="3934" spans="1:28" x14ac:dyDescent="0.25">
      <c r="A3934" t="s">
        <v>3938</v>
      </c>
      <c r="B3934">
        <v>0.99252571173614901</v>
      </c>
      <c r="C3934">
        <v>0.96816596396227605</v>
      </c>
      <c r="D3934">
        <v>0.84214474767844405</v>
      </c>
      <c r="E3934">
        <v>0.80485137657771899</v>
      </c>
      <c r="F3934">
        <v>0.63650488245405601</v>
      </c>
      <c r="G3934">
        <v>0.50368560423801201</v>
      </c>
      <c r="H3934">
        <v>0.40198740615944001</v>
      </c>
      <c r="I3934">
        <v>0.39712649241293801</v>
      </c>
      <c r="J3934">
        <v>0.43917983917284498</v>
      </c>
      <c r="K3934">
        <v>0.43140179234285397</v>
      </c>
      <c r="L3934">
        <v>721.57360978519398</v>
      </c>
      <c r="M3934">
        <v>14.0607148762096</v>
      </c>
      <c r="N3934">
        <v>57.411206459271099</v>
      </c>
      <c r="O3934">
        <v>50.313825416318103</v>
      </c>
      <c r="P3934">
        <v>-4.2793632288411702E-2</v>
      </c>
      <c r="Q3934">
        <v>0.38756129275402801</v>
      </c>
      <c r="R3934">
        <v>0.98107183993526004</v>
      </c>
      <c r="S3934" t="s">
        <v>10580</v>
      </c>
      <c r="T3934" t="s">
        <v>13290</v>
      </c>
      <c r="U3934" t="s">
        <v>13290</v>
      </c>
      <c r="V3934" t="s">
        <v>13290</v>
      </c>
      <c r="W3934" t="s">
        <v>17178</v>
      </c>
      <c r="X3934">
        <v>2</v>
      </c>
      <c r="Y3934" t="s">
        <v>23677</v>
      </c>
      <c r="Z3934" t="s">
        <v>30264</v>
      </c>
      <c r="AA3934">
        <v>0.63413987449194609</v>
      </c>
      <c r="AB3934" t="str">
        <f>HYPERLINK("Melting_Curves/meltCurve_Q5T8I0_COX6A1P2.pdf", "Melting_Curves/meltCurve_Q5T8I0_COX6A1P2.pdf")</f>
        <v>Melting_Curves/meltCurve_Q5T8I0_COX6A1P2.pdf</v>
      </c>
    </row>
    <row r="3935" spans="1:28" x14ac:dyDescent="0.25">
      <c r="A3935" t="s">
        <v>3939</v>
      </c>
      <c r="B3935">
        <v>0.99252571173614901</v>
      </c>
      <c r="C3935">
        <v>0.98924288631033497</v>
      </c>
      <c r="D3935">
        <v>0.47346447943998698</v>
      </c>
      <c r="E3935">
        <v>0.269138823029619</v>
      </c>
      <c r="F3935">
        <v>0.12535498495029401</v>
      </c>
      <c r="G3935">
        <v>7.4157231981266294E-2</v>
      </c>
      <c r="H3935">
        <v>5.9228733760641E-2</v>
      </c>
      <c r="I3935">
        <v>6.1808026880043901E-2</v>
      </c>
      <c r="J3935">
        <v>7.4415947873121904E-2</v>
      </c>
      <c r="K3935">
        <v>7.6775106011570601E-2</v>
      </c>
      <c r="L3935">
        <v>1321.39766858283</v>
      </c>
      <c r="M3935">
        <v>28.7144635052179</v>
      </c>
      <c r="N3935">
        <v>46.310604302055303</v>
      </c>
      <c r="O3935">
        <v>45.797079578600098</v>
      </c>
      <c r="P3935">
        <v>-0.14376743665665201</v>
      </c>
      <c r="Q3935">
        <v>8.2820763778429105E-2</v>
      </c>
      <c r="R3935">
        <v>0.98271220344800203</v>
      </c>
      <c r="S3935" t="s">
        <v>10581</v>
      </c>
      <c r="T3935" t="s">
        <v>13290</v>
      </c>
      <c r="U3935" t="s">
        <v>13290</v>
      </c>
      <c r="V3935" t="s">
        <v>13290</v>
      </c>
      <c r="W3935" t="s">
        <v>17179</v>
      </c>
      <c r="X3935">
        <v>35</v>
      </c>
      <c r="Y3935" t="s">
        <v>23678</v>
      </c>
      <c r="Z3935" t="s">
        <v>30265</v>
      </c>
      <c r="AA3935">
        <v>0.27298969506460868</v>
      </c>
      <c r="AB3935" t="str">
        <f>HYPERLINK("Melting_Curves/meltCurve_Q5T8P6_RBM26.pdf", "Melting_Curves/meltCurve_Q5T8P6_RBM26.pdf")</f>
        <v>Melting_Curves/meltCurve_Q5T8P6_RBM26.pdf</v>
      </c>
    </row>
    <row r="3936" spans="1:28" x14ac:dyDescent="0.25">
      <c r="A3936" t="s">
        <v>3940</v>
      </c>
      <c r="B3936">
        <v>0.99252571173614901</v>
      </c>
      <c r="C3936">
        <v>0.83683384691197105</v>
      </c>
      <c r="D3936">
        <v>0.80398167748092897</v>
      </c>
      <c r="E3936">
        <v>0.65645675203389997</v>
      </c>
      <c r="F3936">
        <v>0.55810498650310703</v>
      </c>
      <c r="G3936">
        <v>0.36135181318496701</v>
      </c>
      <c r="H3936">
        <v>0.25799252086933899</v>
      </c>
      <c r="I3936">
        <v>0.229917197405935</v>
      </c>
      <c r="J3936">
        <v>0.204761338876113</v>
      </c>
      <c r="K3936">
        <v>0.14230425651512199</v>
      </c>
      <c r="L3936">
        <v>460.89339927189502</v>
      </c>
      <c r="M3936">
        <v>8.7071707556113207</v>
      </c>
      <c r="N3936">
        <v>53.586916775601097</v>
      </c>
      <c r="O3936">
        <v>50.363012704750702</v>
      </c>
      <c r="P3936">
        <v>-4.1076176835478699E-2</v>
      </c>
      <c r="Q3936">
        <v>5.04290836833656E-2</v>
      </c>
      <c r="R3936">
        <v>0.98932412016970805</v>
      </c>
      <c r="S3936" t="s">
        <v>10582</v>
      </c>
      <c r="T3936" t="s">
        <v>13290</v>
      </c>
      <c r="U3936" t="s">
        <v>13290</v>
      </c>
      <c r="V3936" t="s">
        <v>13290</v>
      </c>
      <c r="W3936" t="s">
        <v>17180</v>
      </c>
      <c r="X3936">
        <v>3</v>
      </c>
      <c r="Y3936" t="s">
        <v>23679</v>
      </c>
      <c r="Z3936" t="s">
        <v>30266</v>
      </c>
      <c r="AA3936">
        <v>0.49653570092700833</v>
      </c>
      <c r="AB3936" t="str">
        <f>HYPERLINK("Melting_Curves/meltCurve_Q5T8U5_SURF4.pdf", "Melting_Curves/meltCurve_Q5T8U5_SURF4.pdf")</f>
        <v>Melting_Curves/meltCurve_Q5T8U5_SURF4.pdf</v>
      </c>
    </row>
    <row r="3937" spans="1:28" x14ac:dyDescent="0.25">
      <c r="A3937" t="s">
        <v>3941</v>
      </c>
      <c r="B3937">
        <v>0.99252571173614901</v>
      </c>
      <c r="C3937">
        <v>1.1837895044022499</v>
      </c>
      <c r="D3937">
        <v>0.76977144555848298</v>
      </c>
      <c r="E3937">
        <v>0.60754025668475098</v>
      </c>
      <c r="F3937">
        <v>0.22351043664616299</v>
      </c>
      <c r="G3937">
        <v>0.12623177129610599</v>
      </c>
      <c r="H3937">
        <v>8.4145619895794804E-2</v>
      </c>
      <c r="I3937">
        <v>8.4471487154681599E-2</v>
      </c>
      <c r="J3937">
        <v>0.110763443129446</v>
      </c>
      <c r="K3937">
        <v>0.108882516053194</v>
      </c>
      <c r="L3937">
        <v>1185.25377294535</v>
      </c>
      <c r="M3937">
        <v>23.8363842611301</v>
      </c>
      <c r="N3937">
        <v>50.137425781259402</v>
      </c>
      <c r="O3937">
        <v>49.3785495193654</v>
      </c>
      <c r="P3937">
        <v>-0.10992974809790999</v>
      </c>
      <c r="Q3937">
        <v>8.9109625711692605E-2</v>
      </c>
      <c r="R3937">
        <v>0.963402798843778</v>
      </c>
      <c r="S3937" t="s">
        <v>10583</v>
      </c>
      <c r="T3937" t="s">
        <v>13290</v>
      </c>
      <c r="U3937" t="s">
        <v>13290</v>
      </c>
      <c r="V3937" t="s">
        <v>13290</v>
      </c>
      <c r="W3937" t="s">
        <v>17181</v>
      </c>
      <c r="X3937">
        <v>22</v>
      </c>
      <c r="Y3937" t="s">
        <v>23680</v>
      </c>
      <c r="Z3937" t="s">
        <v>30267</v>
      </c>
      <c r="AA3937">
        <v>0.39331690331977492</v>
      </c>
      <c r="AB3937" t="str">
        <f>HYPERLINK("Melting_Curves/meltCurve_Q5T9B7_AK1.pdf", "Melting_Curves/meltCurve_Q5T9B7_AK1.pdf")</f>
        <v>Melting_Curves/meltCurve_Q5T9B7_AK1.pdf</v>
      </c>
    </row>
    <row r="3938" spans="1:28" x14ac:dyDescent="0.25">
      <c r="A3938" t="s">
        <v>3942</v>
      </c>
      <c r="B3938">
        <v>0.99252571173614901</v>
      </c>
      <c r="C3938">
        <v>1.1689135064823599</v>
      </c>
      <c r="D3938">
        <v>1.03174312981773</v>
      </c>
      <c r="E3938">
        <v>0.88150187870882502</v>
      </c>
      <c r="F3938">
        <v>0.58308025438496702</v>
      </c>
      <c r="G3938">
        <v>0.33986326585673199</v>
      </c>
      <c r="H3938">
        <v>0.35083394952556601</v>
      </c>
      <c r="I3938">
        <v>0.34569976098641803</v>
      </c>
      <c r="J3938">
        <v>0.28712297209728399</v>
      </c>
      <c r="K3938">
        <v>9.8251651598818199E-2</v>
      </c>
      <c r="L3938">
        <v>1380.0554560062401</v>
      </c>
      <c r="M3938">
        <v>26.144470550793699</v>
      </c>
      <c r="N3938">
        <v>54.279731156300102</v>
      </c>
      <c r="O3938">
        <v>52.4798287929408</v>
      </c>
      <c r="P3938">
        <v>-9.2597376871747794E-2</v>
      </c>
      <c r="Q3938">
        <v>0.25652504208161198</v>
      </c>
      <c r="R3938">
        <v>0.94580664037690598</v>
      </c>
      <c r="S3938" t="s">
        <v>10584</v>
      </c>
      <c r="T3938" t="s">
        <v>13290</v>
      </c>
      <c r="U3938" t="s">
        <v>13290</v>
      </c>
      <c r="V3938" t="s">
        <v>13290</v>
      </c>
      <c r="W3938" t="s">
        <v>17182</v>
      </c>
      <c r="X3938">
        <v>1</v>
      </c>
      <c r="Y3938" t="s">
        <v>23681</v>
      </c>
      <c r="Z3938" t="s">
        <v>30268</v>
      </c>
      <c r="AA3938">
        <v>0.57966505480876773</v>
      </c>
      <c r="AB3938" t="str">
        <f>HYPERLINK("Melting_Curves/meltCurve_Q5T9C2_2_FAM102A.pdf", "Melting_Curves/meltCurve_Q5T9C2_2_FAM102A.pdf")</f>
        <v>Melting_Curves/meltCurve_Q5T9C2_2_FAM102A.pdf</v>
      </c>
    </row>
    <row r="3939" spans="1:28" x14ac:dyDescent="0.25">
      <c r="A3939" t="s">
        <v>3943</v>
      </c>
      <c r="B3939">
        <v>0.99252571173614901</v>
      </c>
      <c r="C3939">
        <v>0.89337108744969695</v>
      </c>
      <c r="D3939">
        <v>0.97538131432931796</v>
      </c>
      <c r="E3939">
        <v>1.17988300815972</v>
      </c>
      <c r="F3939">
        <v>1.02144800778236</v>
      </c>
      <c r="G3939">
        <v>0.37277800026347302</v>
      </c>
      <c r="H3939">
        <v>0.17248993493039799</v>
      </c>
      <c r="I3939">
        <v>0.151853386777273</v>
      </c>
      <c r="J3939">
        <v>0.138920342419528</v>
      </c>
      <c r="K3939">
        <v>0.13093027708142299</v>
      </c>
      <c r="L3939">
        <v>14141.5738034403</v>
      </c>
      <c r="M3939">
        <v>250</v>
      </c>
      <c r="N3939">
        <v>56.646172889683903</v>
      </c>
      <c r="O3939">
        <v>56.562675360143899</v>
      </c>
      <c r="P3939">
        <v>-0.94082750239387802</v>
      </c>
      <c r="Q3939">
        <v>0.148548471805173</v>
      </c>
      <c r="R3939">
        <v>0.97399625765654796</v>
      </c>
      <c r="S3939" t="s">
        <v>10585</v>
      </c>
      <c r="T3939" t="s">
        <v>13290</v>
      </c>
      <c r="U3939" t="s">
        <v>13290</v>
      </c>
      <c r="V3939" t="s">
        <v>13290</v>
      </c>
      <c r="W3939" t="s">
        <v>17183</v>
      </c>
      <c r="X3939">
        <v>5</v>
      </c>
      <c r="Y3939" t="s">
        <v>23682</v>
      </c>
      <c r="Z3939" t="s">
        <v>30269</v>
      </c>
      <c r="AA3939">
        <v>0.61881291046804621</v>
      </c>
      <c r="AB3939" t="str">
        <f>HYPERLINK("Melting_Curves/meltCurve_Q5TA45_3_CPSF3L.pdf", "Melting_Curves/meltCurve_Q5TA45_3_CPSF3L.pdf")</f>
        <v>Melting_Curves/meltCurve_Q5TA45_3_CPSF3L.pdf</v>
      </c>
    </row>
    <row r="3940" spans="1:28" x14ac:dyDescent="0.25">
      <c r="A3940" t="s">
        <v>3944</v>
      </c>
      <c r="B3940">
        <v>0.99252571173614901</v>
      </c>
      <c r="C3940">
        <v>1.06034268924876</v>
      </c>
      <c r="D3940">
        <v>0.703087628162815</v>
      </c>
      <c r="E3940">
        <v>0.27475740888971401</v>
      </c>
      <c r="F3940">
        <v>0.102990578693244</v>
      </c>
      <c r="G3940">
        <v>6.7051993402805293E-2</v>
      </c>
      <c r="H3940">
        <v>3.7130580244088697E-2</v>
      </c>
      <c r="I3940">
        <v>6.6662307047448202E-2</v>
      </c>
      <c r="J3940">
        <v>9.2161979470557098E-2</v>
      </c>
      <c r="K3940">
        <v>4.6612189563045199E-2</v>
      </c>
      <c r="L3940">
        <v>1456.43680737914</v>
      </c>
      <c r="M3940">
        <v>30.721394039348599</v>
      </c>
      <c r="N3940">
        <v>47.619438180821597</v>
      </c>
      <c r="O3940">
        <v>47.208388794659399</v>
      </c>
      <c r="P3940">
        <v>-0.152314108064635</v>
      </c>
      <c r="Q3940">
        <v>6.3784592206981197E-2</v>
      </c>
      <c r="R3940">
        <v>0.99167137692881802</v>
      </c>
      <c r="S3940" t="s">
        <v>10586</v>
      </c>
      <c r="T3940" t="s">
        <v>13290</v>
      </c>
      <c r="U3940" t="s">
        <v>13290</v>
      </c>
      <c r="V3940" t="s">
        <v>13290</v>
      </c>
      <c r="W3940" t="s">
        <v>17184</v>
      </c>
      <c r="X3940">
        <v>2</v>
      </c>
      <c r="Y3940" t="s">
        <v>23683</v>
      </c>
      <c r="Z3940" t="s">
        <v>30270</v>
      </c>
      <c r="AA3940">
        <v>0.30030357209229919</v>
      </c>
      <c r="AB3940" t="str">
        <f>HYPERLINK("Melting_Curves/meltCurve_Q5TA50_GLTPD1.pdf", "Melting_Curves/meltCurve_Q5TA50_GLTPD1.pdf")</f>
        <v>Melting_Curves/meltCurve_Q5TA50_GLTPD1.pdf</v>
      </c>
    </row>
    <row r="3941" spans="1:28" x14ac:dyDescent="0.25">
      <c r="A3941" t="s">
        <v>3945</v>
      </c>
      <c r="B3941">
        <v>0.99252571173614901</v>
      </c>
      <c r="C3941">
        <v>0.88880556681838596</v>
      </c>
      <c r="D3941">
        <v>0.66994823508563395</v>
      </c>
      <c r="E3941">
        <v>0.23034822391554099</v>
      </c>
      <c r="F3941">
        <v>0.12545878894385101</v>
      </c>
      <c r="G3941">
        <v>0.109119852064555</v>
      </c>
      <c r="H3941">
        <v>8.7263285544624897E-2</v>
      </c>
      <c r="I3941">
        <v>0.105924707511445</v>
      </c>
      <c r="J3941">
        <v>0.16872617313486399</v>
      </c>
      <c r="K3941">
        <v>0.163439671522535</v>
      </c>
      <c r="L3941">
        <v>1378.2303914566401</v>
      </c>
      <c r="M3941">
        <v>29.568657956251101</v>
      </c>
      <c r="N3941">
        <v>47.051023259170798</v>
      </c>
      <c r="O3941">
        <v>46.399554658116799</v>
      </c>
      <c r="P3941">
        <v>-0.14007889376152899</v>
      </c>
      <c r="Q3941">
        <v>0.120750969598758</v>
      </c>
      <c r="R3941">
        <v>0.99176379707505502</v>
      </c>
      <c r="S3941" t="s">
        <v>10587</v>
      </c>
      <c r="T3941" t="s">
        <v>13290</v>
      </c>
      <c r="U3941" t="s">
        <v>13290</v>
      </c>
      <c r="V3941" t="s">
        <v>13290</v>
      </c>
      <c r="W3941" t="s">
        <v>17185</v>
      </c>
      <c r="X3941">
        <v>2</v>
      </c>
      <c r="Y3941" t="s">
        <v>23684</v>
      </c>
      <c r="Z3941" t="s">
        <v>30271</v>
      </c>
      <c r="AA3941">
        <v>0.31997451552850159</v>
      </c>
      <c r="AB3941" t="str">
        <f>HYPERLINK("Melting_Curves/meltCurve_Q5TAX3_ZCCHC11.pdf", "Melting_Curves/meltCurve_Q5TAX3_ZCCHC11.pdf")</f>
        <v>Melting_Curves/meltCurve_Q5TAX3_ZCCHC11.pdf</v>
      </c>
    </row>
    <row r="3942" spans="1:28" x14ac:dyDescent="0.25">
      <c r="A3942" t="s">
        <v>3946</v>
      </c>
      <c r="B3942">
        <v>0.99252571173614901</v>
      </c>
      <c r="C3942">
        <v>0.73057053572845898</v>
      </c>
      <c r="D3942">
        <v>0.78383133498707902</v>
      </c>
      <c r="E3942">
        <v>0.59834290134891199</v>
      </c>
      <c r="F3942">
        <v>0.34568642089410301</v>
      </c>
      <c r="G3942">
        <v>0.16769239625118201</v>
      </c>
      <c r="H3942">
        <v>9.2698962469673504E-2</v>
      </c>
      <c r="I3942">
        <v>9.4168049861449304E-2</v>
      </c>
      <c r="J3942">
        <v>0.101051912425162</v>
      </c>
      <c r="K3942">
        <v>4.5726105060775797E-2</v>
      </c>
      <c r="L3942">
        <v>557.24923984031204</v>
      </c>
      <c r="M3942">
        <v>11.087459626116299</v>
      </c>
      <c r="N3942">
        <v>50.268012608890999</v>
      </c>
      <c r="O3942">
        <v>48.7075486818295</v>
      </c>
      <c r="P3942">
        <v>-5.6873024308250898E-2</v>
      </c>
      <c r="Q3942">
        <v>9.4722529163521999E-4</v>
      </c>
      <c r="R3942">
        <v>0.96971768907363898</v>
      </c>
      <c r="S3942" t="s">
        <v>10588</v>
      </c>
      <c r="T3942" t="s">
        <v>13290</v>
      </c>
      <c r="U3942" t="s">
        <v>13290</v>
      </c>
      <c r="V3942" t="s">
        <v>13290</v>
      </c>
      <c r="W3942" t="s">
        <v>17186</v>
      </c>
      <c r="X3942">
        <v>3</v>
      </c>
      <c r="Y3942" t="s">
        <v>23685</v>
      </c>
      <c r="Z3942" t="s">
        <v>30272</v>
      </c>
      <c r="AA3942">
        <v>0.38091462260733278</v>
      </c>
      <c r="AB3942" t="str">
        <f>HYPERLINK("Melting_Curves/meltCurve_Q5TBA9_FRY.pdf", "Melting_Curves/meltCurve_Q5TBA9_FRY.pdf")</f>
        <v>Melting_Curves/meltCurve_Q5TBA9_FRY.pdf</v>
      </c>
    </row>
    <row r="3943" spans="1:28" x14ac:dyDescent="0.25">
      <c r="A3943" t="s">
        <v>3947</v>
      </c>
      <c r="B3943">
        <v>0.99252571173614901</v>
      </c>
      <c r="C3943">
        <v>1.0285055314243701</v>
      </c>
      <c r="D3943">
        <v>0.87248002728704199</v>
      </c>
      <c r="E3943">
        <v>0.40529778105124398</v>
      </c>
      <c r="F3943">
        <v>0.19755108815689801</v>
      </c>
      <c r="G3943">
        <v>0.133157833787968</v>
      </c>
      <c r="H3943">
        <v>0.122261800223159</v>
      </c>
      <c r="I3943">
        <v>0.149908973428871</v>
      </c>
      <c r="J3943">
        <v>0.19370322774927601</v>
      </c>
      <c r="K3943">
        <v>0.20032702117517101</v>
      </c>
      <c r="L3943">
        <v>1709.3595271051099</v>
      </c>
      <c r="M3943">
        <v>35.364396897058199</v>
      </c>
      <c r="N3943">
        <v>48.8692886358766</v>
      </c>
      <c r="O3943">
        <v>48.181830604393298</v>
      </c>
      <c r="P3943">
        <v>-0.15410224475154299</v>
      </c>
      <c r="Q3943">
        <v>0.16018327836277799</v>
      </c>
      <c r="R3943">
        <v>0.99467913983296696</v>
      </c>
      <c r="S3943" t="s">
        <v>10589</v>
      </c>
      <c r="T3943" t="s">
        <v>13290</v>
      </c>
      <c r="U3943" t="s">
        <v>13290</v>
      </c>
      <c r="V3943" t="s">
        <v>13290</v>
      </c>
      <c r="W3943" t="s">
        <v>17187</v>
      </c>
      <c r="X3943">
        <v>9</v>
      </c>
      <c r="Y3943" t="s">
        <v>23686</v>
      </c>
      <c r="Z3943" t="s">
        <v>30273</v>
      </c>
      <c r="AA3943">
        <v>0.39714328538068949</v>
      </c>
      <c r="AB3943" t="str">
        <f>HYPERLINK("Melting_Curves/meltCurve_Q5TBB1_RNASEH2B.pdf", "Melting_Curves/meltCurve_Q5TBB1_RNASEH2B.pdf")</f>
        <v>Melting_Curves/meltCurve_Q5TBB1_RNASEH2B.pdf</v>
      </c>
    </row>
    <row r="3944" spans="1:28" x14ac:dyDescent="0.25">
      <c r="A3944" t="s">
        <v>3948</v>
      </c>
      <c r="B3944">
        <v>0.99252571173614901</v>
      </c>
      <c r="C3944">
        <v>0.99019118078166701</v>
      </c>
      <c r="D3944">
        <v>1.2118848371761901</v>
      </c>
      <c r="E3944">
        <v>0.69052147878647996</v>
      </c>
      <c r="F3944">
        <v>0.30646497502739101</v>
      </c>
      <c r="G3944">
        <v>0.21688584648367601</v>
      </c>
      <c r="H3944">
        <v>0.173143615936728</v>
      </c>
      <c r="I3944">
        <v>0.20040094606394701</v>
      </c>
      <c r="J3944">
        <v>0.20007964183151</v>
      </c>
      <c r="K3944">
        <v>0.21679571449979099</v>
      </c>
      <c r="L3944">
        <v>2496.0611644980199</v>
      </c>
      <c r="M3944">
        <v>49.763267084067699</v>
      </c>
      <c r="N3944">
        <v>50.7133910714672</v>
      </c>
      <c r="O3944">
        <v>50.0779067604525</v>
      </c>
      <c r="P3944">
        <v>-0.196290697430032</v>
      </c>
      <c r="Q3944">
        <v>0.20987353870178099</v>
      </c>
      <c r="R3944">
        <v>0.96432269800703796</v>
      </c>
      <c r="S3944" t="s">
        <v>10590</v>
      </c>
      <c r="T3944" t="s">
        <v>13290</v>
      </c>
      <c r="U3944" t="s">
        <v>13290</v>
      </c>
      <c r="V3944" t="s">
        <v>13290</v>
      </c>
      <c r="W3944" t="s">
        <v>17188</v>
      </c>
      <c r="X3944">
        <v>5</v>
      </c>
      <c r="Y3944" t="s">
        <v>23687</v>
      </c>
      <c r="Z3944" t="s">
        <v>30274</v>
      </c>
      <c r="AA3944">
        <v>0.47919394807300147</v>
      </c>
      <c r="AB3944" t="str">
        <f>HYPERLINK("Melting_Curves/meltCurve_Q5TBP5_TAF4.pdf", "Melting_Curves/meltCurve_Q5TBP5_TAF4.pdf")</f>
        <v>Melting_Curves/meltCurve_Q5TBP5_TAF4.pdf</v>
      </c>
    </row>
    <row r="3945" spans="1:28" x14ac:dyDescent="0.25">
      <c r="A3945" t="s">
        <v>3949</v>
      </c>
      <c r="B3945">
        <v>0.99252571173614901</v>
      </c>
      <c r="C3945">
        <v>1.06984547784938</v>
      </c>
      <c r="D3945">
        <v>1.1288572660048399</v>
      </c>
      <c r="E3945">
        <v>0.94183664439380599</v>
      </c>
      <c r="F3945">
        <v>1.0189934212551299</v>
      </c>
      <c r="G3945">
        <v>0.65464093026966497</v>
      </c>
      <c r="H3945">
        <v>0.69843245643966301</v>
      </c>
      <c r="I3945">
        <v>1.1400438551258001</v>
      </c>
      <c r="J3945">
        <v>1.6184137888352801</v>
      </c>
      <c r="K3945">
        <v>1.9773480695547501</v>
      </c>
      <c r="L3945">
        <v>15000</v>
      </c>
      <c r="M3945">
        <v>233.43124504353199</v>
      </c>
      <c r="O3945">
        <v>64.254025035401199</v>
      </c>
      <c r="P3945">
        <v>0.45411788376741602</v>
      </c>
      <c r="Q3945">
        <v>1.5</v>
      </c>
      <c r="R3945">
        <v>0.66819570159017105</v>
      </c>
      <c r="S3945" t="s">
        <v>10591</v>
      </c>
      <c r="T3945" t="s">
        <v>13290</v>
      </c>
      <c r="U3945" t="s">
        <v>13290</v>
      </c>
      <c r="V3945" t="s">
        <v>13290</v>
      </c>
      <c r="W3945" t="s">
        <v>17189</v>
      </c>
      <c r="X3945">
        <v>1</v>
      </c>
      <c r="Y3945" t="s">
        <v>23688</v>
      </c>
      <c r="Z3945" t="s">
        <v>30275</v>
      </c>
      <c r="AA3945">
        <v>1.0956228239965129</v>
      </c>
      <c r="AB3945" t="str">
        <f>HYPERLINK("Melting_Curves/meltCurve_Q5TCT4_RBM34.pdf", "Melting_Curves/meltCurve_Q5TCT4_RBM34.pdf")</f>
        <v>Melting_Curves/meltCurve_Q5TCT4_RBM34.pdf</v>
      </c>
    </row>
    <row r="3946" spans="1:28" x14ac:dyDescent="0.25">
      <c r="A3946" t="s">
        <v>3950</v>
      </c>
      <c r="B3946">
        <v>0.99252571173614901</v>
      </c>
      <c r="C3946">
        <v>1.0229689427926301</v>
      </c>
      <c r="D3946">
        <v>0.92956093243177196</v>
      </c>
      <c r="E3946">
        <v>0.82087877542764698</v>
      </c>
      <c r="F3946">
        <v>0.74575920825769404</v>
      </c>
      <c r="G3946">
        <v>0.56859952382100698</v>
      </c>
      <c r="H3946">
        <v>0.51512965070002303</v>
      </c>
      <c r="I3946">
        <v>0.66841955422478805</v>
      </c>
      <c r="J3946">
        <v>0.81020568625412903</v>
      </c>
      <c r="K3946">
        <v>0.37703013430378401</v>
      </c>
      <c r="L3946">
        <v>999.64282879388099</v>
      </c>
      <c r="M3946">
        <v>19.7502583452032</v>
      </c>
      <c r="O3946">
        <v>50.103841257721498</v>
      </c>
      <c r="P3946">
        <v>-4.1291011869277798E-2</v>
      </c>
      <c r="Q3946">
        <v>0.58101458718112198</v>
      </c>
      <c r="R3946">
        <v>0.72126282603578395</v>
      </c>
      <c r="S3946" t="s">
        <v>10592</v>
      </c>
      <c r="T3946" t="s">
        <v>13290</v>
      </c>
      <c r="U3946" t="s">
        <v>13290</v>
      </c>
      <c r="V3946" t="s">
        <v>13290</v>
      </c>
      <c r="W3946" t="s">
        <v>17190</v>
      </c>
      <c r="X3946">
        <v>4</v>
      </c>
      <c r="Y3946" t="s">
        <v>23689</v>
      </c>
      <c r="Z3946" t="s">
        <v>30276</v>
      </c>
      <c r="AA3946">
        <v>0.7352162497624638</v>
      </c>
      <c r="AB3946" t="str">
        <f>HYPERLINK("Melting_Curves/meltCurve_Q5TD07_NQO2.pdf", "Melting_Curves/meltCurve_Q5TD07_NQO2.pdf")</f>
        <v>Melting_Curves/meltCurve_Q5TD07_NQO2.pdf</v>
      </c>
    </row>
    <row r="3947" spans="1:28" x14ac:dyDescent="0.25">
      <c r="A3947" t="s">
        <v>3951</v>
      </c>
      <c r="B3947">
        <v>0.99252571173614901</v>
      </c>
      <c r="C3947">
        <v>0.97166891741888395</v>
      </c>
      <c r="D3947">
        <v>0.95768845415687298</v>
      </c>
      <c r="E3947">
        <v>0.73265658064907302</v>
      </c>
      <c r="F3947">
        <v>0.54002380186931098</v>
      </c>
      <c r="G3947">
        <v>0.44418917793059498</v>
      </c>
      <c r="H3947">
        <v>0.31298235984905498</v>
      </c>
      <c r="I3947">
        <v>0.26566351134858002</v>
      </c>
      <c r="J3947">
        <v>0.25308351805524198</v>
      </c>
      <c r="K3947">
        <v>0.179150805703718</v>
      </c>
      <c r="L3947">
        <v>723.60509051161398</v>
      </c>
      <c r="M3947">
        <v>13.726539010636101</v>
      </c>
      <c r="N3947">
        <v>54.651752145984503</v>
      </c>
      <c r="O3947">
        <v>51.634697168185902</v>
      </c>
      <c r="P3947">
        <v>-5.3671571370478198E-2</v>
      </c>
      <c r="Q3947">
        <v>0.192536648824254</v>
      </c>
      <c r="R3947">
        <v>0.99175550381133104</v>
      </c>
      <c r="S3947" t="s">
        <v>10593</v>
      </c>
      <c r="T3947" t="s">
        <v>13290</v>
      </c>
      <c r="U3947" t="s">
        <v>13290</v>
      </c>
      <c r="V3947" t="s">
        <v>13290</v>
      </c>
      <c r="W3947" t="s">
        <v>17191</v>
      </c>
      <c r="X3947">
        <v>1</v>
      </c>
      <c r="Y3947" t="s">
        <v>23690</v>
      </c>
      <c r="Z3947" t="s">
        <v>30277</v>
      </c>
      <c r="AA3947">
        <v>0.55465530755213932</v>
      </c>
      <c r="AB3947" t="str">
        <f>HYPERLINK("Melting_Curves/meltCurve_Q5TDC5_C6orf89.pdf", "Melting_Curves/meltCurve_Q5TDC5_C6orf89.pdf")</f>
        <v>Melting_Curves/meltCurve_Q5TDC5_C6orf89.pdf</v>
      </c>
    </row>
    <row r="3948" spans="1:28" x14ac:dyDescent="0.25">
      <c r="A3948" t="s">
        <v>3952</v>
      </c>
      <c r="B3948">
        <v>0.99252571173614901</v>
      </c>
      <c r="C3948">
        <v>0.83070171258356995</v>
      </c>
      <c r="D3948">
        <v>0.92894043976386198</v>
      </c>
      <c r="E3948">
        <v>0.68719120781773302</v>
      </c>
      <c r="F3948">
        <v>0.26777966787548702</v>
      </c>
      <c r="G3948">
        <v>0.11639349026781901</v>
      </c>
      <c r="H3948">
        <v>0.100603379191295</v>
      </c>
      <c r="I3948">
        <v>7.3801731450133995E-2</v>
      </c>
      <c r="J3948">
        <v>7.5924716076811699E-2</v>
      </c>
      <c r="K3948">
        <v>6.6365326258502805E-2</v>
      </c>
      <c r="L3948">
        <v>1274.6196477196399</v>
      </c>
      <c r="M3948">
        <v>25.138476642498599</v>
      </c>
      <c r="N3948">
        <v>51.005029727934399</v>
      </c>
      <c r="O3948">
        <v>50.386337921245698</v>
      </c>
      <c r="P3948">
        <v>-0.11612931780829901</v>
      </c>
      <c r="Q3948">
        <v>6.8956444594861693E-2</v>
      </c>
      <c r="R3948">
        <v>0.98071606920821397</v>
      </c>
      <c r="S3948" t="s">
        <v>10594</v>
      </c>
      <c r="T3948" t="s">
        <v>13290</v>
      </c>
      <c r="U3948" t="s">
        <v>13290</v>
      </c>
      <c r="V3948" t="s">
        <v>13290</v>
      </c>
      <c r="W3948" t="s">
        <v>17192</v>
      </c>
      <c r="X3948">
        <v>5</v>
      </c>
      <c r="Y3948" t="s">
        <v>23691</v>
      </c>
      <c r="Z3948" t="s">
        <v>30278</v>
      </c>
      <c r="AA3948">
        <v>0.40944334990387249</v>
      </c>
      <c r="AB3948" t="str">
        <f>HYPERLINK("Melting_Curves/meltCurve_Q5TDG9_DNAJC16.pdf", "Melting_Curves/meltCurve_Q5TDG9_DNAJC16.pdf")</f>
        <v>Melting_Curves/meltCurve_Q5TDG9_DNAJC16.pdf</v>
      </c>
    </row>
    <row r="3949" spans="1:28" x14ac:dyDescent="0.25">
      <c r="A3949" t="s">
        <v>3953</v>
      </c>
      <c r="B3949">
        <v>0.99252571173614901</v>
      </c>
      <c r="C3949">
        <v>1.0502382302591</v>
      </c>
      <c r="D3949">
        <v>0.87706338412728502</v>
      </c>
      <c r="E3949">
        <v>0.65632144895262701</v>
      </c>
      <c r="F3949">
        <v>0.27511634935257501</v>
      </c>
      <c r="G3949">
        <v>0.15640799298233099</v>
      </c>
      <c r="H3949">
        <v>0.10270196128176499</v>
      </c>
      <c r="I3949">
        <v>9.7741188480060803E-2</v>
      </c>
      <c r="J3949">
        <v>9.9148233633279695E-2</v>
      </c>
      <c r="K3949">
        <v>9.2347508238602494E-2</v>
      </c>
      <c r="L3949">
        <v>1224.5021205457199</v>
      </c>
      <c r="M3949">
        <v>24.287604557089299</v>
      </c>
      <c r="N3949">
        <v>50.8449517019816</v>
      </c>
      <c r="O3949">
        <v>50.0786957022747</v>
      </c>
      <c r="P3949">
        <v>-0.11003477375420501</v>
      </c>
      <c r="Q3949">
        <v>9.2489434843730206E-2</v>
      </c>
      <c r="R3949">
        <v>0.99557197864177505</v>
      </c>
      <c r="S3949" t="s">
        <v>10595</v>
      </c>
      <c r="T3949" t="s">
        <v>13290</v>
      </c>
      <c r="U3949" t="s">
        <v>13290</v>
      </c>
      <c r="V3949" t="s">
        <v>13290</v>
      </c>
      <c r="W3949" t="s">
        <v>17193</v>
      </c>
      <c r="X3949">
        <v>21</v>
      </c>
      <c r="Y3949" t="s">
        <v>23692</v>
      </c>
      <c r="Z3949" t="s">
        <v>30279</v>
      </c>
      <c r="AA3949">
        <v>0.4162286310106727</v>
      </c>
      <c r="AB3949" t="str">
        <f>HYPERLINK("Melting_Curves/meltCurve_Q5TDH0_DDI2.pdf", "Melting_Curves/meltCurve_Q5TDH0_DDI2.pdf")</f>
        <v>Melting_Curves/meltCurve_Q5TDH0_DDI2.pdf</v>
      </c>
    </row>
    <row r="3950" spans="1:28" x14ac:dyDescent="0.25">
      <c r="A3950" t="s">
        <v>3954</v>
      </c>
      <c r="B3950">
        <v>0.99252571173614901</v>
      </c>
      <c r="C3950">
        <v>1.01552826617142</v>
      </c>
      <c r="D3950">
        <v>0.94295482040580703</v>
      </c>
      <c r="E3950">
        <v>0.89387769644149795</v>
      </c>
      <c r="F3950">
        <v>0.66383844019905902</v>
      </c>
      <c r="G3950">
        <v>0.29826817130153099</v>
      </c>
      <c r="H3950">
        <v>9.2711455077968394E-2</v>
      </c>
      <c r="I3950">
        <v>0.112975065317258</v>
      </c>
      <c r="J3950">
        <v>0.15524075799805601</v>
      </c>
      <c r="K3950">
        <v>0.17194645079224799</v>
      </c>
      <c r="L3950">
        <v>1523.57927621058</v>
      </c>
      <c r="M3950">
        <v>28.257926762258599</v>
      </c>
      <c r="N3950">
        <v>54.465772060376104</v>
      </c>
      <c r="O3950">
        <v>53.649024781092102</v>
      </c>
      <c r="P3950">
        <v>-0.11536432071212099</v>
      </c>
      <c r="Q3950">
        <v>0.123908490427902</v>
      </c>
      <c r="R3950">
        <v>0.99153478764283398</v>
      </c>
      <c r="S3950" t="s">
        <v>10596</v>
      </c>
      <c r="T3950" t="s">
        <v>13290</v>
      </c>
      <c r="U3950" t="s">
        <v>13290</v>
      </c>
      <c r="V3950" t="s">
        <v>13290</v>
      </c>
      <c r="W3950" t="s">
        <v>17194</v>
      </c>
      <c r="X3950">
        <v>5</v>
      </c>
      <c r="Y3950" t="s">
        <v>23693</v>
      </c>
      <c r="Z3950" t="s">
        <v>30280</v>
      </c>
      <c r="AA3950">
        <v>0.53677206981447623</v>
      </c>
      <c r="AB3950" t="str">
        <f>HYPERLINK("Melting_Curves/meltCurve_Q5TEU4_2_NDUFAF5.pdf", "Melting_Curves/meltCurve_Q5TEU4_2_NDUFAF5.pdf")</f>
        <v>Melting_Curves/meltCurve_Q5TEU4_2_NDUFAF5.pdf</v>
      </c>
    </row>
    <row r="3951" spans="1:28" x14ac:dyDescent="0.25">
      <c r="A3951" t="s">
        <v>3955</v>
      </c>
      <c r="B3951">
        <v>0.99252571173614901</v>
      </c>
      <c r="C3951">
        <v>1.02353464140799</v>
      </c>
      <c r="D3951">
        <v>0.95253179479505101</v>
      </c>
      <c r="E3951">
        <v>0.85907810946827801</v>
      </c>
      <c r="F3951">
        <v>0.66774704211106295</v>
      </c>
      <c r="G3951">
        <v>0.460650074518133</v>
      </c>
      <c r="H3951">
        <v>0.18495950396913399</v>
      </c>
      <c r="I3951">
        <v>0.134040496092273</v>
      </c>
      <c r="J3951">
        <v>0.13353853538110699</v>
      </c>
      <c r="K3951">
        <v>0.11783608691118599</v>
      </c>
      <c r="L3951">
        <v>936.83745366601602</v>
      </c>
      <c r="M3951">
        <v>17.017706074092299</v>
      </c>
      <c r="N3951">
        <v>55.586880981661302</v>
      </c>
      <c r="O3951">
        <v>54.3074537597073</v>
      </c>
      <c r="P3951">
        <v>-7.2414894598297905E-2</v>
      </c>
      <c r="Q3951">
        <v>7.5686160595098306E-2</v>
      </c>
      <c r="R3951">
        <v>0.99540590614267199</v>
      </c>
      <c r="S3951" t="s">
        <v>10597</v>
      </c>
      <c r="T3951" t="s">
        <v>13290</v>
      </c>
      <c r="U3951" t="s">
        <v>13290</v>
      </c>
      <c r="V3951" t="s">
        <v>13290</v>
      </c>
      <c r="W3951" t="s">
        <v>17195</v>
      </c>
      <c r="X3951">
        <v>18</v>
      </c>
      <c r="Y3951" t="s">
        <v>23694</v>
      </c>
      <c r="Z3951" t="s">
        <v>30281</v>
      </c>
      <c r="AA3951">
        <v>0.55475519641424431</v>
      </c>
      <c r="AB3951" t="str">
        <f>HYPERLINK("Melting_Curves/meltCurve_Q5TFE4_NT5DC1.pdf", "Melting_Curves/meltCurve_Q5TFE4_NT5DC1.pdf")</f>
        <v>Melting_Curves/meltCurve_Q5TFE4_NT5DC1.pdf</v>
      </c>
    </row>
    <row r="3952" spans="1:28" x14ac:dyDescent="0.25">
      <c r="A3952" t="s">
        <v>3956</v>
      </c>
      <c r="B3952">
        <v>0.99252571173614901</v>
      </c>
      <c r="C3952">
        <v>1.00447021456216</v>
      </c>
      <c r="D3952">
        <v>0.73345802279753702</v>
      </c>
      <c r="E3952">
        <v>0.44451314749552701</v>
      </c>
      <c r="F3952">
        <v>0.15406760002223699</v>
      </c>
      <c r="G3952">
        <v>7.4394967384157198E-2</v>
      </c>
      <c r="H3952">
        <v>4.9080078838437999E-2</v>
      </c>
      <c r="I3952">
        <v>5.9055328099371501E-2</v>
      </c>
      <c r="J3952">
        <v>8.6948109090694198E-2</v>
      </c>
      <c r="K3952">
        <v>7.6214486790434105E-2</v>
      </c>
      <c r="L3952">
        <v>1082.62858128674</v>
      </c>
      <c r="M3952">
        <v>22.3489791415724</v>
      </c>
      <c r="N3952">
        <v>48.715393466418298</v>
      </c>
      <c r="O3952">
        <v>48.059143617649099</v>
      </c>
      <c r="P3952">
        <v>-0.109407265938591</v>
      </c>
      <c r="Q3952">
        <v>5.8944481991893498E-2</v>
      </c>
      <c r="R3952">
        <v>0.99418075491779401</v>
      </c>
      <c r="S3952" t="s">
        <v>10598</v>
      </c>
      <c r="T3952" t="s">
        <v>13290</v>
      </c>
      <c r="U3952" t="s">
        <v>13290</v>
      </c>
      <c r="V3952" t="s">
        <v>13290</v>
      </c>
      <c r="W3952" t="s">
        <v>17196</v>
      </c>
      <c r="X3952">
        <v>5</v>
      </c>
      <c r="Y3952" t="s">
        <v>23695</v>
      </c>
      <c r="Z3952" t="s">
        <v>30282</v>
      </c>
      <c r="AA3952">
        <v>0.33427772003146522</v>
      </c>
      <c r="AB3952" t="str">
        <f>HYPERLINK("Melting_Curves/meltCurve_Q5TH58_C6orf106.pdf", "Melting_Curves/meltCurve_Q5TH58_C6orf106.pdf")</f>
        <v>Melting_Curves/meltCurve_Q5TH58_C6orf106.pdf</v>
      </c>
    </row>
    <row r="3953" spans="1:28" x14ac:dyDescent="0.25">
      <c r="A3953" t="s">
        <v>3957</v>
      </c>
      <c r="B3953">
        <v>0.99252571173614901</v>
      </c>
      <c r="C3953">
        <v>0.88457697157604198</v>
      </c>
      <c r="D3953">
        <v>0.90756691064837902</v>
      </c>
      <c r="E3953">
        <v>0.62094641625955305</v>
      </c>
      <c r="F3953">
        <v>0.23022276784359599</v>
      </c>
      <c r="G3953">
        <v>0.11566390751139501</v>
      </c>
      <c r="H3953">
        <v>8.7306512672029796E-2</v>
      </c>
      <c r="I3953">
        <v>7.7824500724955406E-2</v>
      </c>
      <c r="J3953">
        <v>8.9969136943453196E-2</v>
      </c>
      <c r="K3953">
        <v>8.8804045872149406E-2</v>
      </c>
      <c r="L3953">
        <v>1263.2008390942401</v>
      </c>
      <c r="M3953">
        <v>25.205796054804502</v>
      </c>
      <c r="N3953">
        <v>50.4533672290951</v>
      </c>
      <c r="O3953">
        <v>49.803237601734097</v>
      </c>
      <c r="P3953">
        <v>-0.116702334089508</v>
      </c>
      <c r="Q3953">
        <v>7.7659983643218994E-2</v>
      </c>
      <c r="R3953">
        <v>0.99158203673558498</v>
      </c>
      <c r="S3953" t="s">
        <v>10599</v>
      </c>
      <c r="T3953" t="s">
        <v>13290</v>
      </c>
      <c r="U3953" t="s">
        <v>13290</v>
      </c>
      <c r="V3953" t="s">
        <v>13290</v>
      </c>
      <c r="W3953" t="s">
        <v>17197</v>
      </c>
      <c r="X3953">
        <v>14</v>
      </c>
      <c r="Y3953" t="s">
        <v>23696</v>
      </c>
      <c r="Z3953" t="s">
        <v>30283</v>
      </c>
      <c r="AA3953">
        <v>0.39677613438088649</v>
      </c>
      <c r="AB3953" t="str">
        <f>HYPERLINK("Melting_Curves/meltCurve_Q5TH69_ARFGEF3.pdf", "Melting_Curves/meltCurve_Q5TH69_ARFGEF3.pdf")</f>
        <v>Melting_Curves/meltCurve_Q5TH69_ARFGEF3.pdf</v>
      </c>
    </row>
    <row r="3954" spans="1:28" x14ac:dyDescent="0.25">
      <c r="A3954" t="s">
        <v>3958</v>
      </c>
      <c r="B3954">
        <v>0.99252571173614901</v>
      </c>
      <c r="C3954">
        <v>1.0438599893403</v>
      </c>
      <c r="D3954">
        <v>0.992986319731056</v>
      </c>
      <c r="E3954">
        <v>0.87147078919077603</v>
      </c>
      <c r="F3954">
        <v>0.42603290914557601</v>
      </c>
      <c r="G3954">
        <v>0.26385367692517298</v>
      </c>
      <c r="H3954">
        <v>0.19211180030056901</v>
      </c>
      <c r="I3954">
        <v>0.22243761922119001</v>
      </c>
      <c r="J3954">
        <v>0.30945220258921402</v>
      </c>
      <c r="K3954">
        <v>0.38577785620291999</v>
      </c>
      <c r="L3954">
        <v>2169.4957127994498</v>
      </c>
      <c r="M3954">
        <v>42.1611243099847</v>
      </c>
      <c r="N3954">
        <v>52.4386340910619</v>
      </c>
      <c r="O3954">
        <v>51.341894110771896</v>
      </c>
      <c r="P3954">
        <v>-0.14927930287425001</v>
      </c>
      <c r="Q3954">
        <v>0.272859116110511</v>
      </c>
      <c r="R3954">
        <v>0.97751288854783602</v>
      </c>
      <c r="S3954" t="s">
        <v>10600</v>
      </c>
      <c r="T3954" t="s">
        <v>13290</v>
      </c>
      <c r="U3954" t="s">
        <v>13290</v>
      </c>
      <c r="V3954" t="s">
        <v>13290</v>
      </c>
      <c r="W3954" t="s">
        <v>17198</v>
      </c>
      <c r="X3954">
        <v>5</v>
      </c>
      <c r="Y3954" t="s">
        <v>23697</v>
      </c>
      <c r="Z3954" t="s">
        <v>30284</v>
      </c>
      <c r="AA3954">
        <v>0.55288626342266689</v>
      </c>
      <c r="AB3954" t="str">
        <f>HYPERLINK("Melting_Curves/meltCurve_Q5THJ1_PRDM2.pdf", "Melting_Curves/meltCurve_Q5THJ1_PRDM2.pdf")</f>
        <v>Melting_Curves/meltCurve_Q5THJ1_PRDM2.pdf</v>
      </c>
    </row>
    <row r="3955" spans="1:28" x14ac:dyDescent="0.25">
      <c r="A3955" t="s">
        <v>3959</v>
      </c>
      <c r="B3955">
        <v>0.99252571173614901</v>
      </c>
      <c r="C3955">
        <v>0.88629632516579804</v>
      </c>
      <c r="D3955">
        <v>0.685106852706866</v>
      </c>
      <c r="E3955">
        <v>0.69385653621900101</v>
      </c>
      <c r="F3955">
        <v>0.37481388199986798</v>
      </c>
      <c r="G3955">
        <v>0.31513835873218798</v>
      </c>
      <c r="H3955">
        <v>0.33110260097133598</v>
      </c>
      <c r="I3955">
        <v>0.46174950460667102</v>
      </c>
      <c r="J3955">
        <v>0.75708227725274302</v>
      </c>
      <c r="K3955">
        <v>0.79128033991072699</v>
      </c>
      <c r="L3955">
        <v>1091.2612629697301</v>
      </c>
      <c r="M3955">
        <v>24.173454715892898</v>
      </c>
      <c r="O3955">
        <v>44.837451612846401</v>
      </c>
      <c r="P3955">
        <v>-6.4746167762666104E-2</v>
      </c>
      <c r="Q3955">
        <v>0.519637210075651</v>
      </c>
      <c r="R3955">
        <v>0.52017107921874794</v>
      </c>
      <c r="S3955" t="s">
        <v>10601</v>
      </c>
      <c r="T3955" t="s">
        <v>13290</v>
      </c>
      <c r="U3955" t="s">
        <v>13290</v>
      </c>
      <c r="V3955" t="s">
        <v>13290</v>
      </c>
      <c r="W3955" t="s">
        <v>17199</v>
      </c>
      <c r="X3955">
        <v>3</v>
      </c>
      <c r="Y3955" t="s">
        <v>23698</v>
      </c>
      <c r="Z3955" t="s">
        <v>30285</v>
      </c>
      <c r="AA3955">
        <v>0.60710018391136744</v>
      </c>
      <c r="AB3955" t="str">
        <f>HYPERLINK("Melting_Curves/meltCurve_Q5THK1_3_PRR14L.pdf", "Melting_Curves/meltCurve_Q5THK1_3_PRR14L.pdf")</f>
        <v>Melting_Curves/meltCurve_Q5THK1_3_PRR14L.pdf</v>
      </c>
    </row>
    <row r="3956" spans="1:28" x14ac:dyDescent="0.25">
      <c r="A3956" t="s">
        <v>3960</v>
      </c>
      <c r="B3956">
        <v>0.99252571173614901</v>
      </c>
      <c r="C3956">
        <v>0.89343889754188599</v>
      </c>
      <c r="D3956">
        <v>0.838161902180384</v>
      </c>
      <c r="E3956">
        <v>0.99262722223939603</v>
      </c>
      <c r="F3956">
        <v>0.657314342039792</v>
      </c>
      <c r="G3956">
        <v>0.45031550255955999</v>
      </c>
      <c r="H3956">
        <v>0.444768112266268</v>
      </c>
      <c r="I3956">
        <v>0.46775139889796002</v>
      </c>
      <c r="J3956">
        <v>0.55318558372396398</v>
      </c>
      <c r="K3956">
        <v>0.27079233557897397</v>
      </c>
      <c r="L3956">
        <v>2983.8718252198</v>
      </c>
      <c r="M3956">
        <v>56.513884795012999</v>
      </c>
      <c r="N3956">
        <v>54.778132737577103</v>
      </c>
      <c r="O3956">
        <v>52.7329269220429</v>
      </c>
      <c r="P3956">
        <v>-0.151347953959518</v>
      </c>
      <c r="Q3956">
        <v>0.43511110987107798</v>
      </c>
      <c r="R3956">
        <v>0.86655719605025605</v>
      </c>
      <c r="S3956" t="s">
        <v>10602</v>
      </c>
      <c r="T3956" t="s">
        <v>13290</v>
      </c>
      <c r="U3956" t="s">
        <v>13290</v>
      </c>
      <c r="V3956" t="s">
        <v>13290</v>
      </c>
      <c r="W3956" t="s">
        <v>17200</v>
      </c>
      <c r="X3956">
        <v>1</v>
      </c>
      <c r="Y3956" t="s">
        <v>23699</v>
      </c>
      <c r="Z3956" t="s">
        <v>30286</v>
      </c>
      <c r="AA3956">
        <v>0.67713847504332592</v>
      </c>
      <c r="AB3956" t="str">
        <f>HYPERLINK("Melting_Curves/meltCurve_Q5TIE1_SLC19A2.pdf", "Melting_Curves/meltCurve_Q5TIE1_SLC19A2.pdf")</f>
        <v>Melting_Curves/meltCurve_Q5TIE1_SLC19A2.pdf</v>
      </c>
    </row>
    <row r="3957" spans="1:28" x14ac:dyDescent="0.25">
      <c r="A3957" t="s">
        <v>3961</v>
      </c>
      <c r="B3957">
        <v>0.99252571173614901</v>
      </c>
      <c r="C3957">
        <v>0.99300326513223602</v>
      </c>
      <c r="D3957">
        <v>0.74505451672668199</v>
      </c>
      <c r="E3957">
        <v>0.58218913957207796</v>
      </c>
      <c r="F3957">
        <v>0.246763670098291</v>
      </c>
      <c r="G3957">
        <v>0.158662007019054</v>
      </c>
      <c r="H3957">
        <v>0.123382254046822</v>
      </c>
      <c r="I3957">
        <v>0.15385591808298499</v>
      </c>
      <c r="J3957">
        <v>0.23855470872829801</v>
      </c>
      <c r="K3957">
        <v>0.19621174473122699</v>
      </c>
      <c r="L3957">
        <v>1027.9594408550499</v>
      </c>
      <c r="M3957">
        <v>21.071931479504201</v>
      </c>
      <c r="N3957">
        <v>49.702027523954001</v>
      </c>
      <c r="O3957">
        <v>48.350374019552298</v>
      </c>
      <c r="P3957">
        <v>-9.1382685682657006E-2</v>
      </c>
      <c r="Q3957">
        <v>0.16129756780177301</v>
      </c>
      <c r="R3957">
        <v>0.97794668072999902</v>
      </c>
      <c r="S3957" t="s">
        <v>10603</v>
      </c>
      <c r="T3957" t="s">
        <v>13290</v>
      </c>
      <c r="U3957" t="s">
        <v>13290</v>
      </c>
      <c r="V3957" t="s">
        <v>13290</v>
      </c>
      <c r="W3957" t="s">
        <v>17201</v>
      </c>
      <c r="X3957">
        <v>13</v>
      </c>
      <c r="Y3957" t="s">
        <v>23700</v>
      </c>
      <c r="Z3957" t="s">
        <v>30287</v>
      </c>
      <c r="AA3957">
        <v>0.41742677564894398</v>
      </c>
      <c r="AB3957" t="str">
        <f>HYPERLINK("Melting_Curves/meltCurve_Q5TZA2_CROCC.pdf", "Melting_Curves/meltCurve_Q5TZA2_CROCC.pdf")</f>
        <v>Melting_Curves/meltCurve_Q5TZA2_CROCC.pdf</v>
      </c>
    </row>
    <row r="3958" spans="1:28" x14ac:dyDescent="0.25">
      <c r="A3958" t="s">
        <v>3962</v>
      </c>
      <c r="B3958">
        <v>0.99252571173614901</v>
      </c>
      <c r="C3958">
        <v>1.11298018673474</v>
      </c>
      <c r="D3958">
        <v>1.0264382952172699</v>
      </c>
      <c r="E3958">
        <v>0.97589230241652702</v>
      </c>
      <c r="F3958">
        <v>0.420055083776603</v>
      </c>
      <c r="G3958">
        <v>0.19490584358135099</v>
      </c>
      <c r="H3958">
        <v>0.12662205232064599</v>
      </c>
      <c r="I3958">
        <v>0.134930646091975</v>
      </c>
      <c r="J3958">
        <v>0.10970249324774101</v>
      </c>
      <c r="K3958">
        <v>0.127171892773075</v>
      </c>
      <c r="L3958">
        <v>2717.6381065158598</v>
      </c>
      <c r="M3958">
        <v>51.755136449126503</v>
      </c>
      <c r="N3958">
        <v>52.828448066355101</v>
      </c>
      <c r="O3958">
        <v>52.431318494737198</v>
      </c>
      <c r="P3958">
        <v>-0.21366787942965901</v>
      </c>
      <c r="Q3958">
        <v>0.134162874778012</v>
      </c>
      <c r="R3958">
        <v>0.99075014642008297</v>
      </c>
      <c r="S3958" t="s">
        <v>10604</v>
      </c>
      <c r="T3958" t="s">
        <v>13290</v>
      </c>
      <c r="U3958" t="s">
        <v>13290</v>
      </c>
      <c r="V3958" t="s">
        <v>13290</v>
      </c>
      <c r="W3958" t="s">
        <v>17202</v>
      </c>
      <c r="X3958">
        <v>6</v>
      </c>
      <c r="Y3958" t="s">
        <v>23701</v>
      </c>
      <c r="Z3958" t="s">
        <v>30288</v>
      </c>
      <c r="AA3958">
        <v>0.49707443212659019</v>
      </c>
      <c r="AB3958" t="str">
        <f>HYPERLINK("Melting_Curves/meltCurve_Q5U5X0_LYRM7.pdf", "Melting_Curves/meltCurve_Q5U5X0_LYRM7.pdf")</f>
        <v>Melting_Curves/meltCurve_Q5U5X0_LYRM7.pdf</v>
      </c>
    </row>
    <row r="3959" spans="1:28" x14ac:dyDescent="0.25">
      <c r="A3959" t="s">
        <v>3963</v>
      </c>
      <c r="B3959">
        <v>0.99252571173614901</v>
      </c>
      <c r="C3959">
        <v>0.89893614351268902</v>
      </c>
      <c r="D3959">
        <v>0.50108595220401497</v>
      </c>
      <c r="E3959">
        <v>0.248776461115846</v>
      </c>
      <c r="F3959">
        <v>0.155187935013473</v>
      </c>
      <c r="G3959">
        <v>9.6224700106713301E-2</v>
      </c>
      <c r="H3959">
        <v>8.5664901571494395E-2</v>
      </c>
      <c r="I3959">
        <v>0.10033532208085499</v>
      </c>
      <c r="J3959">
        <v>0.13957356270723401</v>
      </c>
      <c r="K3959">
        <v>0.14377018552710599</v>
      </c>
      <c r="L3959">
        <v>1234.9402327231501</v>
      </c>
      <c r="M3959">
        <v>26.991253327136899</v>
      </c>
      <c r="N3959">
        <v>46.218407702219999</v>
      </c>
      <c r="O3959">
        <v>45.5044140198059</v>
      </c>
      <c r="P3959">
        <v>-0.13065640400036099</v>
      </c>
      <c r="Q3959">
        <v>0.118916925110362</v>
      </c>
      <c r="R3959">
        <v>0.99427979570497804</v>
      </c>
      <c r="S3959" t="s">
        <v>10605</v>
      </c>
      <c r="T3959" t="s">
        <v>13290</v>
      </c>
      <c r="U3959" t="s">
        <v>13290</v>
      </c>
      <c r="V3959" t="s">
        <v>13290</v>
      </c>
      <c r="W3959" t="s">
        <v>17203</v>
      </c>
      <c r="X3959">
        <v>24</v>
      </c>
      <c r="Y3959" t="s">
        <v>23702</v>
      </c>
      <c r="Z3959" t="s">
        <v>30289</v>
      </c>
      <c r="AA3959">
        <v>0.29479642092953162</v>
      </c>
      <c r="AB3959" t="str">
        <f>HYPERLINK("Melting_Curves/meltCurve_Q5UIP0_2_RIF1.pdf", "Melting_Curves/meltCurve_Q5UIP0_2_RIF1.pdf")</f>
        <v>Melting_Curves/meltCurve_Q5UIP0_2_RIF1.pdf</v>
      </c>
    </row>
    <row r="3960" spans="1:28" x14ac:dyDescent="0.25">
      <c r="A3960" t="s">
        <v>3964</v>
      </c>
      <c r="B3960">
        <v>0.99252571173614901</v>
      </c>
      <c r="C3960">
        <v>0.92840065690584594</v>
      </c>
      <c r="D3960">
        <v>0.93141811570786204</v>
      </c>
      <c r="E3960">
        <v>0.52155385501696905</v>
      </c>
      <c r="F3960">
        <v>0.34722370632657501</v>
      </c>
      <c r="G3960">
        <v>0.22372588046138001</v>
      </c>
      <c r="H3960">
        <v>0.16502748798344299</v>
      </c>
      <c r="I3960">
        <v>0.18350332589176899</v>
      </c>
      <c r="J3960">
        <v>0.154199661749885</v>
      </c>
      <c r="K3960">
        <v>0.15252787694174599</v>
      </c>
      <c r="L3960">
        <v>1102.50584321918</v>
      </c>
      <c r="M3960">
        <v>22.278976823877802</v>
      </c>
      <c r="N3960">
        <v>50.391303780269098</v>
      </c>
      <c r="O3960">
        <v>49.092838524739101</v>
      </c>
      <c r="P3960">
        <v>-9.4749983571265795E-2</v>
      </c>
      <c r="Q3960">
        <v>0.16487222029530399</v>
      </c>
      <c r="R3960">
        <v>0.99075716295115102</v>
      </c>
      <c r="S3960" t="s">
        <v>10606</v>
      </c>
      <c r="T3960" t="s">
        <v>13290</v>
      </c>
      <c r="U3960" t="s">
        <v>13290</v>
      </c>
      <c r="V3960" t="s">
        <v>13290</v>
      </c>
      <c r="W3960" t="s">
        <v>17204</v>
      </c>
      <c r="X3960">
        <v>8</v>
      </c>
      <c r="Y3960" t="s">
        <v>23703</v>
      </c>
      <c r="Z3960" t="s">
        <v>30290</v>
      </c>
      <c r="AA3960">
        <v>0.43833471360803739</v>
      </c>
      <c r="AB3960" t="str">
        <f>HYPERLINK("Melting_Curves/meltCurve_Q5VIR6_4_VPS53.pdf", "Melting_Curves/meltCurve_Q5VIR6_4_VPS53.pdf")</f>
        <v>Melting_Curves/meltCurve_Q5VIR6_4_VPS53.pdf</v>
      </c>
    </row>
    <row r="3961" spans="1:28" x14ac:dyDescent="0.25">
      <c r="A3961" t="s">
        <v>3965</v>
      </c>
      <c r="B3961">
        <v>0.99252571173614901</v>
      </c>
      <c r="C3961">
        <v>0.95140967203690197</v>
      </c>
      <c r="D3961">
        <v>0.98721927280734401</v>
      </c>
      <c r="E3961">
        <v>0.83455788503452499</v>
      </c>
      <c r="F3961">
        <v>0.52490637601771495</v>
      </c>
      <c r="G3961">
        <v>0.236640991856124</v>
      </c>
      <c r="H3961">
        <v>0.121866107259806</v>
      </c>
      <c r="I3961">
        <v>0.106999092033407</v>
      </c>
      <c r="J3961">
        <v>0.107540837090553</v>
      </c>
      <c r="K3961">
        <v>8.6967655304919095E-2</v>
      </c>
      <c r="L3961">
        <v>1239.55454249224</v>
      </c>
      <c r="M3961">
        <v>23.421977982967299</v>
      </c>
      <c r="N3961">
        <v>53.368640751703801</v>
      </c>
      <c r="O3961">
        <v>52.541452103887302</v>
      </c>
      <c r="P3961">
        <v>-0.101542509900215</v>
      </c>
      <c r="Q3961">
        <v>8.8873193485396407E-2</v>
      </c>
      <c r="R3961">
        <v>0.99821349949799998</v>
      </c>
      <c r="S3961" t="s">
        <v>10607</v>
      </c>
      <c r="T3961" t="s">
        <v>13290</v>
      </c>
      <c r="U3961" t="s">
        <v>13290</v>
      </c>
      <c r="V3961" t="s">
        <v>13290</v>
      </c>
      <c r="W3961" t="s">
        <v>17205</v>
      </c>
      <c r="X3961">
        <v>9</v>
      </c>
      <c r="Y3961" t="s">
        <v>23704</v>
      </c>
      <c r="Z3961" t="s">
        <v>30291</v>
      </c>
      <c r="AA3961">
        <v>0.49081362339572321</v>
      </c>
      <c r="AB3961" t="str">
        <f>HYPERLINK("Melting_Curves/meltCurve_Q5VSL9_STRIP1.pdf", "Melting_Curves/meltCurve_Q5VSL9_STRIP1.pdf")</f>
        <v>Melting_Curves/meltCurve_Q5VSL9_STRIP1.pdf</v>
      </c>
    </row>
    <row r="3962" spans="1:28" x14ac:dyDescent="0.25">
      <c r="A3962" t="s">
        <v>3966</v>
      </c>
      <c r="B3962">
        <v>0.99252571173614901</v>
      </c>
      <c r="C3962">
        <v>1.0337443229799399</v>
      </c>
      <c r="D3962">
        <v>1.0023947264056601</v>
      </c>
      <c r="E3962">
        <v>1.3693226448878599</v>
      </c>
      <c r="F3962">
        <v>0.689197919440378</v>
      </c>
      <c r="G3962">
        <v>0.36422940107560398</v>
      </c>
      <c r="H3962">
        <v>0.13703907854649999</v>
      </c>
      <c r="I3962">
        <v>0.12325753202555199</v>
      </c>
      <c r="J3962">
        <v>0.10536475081071101</v>
      </c>
      <c r="K3962">
        <v>8.5864302158264294E-2</v>
      </c>
      <c r="L3962">
        <v>1983.0519069115101</v>
      </c>
      <c r="M3962">
        <v>36.147997730408598</v>
      </c>
      <c r="N3962">
        <v>55.244601879338802</v>
      </c>
      <c r="O3962">
        <v>54.692163866723</v>
      </c>
      <c r="P3962">
        <v>-0.14682111317150701</v>
      </c>
      <c r="Q3962">
        <v>0.111437440475979</v>
      </c>
      <c r="R3962">
        <v>0.92218157445481397</v>
      </c>
      <c r="S3962" t="s">
        <v>10608</v>
      </c>
      <c r="T3962" t="s">
        <v>13290</v>
      </c>
      <c r="U3962" t="s">
        <v>13290</v>
      </c>
      <c r="V3962" t="s">
        <v>13290</v>
      </c>
      <c r="W3962" t="s">
        <v>17206</v>
      </c>
      <c r="X3962">
        <v>9</v>
      </c>
      <c r="Y3962" t="s">
        <v>23705</v>
      </c>
      <c r="Z3962" t="s">
        <v>30292</v>
      </c>
      <c r="AA3962">
        <v>0.555653354892231</v>
      </c>
      <c r="AB3962" t="str">
        <f>HYPERLINK("Melting_Curves/meltCurve_Q5VST6_ABHD17B.pdf", "Melting_Curves/meltCurve_Q5VST6_ABHD17B.pdf")</f>
        <v>Melting_Curves/meltCurve_Q5VST6_ABHD17B.pdf</v>
      </c>
    </row>
    <row r="3963" spans="1:28" x14ac:dyDescent="0.25">
      <c r="A3963" t="s">
        <v>3967</v>
      </c>
      <c r="B3963">
        <v>0.99252571173614901</v>
      </c>
      <c r="C3963">
        <v>1.1358425965143599</v>
      </c>
      <c r="D3963">
        <v>0.89214118068202197</v>
      </c>
      <c r="E3963">
        <v>1.2045214658196901</v>
      </c>
      <c r="F3963">
        <v>1.0853021889212</v>
      </c>
      <c r="G3963">
        <v>1.1849504605101699</v>
      </c>
      <c r="H3963">
        <v>1.71961647739944</v>
      </c>
      <c r="I3963">
        <v>4.0540638302426997</v>
      </c>
      <c r="J3963">
        <v>7.1894277551170003</v>
      </c>
      <c r="K3963">
        <v>6.6925779230043698</v>
      </c>
      <c r="L3963">
        <v>14230.254003562</v>
      </c>
      <c r="M3963">
        <v>250</v>
      </c>
      <c r="O3963">
        <v>56.9173750801666</v>
      </c>
      <c r="P3963">
        <v>0.54904149899778598</v>
      </c>
      <c r="Q3963">
        <v>1.5</v>
      </c>
      <c r="R3963">
        <v>-0.20875567496022601</v>
      </c>
      <c r="S3963" t="s">
        <v>10609</v>
      </c>
      <c r="T3963" t="s">
        <v>13290</v>
      </c>
      <c r="U3963" t="s">
        <v>13290</v>
      </c>
      <c r="V3963" t="s">
        <v>13290</v>
      </c>
      <c r="W3963" t="s">
        <v>17207</v>
      </c>
      <c r="X3963">
        <v>1</v>
      </c>
      <c r="Y3963" t="s">
        <v>23706</v>
      </c>
      <c r="Z3963" t="s">
        <v>30293</v>
      </c>
      <c r="AA3963">
        <v>1.2179331186805911</v>
      </c>
      <c r="AB3963" t="str">
        <f>HYPERLINK("Melting_Curves/meltCurve_Q5VT06_CEP350.pdf", "Melting_Curves/meltCurve_Q5VT06_CEP350.pdf")</f>
        <v>Melting_Curves/meltCurve_Q5VT06_CEP350.pdf</v>
      </c>
    </row>
    <row r="3964" spans="1:28" x14ac:dyDescent="0.25">
      <c r="A3964" t="s">
        <v>3968</v>
      </c>
      <c r="B3964">
        <v>0.99252571173614901</v>
      </c>
      <c r="C3964">
        <v>0.96192248842846195</v>
      </c>
      <c r="D3964">
        <v>0.71640273571013902</v>
      </c>
      <c r="E3964">
        <v>0.27557721548302599</v>
      </c>
      <c r="F3964">
        <v>0.160058573369431</v>
      </c>
      <c r="G3964">
        <v>9.8100085426846798E-2</v>
      </c>
      <c r="H3964">
        <v>9.4806100641857599E-2</v>
      </c>
      <c r="I3964">
        <v>0.10706040103316</v>
      </c>
      <c r="J3964">
        <v>0.178630869357433</v>
      </c>
      <c r="K3964">
        <v>0.23780374206079799</v>
      </c>
      <c r="L3964">
        <v>1543.8357109159101</v>
      </c>
      <c r="M3964">
        <v>32.854539481377799</v>
      </c>
      <c r="N3964">
        <v>47.476539348880102</v>
      </c>
      <c r="O3964">
        <v>46.816965474068297</v>
      </c>
      <c r="P3964">
        <v>-0.15036661145369301</v>
      </c>
      <c r="Q3964">
        <v>0.14292800695449101</v>
      </c>
      <c r="R3964">
        <v>0.98625454858157302</v>
      </c>
      <c r="S3964" t="s">
        <v>10610</v>
      </c>
      <c r="T3964" t="s">
        <v>13290</v>
      </c>
      <c r="U3964" t="s">
        <v>13290</v>
      </c>
      <c r="V3964" t="s">
        <v>13290</v>
      </c>
      <c r="W3964" t="s">
        <v>17208</v>
      </c>
      <c r="X3964">
        <v>16</v>
      </c>
      <c r="Y3964" t="s">
        <v>23707</v>
      </c>
      <c r="Z3964" t="s">
        <v>30294</v>
      </c>
      <c r="AA3964">
        <v>0.3468603895762265</v>
      </c>
      <c r="AB3964" t="str">
        <f>HYPERLINK("Melting_Curves/meltCurve_Q5VT52_3_RPRD2.pdf", "Melting_Curves/meltCurve_Q5VT52_3_RPRD2.pdf")</f>
        <v>Melting_Curves/meltCurve_Q5VT52_3_RPRD2.pdf</v>
      </c>
    </row>
    <row r="3965" spans="1:28" x14ac:dyDescent="0.25">
      <c r="A3965" t="s">
        <v>3969</v>
      </c>
      <c r="B3965">
        <v>0.99252571173614901</v>
      </c>
      <c r="C3965">
        <v>0.89258768512533804</v>
      </c>
      <c r="D3965">
        <v>0.81124011714734801</v>
      </c>
      <c r="E3965">
        <v>0.66854184591314103</v>
      </c>
      <c r="F3965">
        <v>0.52723666258164503</v>
      </c>
      <c r="G3965">
        <v>0.43576148834966899</v>
      </c>
      <c r="H3965">
        <v>0.29965602388053197</v>
      </c>
      <c r="I3965">
        <v>0.15760718733811099</v>
      </c>
      <c r="J3965">
        <v>0.17844085969016199</v>
      </c>
      <c r="K3965">
        <v>0.156629173600462</v>
      </c>
      <c r="L3965">
        <v>470.03622853499502</v>
      </c>
      <c r="M3965">
        <v>8.7494225614971697</v>
      </c>
      <c r="N3965">
        <v>54.048735318075003</v>
      </c>
      <c r="O3965">
        <v>51.137201747928998</v>
      </c>
      <c r="P3965">
        <v>-4.1706017620951101E-2</v>
      </c>
      <c r="Q3965">
        <v>2.5761016600164902E-2</v>
      </c>
      <c r="R3965">
        <v>0.99176154879835898</v>
      </c>
      <c r="S3965" t="s">
        <v>10611</v>
      </c>
      <c r="T3965" t="s">
        <v>13290</v>
      </c>
      <c r="U3965" t="s">
        <v>13290</v>
      </c>
      <c r="V3965" t="s">
        <v>13290</v>
      </c>
      <c r="W3965" t="s">
        <v>17209</v>
      </c>
      <c r="X3965">
        <v>3</v>
      </c>
      <c r="Y3965" t="s">
        <v>23708</v>
      </c>
      <c r="Z3965" t="s">
        <v>30295</v>
      </c>
      <c r="AA3965">
        <v>0.50476174721568434</v>
      </c>
      <c r="AB3965" t="str">
        <f>HYPERLINK("Melting_Curves/meltCurve_Q5VT66_MARC1.pdf", "Melting_Curves/meltCurve_Q5VT66_MARC1.pdf")</f>
        <v>Melting_Curves/meltCurve_Q5VT66_MARC1.pdf</v>
      </c>
    </row>
    <row r="3966" spans="1:28" x14ac:dyDescent="0.25">
      <c r="A3966" t="s">
        <v>3970</v>
      </c>
      <c r="B3966">
        <v>0.99252571173614901</v>
      </c>
      <c r="C3966">
        <v>0.91152131490900901</v>
      </c>
      <c r="D3966">
        <v>0.85575733216819705</v>
      </c>
      <c r="E3966">
        <v>0.62367248791596497</v>
      </c>
      <c r="F3966">
        <v>0.71266802286547004</v>
      </c>
      <c r="G3966">
        <v>0.48712903754342801</v>
      </c>
      <c r="H3966">
        <v>0.452525674689853</v>
      </c>
      <c r="I3966">
        <v>0.50074115366952998</v>
      </c>
      <c r="J3966">
        <v>0.61768822971139603</v>
      </c>
      <c r="K3966">
        <v>0.47082996042805098</v>
      </c>
      <c r="L3966">
        <v>719.81913998866003</v>
      </c>
      <c r="M3966">
        <v>15.000389446644901</v>
      </c>
      <c r="O3966">
        <v>47.158083192087098</v>
      </c>
      <c r="P3966">
        <v>-3.9603960280692699E-2</v>
      </c>
      <c r="Q3966">
        <v>0.50202404185810101</v>
      </c>
      <c r="R3966">
        <v>0.88269214404119301</v>
      </c>
      <c r="S3966" t="s">
        <v>10612</v>
      </c>
      <c r="T3966" t="s">
        <v>13290</v>
      </c>
      <c r="U3966" t="s">
        <v>13290</v>
      </c>
      <c r="V3966" t="s">
        <v>13290</v>
      </c>
      <c r="W3966" t="s">
        <v>17210</v>
      </c>
      <c r="X3966">
        <v>4</v>
      </c>
      <c r="Y3966" t="s">
        <v>23709</v>
      </c>
      <c r="Z3966" t="s">
        <v>30296</v>
      </c>
      <c r="AA3966">
        <v>0.6474188291326638</v>
      </c>
      <c r="AB3966" t="str">
        <f>HYPERLINK("Melting_Curves/meltCurve_Q5VT94_GHITM.pdf", "Melting_Curves/meltCurve_Q5VT94_GHITM.pdf")</f>
        <v>Melting_Curves/meltCurve_Q5VT94_GHITM.pdf</v>
      </c>
    </row>
    <row r="3967" spans="1:28" x14ac:dyDescent="0.25">
      <c r="A3967" t="s">
        <v>3971</v>
      </c>
      <c r="B3967">
        <v>0.99252571173614901</v>
      </c>
      <c r="C3967">
        <v>1.08682197358059</v>
      </c>
      <c r="D3967">
        <v>1.00253258252411</v>
      </c>
      <c r="E3967">
        <v>0.93332331765675702</v>
      </c>
      <c r="F3967">
        <v>0.33993391618778701</v>
      </c>
      <c r="G3967">
        <v>8.8016960398946006E-2</v>
      </c>
      <c r="H3967">
        <v>5.2927641541493001E-2</v>
      </c>
      <c r="I3967">
        <v>5.6921531208032103E-2</v>
      </c>
      <c r="J3967">
        <v>7.7990750328581507E-2</v>
      </c>
      <c r="K3967">
        <v>8.0651291586268506E-2</v>
      </c>
      <c r="L3967">
        <v>2529.8312561687499</v>
      </c>
      <c r="M3967">
        <v>48.437155651892702</v>
      </c>
      <c r="N3967">
        <v>52.385601470700003</v>
      </c>
      <c r="O3967">
        <v>52.140351729150098</v>
      </c>
      <c r="P3967">
        <v>-0.21660430481544701</v>
      </c>
      <c r="Q3967">
        <v>6.7342947349751797E-2</v>
      </c>
      <c r="R3967">
        <v>0.99579685114177796</v>
      </c>
      <c r="S3967" t="s">
        <v>10613</v>
      </c>
      <c r="T3967" t="s">
        <v>13290</v>
      </c>
      <c r="U3967" t="s">
        <v>13290</v>
      </c>
      <c r="V3967" t="s">
        <v>13290</v>
      </c>
      <c r="W3967" t="s">
        <v>17211</v>
      </c>
      <c r="X3967">
        <v>11</v>
      </c>
      <c r="Y3967" t="s">
        <v>23710</v>
      </c>
      <c r="Z3967" t="s">
        <v>30297</v>
      </c>
      <c r="AA3967">
        <v>0.44981973782341372</v>
      </c>
      <c r="AB3967" t="str">
        <f>HYPERLINK("Melting_Curves/meltCurve_Q5VTL8_PRPF38B.pdf", "Melting_Curves/meltCurve_Q5VTL8_PRPF38B.pdf")</f>
        <v>Melting_Curves/meltCurve_Q5VTL8_PRPF38B.pdf</v>
      </c>
    </row>
    <row r="3968" spans="1:28" x14ac:dyDescent="0.25">
      <c r="A3968" t="s">
        <v>3972</v>
      </c>
      <c r="B3968">
        <v>0.99252571173614901</v>
      </c>
      <c r="C3968">
        <v>1.0271186635432199</v>
      </c>
      <c r="D3968">
        <v>0.91342432581473199</v>
      </c>
      <c r="E3968">
        <v>0.69261945117039803</v>
      </c>
      <c r="F3968">
        <v>0.55219610706733202</v>
      </c>
      <c r="G3968">
        <v>0.21004378845033</v>
      </c>
      <c r="H3968">
        <v>0.120944458314721</v>
      </c>
      <c r="I3968">
        <v>0.13531702592043801</v>
      </c>
      <c r="J3968">
        <v>0.16040376640686199</v>
      </c>
      <c r="K3968">
        <v>0.15057140346081799</v>
      </c>
      <c r="L3968">
        <v>969.42636988109098</v>
      </c>
      <c r="M3968">
        <v>18.649721670817399</v>
      </c>
      <c r="N3968">
        <v>52.719569663605597</v>
      </c>
      <c r="O3968">
        <v>51.394173407478704</v>
      </c>
      <c r="P3968">
        <v>-8.0290134081644995E-2</v>
      </c>
      <c r="Q3968">
        <v>0.114996718129166</v>
      </c>
      <c r="R3968">
        <v>0.98503392678412705</v>
      </c>
      <c r="S3968" t="s">
        <v>10614</v>
      </c>
      <c r="T3968" t="s">
        <v>13290</v>
      </c>
      <c r="U3968" t="s">
        <v>13290</v>
      </c>
      <c r="V3968" t="s">
        <v>13290</v>
      </c>
      <c r="W3968" t="s">
        <v>17212</v>
      </c>
      <c r="X3968">
        <v>2</v>
      </c>
      <c r="Y3968" t="s">
        <v>23711</v>
      </c>
      <c r="Z3968" t="s">
        <v>30298</v>
      </c>
      <c r="AA3968">
        <v>0.4822879434754424</v>
      </c>
      <c r="AB3968" t="str">
        <f>HYPERLINK("Melting_Curves/meltCurve_Q5VTQ0_2_TTC39B.pdf", "Melting_Curves/meltCurve_Q5VTQ0_2_TTC39B.pdf")</f>
        <v>Melting_Curves/meltCurve_Q5VTQ0_2_TTC39B.pdf</v>
      </c>
    </row>
    <row r="3969" spans="1:28" x14ac:dyDescent="0.25">
      <c r="A3969" t="s">
        <v>3973</v>
      </c>
      <c r="B3969">
        <v>0.99252571173614901</v>
      </c>
      <c r="C3969">
        <v>0.81468193872608496</v>
      </c>
      <c r="D3969">
        <v>0.445596724362115</v>
      </c>
      <c r="E3969">
        <v>0.22707630626410599</v>
      </c>
      <c r="F3969">
        <v>0.14895351782271399</v>
      </c>
      <c r="G3969">
        <v>8.7348890298682605E-2</v>
      </c>
      <c r="H3969">
        <v>6.5963156875299397E-2</v>
      </c>
      <c r="I3969">
        <v>6.7693515137198595E-2</v>
      </c>
      <c r="J3969">
        <v>7.8115246129149801E-2</v>
      </c>
      <c r="K3969">
        <v>7.8921220160137695E-2</v>
      </c>
      <c r="L3969">
        <v>1018.12206799982</v>
      </c>
      <c r="M3969">
        <v>22.420936301732599</v>
      </c>
      <c r="N3969">
        <v>45.770575024431899</v>
      </c>
      <c r="O3969">
        <v>45.052833832341797</v>
      </c>
      <c r="P3969">
        <v>-0.114330684739171</v>
      </c>
      <c r="Q3969">
        <v>8.1070624756034201E-2</v>
      </c>
      <c r="R3969">
        <v>0.99558712726950005</v>
      </c>
      <c r="S3969" t="s">
        <v>10615</v>
      </c>
      <c r="T3969" t="s">
        <v>13290</v>
      </c>
      <c r="U3969" t="s">
        <v>13290</v>
      </c>
      <c r="V3969" t="s">
        <v>13290</v>
      </c>
      <c r="W3969" t="s">
        <v>17213</v>
      </c>
      <c r="X3969">
        <v>27</v>
      </c>
      <c r="Y3969" t="s">
        <v>23712</v>
      </c>
      <c r="Z3969" t="s">
        <v>30299</v>
      </c>
      <c r="AA3969">
        <v>0.25817677366541708</v>
      </c>
      <c r="AB3969" t="str">
        <f>HYPERLINK("Melting_Curves/meltCurve_Q5VTR2_RNF20.pdf", "Melting_Curves/meltCurve_Q5VTR2_RNF20.pdf")</f>
        <v>Melting_Curves/meltCurve_Q5VTR2_RNF20.pdf</v>
      </c>
    </row>
    <row r="3970" spans="1:28" x14ac:dyDescent="0.25">
      <c r="A3970" t="s">
        <v>3974</v>
      </c>
      <c r="B3970">
        <v>0.99252571173614901</v>
      </c>
      <c r="C3970">
        <v>0.86478927062113597</v>
      </c>
      <c r="D3970">
        <v>1.34816629169688</v>
      </c>
      <c r="E3970">
        <v>1.2414885728938001</v>
      </c>
      <c r="F3970">
        <v>0.94828594240298303</v>
      </c>
      <c r="G3970">
        <v>0.33219861255179101</v>
      </c>
      <c r="H3970">
        <v>0.19849469678216999</v>
      </c>
      <c r="I3970">
        <v>0.17456593654612099</v>
      </c>
      <c r="J3970">
        <v>0.22720461519584501</v>
      </c>
      <c r="K3970">
        <v>0.172542400488084</v>
      </c>
      <c r="L3970">
        <v>3642.6134289593801</v>
      </c>
      <c r="M3970">
        <v>65.702883443586799</v>
      </c>
      <c r="N3970">
        <v>55.854464019342103</v>
      </c>
      <c r="O3970">
        <v>55.389401579267599</v>
      </c>
      <c r="P3970">
        <v>-0.23941159780690199</v>
      </c>
      <c r="Q3970">
        <v>0.192677054607682</v>
      </c>
      <c r="R3970">
        <v>0.90134739408706499</v>
      </c>
      <c r="S3970" t="s">
        <v>10616</v>
      </c>
      <c r="T3970" t="s">
        <v>13290</v>
      </c>
      <c r="U3970" t="s">
        <v>13290</v>
      </c>
      <c r="V3970" t="s">
        <v>13290</v>
      </c>
      <c r="W3970" t="s">
        <v>17214</v>
      </c>
      <c r="X3970">
        <v>1</v>
      </c>
      <c r="Y3970" t="s">
        <v>23713</v>
      </c>
      <c r="Z3970" t="s">
        <v>30300</v>
      </c>
      <c r="AA3970">
        <v>0.60933856122487395</v>
      </c>
      <c r="AB3970" t="str">
        <f>HYPERLINK("Melting_Curves/meltCurve_Q5VTU3_DYNLT1.pdf", "Melting_Curves/meltCurve_Q5VTU3_DYNLT1.pdf")</f>
        <v>Melting_Curves/meltCurve_Q5VTU3_DYNLT1.pdf</v>
      </c>
    </row>
    <row r="3971" spans="1:28" x14ac:dyDescent="0.25">
      <c r="A3971" t="s">
        <v>3975</v>
      </c>
      <c r="B3971">
        <v>0.99252571173614901</v>
      </c>
      <c r="C3971">
        <v>0.65068753673095003</v>
      </c>
      <c r="D3971">
        <v>0.70147265705473105</v>
      </c>
      <c r="E3971">
        <v>0.46411552587842397</v>
      </c>
      <c r="F3971">
        <v>0.27131663112103399</v>
      </c>
      <c r="G3971">
        <v>0.178198951354126</v>
      </c>
      <c r="H3971">
        <v>0.185895284728468</v>
      </c>
      <c r="I3971">
        <v>0.12991517681164599</v>
      </c>
      <c r="J3971">
        <v>0.20166991935262299</v>
      </c>
      <c r="K3971">
        <v>0.24826177629327301</v>
      </c>
      <c r="L3971">
        <v>609.11953878345003</v>
      </c>
      <c r="M3971">
        <v>13.0537583219669</v>
      </c>
      <c r="N3971">
        <v>48.080466705484199</v>
      </c>
      <c r="O3971">
        <v>45.608042322280902</v>
      </c>
      <c r="P3971">
        <v>-6.0131889570377801E-2</v>
      </c>
      <c r="Q3971">
        <v>0.159775754854071</v>
      </c>
      <c r="R3971">
        <v>0.93432417224145103</v>
      </c>
      <c r="S3971" t="s">
        <v>10617</v>
      </c>
      <c r="T3971" t="s">
        <v>13290</v>
      </c>
      <c r="U3971" t="s">
        <v>13290</v>
      </c>
      <c r="V3971" t="s">
        <v>13290</v>
      </c>
      <c r="W3971" t="s">
        <v>17215</v>
      </c>
      <c r="X3971">
        <v>1</v>
      </c>
      <c r="Y3971" t="s">
        <v>23714</v>
      </c>
      <c r="Z3971" t="s">
        <v>30301</v>
      </c>
      <c r="AA3971">
        <v>0.37723966998533348</v>
      </c>
      <c r="AB3971" t="str">
        <f>HYPERLINK("Melting_Curves/meltCurve_Q5VTZ4_ATF3.pdf", "Melting_Curves/meltCurve_Q5VTZ4_ATF3.pdf")</f>
        <v>Melting_Curves/meltCurve_Q5VTZ4_ATF3.pdf</v>
      </c>
    </row>
    <row r="3972" spans="1:28" x14ac:dyDescent="0.25">
      <c r="A3972" t="s">
        <v>3976</v>
      </c>
      <c r="B3972">
        <v>0.99252571173614901</v>
      </c>
      <c r="C3972">
        <v>1.0830293862615701</v>
      </c>
      <c r="D3972">
        <v>0.97035439969418902</v>
      </c>
      <c r="E3972">
        <v>0.94688185245063305</v>
      </c>
      <c r="F3972">
        <v>0.98211618028353598</v>
      </c>
      <c r="G3972">
        <v>0.822668435471407</v>
      </c>
      <c r="H3972">
        <v>0.75073436234946</v>
      </c>
      <c r="I3972">
        <v>1.0572432454738501</v>
      </c>
      <c r="J3972">
        <v>1.5656209518842501</v>
      </c>
      <c r="K3972">
        <v>1.6360253677196399</v>
      </c>
      <c r="L3972">
        <v>15000</v>
      </c>
      <c r="M3972">
        <v>232.33121458805101</v>
      </c>
      <c r="O3972">
        <v>64.558215288244398</v>
      </c>
      <c r="P3972">
        <v>0.449848276443015</v>
      </c>
      <c r="Q3972">
        <v>1.5</v>
      </c>
      <c r="R3972">
        <v>0.83396568963529805</v>
      </c>
      <c r="S3972" t="s">
        <v>10618</v>
      </c>
      <c r="T3972" t="s">
        <v>13290</v>
      </c>
      <c r="U3972" t="s">
        <v>13290</v>
      </c>
      <c r="V3972" t="s">
        <v>13290</v>
      </c>
      <c r="W3972" t="s">
        <v>17216</v>
      </c>
      <c r="X3972">
        <v>50</v>
      </c>
      <c r="Y3972" t="s">
        <v>20956</v>
      </c>
      <c r="Z3972" t="s">
        <v>30302</v>
      </c>
      <c r="AA3972">
        <v>1.090551081145853</v>
      </c>
      <c r="AB3972" t="str">
        <f>HYPERLINK("Melting_Curves/meltCurve_Q5VU58_TPM3.pdf", "Melting_Curves/meltCurve_Q5VU58_TPM3.pdf")</f>
        <v>Melting_Curves/meltCurve_Q5VU58_TPM3.pdf</v>
      </c>
    </row>
    <row r="3973" spans="1:28" x14ac:dyDescent="0.25">
      <c r="A3973" t="s">
        <v>3977</v>
      </c>
      <c r="B3973">
        <v>0.99252571173614901</v>
      </c>
      <c r="C3973">
        <v>0.60752527746160001</v>
      </c>
      <c r="D3973">
        <v>0.44299727191844501</v>
      </c>
      <c r="E3973">
        <v>0.356808343331388</v>
      </c>
      <c r="F3973">
        <v>0.17948101691037899</v>
      </c>
      <c r="G3973">
        <v>0.115346301705881</v>
      </c>
      <c r="H3973">
        <v>9.3630126243956405E-2</v>
      </c>
      <c r="I3973">
        <v>0.13035845006495</v>
      </c>
      <c r="J3973">
        <v>0.20107398735273399</v>
      </c>
      <c r="K3973">
        <v>0.31418590800840002</v>
      </c>
      <c r="L3973">
        <v>832.82731101078696</v>
      </c>
      <c r="M3973">
        <v>18.900499192908701</v>
      </c>
      <c r="N3973">
        <v>45.098480113032203</v>
      </c>
      <c r="O3973">
        <v>43.579388399010497</v>
      </c>
      <c r="P3973">
        <v>-8.9354302577605793E-2</v>
      </c>
      <c r="Q3973">
        <v>0.17592700992245999</v>
      </c>
      <c r="R3973">
        <v>0.91478163789232003</v>
      </c>
      <c r="S3973" t="s">
        <v>10619</v>
      </c>
      <c r="T3973" t="s">
        <v>13290</v>
      </c>
      <c r="U3973" t="s">
        <v>13290</v>
      </c>
      <c r="V3973" t="s">
        <v>13290</v>
      </c>
      <c r="W3973" t="s">
        <v>17217</v>
      </c>
      <c r="X3973">
        <v>14</v>
      </c>
      <c r="Y3973" t="s">
        <v>23715</v>
      </c>
      <c r="Z3973" t="s">
        <v>30303</v>
      </c>
      <c r="AA3973">
        <v>0.30558731925630173</v>
      </c>
      <c r="AB3973" t="str">
        <f>HYPERLINK("Melting_Curves/meltCurve_Q5VUA4_ZNF318.pdf", "Melting_Curves/meltCurve_Q5VUA4_ZNF318.pdf")</f>
        <v>Melting_Curves/meltCurve_Q5VUA4_ZNF318.pdf</v>
      </c>
    </row>
    <row r="3974" spans="1:28" x14ac:dyDescent="0.25">
      <c r="A3974" t="s">
        <v>3978</v>
      </c>
      <c r="B3974">
        <v>0.99252571173614901</v>
      </c>
      <c r="C3974">
        <v>1.0994263787402501</v>
      </c>
      <c r="D3974">
        <v>0.95018089777039905</v>
      </c>
      <c r="E3974">
        <v>0.89133312711982304</v>
      </c>
      <c r="F3974">
        <v>0.70072628089623401</v>
      </c>
      <c r="G3974">
        <v>0.59503112639014999</v>
      </c>
      <c r="H3974">
        <v>0.56479460170413498</v>
      </c>
      <c r="I3974">
        <v>0.57847543872766705</v>
      </c>
      <c r="J3974">
        <v>0.67969874266371899</v>
      </c>
      <c r="K3974">
        <v>0.70039680597313902</v>
      </c>
      <c r="L3974">
        <v>1771.1517158289801</v>
      </c>
      <c r="M3974">
        <v>34.831393847011803</v>
      </c>
      <c r="O3974">
        <v>50.682564130711697</v>
      </c>
      <c r="P3974">
        <v>-6.4705019216792101E-2</v>
      </c>
      <c r="Q3974">
        <v>0.62339674532785005</v>
      </c>
      <c r="R3974">
        <v>0.91579683289611402</v>
      </c>
      <c r="S3974" t="s">
        <v>10620</v>
      </c>
      <c r="T3974" t="s">
        <v>13290</v>
      </c>
      <c r="U3974" t="s">
        <v>13290</v>
      </c>
      <c r="V3974" t="s">
        <v>13290</v>
      </c>
      <c r="W3974" t="s">
        <v>17218</v>
      </c>
      <c r="X3974">
        <v>2</v>
      </c>
      <c r="Y3974" t="s">
        <v>23716</v>
      </c>
      <c r="Z3974" t="s">
        <v>30304</v>
      </c>
      <c r="AA3974">
        <v>0.76134200191482149</v>
      </c>
      <c r="AB3974" t="str">
        <f>HYPERLINK("Melting_Curves/meltCurve_Q5VUE5_C1orf53.pdf", "Melting_Curves/meltCurve_Q5VUE5_C1orf53.pdf")</f>
        <v>Melting_Curves/meltCurve_Q5VUE5_C1orf53.pdf</v>
      </c>
    </row>
    <row r="3975" spans="1:28" x14ac:dyDescent="0.25">
      <c r="A3975" t="s">
        <v>3979</v>
      </c>
      <c r="B3975">
        <v>0.99252571173614901</v>
      </c>
      <c r="C3975">
        <v>1.13538405617294</v>
      </c>
      <c r="D3975">
        <v>1.02760506770022</v>
      </c>
      <c r="E3975">
        <v>1.4108120187770701</v>
      </c>
      <c r="F3975">
        <v>0.61782729219598598</v>
      </c>
      <c r="G3975">
        <v>0.53311964390188304</v>
      </c>
      <c r="H3975">
        <v>0.564212970609138</v>
      </c>
      <c r="I3975">
        <v>1.00173903318813</v>
      </c>
      <c r="J3975">
        <v>1.66810129078188</v>
      </c>
      <c r="K3975">
        <v>1.6239142291768001</v>
      </c>
      <c r="L3975">
        <v>15000</v>
      </c>
      <c r="M3975">
        <v>230.48607538631299</v>
      </c>
      <c r="O3975">
        <v>65.074953542090199</v>
      </c>
      <c r="P3975">
        <v>0.44273192372157999</v>
      </c>
      <c r="Q3975">
        <v>1.5</v>
      </c>
      <c r="R3975">
        <v>0.49125716387080698</v>
      </c>
      <c r="S3975" t="s">
        <v>10621</v>
      </c>
      <c r="T3975" t="s">
        <v>13290</v>
      </c>
      <c r="U3975" t="s">
        <v>13290</v>
      </c>
      <c r="V3975" t="s">
        <v>13290</v>
      </c>
      <c r="W3975" t="s">
        <v>17219</v>
      </c>
      <c r="X3975">
        <v>5</v>
      </c>
      <c r="Y3975" t="s">
        <v>23717</v>
      </c>
      <c r="Z3975" t="s">
        <v>30305</v>
      </c>
      <c r="AA3975">
        <v>1.0819352547294849</v>
      </c>
      <c r="AB3975" t="str">
        <f>HYPERLINK("Melting_Curves/meltCurve_Q5VUM1_C6orf57.pdf", "Melting_Curves/meltCurve_Q5VUM1_C6orf57.pdf")</f>
        <v>Melting_Curves/meltCurve_Q5VUM1_C6orf57.pdf</v>
      </c>
    </row>
    <row r="3976" spans="1:28" x14ac:dyDescent="0.25">
      <c r="A3976" t="s">
        <v>3980</v>
      </c>
      <c r="B3976">
        <v>0.99252571173614901</v>
      </c>
      <c r="C3976">
        <v>0.905806990519892</v>
      </c>
      <c r="D3976">
        <v>0.55742527084752602</v>
      </c>
      <c r="E3976">
        <v>0.18569679083980101</v>
      </c>
      <c r="F3976">
        <v>0.10638821314896101</v>
      </c>
      <c r="G3976">
        <v>6.0751957071806001E-2</v>
      </c>
      <c r="H3976">
        <v>4.9942673096036699E-2</v>
      </c>
      <c r="I3976">
        <v>5.3955889121826597E-2</v>
      </c>
      <c r="J3976">
        <v>7.2829421693374294E-2</v>
      </c>
      <c r="K3976">
        <v>6.6603075548048493E-2</v>
      </c>
      <c r="L3976">
        <v>1275.0256936113001</v>
      </c>
      <c r="M3976">
        <v>27.590770744554</v>
      </c>
      <c r="N3976">
        <v>46.437833242916703</v>
      </c>
      <c r="O3976">
        <v>45.971319907612497</v>
      </c>
      <c r="P3976">
        <v>-0.14062616527785801</v>
      </c>
      <c r="Q3976">
        <v>6.2771865226890794E-2</v>
      </c>
      <c r="R3976">
        <v>0.99928535020570797</v>
      </c>
      <c r="S3976" t="s">
        <v>10622</v>
      </c>
      <c r="T3976" t="s">
        <v>13290</v>
      </c>
      <c r="U3976" t="s">
        <v>13290</v>
      </c>
      <c r="V3976" t="s">
        <v>13290</v>
      </c>
      <c r="W3976" t="s">
        <v>17220</v>
      </c>
      <c r="X3976">
        <v>26</v>
      </c>
      <c r="Y3976" t="s">
        <v>23718</v>
      </c>
      <c r="Z3976" t="s">
        <v>30306</v>
      </c>
      <c r="AA3976">
        <v>0.26369309880130293</v>
      </c>
      <c r="AB3976" t="str">
        <f>HYPERLINK("Melting_Curves/meltCurve_Q5VV41_ARHGEF16.pdf", "Melting_Curves/meltCurve_Q5VV41_ARHGEF16.pdf")</f>
        <v>Melting_Curves/meltCurve_Q5VV41_ARHGEF16.pdf</v>
      </c>
    </row>
    <row r="3977" spans="1:28" x14ac:dyDescent="0.25">
      <c r="A3977" t="s">
        <v>3981</v>
      </c>
      <c r="B3977">
        <v>0.99252571173614901</v>
      </c>
      <c r="C3977">
        <v>0.83320231614039397</v>
      </c>
      <c r="D3977">
        <v>0.70167290532988602</v>
      </c>
      <c r="E3977">
        <v>0.47774785718768398</v>
      </c>
      <c r="F3977">
        <v>0.28850948843240998</v>
      </c>
      <c r="G3977">
        <v>0.156610612153217</v>
      </c>
      <c r="H3977">
        <v>0.107077515250163</v>
      </c>
      <c r="I3977">
        <v>0.11173970397094</v>
      </c>
      <c r="J3977">
        <v>9.65124480922918E-2</v>
      </c>
      <c r="K3977">
        <v>7.7853603269329497E-2</v>
      </c>
      <c r="L3977">
        <v>665.825920093072</v>
      </c>
      <c r="M3977">
        <v>13.7191600847488</v>
      </c>
      <c r="N3977">
        <v>49.036850061865501</v>
      </c>
      <c r="O3977">
        <v>47.536235982129199</v>
      </c>
      <c r="P3977">
        <v>-6.7413665879069704E-2</v>
      </c>
      <c r="Q3977">
        <v>6.5793241740587899E-2</v>
      </c>
      <c r="R3977">
        <v>0.99633134212783603</v>
      </c>
      <c r="S3977" t="s">
        <v>10623</v>
      </c>
      <c r="T3977" t="s">
        <v>13290</v>
      </c>
      <c r="U3977" t="s">
        <v>13290</v>
      </c>
      <c r="V3977" t="s">
        <v>13290</v>
      </c>
      <c r="W3977" t="s">
        <v>17221</v>
      </c>
      <c r="X3977">
        <v>5</v>
      </c>
      <c r="Y3977" t="s">
        <v>23719</v>
      </c>
      <c r="Z3977" t="s">
        <v>30307</v>
      </c>
      <c r="AA3977">
        <v>0.3593020667072172</v>
      </c>
      <c r="AB3977" t="str">
        <f>HYPERLINK("Melting_Curves/meltCurve_Q5VV42_CDKAL1.pdf", "Melting_Curves/meltCurve_Q5VV42_CDKAL1.pdf")</f>
        <v>Melting_Curves/meltCurve_Q5VV42_CDKAL1.pdf</v>
      </c>
    </row>
    <row r="3978" spans="1:28" x14ac:dyDescent="0.25">
      <c r="A3978" t="s">
        <v>3982</v>
      </c>
      <c r="B3978">
        <v>0.99252571173614901</v>
      </c>
      <c r="C3978">
        <v>1.1396236665286901</v>
      </c>
      <c r="D3978">
        <v>0.99745236507757096</v>
      </c>
      <c r="E3978">
        <v>1.0743889756939</v>
      </c>
      <c r="F3978">
        <v>0.69645726146256703</v>
      </c>
      <c r="G3978">
        <v>0.49872132451819901</v>
      </c>
      <c r="H3978">
        <v>0.48285942120277697</v>
      </c>
      <c r="I3978">
        <v>0.63460652148589403</v>
      </c>
      <c r="J3978">
        <v>0.94069881356154605</v>
      </c>
      <c r="K3978">
        <v>0.99790782028980096</v>
      </c>
      <c r="L3978">
        <v>7191.7770175453097</v>
      </c>
      <c r="M3978">
        <v>139.29496775716899</v>
      </c>
      <c r="O3978">
        <v>51.619215342412701</v>
      </c>
      <c r="P3978">
        <v>-0.19709458415191899</v>
      </c>
      <c r="Q3978">
        <v>0.70784688190303702</v>
      </c>
      <c r="R3978">
        <v>0.50674846893124603</v>
      </c>
      <c r="S3978" t="s">
        <v>10624</v>
      </c>
      <c r="T3978" t="s">
        <v>13290</v>
      </c>
      <c r="U3978" t="s">
        <v>13290</v>
      </c>
      <c r="V3978" t="s">
        <v>13290</v>
      </c>
      <c r="W3978" t="s">
        <v>17222</v>
      </c>
      <c r="X3978">
        <v>5</v>
      </c>
      <c r="Y3978" t="s">
        <v>23720</v>
      </c>
      <c r="Z3978" t="s">
        <v>30308</v>
      </c>
      <c r="AA3978">
        <v>0.8211886690083271</v>
      </c>
      <c r="AB3978" t="str">
        <f>HYPERLINK("Melting_Curves/meltCurve_Q5VV50_ZNF691.pdf", "Melting_Curves/meltCurve_Q5VV50_ZNF691.pdf")</f>
        <v>Melting_Curves/meltCurve_Q5VV50_ZNF691.pdf</v>
      </c>
    </row>
    <row r="3979" spans="1:28" x14ac:dyDescent="0.25">
      <c r="A3979" t="s">
        <v>3983</v>
      </c>
      <c r="B3979">
        <v>0.99252571173614901</v>
      </c>
      <c r="C3979">
        <v>0.94225252383074298</v>
      </c>
      <c r="D3979">
        <v>1.23723349647109</v>
      </c>
      <c r="E3979">
        <v>0.91339888078018405</v>
      </c>
      <c r="F3979">
        <v>0.67610610653190495</v>
      </c>
      <c r="G3979">
        <v>0.57757028139370803</v>
      </c>
      <c r="H3979">
        <v>0.43879743408420901</v>
      </c>
      <c r="I3979">
        <v>0.32789949236360699</v>
      </c>
      <c r="J3979">
        <v>0.35230283353636699</v>
      </c>
      <c r="K3979">
        <v>0.25792401605145798</v>
      </c>
      <c r="L3979">
        <v>1022.62696318775</v>
      </c>
      <c r="M3979">
        <v>18.6122071681359</v>
      </c>
      <c r="N3979">
        <v>57.743857835671101</v>
      </c>
      <c r="O3979">
        <v>54.321399857414903</v>
      </c>
      <c r="P3979">
        <v>-6.0201005297713897E-2</v>
      </c>
      <c r="Q3979">
        <v>0.29722220654147202</v>
      </c>
      <c r="R3979">
        <v>0.91982982704548699</v>
      </c>
      <c r="S3979" t="s">
        <v>10625</v>
      </c>
      <c r="T3979" t="s">
        <v>13290</v>
      </c>
      <c r="U3979" t="s">
        <v>13290</v>
      </c>
      <c r="V3979" t="s">
        <v>13290</v>
      </c>
      <c r="W3979" t="s">
        <v>17223</v>
      </c>
      <c r="X3979">
        <v>1</v>
      </c>
      <c r="Y3979" t="s">
        <v>23721</v>
      </c>
      <c r="Z3979" t="s">
        <v>30309</v>
      </c>
      <c r="AA3979">
        <v>0.65770107155331969</v>
      </c>
      <c r="AB3979" t="str">
        <f>HYPERLINK("Melting_Curves/meltCurve_Q5VV87_MGST3.pdf", "Melting_Curves/meltCurve_Q5VV87_MGST3.pdf")</f>
        <v>Melting_Curves/meltCurve_Q5VV87_MGST3.pdf</v>
      </c>
    </row>
    <row r="3980" spans="1:28" x14ac:dyDescent="0.25">
      <c r="A3980" t="s">
        <v>3984</v>
      </c>
      <c r="B3980">
        <v>0.99252571173614901</v>
      </c>
      <c r="C3980">
        <v>0.90711003438127302</v>
      </c>
      <c r="D3980">
        <v>0.50179748347482001</v>
      </c>
      <c r="E3980">
        <v>0.27911209369208601</v>
      </c>
      <c r="F3980">
        <v>0.141049391875219</v>
      </c>
      <c r="G3980">
        <v>6.4092032388591305E-2</v>
      </c>
      <c r="H3980">
        <v>4.4173119988294297E-2</v>
      </c>
      <c r="I3980">
        <v>5.8006138383258903E-2</v>
      </c>
      <c r="J3980">
        <v>0.10406806002430399</v>
      </c>
      <c r="K3980">
        <v>0.11133205881403201</v>
      </c>
      <c r="L3980">
        <v>1070.9481775546601</v>
      </c>
      <c r="M3980">
        <v>23.224252136729302</v>
      </c>
      <c r="N3980">
        <v>46.467905327324502</v>
      </c>
      <c r="O3980">
        <v>45.775551883642898</v>
      </c>
      <c r="P3980">
        <v>-0.116541895234097</v>
      </c>
      <c r="Q3980">
        <v>8.1189418984286402E-2</v>
      </c>
      <c r="R3980">
        <v>0.98960034948880005</v>
      </c>
      <c r="S3980" t="s">
        <v>10626</v>
      </c>
      <c r="T3980" t="s">
        <v>13290</v>
      </c>
      <c r="U3980" t="s">
        <v>13290</v>
      </c>
      <c r="V3980" t="s">
        <v>13290</v>
      </c>
      <c r="W3980" t="s">
        <v>17224</v>
      </c>
      <c r="X3980">
        <v>1</v>
      </c>
      <c r="Y3980" t="s">
        <v>23722</v>
      </c>
      <c r="Z3980" t="s">
        <v>30310</v>
      </c>
      <c r="AA3980">
        <v>0.27842223566272117</v>
      </c>
      <c r="AB3980" t="str">
        <f>HYPERLINK("Melting_Curves/meltCurve_Q5VVJ2_2_MYSM1.pdf", "Melting_Curves/meltCurve_Q5VVJ2_2_MYSM1.pdf")</f>
        <v>Melting_Curves/meltCurve_Q5VVJ2_2_MYSM1.pdf</v>
      </c>
    </row>
    <row r="3981" spans="1:28" x14ac:dyDescent="0.25">
      <c r="A3981" t="s">
        <v>3985</v>
      </c>
      <c r="B3981">
        <v>0.99252571173614901</v>
      </c>
      <c r="C3981">
        <v>1.05521382662908</v>
      </c>
      <c r="D3981">
        <v>0.74106866665711901</v>
      </c>
      <c r="E3981">
        <v>0.29353257754117501</v>
      </c>
      <c r="F3981">
        <v>0.14417927995044899</v>
      </c>
      <c r="G3981">
        <v>9.6208333439605206E-2</v>
      </c>
      <c r="H3981">
        <v>6.4139074595085402E-2</v>
      </c>
      <c r="I3981">
        <v>7.0461554448331604E-2</v>
      </c>
      <c r="J3981">
        <v>8.5516660121385799E-2</v>
      </c>
      <c r="K3981">
        <v>8.8050418006195397E-2</v>
      </c>
      <c r="L3981">
        <v>1469.9639118924499</v>
      </c>
      <c r="M3981">
        <v>30.890174671750302</v>
      </c>
      <c r="N3981">
        <v>47.873764093775598</v>
      </c>
      <c r="O3981">
        <v>47.388678646242298</v>
      </c>
      <c r="P3981">
        <v>-0.14918957824273199</v>
      </c>
      <c r="Q3981">
        <v>8.45171899032372E-2</v>
      </c>
      <c r="R3981">
        <v>0.99364523187194098</v>
      </c>
      <c r="S3981" t="s">
        <v>10627</v>
      </c>
      <c r="T3981" t="s">
        <v>13290</v>
      </c>
      <c r="U3981" t="s">
        <v>13290</v>
      </c>
      <c r="V3981" t="s">
        <v>13290</v>
      </c>
      <c r="W3981" t="s">
        <v>17225</v>
      </c>
      <c r="X3981">
        <v>9</v>
      </c>
      <c r="Y3981" t="s">
        <v>23723</v>
      </c>
      <c r="Z3981" t="s">
        <v>30311</v>
      </c>
      <c r="AA3981">
        <v>0.32120195763711812</v>
      </c>
      <c r="AB3981" t="str">
        <f>HYPERLINK("Melting_Curves/meltCurve_Q5VVQ6_2_YOD1.pdf", "Melting_Curves/meltCurve_Q5VVQ6_2_YOD1.pdf")</f>
        <v>Melting_Curves/meltCurve_Q5VVQ6_2_YOD1.pdf</v>
      </c>
    </row>
    <row r="3982" spans="1:28" x14ac:dyDescent="0.25">
      <c r="A3982" t="s">
        <v>3986</v>
      </c>
      <c r="B3982">
        <v>0.99252571173614901</v>
      </c>
      <c r="C3982">
        <v>1.0885688229285899</v>
      </c>
      <c r="D3982">
        <v>0.95259380783314196</v>
      </c>
      <c r="E3982">
        <v>0.860835026809745</v>
      </c>
      <c r="F3982">
        <v>0.74654242589955999</v>
      </c>
      <c r="G3982">
        <v>0.60721960420863796</v>
      </c>
      <c r="H3982">
        <v>0.54090223470568</v>
      </c>
      <c r="I3982">
        <v>0.68831180537314196</v>
      </c>
      <c r="J3982">
        <v>0.96159924050381196</v>
      </c>
      <c r="K3982">
        <v>1.1247573031040199</v>
      </c>
      <c r="L3982">
        <v>2048.5311623304501</v>
      </c>
      <c r="M3982">
        <v>42.148894157230799</v>
      </c>
      <c r="O3982">
        <v>48.493206643066898</v>
      </c>
      <c r="P3982">
        <v>-4.8043878364238103E-2</v>
      </c>
      <c r="Q3982">
        <v>0.778898221619715</v>
      </c>
      <c r="R3982">
        <v>0.29630020076046898</v>
      </c>
      <c r="S3982" t="s">
        <v>10628</v>
      </c>
      <c r="T3982" t="s">
        <v>13290</v>
      </c>
      <c r="U3982" t="s">
        <v>13290</v>
      </c>
      <c r="V3982" t="s">
        <v>13290</v>
      </c>
      <c r="W3982" t="s">
        <v>17226</v>
      </c>
      <c r="X3982">
        <v>8</v>
      </c>
      <c r="Y3982" t="s">
        <v>23724</v>
      </c>
      <c r="Z3982" t="s">
        <v>30312</v>
      </c>
      <c r="AA3982">
        <v>0.8429665086928213</v>
      </c>
      <c r="AB3982" t="str">
        <f>HYPERLINK("Melting_Curves/meltCurve_Q5VW27_NFIB.pdf", "Melting_Curves/meltCurve_Q5VW27_NFIB.pdf")</f>
        <v>Melting_Curves/meltCurve_Q5VW27_NFIB.pdf</v>
      </c>
    </row>
    <row r="3983" spans="1:28" x14ac:dyDescent="0.25">
      <c r="A3983" t="s">
        <v>3987</v>
      </c>
      <c r="B3983">
        <v>0.99252571173614901</v>
      </c>
      <c r="C3983">
        <v>1.0516355797338399</v>
      </c>
      <c r="D3983">
        <v>0.97768397214689096</v>
      </c>
      <c r="E3983">
        <v>0.38701017297782397</v>
      </c>
      <c r="F3983">
        <v>0.153598205353531</v>
      </c>
      <c r="G3983">
        <v>8.5327150756698597E-2</v>
      </c>
      <c r="H3983">
        <v>4.9796560698167097E-2</v>
      </c>
      <c r="I3983">
        <v>4.6660216342968699E-2</v>
      </c>
      <c r="J3983">
        <v>5.4310769233836501E-2</v>
      </c>
      <c r="K3983">
        <v>5.1299600901534501E-2</v>
      </c>
      <c r="L3983">
        <v>2231.9733248160801</v>
      </c>
      <c r="M3983">
        <v>45.5930924394643</v>
      </c>
      <c r="N3983">
        <v>49.1112433889814</v>
      </c>
      <c r="O3983">
        <v>48.860300118609302</v>
      </c>
      <c r="P3983">
        <v>-0.217460738507468</v>
      </c>
      <c r="Q3983">
        <v>6.7825122109222494E-2</v>
      </c>
      <c r="R3983">
        <v>0.99488789224938401</v>
      </c>
      <c r="S3983" t="s">
        <v>10629</v>
      </c>
      <c r="T3983" t="s">
        <v>13290</v>
      </c>
      <c r="U3983" t="s">
        <v>13290</v>
      </c>
      <c r="V3983" t="s">
        <v>13290</v>
      </c>
      <c r="W3983" t="s">
        <v>17227</v>
      </c>
      <c r="X3983">
        <v>12</v>
      </c>
      <c r="Y3983" t="s">
        <v>23725</v>
      </c>
      <c r="Z3983" t="s">
        <v>30313</v>
      </c>
      <c r="AA3983">
        <v>0.34847879008497901</v>
      </c>
      <c r="AB3983" t="str">
        <f>HYPERLINK("Melting_Curves/meltCurve_Q5VW32_BROX.pdf", "Melting_Curves/meltCurve_Q5VW32_BROX.pdf")</f>
        <v>Melting_Curves/meltCurve_Q5VW32_BROX.pdf</v>
      </c>
    </row>
    <row r="3984" spans="1:28" x14ac:dyDescent="0.25">
      <c r="A3984" t="s">
        <v>3988</v>
      </c>
      <c r="B3984">
        <v>0.99252571173614901</v>
      </c>
      <c r="C3984">
        <v>0.87333732487379001</v>
      </c>
      <c r="D3984">
        <v>1.0478280817568899</v>
      </c>
      <c r="E3984">
        <v>1.08349981162202</v>
      </c>
      <c r="F3984">
        <v>0.60598713826609196</v>
      </c>
      <c r="G3984">
        <v>0.144324774171666</v>
      </c>
      <c r="H3984">
        <v>0.100351668940648</v>
      </c>
      <c r="I3984">
        <v>0.104283393894561</v>
      </c>
      <c r="J3984">
        <v>8.5314265725532704E-2</v>
      </c>
      <c r="K3984">
        <v>8.9252255293441607E-2</v>
      </c>
      <c r="L3984">
        <v>3886.163759473</v>
      </c>
      <c r="M3984">
        <v>72.789237829050506</v>
      </c>
      <c r="N3984">
        <v>53.557462279943501</v>
      </c>
      <c r="O3984">
        <v>53.349031412037199</v>
      </c>
      <c r="P3984">
        <v>-0.30624778660545099</v>
      </c>
      <c r="Q3984">
        <v>0.102174298804223</v>
      </c>
      <c r="R3984">
        <v>0.98492494339163505</v>
      </c>
      <c r="S3984" t="s">
        <v>10630</v>
      </c>
      <c r="T3984" t="s">
        <v>13290</v>
      </c>
      <c r="U3984" t="s">
        <v>13290</v>
      </c>
      <c r="V3984" t="s">
        <v>13290</v>
      </c>
      <c r="W3984" t="s">
        <v>17228</v>
      </c>
      <c r="X3984">
        <v>10</v>
      </c>
      <c r="Y3984" t="s">
        <v>23726</v>
      </c>
      <c r="Z3984" t="s">
        <v>30314</v>
      </c>
      <c r="AA3984">
        <v>0.50387651132158584</v>
      </c>
      <c r="AB3984" t="str">
        <f>HYPERLINK("Melting_Curves/meltCurve_Q5VW36_FOCAD.pdf", "Melting_Curves/meltCurve_Q5VW36_FOCAD.pdf")</f>
        <v>Melting_Curves/meltCurve_Q5VW36_FOCAD.pdf</v>
      </c>
    </row>
    <row r="3985" spans="1:28" x14ac:dyDescent="0.25">
      <c r="A3985" t="s">
        <v>3989</v>
      </c>
      <c r="B3985">
        <v>0.99252571173614901</v>
      </c>
      <c r="C3985">
        <v>0.88765441230259301</v>
      </c>
      <c r="D3985">
        <v>0.88512652807359504</v>
      </c>
      <c r="E3985">
        <v>0.62836631302028001</v>
      </c>
      <c r="F3985">
        <v>0.290736249571103</v>
      </c>
      <c r="G3985">
        <v>0.11518556571481001</v>
      </c>
      <c r="H3985">
        <v>7.7923057009423494E-2</v>
      </c>
      <c r="I3985">
        <v>8.9466473002470001E-2</v>
      </c>
      <c r="J3985">
        <v>0.119335799487709</v>
      </c>
      <c r="K3985">
        <v>8.7627697696711304E-2</v>
      </c>
      <c r="L3985">
        <v>1082.9493639613399</v>
      </c>
      <c r="M3985">
        <v>21.546078723436899</v>
      </c>
      <c r="N3985">
        <v>50.660874820757201</v>
      </c>
      <c r="O3985">
        <v>49.835058804577997</v>
      </c>
      <c r="P3985">
        <v>-9.9657155229491895E-2</v>
      </c>
      <c r="Q3985">
        <v>7.8013239384461502E-2</v>
      </c>
      <c r="R3985">
        <v>0.99123031276065499</v>
      </c>
      <c r="S3985" t="s">
        <v>10631</v>
      </c>
      <c r="T3985" t="s">
        <v>13290</v>
      </c>
      <c r="U3985" t="s">
        <v>13290</v>
      </c>
      <c r="V3985" t="s">
        <v>13290</v>
      </c>
      <c r="W3985" t="s">
        <v>17229</v>
      </c>
      <c r="X3985">
        <v>3</v>
      </c>
      <c r="Y3985" t="s">
        <v>23727</v>
      </c>
      <c r="Z3985" t="s">
        <v>30315</v>
      </c>
      <c r="AA3985">
        <v>0.40448885088720071</v>
      </c>
      <c r="AB3985" t="str">
        <f>HYPERLINK("Melting_Curves/meltCurve_Q5VW52_GPAM.pdf", "Melting_Curves/meltCurve_Q5VW52_GPAM.pdf")</f>
        <v>Melting_Curves/meltCurve_Q5VW52_GPAM.pdf</v>
      </c>
    </row>
    <row r="3986" spans="1:28" x14ac:dyDescent="0.25">
      <c r="A3986" t="s">
        <v>3990</v>
      </c>
      <c r="B3986">
        <v>0.99252571173614901</v>
      </c>
      <c r="C3986">
        <v>1.0074648454214501</v>
      </c>
      <c r="D3986">
        <v>0.88132198907015702</v>
      </c>
      <c r="E3986">
        <v>0.71960502523965797</v>
      </c>
      <c r="F3986">
        <v>0.27477404075839401</v>
      </c>
      <c r="G3986">
        <v>0.14907462059863799</v>
      </c>
      <c r="H3986">
        <v>0.10855185709671999</v>
      </c>
      <c r="I3986">
        <v>0.13911084044898001</v>
      </c>
      <c r="J3986">
        <v>0.14431302385656899</v>
      </c>
      <c r="K3986">
        <v>0.112841056968865</v>
      </c>
      <c r="L3986">
        <v>1459.1305711556399</v>
      </c>
      <c r="M3986">
        <v>28.817064888482701</v>
      </c>
      <c r="N3986">
        <v>51.119329374023899</v>
      </c>
      <c r="O3986">
        <v>50.392294608883603</v>
      </c>
      <c r="P3986">
        <v>-0.12586236072255799</v>
      </c>
      <c r="Q3986">
        <v>0.11962650427453</v>
      </c>
      <c r="R3986">
        <v>0.99414555835996099</v>
      </c>
      <c r="S3986" t="s">
        <v>10632</v>
      </c>
      <c r="T3986" t="s">
        <v>13290</v>
      </c>
      <c r="U3986" t="s">
        <v>13290</v>
      </c>
      <c r="V3986" t="s">
        <v>13290</v>
      </c>
      <c r="W3986" t="s">
        <v>17230</v>
      </c>
      <c r="X3986">
        <v>8</v>
      </c>
      <c r="Y3986" t="s">
        <v>23728</v>
      </c>
      <c r="Z3986" t="s">
        <v>30316</v>
      </c>
      <c r="AA3986">
        <v>0.4376621254168081</v>
      </c>
      <c r="AB3986" t="str">
        <f>HYPERLINK("Melting_Curves/meltCurve_Q5VWJ9_SNX30.pdf", "Melting_Curves/meltCurve_Q5VWJ9_SNX30.pdf")</f>
        <v>Melting_Curves/meltCurve_Q5VWJ9_SNX30.pdf</v>
      </c>
    </row>
    <row r="3987" spans="1:28" x14ac:dyDescent="0.25">
      <c r="A3987" t="s">
        <v>3991</v>
      </c>
      <c r="B3987">
        <v>0.99252571173614901</v>
      </c>
      <c r="C3987">
        <v>0.93759699577928002</v>
      </c>
      <c r="D3987">
        <v>0.75499040873896295</v>
      </c>
      <c r="E3987">
        <v>0.59043685591671102</v>
      </c>
      <c r="F3987">
        <v>0.51692448295624704</v>
      </c>
      <c r="G3987">
        <v>0.46567167175084601</v>
      </c>
      <c r="H3987">
        <v>0.44005647373198598</v>
      </c>
      <c r="I3987">
        <v>0.54396106313269998</v>
      </c>
      <c r="J3987">
        <v>0.75867587683878801</v>
      </c>
      <c r="K3987">
        <v>0.74160729831551897</v>
      </c>
      <c r="L3987">
        <v>1573.8290557780399</v>
      </c>
      <c r="M3987">
        <v>34.630774314813301</v>
      </c>
      <c r="O3987">
        <v>45.295231649620803</v>
      </c>
      <c r="P3987">
        <v>-8.0894480960719703E-2</v>
      </c>
      <c r="Q3987">
        <v>0.57677867446947095</v>
      </c>
      <c r="R3987">
        <v>0.71189517727977902</v>
      </c>
      <c r="S3987" t="s">
        <v>10633</v>
      </c>
      <c r="T3987" t="s">
        <v>13290</v>
      </c>
      <c r="U3987" t="s">
        <v>13290</v>
      </c>
      <c r="V3987" t="s">
        <v>13290</v>
      </c>
      <c r="W3987" t="s">
        <v>17231</v>
      </c>
      <c r="X3987">
        <v>6</v>
      </c>
      <c r="Y3987" t="s">
        <v>23729</v>
      </c>
      <c r="Z3987" t="s">
        <v>30317</v>
      </c>
      <c r="AA3987">
        <v>0.65550814586398731</v>
      </c>
      <c r="AB3987" t="str">
        <f>HYPERLINK("Melting_Curves/meltCurve_Q5VWP2_FAM46C.pdf", "Melting_Curves/meltCurve_Q5VWP2_FAM46C.pdf")</f>
        <v>Melting_Curves/meltCurve_Q5VWP2_FAM46C.pdf</v>
      </c>
    </row>
    <row r="3988" spans="1:28" x14ac:dyDescent="0.25">
      <c r="A3988" t="s">
        <v>3992</v>
      </c>
      <c r="B3988">
        <v>0.99252571173614901</v>
      </c>
      <c r="C3988">
        <v>1.04869628394505</v>
      </c>
      <c r="D3988">
        <v>1.01824237752303</v>
      </c>
      <c r="E3988">
        <v>1.0075651582976</v>
      </c>
      <c r="F3988">
        <v>0.75336780384174196</v>
      </c>
      <c r="G3988">
        <v>0.30575986196014598</v>
      </c>
      <c r="H3988">
        <v>0.121153272599526</v>
      </c>
      <c r="I3988">
        <v>0.111292640078119</v>
      </c>
      <c r="J3988">
        <v>0.15144209247308901</v>
      </c>
      <c r="K3988">
        <v>0.16308939230286801</v>
      </c>
      <c r="L3988">
        <v>2075.8620004083</v>
      </c>
      <c r="M3988">
        <v>38.043090184986198</v>
      </c>
      <c r="N3988">
        <v>55.016524306317997</v>
      </c>
      <c r="O3988">
        <v>54.415958754454998</v>
      </c>
      <c r="P3988">
        <v>-0.15138968205009901</v>
      </c>
      <c r="Q3988">
        <v>0.133825048730457</v>
      </c>
      <c r="R3988">
        <v>0.99611060877695201</v>
      </c>
      <c r="S3988" t="s">
        <v>10634</v>
      </c>
      <c r="T3988" t="s">
        <v>13290</v>
      </c>
      <c r="U3988" t="s">
        <v>13290</v>
      </c>
      <c r="V3988" t="s">
        <v>13290</v>
      </c>
      <c r="W3988" t="s">
        <v>17232</v>
      </c>
      <c r="X3988">
        <v>9</v>
      </c>
      <c r="Y3988" t="s">
        <v>23730</v>
      </c>
      <c r="Z3988" t="s">
        <v>30318</v>
      </c>
      <c r="AA3988">
        <v>0.55798348603549253</v>
      </c>
      <c r="AB3988" t="str">
        <f>HYPERLINK("Melting_Curves/meltCurve_Q5VWQ0_RSBN1.pdf", "Melting_Curves/meltCurve_Q5VWQ0_RSBN1.pdf")</f>
        <v>Melting_Curves/meltCurve_Q5VWQ0_RSBN1.pdf</v>
      </c>
    </row>
    <row r="3989" spans="1:28" x14ac:dyDescent="0.25">
      <c r="A3989" t="s">
        <v>3993</v>
      </c>
      <c r="B3989">
        <v>0.99252571173614901</v>
      </c>
      <c r="C3989">
        <v>0.88949529688734097</v>
      </c>
      <c r="D3989">
        <v>0.57706995873108202</v>
      </c>
      <c r="E3989">
        <v>0.37140184393033399</v>
      </c>
      <c r="F3989">
        <v>0.27011470640236301</v>
      </c>
      <c r="G3989">
        <v>0.20116751494688001</v>
      </c>
      <c r="H3989">
        <v>0.17051996121065299</v>
      </c>
      <c r="I3989">
        <v>0.20453864393273499</v>
      </c>
      <c r="J3989">
        <v>0.27044665496475301</v>
      </c>
      <c r="K3989">
        <v>0.28827674199272102</v>
      </c>
      <c r="L3989">
        <v>1086.8090225449801</v>
      </c>
      <c r="M3989">
        <v>23.696986049199399</v>
      </c>
      <c r="N3989">
        <v>47.0891470704344</v>
      </c>
      <c r="O3989">
        <v>45.539880361370003</v>
      </c>
      <c r="P3989">
        <v>-0.100135620981205</v>
      </c>
      <c r="Q3989">
        <v>0.23026676750941899</v>
      </c>
      <c r="R3989">
        <v>0.98364058264346099</v>
      </c>
      <c r="S3989" t="s">
        <v>10635</v>
      </c>
      <c r="T3989" t="s">
        <v>13290</v>
      </c>
      <c r="U3989" t="s">
        <v>13290</v>
      </c>
      <c r="V3989" t="s">
        <v>13290</v>
      </c>
      <c r="W3989" t="s">
        <v>17233</v>
      </c>
      <c r="X3989">
        <v>14</v>
      </c>
      <c r="Y3989" t="s">
        <v>23731</v>
      </c>
      <c r="Z3989" t="s">
        <v>30319</v>
      </c>
      <c r="AA3989">
        <v>0.38880464773289253</v>
      </c>
      <c r="AB3989" t="str">
        <f>HYPERLINK("Melting_Curves/meltCurve_Q5VWQ8_2_DAB2IP.pdf", "Melting_Curves/meltCurve_Q5VWQ8_2_DAB2IP.pdf")</f>
        <v>Melting_Curves/meltCurve_Q5VWQ8_2_DAB2IP.pdf</v>
      </c>
    </row>
    <row r="3990" spans="1:28" x14ac:dyDescent="0.25">
      <c r="A3990" t="s">
        <v>3994</v>
      </c>
      <c r="B3990">
        <v>0.99252571173614901</v>
      </c>
      <c r="C3990">
        <v>0.91658845490781005</v>
      </c>
      <c r="D3990">
        <v>0.63551700125786204</v>
      </c>
      <c r="E3990">
        <v>0.37119519929987199</v>
      </c>
      <c r="F3990">
        <v>0.19199598089338199</v>
      </c>
      <c r="G3990">
        <v>0.12998200917104999</v>
      </c>
      <c r="H3990">
        <v>0.109250857961932</v>
      </c>
      <c r="I3990">
        <v>0.106593504545529</v>
      </c>
      <c r="J3990">
        <v>0.14720259353641499</v>
      </c>
      <c r="K3990">
        <v>0.157901000767736</v>
      </c>
      <c r="L3990">
        <v>987.18235493198404</v>
      </c>
      <c r="M3990">
        <v>20.994490881398601</v>
      </c>
      <c r="N3990">
        <v>47.673558527340298</v>
      </c>
      <c r="O3990">
        <v>46.6006443143824</v>
      </c>
      <c r="P3990">
        <v>-9.85671341673858E-2</v>
      </c>
      <c r="Q3990">
        <v>0.124881171257636</v>
      </c>
      <c r="R3990">
        <v>0.995557954394935</v>
      </c>
      <c r="S3990" t="s">
        <v>10636</v>
      </c>
      <c r="T3990" t="s">
        <v>13290</v>
      </c>
      <c r="U3990" t="s">
        <v>13290</v>
      </c>
      <c r="V3990" t="s">
        <v>13290</v>
      </c>
      <c r="W3990" t="s">
        <v>17234</v>
      </c>
      <c r="X3990">
        <v>14</v>
      </c>
      <c r="Y3990" t="s">
        <v>23732</v>
      </c>
      <c r="Z3990" t="s">
        <v>30320</v>
      </c>
      <c r="AA3990">
        <v>0.34118588844155201</v>
      </c>
      <c r="AB3990" t="str">
        <f>HYPERLINK("Melting_Curves/meltCurve_Q5VWV2_PARD3.pdf", "Melting_Curves/meltCurve_Q5VWV2_PARD3.pdf")</f>
        <v>Melting_Curves/meltCurve_Q5VWV2_PARD3.pdf</v>
      </c>
    </row>
    <row r="3991" spans="1:28" x14ac:dyDescent="0.25">
      <c r="A3991" t="s">
        <v>3995</v>
      </c>
      <c r="B3991">
        <v>0.99252571173614901</v>
      </c>
      <c r="C3991">
        <v>0.98722333890659197</v>
      </c>
      <c r="D3991">
        <v>0.92613004178208203</v>
      </c>
      <c r="E3991">
        <v>0.69289571315267995</v>
      </c>
      <c r="F3991">
        <v>0.41444746957068102</v>
      </c>
      <c r="G3991">
        <v>0.156593001864645</v>
      </c>
      <c r="H3991">
        <v>0.111560001059355</v>
      </c>
      <c r="I3991">
        <v>8.7326987423947802E-2</v>
      </c>
      <c r="J3991">
        <v>9.3416772485074906E-2</v>
      </c>
      <c r="K3991">
        <v>8.6765531130637605E-2</v>
      </c>
      <c r="L3991">
        <v>1065.533460505</v>
      </c>
      <c r="M3991">
        <v>20.715971801935201</v>
      </c>
      <c r="N3991">
        <v>51.844908180298297</v>
      </c>
      <c r="O3991">
        <v>50.9632610491363</v>
      </c>
      <c r="P3991">
        <v>-9.39546636572232E-2</v>
      </c>
      <c r="Q3991">
        <v>7.5476534514410401E-2</v>
      </c>
      <c r="R3991">
        <v>0.99836276309823402</v>
      </c>
      <c r="S3991" t="s">
        <v>10637</v>
      </c>
      <c r="T3991" t="s">
        <v>13290</v>
      </c>
      <c r="U3991" t="s">
        <v>13290</v>
      </c>
      <c r="V3991" t="s">
        <v>13290</v>
      </c>
      <c r="W3991" t="s">
        <v>17235</v>
      </c>
      <c r="X3991">
        <v>8</v>
      </c>
      <c r="Y3991" t="s">
        <v>23733</v>
      </c>
      <c r="Z3991" t="s">
        <v>30321</v>
      </c>
      <c r="AA3991">
        <v>0.43989732802301112</v>
      </c>
      <c r="AB3991" t="str">
        <f>HYPERLINK("Melting_Curves/meltCurve_Q5VWZ2_LYPLAL1.pdf", "Melting_Curves/meltCurve_Q5VWZ2_LYPLAL1.pdf")</f>
        <v>Melting_Curves/meltCurve_Q5VWZ2_LYPLAL1.pdf</v>
      </c>
    </row>
    <row r="3992" spans="1:28" x14ac:dyDescent="0.25">
      <c r="A3992" t="s">
        <v>3996</v>
      </c>
      <c r="B3992">
        <v>0.99252571173614901</v>
      </c>
      <c r="C3992">
        <v>0.897856844414059</v>
      </c>
      <c r="D3992">
        <v>0.64019725325398202</v>
      </c>
      <c r="E3992">
        <v>0.260358677805969</v>
      </c>
      <c r="F3992">
        <v>0.199801316796719</v>
      </c>
      <c r="G3992">
        <v>0.11378099217465899</v>
      </c>
      <c r="H3992">
        <v>8.69435517231361E-2</v>
      </c>
      <c r="I3992">
        <v>9.2593714150287401E-2</v>
      </c>
      <c r="J3992">
        <v>0.112695895068429</v>
      </c>
      <c r="K3992">
        <v>0.111613831068082</v>
      </c>
      <c r="L3992">
        <v>1104.53737796055</v>
      </c>
      <c r="M3992">
        <v>23.652458694372399</v>
      </c>
      <c r="N3992">
        <v>47.1706525234314</v>
      </c>
      <c r="O3992">
        <v>46.368660414600697</v>
      </c>
      <c r="P3992">
        <v>-0.11408764126842399</v>
      </c>
      <c r="Q3992">
        <v>0.10537806255375599</v>
      </c>
      <c r="R3992">
        <v>0.99664853893621397</v>
      </c>
      <c r="S3992" t="s">
        <v>10638</v>
      </c>
      <c r="T3992" t="s">
        <v>13290</v>
      </c>
      <c r="U3992" t="s">
        <v>13290</v>
      </c>
      <c r="V3992" t="s">
        <v>13290</v>
      </c>
      <c r="W3992" t="s">
        <v>17236</v>
      </c>
      <c r="X3992">
        <v>23</v>
      </c>
      <c r="Y3992" t="s">
        <v>23734</v>
      </c>
      <c r="Z3992" t="s">
        <v>30322</v>
      </c>
      <c r="AA3992">
        <v>0.3142431945005093</v>
      </c>
      <c r="AB3992" t="str">
        <f>HYPERLINK("Melting_Curves/meltCurve_Q5VY93_ARHGEF2.pdf", "Melting_Curves/meltCurve_Q5VY93_ARHGEF2.pdf")</f>
        <v>Melting_Curves/meltCurve_Q5VY93_ARHGEF2.pdf</v>
      </c>
    </row>
    <row r="3993" spans="1:28" x14ac:dyDescent="0.25">
      <c r="A3993" t="s">
        <v>3997</v>
      </c>
      <c r="B3993">
        <v>0.99252571173614901</v>
      </c>
      <c r="C3993">
        <v>1.1318718416431901</v>
      </c>
      <c r="D3993">
        <v>0.83259005504742301</v>
      </c>
      <c r="E3993">
        <v>0.85077640712160496</v>
      </c>
      <c r="F3993">
        <v>0.55479985548236299</v>
      </c>
      <c r="G3993">
        <v>0.50921034623678296</v>
      </c>
      <c r="H3993">
        <v>0.285016639924979</v>
      </c>
      <c r="I3993">
        <v>0.65210521409294997</v>
      </c>
      <c r="J3993">
        <v>1.81308919267298</v>
      </c>
      <c r="K3993">
        <v>0.39920864173374798</v>
      </c>
      <c r="L3993">
        <v>1725.3029279315001</v>
      </c>
      <c r="M3993">
        <v>37.063965392188599</v>
      </c>
      <c r="O3993">
        <v>46.414427950072202</v>
      </c>
      <c r="P3993">
        <v>-5.6709046707974303E-2</v>
      </c>
      <c r="Q3993">
        <v>0.71593846605227995</v>
      </c>
      <c r="R3993">
        <v>9.6278131160231303E-2</v>
      </c>
      <c r="S3993" t="s">
        <v>10639</v>
      </c>
      <c r="T3993" t="s">
        <v>13290</v>
      </c>
      <c r="U3993" t="s">
        <v>13290</v>
      </c>
      <c r="V3993" t="s">
        <v>13290</v>
      </c>
      <c r="W3993" t="s">
        <v>17237</v>
      </c>
      <c r="X3993">
        <v>3</v>
      </c>
      <c r="Y3993" t="s">
        <v>23735</v>
      </c>
      <c r="Z3993" t="s">
        <v>30323</v>
      </c>
      <c r="AA3993">
        <v>0.77903798636187471</v>
      </c>
      <c r="AB3993" t="str">
        <f>HYPERLINK("Melting_Curves/meltCurve_Q5VYS8_6_ZCCHC6.pdf", "Melting_Curves/meltCurve_Q5VYS8_6_ZCCHC6.pdf")</f>
        <v>Melting_Curves/meltCurve_Q5VYS8_6_ZCCHC6.pdf</v>
      </c>
    </row>
    <row r="3994" spans="1:28" x14ac:dyDescent="0.25">
      <c r="A3994" t="s">
        <v>3998</v>
      </c>
      <c r="B3994">
        <v>0.99252571173614901</v>
      </c>
      <c r="C3994">
        <v>1.0296157984121601</v>
      </c>
      <c r="D3994">
        <v>0.91444967546148503</v>
      </c>
      <c r="E3994">
        <v>0.67380746013267301</v>
      </c>
      <c r="F3994">
        <v>0.74046188180405204</v>
      </c>
      <c r="G3994">
        <v>0.57353956454603805</v>
      </c>
      <c r="H3994">
        <v>0.34140091137775103</v>
      </c>
      <c r="I3994">
        <v>0.17437207003683</v>
      </c>
      <c r="J3994">
        <v>0.22265275747560101</v>
      </c>
      <c r="K3994">
        <v>0.17711741281357801</v>
      </c>
      <c r="L3994">
        <v>545.96599596440001</v>
      </c>
      <c r="M3994">
        <v>9.5676452712593996</v>
      </c>
      <c r="N3994">
        <v>57.102516092730802</v>
      </c>
      <c r="O3994">
        <v>54.7378849470605</v>
      </c>
      <c r="P3994">
        <v>-4.3581279962889602E-2</v>
      </c>
      <c r="Q3994">
        <v>3.2345949717945402E-3</v>
      </c>
      <c r="R3994">
        <v>0.95904538419895102</v>
      </c>
      <c r="S3994" t="s">
        <v>10640</v>
      </c>
      <c r="T3994" t="s">
        <v>13290</v>
      </c>
      <c r="U3994" t="s">
        <v>13290</v>
      </c>
      <c r="V3994" t="s">
        <v>13290</v>
      </c>
      <c r="W3994" t="s">
        <v>17238</v>
      </c>
      <c r="X3994">
        <v>2</v>
      </c>
      <c r="Y3994" t="s">
        <v>23736</v>
      </c>
      <c r="Z3994" t="s">
        <v>30324</v>
      </c>
      <c r="AA3994">
        <v>0.58502620291187923</v>
      </c>
      <c r="AB3994" t="str">
        <f>HYPERLINK("Melting_Curves/meltCurve_Q5VYX0_2_RNLS.pdf", "Melting_Curves/meltCurve_Q5VYX0_2_RNLS.pdf")</f>
        <v>Melting_Curves/meltCurve_Q5VYX0_2_RNLS.pdf</v>
      </c>
    </row>
    <row r="3995" spans="1:28" x14ac:dyDescent="0.25">
      <c r="A3995" t="s">
        <v>3999</v>
      </c>
      <c r="B3995">
        <v>0.99252571173614901</v>
      </c>
      <c r="C3995">
        <v>0.95454582413814404</v>
      </c>
      <c r="D3995">
        <v>0.86484399722285699</v>
      </c>
      <c r="E3995">
        <v>0.56972850317618795</v>
      </c>
      <c r="F3995">
        <v>0.19173473517589501</v>
      </c>
      <c r="G3995">
        <v>0.113458491139352</v>
      </c>
      <c r="H3995">
        <v>7.8517947776790206E-2</v>
      </c>
      <c r="I3995">
        <v>7.3094492574517805E-2</v>
      </c>
      <c r="J3995">
        <v>9.1668418709628802E-2</v>
      </c>
      <c r="K3995">
        <v>8.9330944846210694E-2</v>
      </c>
      <c r="L3995">
        <v>1242.3082554745299</v>
      </c>
      <c r="M3995">
        <v>25.0293823747744</v>
      </c>
      <c r="N3995">
        <v>49.962555135565097</v>
      </c>
      <c r="O3995">
        <v>49.3204167636002</v>
      </c>
      <c r="P3995">
        <v>-0.117245735639582</v>
      </c>
      <c r="Q3995">
        <v>7.5881159454538896E-2</v>
      </c>
      <c r="R3995">
        <v>0.99761418008031999</v>
      </c>
      <c r="S3995" t="s">
        <v>10641</v>
      </c>
      <c r="T3995" t="s">
        <v>13290</v>
      </c>
      <c r="U3995" t="s">
        <v>13290</v>
      </c>
      <c r="V3995" t="s">
        <v>13290</v>
      </c>
      <c r="W3995" t="s">
        <v>17239</v>
      </c>
      <c r="X3995">
        <v>13</v>
      </c>
      <c r="Y3995" t="s">
        <v>23737</v>
      </c>
      <c r="Z3995" t="s">
        <v>30325</v>
      </c>
      <c r="AA3995">
        <v>0.38085709685962232</v>
      </c>
      <c r="AB3995" t="str">
        <f>HYPERLINK("Melting_Curves/meltCurve_Q5VZE5_NAA35.pdf", "Melting_Curves/meltCurve_Q5VZE5_NAA35.pdf")</f>
        <v>Melting_Curves/meltCurve_Q5VZE5_NAA35.pdf</v>
      </c>
    </row>
    <row r="3996" spans="1:28" x14ac:dyDescent="0.25">
      <c r="A3996" t="s">
        <v>4000</v>
      </c>
      <c r="B3996">
        <v>0.99252571173614901</v>
      </c>
      <c r="C3996">
        <v>0.89570994000708504</v>
      </c>
      <c r="D3996">
        <v>1.02521162925467</v>
      </c>
      <c r="E3996">
        <v>1.0013690235852399</v>
      </c>
      <c r="F3996">
        <v>0.726605257875656</v>
      </c>
      <c r="G3996">
        <v>0.19987162207503201</v>
      </c>
      <c r="H3996">
        <v>0.132998630822765</v>
      </c>
      <c r="I3996">
        <v>0.15229605976639399</v>
      </c>
      <c r="J3996">
        <v>0.18346486229436501</v>
      </c>
      <c r="K3996">
        <v>0.21312398318803499</v>
      </c>
      <c r="L3996">
        <v>3456.1250983191799</v>
      </c>
      <c r="M3996">
        <v>64.253648662865899</v>
      </c>
      <c r="N3996">
        <v>54.141187444739501</v>
      </c>
      <c r="O3996">
        <v>53.736745541405902</v>
      </c>
      <c r="P3996">
        <v>-0.24784281517088799</v>
      </c>
      <c r="Q3996">
        <v>0.17089457725655399</v>
      </c>
      <c r="R3996">
        <v>0.98960988624862201</v>
      </c>
      <c r="S3996" t="s">
        <v>10642</v>
      </c>
      <c r="T3996" t="s">
        <v>13290</v>
      </c>
      <c r="U3996" t="s">
        <v>13290</v>
      </c>
      <c r="V3996" t="s">
        <v>13290</v>
      </c>
      <c r="W3996" t="s">
        <v>17240</v>
      </c>
      <c r="X3996">
        <v>25</v>
      </c>
      <c r="Y3996" t="s">
        <v>23738</v>
      </c>
      <c r="Z3996" t="s">
        <v>30326</v>
      </c>
      <c r="AA3996">
        <v>0.55316142575883476</v>
      </c>
      <c r="AB3996" t="str">
        <f>HYPERLINK("Melting_Curves/meltCurve_Q5VZK9_LRRC16A.pdf", "Melting_Curves/meltCurve_Q5VZK9_LRRC16A.pdf")</f>
        <v>Melting_Curves/meltCurve_Q5VZK9_LRRC16A.pdf</v>
      </c>
    </row>
    <row r="3997" spans="1:28" x14ac:dyDescent="0.25">
      <c r="A3997" t="s">
        <v>4001</v>
      </c>
      <c r="B3997">
        <v>0.99252571173614901</v>
      </c>
      <c r="C3997">
        <v>0.79225745260762304</v>
      </c>
      <c r="D3997">
        <v>0.83397938186341403</v>
      </c>
      <c r="E3997">
        <v>0.67838453596496795</v>
      </c>
      <c r="F3997">
        <v>0.37074135188416502</v>
      </c>
      <c r="G3997">
        <v>0.16597163524734301</v>
      </c>
      <c r="H3997">
        <v>0.133074070729191</v>
      </c>
      <c r="I3997">
        <v>0.124623148892143</v>
      </c>
      <c r="J3997">
        <v>0.155388633196689</v>
      </c>
      <c r="K3997">
        <v>0.120762300564227</v>
      </c>
      <c r="L3997">
        <v>741.39505205340504</v>
      </c>
      <c r="M3997">
        <v>14.6935719414888</v>
      </c>
      <c r="N3997">
        <v>51.1266932500615</v>
      </c>
      <c r="O3997">
        <v>49.5501631746341</v>
      </c>
      <c r="P3997">
        <v>-6.76534463439626E-2</v>
      </c>
      <c r="Q3997">
        <v>8.7527009884157805E-2</v>
      </c>
      <c r="R3997">
        <v>0.96836050965537102</v>
      </c>
      <c r="S3997" t="s">
        <v>10643</v>
      </c>
      <c r="T3997" t="s">
        <v>13290</v>
      </c>
      <c r="U3997" t="s">
        <v>13290</v>
      </c>
      <c r="V3997" t="s">
        <v>13290</v>
      </c>
      <c r="W3997" t="s">
        <v>17241</v>
      </c>
      <c r="X3997">
        <v>3</v>
      </c>
      <c r="Y3997" t="s">
        <v>23739</v>
      </c>
      <c r="Z3997" t="s">
        <v>30327</v>
      </c>
      <c r="AA3997">
        <v>0.42780317741165991</v>
      </c>
      <c r="AB3997" t="str">
        <f>HYPERLINK("Melting_Curves/meltCurve_Q5W0A2_ITM2B.pdf", "Melting_Curves/meltCurve_Q5W0A2_ITM2B.pdf")</f>
        <v>Melting_Curves/meltCurve_Q5W0A2_ITM2B.pdf</v>
      </c>
    </row>
    <row r="3998" spans="1:28" x14ac:dyDescent="0.25">
      <c r="A3998" t="s">
        <v>4002</v>
      </c>
      <c r="B3998">
        <v>0.99252571173614901</v>
      </c>
      <c r="C3998">
        <v>0.91513702702789401</v>
      </c>
      <c r="D3998">
        <v>0.79879847209932098</v>
      </c>
      <c r="E3998">
        <v>0.57959098631238004</v>
      </c>
      <c r="F3998">
        <v>0.105510168915594</v>
      </c>
      <c r="G3998">
        <v>6.9582140063418299E-2</v>
      </c>
      <c r="H3998">
        <v>5.2332570117767999E-2</v>
      </c>
      <c r="I3998">
        <v>5.9494717075585499E-2</v>
      </c>
      <c r="J3998">
        <v>6.2808548830343397E-2</v>
      </c>
      <c r="K3998">
        <v>6.2410530633466799E-2</v>
      </c>
      <c r="L3998">
        <v>1159.69162224363</v>
      </c>
      <c r="M3998">
        <v>23.4815979119853</v>
      </c>
      <c r="N3998">
        <v>49.569146266687703</v>
      </c>
      <c r="O3998">
        <v>49.033228009108903</v>
      </c>
      <c r="P3998">
        <v>-0.114782817889282</v>
      </c>
      <c r="Q3998">
        <v>4.1278643989557197E-2</v>
      </c>
      <c r="R3998">
        <v>0.98485612137190404</v>
      </c>
      <c r="S3998" t="s">
        <v>10644</v>
      </c>
      <c r="T3998" t="s">
        <v>13290</v>
      </c>
      <c r="U3998" t="s">
        <v>13290</v>
      </c>
      <c r="V3998" t="s">
        <v>13290</v>
      </c>
      <c r="W3998" t="s">
        <v>17242</v>
      </c>
      <c r="X3998">
        <v>4</v>
      </c>
      <c r="Y3998" t="s">
        <v>23740</v>
      </c>
      <c r="Z3998" t="s">
        <v>30328</v>
      </c>
      <c r="AA3998">
        <v>0.35095112171510762</v>
      </c>
      <c r="AB3998" t="str">
        <f>HYPERLINK("Melting_Curves/meltCurve_Q5W0U4_BSPRY.pdf", "Melting_Curves/meltCurve_Q5W0U4_BSPRY.pdf")</f>
        <v>Melting_Curves/meltCurve_Q5W0U4_BSPRY.pdf</v>
      </c>
    </row>
    <row r="3999" spans="1:28" x14ac:dyDescent="0.25">
      <c r="A3999" t="s">
        <v>4003</v>
      </c>
      <c r="B3999">
        <v>0.99252571173614901</v>
      </c>
      <c r="C3999">
        <v>0.96984559240494905</v>
      </c>
      <c r="D3999">
        <v>0.80801700192760795</v>
      </c>
      <c r="E3999">
        <v>0.72128662477866801</v>
      </c>
      <c r="F3999">
        <v>0.63016409895524905</v>
      </c>
      <c r="G3999">
        <v>0.30157044314812598</v>
      </c>
      <c r="H3999">
        <v>0.29024045748119898</v>
      </c>
      <c r="I3999">
        <v>0.37284185480833498</v>
      </c>
      <c r="J3999">
        <v>0.43909957643993403</v>
      </c>
      <c r="K3999">
        <v>0.56341562407924894</v>
      </c>
      <c r="L3999">
        <v>895.87146066487003</v>
      </c>
      <c r="M3999">
        <v>18.1225311331693</v>
      </c>
      <c r="N3999">
        <v>54.108706065862201</v>
      </c>
      <c r="O3999">
        <v>48.843971473555698</v>
      </c>
      <c r="P3999">
        <v>-5.6072167845347402E-2</v>
      </c>
      <c r="Q3999">
        <v>0.39552437692999098</v>
      </c>
      <c r="R3999">
        <v>0.864136503106534</v>
      </c>
      <c r="S3999" t="s">
        <v>10645</v>
      </c>
      <c r="T3999" t="s">
        <v>13290</v>
      </c>
      <c r="U3999" t="s">
        <v>13290</v>
      </c>
      <c r="V3999" t="s">
        <v>13290</v>
      </c>
      <c r="W3999" t="s">
        <v>17243</v>
      </c>
      <c r="X3999">
        <v>3</v>
      </c>
      <c r="Y3999" t="s">
        <v>23741</v>
      </c>
      <c r="Z3999" t="s">
        <v>30329</v>
      </c>
      <c r="AA3999">
        <v>0.5958695209062862</v>
      </c>
      <c r="AB3999" t="str">
        <f>HYPERLINK("Melting_Curves/meltCurve_Q5W0V3_FAM160B1.pdf", "Melting_Curves/meltCurve_Q5W0V3_FAM160B1.pdf")</f>
        <v>Melting_Curves/meltCurve_Q5W0V3_FAM160B1.pdf</v>
      </c>
    </row>
    <row r="4000" spans="1:28" x14ac:dyDescent="0.25">
      <c r="A4000" t="s">
        <v>4004</v>
      </c>
      <c r="B4000">
        <v>0.99252571173614901</v>
      </c>
      <c r="C4000">
        <v>0.88195022239082599</v>
      </c>
      <c r="D4000">
        <v>0.84341804474271098</v>
      </c>
      <c r="E4000">
        <v>0.96864909149176803</v>
      </c>
      <c r="F4000">
        <v>0.81447639919776305</v>
      </c>
      <c r="G4000">
        <v>0.55968625411101502</v>
      </c>
      <c r="H4000">
        <v>0.443136250931008</v>
      </c>
      <c r="I4000">
        <v>0.379142859492477</v>
      </c>
      <c r="J4000">
        <v>0.40542270237221001</v>
      </c>
      <c r="K4000">
        <v>0.27060787177071</v>
      </c>
      <c r="L4000">
        <v>735.234480343673</v>
      </c>
      <c r="M4000">
        <v>13.0454064637774</v>
      </c>
      <c r="N4000">
        <v>59.617182366974099</v>
      </c>
      <c r="O4000">
        <v>55.084613213602601</v>
      </c>
      <c r="P4000">
        <v>-4.4124054066373597E-2</v>
      </c>
      <c r="Q4000">
        <v>0.254869332395323</v>
      </c>
      <c r="R4000">
        <v>0.93586480679239403</v>
      </c>
      <c r="S4000" t="s">
        <v>10646</v>
      </c>
      <c r="T4000" t="s">
        <v>13290</v>
      </c>
      <c r="U4000" t="s">
        <v>13290</v>
      </c>
      <c r="V4000" t="s">
        <v>13290</v>
      </c>
      <c r="W4000" t="s">
        <v>17244</v>
      </c>
      <c r="X4000">
        <v>7</v>
      </c>
      <c r="Y4000" t="s">
        <v>20066</v>
      </c>
      <c r="Z4000" t="s">
        <v>30330</v>
      </c>
      <c r="AA4000">
        <v>0.67507126100232073</v>
      </c>
      <c r="AB4000" t="str">
        <f>HYPERLINK("Melting_Curves/meltCurve_Q5W0Z9_3_ZDHHC20.pdf", "Melting_Curves/meltCurve_Q5W0Z9_3_ZDHHC20.pdf")</f>
        <v>Melting_Curves/meltCurve_Q5W0Z9_3_ZDHHC20.pdf</v>
      </c>
    </row>
    <row r="4001" spans="1:28" x14ac:dyDescent="0.25">
      <c r="A4001" t="s">
        <v>4005</v>
      </c>
      <c r="B4001">
        <v>0.99252571173614901</v>
      </c>
      <c r="C4001">
        <v>1.04507076859676</v>
      </c>
      <c r="D4001">
        <v>0.94123493495037203</v>
      </c>
      <c r="E4001">
        <v>0.77341989432218206</v>
      </c>
      <c r="F4001">
        <v>0.56914938050955699</v>
      </c>
      <c r="G4001">
        <v>0.243969808733598</v>
      </c>
      <c r="H4001">
        <v>8.8861374133416507E-2</v>
      </c>
      <c r="I4001">
        <v>0.105628223528781</v>
      </c>
      <c r="J4001">
        <v>0.122685287853787</v>
      </c>
      <c r="K4001">
        <v>0.116773189188867</v>
      </c>
      <c r="L4001">
        <v>1091.9602983544601</v>
      </c>
      <c r="M4001">
        <v>20.639433216565401</v>
      </c>
      <c r="N4001">
        <v>53.3872257265553</v>
      </c>
      <c r="O4001">
        <v>52.417352341081603</v>
      </c>
      <c r="P4001">
        <v>-9.0093118345131395E-2</v>
      </c>
      <c r="Q4001">
        <v>8.4799090481201794E-2</v>
      </c>
      <c r="R4001">
        <v>0.99163922439802099</v>
      </c>
      <c r="S4001" t="s">
        <v>10647</v>
      </c>
      <c r="T4001" t="s">
        <v>13290</v>
      </c>
      <c r="U4001" t="s">
        <v>13290</v>
      </c>
      <c r="V4001" t="s">
        <v>13290</v>
      </c>
      <c r="W4001" t="s">
        <v>17245</v>
      </c>
      <c r="X4001">
        <v>7</v>
      </c>
      <c r="Y4001" t="s">
        <v>23742</v>
      </c>
      <c r="Z4001" t="s">
        <v>30331</v>
      </c>
      <c r="AA4001">
        <v>0.49046401937904499</v>
      </c>
      <c r="AB4001" t="str">
        <f>HYPERLINK("Melting_Curves/meltCurve_Q5W111_SPRYD7.pdf", "Melting_Curves/meltCurve_Q5W111_SPRYD7.pdf")</f>
        <v>Melting_Curves/meltCurve_Q5W111_SPRYD7.pdf</v>
      </c>
    </row>
    <row r="4002" spans="1:28" x14ac:dyDescent="0.25">
      <c r="A4002" t="s">
        <v>4006</v>
      </c>
      <c r="B4002">
        <v>0.99252571173614901</v>
      </c>
      <c r="C4002">
        <v>1.10421544546689</v>
      </c>
      <c r="D4002">
        <v>0.96004161881932104</v>
      </c>
      <c r="E4002">
        <v>0.86824308348753598</v>
      </c>
      <c r="F4002">
        <v>0.27696833937047699</v>
      </c>
      <c r="G4002">
        <v>0.16309691566256601</v>
      </c>
      <c r="H4002">
        <v>0.100826275620004</v>
      </c>
      <c r="I4002">
        <v>0.11616155960385</v>
      </c>
      <c r="J4002">
        <v>9.6506742319711306E-2</v>
      </c>
      <c r="K4002">
        <v>9.0173331525233796E-2</v>
      </c>
      <c r="L4002">
        <v>2265.9637401372202</v>
      </c>
      <c r="M4002">
        <v>43.991589962660399</v>
      </c>
      <c r="N4002">
        <v>51.7981984249394</v>
      </c>
      <c r="O4002">
        <v>51.402916521119103</v>
      </c>
      <c r="P4002">
        <v>-0.19065950660491601</v>
      </c>
      <c r="Q4002">
        <v>0.10888041022947</v>
      </c>
      <c r="R4002">
        <v>0.99170217258841398</v>
      </c>
      <c r="S4002" t="s">
        <v>10648</v>
      </c>
      <c r="T4002" t="s">
        <v>13290</v>
      </c>
      <c r="U4002" t="s">
        <v>13290</v>
      </c>
      <c r="V4002" t="s">
        <v>13290</v>
      </c>
      <c r="W4002" t="s">
        <v>17246</v>
      </c>
      <c r="X4002">
        <v>1</v>
      </c>
      <c r="Y4002" t="s">
        <v>23743</v>
      </c>
      <c r="Z4002" t="s">
        <v>30332</v>
      </c>
      <c r="AA4002">
        <v>0.453363527602891</v>
      </c>
      <c r="AB4002" t="str">
        <f>HYPERLINK("Melting_Curves/meltCurve_Q5W125_NMRK1.pdf", "Melting_Curves/meltCurve_Q5W125_NMRK1.pdf")</f>
        <v>Melting_Curves/meltCurve_Q5W125_NMRK1.pdf</v>
      </c>
    </row>
    <row r="4003" spans="1:28" x14ac:dyDescent="0.25">
      <c r="A4003" t="s">
        <v>4007</v>
      </c>
      <c r="B4003">
        <v>0.99252571173614901</v>
      </c>
      <c r="C4003">
        <v>0.98741927811006003</v>
      </c>
      <c r="D4003">
        <v>0.94328222416641805</v>
      </c>
      <c r="E4003">
        <v>0.831394519268426</v>
      </c>
      <c r="F4003">
        <v>0.77110272868718899</v>
      </c>
      <c r="G4003">
        <v>0.747445219240503</v>
      </c>
      <c r="H4003">
        <v>0.63609844229224699</v>
      </c>
      <c r="I4003">
        <v>0.65687805037953095</v>
      </c>
      <c r="J4003">
        <v>0.88956654664155799</v>
      </c>
      <c r="K4003">
        <v>0.76199665013843398</v>
      </c>
      <c r="L4003">
        <v>1232.9810495346201</v>
      </c>
      <c r="M4003">
        <v>25.474626971265899</v>
      </c>
      <c r="O4003">
        <v>48.105059581668897</v>
      </c>
      <c r="P4003">
        <v>-3.4620776830374601E-2</v>
      </c>
      <c r="Q4003">
        <v>0.73849843112304203</v>
      </c>
      <c r="R4003">
        <v>0.72570782030283598</v>
      </c>
      <c r="S4003" t="s">
        <v>10649</v>
      </c>
      <c r="T4003" t="s">
        <v>13290</v>
      </c>
      <c r="U4003" t="s">
        <v>13290</v>
      </c>
      <c r="V4003" t="s">
        <v>13290</v>
      </c>
      <c r="W4003" t="s">
        <v>17247</v>
      </c>
      <c r="X4003">
        <v>7</v>
      </c>
      <c r="Y4003" t="s">
        <v>23744</v>
      </c>
      <c r="Z4003" t="s">
        <v>30333</v>
      </c>
      <c r="AA4003">
        <v>0.81394390154525609</v>
      </c>
      <c r="AB4003" t="str">
        <f>HYPERLINK("Melting_Curves/meltCurve_Q5W145_NDUFB8.pdf", "Melting_Curves/meltCurve_Q5W145_NDUFB8.pdf")</f>
        <v>Melting_Curves/meltCurve_Q5W145_NDUFB8.pdf</v>
      </c>
    </row>
    <row r="4004" spans="1:28" x14ac:dyDescent="0.25">
      <c r="A4004" t="s">
        <v>4008</v>
      </c>
      <c r="B4004">
        <v>0.99252571173614901</v>
      </c>
      <c r="C4004">
        <v>0.95279306706739297</v>
      </c>
      <c r="D4004">
        <v>0.85247306277276902</v>
      </c>
      <c r="E4004">
        <v>0.66924341981944302</v>
      </c>
      <c r="F4004">
        <v>0.59029889766352495</v>
      </c>
      <c r="G4004">
        <v>0.44224676158238302</v>
      </c>
      <c r="H4004">
        <v>0.40615264360533598</v>
      </c>
      <c r="I4004">
        <v>0.45572481591694203</v>
      </c>
      <c r="J4004">
        <v>0.44324744211702999</v>
      </c>
      <c r="K4004">
        <v>0.23373899651611099</v>
      </c>
      <c r="L4004">
        <v>622.43054767439298</v>
      </c>
      <c r="M4004">
        <v>12.3374145164748</v>
      </c>
      <c r="N4004">
        <v>55.4990739982821</v>
      </c>
      <c r="O4004">
        <v>49.1801222051118</v>
      </c>
      <c r="P4004">
        <v>-4.1574966954385603E-2</v>
      </c>
      <c r="Q4004">
        <v>0.337229082292543</v>
      </c>
      <c r="R4004">
        <v>0.94922797854862695</v>
      </c>
      <c r="S4004" t="s">
        <v>10650</v>
      </c>
      <c r="T4004" t="s">
        <v>13290</v>
      </c>
      <c r="U4004" t="s">
        <v>13290</v>
      </c>
      <c r="V4004" t="s">
        <v>13290</v>
      </c>
      <c r="W4004" t="s">
        <v>17248</v>
      </c>
      <c r="X4004">
        <v>1</v>
      </c>
      <c r="Y4004" t="s">
        <v>23745</v>
      </c>
      <c r="Z4004" t="s">
        <v>30334</v>
      </c>
      <c r="AA4004">
        <v>0.58952759172870006</v>
      </c>
      <c r="AB4004" t="str">
        <f>HYPERLINK("Melting_Curves/meltCurve_Q5W1L7_SLC35A1.pdf", "Melting_Curves/meltCurve_Q5W1L7_SLC35A1.pdf")</f>
        <v>Melting_Curves/meltCurve_Q5W1L7_SLC35A1.pdf</v>
      </c>
    </row>
    <row r="4005" spans="1:28" x14ac:dyDescent="0.25">
      <c r="A4005" t="s">
        <v>4009</v>
      </c>
      <c r="B4005">
        <v>0.99252571173614901</v>
      </c>
      <c r="C4005">
        <v>0.87618169500054499</v>
      </c>
      <c r="D4005">
        <v>0.81389751670587196</v>
      </c>
      <c r="E4005">
        <v>0.80753486162510002</v>
      </c>
      <c r="F4005">
        <v>0.517801813906969</v>
      </c>
      <c r="G4005">
        <v>0.39862209621718803</v>
      </c>
      <c r="H4005">
        <v>0.31971596148780201</v>
      </c>
      <c r="I4005">
        <v>0.29787600610714998</v>
      </c>
      <c r="J4005">
        <v>0.402798153948634</v>
      </c>
      <c r="K4005">
        <v>0.36578411270887201</v>
      </c>
      <c r="L4005">
        <v>728.070385100115</v>
      </c>
      <c r="M4005">
        <v>14.4100007312397</v>
      </c>
      <c r="N4005">
        <v>54.274420266945299</v>
      </c>
      <c r="O4005">
        <v>49.582216390631899</v>
      </c>
      <c r="P4005">
        <v>-4.9760776538252199E-2</v>
      </c>
      <c r="Q4005">
        <v>0.31520968125705801</v>
      </c>
      <c r="R4005">
        <v>0.94906421668136798</v>
      </c>
      <c r="S4005" t="s">
        <v>10651</v>
      </c>
      <c r="T4005" t="s">
        <v>13290</v>
      </c>
      <c r="U4005" t="s">
        <v>13290</v>
      </c>
      <c r="V4005" t="s">
        <v>13290</v>
      </c>
      <c r="W4005" t="s">
        <v>17249</v>
      </c>
      <c r="X4005">
        <v>3</v>
      </c>
      <c r="Y4005" t="s">
        <v>23746</v>
      </c>
      <c r="Z4005" t="s">
        <v>30335</v>
      </c>
      <c r="AA4005">
        <v>0.57265345504814158</v>
      </c>
      <c r="AB4005" t="str">
        <f>HYPERLINK("Melting_Curves/meltCurve_Q5XKP0_QIL1.pdf", "Melting_Curves/meltCurve_Q5XKP0_QIL1.pdf")</f>
        <v>Melting_Curves/meltCurve_Q5XKP0_QIL1.pdf</v>
      </c>
    </row>
    <row r="4006" spans="1:28" x14ac:dyDescent="0.25">
      <c r="A4006" t="s">
        <v>4010</v>
      </c>
      <c r="B4006">
        <v>0.99252571173614901</v>
      </c>
      <c r="C4006">
        <v>1.0494407647095001</v>
      </c>
      <c r="D4006">
        <v>0.90708379658706695</v>
      </c>
      <c r="E4006">
        <v>0.77077586125078801</v>
      </c>
      <c r="F4006">
        <v>0.59125500065317504</v>
      </c>
      <c r="G4006">
        <v>0.29088939650288997</v>
      </c>
      <c r="H4006">
        <v>0.15806476455471399</v>
      </c>
      <c r="I4006">
        <v>0.10360406957608199</v>
      </c>
      <c r="J4006">
        <v>0.120679847845665</v>
      </c>
      <c r="K4006">
        <v>0.118064597493328</v>
      </c>
      <c r="L4006">
        <v>928.29406793616204</v>
      </c>
      <c r="M4006">
        <v>17.438048785494399</v>
      </c>
      <c r="N4006">
        <v>53.7800643854317</v>
      </c>
      <c r="O4006">
        <v>52.548553096752698</v>
      </c>
      <c r="P4006">
        <v>-7.6232692191006202E-2</v>
      </c>
      <c r="Q4006">
        <v>8.1160106418274605E-2</v>
      </c>
      <c r="R4006">
        <v>0.99242293766595902</v>
      </c>
      <c r="S4006" t="s">
        <v>10652</v>
      </c>
      <c r="T4006" t="s">
        <v>13290</v>
      </c>
      <c r="U4006" t="s">
        <v>13290</v>
      </c>
      <c r="V4006" t="s">
        <v>13290</v>
      </c>
      <c r="W4006" t="s">
        <v>17250</v>
      </c>
      <c r="X4006">
        <v>9</v>
      </c>
      <c r="Y4006" t="s">
        <v>23747</v>
      </c>
      <c r="Z4006" t="s">
        <v>30336</v>
      </c>
      <c r="AA4006">
        <v>0.5022190040906348</v>
      </c>
      <c r="AB4006" t="str">
        <f>HYPERLINK("Melting_Curves/meltCurve_Q5XUX1_3_FBXW9.pdf", "Melting_Curves/meltCurve_Q5XUX1_3_FBXW9.pdf")</f>
        <v>Melting_Curves/meltCurve_Q5XUX1_3_FBXW9.pdf</v>
      </c>
    </row>
    <row r="4007" spans="1:28" x14ac:dyDescent="0.25">
      <c r="A4007" t="s">
        <v>4011</v>
      </c>
      <c r="B4007">
        <v>0.99252571173614901</v>
      </c>
      <c r="C4007">
        <v>0.92255611717755404</v>
      </c>
      <c r="D4007">
        <v>0.86164332561979395</v>
      </c>
      <c r="E4007">
        <v>0.72129872378465798</v>
      </c>
      <c r="F4007">
        <v>0.71605326849161099</v>
      </c>
      <c r="G4007">
        <v>0.55395806816602</v>
      </c>
      <c r="H4007">
        <v>0.456127771272961</v>
      </c>
      <c r="I4007">
        <v>0.59049789683012399</v>
      </c>
      <c r="J4007">
        <v>0.81106511206266096</v>
      </c>
      <c r="K4007">
        <v>0.67178292956025698</v>
      </c>
      <c r="L4007">
        <v>919.98593384381604</v>
      </c>
      <c r="M4007">
        <v>19.581034551113699</v>
      </c>
      <c r="O4007">
        <v>46.501719766169302</v>
      </c>
      <c r="P4007">
        <v>-3.95952931140095E-2</v>
      </c>
      <c r="Q4007">
        <v>0.62388421146442596</v>
      </c>
      <c r="R4007">
        <v>0.69617573519752696</v>
      </c>
      <c r="S4007" t="s">
        <v>10653</v>
      </c>
      <c r="T4007" t="s">
        <v>13290</v>
      </c>
      <c r="U4007" t="s">
        <v>13290</v>
      </c>
      <c r="V4007" t="s">
        <v>13290</v>
      </c>
      <c r="W4007" t="s">
        <v>17251</v>
      </c>
      <c r="X4007">
        <v>5</v>
      </c>
      <c r="Y4007" t="s">
        <v>23748</v>
      </c>
      <c r="Z4007" t="s">
        <v>30337</v>
      </c>
      <c r="AA4007">
        <v>0.71721160946424023</v>
      </c>
      <c r="AB4007" t="str">
        <f>HYPERLINK("Melting_Curves/meltCurve_Q5ZPR3_CD276.pdf", "Melting_Curves/meltCurve_Q5ZPR3_CD276.pdf")</f>
        <v>Melting_Curves/meltCurve_Q5ZPR3_CD276.pdf</v>
      </c>
    </row>
    <row r="4008" spans="1:28" x14ac:dyDescent="0.25">
      <c r="A4008" t="s">
        <v>4012</v>
      </c>
      <c r="B4008">
        <v>0.99252571173614901</v>
      </c>
      <c r="C4008">
        <v>0.73687474774724904</v>
      </c>
      <c r="D4008">
        <v>0.69476738715828401</v>
      </c>
      <c r="E4008">
        <v>0.24959966333945299</v>
      </c>
      <c r="F4008">
        <v>0.176143085673963</v>
      </c>
      <c r="G4008">
        <v>9.0708498517579006E-2</v>
      </c>
      <c r="H4008">
        <v>6.3905650890167906E-2</v>
      </c>
      <c r="I4008">
        <v>7.2926154658894196E-2</v>
      </c>
      <c r="J4008">
        <v>8.6861228960389905E-2</v>
      </c>
      <c r="K4008">
        <v>8.9901959752681698E-2</v>
      </c>
      <c r="L4008">
        <v>831.61240213102496</v>
      </c>
      <c r="M4008">
        <v>17.805429434059299</v>
      </c>
      <c r="N4008">
        <v>47.0830340681675</v>
      </c>
      <c r="O4008">
        <v>46.128382141098101</v>
      </c>
      <c r="P4008">
        <v>-9.0085249012789401E-2</v>
      </c>
      <c r="Q4008">
        <v>6.6515855327328996E-2</v>
      </c>
      <c r="R4008">
        <v>0.97507887375392699</v>
      </c>
      <c r="S4008" t="s">
        <v>10654</v>
      </c>
      <c r="T4008" t="s">
        <v>13290</v>
      </c>
      <c r="U4008" t="s">
        <v>13290</v>
      </c>
      <c r="V4008" t="s">
        <v>13290</v>
      </c>
      <c r="W4008" t="s">
        <v>17252</v>
      </c>
      <c r="X4008">
        <v>11</v>
      </c>
      <c r="Y4008" t="s">
        <v>23749</v>
      </c>
      <c r="Z4008" t="s">
        <v>30338</v>
      </c>
      <c r="AA4008">
        <v>0.29308073226750853</v>
      </c>
      <c r="AB4008" t="str">
        <f>HYPERLINK("Melting_Curves/meltCurve_Q63HN8_RNF213.pdf", "Melting_Curves/meltCurve_Q63HN8_RNF213.pdf")</f>
        <v>Melting_Curves/meltCurve_Q63HN8_RNF213.pdf</v>
      </c>
    </row>
    <row r="4009" spans="1:28" x14ac:dyDescent="0.25">
      <c r="A4009" t="s">
        <v>4013</v>
      </c>
      <c r="B4009">
        <v>0.99252571173614901</v>
      </c>
      <c r="C4009">
        <v>1.05170601147564</v>
      </c>
      <c r="D4009">
        <v>0.94286879470378804</v>
      </c>
      <c r="E4009">
        <v>1.0098377490186801</v>
      </c>
      <c r="F4009">
        <v>0.80380112650407798</v>
      </c>
      <c r="G4009">
        <v>0.61337348936014702</v>
      </c>
      <c r="H4009">
        <v>0.59964227478258503</v>
      </c>
      <c r="I4009">
        <v>0.72802863788320904</v>
      </c>
      <c r="J4009">
        <v>1.40080639471164</v>
      </c>
      <c r="K4009">
        <v>1.2287816191993599</v>
      </c>
      <c r="L4009">
        <v>6544.8145664293097</v>
      </c>
      <c r="M4009">
        <v>99.361723290202704</v>
      </c>
      <c r="O4009">
        <v>65.841900487382205</v>
      </c>
      <c r="P4009">
        <v>0.122436708796854</v>
      </c>
      <c r="Q4009">
        <v>1.3245300052195199</v>
      </c>
      <c r="R4009">
        <v>0.23295863097421099</v>
      </c>
      <c r="S4009" t="s">
        <v>10655</v>
      </c>
      <c r="T4009" t="s">
        <v>13290</v>
      </c>
      <c r="U4009" t="s">
        <v>13290</v>
      </c>
      <c r="V4009" t="s">
        <v>13290</v>
      </c>
      <c r="W4009" t="s">
        <v>17253</v>
      </c>
      <c r="X4009">
        <v>3</v>
      </c>
      <c r="Y4009" t="s">
        <v>23750</v>
      </c>
      <c r="Z4009" t="s">
        <v>30339</v>
      </c>
      <c r="AA4009">
        <v>1.0444781343031111</v>
      </c>
      <c r="AB4009" t="str">
        <f>HYPERLINK("Melting_Curves/meltCurve_Q63HQ0_AP1AR.pdf", "Melting_Curves/meltCurve_Q63HQ0_AP1AR.pdf")</f>
        <v>Melting_Curves/meltCurve_Q63HQ0_AP1AR.pdf</v>
      </c>
    </row>
    <row r="4010" spans="1:28" x14ac:dyDescent="0.25">
      <c r="A4010" t="s">
        <v>4014</v>
      </c>
      <c r="B4010">
        <v>0.99252571173614901</v>
      </c>
      <c r="C4010">
        <v>0.97831590786589795</v>
      </c>
      <c r="D4010">
        <v>1.0006890882859001</v>
      </c>
      <c r="E4010">
        <v>0.76909780128703997</v>
      </c>
      <c r="F4010">
        <v>0.507665232050592</v>
      </c>
      <c r="G4010">
        <v>0.35463579903255199</v>
      </c>
      <c r="H4010">
        <v>0.32671598869259799</v>
      </c>
      <c r="I4010">
        <v>0.42272676852034902</v>
      </c>
      <c r="J4010">
        <v>0.736080907661674</v>
      </c>
      <c r="K4010">
        <v>1.0203283727192101</v>
      </c>
      <c r="L4010">
        <v>12394.7566833357</v>
      </c>
      <c r="M4010">
        <v>250</v>
      </c>
      <c r="O4010">
        <v>49.575838816460397</v>
      </c>
      <c r="P4010">
        <v>-0.55299243679752896</v>
      </c>
      <c r="Q4010">
        <v>0.56135884287387094</v>
      </c>
      <c r="R4010">
        <v>0.50697869668845397</v>
      </c>
      <c r="S4010" t="s">
        <v>10656</v>
      </c>
      <c r="T4010" t="s">
        <v>13290</v>
      </c>
      <c r="U4010" t="s">
        <v>13290</v>
      </c>
      <c r="V4010" t="s">
        <v>13290</v>
      </c>
      <c r="W4010" t="s">
        <v>17254</v>
      </c>
      <c r="X4010">
        <v>14</v>
      </c>
      <c r="Y4010" t="s">
        <v>23751</v>
      </c>
      <c r="Z4010" t="s">
        <v>30340</v>
      </c>
      <c r="AA4010">
        <v>0.70145552157382984</v>
      </c>
      <c r="AB4010" t="str">
        <f>HYPERLINK("Melting_Curves/meltCurve_Q641Q2_FAM21A.pdf", "Melting_Curves/meltCurve_Q641Q2_FAM21A.pdf")</f>
        <v>Melting_Curves/meltCurve_Q641Q2_FAM21A.pdf</v>
      </c>
    </row>
    <row r="4011" spans="1:28" x14ac:dyDescent="0.25">
      <c r="A4011" t="s">
        <v>4015</v>
      </c>
      <c r="B4011">
        <v>0.99252571173614901</v>
      </c>
      <c r="C4011">
        <v>0.90568303241069503</v>
      </c>
      <c r="D4011">
        <v>0.78040899155674404</v>
      </c>
      <c r="E4011">
        <v>0.30096117321143001</v>
      </c>
      <c r="F4011">
        <v>0.16425844153237401</v>
      </c>
      <c r="G4011">
        <v>0.103122680822631</v>
      </c>
      <c r="H4011">
        <v>9.3096061251716794E-2</v>
      </c>
      <c r="I4011">
        <v>0.109259712391876</v>
      </c>
      <c r="J4011">
        <v>0.14473318923607201</v>
      </c>
      <c r="K4011">
        <v>0.138731200801611</v>
      </c>
      <c r="L4011">
        <v>1397.8291046392401</v>
      </c>
      <c r="M4011">
        <v>29.417151496932501</v>
      </c>
      <c r="N4011">
        <v>47.9503843658416</v>
      </c>
      <c r="O4011">
        <v>47.299523742241099</v>
      </c>
      <c r="P4011">
        <v>-0.13735200105581499</v>
      </c>
      <c r="Q4011">
        <v>0.11661896419357499</v>
      </c>
      <c r="R4011">
        <v>0.994464155186498</v>
      </c>
      <c r="S4011" t="s">
        <v>10657</v>
      </c>
      <c r="T4011" t="s">
        <v>13290</v>
      </c>
      <c r="U4011" t="s">
        <v>13290</v>
      </c>
      <c r="V4011" t="s">
        <v>13290</v>
      </c>
      <c r="W4011" t="s">
        <v>17255</v>
      </c>
      <c r="X4011">
        <v>3</v>
      </c>
      <c r="Y4011" t="s">
        <v>23752</v>
      </c>
      <c r="Z4011" t="s">
        <v>30341</v>
      </c>
      <c r="AA4011">
        <v>0.34350412639713002</v>
      </c>
      <c r="AB4011" t="str">
        <f>HYPERLINK("Melting_Curves/meltCurve_Q643R3_LPCAT4.pdf", "Melting_Curves/meltCurve_Q643R3_LPCAT4.pdf")</f>
        <v>Melting_Curves/meltCurve_Q643R3_LPCAT4.pdf</v>
      </c>
    </row>
    <row r="4012" spans="1:28" x14ac:dyDescent="0.25">
      <c r="A4012" t="s">
        <v>4016</v>
      </c>
      <c r="B4012">
        <v>0.99252571173614901</v>
      </c>
      <c r="C4012">
        <v>0.93077311443708699</v>
      </c>
      <c r="D4012">
        <v>1.1277107451631601</v>
      </c>
      <c r="E4012">
        <v>1.21595902119466</v>
      </c>
      <c r="F4012">
        <v>0.72099744109828201</v>
      </c>
      <c r="G4012">
        <v>0.34340583501522198</v>
      </c>
      <c r="H4012">
        <v>0.36139057296049798</v>
      </c>
      <c r="I4012">
        <v>0.57512144871915705</v>
      </c>
      <c r="J4012">
        <v>0.225321942938353</v>
      </c>
      <c r="K4012">
        <v>0.13310875504320499</v>
      </c>
      <c r="L4012">
        <v>12043.964390090799</v>
      </c>
      <c r="M4012">
        <v>226.04688500314799</v>
      </c>
      <c r="N4012">
        <v>53.533086790964298</v>
      </c>
      <c r="O4012">
        <v>53.2766540256873</v>
      </c>
      <c r="P4012">
        <v>-0.71315568076999203</v>
      </c>
      <c r="Q4012">
        <v>0.32766959578975502</v>
      </c>
      <c r="R4012">
        <v>0.87034007419733495</v>
      </c>
      <c r="S4012" t="s">
        <v>10658</v>
      </c>
      <c r="T4012" t="s">
        <v>13290</v>
      </c>
      <c r="U4012" t="s">
        <v>13290</v>
      </c>
      <c r="V4012" t="s">
        <v>13290</v>
      </c>
      <c r="W4012" t="s">
        <v>17256</v>
      </c>
      <c r="X4012">
        <v>7</v>
      </c>
      <c r="Y4012" t="s">
        <v>23753</v>
      </c>
      <c r="Z4012" t="s">
        <v>30342</v>
      </c>
      <c r="AA4012">
        <v>0.6253832316532234</v>
      </c>
      <c r="AB4012" t="str">
        <f>HYPERLINK("Melting_Curves/meltCurve_Q658Y4_FAM91A1.pdf", "Melting_Curves/meltCurve_Q658Y4_FAM91A1.pdf")</f>
        <v>Melting_Curves/meltCurve_Q658Y4_FAM91A1.pdf</v>
      </c>
    </row>
    <row r="4013" spans="1:28" x14ac:dyDescent="0.25">
      <c r="A4013" t="s">
        <v>4017</v>
      </c>
      <c r="B4013">
        <v>0.99252571173614901</v>
      </c>
      <c r="C4013">
        <v>0.92435010095982095</v>
      </c>
      <c r="D4013">
        <v>0.76520948258806099</v>
      </c>
      <c r="E4013">
        <v>0.47763653597040601</v>
      </c>
      <c r="F4013">
        <v>0.37632069064805301</v>
      </c>
      <c r="G4013">
        <v>0.27176524345379399</v>
      </c>
      <c r="H4013">
        <v>0.26489973421184898</v>
      </c>
      <c r="I4013">
        <v>0.31284586399151598</v>
      </c>
      <c r="J4013">
        <v>0.448248699873324</v>
      </c>
      <c r="K4013">
        <v>0.452227744809093</v>
      </c>
      <c r="L4013">
        <v>1249.3937188544201</v>
      </c>
      <c r="M4013">
        <v>26.645900560228299</v>
      </c>
      <c r="N4013">
        <v>49.102764244848103</v>
      </c>
      <c r="O4013">
        <v>46.627071299655903</v>
      </c>
      <c r="P4013">
        <v>-9.2919107242941501E-2</v>
      </c>
      <c r="Q4013">
        <v>0.34961843675684501</v>
      </c>
      <c r="R4013">
        <v>0.94319217613889506</v>
      </c>
      <c r="S4013" t="s">
        <v>10659</v>
      </c>
      <c r="T4013" t="s">
        <v>13290</v>
      </c>
      <c r="U4013" t="s">
        <v>13290</v>
      </c>
      <c r="V4013" t="s">
        <v>13290</v>
      </c>
      <c r="W4013" t="s">
        <v>17257</v>
      </c>
      <c r="X4013">
        <v>2</v>
      </c>
      <c r="Y4013" t="s">
        <v>23754</v>
      </c>
      <c r="Z4013" t="s">
        <v>30343</v>
      </c>
      <c r="AA4013">
        <v>0.5040187768690515</v>
      </c>
      <c r="AB4013" t="str">
        <f>HYPERLINK("Melting_Curves/meltCurve_Q659C4_LARP1B.pdf", "Melting_Curves/meltCurve_Q659C4_LARP1B.pdf")</f>
        <v>Melting_Curves/meltCurve_Q659C4_LARP1B.pdf</v>
      </c>
    </row>
    <row r="4014" spans="1:28" x14ac:dyDescent="0.25">
      <c r="A4014" t="s">
        <v>4018</v>
      </c>
      <c r="B4014">
        <v>0.99252571173614901</v>
      </c>
      <c r="C4014">
        <v>0.98763739878408896</v>
      </c>
      <c r="D4014">
        <v>0.88300823959073504</v>
      </c>
      <c r="E4014">
        <v>0.53247858520858204</v>
      </c>
      <c r="F4014">
        <v>0.25939782757959801</v>
      </c>
      <c r="G4014">
        <v>0.14795468864720801</v>
      </c>
      <c r="H4014">
        <v>0.124024205124677</v>
      </c>
      <c r="I4014">
        <v>0.14761725643697801</v>
      </c>
      <c r="J4014">
        <v>0.24244538181676301</v>
      </c>
      <c r="K4014">
        <v>0.17682162366523499</v>
      </c>
      <c r="L4014">
        <v>1380.15521760468</v>
      </c>
      <c r="M4014">
        <v>28.091754666503299</v>
      </c>
      <c r="N4014">
        <v>49.839879207655898</v>
      </c>
      <c r="O4014">
        <v>48.883328866204899</v>
      </c>
      <c r="P4014">
        <v>-0.119987481907311</v>
      </c>
      <c r="Q4014">
        <v>0.16483164638835099</v>
      </c>
      <c r="R4014">
        <v>0.99190901560736</v>
      </c>
      <c r="S4014" t="s">
        <v>10660</v>
      </c>
      <c r="T4014" t="s">
        <v>13290</v>
      </c>
      <c r="U4014" t="s">
        <v>13290</v>
      </c>
      <c r="V4014" t="s">
        <v>13290</v>
      </c>
      <c r="W4014" t="s">
        <v>17258</v>
      </c>
      <c r="X4014">
        <v>10</v>
      </c>
      <c r="Y4014" t="s">
        <v>23755</v>
      </c>
      <c r="Z4014" t="s">
        <v>30344</v>
      </c>
      <c r="AA4014">
        <v>0.42483907395150811</v>
      </c>
      <c r="AB4014" t="str">
        <f>HYPERLINK("Melting_Curves/meltCurve_Q66K14_2_TBC1D9B.pdf", "Melting_Curves/meltCurve_Q66K14_2_TBC1D9B.pdf")</f>
        <v>Melting_Curves/meltCurve_Q66K14_2_TBC1D9B.pdf</v>
      </c>
    </row>
    <row r="4015" spans="1:28" x14ac:dyDescent="0.25">
      <c r="A4015" t="s">
        <v>4019</v>
      </c>
      <c r="B4015">
        <v>0.99252571173614901</v>
      </c>
      <c r="C4015">
        <v>1.0976862634560001</v>
      </c>
      <c r="D4015">
        <v>0.98963199379188904</v>
      </c>
      <c r="E4015">
        <v>1.08544884287058</v>
      </c>
      <c r="F4015">
        <v>0.79927590813072302</v>
      </c>
      <c r="G4015">
        <v>0.66623753667702801</v>
      </c>
      <c r="H4015">
        <v>0.66849420569004903</v>
      </c>
      <c r="I4015">
        <v>0.83728267090956798</v>
      </c>
      <c r="J4015">
        <v>1.0538424653165399</v>
      </c>
      <c r="K4015">
        <v>1.15951915924338</v>
      </c>
      <c r="L4015">
        <v>15000</v>
      </c>
      <c r="M4015">
        <v>222.87212724835101</v>
      </c>
      <c r="O4015">
        <v>67.297748049847101</v>
      </c>
      <c r="P4015">
        <v>0.13209653049638201</v>
      </c>
      <c r="Q4015">
        <v>1.1595497669605701</v>
      </c>
      <c r="R4015">
        <v>-4.7783051886815399E-2</v>
      </c>
      <c r="S4015" t="s">
        <v>10661</v>
      </c>
      <c r="T4015" t="s">
        <v>13290</v>
      </c>
      <c r="U4015" t="s">
        <v>13290</v>
      </c>
      <c r="V4015" t="s">
        <v>13290</v>
      </c>
      <c r="W4015" t="s">
        <v>13438</v>
      </c>
      <c r="X4015">
        <v>12</v>
      </c>
      <c r="Y4015" t="s">
        <v>20023</v>
      </c>
      <c r="Z4015" t="s">
        <v>30345</v>
      </c>
      <c r="AA4015">
        <v>1.014319249508381</v>
      </c>
      <c r="AB4015" t="str">
        <f>HYPERLINK("Melting_Curves/meltCurve_Q66PJ3_ARL6IP4.pdf", "Melting_Curves/meltCurve_Q66PJ3_ARL6IP4.pdf")</f>
        <v>Melting_Curves/meltCurve_Q66PJ3_ARL6IP4.pdf</v>
      </c>
    </row>
    <row r="4016" spans="1:28" x14ac:dyDescent="0.25">
      <c r="A4016" t="s">
        <v>4020</v>
      </c>
      <c r="B4016">
        <v>0.99252571173614901</v>
      </c>
      <c r="C4016">
        <v>0.98225403532275002</v>
      </c>
      <c r="D4016">
        <v>0.91623394173227701</v>
      </c>
      <c r="E4016">
        <v>0.79134772253016195</v>
      </c>
      <c r="F4016">
        <v>0.27752889434698602</v>
      </c>
      <c r="G4016">
        <v>0.13266855259971599</v>
      </c>
      <c r="H4016">
        <v>0.108087422990223</v>
      </c>
      <c r="I4016">
        <v>9.6548871147467297E-2</v>
      </c>
      <c r="J4016">
        <v>0.10947309724354699</v>
      </c>
      <c r="K4016">
        <v>9.4293310362504101E-2</v>
      </c>
      <c r="L4016">
        <v>1783.2394136099099</v>
      </c>
      <c r="M4016">
        <v>34.850913894102199</v>
      </c>
      <c r="N4016">
        <v>51.499342305259503</v>
      </c>
      <c r="O4016">
        <v>51.000063620045403</v>
      </c>
      <c r="P4016">
        <v>-0.15366407519624201</v>
      </c>
      <c r="Q4016">
        <v>0.10052873061765</v>
      </c>
      <c r="R4016">
        <v>0.99655650824057995</v>
      </c>
      <c r="S4016" t="s">
        <v>10662</v>
      </c>
      <c r="T4016" t="s">
        <v>13290</v>
      </c>
      <c r="U4016" t="s">
        <v>13290</v>
      </c>
      <c r="V4016" t="s">
        <v>13290</v>
      </c>
      <c r="W4016" t="s">
        <v>17259</v>
      </c>
      <c r="X4016">
        <v>25</v>
      </c>
      <c r="Y4016" t="s">
        <v>23756</v>
      </c>
      <c r="Z4016" t="s">
        <v>30346</v>
      </c>
      <c r="AA4016">
        <v>0.43955931555434152</v>
      </c>
      <c r="AB4016" t="str">
        <f>HYPERLINK("Melting_Curves/meltCurve_Q66S35_PFKFB4.pdf", "Melting_Curves/meltCurve_Q66S35_PFKFB4.pdf")</f>
        <v>Melting_Curves/meltCurve_Q66S35_PFKFB4.pdf</v>
      </c>
    </row>
    <row r="4017" spans="1:28" x14ac:dyDescent="0.25">
      <c r="A4017" t="s">
        <v>4021</v>
      </c>
      <c r="B4017">
        <v>0.99252571173614901</v>
      </c>
      <c r="C4017">
        <v>0.91269772768465096</v>
      </c>
      <c r="D4017">
        <v>0.71517716054825198</v>
      </c>
      <c r="E4017">
        <v>0.68265705875649596</v>
      </c>
      <c r="F4017">
        <v>0.35557828664319802</v>
      </c>
      <c r="G4017">
        <v>0.214921731996293</v>
      </c>
      <c r="H4017">
        <v>0.19094879143353599</v>
      </c>
      <c r="I4017">
        <v>0.23750587948580701</v>
      </c>
      <c r="J4017">
        <v>0.28693968207579601</v>
      </c>
      <c r="K4017">
        <v>0.33518718909234402</v>
      </c>
      <c r="L4017">
        <v>818.64557657835996</v>
      </c>
      <c r="M4017">
        <v>16.800969296305698</v>
      </c>
      <c r="N4017">
        <v>50.653013452972097</v>
      </c>
      <c r="O4017">
        <v>48.051490977669403</v>
      </c>
      <c r="P4017">
        <v>-6.6775568708072303E-2</v>
      </c>
      <c r="Q4017">
        <v>0.23612559574137901</v>
      </c>
      <c r="R4017">
        <v>0.94534626870142802</v>
      </c>
      <c r="S4017" t="s">
        <v>10663</v>
      </c>
      <c r="T4017" t="s">
        <v>13290</v>
      </c>
      <c r="U4017" t="s">
        <v>13290</v>
      </c>
      <c r="V4017" t="s">
        <v>13290</v>
      </c>
      <c r="W4017" t="s">
        <v>17260</v>
      </c>
      <c r="X4017">
        <v>5</v>
      </c>
      <c r="Y4017" t="s">
        <v>23757</v>
      </c>
      <c r="Z4017" t="s">
        <v>30347</v>
      </c>
      <c r="AA4017">
        <v>0.47358761279026002</v>
      </c>
      <c r="AB4017" t="str">
        <f>HYPERLINK("Melting_Curves/meltCurve_Q68CP9_3_ARID2.pdf", "Melting_Curves/meltCurve_Q68CP9_3_ARID2.pdf")</f>
        <v>Melting_Curves/meltCurve_Q68CP9_3_ARID2.pdf</v>
      </c>
    </row>
    <row r="4018" spans="1:28" x14ac:dyDescent="0.25">
      <c r="A4018" t="s">
        <v>4022</v>
      </c>
      <c r="B4018">
        <v>0.99252571173614901</v>
      </c>
      <c r="C4018">
        <v>0.993183363734082</v>
      </c>
      <c r="D4018">
        <v>0.62465661056754596</v>
      </c>
      <c r="E4018">
        <v>0.234296618567474</v>
      </c>
      <c r="F4018">
        <v>0.16283270482679099</v>
      </c>
      <c r="G4018">
        <v>0.101411263945379</v>
      </c>
      <c r="H4018">
        <v>8.2338496223859997E-2</v>
      </c>
      <c r="I4018">
        <v>9.0743653356395906E-2</v>
      </c>
      <c r="J4018">
        <v>0.10508546827318301</v>
      </c>
      <c r="K4018">
        <v>0.110802575225583</v>
      </c>
      <c r="L4018">
        <v>1474.3293783823999</v>
      </c>
      <c r="M4018">
        <v>31.633650115370301</v>
      </c>
      <c r="N4018">
        <v>46.960825350689397</v>
      </c>
      <c r="O4018">
        <v>46.421297462980398</v>
      </c>
      <c r="P4018">
        <v>-0.15226997014586299</v>
      </c>
      <c r="Q4018">
        <v>0.106200866451083</v>
      </c>
      <c r="R4018">
        <v>0.99579994634354196</v>
      </c>
      <c r="S4018" t="s">
        <v>10664</v>
      </c>
      <c r="T4018" t="s">
        <v>13290</v>
      </c>
      <c r="U4018" t="s">
        <v>13290</v>
      </c>
      <c r="V4018" t="s">
        <v>13290</v>
      </c>
      <c r="W4018" t="s">
        <v>17261</v>
      </c>
      <c r="X4018">
        <v>13</v>
      </c>
      <c r="Y4018" t="s">
        <v>23758</v>
      </c>
      <c r="Z4018" t="s">
        <v>30348</v>
      </c>
      <c r="AA4018">
        <v>0.30781841339674382</v>
      </c>
      <c r="AB4018" t="str">
        <f>HYPERLINK("Melting_Curves/meltCurve_Q68CQ4_DIEXF.pdf", "Melting_Curves/meltCurve_Q68CQ4_DIEXF.pdf")</f>
        <v>Melting_Curves/meltCurve_Q68CQ4_DIEXF.pdf</v>
      </c>
    </row>
    <row r="4019" spans="1:28" x14ac:dyDescent="0.25">
      <c r="A4019" t="s">
        <v>4023</v>
      </c>
      <c r="B4019">
        <v>0.99252571173614901</v>
      </c>
      <c r="C4019">
        <v>1.0261657992827999</v>
      </c>
      <c r="D4019">
        <v>0.87665264099199303</v>
      </c>
      <c r="E4019">
        <v>0.73337542541221301</v>
      </c>
      <c r="F4019">
        <v>0.45214087533239899</v>
      </c>
      <c r="G4019">
        <v>0.28005263856222001</v>
      </c>
      <c r="H4019">
        <v>0.17065463348146301</v>
      </c>
      <c r="I4019">
        <v>0.20248699428126599</v>
      </c>
      <c r="J4019">
        <v>0.26427135087843401</v>
      </c>
      <c r="K4019">
        <v>0.30855827072206699</v>
      </c>
      <c r="L4019">
        <v>1139.6270594056</v>
      </c>
      <c r="M4019">
        <v>22.428517832055199</v>
      </c>
      <c r="N4019">
        <v>52.238873607607196</v>
      </c>
      <c r="O4019">
        <v>50.412756662220097</v>
      </c>
      <c r="P4019">
        <v>-8.5745619815988799E-2</v>
      </c>
      <c r="Q4019">
        <v>0.22909152206540401</v>
      </c>
      <c r="R4019">
        <v>0.98125604463542704</v>
      </c>
      <c r="S4019" t="s">
        <v>10665</v>
      </c>
      <c r="T4019" t="s">
        <v>13290</v>
      </c>
      <c r="U4019" t="s">
        <v>13290</v>
      </c>
      <c r="V4019" t="s">
        <v>13290</v>
      </c>
      <c r="W4019" t="s">
        <v>17262</v>
      </c>
      <c r="X4019">
        <v>9</v>
      </c>
      <c r="Y4019" t="s">
        <v>23759</v>
      </c>
      <c r="Z4019" t="s">
        <v>30349</v>
      </c>
      <c r="AA4019">
        <v>0.51551135815626514</v>
      </c>
      <c r="AB4019" t="str">
        <f>HYPERLINK("Melting_Curves/meltCurve_Q68D10_SPTY2D1.pdf", "Melting_Curves/meltCurve_Q68D10_SPTY2D1.pdf")</f>
        <v>Melting_Curves/meltCurve_Q68D10_SPTY2D1.pdf</v>
      </c>
    </row>
    <row r="4020" spans="1:28" x14ac:dyDescent="0.25">
      <c r="A4020" t="s">
        <v>4024</v>
      </c>
      <c r="B4020">
        <v>0.99252571173614901</v>
      </c>
      <c r="C4020">
        <v>1.0113312830088399</v>
      </c>
      <c r="D4020">
        <v>0.965057376161364</v>
      </c>
      <c r="E4020">
        <v>0.79479414522950798</v>
      </c>
      <c r="F4020">
        <v>0.66589010411046401</v>
      </c>
      <c r="G4020">
        <v>0.50375955344357704</v>
      </c>
      <c r="H4020">
        <v>0.59613509757556904</v>
      </c>
      <c r="I4020">
        <v>0.38815843782319398</v>
      </c>
      <c r="J4020">
        <v>0.45911718617946001</v>
      </c>
      <c r="K4020">
        <v>0.36116487156403998</v>
      </c>
      <c r="L4020">
        <v>764.62401097719203</v>
      </c>
      <c r="M4020">
        <v>14.583205807142701</v>
      </c>
      <c r="N4020">
        <v>59.006336163178503</v>
      </c>
      <c r="O4020">
        <v>51.475494598247501</v>
      </c>
      <c r="P4020">
        <v>-4.23919137745195E-2</v>
      </c>
      <c r="Q4020">
        <v>0.40153115612015899</v>
      </c>
      <c r="R4020">
        <v>0.95262126900800703</v>
      </c>
      <c r="S4020" t="s">
        <v>10666</v>
      </c>
      <c r="T4020" t="s">
        <v>13290</v>
      </c>
      <c r="U4020" t="s">
        <v>13290</v>
      </c>
      <c r="V4020" t="s">
        <v>13290</v>
      </c>
      <c r="W4020" t="s">
        <v>17263</v>
      </c>
      <c r="X4020">
        <v>13</v>
      </c>
      <c r="Y4020" t="s">
        <v>23760</v>
      </c>
      <c r="Z4020" t="s">
        <v>30350</v>
      </c>
      <c r="AA4020">
        <v>0.66325680462694869</v>
      </c>
      <c r="AB4020" t="str">
        <f>HYPERLINK("Melting_Curves/meltCurve_Q68D91_MBLAC2.pdf", "Melting_Curves/meltCurve_Q68D91_MBLAC2.pdf")</f>
        <v>Melting_Curves/meltCurve_Q68D91_MBLAC2.pdf</v>
      </c>
    </row>
    <row r="4021" spans="1:28" x14ac:dyDescent="0.25">
      <c r="A4021" t="s">
        <v>4025</v>
      </c>
      <c r="B4021">
        <v>0.99252571173614901</v>
      </c>
      <c r="C4021">
        <v>1.0289155895904201</v>
      </c>
      <c r="D4021">
        <v>0.92273049017124098</v>
      </c>
      <c r="E4021">
        <v>0.93636880394982402</v>
      </c>
      <c r="F4021">
        <v>0.72685481488475701</v>
      </c>
      <c r="G4021">
        <v>0.50598155108930098</v>
      </c>
      <c r="H4021">
        <v>0.15341212674135399</v>
      </c>
      <c r="I4021">
        <v>0.115787521715951</v>
      </c>
      <c r="J4021">
        <v>0.14560221859570599</v>
      </c>
      <c r="K4021">
        <v>9.0233230830585404E-2</v>
      </c>
      <c r="L4021">
        <v>1152.4627924470201</v>
      </c>
      <c r="M4021">
        <v>20.665183457228299</v>
      </c>
      <c r="N4021">
        <v>56.204765112958498</v>
      </c>
      <c r="O4021">
        <v>55.253981364880303</v>
      </c>
      <c r="P4021">
        <v>-8.6572374689327103E-2</v>
      </c>
      <c r="Q4021">
        <v>7.4127419109621506E-2</v>
      </c>
      <c r="R4021">
        <v>0.98968023082013601</v>
      </c>
      <c r="S4021" t="s">
        <v>10667</v>
      </c>
      <c r="T4021" t="s">
        <v>13290</v>
      </c>
      <c r="U4021" t="s">
        <v>13290</v>
      </c>
      <c r="V4021" t="s">
        <v>13290</v>
      </c>
      <c r="W4021" t="s">
        <v>17264</v>
      </c>
      <c r="X4021">
        <v>3</v>
      </c>
      <c r="Y4021" t="s">
        <v>23761</v>
      </c>
      <c r="Z4021" t="s">
        <v>30351</v>
      </c>
      <c r="AA4021">
        <v>0.57226540809019311</v>
      </c>
      <c r="AB4021" t="str">
        <f>HYPERLINK("Melting_Curves/meltCurve_Q68DH5_LMBRD2.pdf", "Melting_Curves/meltCurve_Q68DH5_LMBRD2.pdf")</f>
        <v>Melting_Curves/meltCurve_Q68DH5_LMBRD2.pdf</v>
      </c>
    </row>
    <row r="4022" spans="1:28" x14ac:dyDescent="0.25">
      <c r="A4022" t="s">
        <v>4026</v>
      </c>
      <c r="B4022">
        <v>0.99252571173614901</v>
      </c>
      <c r="C4022">
        <v>0.91317782641865297</v>
      </c>
      <c r="D4022">
        <v>0.80071643475360299</v>
      </c>
      <c r="E4022">
        <v>0.44943761862451498</v>
      </c>
      <c r="F4022">
        <v>0.19236093209142799</v>
      </c>
      <c r="G4022">
        <v>0.12037019141949599</v>
      </c>
      <c r="H4022">
        <v>7.1237341779882807E-2</v>
      </c>
      <c r="I4022">
        <v>6.6507084774235697E-2</v>
      </c>
      <c r="J4022">
        <v>7.9246549632994198E-2</v>
      </c>
      <c r="K4022">
        <v>7.5283120091287403E-2</v>
      </c>
      <c r="L4022">
        <v>1009.67088495216</v>
      </c>
      <c r="M4022">
        <v>20.731424575999199</v>
      </c>
      <c r="N4022">
        <v>49.040155812299801</v>
      </c>
      <c r="O4022">
        <v>48.256098641314601</v>
      </c>
      <c r="P4022">
        <v>-0.100261254517047</v>
      </c>
      <c r="Q4022">
        <v>6.6522741174802003E-2</v>
      </c>
      <c r="R4022">
        <v>0.99862214607385202</v>
      </c>
      <c r="S4022" t="s">
        <v>10668</v>
      </c>
      <c r="T4022" t="s">
        <v>13290</v>
      </c>
      <c r="U4022" t="s">
        <v>13290</v>
      </c>
      <c r="V4022" t="s">
        <v>13290</v>
      </c>
      <c r="W4022" t="s">
        <v>17265</v>
      </c>
      <c r="X4022">
        <v>12</v>
      </c>
      <c r="Y4022" t="s">
        <v>23762</v>
      </c>
      <c r="Z4022" t="s">
        <v>30352</v>
      </c>
      <c r="AA4022">
        <v>0.34948763232498181</v>
      </c>
      <c r="AB4022" t="str">
        <f>HYPERLINK("Melting_Curves/meltCurve_Q68E01_2_INTS3.pdf", "Melting_Curves/meltCurve_Q68E01_2_INTS3.pdf")</f>
        <v>Melting_Curves/meltCurve_Q68E01_2_INTS3.pdf</v>
      </c>
    </row>
    <row r="4023" spans="1:28" x14ac:dyDescent="0.25">
      <c r="A4023" t="s">
        <v>4027</v>
      </c>
      <c r="B4023">
        <v>0.99252571173614901</v>
      </c>
      <c r="C4023">
        <v>0.99316162658386398</v>
      </c>
      <c r="D4023">
        <v>0.715504536321937</v>
      </c>
      <c r="E4023">
        <v>0.35648516740776398</v>
      </c>
      <c r="F4023">
        <v>0.22560150619789399</v>
      </c>
      <c r="G4023">
        <v>0.16858694679108899</v>
      </c>
      <c r="H4023">
        <v>0.11967373462208999</v>
      </c>
      <c r="I4023">
        <v>0.116304461354606</v>
      </c>
      <c r="J4023">
        <v>0.129625990669619</v>
      </c>
      <c r="K4023">
        <v>0.13639437585194</v>
      </c>
      <c r="L4023">
        <v>1169.3946407646599</v>
      </c>
      <c r="M4023">
        <v>24.603201302162599</v>
      </c>
      <c r="N4023">
        <v>48.142470334149998</v>
      </c>
      <c r="O4023">
        <v>47.219531705431699</v>
      </c>
      <c r="P4023">
        <v>-0.11276197590866099</v>
      </c>
      <c r="Q4023">
        <v>0.13434202018612401</v>
      </c>
      <c r="R4023">
        <v>0.99570888370919997</v>
      </c>
      <c r="S4023" t="s">
        <v>10669</v>
      </c>
      <c r="T4023" t="s">
        <v>13290</v>
      </c>
      <c r="U4023" t="s">
        <v>13290</v>
      </c>
      <c r="V4023" t="s">
        <v>13290</v>
      </c>
      <c r="W4023" t="s">
        <v>17266</v>
      </c>
      <c r="X4023">
        <v>11</v>
      </c>
      <c r="Y4023" t="s">
        <v>23763</v>
      </c>
      <c r="Z4023" t="s">
        <v>30353</v>
      </c>
      <c r="AA4023">
        <v>0.35956849148637909</v>
      </c>
      <c r="AB4023" t="str">
        <f>HYPERLINK("Melting_Curves/meltCurve_Q68EM7_2_ARHGAP17.pdf", "Melting_Curves/meltCurve_Q68EM7_2_ARHGAP17.pdf")</f>
        <v>Melting_Curves/meltCurve_Q68EM7_2_ARHGAP17.pdf</v>
      </c>
    </row>
    <row r="4024" spans="1:28" x14ac:dyDescent="0.25">
      <c r="A4024" t="s">
        <v>4028</v>
      </c>
      <c r="B4024">
        <v>0.99252571173614901</v>
      </c>
      <c r="C4024">
        <v>0.98451852430166198</v>
      </c>
      <c r="D4024">
        <v>0.87027666226396505</v>
      </c>
      <c r="E4024">
        <v>0.67449184563132603</v>
      </c>
      <c r="F4024">
        <v>0.48896654997135802</v>
      </c>
      <c r="G4024">
        <v>0.33587491599082497</v>
      </c>
      <c r="H4024">
        <v>0.234717793693936</v>
      </c>
      <c r="I4024">
        <v>0.22262095773881599</v>
      </c>
      <c r="J4024">
        <v>0.314526830284661</v>
      </c>
      <c r="K4024">
        <v>0.33569103913306197</v>
      </c>
      <c r="L4024">
        <v>943.00518140406496</v>
      </c>
      <c r="M4024">
        <v>18.773195058754201</v>
      </c>
      <c r="N4024">
        <v>52.376256166917798</v>
      </c>
      <c r="O4024">
        <v>49.6719262995165</v>
      </c>
      <c r="P4024">
        <v>-6.9147256611584801E-2</v>
      </c>
      <c r="Q4024">
        <v>0.26820491162110599</v>
      </c>
      <c r="R4024">
        <v>0.98341861995222501</v>
      </c>
      <c r="S4024" t="s">
        <v>10670</v>
      </c>
      <c r="T4024" t="s">
        <v>13290</v>
      </c>
      <c r="U4024" t="s">
        <v>13290</v>
      </c>
      <c r="V4024" t="s">
        <v>13290</v>
      </c>
      <c r="W4024" t="s">
        <v>17267</v>
      </c>
      <c r="X4024">
        <v>8</v>
      </c>
      <c r="Z4024" t="s">
        <v>30354</v>
      </c>
      <c r="AA4024">
        <v>0.52927555629570644</v>
      </c>
      <c r="AB4024" t="str">
        <f>HYPERLINK("Melting_Curves/meltCurve_Q69YL0_.pdf", "Melting_Curves/meltCurve_Q69YL0_.pdf")</f>
        <v>Melting_Curves/meltCurve_Q69YL0_.pdf</v>
      </c>
    </row>
    <row r="4025" spans="1:28" x14ac:dyDescent="0.25">
      <c r="A4025" t="s">
        <v>4029</v>
      </c>
      <c r="B4025">
        <v>0.99252571173614901</v>
      </c>
      <c r="C4025">
        <v>1.0428326718548899</v>
      </c>
      <c r="D4025">
        <v>0.925357674362427</v>
      </c>
      <c r="E4025">
        <v>0.69962250475393595</v>
      </c>
      <c r="F4025">
        <v>0.144444201532338</v>
      </c>
      <c r="G4025">
        <v>7.8116907336827301E-2</v>
      </c>
      <c r="H4025">
        <v>4.8060555136780897E-2</v>
      </c>
      <c r="I4025">
        <v>4.5182918978011202E-2</v>
      </c>
      <c r="J4025">
        <v>5.1117269826334799E-2</v>
      </c>
      <c r="K4025">
        <v>5.1146718051530697E-2</v>
      </c>
      <c r="L4025">
        <v>2023.0775608818301</v>
      </c>
      <c r="M4025">
        <v>40.068440198351603</v>
      </c>
      <c r="N4025">
        <v>50.623902180040503</v>
      </c>
      <c r="O4025">
        <v>50.365291986502697</v>
      </c>
      <c r="P4025">
        <v>-0.18892782071175099</v>
      </c>
      <c r="Q4025">
        <v>5.0087121218062199E-2</v>
      </c>
      <c r="R4025">
        <v>0.99678419913123795</v>
      </c>
      <c r="S4025" t="s">
        <v>10671</v>
      </c>
      <c r="T4025" t="s">
        <v>13290</v>
      </c>
      <c r="U4025" t="s">
        <v>13290</v>
      </c>
      <c r="V4025" t="s">
        <v>13290</v>
      </c>
      <c r="W4025" t="s">
        <v>17268</v>
      </c>
      <c r="X4025">
        <v>17</v>
      </c>
      <c r="Y4025" t="s">
        <v>23764</v>
      </c>
      <c r="Z4025" t="s">
        <v>30355</v>
      </c>
      <c r="AA4025">
        <v>0.38556166041676482</v>
      </c>
      <c r="AB4025" t="str">
        <f>HYPERLINK("Melting_Curves/meltCurve_Q69YN2_CWF19L1.pdf", "Melting_Curves/meltCurve_Q69YN2_CWF19L1.pdf")</f>
        <v>Melting_Curves/meltCurve_Q69YN2_CWF19L1.pdf</v>
      </c>
    </row>
    <row r="4026" spans="1:28" x14ac:dyDescent="0.25">
      <c r="A4026" t="s">
        <v>4030</v>
      </c>
      <c r="B4026">
        <v>0.99252571173614901</v>
      </c>
      <c r="C4026">
        <v>0.83429219966192103</v>
      </c>
      <c r="D4026">
        <v>1.01337820701042</v>
      </c>
      <c r="E4026">
        <v>0.40631445840052299</v>
      </c>
      <c r="F4026">
        <v>0.19391943945700901</v>
      </c>
      <c r="G4026">
        <v>0.12267817276148001</v>
      </c>
      <c r="H4026">
        <v>9.8599840222416593E-2</v>
      </c>
      <c r="I4026">
        <v>0.11140311547225</v>
      </c>
      <c r="J4026">
        <v>0.13055383790276601</v>
      </c>
      <c r="K4026">
        <v>0.121415746060032</v>
      </c>
      <c r="L4026">
        <v>3160.1261113150799</v>
      </c>
      <c r="M4026">
        <v>64.454075561698502</v>
      </c>
      <c r="N4026">
        <v>49.256004921178601</v>
      </c>
      <c r="O4026">
        <v>48.981980685087898</v>
      </c>
      <c r="P4026">
        <v>-0.286715512249614</v>
      </c>
      <c r="Q4026">
        <v>0.12844057760893801</v>
      </c>
      <c r="R4026">
        <v>0.97571346687132998</v>
      </c>
      <c r="S4026" t="s">
        <v>10672</v>
      </c>
      <c r="T4026" t="s">
        <v>13290</v>
      </c>
      <c r="U4026" t="s">
        <v>13290</v>
      </c>
      <c r="V4026" t="s">
        <v>13290</v>
      </c>
      <c r="W4026" t="s">
        <v>17269</v>
      </c>
      <c r="X4026">
        <v>8</v>
      </c>
      <c r="Y4026" t="s">
        <v>23765</v>
      </c>
      <c r="Z4026" t="s">
        <v>30356</v>
      </c>
      <c r="AA4026">
        <v>0.39188595827861361</v>
      </c>
      <c r="AB4026" t="str">
        <f>HYPERLINK("Melting_Curves/meltCurve_Q69YN4_KIAA1429.pdf", "Melting_Curves/meltCurve_Q69YN4_KIAA1429.pdf")</f>
        <v>Melting_Curves/meltCurve_Q69YN4_KIAA1429.pdf</v>
      </c>
    </row>
    <row r="4027" spans="1:28" x14ac:dyDescent="0.25">
      <c r="A4027" t="s">
        <v>4031</v>
      </c>
      <c r="B4027">
        <v>0.99252571173614901</v>
      </c>
      <c r="C4027">
        <v>0.91601910584264901</v>
      </c>
      <c r="D4027">
        <v>0.86009700903868203</v>
      </c>
      <c r="E4027">
        <v>0.43751116008352298</v>
      </c>
      <c r="F4027">
        <v>0.291682229882894</v>
      </c>
      <c r="G4027">
        <v>0.181000899595403</v>
      </c>
      <c r="H4027">
        <v>0.13679831295619599</v>
      </c>
      <c r="I4027">
        <v>0.153996736155535</v>
      </c>
      <c r="J4027">
        <v>0.23774631171628199</v>
      </c>
      <c r="K4027">
        <v>0.25853737449007802</v>
      </c>
      <c r="L4027">
        <v>1304.7484294144299</v>
      </c>
      <c r="M4027">
        <v>27.027254860327702</v>
      </c>
      <c r="N4027">
        <v>49.1729975939908</v>
      </c>
      <c r="O4027">
        <v>48.013321329430099</v>
      </c>
      <c r="P4027">
        <v>-0.113324866520906</v>
      </c>
      <c r="Q4027">
        <v>0.194731452453523</v>
      </c>
      <c r="R4027">
        <v>0.98286180289524205</v>
      </c>
      <c r="S4027" t="s">
        <v>10673</v>
      </c>
      <c r="T4027" t="s">
        <v>13290</v>
      </c>
      <c r="U4027" t="s">
        <v>13290</v>
      </c>
      <c r="V4027" t="s">
        <v>13290</v>
      </c>
      <c r="W4027" t="s">
        <v>17270</v>
      </c>
      <c r="X4027">
        <v>3</v>
      </c>
      <c r="Y4027" t="s">
        <v>23766</v>
      </c>
      <c r="Z4027" t="s">
        <v>30357</v>
      </c>
      <c r="AA4027">
        <v>0.42290030825638941</v>
      </c>
      <c r="AB4027" t="str">
        <f>HYPERLINK("Melting_Curves/meltCurve_Q69YQ0_2_SPECC1L.pdf", "Melting_Curves/meltCurve_Q69YQ0_2_SPECC1L.pdf")</f>
        <v>Melting_Curves/meltCurve_Q69YQ0_2_SPECC1L.pdf</v>
      </c>
    </row>
    <row r="4028" spans="1:28" x14ac:dyDescent="0.25">
      <c r="A4028" t="s">
        <v>4032</v>
      </c>
      <c r="B4028">
        <v>0.99252571173614901</v>
      </c>
      <c r="C4028">
        <v>0.95180411068791704</v>
      </c>
      <c r="D4028">
        <v>0.95819687226884098</v>
      </c>
      <c r="E4028">
        <v>0.94984514669532505</v>
      </c>
      <c r="F4028">
        <v>0.72164865192779504</v>
      </c>
      <c r="G4028">
        <v>0.67824965585320096</v>
      </c>
      <c r="H4028">
        <v>0.56326330619077303</v>
      </c>
      <c r="I4028">
        <v>0.62878326117583405</v>
      </c>
      <c r="J4028">
        <v>0.90969593154884398</v>
      </c>
      <c r="K4028">
        <v>0.86902012549916796</v>
      </c>
      <c r="L4028">
        <v>12473.6492082162</v>
      </c>
      <c r="M4028">
        <v>250</v>
      </c>
      <c r="O4028">
        <v>49.891403987892403</v>
      </c>
      <c r="P4028">
        <v>-0.34018450326382099</v>
      </c>
      <c r="Q4028">
        <v>0.728443481020283</v>
      </c>
      <c r="R4028">
        <v>0.57240626305869902</v>
      </c>
      <c r="S4028" t="s">
        <v>10674</v>
      </c>
      <c r="T4028" t="s">
        <v>13290</v>
      </c>
      <c r="U4028" t="s">
        <v>13290</v>
      </c>
      <c r="V4028" t="s">
        <v>13290</v>
      </c>
      <c r="W4028" t="s">
        <v>17271</v>
      </c>
      <c r="X4028">
        <v>4</v>
      </c>
      <c r="Y4028" t="s">
        <v>23767</v>
      </c>
      <c r="Z4028" t="s">
        <v>30358</v>
      </c>
      <c r="AA4028">
        <v>0.8180320020820816</v>
      </c>
      <c r="AB4028" t="str">
        <f>HYPERLINK("Melting_Curves/meltCurve_Q69YU5_C12orf73.pdf", "Melting_Curves/meltCurve_Q69YU5_C12orf73.pdf")</f>
        <v>Melting_Curves/meltCurve_Q69YU5_C12orf73.pdf</v>
      </c>
    </row>
    <row r="4029" spans="1:28" x14ac:dyDescent="0.25">
      <c r="A4029" t="s">
        <v>4033</v>
      </c>
      <c r="B4029">
        <v>0.99252571173614901</v>
      </c>
      <c r="C4029">
        <v>0.92162058361728205</v>
      </c>
      <c r="D4029">
        <v>1.00876812454669</v>
      </c>
      <c r="E4029">
        <v>1.03837024080156</v>
      </c>
      <c r="F4029">
        <v>0.80268889542289801</v>
      </c>
      <c r="G4029">
        <v>0.38111620621915798</v>
      </c>
      <c r="H4029">
        <v>0.170270928887473</v>
      </c>
      <c r="I4029">
        <v>0.13917162940304501</v>
      </c>
      <c r="J4029">
        <v>0.16506323035603701</v>
      </c>
      <c r="K4029">
        <v>0.14123721535875999</v>
      </c>
      <c r="L4029">
        <v>1946.72542180857</v>
      </c>
      <c r="M4029">
        <v>35.290012238647599</v>
      </c>
      <c r="N4029">
        <v>55.704910970653003</v>
      </c>
      <c r="O4029">
        <v>54.987398746327401</v>
      </c>
      <c r="P4029">
        <v>-0.137157585128038</v>
      </c>
      <c r="Q4029">
        <v>0.14515036691945299</v>
      </c>
      <c r="R4029">
        <v>0.99326425322633405</v>
      </c>
      <c r="S4029" t="s">
        <v>10675</v>
      </c>
      <c r="T4029" t="s">
        <v>13290</v>
      </c>
      <c r="U4029" t="s">
        <v>13290</v>
      </c>
      <c r="V4029" t="s">
        <v>13290</v>
      </c>
      <c r="W4029" t="s">
        <v>17272</v>
      </c>
      <c r="X4029">
        <v>6</v>
      </c>
      <c r="Y4029" t="s">
        <v>23768</v>
      </c>
      <c r="Z4029" t="s">
        <v>30359</v>
      </c>
      <c r="AA4029">
        <v>0.58139395002137151</v>
      </c>
      <c r="AB4029" t="str">
        <f>HYPERLINK("Melting_Curves/meltCurve_Q6BDS2_UHRF1BP1.pdf", "Melting_Curves/meltCurve_Q6BDS2_UHRF1BP1.pdf")</f>
        <v>Melting_Curves/meltCurve_Q6BDS2_UHRF1BP1.pdf</v>
      </c>
    </row>
    <row r="4030" spans="1:28" x14ac:dyDescent="0.25">
      <c r="A4030" t="s">
        <v>4034</v>
      </c>
      <c r="B4030">
        <v>0.99252571173614901</v>
      </c>
      <c r="C4030">
        <v>1.0918851713239</v>
      </c>
      <c r="D4030">
        <v>0.97206242687381805</v>
      </c>
      <c r="E4030">
        <v>1.0230167036721201</v>
      </c>
      <c r="F4030">
        <v>0.690441283521809</v>
      </c>
      <c r="G4030">
        <v>0.47280457698560202</v>
      </c>
      <c r="H4030">
        <v>0.45959606714812601</v>
      </c>
      <c r="I4030">
        <v>0.61822138369836299</v>
      </c>
      <c r="J4030">
        <v>0.86569841451275997</v>
      </c>
      <c r="K4030">
        <v>1.0938568326204601</v>
      </c>
      <c r="L4030">
        <v>7734.3043172557</v>
      </c>
      <c r="M4030">
        <v>150.214954465343</v>
      </c>
      <c r="O4030">
        <v>51.479121107791201</v>
      </c>
      <c r="P4030">
        <v>-0.21901606533350201</v>
      </c>
      <c r="Q4030">
        <v>0.69977012656557003</v>
      </c>
      <c r="R4030">
        <v>0.44121485028031998</v>
      </c>
      <c r="S4030" t="s">
        <v>10676</v>
      </c>
      <c r="T4030" t="s">
        <v>13290</v>
      </c>
      <c r="U4030" t="s">
        <v>13290</v>
      </c>
      <c r="V4030" t="s">
        <v>13290</v>
      </c>
      <c r="W4030" t="s">
        <v>17273</v>
      </c>
      <c r="X4030">
        <v>7</v>
      </c>
      <c r="Y4030" t="s">
        <v>23769</v>
      </c>
      <c r="Z4030" t="s">
        <v>30360</v>
      </c>
      <c r="AA4030">
        <v>0.81481577310526565</v>
      </c>
      <c r="AB4030" t="str">
        <f>HYPERLINK("Melting_Curves/meltCurve_Q6DD87_ZNF787.pdf", "Melting_Curves/meltCurve_Q6DD87_ZNF787.pdf")</f>
        <v>Melting_Curves/meltCurve_Q6DD87_ZNF787.pdf</v>
      </c>
    </row>
    <row r="4031" spans="1:28" x14ac:dyDescent="0.25">
      <c r="A4031" t="s">
        <v>4035</v>
      </c>
      <c r="B4031">
        <v>0.99252571173614901</v>
      </c>
      <c r="C4031">
        <v>0.95202791912396501</v>
      </c>
      <c r="D4031">
        <v>0.88220117747561899</v>
      </c>
      <c r="E4031">
        <v>0.726756520365753</v>
      </c>
      <c r="F4031">
        <v>0.23075376836822201</v>
      </c>
      <c r="G4031">
        <v>9.5337820458127498E-2</v>
      </c>
      <c r="H4031">
        <v>5.9936857006870001E-2</v>
      </c>
      <c r="I4031">
        <v>6.1626960675228902E-2</v>
      </c>
      <c r="J4031">
        <v>7.0626702502901997E-2</v>
      </c>
      <c r="K4031">
        <v>6.8010147241214305E-2</v>
      </c>
      <c r="L4031">
        <v>1518.3216239584201</v>
      </c>
      <c r="M4031">
        <v>29.883355339454699</v>
      </c>
      <c r="N4031">
        <v>51.023632914612698</v>
      </c>
      <c r="O4031">
        <v>50.582370340919503</v>
      </c>
      <c r="P4031">
        <v>-0.13894649381931601</v>
      </c>
      <c r="Q4031">
        <v>5.9249263080709103E-2</v>
      </c>
      <c r="R4031">
        <v>0.993619573252706</v>
      </c>
      <c r="S4031" t="s">
        <v>10677</v>
      </c>
      <c r="T4031" t="s">
        <v>13290</v>
      </c>
      <c r="U4031" t="s">
        <v>13290</v>
      </c>
      <c r="V4031" t="s">
        <v>13290</v>
      </c>
      <c r="W4031" t="s">
        <v>17274</v>
      </c>
      <c r="X4031">
        <v>19</v>
      </c>
      <c r="Y4031" t="s">
        <v>23770</v>
      </c>
      <c r="Z4031" t="s">
        <v>30361</v>
      </c>
      <c r="AA4031">
        <v>0.40412147971797052</v>
      </c>
      <c r="AB4031" t="str">
        <f>HYPERLINK("Melting_Curves/meltCurve_Q6DD88_ATL3.pdf", "Melting_Curves/meltCurve_Q6DD88_ATL3.pdf")</f>
        <v>Melting_Curves/meltCurve_Q6DD88_ATL3.pdf</v>
      </c>
    </row>
    <row r="4032" spans="1:28" x14ac:dyDescent="0.25">
      <c r="A4032" t="s">
        <v>4036</v>
      </c>
      <c r="B4032">
        <v>0.99252571173614901</v>
      </c>
      <c r="C4032">
        <v>1.0824061265384799</v>
      </c>
      <c r="D4032">
        <v>0.92274967275538899</v>
      </c>
      <c r="E4032">
        <v>1.00787622190319</v>
      </c>
      <c r="F4032">
        <v>0.81839699286590795</v>
      </c>
      <c r="G4032">
        <v>0.68175970762746896</v>
      </c>
      <c r="H4032">
        <v>0.634140281834218</v>
      </c>
      <c r="I4032">
        <v>0.55173336339043799</v>
      </c>
      <c r="J4032">
        <v>0.23206048782856001</v>
      </c>
      <c r="K4032">
        <v>0.191850888810597</v>
      </c>
      <c r="L4032">
        <v>695.648672523644</v>
      </c>
      <c r="M4032">
        <v>11.132088279978101</v>
      </c>
      <c r="N4032">
        <v>62.4904020898189</v>
      </c>
      <c r="O4032">
        <v>60.575539536224603</v>
      </c>
      <c r="P4032">
        <v>-4.5957804287020801E-2</v>
      </c>
      <c r="Q4032">
        <v>0</v>
      </c>
      <c r="R4032">
        <v>0.94484641941470304</v>
      </c>
      <c r="S4032" t="s">
        <v>10678</v>
      </c>
      <c r="T4032" t="s">
        <v>13290</v>
      </c>
      <c r="U4032" t="s">
        <v>13290</v>
      </c>
      <c r="V4032" t="s">
        <v>13290</v>
      </c>
      <c r="W4032" t="s">
        <v>17275</v>
      </c>
      <c r="X4032">
        <v>5</v>
      </c>
      <c r="Y4032" t="s">
        <v>23771</v>
      </c>
      <c r="Z4032" t="s">
        <v>30362</v>
      </c>
      <c r="AA4032">
        <v>0.73028740848035023</v>
      </c>
      <c r="AB4032" t="str">
        <f>HYPERLINK("Melting_Curves/meltCurve_Q6DHV7_3_ADAL.pdf", "Melting_Curves/meltCurve_Q6DHV7_3_ADAL.pdf")</f>
        <v>Melting_Curves/meltCurve_Q6DHV7_3_ADAL.pdf</v>
      </c>
    </row>
    <row r="4033" spans="1:28" x14ac:dyDescent="0.25">
      <c r="A4033" t="s">
        <v>4037</v>
      </c>
      <c r="B4033">
        <v>0.99252571173614901</v>
      </c>
      <c r="C4033">
        <v>1.02436114691004</v>
      </c>
      <c r="D4033">
        <v>0.94865933898410204</v>
      </c>
      <c r="E4033">
        <v>0.85224746369022097</v>
      </c>
      <c r="F4033">
        <v>0.68688068030787996</v>
      </c>
      <c r="G4033">
        <v>0.53685015348774701</v>
      </c>
      <c r="H4033">
        <v>0.48488785801235801</v>
      </c>
      <c r="I4033">
        <v>0.49409866506028599</v>
      </c>
      <c r="J4033">
        <v>0.41282288473712397</v>
      </c>
      <c r="K4033">
        <v>0.22674365265969099</v>
      </c>
      <c r="L4033">
        <v>583.41019227119102</v>
      </c>
      <c r="M4033">
        <v>10.4575279523846</v>
      </c>
      <c r="N4033">
        <v>59.732401934385599</v>
      </c>
      <c r="O4033">
        <v>53.864234455462601</v>
      </c>
      <c r="P4033">
        <v>-3.6449888339404497E-2</v>
      </c>
      <c r="Q4033">
        <v>0.24932857065449199</v>
      </c>
      <c r="R4033">
        <v>0.95763423833507</v>
      </c>
      <c r="S4033" t="s">
        <v>10679</v>
      </c>
      <c r="T4033" t="s">
        <v>13290</v>
      </c>
      <c r="U4033" t="s">
        <v>13290</v>
      </c>
      <c r="V4033" t="s">
        <v>13290</v>
      </c>
      <c r="W4033" t="s">
        <v>17276</v>
      </c>
      <c r="X4033">
        <v>8</v>
      </c>
      <c r="Y4033" t="s">
        <v>23772</v>
      </c>
      <c r="Z4033" t="s">
        <v>30363</v>
      </c>
      <c r="AA4033">
        <v>0.66092423760935548</v>
      </c>
      <c r="AB4033" t="str">
        <f>HYPERLINK("Melting_Curves/meltCurve_Q6DKK2_TTC19.pdf", "Melting_Curves/meltCurve_Q6DKK2_TTC19.pdf")</f>
        <v>Melting_Curves/meltCurve_Q6DKK2_TTC19.pdf</v>
      </c>
    </row>
    <row r="4034" spans="1:28" x14ac:dyDescent="0.25">
      <c r="A4034" t="s">
        <v>4038</v>
      </c>
      <c r="B4034">
        <v>0.99252571173614901</v>
      </c>
      <c r="C4034">
        <v>0.72946241317488403</v>
      </c>
      <c r="D4034">
        <v>0.70277567311990496</v>
      </c>
      <c r="E4034">
        <v>0.25832018073270901</v>
      </c>
      <c r="F4034">
        <v>6.3713645707584907E-2</v>
      </c>
      <c r="G4034">
        <v>4.2048566920361699E-2</v>
      </c>
      <c r="H4034">
        <v>5.18568902891045E-2</v>
      </c>
      <c r="I4034">
        <v>6.8946323296384004E-2</v>
      </c>
      <c r="J4034">
        <v>0.14207016472949499</v>
      </c>
      <c r="K4034">
        <v>0.14501102955992001</v>
      </c>
      <c r="L4034">
        <v>966.92390776214097</v>
      </c>
      <c r="M4034">
        <v>20.749411762723302</v>
      </c>
      <c r="N4034">
        <v>46.9506674087744</v>
      </c>
      <c r="O4034">
        <v>46.173702748015103</v>
      </c>
      <c r="P4034">
        <v>-0.104284381912706</v>
      </c>
      <c r="Q4034">
        <v>7.1769239315612396E-2</v>
      </c>
      <c r="R4034">
        <v>0.95537997106750805</v>
      </c>
      <c r="S4034" t="s">
        <v>10680</v>
      </c>
      <c r="T4034" t="s">
        <v>13290</v>
      </c>
      <c r="U4034" t="s">
        <v>13290</v>
      </c>
      <c r="V4034" t="s">
        <v>13290</v>
      </c>
      <c r="W4034" t="s">
        <v>17277</v>
      </c>
      <c r="X4034">
        <v>3</v>
      </c>
      <c r="Y4034" t="s">
        <v>23773</v>
      </c>
      <c r="Z4034" t="s">
        <v>30364</v>
      </c>
      <c r="AA4034">
        <v>0.28872156513221459</v>
      </c>
      <c r="AB4034" t="str">
        <f>HYPERLINK("Melting_Curves/meltCurve_Q6DT37_CDC42BPG.pdf", "Melting_Curves/meltCurve_Q6DT37_CDC42BPG.pdf")</f>
        <v>Melting_Curves/meltCurve_Q6DT37_CDC42BPG.pdf</v>
      </c>
    </row>
    <row r="4035" spans="1:28" x14ac:dyDescent="0.25">
      <c r="A4035" t="s">
        <v>4039</v>
      </c>
      <c r="B4035">
        <v>0.99252571173614901</v>
      </c>
      <c r="C4035">
        <v>1.1078196154401501</v>
      </c>
      <c r="D4035">
        <v>0.95171834641705599</v>
      </c>
      <c r="E4035">
        <v>0.91439028363299601</v>
      </c>
      <c r="F4035">
        <v>0.74161053678461997</v>
      </c>
      <c r="G4035">
        <v>0.69409245999626501</v>
      </c>
      <c r="H4035">
        <v>0.77411941396508499</v>
      </c>
      <c r="I4035">
        <v>0.97288778055463498</v>
      </c>
      <c r="J4035">
        <v>1.54093672474766</v>
      </c>
      <c r="K4035">
        <v>1.6054595445255999</v>
      </c>
      <c r="L4035">
        <v>15000</v>
      </c>
      <c r="M4035">
        <v>229.14405298557301</v>
      </c>
      <c r="O4035">
        <v>65.456018808021199</v>
      </c>
      <c r="P4035">
        <v>0.43759164097575598</v>
      </c>
      <c r="Q4035">
        <v>1.5</v>
      </c>
      <c r="R4035">
        <v>0.72107023285776495</v>
      </c>
      <c r="S4035" t="s">
        <v>10681</v>
      </c>
      <c r="T4035" t="s">
        <v>13290</v>
      </c>
      <c r="U4035" t="s">
        <v>13290</v>
      </c>
      <c r="V4035" t="s">
        <v>13290</v>
      </c>
      <c r="W4035" t="s">
        <v>17278</v>
      </c>
      <c r="X4035">
        <v>2</v>
      </c>
      <c r="Y4035" t="s">
        <v>21896</v>
      </c>
      <c r="Z4035" t="s">
        <v>30365</v>
      </c>
      <c r="AA4035">
        <v>1.07558154194186</v>
      </c>
      <c r="AB4035" t="str">
        <f>HYPERLINK("Melting_Curves/meltCurve_Q6EEV4_2_POLR2M.pdf", "Melting_Curves/meltCurve_Q6EEV4_2_POLR2M.pdf")</f>
        <v>Melting_Curves/meltCurve_Q6EEV4_2_POLR2M.pdf</v>
      </c>
    </row>
    <row r="4036" spans="1:28" x14ac:dyDescent="0.25">
      <c r="A4036" t="s">
        <v>4040</v>
      </c>
      <c r="B4036">
        <v>0.99252571173614901</v>
      </c>
      <c r="C4036">
        <v>0.971625810898332</v>
      </c>
      <c r="D4036">
        <v>0.90153412817007395</v>
      </c>
      <c r="E4036">
        <v>0.76861617022302597</v>
      </c>
      <c r="F4036">
        <v>0.661682339446514</v>
      </c>
      <c r="G4036">
        <v>0.49307508861902599</v>
      </c>
      <c r="H4036">
        <v>0.239711624290188</v>
      </c>
      <c r="I4036">
        <v>0.122132734431389</v>
      </c>
      <c r="J4036">
        <v>0.13399277715197999</v>
      </c>
      <c r="K4036">
        <v>9.0482997443944196E-2</v>
      </c>
      <c r="L4036">
        <v>660.21139738754698</v>
      </c>
      <c r="M4036">
        <v>11.8589077461875</v>
      </c>
      <c r="N4036">
        <v>55.672215934429801</v>
      </c>
      <c r="O4036">
        <v>54.159931310460799</v>
      </c>
      <c r="P4036">
        <v>-5.4754057310258702E-2</v>
      </c>
      <c r="Q4036">
        <v>0</v>
      </c>
      <c r="R4036">
        <v>0.99200120073861897</v>
      </c>
      <c r="S4036" t="s">
        <v>10682</v>
      </c>
      <c r="T4036" t="s">
        <v>13290</v>
      </c>
      <c r="U4036" t="s">
        <v>13290</v>
      </c>
      <c r="V4036" t="s">
        <v>13290</v>
      </c>
      <c r="W4036" t="s">
        <v>17279</v>
      </c>
      <c r="X4036">
        <v>4</v>
      </c>
      <c r="Y4036" t="s">
        <v>23774</v>
      </c>
      <c r="Z4036" t="s">
        <v>30366</v>
      </c>
      <c r="AA4036">
        <v>0.5439693023072375</v>
      </c>
      <c r="AB4036" t="str">
        <f>HYPERLINK("Melting_Curves/meltCurve_Q6EMK4_VASN.pdf", "Melting_Curves/meltCurve_Q6EMK4_VASN.pdf")</f>
        <v>Melting_Curves/meltCurve_Q6EMK4_VASN.pdf</v>
      </c>
    </row>
    <row r="4037" spans="1:28" x14ac:dyDescent="0.25">
      <c r="A4037" t="s">
        <v>4041</v>
      </c>
      <c r="B4037">
        <v>0.99252571173614901</v>
      </c>
      <c r="C4037">
        <v>1.48238407993708</v>
      </c>
      <c r="D4037">
        <v>0.60975729087902997</v>
      </c>
      <c r="E4037">
        <v>0.77684448383593896</v>
      </c>
      <c r="F4037">
        <v>0.23951217014802501</v>
      </c>
      <c r="G4037">
        <v>0.149611728522449</v>
      </c>
      <c r="H4037">
        <v>0.111770286174442</v>
      </c>
      <c r="I4037">
        <v>0.12343594564871301</v>
      </c>
      <c r="J4037">
        <v>0.166509744554075</v>
      </c>
      <c r="K4037">
        <v>0.177147811675294</v>
      </c>
      <c r="L4037">
        <v>1270.73471855351</v>
      </c>
      <c r="M4037">
        <v>25.2348109020874</v>
      </c>
      <c r="N4037">
        <v>50.956769928877399</v>
      </c>
      <c r="O4037">
        <v>50.043383183431096</v>
      </c>
      <c r="P4037">
        <v>-0.10985506346318601</v>
      </c>
      <c r="Q4037">
        <v>0.128593040337767</v>
      </c>
      <c r="R4037">
        <v>0.81404438052092098</v>
      </c>
      <c r="S4037" t="s">
        <v>10683</v>
      </c>
      <c r="T4037" t="s">
        <v>13290</v>
      </c>
      <c r="U4037" t="s">
        <v>13290</v>
      </c>
      <c r="V4037" t="s">
        <v>13290</v>
      </c>
      <c r="W4037" t="s">
        <v>17280</v>
      </c>
      <c r="X4037">
        <v>17</v>
      </c>
      <c r="Y4037" t="s">
        <v>23775</v>
      </c>
      <c r="Z4037" t="s">
        <v>30367</v>
      </c>
      <c r="AA4037">
        <v>0.43708780558487748</v>
      </c>
      <c r="AB4037" t="str">
        <f>HYPERLINK("Melting_Curves/meltCurve_Q6FI81_3_CIAPIN1.pdf", "Melting_Curves/meltCurve_Q6FI81_3_CIAPIN1.pdf")</f>
        <v>Melting_Curves/meltCurve_Q6FI81_3_CIAPIN1.pdf</v>
      </c>
    </row>
    <row r="4038" spans="1:28" x14ac:dyDescent="0.25">
      <c r="A4038" t="s">
        <v>4042</v>
      </c>
      <c r="B4038">
        <v>0.99252571173614901</v>
      </c>
      <c r="C4038">
        <v>1.12452754563575</v>
      </c>
      <c r="D4038">
        <v>1.06986285803697</v>
      </c>
      <c r="E4038">
        <v>1.08598549240872</v>
      </c>
      <c r="F4038">
        <v>0.83377030350061099</v>
      </c>
      <c r="G4038">
        <v>0.752777406656995</v>
      </c>
      <c r="H4038">
        <v>0.87329625330537697</v>
      </c>
      <c r="I4038">
        <v>1.2006622666050299</v>
      </c>
      <c r="J4038">
        <v>1.7597973627630099</v>
      </c>
      <c r="K4038">
        <v>1.76662642029552</v>
      </c>
      <c r="L4038">
        <v>15000</v>
      </c>
      <c r="M4038">
        <v>233.97530408889</v>
      </c>
      <c r="O4038">
        <v>64.104637669295698</v>
      </c>
      <c r="P4038">
        <v>0.456237023435142</v>
      </c>
      <c r="Q4038">
        <v>1.5</v>
      </c>
      <c r="R4038">
        <v>0.75886058352564201</v>
      </c>
      <c r="S4038" t="s">
        <v>10684</v>
      </c>
      <c r="T4038" t="s">
        <v>13290</v>
      </c>
      <c r="U4038" t="s">
        <v>13290</v>
      </c>
      <c r="V4038" t="s">
        <v>13290</v>
      </c>
      <c r="W4038" t="s">
        <v>17281</v>
      </c>
      <c r="X4038">
        <v>7</v>
      </c>
      <c r="Y4038" t="s">
        <v>23776</v>
      </c>
      <c r="Z4038" t="s">
        <v>30368</v>
      </c>
      <c r="AA4038">
        <v>1.09811360497531</v>
      </c>
      <c r="AB4038" t="str">
        <f>HYPERLINK("Melting_Curves/meltCurve_Q6FIF0_2_ZFAND6.pdf", "Melting_Curves/meltCurve_Q6FIF0_2_ZFAND6.pdf")</f>
        <v>Melting_Curves/meltCurve_Q6FIF0_2_ZFAND6.pdf</v>
      </c>
    </row>
    <row r="4039" spans="1:28" x14ac:dyDescent="0.25">
      <c r="A4039" t="s">
        <v>4043</v>
      </c>
      <c r="B4039">
        <v>0.99252571173614901</v>
      </c>
      <c r="C4039">
        <v>1.1325616339394999</v>
      </c>
      <c r="D4039">
        <v>1.0210665036712601</v>
      </c>
      <c r="E4039">
        <v>1.06137505326245</v>
      </c>
      <c r="F4039">
        <v>0.63933617098913398</v>
      </c>
      <c r="G4039">
        <v>0.17894479152932899</v>
      </c>
      <c r="H4039">
        <v>0.10146232426019899</v>
      </c>
      <c r="I4039">
        <v>0.10383570905358901</v>
      </c>
      <c r="J4039">
        <v>0.12535355545853499</v>
      </c>
      <c r="K4039">
        <v>0.10227703405469001</v>
      </c>
      <c r="L4039">
        <v>2888.9944729747999</v>
      </c>
      <c r="M4039">
        <v>53.887910219416099</v>
      </c>
      <c r="N4039">
        <v>53.867606774028197</v>
      </c>
      <c r="O4039">
        <v>53.537505701921198</v>
      </c>
      <c r="P4039">
        <v>-0.22316845162192001</v>
      </c>
      <c r="Q4039">
        <v>0.113131390897048</v>
      </c>
      <c r="R4039">
        <v>0.98737499712461596</v>
      </c>
      <c r="S4039" t="s">
        <v>10685</v>
      </c>
      <c r="T4039" t="s">
        <v>13290</v>
      </c>
      <c r="U4039" t="s">
        <v>13290</v>
      </c>
      <c r="V4039" t="s">
        <v>13290</v>
      </c>
      <c r="W4039" t="s">
        <v>17282</v>
      </c>
      <c r="X4039">
        <v>7</v>
      </c>
      <c r="Y4039" t="s">
        <v>23777</v>
      </c>
      <c r="Z4039" t="s">
        <v>30369</v>
      </c>
      <c r="AA4039">
        <v>0.51731298816763227</v>
      </c>
      <c r="AB4039" t="str">
        <f>HYPERLINK("Melting_Curves/meltCurve_Q6GMV2_SMYD5.pdf", "Melting_Curves/meltCurve_Q6GMV2_SMYD5.pdf")</f>
        <v>Melting_Curves/meltCurve_Q6GMV2_SMYD5.pdf</v>
      </c>
    </row>
    <row r="4040" spans="1:28" x14ac:dyDescent="0.25">
      <c r="A4040" t="s">
        <v>4044</v>
      </c>
      <c r="B4040">
        <v>0.99252571173614901</v>
      </c>
      <c r="C4040">
        <v>1.1262039613383501</v>
      </c>
      <c r="D4040">
        <v>1.0080526447411999</v>
      </c>
      <c r="E4040">
        <v>0.86150071787638804</v>
      </c>
      <c r="F4040">
        <v>0.88309494794162302</v>
      </c>
      <c r="G4040">
        <v>0.74785652376313705</v>
      </c>
      <c r="H4040">
        <v>0.65629825013673904</v>
      </c>
      <c r="I4040">
        <v>0.59078690125095401</v>
      </c>
      <c r="J4040">
        <v>0.49350577702218401</v>
      </c>
      <c r="K4040">
        <v>0.361727680267381</v>
      </c>
      <c r="L4040">
        <v>517.69323541927395</v>
      </c>
      <c r="M4040">
        <v>7.84152390040125</v>
      </c>
      <c r="N4040">
        <v>66.019467462889494</v>
      </c>
      <c r="O4040">
        <v>62.139084431788099</v>
      </c>
      <c r="P4040">
        <v>-3.1586724063189998E-2</v>
      </c>
      <c r="Q4040">
        <v>0</v>
      </c>
      <c r="R4040">
        <v>0.94510996569597105</v>
      </c>
      <c r="S4040" t="s">
        <v>10686</v>
      </c>
      <c r="T4040" t="s">
        <v>13290</v>
      </c>
      <c r="U4040" t="s">
        <v>13290</v>
      </c>
      <c r="V4040" t="s">
        <v>13290</v>
      </c>
      <c r="W4040" t="s">
        <v>17283</v>
      </c>
      <c r="X4040">
        <v>9</v>
      </c>
      <c r="Y4040" t="s">
        <v>23778</v>
      </c>
      <c r="Z4040" t="s">
        <v>30370</v>
      </c>
      <c r="AA4040">
        <v>0.77459674379925259</v>
      </c>
      <c r="AB4040" t="str">
        <f>HYPERLINK("Melting_Curves/meltCurve_Q6GMV3_PTRHD1.pdf", "Melting_Curves/meltCurve_Q6GMV3_PTRHD1.pdf")</f>
        <v>Melting_Curves/meltCurve_Q6GMV3_PTRHD1.pdf</v>
      </c>
    </row>
    <row r="4041" spans="1:28" x14ac:dyDescent="0.25">
      <c r="A4041" t="s">
        <v>4045</v>
      </c>
      <c r="B4041">
        <v>0.99252571173614901</v>
      </c>
      <c r="C4041">
        <v>0.98164230235341399</v>
      </c>
      <c r="D4041">
        <v>0.777157321074739</v>
      </c>
      <c r="E4041">
        <v>0.326257517832379</v>
      </c>
      <c r="F4041">
        <v>0.217920161421328</v>
      </c>
      <c r="G4041">
        <v>0.112919779409776</v>
      </c>
      <c r="H4041">
        <v>9.6427114451445306E-2</v>
      </c>
      <c r="I4041">
        <v>0.106558563089427</v>
      </c>
      <c r="J4041">
        <v>0.14363247778395799</v>
      </c>
      <c r="K4041">
        <v>0.137230907457812</v>
      </c>
      <c r="L4041">
        <v>1370.65342354001</v>
      </c>
      <c r="M4041">
        <v>28.736482495545498</v>
      </c>
      <c r="N4041">
        <v>48.177618863061603</v>
      </c>
      <c r="O4041">
        <v>47.468138489090101</v>
      </c>
      <c r="P4041">
        <v>-0.13249724583952899</v>
      </c>
      <c r="Q4041">
        <v>0.124548572436813</v>
      </c>
      <c r="R4041">
        <v>0.99582774056118495</v>
      </c>
      <c r="S4041" t="s">
        <v>10687</v>
      </c>
      <c r="T4041" t="s">
        <v>13290</v>
      </c>
      <c r="U4041" t="s">
        <v>13290</v>
      </c>
      <c r="V4041" t="s">
        <v>13290</v>
      </c>
      <c r="W4041" t="s">
        <v>17284</v>
      </c>
      <c r="X4041">
        <v>12</v>
      </c>
      <c r="Y4041" t="s">
        <v>23779</v>
      </c>
      <c r="Z4041" t="s">
        <v>30371</v>
      </c>
      <c r="AA4041">
        <v>0.35492677135146311</v>
      </c>
      <c r="AB4041" t="str">
        <f>HYPERLINK("Melting_Curves/meltCurve_Q6GQQ9_OTUD7B.pdf", "Melting_Curves/meltCurve_Q6GQQ9_OTUD7B.pdf")</f>
        <v>Melting_Curves/meltCurve_Q6GQQ9_OTUD7B.pdf</v>
      </c>
    </row>
    <row r="4042" spans="1:28" x14ac:dyDescent="0.25">
      <c r="A4042" t="s">
        <v>4046</v>
      </c>
      <c r="B4042">
        <v>0.99252571173614901</v>
      </c>
      <c r="C4042">
        <v>0.93117535115537997</v>
      </c>
      <c r="D4042">
        <v>0.84091852875684603</v>
      </c>
      <c r="E4042">
        <v>0.79226926679450604</v>
      </c>
      <c r="F4042">
        <v>0.62010092047117205</v>
      </c>
      <c r="G4042">
        <v>0.47591201753997397</v>
      </c>
      <c r="H4042">
        <v>0.41692624321727501</v>
      </c>
      <c r="I4042">
        <v>0.55673095034755105</v>
      </c>
      <c r="J4042">
        <v>0.88905319524995996</v>
      </c>
      <c r="K4042">
        <v>0.78604515222120497</v>
      </c>
      <c r="L4042">
        <v>1038.77641034007</v>
      </c>
      <c r="M4042">
        <v>22.082613491311101</v>
      </c>
      <c r="O4042">
        <v>46.659797768249199</v>
      </c>
      <c r="P4042">
        <v>-4.4184182436695203E-2</v>
      </c>
      <c r="Q4042">
        <v>0.62656962193652899</v>
      </c>
      <c r="R4042">
        <v>0.50597939941627201</v>
      </c>
      <c r="S4042" t="s">
        <v>10688</v>
      </c>
      <c r="T4042" t="s">
        <v>13290</v>
      </c>
      <c r="U4042" t="s">
        <v>13290</v>
      </c>
      <c r="V4042" t="s">
        <v>13290</v>
      </c>
      <c r="W4042" t="s">
        <v>17285</v>
      </c>
      <c r="X4042">
        <v>7</v>
      </c>
      <c r="Y4042" t="s">
        <v>23780</v>
      </c>
      <c r="Z4042" t="s">
        <v>30372</v>
      </c>
      <c r="AA4042">
        <v>0.71859049430217969</v>
      </c>
      <c r="AB4042" t="str">
        <f>HYPERLINK("Melting_Curves/meltCurve_Q6GYA4_SELS.pdf", "Melting_Curves/meltCurve_Q6GYA4_SELS.pdf")</f>
        <v>Melting_Curves/meltCurve_Q6GYA4_SELS.pdf</v>
      </c>
    </row>
    <row r="4043" spans="1:28" x14ac:dyDescent="0.25">
      <c r="A4043" t="s">
        <v>4047</v>
      </c>
      <c r="B4043">
        <v>0.99252571173614901</v>
      </c>
      <c r="C4043">
        <v>0.64918784737360402</v>
      </c>
      <c r="D4043">
        <v>1.4958535118155201</v>
      </c>
      <c r="E4043">
        <v>0.68101818506706002</v>
      </c>
      <c r="F4043">
        <v>0.15635378979237499</v>
      </c>
      <c r="G4043">
        <v>7.0465900188188504E-2</v>
      </c>
      <c r="H4043">
        <v>4.2804350957577703E-2</v>
      </c>
      <c r="I4043">
        <v>5.1529396403096402E-2</v>
      </c>
      <c r="J4043">
        <v>2.3525269224192801E-2</v>
      </c>
      <c r="K4043">
        <v>2.7043602504713202E-2</v>
      </c>
      <c r="L4043">
        <v>2989.7126587196199</v>
      </c>
      <c r="M4043">
        <v>59.505308381865298</v>
      </c>
      <c r="N4043">
        <v>50.341561775537002</v>
      </c>
      <c r="O4043">
        <v>50.186134359782301</v>
      </c>
      <c r="P4043">
        <v>-0.28009035724403503</v>
      </c>
      <c r="Q4043">
        <v>5.5099597919181398E-2</v>
      </c>
      <c r="R4043">
        <v>0.84081308663836096</v>
      </c>
      <c r="S4043" t="s">
        <v>10689</v>
      </c>
      <c r="T4043" t="s">
        <v>13290</v>
      </c>
      <c r="U4043" t="s">
        <v>13290</v>
      </c>
      <c r="V4043" t="s">
        <v>13290</v>
      </c>
      <c r="W4043" t="s">
        <v>17286</v>
      </c>
      <c r="X4043">
        <v>1</v>
      </c>
      <c r="Y4043" t="s">
        <v>23781</v>
      </c>
      <c r="Z4043" t="s">
        <v>30373</v>
      </c>
      <c r="AA4043">
        <v>0.3791895377492821</v>
      </c>
      <c r="AB4043" t="str">
        <f>HYPERLINK("Melting_Curves/meltCurve_Q6GYQ0_4_RALGAPA1.pdf", "Melting_Curves/meltCurve_Q6GYQ0_4_RALGAPA1.pdf")</f>
        <v>Melting_Curves/meltCurve_Q6GYQ0_4_RALGAPA1.pdf</v>
      </c>
    </row>
    <row r="4044" spans="1:28" x14ac:dyDescent="0.25">
      <c r="A4044" t="s">
        <v>4048</v>
      </c>
      <c r="B4044">
        <v>0.99252571173614901</v>
      </c>
      <c r="C4044">
        <v>1.10507171706967</v>
      </c>
      <c r="D4044">
        <v>0.99249011699765999</v>
      </c>
      <c r="E4044">
        <v>0.88575554758853703</v>
      </c>
      <c r="F4044">
        <v>0.66298385017962402</v>
      </c>
      <c r="G4044">
        <v>0.47607386216808301</v>
      </c>
      <c r="H4044">
        <v>0.34363825085272898</v>
      </c>
      <c r="I4044">
        <v>0.395665544389327</v>
      </c>
      <c r="J4044">
        <v>0.56253065986588902</v>
      </c>
      <c r="K4044">
        <v>0.54290609522672995</v>
      </c>
      <c r="L4044">
        <v>1681.7441532514099</v>
      </c>
      <c r="M4044">
        <v>32.307159683920297</v>
      </c>
      <c r="N4044">
        <v>56.415717890460002</v>
      </c>
      <c r="O4044">
        <v>51.856617667974199</v>
      </c>
      <c r="P4044">
        <v>-8.4286269392689406E-2</v>
      </c>
      <c r="Q4044">
        <v>0.45884693250234798</v>
      </c>
      <c r="R4044">
        <v>0.92843336488449701</v>
      </c>
      <c r="S4044" t="s">
        <v>10690</v>
      </c>
      <c r="T4044" t="s">
        <v>13290</v>
      </c>
      <c r="U4044" t="s">
        <v>13290</v>
      </c>
      <c r="V4044" t="s">
        <v>13290</v>
      </c>
      <c r="W4044" t="s">
        <v>17287</v>
      </c>
      <c r="X4044">
        <v>2</v>
      </c>
      <c r="Y4044" t="s">
        <v>23782</v>
      </c>
      <c r="Z4044" t="s">
        <v>30374</v>
      </c>
      <c r="AA4044">
        <v>0.67928393440597823</v>
      </c>
      <c r="AB4044" t="str">
        <f>HYPERLINK("Melting_Curves/meltCurve_Q6H9L7_5_ISM2.pdf", "Melting_Curves/meltCurve_Q6H9L7_5_ISM2.pdf")</f>
        <v>Melting_Curves/meltCurve_Q6H9L7_5_ISM2.pdf</v>
      </c>
    </row>
    <row r="4045" spans="1:28" x14ac:dyDescent="0.25">
      <c r="A4045" t="s">
        <v>4049</v>
      </c>
      <c r="B4045">
        <v>0.99252571173614901</v>
      </c>
      <c r="C4045">
        <v>0.95013239170957597</v>
      </c>
      <c r="D4045">
        <v>1.5941848686133</v>
      </c>
      <c r="E4045">
        <v>2.4778366736679098</v>
      </c>
      <c r="F4045">
        <v>0.75241871595979404</v>
      </c>
      <c r="G4045">
        <v>0.64609361696029899</v>
      </c>
      <c r="H4045">
        <v>0.51708835782278795</v>
      </c>
      <c r="I4045">
        <v>0.57669061756103701</v>
      </c>
      <c r="J4045">
        <v>0.78173924868116695</v>
      </c>
      <c r="K4045">
        <v>0.77413401188822595</v>
      </c>
      <c r="L4045">
        <v>13248.064002462899</v>
      </c>
      <c r="M4045">
        <v>250</v>
      </c>
      <c r="O4045">
        <v>52.988866050027902</v>
      </c>
      <c r="P4045">
        <v>-0.40203124173527599</v>
      </c>
      <c r="Q4045">
        <v>0.659149134211508</v>
      </c>
      <c r="R4045">
        <v>0.198281713625826</v>
      </c>
      <c r="S4045" t="s">
        <v>10691</v>
      </c>
      <c r="T4045" t="s">
        <v>13290</v>
      </c>
      <c r="U4045" t="s">
        <v>13290</v>
      </c>
      <c r="V4045" t="s">
        <v>13290</v>
      </c>
      <c r="W4045" t="s">
        <v>17288</v>
      </c>
      <c r="X4045">
        <v>9</v>
      </c>
      <c r="Y4045" t="s">
        <v>23783</v>
      </c>
      <c r="Z4045" t="s">
        <v>30375</v>
      </c>
      <c r="AA4045">
        <v>0.80679489052472775</v>
      </c>
      <c r="AB4045" t="str">
        <f>HYPERLINK("Melting_Curves/meltCurve_Q6I9Y2_THOC7.pdf", "Melting_Curves/meltCurve_Q6I9Y2_THOC7.pdf")</f>
        <v>Melting_Curves/meltCurve_Q6I9Y2_THOC7.pdf</v>
      </c>
    </row>
    <row r="4046" spans="1:28" x14ac:dyDescent="0.25">
      <c r="A4046" t="s">
        <v>4050</v>
      </c>
      <c r="B4046">
        <v>0.99252571173614901</v>
      </c>
      <c r="C4046">
        <v>0.96435626686905895</v>
      </c>
      <c r="D4046">
        <v>0.90379724481456203</v>
      </c>
      <c r="E4046">
        <v>0.78729988850228305</v>
      </c>
      <c r="F4046">
        <v>0.28513716753863799</v>
      </c>
      <c r="G4046">
        <v>0.13661658677673999</v>
      </c>
      <c r="H4046">
        <v>9.5800853716797599E-2</v>
      </c>
      <c r="I4046">
        <v>0.10573958948180801</v>
      </c>
      <c r="J4046">
        <v>0.11287546540410499</v>
      </c>
      <c r="K4046">
        <v>0.11146151961332799</v>
      </c>
      <c r="L4046">
        <v>1714.8970483579001</v>
      </c>
      <c r="M4046">
        <v>33.525439121593799</v>
      </c>
      <c r="N4046">
        <v>51.510092733787403</v>
      </c>
      <c r="O4046">
        <v>50.971143458735398</v>
      </c>
      <c r="P4046">
        <v>-0.14734595934429801</v>
      </c>
      <c r="Q4046">
        <v>0.103921011179126</v>
      </c>
      <c r="R4046">
        <v>0.99472635323268799</v>
      </c>
      <c r="S4046" t="s">
        <v>10692</v>
      </c>
      <c r="T4046" t="s">
        <v>13290</v>
      </c>
      <c r="U4046" t="s">
        <v>13290</v>
      </c>
      <c r="V4046" t="s">
        <v>13290</v>
      </c>
      <c r="W4046" t="s">
        <v>17289</v>
      </c>
      <c r="X4046">
        <v>8</v>
      </c>
      <c r="Y4046" t="s">
        <v>23784</v>
      </c>
      <c r="Z4046" t="s">
        <v>30376</v>
      </c>
      <c r="AA4046">
        <v>0.44154668426974281</v>
      </c>
      <c r="AB4046" t="str">
        <f>HYPERLINK("Melting_Curves/meltCurve_Q6IA17_SIGIRR.pdf", "Melting_Curves/meltCurve_Q6IA17_SIGIRR.pdf")</f>
        <v>Melting_Curves/meltCurve_Q6IA17_SIGIRR.pdf</v>
      </c>
    </row>
    <row r="4047" spans="1:28" x14ac:dyDescent="0.25">
      <c r="A4047" t="s">
        <v>4051</v>
      </c>
      <c r="B4047">
        <v>0.99252571173614901</v>
      </c>
      <c r="C4047">
        <v>0.99769096074256403</v>
      </c>
      <c r="D4047">
        <v>0.97902129771896595</v>
      </c>
      <c r="E4047">
        <v>1.1100091124167899</v>
      </c>
      <c r="F4047">
        <v>0.81534192769737401</v>
      </c>
      <c r="G4047">
        <v>0.66432856995870504</v>
      </c>
      <c r="H4047">
        <v>0.77696248723276595</v>
      </c>
      <c r="I4047">
        <v>0.38043147876122302</v>
      </c>
      <c r="J4047">
        <v>0.34251184866112899</v>
      </c>
      <c r="K4047">
        <v>0.30219352446558001</v>
      </c>
      <c r="L4047">
        <v>723.48469752675601</v>
      </c>
      <c r="M4047">
        <v>11.624188921132401</v>
      </c>
      <c r="N4047">
        <v>63.226742756150898</v>
      </c>
      <c r="O4047">
        <v>60.483143873635903</v>
      </c>
      <c r="P4047">
        <v>-4.4071994367490798E-2</v>
      </c>
      <c r="Q4047">
        <v>8.29859354170083E-2</v>
      </c>
      <c r="R4047">
        <v>0.90230973523980795</v>
      </c>
      <c r="S4047" t="s">
        <v>10693</v>
      </c>
      <c r="T4047" t="s">
        <v>13290</v>
      </c>
      <c r="U4047" t="s">
        <v>13290</v>
      </c>
      <c r="V4047" t="s">
        <v>13290</v>
      </c>
      <c r="W4047" t="s">
        <v>17290</v>
      </c>
      <c r="X4047">
        <v>2</v>
      </c>
      <c r="Y4047" t="s">
        <v>23785</v>
      </c>
      <c r="Z4047" t="s">
        <v>30377</v>
      </c>
      <c r="AA4047">
        <v>0.74916563546265158</v>
      </c>
      <c r="AB4047" t="str">
        <f>HYPERLINK("Melting_Curves/meltCurve_Q6IA69_NADSYN1.pdf", "Melting_Curves/meltCurve_Q6IA69_NADSYN1.pdf")</f>
        <v>Melting_Curves/meltCurve_Q6IA69_NADSYN1.pdf</v>
      </c>
    </row>
    <row r="4048" spans="1:28" x14ac:dyDescent="0.25">
      <c r="A4048" t="s">
        <v>4052</v>
      </c>
      <c r="B4048">
        <v>0.99252571173614901</v>
      </c>
      <c r="C4048">
        <v>0.96761393650671701</v>
      </c>
      <c r="D4048">
        <v>0.96067929310685796</v>
      </c>
      <c r="E4048">
        <v>0.75585657054008404</v>
      </c>
      <c r="F4048">
        <v>0.71021686462858602</v>
      </c>
      <c r="G4048">
        <v>0.45562197301749402</v>
      </c>
      <c r="H4048">
        <v>0.26403768626680602</v>
      </c>
      <c r="I4048">
        <v>0.152610742174735</v>
      </c>
      <c r="J4048">
        <v>0.12615160392763999</v>
      </c>
      <c r="K4048">
        <v>0.125832125218522</v>
      </c>
      <c r="L4048">
        <v>702.580292765031</v>
      </c>
      <c r="M4048">
        <v>12.625369476814001</v>
      </c>
      <c r="N4048">
        <v>55.905568271884498</v>
      </c>
      <c r="O4048">
        <v>54.307578853332203</v>
      </c>
      <c r="P4048">
        <v>-5.6490628308460203E-2</v>
      </c>
      <c r="Q4048">
        <v>2.8222619688936398E-2</v>
      </c>
      <c r="R4048">
        <v>0.99049238079658997</v>
      </c>
      <c r="S4048" t="s">
        <v>10694</v>
      </c>
      <c r="T4048" t="s">
        <v>13290</v>
      </c>
      <c r="U4048" t="s">
        <v>13290</v>
      </c>
      <c r="V4048" t="s">
        <v>13290</v>
      </c>
      <c r="W4048" t="s">
        <v>17291</v>
      </c>
      <c r="X4048">
        <v>10</v>
      </c>
      <c r="Y4048" t="s">
        <v>23786</v>
      </c>
      <c r="Z4048" t="s">
        <v>30378</v>
      </c>
      <c r="AA4048">
        <v>0.55543744847276999</v>
      </c>
      <c r="AB4048" t="str">
        <f>HYPERLINK("Melting_Curves/meltCurve_Q6IA86_5_ELP2.pdf", "Melting_Curves/meltCurve_Q6IA86_5_ELP2.pdf")</f>
        <v>Melting_Curves/meltCurve_Q6IA86_5_ELP2.pdf</v>
      </c>
    </row>
    <row r="4049" spans="1:28" x14ac:dyDescent="0.25">
      <c r="A4049" t="s">
        <v>4053</v>
      </c>
      <c r="B4049">
        <v>0.99252571173614901</v>
      </c>
      <c r="C4049">
        <v>1.0002772963620801</v>
      </c>
      <c r="D4049">
        <v>0.88230213302807403</v>
      </c>
      <c r="E4049">
        <v>0.81574671224641604</v>
      </c>
      <c r="F4049">
        <v>0.66611816940044399</v>
      </c>
      <c r="G4049">
        <v>0.53560565808526905</v>
      </c>
      <c r="H4049">
        <v>0.30908482359571798</v>
      </c>
      <c r="I4049">
        <v>0.22607772299059001</v>
      </c>
      <c r="J4049">
        <v>0.206802042123546</v>
      </c>
      <c r="K4049">
        <v>0.16242906319300299</v>
      </c>
      <c r="L4049">
        <v>614.61629211605805</v>
      </c>
      <c r="M4049">
        <v>10.956019698726699</v>
      </c>
      <c r="N4049">
        <v>56.721158151524897</v>
      </c>
      <c r="O4049">
        <v>54.326695142987198</v>
      </c>
      <c r="P4049">
        <v>-4.7576978173088702E-2</v>
      </c>
      <c r="Q4049">
        <v>5.66593454497979E-2</v>
      </c>
      <c r="R4049">
        <v>0.99409069105707404</v>
      </c>
      <c r="S4049" t="s">
        <v>10695</v>
      </c>
      <c r="T4049" t="s">
        <v>13290</v>
      </c>
      <c r="U4049" t="s">
        <v>13290</v>
      </c>
      <c r="V4049" t="s">
        <v>13290</v>
      </c>
      <c r="W4049" t="s">
        <v>17292</v>
      </c>
      <c r="X4049">
        <v>6</v>
      </c>
      <c r="Y4049" t="s">
        <v>23787</v>
      </c>
      <c r="Z4049" t="s">
        <v>30379</v>
      </c>
      <c r="AA4049">
        <v>0.58223186711470221</v>
      </c>
      <c r="AB4049" t="str">
        <f>HYPERLINK("Melting_Curves/meltCurve_Q6IAA8_LAMTOR1.pdf", "Melting_Curves/meltCurve_Q6IAA8_LAMTOR1.pdf")</f>
        <v>Melting_Curves/meltCurve_Q6IAA8_LAMTOR1.pdf</v>
      </c>
    </row>
    <row r="4050" spans="1:28" x14ac:dyDescent="0.25">
      <c r="A4050" t="s">
        <v>4054</v>
      </c>
      <c r="B4050">
        <v>0.99252571173614901</v>
      </c>
      <c r="C4050">
        <v>0.86583179494158202</v>
      </c>
      <c r="D4050">
        <v>0.77514494329207495</v>
      </c>
      <c r="E4050">
        <v>0.61979734005264298</v>
      </c>
      <c r="F4050">
        <v>0.22263352825989099</v>
      </c>
      <c r="G4050">
        <v>9.0662803405905906E-2</v>
      </c>
      <c r="H4050">
        <v>6.2454601303621203E-2</v>
      </c>
      <c r="I4050">
        <v>5.7694642858084698E-2</v>
      </c>
      <c r="J4050">
        <v>6.6840528037379304E-2</v>
      </c>
      <c r="K4050">
        <v>6.49845186358428E-2</v>
      </c>
      <c r="L4050">
        <v>857.45276375603396</v>
      </c>
      <c r="M4050">
        <v>17.234615226656299</v>
      </c>
      <c r="N4050">
        <v>49.947264108191597</v>
      </c>
      <c r="O4050">
        <v>49.096463355824298</v>
      </c>
      <c r="P4050">
        <v>-8.4901731972327005E-2</v>
      </c>
      <c r="Q4050">
        <v>3.26143720472995E-2</v>
      </c>
      <c r="R4050">
        <v>0.98436422301607895</v>
      </c>
      <c r="S4050" t="s">
        <v>10696</v>
      </c>
      <c r="T4050" t="s">
        <v>13290</v>
      </c>
      <c r="U4050" t="s">
        <v>13290</v>
      </c>
      <c r="V4050" t="s">
        <v>13290</v>
      </c>
      <c r="W4050" t="s">
        <v>17293</v>
      </c>
      <c r="X4050">
        <v>4</v>
      </c>
      <c r="Y4050" t="s">
        <v>23788</v>
      </c>
      <c r="Z4050" t="s">
        <v>30380</v>
      </c>
      <c r="AA4050">
        <v>0.3650575191503827</v>
      </c>
      <c r="AB4050" t="str">
        <f>HYPERLINK("Melting_Curves/meltCurve_Q6IAN0_DHRS7B.pdf", "Melting_Curves/meltCurve_Q6IAN0_DHRS7B.pdf")</f>
        <v>Melting_Curves/meltCurve_Q6IAN0_DHRS7B.pdf</v>
      </c>
    </row>
    <row r="4051" spans="1:28" x14ac:dyDescent="0.25">
      <c r="A4051" t="s">
        <v>4055</v>
      </c>
      <c r="B4051">
        <v>0.99252571173614901</v>
      </c>
      <c r="C4051">
        <v>1.1507230186907</v>
      </c>
      <c r="D4051">
        <v>0.63378887267416595</v>
      </c>
      <c r="E4051">
        <v>0.73110718769718197</v>
      </c>
      <c r="F4051">
        <v>0.30656760531819499</v>
      </c>
      <c r="G4051">
        <v>0.11526448813965499</v>
      </c>
      <c r="H4051">
        <v>6.8383783027061204E-2</v>
      </c>
      <c r="I4051">
        <v>6.3309684124307097E-2</v>
      </c>
      <c r="J4051">
        <v>7.6462313904969104E-2</v>
      </c>
      <c r="K4051">
        <v>7.3027802087875501E-2</v>
      </c>
      <c r="L4051">
        <v>884.37787857859098</v>
      </c>
      <c r="M4051">
        <v>17.476653818315299</v>
      </c>
      <c r="N4051">
        <v>50.844677416922003</v>
      </c>
      <c r="O4051">
        <v>49.954788817311801</v>
      </c>
      <c r="P4051">
        <v>-8.3986065741043794E-2</v>
      </c>
      <c r="Q4051">
        <v>3.9799338976819899E-2</v>
      </c>
      <c r="R4051">
        <v>0.93304292470248795</v>
      </c>
      <c r="S4051" t="s">
        <v>10697</v>
      </c>
      <c r="T4051" t="s">
        <v>13290</v>
      </c>
      <c r="U4051" t="s">
        <v>13290</v>
      </c>
      <c r="V4051" t="s">
        <v>13290</v>
      </c>
      <c r="W4051" t="s">
        <v>17294</v>
      </c>
      <c r="X4051">
        <v>16</v>
      </c>
      <c r="Y4051" t="s">
        <v>23789</v>
      </c>
      <c r="Z4051" t="s">
        <v>30381</v>
      </c>
      <c r="AA4051">
        <v>0.39633505038233741</v>
      </c>
      <c r="AB4051" t="str">
        <f>HYPERLINK("Melting_Curves/meltCurve_Q6IBS0_TWF2.pdf", "Melting_Curves/meltCurve_Q6IBS0_TWF2.pdf")</f>
        <v>Melting_Curves/meltCurve_Q6IBS0_TWF2.pdf</v>
      </c>
    </row>
    <row r="4052" spans="1:28" x14ac:dyDescent="0.25">
      <c r="A4052" t="s">
        <v>4056</v>
      </c>
      <c r="B4052">
        <v>0.99252571173614901</v>
      </c>
      <c r="C4052">
        <v>0.88014006835592196</v>
      </c>
      <c r="D4052">
        <v>1.07110563135862</v>
      </c>
      <c r="E4052">
        <v>0.54592528915660699</v>
      </c>
      <c r="F4052">
        <v>0.37877324952576202</v>
      </c>
      <c r="G4052">
        <v>0.27499480561727002</v>
      </c>
      <c r="H4052">
        <v>0.30200067587171597</v>
      </c>
      <c r="I4052">
        <v>0.37378428055429003</v>
      </c>
      <c r="J4052">
        <v>0.52170989977031901</v>
      </c>
      <c r="K4052">
        <v>0.42759575134911199</v>
      </c>
      <c r="L4052">
        <v>12350.1233162143</v>
      </c>
      <c r="M4052">
        <v>250</v>
      </c>
      <c r="N4052">
        <v>49.683780714667499</v>
      </c>
      <c r="O4052">
        <v>49.397345866123104</v>
      </c>
      <c r="P4052">
        <v>-0.78469600513742199</v>
      </c>
      <c r="Q4052">
        <v>0.37980977509269997</v>
      </c>
      <c r="R4052">
        <v>0.92462863948065099</v>
      </c>
      <c r="S4052" t="s">
        <v>10698</v>
      </c>
      <c r="T4052" t="s">
        <v>13290</v>
      </c>
      <c r="U4052" t="s">
        <v>13290</v>
      </c>
      <c r="V4052" t="s">
        <v>13290</v>
      </c>
      <c r="W4052" t="s">
        <v>17295</v>
      </c>
      <c r="X4052">
        <v>2</v>
      </c>
      <c r="Y4052" t="s">
        <v>23790</v>
      </c>
      <c r="Z4052" t="s">
        <v>30382</v>
      </c>
      <c r="AA4052">
        <v>0.57420001152373179</v>
      </c>
      <c r="AB4052" t="str">
        <f>HYPERLINK("Melting_Curves/meltCurve_Q6IBW4_2_NCAPH2.pdf", "Melting_Curves/meltCurve_Q6IBW4_2_NCAPH2.pdf")</f>
        <v>Melting_Curves/meltCurve_Q6IBW4_2_NCAPH2.pdf</v>
      </c>
    </row>
    <row r="4053" spans="1:28" x14ac:dyDescent="0.25">
      <c r="A4053" t="s">
        <v>4057</v>
      </c>
      <c r="B4053">
        <v>0.99252571173614901</v>
      </c>
      <c r="C4053">
        <v>0.83767157793006797</v>
      </c>
      <c r="D4053">
        <v>0.49046013330666599</v>
      </c>
      <c r="E4053">
        <v>0.31137288551252601</v>
      </c>
      <c r="F4053">
        <v>0.16987381324847101</v>
      </c>
      <c r="G4053">
        <v>0.10890864465169101</v>
      </c>
      <c r="H4053">
        <v>8.9225723888030503E-2</v>
      </c>
      <c r="I4053">
        <v>8.8729345351487202E-2</v>
      </c>
      <c r="J4053">
        <v>0.10176465228027599</v>
      </c>
      <c r="K4053">
        <v>0.12873126963047801</v>
      </c>
      <c r="L4053">
        <v>916.64464899062</v>
      </c>
      <c r="M4053">
        <v>19.989984324274001</v>
      </c>
      <c r="N4053">
        <v>46.393790955879702</v>
      </c>
      <c r="O4053">
        <v>45.403698195848698</v>
      </c>
      <c r="P4053">
        <v>-9.8672981625983494E-2</v>
      </c>
      <c r="Q4053">
        <v>0.103556646251214</v>
      </c>
      <c r="R4053">
        <v>0.99225536957746197</v>
      </c>
      <c r="S4053" t="s">
        <v>10699</v>
      </c>
      <c r="T4053" t="s">
        <v>13290</v>
      </c>
      <c r="U4053" t="s">
        <v>13290</v>
      </c>
      <c r="V4053" t="s">
        <v>13290</v>
      </c>
      <c r="W4053" t="s">
        <v>17296</v>
      </c>
      <c r="X4053">
        <v>3</v>
      </c>
      <c r="Y4053" t="s">
        <v>23791</v>
      </c>
      <c r="Z4053" t="s">
        <v>30383</v>
      </c>
      <c r="AA4053">
        <v>0.2925403787185612</v>
      </c>
      <c r="AB4053" t="str">
        <f>HYPERLINK("Melting_Curves/meltCurve_Q6ICB0_DESI1.pdf", "Melting_Curves/meltCurve_Q6ICB0_DESI1.pdf")</f>
        <v>Melting_Curves/meltCurve_Q6ICB0_DESI1.pdf</v>
      </c>
    </row>
    <row r="4054" spans="1:28" x14ac:dyDescent="0.25">
      <c r="A4054" t="s">
        <v>4058</v>
      </c>
      <c r="B4054">
        <v>0.99252571173614901</v>
      </c>
      <c r="C4054">
        <v>1.0850662715013899</v>
      </c>
      <c r="D4054">
        <v>1.01686929989304</v>
      </c>
      <c r="E4054">
        <v>0.98723406933061497</v>
      </c>
      <c r="F4054">
        <v>0.64145961892997205</v>
      </c>
      <c r="G4054">
        <v>0.34216085814893099</v>
      </c>
      <c r="H4054">
        <v>0.12360242184880001</v>
      </c>
      <c r="I4054">
        <v>0.107791467992009</v>
      </c>
      <c r="J4054">
        <v>0.116717493110852</v>
      </c>
      <c r="K4054">
        <v>9.6479436280743097E-2</v>
      </c>
      <c r="L4054">
        <v>1495.84955162765</v>
      </c>
      <c r="M4054">
        <v>27.533152188277899</v>
      </c>
      <c r="N4054">
        <v>54.768376833900497</v>
      </c>
      <c r="O4054">
        <v>54.044861467349101</v>
      </c>
      <c r="P4054">
        <v>-0.11474341263994001</v>
      </c>
      <c r="Q4054">
        <v>9.9088271060205499E-2</v>
      </c>
      <c r="R4054">
        <v>0.99220334683749101</v>
      </c>
      <c r="S4054" t="s">
        <v>10700</v>
      </c>
      <c r="T4054" t="s">
        <v>13290</v>
      </c>
      <c r="U4054" t="s">
        <v>13290</v>
      </c>
      <c r="V4054" t="s">
        <v>13290</v>
      </c>
      <c r="W4054" t="s">
        <v>17297</v>
      </c>
      <c r="X4054">
        <v>10</v>
      </c>
      <c r="Y4054" t="s">
        <v>23792</v>
      </c>
      <c r="Z4054" t="s">
        <v>30384</v>
      </c>
      <c r="AA4054">
        <v>0.53638207205230382</v>
      </c>
      <c r="AB4054" t="str">
        <f>HYPERLINK("Melting_Curves/meltCurve_Q6ICG6_KIAA0930.pdf", "Melting_Curves/meltCurve_Q6ICG6_KIAA0930.pdf")</f>
        <v>Melting_Curves/meltCurve_Q6ICG6_KIAA0930.pdf</v>
      </c>
    </row>
    <row r="4055" spans="1:28" x14ac:dyDescent="0.25">
      <c r="A4055" t="s">
        <v>4059</v>
      </c>
      <c r="B4055">
        <v>0.99252571173614901</v>
      </c>
      <c r="C4055">
        <v>1.05534633334607</v>
      </c>
      <c r="D4055">
        <v>0.88303265288522004</v>
      </c>
      <c r="E4055">
        <v>0.80782546746331896</v>
      </c>
      <c r="F4055">
        <v>0.75818195736235305</v>
      </c>
      <c r="G4055">
        <v>0.48457309577714203</v>
      </c>
      <c r="H4055">
        <v>0.415124272458604</v>
      </c>
      <c r="I4055">
        <v>0.37424041189316098</v>
      </c>
      <c r="J4055">
        <v>0.31714974059699003</v>
      </c>
      <c r="K4055">
        <v>0.233735066220355</v>
      </c>
      <c r="L4055">
        <v>634.68421182153304</v>
      </c>
      <c r="M4055">
        <v>11.453363762294</v>
      </c>
      <c r="N4055">
        <v>58.003215943879603</v>
      </c>
      <c r="O4055">
        <v>53.806063123203202</v>
      </c>
      <c r="P4055">
        <v>-4.2580014519690401E-2</v>
      </c>
      <c r="Q4055">
        <v>0.200094672391953</v>
      </c>
      <c r="R4055">
        <v>0.97516596801795696</v>
      </c>
      <c r="S4055" t="s">
        <v>10701</v>
      </c>
      <c r="T4055" t="s">
        <v>13290</v>
      </c>
      <c r="U4055" t="s">
        <v>13290</v>
      </c>
      <c r="V4055" t="s">
        <v>13290</v>
      </c>
      <c r="W4055" t="s">
        <v>17298</v>
      </c>
      <c r="X4055">
        <v>5</v>
      </c>
      <c r="Y4055" t="s">
        <v>23793</v>
      </c>
      <c r="Z4055" t="s">
        <v>30385</v>
      </c>
      <c r="AA4055">
        <v>0.62933520059822967</v>
      </c>
      <c r="AB4055" t="str">
        <f>HYPERLINK("Melting_Curves/meltCurve_Q6ICJ4_Em_AP000351_3.pdf", "Melting_Curves/meltCurve_Q6ICJ4_Em_AP000351_3.pdf")</f>
        <v>Melting_Curves/meltCurve_Q6ICJ4_Em_AP000351_3.pdf</v>
      </c>
    </row>
    <row r="4056" spans="1:28" x14ac:dyDescent="0.25">
      <c r="A4056" t="s">
        <v>4060</v>
      </c>
      <c r="B4056">
        <v>0.99252571173614901</v>
      </c>
      <c r="C4056">
        <v>1.07241533191287</v>
      </c>
      <c r="D4056">
        <v>0.88097776204072398</v>
      </c>
      <c r="E4056">
        <v>0.84093563031558205</v>
      </c>
      <c r="F4056">
        <v>0.37599313648646199</v>
      </c>
      <c r="G4056">
        <v>0.132842564014231</v>
      </c>
      <c r="H4056">
        <v>0.115330732431539</v>
      </c>
      <c r="I4056">
        <v>0.124071956859854</v>
      </c>
      <c r="J4056">
        <v>0.145034437612339</v>
      </c>
      <c r="K4056">
        <v>0.16871653428702399</v>
      </c>
      <c r="L4056">
        <v>1753.9807251344</v>
      </c>
      <c r="M4056">
        <v>33.9420115149941</v>
      </c>
      <c r="N4056">
        <v>52.136432429601903</v>
      </c>
      <c r="O4056">
        <v>51.4974024703222</v>
      </c>
      <c r="P4056">
        <v>-0.14342903658752801</v>
      </c>
      <c r="Q4056">
        <v>0.12955127887382101</v>
      </c>
      <c r="R4056">
        <v>0.98652620582283801</v>
      </c>
      <c r="S4056" t="s">
        <v>10702</v>
      </c>
      <c r="T4056" t="s">
        <v>13290</v>
      </c>
      <c r="U4056" t="s">
        <v>13290</v>
      </c>
      <c r="V4056" t="s">
        <v>13290</v>
      </c>
      <c r="W4056" t="s">
        <v>17299</v>
      </c>
      <c r="X4056">
        <v>3</v>
      </c>
      <c r="Y4056" t="s">
        <v>23794</v>
      </c>
      <c r="Z4056" t="s">
        <v>30386</v>
      </c>
      <c r="AA4056">
        <v>0.47264772577023362</v>
      </c>
      <c r="AB4056" t="str">
        <f>HYPERLINK("Melting_Curves/meltCurve_Q6IN84_MRM1.pdf", "Melting_Curves/meltCurve_Q6IN84_MRM1.pdf")</f>
        <v>Melting_Curves/meltCurve_Q6IN84_MRM1.pdf</v>
      </c>
    </row>
    <row r="4057" spans="1:28" x14ac:dyDescent="0.25">
      <c r="A4057" t="s">
        <v>4061</v>
      </c>
      <c r="B4057">
        <v>0.99252571173614901</v>
      </c>
      <c r="C4057">
        <v>0.76374592986320999</v>
      </c>
      <c r="D4057">
        <v>0.72802347396678502</v>
      </c>
      <c r="E4057">
        <v>0.65637632578535399</v>
      </c>
      <c r="F4057">
        <v>0.261416375776855</v>
      </c>
      <c r="G4057">
        <v>0.111949161178225</v>
      </c>
      <c r="H4057">
        <v>7.6848992254116899E-2</v>
      </c>
      <c r="I4057">
        <v>7.1618556017772506E-2</v>
      </c>
      <c r="J4057">
        <v>9.1036861142477402E-2</v>
      </c>
      <c r="K4057">
        <v>0.117435769313485</v>
      </c>
      <c r="L4057">
        <v>656.35358528930306</v>
      </c>
      <c r="M4057">
        <v>13.250535102281299</v>
      </c>
      <c r="N4057">
        <v>49.814308928783703</v>
      </c>
      <c r="O4057">
        <v>48.446672876986803</v>
      </c>
      <c r="P4057">
        <v>-6.5932272031948E-2</v>
      </c>
      <c r="Q4057">
        <v>3.5910212792183399E-2</v>
      </c>
      <c r="R4057">
        <v>0.95512514064497001</v>
      </c>
      <c r="S4057" t="s">
        <v>10703</v>
      </c>
      <c r="T4057" t="s">
        <v>13290</v>
      </c>
      <c r="U4057" t="s">
        <v>13290</v>
      </c>
      <c r="V4057" t="s">
        <v>13290</v>
      </c>
      <c r="W4057" t="s">
        <v>17300</v>
      </c>
      <c r="X4057">
        <v>16</v>
      </c>
      <c r="Y4057" t="s">
        <v>23795</v>
      </c>
      <c r="Z4057" t="s">
        <v>30387</v>
      </c>
      <c r="AA4057">
        <v>0.37138217837810011</v>
      </c>
      <c r="AB4057" t="str">
        <f>HYPERLINK("Melting_Curves/meltCurve_Q6IN85_SMEK1.pdf", "Melting_Curves/meltCurve_Q6IN85_SMEK1.pdf")</f>
        <v>Melting_Curves/meltCurve_Q6IN85_SMEK1.pdf</v>
      </c>
    </row>
    <row r="4058" spans="1:28" x14ac:dyDescent="0.25">
      <c r="A4058" t="s">
        <v>4062</v>
      </c>
      <c r="B4058">
        <v>0.99252571173614901</v>
      </c>
      <c r="C4058">
        <v>1.0106310569482899</v>
      </c>
      <c r="D4058">
        <v>0.866967818005554</v>
      </c>
      <c r="E4058">
        <v>0.66120693528190599</v>
      </c>
      <c r="F4058">
        <v>0.62590139136612999</v>
      </c>
      <c r="G4058">
        <v>0.30341865025124698</v>
      </c>
      <c r="H4058">
        <v>0.109093662354103</v>
      </c>
      <c r="I4058">
        <v>0.10356024656033901</v>
      </c>
      <c r="J4058">
        <v>0.111778957194654</v>
      </c>
      <c r="K4058">
        <v>0.10616194951736301</v>
      </c>
      <c r="L4058">
        <v>723.70005940400301</v>
      </c>
      <c r="M4058">
        <v>13.615312475357101</v>
      </c>
      <c r="N4058">
        <v>53.438847259316901</v>
      </c>
      <c r="O4058">
        <v>52.0460766855321</v>
      </c>
      <c r="P4058">
        <v>-6.31159347627335E-2</v>
      </c>
      <c r="Q4058">
        <v>3.5071076281069397E-2</v>
      </c>
      <c r="R4058">
        <v>0.978397442222392</v>
      </c>
      <c r="S4058" t="s">
        <v>10704</v>
      </c>
      <c r="T4058" t="s">
        <v>13290</v>
      </c>
      <c r="U4058" t="s">
        <v>13290</v>
      </c>
      <c r="V4058" t="s">
        <v>13290</v>
      </c>
      <c r="W4058" t="s">
        <v>17301</v>
      </c>
      <c r="X4058">
        <v>6</v>
      </c>
      <c r="Y4058" t="s">
        <v>23796</v>
      </c>
      <c r="Z4058" t="s">
        <v>30388</v>
      </c>
      <c r="AA4058">
        <v>0.48155730315559248</v>
      </c>
      <c r="AB4058" t="str">
        <f>HYPERLINK("Melting_Curves/meltCurve_Q6IPR3_TYW3.pdf", "Melting_Curves/meltCurve_Q6IPR3_TYW3.pdf")</f>
        <v>Melting_Curves/meltCurve_Q6IPR3_TYW3.pdf</v>
      </c>
    </row>
    <row r="4059" spans="1:28" x14ac:dyDescent="0.25">
      <c r="A4059" t="s">
        <v>4063</v>
      </c>
      <c r="B4059">
        <v>0.99252571173614901</v>
      </c>
      <c r="C4059">
        <v>0.66602823207799</v>
      </c>
      <c r="D4059">
        <v>0.81137356218190804</v>
      </c>
      <c r="E4059">
        <v>0.79693421199044401</v>
      </c>
      <c r="F4059">
        <v>0.69860063290066299</v>
      </c>
      <c r="G4059">
        <v>0.469866641767755</v>
      </c>
      <c r="H4059">
        <v>0.14048017008029501</v>
      </c>
      <c r="I4059">
        <v>9.1365464909021296E-2</v>
      </c>
      <c r="J4059">
        <v>9.4142072005405295E-2</v>
      </c>
      <c r="K4059">
        <v>0.10044831071030599</v>
      </c>
      <c r="L4059">
        <v>597.72194267166105</v>
      </c>
      <c r="M4059">
        <v>10.922173328854701</v>
      </c>
      <c r="N4059">
        <v>54.725549970578498</v>
      </c>
      <c r="O4059">
        <v>52.986936009712899</v>
      </c>
      <c r="P4059">
        <v>-5.1550255523299698E-2</v>
      </c>
      <c r="Q4059">
        <v>0</v>
      </c>
      <c r="R4059">
        <v>0.88446935723836595</v>
      </c>
      <c r="S4059" t="s">
        <v>10705</v>
      </c>
      <c r="T4059" t="s">
        <v>13290</v>
      </c>
      <c r="U4059" t="s">
        <v>13290</v>
      </c>
      <c r="V4059" t="s">
        <v>13290</v>
      </c>
      <c r="W4059" t="s">
        <v>17302</v>
      </c>
      <c r="X4059">
        <v>11</v>
      </c>
      <c r="Y4059" t="s">
        <v>23797</v>
      </c>
      <c r="Z4059" t="s">
        <v>30389</v>
      </c>
      <c r="AA4059">
        <v>0.51668359333608804</v>
      </c>
      <c r="AB4059" t="str">
        <f>HYPERLINK("Melting_Curves/meltCurve_Q6IQ22_RAB12.pdf", "Melting_Curves/meltCurve_Q6IQ22_RAB12.pdf")</f>
        <v>Melting_Curves/meltCurve_Q6IQ22_RAB12.pdf</v>
      </c>
    </row>
    <row r="4060" spans="1:28" x14ac:dyDescent="0.25">
      <c r="A4060" t="s">
        <v>4064</v>
      </c>
      <c r="B4060">
        <v>0.99252571173614901</v>
      </c>
      <c r="C4060">
        <v>1.1144424490055</v>
      </c>
      <c r="D4060">
        <v>0.89512466012707903</v>
      </c>
      <c r="E4060">
        <v>0.752835930699149</v>
      </c>
      <c r="F4060">
        <v>0.47288882529791798</v>
      </c>
      <c r="G4060">
        <v>0.27576234418720602</v>
      </c>
      <c r="H4060">
        <v>0.26017023219871499</v>
      </c>
      <c r="I4060">
        <v>0.34407682030620501</v>
      </c>
      <c r="J4060">
        <v>0.51219261322450504</v>
      </c>
      <c r="K4060">
        <v>0.57933259447103902</v>
      </c>
      <c r="L4060">
        <v>1738.1604240670599</v>
      </c>
      <c r="M4060">
        <v>34.787512528880796</v>
      </c>
      <c r="N4060">
        <v>52.320822561143601</v>
      </c>
      <c r="O4060">
        <v>49.800815705825997</v>
      </c>
      <c r="P4060">
        <v>-0.10554959814889001</v>
      </c>
      <c r="Q4060">
        <v>0.39559487635483997</v>
      </c>
      <c r="R4060">
        <v>0.87419659811704697</v>
      </c>
      <c r="S4060" t="s">
        <v>10706</v>
      </c>
      <c r="T4060" t="s">
        <v>13290</v>
      </c>
      <c r="U4060" t="s">
        <v>13290</v>
      </c>
      <c r="V4060" t="s">
        <v>13290</v>
      </c>
      <c r="W4060" t="s">
        <v>17303</v>
      </c>
      <c r="X4060">
        <v>3</v>
      </c>
      <c r="Y4060" t="s">
        <v>23798</v>
      </c>
      <c r="Z4060" t="s">
        <v>30390</v>
      </c>
      <c r="AA4060">
        <v>0.59912824739010728</v>
      </c>
      <c r="AB4060" t="str">
        <f>HYPERLINK("Melting_Curves/meltCurve_Q6IQ49_3_SDE2.pdf", "Melting_Curves/meltCurve_Q6IQ49_3_SDE2.pdf")</f>
        <v>Melting_Curves/meltCurve_Q6IQ49_3_SDE2.pdf</v>
      </c>
    </row>
    <row r="4061" spans="1:28" x14ac:dyDescent="0.25">
      <c r="A4061" t="s">
        <v>4065</v>
      </c>
      <c r="B4061">
        <v>0.99252571173614901</v>
      </c>
      <c r="C4061">
        <v>0.90027326726311196</v>
      </c>
      <c r="D4061">
        <v>0.57053238926748095</v>
      </c>
      <c r="E4061">
        <v>0.45388120407711402</v>
      </c>
      <c r="F4061">
        <v>0.19736098766190899</v>
      </c>
      <c r="G4061">
        <v>0.12717888775556399</v>
      </c>
      <c r="H4061">
        <v>0.14044812545895</v>
      </c>
      <c r="I4061">
        <v>0.29700181180805202</v>
      </c>
      <c r="J4061">
        <v>0.31371878736812697</v>
      </c>
      <c r="K4061">
        <v>0.24223600548524499</v>
      </c>
      <c r="L4061">
        <v>1026.7113888700301</v>
      </c>
      <c r="M4061">
        <v>22.257617444233599</v>
      </c>
      <c r="N4061">
        <v>47.369826321986103</v>
      </c>
      <c r="O4061">
        <v>45.761019222705798</v>
      </c>
      <c r="P4061">
        <v>-9.4731438766591403E-2</v>
      </c>
      <c r="Q4061">
        <v>0.22095614811768099</v>
      </c>
      <c r="R4061">
        <v>0.94196157628977795</v>
      </c>
      <c r="S4061" t="s">
        <v>10707</v>
      </c>
      <c r="T4061" t="s">
        <v>13290</v>
      </c>
      <c r="U4061" t="s">
        <v>13290</v>
      </c>
      <c r="V4061" t="s">
        <v>13290</v>
      </c>
      <c r="W4061" t="s">
        <v>17304</v>
      </c>
      <c r="X4061">
        <v>4</v>
      </c>
      <c r="Y4061" t="s">
        <v>23799</v>
      </c>
      <c r="Z4061" t="s">
        <v>30391</v>
      </c>
      <c r="AA4061">
        <v>0.38944438336593312</v>
      </c>
      <c r="AB4061" t="str">
        <f>HYPERLINK("Melting_Curves/meltCurve_Q6ISB3_GRHL2.pdf", "Melting_Curves/meltCurve_Q6ISB3_GRHL2.pdf")</f>
        <v>Melting_Curves/meltCurve_Q6ISB3_GRHL2.pdf</v>
      </c>
    </row>
    <row r="4062" spans="1:28" x14ac:dyDescent="0.25">
      <c r="A4062" t="s">
        <v>4066</v>
      </c>
      <c r="B4062">
        <v>0.99252571173614901</v>
      </c>
      <c r="C4062">
        <v>0.97624796796754898</v>
      </c>
      <c r="D4062">
        <v>0.75775558905114104</v>
      </c>
      <c r="E4062">
        <v>0.393718967762127</v>
      </c>
      <c r="F4062">
        <v>0.12974725990198699</v>
      </c>
      <c r="G4062">
        <v>7.2732404814275606E-2</v>
      </c>
      <c r="H4062">
        <v>5.2835266111308198E-2</v>
      </c>
      <c r="I4062">
        <v>5.3335954820029598E-2</v>
      </c>
      <c r="J4062">
        <v>7.2499257141466197E-2</v>
      </c>
      <c r="K4062">
        <v>7.4004662428372198E-2</v>
      </c>
      <c r="L4062">
        <v>1169.3903198361299</v>
      </c>
      <c r="M4062">
        <v>24.2513526260622</v>
      </c>
      <c r="N4062">
        <v>48.462691026900202</v>
      </c>
      <c r="O4062">
        <v>47.895308246121601</v>
      </c>
      <c r="P4062">
        <v>-0.119337380171392</v>
      </c>
      <c r="Q4062">
        <v>5.7270910436379802E-2</v>
      </c>
      <c r="R4062">
        <v>0.99855786324985096</v>
      </c>
      <c r="S4062" t="s">
        <v>10708</v>
      </c>
      <c r="T4062" t="s">
        <v>13290</v>
      </c>
      <c r="U4062" t="s">
        <v>13290</v>
      </c>
      <c r="V4062" t="s">
        <v>13290</v>
      </c>
      <c r="W4062" t="s">
        <v>13512</v>
      </c>
      <c r="X4062">
        <v>9</v>
      </c>
      <c r="Y4062" t="s">
        <v>23800</v>
      </c>
      <c r="Z4062" t="s">
        <v>30392</v>
      </c>
      <c r="AA4062">
        <v>0.32444821910204358</v>
      </c>
      <c r="AB4062" t="str">
        <f>HYPERLINK("Melting_Curves/meltCurve_Q6JHV3_USP3.pdf", "Melting_Curves/meltCurve_Q6JHV3_USP3.pdf")</f>
        <v>Melting_Curves/meltCurve_Q6JHV3_USP3.pdf</v>
      </c>
    </row>
    <row r="4063" spans="1:28" x14ac:dyDescent="0.25">
      <c r="A4063" t="s">
        <v>4067</v>
      </c>
      <c r="B4063">
        <v>0.99252571173614901</v>
      </c>
      <c r="C4063">
        <v>0.94761897260661099</v>
      </c>
      <c r="D4063">
        <v>0.84429816437007699</v>
      </c>
      <c r="E4063">
        <v>0.65462480027229297</v>
      </c>
      <c r="F4063">
        <v>0.20820867775096399</v>
      </c>
      <c r="G4063">
        <v>0.113964104210677</v>
      </c>
      <c r="H4063">
        <v>6.0463316874461298E-2</v>
      </c>
      <c r="I4063">
        <v>5.0056938367714202E-2</v>
      </c>
      <c r="J4063">
        <v>5.3664879017901901E-2</v>
      </c>
      <c r="K4063">
        <v>5.24287798608329E-2</v>
      </c>
      <c r="L4063">
        <v>1152.4051564511999</v>
      </c>
      <c r="M4063">
        <v>22.911092008654801</v>
      </c>
      <c r="N4063">
        <v>50.497820192446397</v>
      </c>
      <c r="O4063">
        <v>49.920524716665398</v>
      </c>
      <c r="P4063">
        <v>-0.109791638761241</v>
      </c>
      <c r="Q4063">
        <v>4.3127090220076901E-2</v>
      </c>
      <c r="R4063">
        <v>0.99344764779831496</v>
      </c>
      <c r="S4063" t="s">
        <v>10709</v>
      </c>
      <c r="T4063" t="s">
        <v>13290</v>
      </c>
      <c r="U4063" t="s">
        <v>13290</v>
      </c>
      <c r="V4063" t="s">
        <v>13290</v>
      </c>
      <c r="W4063" t="s">
        <v>17305</v>
      </c>
      <c r="X4063">
        <v>30</v>
      </c>
      <c r="Y4063" t="s">
        <v>23801</v>
      </c>
      <c r="Z4063" t="s">
        <v>30393</v>
      </c>
      <c r="AA4063">
        <v>0.38182567392498579</v>
      </c>
      <c r="AB4063" t="str">
        <f>HYPERLINK("Melting_Curves/meltCurve_Q6JQN1_ACAD10.pdf", "Melting_Curves/meltCurve_Q6JQN1_ACAD10.pdf")</f>
        <v>Melting_Curves/meltCurve_Q6JQN1_ACAD10.pdf</v>
      </c>
    </row>
    <row r="4064" spans="1:28" x14ac:dyDescent="0.25">
      <c r="A4064" t="s">
        <v>4068</v>
      </c>
      <c r="B4064">
        <v>0.99252571173614901</v>
      </c>
      <c r="C4064">
        <v>0.88654326293946595</v>
      </c>
      <c r="D4064">
        <v>0.59471167795146596</v>
      </c>
      <c r="E4064">
        <v>0.32765932061987302</v>
      </c>
      <c r="F4064">
        <v>0.217319475853327</v>
      </c>
      <c r="G4064">
        <v>0.12602942244515</v>
      </c>
      <c r="H4064">
        <v>9.9184192405217197E-2</v>
      </c>
      <c r="I4064">
        <v>0.11718410131445101</v>
      </c>
      <c r="J4064">
        <v>0.13031277855561499</v>
      </c>
      <c r="K4064">
        <v>0.13928484441126701</v>
      </c>
      <c r="L4064">
        <v>948.24747629413002</v>
      </c>
      <c r="M4064">
        <v>20.351189367873999</v>
      </c>
      <c r="N4064">
        <v>47.237683600391399</v>
      </c>
      <c r="O4064">
        <v>46.151316122944799</v>
      </c>
      <c r="P4064">
        <v>-9.6898942731434304E-2</v>
      </c>
      <c r="Q4064">
        <v>0.12105817759096001</v>
      </c>
      <c r="R4064">
        <v>0.99622898049062703</v>
      </c>
      <c r="S4064" t="s">
        <v>10710</v>
      </c>
      <c r="T4064" t="s">
        <v>13290</v>
      </c>
      <c r="U4064" t="s">
        <v>13290</v>
      </c>
      <c r="V4064" t="s">
        <v>13290</v>
      </c>
      <c r="W4064" t="s">
        <v>17306</v>
      </c>
      <c r="X4064">
        <v>25</v>
      </c>
      <c r="Y4064" t="s">
        <v>23802</v>
      </c>
      <c r="Z4064" t="s">
        <v>30394</v>
      </c>
      <c r="AA4064">
        <v>0.3268600555886817</v>
      </c>
      <c r="AB4064" t="str">
        <f>HYPERLINK("Melting_Curves/meltCurve_Q6KC79_2_NIPBL.pdf", "Melting_Curves/meltCurve_Q6KC79_2_NIPBL.pdf")</f>
        <v>Melting_Curves/meltCurve_Q6KC79_2_NIPBL.pdf</v>
      </c>
    </row>
    <row r="4065" spans="1:28" x14ac:dyDescent="0.25">
      <c r="A4065" t="s">
        <v>4069</v>
      </c>
      <c r="B4065">
        <v>0.99252571173614901</v>
      </c>
      <c r="C4065">
        <v>0.834277186915788</v>
      </c>
      <c r="D4065">
        <v>0.80810092655176702</v>
      </c>
      <c r="E4065">
        <v>0.76503280445063804</v>
      </c>
      <c r="F4065">
        <v>0.64520790366623004</v>
      </c>
      <c r="G4065">
        <v>0.41660507863667501</v>
      </c>
      <c r="H4065">
        <v>0.28813416608315101</v>
      </c>
      <c r="I4065">
        <v>0.20037677388994901</v>
      </c>
      <c r="J4065">
        <v>0.17837270016068801</v>
      </c>
      <c r="K4065">
        <v>0.162458620407502</v>
      </c>
      <c r="L4065">
        <v>473.55464134367702</v>
      </c>
      <c r="M4065">
        <v>8.5822966390269695</v>
      </c>
      <c r="N4065">
        <v>55.178078913445198</v>
      </c>
      <c r="O4065">
        <v>52.427332328878798</v>
      </c>
      <c r="P4065">
        <v>-4.0960305667366699E-2</v>
      </c>
      <c r="Q4065">
        <v>0</v>
      </c>
      <c r="R4065">
        <v>0.97902491769668998</v>
      </c>
      <c r="S4065" t="s">
        <v>10711</v>
      </c>
      <c r="T4065" t="s">
        <v>13290</v>
      </c>
      <c r="U4065" t="s">
        <v>13290</v>
      </c>
      <c r="V4065" t="s">
        <v>13290</v>
      </c>
      <c r="W4065" t="s">
        <v>17307</v>
      </c>
      <c r="X4065">
        <v>4</v>
      </c>
      <c r="Y4065" t="s">
        <v>23803</v>
      </c>
      <c r="Z4065" t="s">
        <v>30395</v>
      </c>
      <c r="AA4065">
        <v>0.53177883143701599</v>
      </c>
      <c r="AB4065" t="str">
        <f>HYPERLINK("Melting_Curves/meltCurve_Q6KCM7_2_SLC25A25.pdf", "Melting_Curves/meltCurve_Q6KCM7_2_SLC25A25.pdf")</f>
        <v>Melting_Curves/meltCurve_Q6KCM7_2_SLC25A25.pdf</v>
      </c>
    </row>
    <row r="4066" spans="1:28" x14ac:dyDescent="0.25">
      <c r="A4066" t="s">
        <v>4070</v>
      </c>
      <c r="B4066">
        <v>0.99252571173614901</v>
      </c>
      <c r="C4066">
        <v>1.0070671057136</v>
      </c>
      <c r="D4066">
        <v>0.95488000998604206</v>
      </c>
      <c r="E4066">
        <v>0.78155978901647505</v>
      </c>
      <c r="F4066">
        <v>0.28175701624730198</v>
      </c>
      <c r="G4066">
        <v>9.3868443443751004E-2</v>
      </c>
      <c r="H4066">
        <v>6.0455279749203401E-2</v>
      </c>
      <c r="I4066">
        <v>6.6079214366643699E-2</v>
      </c>
      <c r="J4066">
        <v>8.2513267981161903E-2</v>
      </c>
      <c r="K4066">
        <v>7.43607404523908E-2</v>
      </c>
      <c r="L4066">
        <v>1738.6532336022401</v>
      </c>
      <c r="M4066">
        <v>33.8942008838128</v>
      </c>
      <c r="N4066">
        <v>51.517621818854401</v>
      </c>
      <c r="O4066">
        <v>51.118887875823802</v>
      </c>
      <c r="P4066">
        <v>-0.154539888466624</v>
      </c>
      <c r="Q4066">
        <v>6.7701505144449198E-2</v>
      </c>
      <c r="R4066">
        <v>0.99922843821256901</v>
      </c>
      <c r="S4066" t="s">
        <v>10712</v>
      </c>
      <c r="T4066" t="s">
        <v>13290</v>
      </c>
      <c r="U4066" t="s">
        <v>13290</v>
      </c>
      <c r="V4066" t="s">
        <v>13290</v>
      </c>
      <c r="W4066" t="s">
        <v>17308</v>
      </c>
      <c r="X4066">
        <v>19</v>
      </c>
      <c r="Y4066" t="s">
        <v>23804</v>
      </c>
      <c r="Z4066" t="s">
        <v>30396</v>
      </c>
      <c r="AA4066">
        <v>0.4233702272230303</v>
      </c>
      <c r="AB4066" t="str">
        <f>HYPERLINK("Melting_Curves/meltCurve_Q6L8Q7_2_PDE12.pdf", "Melting_Curves/meltCurve_Q6L8Q7_2_PDE12.pdf")</f>
        <v>Melting_Curves/meltCurve_Q6L8Q7_2_PDE12.pdf</v>
      </c>
    </row>
    <row r="4067" spans="1:28" x14ac:dyDescent="0.25">
      <c r="A4067" t="s">
        <v>4071</v>
      </c>
      <c r="B4067">
        <v>0.99252571173614901</v>
      </c>
      <c r="C4067">
        <v>0.92202210555345998</v>
      </c>
      <c r="D4067">
        <v>0.89339590704399696</v>
      </c>
      <c r="E4067">
        <v>0.56302507310738004</v>
      </c>
      <c r="F4067">
        <v>0.378312340776501</v>
      </c>
      <c r="G4067">
        <v>0.323382297311537</v>
      </c>
      <c r="H4067">
        <v>0.47552286376761599</v>
      </c>
      <c r="I4067">
        <v>0.52499383988106396</v>
      </c>
      <c r="J4067">
        <v>0.86765626781411598</v>
      </c>
      <c r="K4067">
        <v>0.73674910291122198</v>
      </c>
      <c r="L4067">
        <v>2912.4102396159701</v>
      </c>
      <c r="M4067">
        <v>62.172950135189701</v>
      </c>
      <c r="O4067">
        <v>46.795297505580699</v>
      </c>
      <c r="P4067">
        <v>-0.149182100548159</v>
      </c>
      <c r="Q4067">
        <v>0.550864600356748</v>
      </c>
      <c r="R4067">
        <v>0.57349870056917096</v>
      </c>
      <c r="S4067" t="s">
        <v>10713</v>
      </c>
      <c r="T4067" t="s">
        <v>13290</v>
      </c>
      <c r="U4067" t="s">
        <v>13290</v>
      </c>
      <c r="V4067" t="s">
        <v>13290</v>
      </c>
      <c r="W4067" t="s">
        <v>17309</v>
      </c>
      <c r="X4067">
        <v>1</v>
      </c>
      <c r="Y4067" t="s">
        <v>23805</v>
      </c>
      <c r="Z4067" t="s">
        <v>30397</v>
      </c>
      <c r="AA4067">
        <v>0.65392189312451088</v>
      </c>
      <c r="AB4067" t="str">
        <f>HYPERLINK("Melting_Curves/meltCurve_Q6MZP7_4_LIN54.pdf", "Melting_Curves/meltCurve_Q6MZP7_4_LIN54.pdf")</f>
        <v>Melting_Curves/meltCurve_Q6MZP7_4_LIN54.pdf</v>
      </c>
    </row>
    <row r="4068" spans="1:28" x14ac:dyDescent="0.25">
      <c r="A4068" t="s">
        <v>4072</v>
      </c>
      <c r="B4068">
        <v>0.99252571173614901</v>
      </c>
      <c r="C4068">
        <v>1.14321818738502</v>
      </c>
      <c r="D4068">
        <v>0.95598733484438703</v>
      </c>
      <c r="E4068">
        <v>0.64579517083281801</v>
      </c>
      <c r="F4068">
        <v>0.42900854693123303</v>
      </c>
      <c r="G4068">
        <v>0.20354999479845801</v>
      </c>
      <c r="H4068">
        <v>0.154840624828222</v>
      </c>
      <c r="I4068">
        <v>0.15134375826311</v>
      </c>
      <c r="J4068">
        <v>0.22823393463428299</v>
      </c>
      <c r="K4068">
        <v>0.20524438824145799</v>
      </c>
      <c r="L4068">
        <v>1255.0758670216101</v>
      </c>
      <c r="M4068">
        <v>24.792213050424898</v>
      </c>
      <c r="N4068">
        <v>51.557644221132101</v>
      </c>
      <c r="O4068">
        <v>50.297876539372197</v>
      </c>
      <c r="P4068">
        <v>-0.100938493912011</v>
      </c>
      <c r="Q4068">
        <v>0.18088452597950899</v>
      </c>
      <c r="R4068">
        <v>0.974282126835741</v>
      </c>
      <c r="S4068" t="s">
        <v>10714</v>
      </c>
      <c r="T4068" t="s">
        <v>13290</v>
      </c>
      <c r="U4068" t="s">
        <v>13290</v>
      </c>
      <c r="V4068" t="s">
        <v>13290</v>
      </c>
      <c r="W4068" t="s">
        <v>17310</v>
      </c>
      <c r="X4068">
        <v>2</v>
      </c>
      <c r="Y4068" t="s">
        <v>23806</v>
      </c>
      <c r="Z4068" t="s">
        <v>30398</v>
      </c>
      <c r="AA4068">
        <v>0.47844745660885868</v>
      </c>
      <c r="AB4068" t="str">
        <f>HYPERLINK("Melting_Curves/meltCurve_Q6N043_2_ZNF280D.pdf", "Melting_Curves/meltCurve_Q6N043_2_ZNF280D.pdf")</f>
        <v>Melting_Curves/meltCurve_Q6N043_2_ZNF280D.pdf</v>
      </c>
    </row>
    <row r="4069" spans="1:28" x14ac:dyDescent="0.25">
      <c r="A4069" t="s">
        <v>4073</v>
      </c>
      <c r="B4069">
        <v>0.99252571173614901</v>
      </c>
      <c r="C4069">
        <v>1.01483071412662</v>
      </c>
      <c r="D4069">
        <v>0.83826604348724498</v>
      </c>
      <c r="E4069">
        <v>0.56612165408405801</v>
      </c>
      <c r="F4069">
        <v>0.33509239917889899</v>
      </c>
      <c r="G4069">
        <v>0.15183549629513801</v>
      </c>
      <c r="H4069">
        <v>0.114053203344018</v>
      </c>
      <c r="I4069">
        <v>9.4667837339347097E-2</v>
      </c>
      <c r="J4069">
        <v>9.0303736102674795E-2</v>
      </c>
      <c r="K4069">
        <v>8.3494174158378606E-2</v>
      </c>
      <c r="L4069">
        <v>944.27312293731904</v>
      </c>
      <c r="M4069">
        <v>18.861618525786401</v>
      </c>
      <c r="N4069">
        <v>50.533184356248903</v>
      </c>
      <c r="O4069">
        <v>49.510658481660002</v>
      </c>
      <c r="P4069">
        <v>-8.7581967487079901E-2</v>
      </c>
      <c r="Q4069">
        <v>8.0447538921019204E-2</v>
      </c>
      <c r="R4069">
        <v>0.99690286060350997</v>
      </c>
      <c r="S4069" t="s">
        <v>10715</v>
      </c>
      <c r="T4069" t="s">
        <v>13290</v>
      </c>
      <c r="U4069" t="s">
        <v>13290</v>
      </c>
      <c r="V4069" t="s">
        <v>13290</v>
      </c>
      <c r="W4069" t="s">
        <v>17311</v>
      </c>
      <c r="X4069">
        <v>2</v>
      </c>
      <c r="Y4069" t="s">
        <v>23807</v>
      </c>
      <c r="Z4069" t="s">
        <v>30399</v>
      </c>
      <c r="AA4069">
        <v>0.4032353780385034</v>
      </c>
      <c r="AB4069" t="str">
        <f>HYPERLINK("Melting_Curves/meltCurve_Q6N063_OGFOD2.pdf", "Melting_Curves/meltCurve_Q6N063_OGFOD2.pdf")</f>
        <v>Melting_Curves/meltCurve_Q6N063_OGFOD2.pdf</v>
      </c>
    </row>
    <row r="4070" spans="1:28" x14ac:dyDescent="0.25">
      <c r="A4070" t="s">
        <v>4074</v>
      </c>
      <c r="B4070">
        <v>0.99252571173614901</v>
      </c>
      <c r="C4070">
        <v>0.89427510980921798</v>
      </c>
      <c r="D4070">
        <v>0.751901005115726</v>
      </c>
      <c r="E4070">
        <v>0.27846032046555003</v>
      </c>
      <c r="F4070">
        <v>0.13555913145644</v>
      </c>
      <c r="G4070">
        <v>8.8489469801617301E-2</v>
      </c>
      <c r="H4070">
        <v>7.7361276957089997E-2</v>
      </c>
      <c r="I4070">
        <v>7.7957019684113796E-2</v>
      </c>
      <c r="J4070">
        <v>9.8285229372113703E-2</v>
      </c>
      <c r="K4070">
        <v>0.116425582673908</v>
      </c>
      <c r="L4070">
        <v>1309.2369371131799</v>
      </c>
      <c r="M4070">
        <v>27.6238391635341</v>
      </c>
      <c r="N4070">
        <v>47.731940652875203</v>
      </c>
      <c r="O4070">
        <v>47.148898570544503</v>
      </c>
      <c r="P4070">
        <v>-0.13350428494518399</v>
      </c>
      <c r="Q4070">
        <v>8.8537708910226096E-2</v>
      </c>
      <c r="R4070">
        <v>0.995508616598478</v>
      </c>
      <c r="S4070" t="s">
        <v>10716</v>
      </c>
      <c r="T4070" t="s">
        <v>13290</v>
      </c>
      <c r="U4070" t="s">
        <v>13290</v>
      </c>
      <c r="V4070" t="s">
        <v>13290</v>
      </c>
      <c r="W4070" t="s">
        <v>17312</v>
      </c>
      <c r="X4070">
        <v>16</v>
      </c>
      <c r="Y4070" t="s">
        <v>23808</v>
      </c>
      <c r="Z4070" t="s">
        <v>30400</v>
      </c>
      <c r="AA4070">
        <v>0.31973864989763612</v>
      </c>
      <c r="AB4070" t="str">
        <f>HYPERLINK("Melting_Curves/meltCurve_Q6N069_NAA16.pdf", "Melting_Curves/meltCurve_Q6N069_NAA16.pdf")</f>
        <v>Melting_Curves/meltCurve_Q6N069_NAA16.pdf</v>
      </c>
    </row>
    <row r="4071" spans="1:28" x14ac:dyDescent="0.25">
      <c r="A4071" t="s">
        <v>4075</v>
      </c>
      <c r="B4071">
        <v>0.99252571173614901</v>
      </c>
      <c r="C4071">
        <v>0.86244010712644403</v>
      </c>
      <c r="D4071">
        <v>0.78637793764703401</v>
      </c>
      <c r="E4071">
        <v>0.81732577059457101</v>
      </c>
      <c r="F4071">
        <v>0.63830477261652796</v>
      </c>
      <c r="G4071">
        <v>0.51550329989264998</v>
      </c>
      <c r="H4071">
        <v>0.36560322854042598</v>
      </c>
      <c r="I4071">
        <v>0.34364785951376697</v>
      </c>
      <c r="J4071">
        <v>0.43185145699386601</v>
      </c>
      <c r="K4071">
        <v>0.23630098627308099</v>
      </c>
      <c r="L4071">
        <v>412.03712244793502</v>
      </c>
      <c r="M4071">
        <v>7.4765887392945602</v>
      </c>
      <c r="N4071">
        <v>57.679361040779099</v>
      </c>
      <c r="O4071">
        <v>51.580707659013001</v>
      </c>
      <c r="P4071">
        <v>-3.1150712978506499E-2</v>
      </c>
      <c r="Q4071">
        <v>0.14161809395331099</v>
      </c>
      <c r="R4071">
        <v>0.94584536620673798</v>
      </c>
      <c r="S4071" t="s">
        <v>10717</v>
      </c>
      <c r="T4071" t="s">
        <v>13290</v>
      </c>
      <c r="U4071" t="s">
        <v>13290</v>
      </c>
      <c r="V4071" t="s">
        <v>13290</v>
      </c>
      <c r="W4071" t="s">
        <v>17313</v>
      </c>
      <c r="X4071">
        <v>6</v>
      </c>
      <c r="Y4071" t="s">
        <v>23809</v>
      </c>
      <c r="Z4071" t="s">
        <v>30401</v>
      </c>
      <c r="AA4071">
        <v>0.59653192130618049</v>
      </c>
      <c r="AB4071" t="str">
        <f>HYPERLINK("Melting_Curves/meltCurve_Q6NSJ0_KIAA1161.pdf", "Melting_Curves/meltCurve_Q6NSJ0_KIAA1161.pdf")</f>
        <v>Melting_Curves/meltCurve_Q6NSJ0_KIAA1161.pdf</v>
      </c>
    </row>
    <row r="4072" spans="1:28" x14ac:dyDescent="0.25">
      <c r="A4072" t="s">
        <v>4076</v>
      </c>
      <c r="B4072">
        <v>0.99252571173614901</v>
      </c>
      <c r="C4072">
        <v>0.92908195960250906</v>
      </c>
      <c r="D4072">
        <v>0.82344101874127595</v>
      </c>
      <c r="E4072">
        <v>0.77790082396488203</v>
      </c>
      <c r="F4072">
        <v>0.78678800341695199</v>
      </c>
      <c r="G4072">
        <v>0.61658769246608403</v>
      </c>
      <c r="H4072">
        <v>0.51945277257640599</v>
      </c>
      <c r="I4072">
        <v>0.664435973758295</v>
      </c>
      <c r="J4072">
        <v>1.03813528494031</v>
      </c>
      <c r="K4072">
        <v>0.75069740348887304</v>
      </c>
      <c r="L4072">
        <v>1018.59749757929</v>
      </c>
      <c r="M4072">
        <v>22.6581320309106</v>
      </c>
      <c r="O4072">
        <v>44.609273544115602</v>
      </c>
      <c r="P4072">
        <v>-3.4344271810067002E-2</v>
      </c>
      <c r="Q4072">
        <v>0.72953770880309299</v>
      </c>
      <c r="R4072">
        <v>0.341430133368331</v>
      </c>
      <c r="S4072" t="s">
        <v>10718</v>
      </c>
      <c r="T4072" t="s">
        <v>13290</v>
      </c>
      <c r="U4072" t="s">
        <v>13290</v>
      </c>
      <c r="V4072" t="s">
        <v>13290</v>
      </c>
      <c r="W4072" t="s">
        <v>17314</v>
      </c>
      <c r="X4072">
        <v>1</v>
      </c>
      <c r="Y4072" t="s">
        <v>23810</v>
      </c>
      <c r="Z4072" t="s">
        <v>30402</v>
      </c>
      <c r="AA4072">
        <v>0.77763709242992263</v>
      </c>
      <c r="AB4072" t="str">
        <f>HYPERLINK("Melting_Curves/meltCurve_Q6NT16_SLC18B1.pdf", "Melting_Curves/meltCurve_Q6NT16_SLC18B1.pdf")</f>
        <v>Melting_Curves/meltCurve_Q6NT16_SLC18B1.pdf</v>
      </c>
    </row>
    <row r="4073" spans="1:28" x14ac:dyDescent="0.25">
      <c r="A4073" t="s">
        <v>4077</v>
      </c>
      <c r="B4073">
        <v>0.99252571173614901</v>
      </c>
      <c r="C4073">
        <v>1.0449988850452501</v>
      </c>
      <c r="D4073">
        <v>0.81715199511763903</v>
      </c>
      <c r="E4073">
        <v>0.60199107953460596</v>
      </c>
      <c r="F4073">
        <v>0.33163258735561701</v>
      </c>
      <c r="G4073">
        <v>0.19037828582615501</v>
      </c>
      <c r="H4073">
        <v>0.115736867927408</v>
      </c>
      <c r="I4073">
        <v>6.7954257158052395E-2</v>
      </c>
      <c r="J4073">
        <v>8.4959004526167101E-2</v>
      </c>
      <c r="K4073">
        <v>0.143541616969137</v>
      </c>
      <c r="L4073">
        <v>944.69915126240596</v>
      </c>
      <c r="M4073">
        <v>18.8212846781793</v>
      </c>
      <c r="N4073">
        <v>50.7345502294692</v>
      </c>
      <c r="O4073">
        <v>49.636820345662798</v>
      </c>
      <c r="P4073">
        <v>-8.6173745378994304E-2</v>
      </c>
      <c r="Q4073">
        <v>9.0984055602086999E-2</v>
      </c>
      <c r="R4073">
        <v>0.99076700698799103</v>
      </c>
      <c r="S4073" t="s">
        <v>10719</v>
      </c>
      <c r="T4073" t="s">
        <v>13290</v>
      </c>
      <c r="U4073" t="s">
        <v>13290</v>
      </c>
      <c r="V4073" t="s">
        <v>13290</v>
      </c>
      <c r="W4073" t="s">
        <v>17315</v>
      </c>
      <c r="X4073">
        <v>3</v>
      </c>
      <c r="Y4073" t="s">
        <v>23811</v>
      </c>
      <c r="Z4073" t="s">
        <v>30403</v>
      </c>
      <c r="AA4073">
        <v>0.41405239493893681</v>
      </c>
      <c r="AB4073" t="str">
        <f>HYPERLINK("Melting_Curves/meltCurve_Q6NTE8_C5orf45.pdf", "Melting_Curves/meltCurve_Q6NTE8_C5orf45.pdf")</f>
        <v>Melting_Curves/meltCurve_Q6NTE8_C5orf45.pdf</v>
      </c>
    </row>
    <row r="4074" spans="1:28" x14ac:dyDescent="0.25">
      <c r="A4074" t="s">
        <v>4078</v>
      </c>
      <c r="B4074">
        <v>0.99252571173614901</v>
      </c>
      <c r="C4074">
        <v>0.90529205821014702</v>
      </c>
      <c r="D4074">
        <v>0.84014470848885003</v>
      </c>
      <c r="E4074">
        <v>0.83273752304842796</v>
      </c>
      <c r="F4074">
        <v>0.73701383567043399</v>
      </c>
      <c r="G4074">
        <v>0.63374131293248603</v>
      </c>
      <c r="H4074">
        <v>0.56422440379689898</v>
      </c>
      <c r="I4074">
        <v>0.61925178949872195</v>
      </c>
      <c r="J4074">
        <v>0.25916770352812601</v>
      </c>
      <c r="K4074">
        <v>0.201779664369059</v>
      </c>
      <c r="L4074">
        <v>418.25336428595</v>
      </c>
      <c r="M4074">
        <v>6.7966450799073899</v>
      </c>
      <c r="N4074">
        <v>61.5382088287028</v>
      </c>
      <c r="O4074">
        <v>56.869933147427197</v>
      </c>
      <c r="P4074">
        <v>-2.99397228330677E-2</v>
      </c>
      <c r="Q4074">
        <v>0</v>
      </c>
      <c r="R4074">
        <v>0.896272682237643</v>
      </c>
      <c r="S4074" t="s">
        <v>10720</v>
      </c>
      <c r="T4074" t="s">
        <v>13290</v>
      </c>
      <c r="U4074" t="s">
        <v>13290</v>
      </c>
      <c r="V4074" t="s">
        <v>13290</v>
      </c>
      <c r="W4074" t="s">
        <v>17316</v>
      </c>
      <c r="X4074">
        <v>16</v>
      </c>
      <c r="Y4074" t="s">
        <v>23812</v>
      </c>
      <c r="Z4074" t="s">
        <v>30404</v>
      </c>
      <c r="AA4074">
        <v>0.67370415405730744</v>
      </c>
      <c r="AB4074" t="str">
        <f>HYPERLINK("Melting_Curves/meltCurve_Q6NUK1_SLC25A24.pdf", "Melting_Curves/meltCurve_Q6NUK1_SLC25A24.pdf")</f>
        <v>Melting_Curves/meltCurve_Q6NUK1_SLC25A24.pdf</v>
      </c>
    </row>
    <row r="4075" spans="1:28" x14ac:dyDescent="0.25">
      <c r="A4075" t="s">
        <v>4079</v>
      </c>
      <c r="B4075">
        <v>0.99252571173614901</v>
      </c>
      <c r="C4075">
        <v>1.05878582538216</v>
      </c>
      <c r="D4075">
        <v>0.92950145803016004</v>
      </c>
      <c r="E4075">
        <v>0.95467540340027501</v>
      </c>
      <c r="F4075">
        <v>0.62692114634784701</v>
      </c>
      <c r="G4075">
        <v>0.50035057668965699</v>
      </c>
      <c r="H4075">
        <v>0.35272672280207801</v>
      </c>
      <c r="I4075">
        <v>0.46920411349132501</v>
      </c>
      <c r="J4075">
        <v>0.76545002484442504</v>
      </c>
      <c r="K4075">
        <v>0.69556678092381496</v>
      </c>
      <c r="L4075">
        <v>2917.37157651507</v>
      </c>
      <c r="M4075">
        <v>56.596100790552399</v>
      </c>
      <c r="O4075">
        <v>51.483005411252002</v>
      </c>
      <c r="P4075">
        <v>-0.121747820353224</v>
      </c>
      <c r="Q4075">
        <v>0.55700570342952904</v>
      </c>
      <c r="R4075">
        <v>0.77166136873561497</v>
      </c>
      <c r="S4075" t="s">
        <v>10721</v>
      </c>
      <c r="T4075" t="s">
        <v>13290</v>
      </c>
      <c r="U4075" t="s">
        <v>13290</v>
      </c>
      <c r="V4075" t="s">
        <v>13290</v>
      </c>
      <c r="W4075" t="s">
        <v>17317</v>
      </c>
      <c r="X4075">
        <v>7</v>
      </c>
      <c r="Y4075" t="s">
        <v>23813</v>
      </c>
      <c r="Z4075" t="s">
        <v>30405</v>
      </c>
      <c r="AA4075">
        <v>0.72830261871703261</v>
      </c>
      <c r="AB4075" t="str">
        <f>HYPERLINK("Melting_Curves/meltCurve_Q6NUK4_REEP3.pdf", "Melting_Curves/meltCurve_Q6NUK4_REEP3.pdf")</f>
        <v>Melting_Curves/meltCurve_Q6NUK4_REEP3.pdf</v>
      </c>
    </row>
    <row r="4076" spans="1:28" x14ac:dyDescent="0.25">
      <c r="A4076" t="s">
        <v>4080</v>
      </c>
      <c r="B4076">
        <v>0.99252571173614901</v>
      </c>
      <c r="C4076">
        <v>0.98853820717988194</v>
      </c>
      <c r="D4076">
        <v>0.87132955517632205</v>
      </c>
      <c r="E4076">
        <v>0.70626477074197003</v>
      </c>
      <c r="F4076">
        <v>0.525597377903678</v>
      </c>
      <c r="G4076">
        <v>0.31404960298824802</v>
      </c>
      <c r="H4076">
        <v>0.17171773311632799</v>
      </c>
      <c r="I4076">
        <v>0.126287662295127</v>
      </c>
      <c r="J4076">
        <v>0.132754170905691</v>
      </c>
      <c r="K4076">
        <v>0.122590400984406</v>
      </c>
      <c r="L4076">
        <v>748.03337818119496</v>
      </c>
      <c r="M4076">
        <v>14.248776107381801</v>
      </c>
      <c r="N4076">
        <v>53.150377571432898</v>
      </c>
      <c r="O4076">
        <v>51.496502835799099</v>
      </c>
      <c r="P4076">
        <v>-6.3632464275884495E-2</v>
      </c>
      <c r="Q4076">
        <v>8.0217241984818902E-2</v>
      </c>
      <c r="R4076">
        <v>0.99714333641595898</v>
      </c>
      <c r="S4076" t="s">
        <v>10722</v>
      </c>
      <c r="T4076" t="s">
        <v>13290</v>
      </c>
      <c r="U4076" t="s">
        <v>13290</v>
      </c>
      <c r="V4076" t="s">
        <v>13290</v>
      </c>
      <c r="W4076" t="s">
        <v>17318</v>
      </c>
      <c r="X4076">
        <v>21</v>
      </c>
      <c r="Y4076" t="s">
        <v>23814</v>
      </c>
      <c r="Z4076" t="s">
        <v>30406</v>
      </c>
      <c r="AA4076">
        <v>0.48513777727017487</v>
      </c>
      <c r="AB4076" t="str">
        <f>HYPERLINK("Melting_Curves/meltCurve_Q6NUM9_RETSAT.pdf", "Melting_Curves/meltCurve_Q6NUM9_RETSAT.pdf")</f>
        <v>Melting_Curves/meltCurve_Q6NUM9_RETSAT.pdf</v>
      </c>
    </row>
    <row r="4077" spans="1:28" x14ac:dyDescent="0.25">
      <c r="A4077" t="s">
        <v>4081</v>
      </c>
      <c r="B4077">
        <v>0.99252571173614901</v>
      </c>
      <c r="C4077">
        <v>0.75079410051060302</v>
      </c>
      <c r="D4077">
        <v>0.370757495134801</v>
      </c>
      <c r="E4077">
        <v>0.17389619893643801</v>
      </c>
      <c r="F4077">
        <v>0.151593109065322</v>
      </c>
      <c r="G4077">
        <v>8.4087137977498894E-2</v>
      </c>
      <c r="H4077">
        <v>8.9791872649472596E-2</v>
      </c>
      <c r="I4077">
        <v>8.2426367611169907E-2</v>
      </c>
      <c r="J4077">
        <v>8.84959366133167E-2</v>
      </c>
      <c r="K4077">
        <v>8.3799319366260505E-2</v>
      </c>
      <c r="L4077">
        <v>1144.2789327379701</v>
      </c>
      <c r="M4077">
        <v>25.658227828686901</v>
      </c>
      <c r="N4077">
        <v>44.965567522246701</v>
      </c>
      <c r="O4077">
        <v>44.3287142294704</v>
      </c>
      <c r="P4077">
        <v>-0.130981644944515</v>
      </c>
      <c r="Q4077">
        <v>9.48437153590488E-2</v>
      </c>
      <c r="R4077">
        <v>0.99560123135933598</v>
      </c>
      <c r="S4077" t="s">
        <v>10723</v>
      </c>
      <c r="T4077" t="s">
        <v>13290</v>
      </c>
      <c r="U4077" t="s">
        <v>13290</v>
      </c>
      <c r="V4077" t="s">
        <v>13290</v>
      </c>
      <c r="W4077" t="s">
        <v>17319</v>
      </c>
      <c r="X4077">
        <v>2</v>
      </c>
      <c r="Y4077" t="s">
        <v>23815</v>
      </c>
      <c r="Z4077" t="s">
        <v>30407</v>
      </c>
      <c r="AA4077">
        <v>0.24241818533777409</v>
      </c>
      <c r="AB4077" t="str">
        <f>HYPERLINK("Melting_Curves/meltCurve_Q6NUQ1_RINT1.pdf", "Melting_Curves/meltCurve_Q6NUQ1_RINT1.pdf")</f>
        <v>Melting_Curves/meltCurve_Q6NUQ1_RINT1.pdf</v>
      </c>
    </row>
    <row r="4078" spans="1:28" x14ac:dyDescent="0.25">
      <c r="A4078" t="s">
        <v>4082</v>
      </c>
      <c r="B4078">
        <v>0.99252571173614901</v>
      </c>
      <c r="C4078">
        <v>1.0401851237934201</v>
      </c>
      <c r="D4078">
        <v>0.97011349304933203</v>
      </c>
      <c r="E4078">
        <v>0.78234266198125701</v>
      </c>
      <c r="F4078">
        <v>0.12170038471443199</v>
      </c>
      <c r="G4078">
        <v>6.6025031821008606E-2</v>
      </c>
      <c r="H4078">
        <v>3.9375015580670102E-2</v>
      </c>
      <c r="I4078">
        <v>3.9200758863673899E-2</v>
      </c>
      <c r="J4078">
        <v>5.2098496633347299E-2</v>
      </c>
      <c r="K4078">
        <v>4.6628007270419602E-2</v>
      </c>
      <c r="L4078">
        <v>2663.8409536064601</v>
      </c>
      <c r="M4078">
        <v>52.499060955725703</v>
      </c>
      <c r="N4078">
        <v>50.8372211357335</v>
      </c>
      <c r="O4078">
        <v>50.667293849350401</v>
      </c>
      <c r="P4078">
        <v>-0.24675649490134599</v>
      </c>
      <c r="Q4078">
        <v>4.7413824475175802E-2</v>
      </c>
      <c r="R4078">
        <v>0.99858131696437402</v>
      </c>
      <c r="S4078" t="s">
        <v>10724</v>
      </c>
      <c r="T4078" t="s">
        <v>13290</v>
      </c>
      <c r="U4078" t="s">
        <v>13290</v>
      </c>
      <c r="V4078" t="s">
        <v>13290</v>
      </c>
      <c r="W4078" t="s">
        <v>17320</v>
      </c>
      <c r="X4078">
        <v>15</v>
      </c>
      <c r="Y4078" t="s">
        <v>23816</v>
      </c>
      <c r="Z4078" t="s">
        <v>30408</v>
      </c>
      <c r="AA4078">
        <v>0.3903959150799074</v>
      </c>
      <c r="AB4078" t="str">
        <f>HYPERLINK("Melting_Curves/meltCurve_Q6NUQ4_2_TMEM214.pdf", "Melting_Curves/meltCurve_Q6NUQ4_2_TMEM214.pdf")</f>
        <v>Melting_Curves/meltCurve_Q6NUQ4_2_TMEM214.pdf</v>
      </c>
    </row>
    <row r="4079" spans="1:28" x14ac:dyDescent="0.25">
      <c r="A4079" t="s">
        <v>4083</v>
      </c>
      <c r="B4079">
        <v>0.99252571173614901</v>
      </c>
      <c r="C4079">
        <v>0.91201638561977105</v>
      </c>
      <c r="D4079">
        <v>0.92860738609786098</v>
      </c>
      <c r="E4079">
        <v>0.80300512216523501</v>
      </c>
      <c r="F4079">
        <v>0.60696510799806203</v>
      </c>
      <c r="G4079">
        <v>0.489817361025352</v>
      </c>
      <c r="H4079">
        <v>0.38236069143086998</v>
      </c>
      <c r="I4079">
        <v>0.46473144373201603</v>
      </c>
      <c r="J4079">
        <v>0.25077540620188798</v>
      </c>
      <c r="K4079">
        <v>0.15513909795720801</v>
      </c>
      <c r="L4079">
        <v>454.16597561586599</v>
      </c>
      <c r="M4079">
        <v>7.9324833001700297</v>
      </c>
      <c r="N4079">
        <v>57.7171611336654</v>
      </c>
      <c r="O4079">
        <v>53.958359425340397</v>
      </c>
      <c r="P4079">
        <v>-3.5660941843417102E-2</v>
      </c>
      <c r="Q4079">
        <v>3.0839699025964899E-2</v>
      </c>
      <c r="R4079">
        <v>0.95916405720470199</v>
      </c>
      <c r="S4079" t="s">
        <v>10725</v>
      </c>
      <c r="T4079" t="s">
        <v>13290</v>
      </c>
      <c r="U4079" t="s">
        <v>13290</v>
      </c>
      <c r="V4079" t="s">
        <v>13290</v>
      </c>
      <c r="W4079" t="s">
        <v>17321</v>
      </c>
      <c r="X4079">
        <v>1</v>
      </c>
      <c r="Y4079" t="s">
        <v>23817</v>
      </c>
      <c r="Z4079" t="s">
        <v>30409</v>
      </c>
      <c r="AA4079">
        <v>0.59761666316160345</v>
      </c>
      <c r="AB4079" t="str">
        <f>HYPERLINK("Melting_Curves/meltCurve_Q6NUS6_TCTN3.pdf", "Melting_Curves/meltCurve_Q6NUS6_TCTN3.pdf")</f>
        <v>Melting_Curves/meltCurve_Q6NUS6_TCTN3.pdf</v>
      </c>
    </row>
    <row r="4080" spans="1:28" x14ac:dyDescent="0.25">
      <c r="A4080" t="s">
        <v>4084</v>
      </c>
      <c r="B4080">
        <v>0.99252571173614901</v>
      </c>
      <c r="C4080">
        <v>0.99520562035494198</v>
      </c>
      <c r="D4080">
        <v>0.85238438140019601</v>
      </c>
      <c r="E4080">
        <v>0.89887822050618804</v>
      </c>
      <c r="F4080">
        <v>0.59371621120954898</v>
      </c>
      <c r="G4080">
        <v>0.37377168565839602</v>
      </c>
      <c r="H4080">
        <v>0.32255720487603001</v>
      </c>
      <c r="I4080">
        <v>0.44877108678122202</v>
      </c>
      <c r="J4080">
        <v>0.66782618895032697</v>
      </c>
      <c r="K4080">
        <v>0.82777798327496399</v>
      </c>
      <c r="L4080">
        <v>2439.1888258679401</v>
      </c>
      <c r="M4080">
        <v>47.942417531370999</v>
      </c>
      <c r="O4080">
        <v>50.789183178613001</v>
      </c>
      <c r="P4080">
        <v>-0.11093573489579001</v>
      </c>
      <c r="Q4080">
        <v>0.52990858929755102</v>
      </c>
      <c r="R4080">
        <v>0.64593327949398804</v>
      </c>
      <c r="S4080" t="s">
        <v>10726</v>
      </c>
      <c r="T4080" t="s">
        <v>13290</v>
      </c>
      <c r="U4080" t="s">
        <v>13290</v>
      </c>
      <c r="V4080" t="s">
        <v>13290</v>
      </c>
      <c r="W4080" t="s">
        <v>17322</v>
      </c>
      <c r="X4080">
        <v>6</v>
      </c>
      <c r="Y4080" t="s">
        <v>23818</v>
      </c>
      <c r="Z4080" t="s">
        <v>30410</v>
      </c>
      <c r="AA4080">
        <v>0.70150341478632616</v>
      </c>
      <c r="AB4080" t="str">
        <f>HYPERLINK("Melting_Curves/meltCurve_Q6NV74_KIAA1211L.pdf", "Melting_Curves/meltCurve_Q6NV74_KIAA1211L.pdf")</f>
        <v>Melting_Curves/meltCurve_Q6NV74_KIAA1211L.pdf</v>
      </c>
    </row>
    <row r="4081" spans="1:28" x14ac:dyDescent="0.25">
      <c r="A4081" t="s">
        <v>4085</v>
      </c>
      <c r="B4081">
        <v>0.99252571173614901</v>
      </c>
      <c r="C4081">
        <v>1.0183545650635399</v>
      </c>
      <c r="D4081">
        <v>0.91606555448091898</v>
      </c>
      <c r="E4081">
        <v>0.87667263743499302</v>
      </c>
      <c r="F4081">
        <v>0.91502638688355997</v>
      </c>
      <c r="G4081">
        <v>0.84017863536007897</v>
      </c>
      <c r="H4081">
        <v>0.84762945900639997</v>
      </c>
      <c r="I4081">
        <v>1.0521747949368501</v>
      </c>
      <c r="J4081">
        <v>1.281629389566</v>
      </c>
      <c r="K4081">
        <v>0.90363026333334295</v>
      </c>
      <c r="L4081">
        <v>11084.500739841</v>
      </c>
      <c r="M4081">
        <v>250</v>
      </c>
      <c r="O4081">
        <v>44.335165876255502</v>
      </c>
      <c r="P4081">
        <v>-6.4668890313280006E-2</v>
      </c>
      <c r="Q4081">
        <v>0.95412630465242798</v>
      </c>
      <c r="R4081">
        <v>2.6407068228062699E-2</v>
      </c>
      <c r="S4081" t="s">
        <v>10727</v>
      </c>
      <c r="T4081" t="s">
        <v>13290</v>
      </c>
      <c r="U4081" t="s">
        <v>13290</v>
      </c>
      <c r="V4081" t="s">
        <v>13290</v>
      </c>
      <c r="W4081" t="s">
        <v>17323</v>
      </c>
      <c r="X4081">
        <v>1</v>
      </c>
      <c r="Y4081" t="s">
        <v>23819</v>
      </c>
      <c r="Z4081" t="s">
        <v>30411</v>
      </c>
      <c r="AA4081">
        <v>0.96076321507207441</v>
      </c>
      <c r="AB4081" t="str">
        <f>HYPERLINK("Melting_Curves/meltCurve_Q6NVH7_SWSAP1.pdf", "Melting_Curves/meltCurve_Q6NVH7_SWSAP1.pdf")</f>
        <v>Melting_Curves/meltCurve_Q6NVH7_SWSAP1.pdf</v>
      </c>
    </row>
    <row r="4082" spans="1:28" x14ac:dyDescent="0.25">
      <c r="A4082" t="s">
        <v>4086</v>
      </c>
      <c r="B4082">
        <v>0.99252571173614901</v>
      </c>
      <c r="C4082">
        <v>1.0386549413258199</v>
      </c>
      <c r="D4082">
        <v>0.93571717212504002</v>
      </c>
      <c r="E4082">
        <v>0.68613022875998597</v>
      </c>
      <c r="F4082">
        <v>0.15328760387670501</v>
      </c>
      <c r="G4082">
        <v>7.9623843549651102E-2</v>
      </c>
      <c r="H4082">
        <v>5.5738336488586698E-2</v>
      </c>
      <c r="I4082">
        <v>5.6514140357878197E-2</v>
      </c>
      <c r="J4082">
        <v>6.1444386781365802E-2</v>
      </c>
      <c r="K4082">
        <v>5.6967039956222203E-2</v>
      </c>
      <c r="L4082">
        <v>1978.98130194585</v>
      </c>
      <c r="M4082">
        <v>39.246993698997002</v>
      </c>
      <c r="N4082">
        <v>50.581969963430502</v>
      </c>
      <c r="O4082">
        <v>50.293379906954897</v>
      </c>
      <c r="P4082">
        <v>-0.18382430592139501</v>
      </c>
      <c r="Q4082">
        <v>5.7749319283184497E-2</v>
      </c>
      <c r="R4082">
        <v>0.99781146737516602</v>
      </c>
      <c r="S4082" t="s">
        <v>10728</v>
      </c>
      <c r="T4082" t="s">
        <v>13290</v>
      </c>
      <c r="U4082" t="s">
        <v>13290</v>
      </c>
      <c r="V4082" t="s">
        <v>13290</v>
      </c>
      <c r="W4082" t="s">
        <v>17324</v>
      </c>
      <c r="X4082">
        <v>19</v>
      </c>
      <c r="Y4082" t="s">
        <v>23820</v>
      </c>
      <c r="Z4082" t="s">
        <v>30412</v>
      </c>
      <c r="AA4082">
        <v>0.38855572767420088</v>
      </c>
      <c r="AB4082" t="str">
        <f>HYPERLINK("Melting_Curves/meltCurve_Q6NVY1_HIBCH.pdf", "Melting_Curves/meltCurve_Q6NVY1_HIBCH.pdf")</f>
        <v>Melting_Curves/meltCurve_Q6NVY1_HIBCH.pdf</v>
      </c>
    </row>
    <row r="4083" spans="1:28" x14ac:dyDescent="0.25">
      <c r="A4083" t="s">
        <v>4087</v>
      </c>
      <c r="B4083">
        <v>0.99252571173614901</v>
      </c>
      <c r="C4083">
        <v>1.023471714529</v>
      </c>
      <c r="D4083">
        <v>0.96146732095137699</v>
      </c>
      <c r="E4083">
        <v>0.95641890693736797</v>
      </c>
      <c r="F4083">
        <v>0.945813199956971</v>
      </c>
      <c r="G4083">
        <v>1.2918667870104501</v>
      </c>
      <c r="H4083">
        <v>2.9136454748343801</v>
      </c>
      <c r="I4083">
        <v>5.9443642780696697</v>
      </c>
      <c r="J4083">
        <v>8.3795424575442805</v>
      </c>
      <c r="K4083">
        <v>6.60307429288014</v>
      </c>
      <c r="L4083">
        <v>14180.794705349699</v>
      </c>
      <c r="M4083">
        <v>250</v>
      </c>
      <c r="O4083">
        <v>56.719548944895998</v>
      </c>
      <c r="P4083">
        <v>0.55095642745513496</v>
      </c>
      <c r="Q4083">
        <v>1.5</v>
      </c>
      <c r="R4083">
        <v>-0.28542923000432902</v>
      </c>
      <c r="S4083" t="s">
        <v>10729</v>
      </c>
      <c r="T4083" t="s">
        <v>13290</v>
      </c>
      <c r="U4083" t="s">
        <v>13290</v>
      </c>
      <c r="V4083" t="s">
        <v>13290</v>
      </c>
      <c r="W4083" t="s">
        <v>17325</v>
      </c>
      <c r="X4083">
        <v>9</v>
      </c>
      <c r="Y4083" t="s">
        <v>23821</v>
      </c>
      <c r="Z4083" t="s">
        <v>30413</v>
      </c>
      <c r="AA4083">
        <v>1.221230578828675</v>
      </c>
      <c r="AB4083" t="str">
        <f>HYPERLINK("Melting_Curves/meltCurve_Q6NXS1_PPP1R2P3.pdf", "Melting_Curves/meltCurve_Q6NXS1_PPP1R2P3.pdf")</f>
        <v>Melting_Curves/meltCurve_Q6NXS1_PPP1R2P3.pdf</v>
      </c>
    </row>
    <row r="4084" spans="1:28" x14ac:dyDescent="0.25">
      <c r="A4084" t="s">
        <v>4088</v>
      </c>
      <c r="B4084">
        <v>0.99252571173614901</v>
      </c>
      <c r="C4084">
        <v>1.1670527682274301</v>
      </c>
      <c r="D4084">
        <v>0.95142431439613595</v>
      </c>
      <c r="E4084">
        <v>0.764517190880037</v>
      </c>
      <c r="F4084">
        <v>0.33395002354169601</v>
      </c>
      <c r="G4084">
        <v>0.185689299650313</v>
      </c>
      <c r="H4084">
        <v>0.11336748237138899</v>
      </c>
      <c r="I4084">
        <v>0.11441797164996</v>
      </c>
      <c r="J4084">
        <v>0.15827544010532399</v>
      </c>
      <c r="K4084">
        <v>0.160199291500527</v>
      </c>
      <c r="L4084">
        <v>1606.13400056047</v>
      </c>
      <c r="M4084">
        <v>31.405927505820198</v>
      </c>
      <c r="N4084">
        <v>51.6695066745107</v>
      </c>
      <c r="O4084">
        <v>50.935103325753801</v>
      </c>
      <c r="P4084">
        <v>-0.13297508537803701</v>
      </c>
      <c r="Q4084">
        <v>0.13735230034675999</v>
      </c>
      <c r="R4084">
        <v>0.980356420846063</v>
      </c>
      <c r="S4084" t="s">
        <v>10730</v>
      </c>
      <c r="T4084" t="s">
        <v>13290</v>
      </c>
      <c r="U4084" t="s">
        <v>13290</v>
      </c>
      <c r="V4084" t="s">
        <v>13290</v>
      </c>
      <c r="W4084" t="s">
        <v>17326</v>
      </c>
      <c r="X4084">
        <v>6</v>
      </c>
      <c r="Y4084" t="s">
        <v>23822</v>
      </c>
      <c r="Z4084" t="s">
        <v>30414</v>
      </c>
      <c r="AA4084">
        <v>0.46267398957484762</v>
      </c>
      <c r="AB4084" t="str">
        <f>HYPERLINK("Melting_Curves/meltCurve_Q6NXT1_ANKRD54.pdf", "Melting_Curves/meltCurve_Q6NXT1_ANKRD54.pdf")</f>
        <v>Melting_Curves/meltCurve_Q6NXT1_ANKRD54.pdf</v>
      </c>
    </row>
    <row r="4085" spans="1:28" x14ac:dyDescent="0.25">
      <c r="A4085" t="s">
        <v>4089</v>
      </c>
      <c r="B4085">
        <v>0.99252571173614901</v>
      </c>
      <c r="C4085">
        <v>0.89440425148234703</v>
      </c>
      <c r="D4085">
        <v>0.91883062273364802</v>
      </c>
      <c r="E4085">
        <v>0.92351155304900201</v>
      </c>
      <c r="F4085">
        <v>0.73724531204945598</v>
      </c>
      <c r="G4085">
        <v>0.65446468222614196</v>
      </c>
      <c r="H4085">
        <v>0.55639862062950096</v>
      </c>
      <c r="I4085">
        <v>0.72270340299305103</v>
      </c>
      <c r="J4085">
        <v>1.04907606634057</v>
      </c>
      <c r="K4085">
        <v>0.45096442512006901</v>
      </c>
      <c r="L4085">
        <v>1893.3046488044499</v>
      </c>
      <c r="M4085">
        <v>37.235677287069997</v>
      </c>
      <c r="O4085">
        <v>50.700542616065199</v>
      </c>
      <c r="P4085">
        <v>-5.7660637589788302E-2</v>
      </c>
      <c r="Q4085">
        <v>0.68595528323129495</v>
      </c>
      <c r="R4085">
        <v>0.35837991900470001</v>
      </c>
      <c r="S4085" t="s">
        <v>10731</v>
      </c>
      <c r="T4085" t="s">
        <v>13290</v>
      </c>
      <c r="U4085" t="s">
        <v>13290</v>
      </c>
      <c r="V4085" t="s">
        <v>13290</v>
      </c>
      <c r="W4085" t="s">
        <v>17327</v>
      </c>
      <c r="X4085">
        <v>10</v>
      </c>
      <c r="Y4085" t="s">
        <v>23823</v>
      </c>
      <c r="Z4085" t="s">
        <v>30415</v>
      </c>
      <c r="AA4085">
        <v>0.80077346459330989</v>
      </c>
      <c r="AB4085" t="str">
        <f>HYPERLINK("Melting_Curves/meltCurve_Q6NXT6_TAPT1.pdf", "Melting_Curves/meltCurve_Q6NXT6_TAPT1.pdf")</f>
        <v>Melting_Curves/meltCurve_Q6NXT6_TAPT1.pdf</v>
      </c>
    </row>
    <row r="4086" spans="1:28" x14ac:dyDescent="0.25">
      <c r="A4086" t="s">
        <v>4090</v>
      </c>
      <c r="B4086">
        <v>0.99252571173614901</v>
      </c>
      <c r="C4086">
        <v>0.90000278530456801</v>
      </c>
      <c r="D4086">
        <v>0.71961701969444802</v>
      </c>
      <c r="E4086">
        <v>0.29328190258371001</v>
      </c>
      <c r="F4086">
        <v>0.161472180099172</v>
      </c>
      <c r="G4086">
        <v>8.4905033457288698E-2</v>
      </c>
      <c r="H4086">
        <v>5.2506202692965999E-2</v>
      </c>
      <c r="I4086">
        <v>4.98949868982193E-2</v>
      </c>
      <c r="J4086">
        <v>5.5223165425002801E-2</v>
      </c>
      <c r="K4086">
        <v>4.9689375794205203E-2</v>
      </c>
      <c r="L4086">
        <v>1063.52947237991</v>
      </c>
      <c r="M4086">
        <v>22.370298588903001</v>
      </c>
      <c r="N4086">
        <v>47.783053602642099</v>
      </c>
      <c r="O4086">
        <v>47.167014556173498</v>
      </c>
      <c r="P4086">
        <v>-0.112246052000099</v>
      </c>
      <c r="Q4086">
        <v>5.3351929941151802E-2</v>
      </c>
      <c r="R4086">
        <v>0.99782702864282702</v>
      </c>
      <c r="S4086" t="s">
        <v>10732</v>
      </c>
      <c r="T4086" t="s">
        <v>13290</v>
      </c>
      <c r="U4086" t="s">
        <v>13290</v>
      </c>
      <c r="V4086" t="s">
        <v>13290</v>
      </c>
      <c r="W4086" t="s">
        <v>17328</v>
      </c>
      <c r="X4086">
        <v>10</v>
      </c>
      <c r="Y4086" t="s">
        <v>23824</v>
      </c>
      <c r="Z4086" t="s">
        <v>30416</v>
      </c>
      <c r="AA4086">
        <v>0.30201149454792919</v>
      </c>
      <c r="AB4086" t="str">
        <f>HYPERLINK("Melting_Curves/meltCurve_Q6NYC1_JMJD6.pdf", "Melting_Curves/meltCurve_Q6NYC1_JMJD6.pdf")</f>
        <v>Melting_Curves/meltCurve_Q6NYC1_JMJD6.pdf</v>
      </c>
    </row>
    <row r="4087" spans="1:28" x14ac:dyDescent="0.25">
      <c r="A4087" t="s">
        <v>4091</v>
      </c>
      <c r="B4087">
        <v>0.99252571173614901</v>
      </c>
      <c r="C4087">
        <v>0.94229461457032904</v>
      </c>
      <c r="D4087">
        <v>0.72064507071769901</v>
      </c>
      <c r="E4087">
        <v>0.51304097806243598</v>
      </c>
      <c r="F4087">
        <v>0.26769092103723802</v>
      </c>
      <c r="G4087">
        <v>0.15941644553357801</v>
      </c>
      <c r="H4087">
        <v>0.146275205930845</v>
      </c>
      <c r="I4087">
        <v>0.19262385286874201</v>
      </c>
      <c r="J4087">
        <v>0.30768503271626102</v>
      </c>
      <c r="K4087">
        <v>0.364458852692152</v>
      </c>
      <c r="L4087">
        <v>1061.43168313764</v>
      </c>
      <c r="M4087">
        <v>22.304207584669001</v>
      </c>
      <c r="N4087">
        <v>48.939550679454001</v>
      </c>
      <c r="O4087">
        <v>47.211269314177898</v>
      </c>
      <c r="P4087">
        <v>-9.0964920937699104E-2</v>
      </c>
      <c r="Q4087">
        <v>0.22983535842574401</v>
      </c>
      <c r="R4087">
        <v>0.94812543078862299</v>
      </c>
      <c r="S4087" t="s">
        <v>10733</v>
      </c>
      <c r="T4087" t="s">
        <v>13290</v>
      </c>
      <c r="U4087" t="s">
        <v>13290</v>
      </c>
      <c r="V4087" t="s">
        <v>13290</v>
      </c>
      <c r="W4087" t="s">
        <v>17329</v>
      </c>
      <c r="X4087">
        <v>3</v>
      </c>
      <c r="Y4087" t="s">
        <v>23825</v>
      </c>
      <c r="Z4087" t="s">
        <v>30417</v>
      </c>
      <c r="AA4087">
        <v>0.4333878506101293</v>
      </c>
      <c r="AB4087" t="str">
        <f>HYPERLINK("Melting_Curves/meltCurve_Q6NYC8_PPP1R18.pdf", "Melting_Curves/meltCurve_Q6NYC8_PPP1R18.pdf")</f>
        <v>Melting_Curves/meltCurve_Q6NYC8_PPP1R18.pdf</v>
      </c>
    </row>
    <row r="4088" spans="1:28" x14ac:dyDescent="0.25">
      <c r="A4088" t="s">
        <v>4092</v>
      </c>
      <c r="B4088">
        <v>0.99252571173614901</v>
      </c>
      <c r="C4088">
        <v>1.06645604413665</v>
      </c>
      <c r="D4088">
        <v>0.95122827593196402</v>
      </c>
      <c r="E4088">
        <v>0.80940643940382695</v>
      </c>
      <c r="F4088">
        <v>0.60851797423899101</v>
      </c>
      <c r="G4088">
        <v>0.486034007663254</v>
      </c>
      <c r="H4088">
        <v>0.54696255230135804</v>
      </c>
      <c r="I4088">
        <v>0.64959082203334095</v>
      </c>
      <c r="J4088">
        <v>0.97537237904963403</v>
      </c>
      <c r="K4088">
        <v>1.06309276002854</v>
      </c>
      <c r="L4088">
        <v>2327.63724977833</v>
      </c>
      <c r="M4088">
        <v>48.0748298174491</v>
      </c>
      <c r="O4088">
        <v>48.333408047203399</v>
      </c>
      <c r="P4088">
        <v>-6.8789116372954401E-2</v>
      </c>
      <c r="Q4088">
        <v>0.72336383631267998</v>
      </c>
      <c r="R4088">
        <v>0.35277194015454399</v>
      </c>
      <c r="S4088" t="s">
        <v>10734</v>
      </c>
      <c r="T4088" t="s">
        <v>13290</v>
      </c>
      <c r="U4088" t="s">
        <v>13290</v>
      </c>
      <c r="V4088" t="s">
        <v>13290</v>
      </c>
      <c r="W4088" t="s">
        <v>17330</v>
      </c>
      <c r="X4088">
        <v>1</v>
      </c>
      <c r="Y4088" t="s">
        <v>23826</v>
      </c>
      <c r="Z4088" t="s">
        <v>30418</v>
      </c>
      <c r="AA4088">
        <v>0.80161799106132747</v>
      </c>
      <c r="AB4088" t="str">
        <f>HYPERLINK("Melting_Curves/meltCurve_Q6NZI2_PTRF.pdf", "Melting_Curves/meltCurve_Q6NZI2_PTRF.pdf")</f>
        <v>Melting_Curves/meltCurve_Q6NZI2_PTRF.pdf</v>
      </c>
    </row>
    <row r="4089" spans="1:28" x14ac:dyDescent="0.25">
      <c r="A4089" t="s">
        <v>4093</v>
      </c>
      <c r="B4089">
        <v>0.99252571173614901</v>
      </c>
      <c r="C4089">
        <v>0.97575918412720497</v>
      </c>
      <c r="D4089">
        <v>1.40485333749764</v>
      </c>
      <c r="E4089">
        <v>1.9452158298517299</v>
      </c>
      <c r="F4089">
        <v>0.71082389135862101</v>
      </c>
      <c r="G4089">
        <v>0.35950708938030801</v>
      </c>
      <c r="H4089">
        <v>0.291609885389296</v>
      </c>
      <c r="I4089">
        <v>0.31229100171645702</v>
      </c>
      <c r="J4089">
        <v>0.39723526642991303</v>
      </c>
      <c r="K4089">
        <v>0.49900771486728202</v>
      </c>
      <c r="L4089">
        <v>13308.4402291974</v>
      </c>
      <c r="M4089">
        <v>250</v>
      </c>
      <c r="N4089">
        <v>53.525359338159802</v>
      </c>
      <c r="O4089">
        <v>53.230354321929397</v>
      </c>
      <c r="P4089">
        <v>-0.73744323097630304</v>
      </c>
      <c r="Q4089">
        <v>0.37193016925175099</v>
      </c>
      <c r="R4089">
        <v>0.59745853194538701</v>
      </c>
      <c r="S4089" t="s">
        <v>10735</v>
      </c>
      <c r="T4089" t="s">
        <v>13290</v>
      </c>
      <c r="U4089" t="s">
        <v>13290</v>
      </c>
      <c r="V4089" t="s">
        <v>13290</v>
      </c>
      <c r="W4089" t="s">
        <v>17331</v>
      </c>
      <c r="X4089">
        <v>10</v>
      </c>
      <c r="Y4089" t="s">
        <v>23827</v>
      </c>
      <c r="Z4089" t="s">
        <v>30419</v>
      </c>
      <c r="AA4089">
        <v>0.64904637895163508</v>
      </c>
      <c r="AB4089" t="str">
        <f>HYPERLINK("Melting_Curves/meltCurve_Q6NZY4_ZCCHC8.pdf", "Melting_Curves/meltCurve_Q6NZY4_ZCCHC8.pdf")</f>
        <v>Melting_Curves/meltCurve_Q6NZY4_ZCCHC8.pdf</v>
      </c>
    </row>
    <row r="4090" spans="1:28" x14ac:dyDescent="0.25">
      <c r="A4090" t="s">
        <v>4094</v>
      </c>
      <c r="B4090">
        <v>0.99252571173614901</v>
      </c>
      <c r="C4090">
        <v>1.00435357259461</v>
      </c>
      <c r="D4090">
        <v>0.86612618946678799</v>
      </c>
      <c r="E4090">
        <v>0.55040193357934197</v>
      </c>
      <c r="F4090">
        <v>0.22180717689088</v>
      </c>
      <c r="G4090">
        <v>6.4473200182346799E-2</v>
      </c>
      <c r="H4090">
        <v>4.8934458007407103E-2</v>
      </c>
      <c r="I4090">
        <v>3.3628535632599203E-2</v>
      </c>
      <c r="J4090">
        <v>3.8814306487216302E-2</v>
      </c>
      <c r="K4090">
        <v>3.3046922200662902E-2</v>
      </c>
      <c r="L4090">
        <v>1158.6581072889101</v>
      </c>
      <c r="M4090">
        <v>23.226038982981301</v>
      </c>
      <c r="N4090">
        <v>50.017292705002902</v>
      </c>
      <c r="O4090">
        <v>49.520771915361401</v>
      </c>
      <c r="P4090">
        <v>-0.113792861433177</v>
      </c>
      <c r="Q4090">
        <v>2.95359715163633E-2</v>
      </c>
      <c r="R4090">
        <v>0.99913081845956797</v>
      </c>
      <c r="S4090" t="s">
        <v>10736</v>
      </c>
      <c r="T4090" t="s">
        <v>13290</v>
      </c>
      <c r="U4090" t="s">
        <v>13290</v>
      </c>
      <c r="V4090" t="s">
        <v>13290</v>
      </c>
      <c r="W4090" t="s">
        <v>17332</v>
      </c>
      <c r="X4090">
        <v>6</v>
      </c>
      <c r="Y4090" t="s">
        <v>23828</v>
      </c>
      <c r="Z4090" t="s">
        <v>30420</v>
      </c>
      <c r="AA4090">
        <v>0.35938737614667837</v>
      </c>
      <c r="AB4090" t="str">
        <f>HYPERLINK("Melting_Curves/meltCurve_Q6P087_2_RPUSD3.pdf", "Melting_Curves/meltCurve_Q6P087_2_RPUSD3.pdf")</f>
        <v>Melting_Curves/meltCurve_Q6P087_2_RPUSD3.pdf</v>
      </c>
    </row>
    <row r="4091" spans="1:28" x14ac:dyDescent="0.25">
      <c r="A4091" t="s">
        <v>4095</v>
      </c>
      <c r="B4091">
        <v>0.99252571173614901</v>
      </c>
      <c r="C4091">
        <v>1.0853591086090999</v>
      </c>
      <c r="D4091">
        <v>1.0968215859261801</v>
      </c>
      <c r="E4091">
        <v>0.91986445035298003</v>
      </c>
      <c r="F4091">
        <v>1.0618142326793201</v>
      </c>
      <c r="G4091">
        <v>0.73799660925773203</v>
      </c>
      <c r="H4091">
        <v>0.68112729749905399</v>
      </c>
      <c r="I4091">
        <v>0.74651052107896199</v>
      </c>
      <c r="J4091">
        <v>1.2496252117814399</v>
      </c>
      <c r="K4091">
        <v>1.4756021572160001</v>
      </c>
      <c r="L4091">
        <v>15000</v>
      </c>
      <c r="M4091">
        <v>223.64607655655001</v>
      </c>
      <c r="O4091">
        <v>67.0648899881934</v>
      </c>
      <c r="P4091">
        <v>0.39654532922278202</v>
      </c>
      <c r="Q4091">
        <v>1.4756492242559101</v>
      </c>
      <c r="R4091">
        <v>0.52431185546201398</v>
      </c>
      <c r="S4091" t="s">
        <v>10737</v>
      </c>
      <c r="T4091" t="s">
        <v>13290</v>
      </c>
      <c r="U4091" t="s">
        <v>13290</v>
      </c>
      <c r="V4091" t="s">
        <v>13290</v>
      </c>
      <c r="W4091" t="s">
        <v>17333</v>
      </c>
      <c r="X4091">
        <v>1</v>
      </c>
      <c r="Y4091" t="s">
        <v>23829</v>
      </c>
      <c r="Z4091" t="s">
        <v>30421</v>
      </c>
      <c r="AA4091">
        <v>1.0463814740611961</v>
      </c>
      <c r="AB4091" t="str">
        <f>HYPERLINK("Melting_Curves/meltCurve_Q6P161_MRPL54.pdf", "Melting_Curves/meltCurve_Q6P161_MRPL54.pdf")</f>
        <v>Melting_Curves/meltCurve_Q6P161_MRPL54.pdf</v>
      </c>
    </row>
    <row r="4092" spans="1:28" x14ac:dyDescent="0.25">
      <c r="A4092" t="s">
        <v>4096</v>
      </c>
      <c r="B4092">
        <v>0.99252571173614901</v>
      </c>
      <c r="C4092">
        <v>1.0277240464020401</v>
      </c>
      <c r="D4092">
        <v>0.97263532129211006</v>
      </c>
      <c r="E4092">
        <v>0.86415067395567102</v>
      </c>
      <c r="F4092">
        <v>0.65191761420477401</v>
      </c>
      <c r="G4092">
        <v>0.244984450761323</v>
      </c>
      <c r="H4092">
        <v>9.0972515670330295E-2</v>
      </c>
      <c r="I4092">
        <v>8.7288997221748293E-2</v>
      </c>
      <c r="J4092">
        <v>9.1801502158814996E-2</v>
      </c>
      <c r="K4092">
        <v>8.2812597089954199E-2</v>
      </c>
      <c r="L4092">
        <v>1409.8494795556701</v>
      </c>
      <c r="M4092">
        <v>26.147494254730599</v>
      </c>
      <c r="N4092">
        <v>54.231427532442098</v>
      </c>
      <c r="O4092">
        <v>53.606678001107099</v>
      </c>
      <c r="P4092">
        <v>-0.113419209868086</v>
      </c>
      <c r="Q4092">
        <v>6.9897908921923907E-2</v>
      </c>
      <c r="R4092">
        <v>0.99617182764287304</v>
      </c>
      <c r="S4092" t="s">
        <v>10738</v>
      </c>
      <c r="T4092" t="s">
        <v>13290</v>
      </c>
      <c r="U4092" t="s">
        <v>13290</v>
      </c>
      <c r="V4092" t="s">
        <v>13290</v>
      </c>
      <c r="W4092" t="s">
        <v>17334</v>
      </c>
      <c r="X4092">
        <v>3</v>
      </c>
      <c r="Y4092" t="s">
        <v>23830</v>
      </c>
      <c r="Z4092" t="s">
        <v>30422</v>
      </c>
      <c r="AA4092">
        <v>0.50935964981796089</v>
      </c>
      <c r="AB4092" t="str">
        <f>HYPERLINK("Melting_Curves/meltCurve_Q6P179_3_ERAP2.pdf", "Melting_Curves/meltCurve_Q6P179_3_ERAP2.pdf")</f>
        <v>Melting_Curves/meltCurve_Q6P179_3_ERAP2.pdf</v>
      </c>
    </row>
    <row r="4093" spans="1:28" x14ac:dyDescent="0.25">
      <c r="A4093" t="s">
        <v>4097</v>
      </c>
      <c r="B4093">
        <v>0.99252571173614901</v>
      </c>
      <c r="C4093">
        <v>0.84514587914980299</v>
      </c>
      <c r="D4093">
        <v>0.73819804793426402</v>
      </c>
      <c r="E4093">
        <v>0.240979311204508</v>
      </c>
      <c r="F4093">
        <v>0.14008126984479799</v>
      </c>
      <c r="G4093">
        <v>7.4188209967640306E-2</v>
      </c>
      <c r="H4093">
        <v>5.8264186414999503E-2</v>
      </c>
      <c r="I4093">
        <v>6.1125814065781901E-2</v>
      </c>
      <c r="J4093">
        <v>7.7497269415567199E-2</v>
      </c>
      <c r="K4093">
        <v>7.8802183574160495E-2</v>
      </c>
      <c r="L4093">
        <v>1178.72823566289</v>
      </c>
      <c r="M4093">
        <v>24.9588537586604</v>
      </c>
      <c r="N4093">
        <v>47.496306037487102</v>
      </c>
      <c r="O4093">
        <v>46.926828112587501</v>
      </c>
      <c r="P4093">
        <v>-0.124191104506287</v>
      </c>
      <c r="Q4093">
        <v>6.6012553737316196E-2</v>
      </c>
      <c r="R4093">
        <v>0.98963840474464304</v>
      </c>
      <c r="S4093" t="s">
        <v>10739</v>
      </c>
      <c r="T4093" t="s">
        <v>13290</v>
      </c>
      <c r="U4093" t="s">
        <v>13290</v>
      </c>
      <c r="V4093" t="s">
        <v>13290</v>
      </c>
      <c r="W4093" t="s">
        <v>17335</v>
      </c>
      <c r="X4093">
        <v>17</v>
      </c>
      <c r="Y4093" t="s">
        <v>23831</v>
      </c>
      <c r="Z4093" t="s">
        <v>30423</v>
      </c>
      <c r="AA4093">
        <v>0.29934216275507081</v>
      </c>
      <c r="AB4093" t="str">
        <f>HYPERLINK("Melting_Curves/meltCurve_Q6P1J9_CDC73.pdf", "Melting_Curves/meltCurve_Q6P1J9_CDC73.pdf")</f>
        <v>Melting_Curves/meltCurve_Q6P1J9_CDC73.pdf</v>
      </c>
    </row>
    <row r="4094" spans="1:28" x14ac:dyDescent="0.25">
      <c r="A4094" t="s">
        <v>4098</v>
      </c>
      <c r="B4094">
        <v>0.99252571173614901</v>
      </c>
      <c r="C4094">
        <v>1.1576058488294101</v>
      </c>
      <c r="D4094">
        <v>1.04978663725911</v>
      </c>
      <c r="E4094">
        <v>1.03387039189148</v>
      </c>
      <c r="F4094">
        <v>0.73119185892741301</v>
      </c>
      <c r="G4094">
        <v>0.45851758166151801</v>
      </c>
      <c r="H4094">
        <v>0.28807252505659797</v>
      </c>
      <c r="I4094">
        <v>0.30145350985694302</v>
      </c>
      <c r="J4094">
        <v>0.208790040817286</v>
      </c>
      <c r="K4094">
        <v>0.16282892187697001</v>
      </c>
      <c r="L4094">
        <v>1440.32206391711</v>
      </c>
      <c r="M4094">
        <v>26.205009395454699</v>
      </c>
      <c r="N4094">
        <v>56.187824729570401</v>
      </c>
      <c r="O4094">
        <v>54.646529950957898</v>
      </c>
      <c r="P4094">
        <v>-9.38093729002899E-2</v>
      </c>
      <c r="Q4094">
        <v>0.21750846433760601</v>
      </c>
      <c r="R4094">
        <v>0.96920856726300098</v>
      </c>
      <c r="S4094" t="s">
        <v>10740</v>
      </c>
      <c r="T4094" t="s">
        <v>13290</v>
      </c>
      <c r="U4094" t="s">
        <v>13290</v>
      </c>
      <c r="V4094" t="s">
        <v>13290</v>
      </c>
      <c r="W4094" t="s">
        <v>17336</v>
      </c>
      <c r="X4094">
        <v>2</v>
      </c>
      <c r="Y4094" t="s">
        <v>23832</v>
      </c>
      <c r="Z4094" t="s">
        <v>30424</v>
      </c>
      <c r="AA4094">
        <v>0.61446518415289264</v>
      </c>
      <c r="AB4094" t="str">
        <f>HYPERLINK("Melting_Curves/meltCurve_Q6P1K2_4_PMF1.pdf", "Melting_Curves/meltCurve_Q6P1K2_4_PMF1.pdf")</f>
        <v>Melting_Curves/meltCurve_Q6P1K2_4_PMF1.pdf</v>
      </c>
    </row>
    <row r="4095" spans="1:28" x14ac:dyDescent="0.25">
      <c r="A4095" t="s">
        <v>4099</v>
      </c>
      <c r="B4095">
        <v>0.99252571173614901</v>
      </c>
      <c r="C4095">
        <v>1.00009155953379</v>
      </c>
      <c r="D4095">
        <v>0.78375487896240004</v>
      </c>
      <c r="E4095">
        <v>0.62091497183919597</v>
      </c>
      <c r="F4095">
        <v>0.31073830129818197</v>
      </c>
      <c r="G4095">
        <v>0.218318329603505</v>
      </c>
      <c r="H4095">
        <v>0.17922593147775401</v>
      </c>
      <c r="I4095">
        <v>0.23536898809999199</v>
      </c>
      <c r="J4095">
        <v>0.37274008065658598</v>
      </c>
      <c r="K4095">
        <v>0.48114562585978499</v>
      </c>
      <c r="L4095">
        <v>1200.20096599198</v>
      </c>
      <c r="M4095">
        <v>24.777725324697499</v>
      </c>
      <c r="N4095">
        <v>50.206072135390599</v>
      </c>
      <c r="O4095">
        <v>48.1264990821035</v>
      </c>
      <c r="P4095">
        <v>-9.1258852320886194E-2</v>
      </c>
      <c r="Q4095">
        <v>0.29099098487673503</v>
      </c>
      <c r="R4095">
        <v>0.90888716293420901</v>
      </c>
      <c r="S4095" t="s">
        <v>10741</v>
      </c>
      <c r="T4095" t="s">
        <v>13290</v>
      </c>
      <c r="U4095" t="s">
        <v>13290</v>
      </c>
      <c r="V4095" t="s">
        <v>13290</v>
      </c>
      <c r="W4095" t="s">
        <v>17337</v>
      </c>
      <c r="X4095">
        <v>6</v>
      </c>
      <c r="Y4095" t="s">
        <v>23833</v>
      </c>
      <c r="Z4095" t="s">
        <v>30425</v>
      </c>
      <c r="AA4095">
        <v>0.49681355593555743</v>
      </c>
      <c r="AB4095" t="str">
        <f>HYPERLINK("Melting_Curves/meltCurve_Q6P1L5_FAM117B.pdf", "Melting_Curves/meltCurve_Q6P1L5_FAM117B.pdf")</f>
        <v>Melting_Curves/meltCurve_Q6P1L5_FAM117B.pdf</v>
      </c>
    </row>
    <row r="4096" spans="1:28" x14ac:dyDescent="0.25">
      <c r="A4096" t="s">
        <v>4100</v>
      </c>
      <c r="B4096">
        <v>0.99252571173614901</v>
      </c>
      <c r="C4096">
        <v>1.04807826078424</v>
      </c>
      <c r="D4096">
        <v>0.84465999934705605</v>
      </c>
      <c r="E4096">
        <v>0.54260004385907201</v>
      </c>
      <c r="F4096">
        <v>0.296627237576577</v>
      </c>
      <c r="G4096">
        <v>0.152484880516739</v>
      </c>
      <c r="H4096">
        <v>0.104009312590153</v>
      </c>
      <c r="I4096">
        <v>9.5124464048021204E-2</v>
      </c>
      <c r="J4096">
        <v>6.6028460915580095E-2</v>
      </c>
      <c r="K4096">
        <v>6.6626898356196104E-2</v>
      </c>
      <c r="L4096">
        <v>1014.94992430934</v>
      </c>
      <c r="M4096">
        <v>20.357242280776699</v>
      </c>
      <c r="N4096">
        <v>50.262769286265403</v>
      </c>
      <c r="O4096">
        <v>49.3832991153213</v>
      </c>
      <c r="P4096">
        <v>-9.5250098983748602E-2</v>
      </c>
      <c r="Q4096">
        <v>7.5783747136681207E-2</v>
      </c>
      <c r="R4096">
        <v>0.99452073111712802</v>
      </c>
      <c r="S4096" t="s">
        <v>10742</v>
      </c>
      <c r="T4096" t="s">
        <v>13290</v>
      </c>
      <c r="U4096" t="s">
        <v>13290</v>
      </c>
      <c r="V4096" t="s">
        <v>13290</v>
      </c>
      <c r="W4096" t="s">
        <v>17338</v>
      </c>
      <c r="X4096">
        <v>3</v>
      </c>
      <c r="Y4096" t="s">
        <v>23834</v>
      </c>
      <c r="Z4096" t="s">
        <v>30426</v>
      </c>
      <c r="AA4096">
        <v>0.39188225918616509</v>
      </c>
      <c r="AB4096" t="str">
        <f>HYPERLINK("Melting_Curves/meltCurve_Q6P1L8_MRPL14.pdf", "Melting_Curves/meltCurve_Q6P1L8_MRPL14.pdf")</f>
        <v>Melting_Curves/meltCurve_Q6P1L8_MRPL14.pdf</v>
      </c>
    </row>
    <row r="4097" spans="1:28" x14ac:dyDescent="0.25">
      <c r="A4097" t="s">
        <v>4101</v>
      </c>
      <c r="B4097">
        <v>0.99252571173614901</v>
      </c>
      <c r="C4097">
        <v>0.88134097969668301</v>
      </c>
      <c r="D4097">
        <v>0.80093523390600296</v>
      </c>
      <c r="E4097">
        <v>0.62203961466541002</v>
      </c>
      <c r="F4097">
        <v>0.21205409339042799</v>
      </c>
      <c r="G4097">
        <v>0.16313389930045599</v>
      </c>
      <c r="H4097">
        <v>0.14005945113469601</v>
      </c>
      <c r="I4097">
        <v>0.13244358737126599</v>
      </c>
      <c r="J4097">
        <v>0.103524467381697</v>
      </c>
      <c r="K4097">
        <v>9.7420497791899194E-2</v>
      </c>
      <c r="L4097">
        <v>920.94960143653498</v>
      </c>
      <c r="M4097">
        <v>18.601096323568999</v>
      </c>
      <c r="N4097">
        <v>50.084599395371903</v>
      </c>
      <c r="O4097">
        <v>48.948916403558798</v>
      </c>
      <c r="P4097">
        <v>-8.5885200912340601E-2</v>
      </c>
      <c r="Q4097">
        <v>9.6009138894786294E-2</v>
      </c>
      <c r="R4097">
        <v>0.98397063829454001</v>
      </c>
      <c r="S4097" t="s">
        <v>10743</v>
      </c>
      <c r="T4097" t="s">
        <v>13290</v>
      </c>
      <c r="U4097" t="s">
        <v>13290</v>
      </c>
      <c r="V4097" t="s">
        <v>13290</v>
      </c>
      <c r="W4097" t="s">
        <v>17339</v>
      </c>
      <c r="X4097">
        <v>14</v>
      </c>
      <c r="Y4097" t="s">
        <v>23835</v>
      </c>
      <c r="Z4097" t="s">
        <v>30427</v>
      </c>
      <c r="AA4097">
        <v>0.39714746953236552</v>
      </c>
      <c r="AB4097" t="str">
        <f>HYPERLINK("Melting_Curves/meltCurve_Q6P1M0_SLC27A4.pdf", "Melting_Curves/meltCurve_Q6P1M0_SLC27A4.pdf")</f>
        <v>Melting_Curves/meltCurve_Q6P1M0_SLC27A4.pdf</v>
      </c>
    </row>
    <row r="4098" spans="1:28" x14ac:dyDescent="0.25">
      <c r="A4098" t="s">
        <v>4102</v>
      </c>
      <c r="B4098">
        <v>0.99252571173614901</v>
      </c>
      <c r="C4098">
        <v>1.02374590101982</v>
      </c>
      <c r="D4098">
        <v>0.91935934687973497</v>
      </c>
      <c r="E4098">
        <v>0.68651689364950197</v>
      </c>
      <c r="F4098">
        <v>0.21974611075561701</v>
      </c>
      <c r="G4098">
        <v>0.13995014280140999</v>
      </c>
      <c r="H4098">
        <v>0.118030355021381</v>
      </c>
      <c r="I4098">
        <v>0.124713732508867</v>
      </c>
      <c r="J4098">
        <v>0.16662924807464399</v>
      </c>
      <c r="K4098">
        <v>0.14864574875877401</v>
      </c>
      <c r="L4098">
        <v>1858.2321105441299</v>
      </c>
      <c r="M4098">
        <v>36.967298684644703</v>
      </c>
      <c r="N4098">
        <v>50.698157988580597</v>
      </c>
      <c r="O4098">
        <v>50.120498685696603</v>
      </c>
      <c r="P4098">
        <v>-0.15951758718855899</v>
      </c>
      <c r="Q4098">
        <v>0.134902624212241</v>
      </c>
      <c r="R4098">
        <v>0.99606716486753799</v>
      </c>
      <c r="S4098" t="s">
        <v>10744</v>
      </c>
      <c r="T4098" t="s">
        <v>13290</v>
      </c>
      <c r="U4098" t="s">
        <v>13290</v>
      </c>
      <c r="V4098" t="s">
        <v>13290</v>
      </c>
      <c r="W4098" t="s">
        <v>17340</v>
      </c>
      <c r="X4098">
        <v>17</v>
      </c>
      <c r="Y4098" t="s">
        <v>23836</v>
      </c>
      <c r="Z4098" t="s">
        <v>30428</v>
      </c>
      <c r="AA4098">
        <v>0.43449038651794508</v>
      </c>
      <c r="AB4098" t="str">
        <f>HYPERLINK("Melting_Curves/meltCurve_Q6P1N0_CC2D1A.pdf", "Melting_Curves/meltCurve_Q6P1N0_CC2D1A.pdf")</f>
        <v>Melting_Curves/meltCurve_Q6P1N0_CC2D1A.pdf</v>
      </c>
    </row>
    <row r="4099" spans="1:28" x14ac:dyDescent="0.25">
      <c r="A4099" t="s">
        <v>4103</v>
      </c>
      <c r="B4099">
        <v>0.99252571173614901</v>
      </c>
      <c r="C4099">
        <v>0.978996490079448</v>
      </c>
      <c r="D4099">
        <v>0.58367564248733095</v>
      </c>
      <c r="E4099">
        <v>0.32622059154237998</v>
      </c>
      <c r="F4099">
        <v>0.21477775229235299</v>
      </c>
      <c r="G4099">
        <v>0.16797697525296201</v>
      </c>
      <c r="H4099">
        <v>0.15638686599628099</v>
      </c>
      <c r="I4099">
        <v>0.18812343742085</v>
      </c>
      <c r="J4099">
        <v>0.23106086759396099</v>
      </c>
      <c r="K4099">
        <v>0.21823205714063601</v>
      </c>
      <c r="L4099">
        <v>1431.38032425301</v>
      </c>
      <c r="M4099">
        <v>31.0315677994517</v>
      </c>
      <c r="N4099">
        <v>46.890777523353599</v>
      </c>
      <c r="O4099">
        <v>45.936292970827097</v>
      </c>
      <c r="P4099">
        <v>-0.135366614656249</v>
      </c>
      <c r="Q4099">
        <v>0.198467056445811</v>
      </c>
      <c r="R4099">
        <v>0.98967624540033905</v>
      </c>
      <c r="S4099" t="s">
        <v>10745</v>
      </c>
      <c r="T4099" t="s">
        <v>13290</v>
      </c>
      <c r="U4099" t="s">
        <v>13290</v>
      </c>
      <c r="V4099" t="s">
        <v>13290</v>
      </c>
      <c r="W4099" t="s">
        <v>17341</v>
      </c>
      <c r="X4099">
        <v>8</v>
      </c>
      <c r="Y4099" t="s">
        <v>23837</v>
      </c>
      <c r="Z4099" t="s">
        <v>30429</v>
      </c>
      <c r="AA4099">
        <v>0.36666932478017239</v>
      </c>
      <c r="AB4099" t="str">
        <f>HYPERLINK("Melting_Curves/meltCurve_Q6P1Q9_METTL2B.pdf", "Melting_Curves/meltCurve_Q6P1Q9_METTL2B.pdf")</f>
        <v>Melting_Curves/meltCurve_Q6P1Q9_METTL2B.pdf</v>
      </c>
    </row>
    <row r="4100" spans="1:28" x14ac:dyDescent="0.25">
      <c r="A4100" t="s">
        <v>4104</v>
      </c>
      <c r="B4100">
        <v>0.99252571173614901</v>
      </c>
      <c r="C4100">
        <v>0.84141478903253997</v>
      </c>
      <c r="D4100">
        <v>0.49196983092072499</v>
      </c>
      <c r="E4100">
        <v>0.212623393368915</v>
      </c>
      <c r="F4100">
        <v>0.119639508344852</v>
      </c>
      <c r="G4100">
        <v>6.7209861363765597E-2</v>
      </c>
      <c r="H4100">
        <v>0.123929217157335</v>
      </c>
      <c r="I4100">
        <v>5.46395350006849E-2</v>
      </c>
      <c r="J4100">
        <v>7.1359243868096195E-2</v>
      </c>
      <c r="K4100">
        <v>7.3878280811714298E-2</v>
      </c>
      <c r="L4100">
        <v>1091.31617856916</v>
      </c>
      <c r="M4100">
        <v>23.8848192730539</v>
      </c>
      <c r="N4100">
        <v>46.021455199010802</v>
      </c>
      <c r="O4100">
        <v>45.3741065554538</v>
      </c>
      <c r="P4100">
        <v>-0.121224945783521</v>
      </c>
      <c r="Q4100">
        <v>7.8848195575073998E-2</v>
      </c>
      <c r="R4100">
        <v>0.99652487268647205</v>
      </c>
      <c r="S4100" t="s">
        <v>10746</v>
      </c>
      <c r="T4100" t="s">
        <v>13290</v>
      </c>
      <c r="U4100" t="s">
        <v>13290</v>
      </c>
      <c r="V4100" t="s">
        <v>13290</v>
      </c>
      <c r="W4100" t="s">
        <v>17342</v>
      </c>
      <c r="X4100">
        <v>8</v>
      </c>
      <c r="Y4100" t="s">
        <v>23838</v>
      </c>
      <c r="Z4100" t="s">
        <v>30430</v>
      </c>
      <c r="AA4100">
        <v>0.26322429063301939</v>
      </c>
      <c r="AB4100" t="str">
        <f>HYPERLINK("Melting_Curves/meltCurve_Q6P1R4_DUS1L.pdf", "Melting_Curves/meltCurve_Q6P1R4_DUS1L.pdf")</f>
        <v>Melting_Curves/meltCurve_Q6P1R4_DUS1L.pdf</v>
      </c>
    </row>
    <row r="4101" spans="1:28" x14ac:dyDescent="0.25">
      <c r="A4101" t="s">
        <v>4105</v>
      </c>
      <c r="B4101">
        <v>0.99252571173614901</v>
      </c>
      <c r="C4101">
        <v>0.86791461545234105</v>
      </c>
      <c r="D4101">
        <v>0.99212621714401406</v>
      </c>
      <c r="E4101">
        <v>0.61131966490459799</v>
      </c>
      <c r="F4101">
        <v>0.14699620802597799</v>
      </c>
      <c r="G4101">
        <v>5.3199168620947299E-2</v>
      </c>
      <c r="H4101">
        <v>3.8041858480050997E-2</v>
      </c>
      <c r="I4101">
        <v>5.6711943643435098E-2</v>
      </c>
      <c r="J4101">
        <v>7.4045507780708994E-2</v>
      </c>
      <c r="K4101">
        <v>6.1046455621021803E-2</v>
      </c>
      <c r="L4101">
        <v>1966.1187512136601</v>
      </c>
      <c r="M4101">
        <v>39.267434213670803</v>
      </c>
      <c r="N4101">
        <v>50.220602185895501</v>
      </c>
      <c r="O4101">
        <v>49.940626364562299</v>
      </c>
      <c r="P4101">
        <v>-0.18564995989052499</v>
      </c>
      <c r="Q4101">
        <v>5.55578756700668E-2</v>
      </c>
      <c r="R4101">
        <v>0.98859416945535905</v>
      </c>
      <c r="S4101" t="s">
        <v>10747</v>
      </c>
      <c r="T4101" t="s">
        <v>13290</v>
      </c>
      <c r="U4101" t="s">
        <v>13290</v>
      </c>
      <c r="V4101" t="s">
        <v>13290</v>
      </c>
      <c r="W4101" t="s">
        <v>17343</v>
      </c>
      <c r="X4101">
        <v>2</v>
      </c>
      <c r="Y4101" t="s">
        <v>23839</v>
      </c>
      <c r="Z4101" t="s">
        <v>30431</v>
      </c>
      <c r="AA4101">
        <v>0.37596825056620092</v>
      </c>
      <c r="AB4101" t="str">
        <f>HYPERLINK("Melting_Curves/meltCurve_Q6P1X5_TAF2.pdf", "Melting_Curves/meltCurve_Q6P1X5_TAF2.pdf")</f>
        <v>Melting_Curves/meltCurve_Q6P1X5_TAF2.pdf</v>
      </c>
    </row>
    <row r="4102" spans="1:28" x14ac:dyDescent="0.25">
      <c r="A4102" t="s">
        <v>4106</v>
      </c>
      <c r="B4102">
        <v>0.99252571173614901</v>
      </c>
      <c r="C4102">
        <v>1.0356709039080201</v>
      </c>
      <c r="D4102">
        <v>0.97036217620023002</v>
      </c>
      <c r="E4102">
        <v>0.87472360521071402</v>
      </c>
      <c r="F4102">
        <v>0.64989712583919201</v>
      </c>
      <c r="G4102">
        <v>0.38484959239875699</v>
      </c>
      <c r="H4102">
        <v>0.13492700083839701</v>
      </c>
      <c r="I4102">
        <v>8.3989064211781594E-2</v>
      </c>
      <c r="J4102">
        <v>8.9422784017318804E-2</v>
      </c>
      <c r="K4102">
        <v>7.0794345605324396E-2</v>
      </c>
      <c r="L4102">
        <v>1067.16222371861</v>
      </c>
      <c r="M4102">
        <v>19.503117524065299</v>
      </c>
      <c r="N4102">
        <v>54.994316849807902</v>
      </c>
      <c r="O4102">
        <v>54.151997559669198</v>
      </c>
      <c r="P4102">
        <v>-8.5832611802529796E-2</v>
      </c>
      <c r="Q4102">
        <v>4.67493178864304E-2</v>
      </c>
      <c r="R4102">
        <v>0.99741001474310798</v>
      </c>
      <c r="S4102" t="s">
        <v>10748</v>
      </c>
      <c r="T4102" t="s">
        <v>13290</v>
      </c>
      <c r="U4102" t="s">
        <v>13290</v>
      </c>
      <c r="V4102" t="s">
        <v>13290</v>
      </c>
      <c r="W4102" t="s">
        <v>17344</v>
      </c>
      <c r="X4102">
        <v>8</v>
      </c>
      <c r="Y4102" t="s">
        <v>23840</v>
      </c>
      <c r="Z4102" t="s">
        <v>30432</v>
      </c>
      <c r="AA4102">
        <v>0.52767526830534106</v>
      </c>
      <c r="AB4102" t="str">
        <f>HYPERLINK("Melting_Curves/meltCurve_Q6P1X6_C8orf82.pdf", "Melting_Curves/meltCurve_Q6P1X6_C8orf82.pdf")</f>
        <v>Melting_Curves/meltCurve_Q6P1X6_C8orf82.pdf</v>
      </c>
    </row>
    <row r="4103" spans="1:28" x14ac:dyDescent="0.25">
      <c r="A4103" t="s">
        <v>4107</v>
      </c>
      <c r="B4103">
        <v>0.99252571173614901</v>
      </c>
      <c r="C4103">
        <v>0.81332260972584203</v>
      </c>
      <c r="D4103">
        <v>1.1360116095977499</v>
      </c>
      <c r="E4103">
        <v>0.91583431498670798</v>
      </c>
      <c r="F4103">
        <v>0.567831281309646</v>
      </c>
      <c r="G4103">
        <v>0.20241640243917899</v>
      </c>
      <c r="H4103">
        <v>0.12787707273857801</v>
      </c>
      <c r="I4103">
        <v>0.15457342030759399</v>
      </c>
      <c r="J4103">
        <v>0.117678039170038</v>
      </c>
      <c r="K4103">
        <v>0.13492707130196599</v>
      </c>
      <c r="L4103">
        <v>1918.06446009192</v>
      </c>
      <c r="M4103">
        <v>36.071687848056499</v>
      </c>
      <c r="N4103">
        <v>53.6207976299427</v>
      </c>
      <c r="O4103">
        <v>53.011051203506902</v>
      </c>
      <c r="P4103">
        <v>-0.14802063287001599</v>
      </c>
      <c r="Q4103">
        <v>0.129876631347532</v>
      </c>
      <c r="R4103">
        <v>0.963970370210807</v>
      </c>
      <c r="S4103" t="s">
        <v>10749</v>
      </c>
      <c r="T4103" t="s">
        <v>13290</v>
      </c>
      <c r="U4103" t="s">
        <v>13290</v>
      </c>
      <c r="V4103" t="s">
        <v>13290</v>
      </c>
      <c r="W4103" t="s">
        <v>17345</v>
      </c>
      <c r="X4103">
        <v>10</v>
      </c>
      <c r="Y4103" t="s">
        <v>23841</v>
      </c>
      <c r="Z4103" t="s">
        <v>30433</v>
      </c>
      <c r="AA4103">
        <v>0.51589587553574812</v>
      </c>
      <c r="AB4103" t="str">
        <f>HYPERLINK("Melting_Curves/meltCurve_Q6P275_STAG1.pdf", "Melting_Curves/meltCurve_Q6P275_STAG1.pdf")</f>
        <v>Melting_Curves/meltCurve_Q6P275_STAG1.pdf</v>
      </c>
    </row>
    <row r="4104" spans="1:28" x14ac:dyDescent="0.25">
      <c r="A4104" t="s">
        <v>4108</v>
      </c>
      <c r="B4104">
        <v>0.99252571173614901</v>
      </c>
      <c r="C4104">
        <v>0.80275205565936203</v>
      </c>
      <c r="D4104">
        <v>0.91029183032792804</v>
      </c>
      <c r="E4104">
        <v>0.72655911605033996</v>
      </c>
      <c r="F4104">
        <v>0.25438038588572098</v>
      </c>
      <c r="G4104">
        <v>0.16984062144971199</v>
      </c>
      <c r="H4104">
        <v>9.1617702205295998E-2</v>
      </c>
      <c r="I4104">
        <v>7.7495870560347596E-2</v>
      </c>
      <c r="J4104">
        <v>8.9595046753532998E-2</v>
      </c>
      <c r="K4104">
        <v>8.1425286180904402E-2</v>
      </c>
      <c r="L4104">
        <v>1279.7802404593399</v>
      </c>
      <c r="M4104">
        <v>25.184901990993598</v>
      </c>
      <c r="N4104">
        <v>51.169994718841501</v>
      </c>
      <c r="O4104">
        <v>50.498234777572499</v>
      </c>
      <c r="P4104">
        <v>-0.114699388370693</v>
      </c>
      <c r="Q4104">
        <v>8.0077120992673903E-2</v>
      </c>
      <c r="R4104">
        <v>0.96861226995209204</v>
      </c>
      <c r="S4104" t="s">
        <v>10750</v>
      </c>
      <c r="T4104" t="s">
        <v>13290</v>
      </c>
      <c r="U4104" t="s">
        <v>13290</v>
      </c>
      <c r="V4104" t="s">
        <v>13290</v>
      </c>
      <c r="W4104" t="s">
        <v>17346</v>
      </c>
      <c r="X4104">
        <v>35</v>
      </c>
      <c r="Y4104" t="s">
        <v>23842</v>
      </c>
      <c r="Z4104" t="s">
        <v>30434</v>
      </c>
      <c r="AA4104">
        <v>0.41989471668184558</v>
      </c>
      <c r="AB4104" t="str">
        <f>HYPERLINK("Melting_Curves/meltCurve_Q6P2E9_EDC4.pdf", "Melting_Curves/meltCurve_Q6P2E9_EDC4.pdf")</f>
        <v>Melting_Curves/meltCurve_Q6P2E9_EDC4.pdf</v>
      </c>
    </row>
    <row r="4105" spans="1:28" x14ac:dyDescent="0.25">
      <c r="A4105" t="s">
        <v>4109</v>
      </c>
      <c r="B4105">
        <v>0.99252571173614901</v>
      </c>
      <c r="C4105">
        <v>0.82439268375955999</v>
      </c>
      <c r="D4105">
        <v>0.50190163150613798</v>
      </c>
      <c r="E4105">
        <v>0.33964161768610701</v>
      </c>
      <c r="F4105">
        <v>0.171048506481456</v>
      </c>
      <c r="G4105">
        <v>0.11472936825164</v>
      </c>
      <c r="H4105">
        <v>8.4292884433950596E-2</v>
      </c>
      <c r="I4105">
        <v>0.117133571000631</v>
      </c>
      <c r="J4105">
        <v>0.18747808799652199</v>
      </c>
      <c r="K4105">
        <v>0.20140336458095701</v>
      </c>
      <c r="L4105">
        <v>945.35397973642705</v>
      </c>
      <c r="M4105">
        <v>20.7040631811048</v>
      </c>
      <c r="N4105">
        <v>46.401096850357099</v>
      </c>
      <c r="O4105">
        <v>45.240745639478597</v>
      </c>
      <c r="P4105">
        <v>-9.8312185355713705E-2</v>
      </c>
      <c r="Q4105">
        <v>0.14073093273065701</v>
      </c>
      <c r="R4105">
        <v>0.98035616282004401</v>
      </c>
      <c r="S4105" t="s">
        <v>10751</v>
      </c>
      <c r="T4105" t="s">
        <v>13290</v>
      </c>
      <c r="U4105" t="s">
        <v>13290</v>
      </c>
      <c r="V4105" t="s">
        <v>13290</v>
      </c>
      <c r="W4105" t="s">
        <v>17347</v>
      </c>
      <c r="X4105">
        <v>5</v>
      </c>
      <c r="Y4105" t="s">
        <v>23843</v>
      </c>
      <c r="Z4105" t="s">
        <v>30435</v>
      </c>
      <c r="AA4105">
        <v>0.31544067838017109</v>
      </c>
      <c r="AB4105" t="str">
        <f>HYPERLINK("Melting_Curves/meltCurve_Q6P2H3_2_CEP85.pdf", "Melting_Curves/meltCurve_Q6P2H3_2_CEP85.pdf")</f>
        <v>Melting_Curves/meltCurve_Q6P2H3_2_CEP85.pdf</v>
      </c>
    </row>
    <row r="4106" spans="1:28" x14ac:dyDescent="0.25">
      <c r="A4106" t="s">
        <v>4110</v>
      </c>
      <c r="B4106">
        <v>0.99252571173614901</v>
      </c>
      <c r="C4106">
        <v>0.95752370683688603</v>
      </c>
      <c r="D4106">
        <v>0.79095400079230405</v>
      </c>
      <c r="E4106">
        <v>0.61339928012269296</v>
      </c>
      <c r="F4106">
        <v>0.75329062809438696</v>
      </c>
      <c r="G4106">
        <v>0.66709049706252799</v>
      </c>
      <c r="H4106">
        <v>0.39549036730202602</v>
      </c>
      <c r="I4106">
        <v>0.16801413068858401</v>
      </c>
      <c r="J4106">
        <v>0.156387876876872</v>
      </c>
      <c r="K4106">
        <v>9.4083834301622093E-2</v>
      </c>
      <c r="L4106">
        <v>504.69368698453297</v>
      </c>
      <c r="M4106">
        <v>8.8809543691875401</v>
      </c>
      <c r="N4106">
        <v>56.828784020471304</v>
      </c>
      <c r="O4106">
        <v>54.168786982422702</v>
      </c>
      <c r="P4106">
        <v>-4.1018719535943299E-2</v>
      </c>
      <c r="Q4106">
        <v>0</v>
      </c>
      <c r="R4106">
        <v>0.90447205371031503</v>
      </c>
      <c r="S4106" t="s">
        <v>10752</v>
      </c>
      <c r="T4106" t="s">
        <v>13290</v>
      </c>
      <c r="U4106" t="s">
        <v>13290</v>
      </c>
      <c r="V4106" t="s">
        <v>13290</v>
      </c>
      <c r="W4106" t="s">
        <v>17348</v>
      </c>
      <c r="X4106">
        <v>14</v>
      </c>
      <c r="Y4106" t="s">
        <v>23844</v>
      </c>
      <c r="Z4106" t="s">
        <v>30436</v>
      </c>
      <c r="AA4106">
        <v>0.57624897435613276</v>
      </c>
      <c r="AB4106" t="str">
        <f>HYPERLINK("Melting_Curves/meltCurve_Q6P2I3_FAHD2B.pdf", "Melting_Curves/meltCurve_Q6P2I3_FAHD2B.pdf")</f>
        <v>Melting_Curves/meltCurve_Q6P2I3_FAHD2B.pdf</v>
      </c>
    </row>
    <row r="4107" spans="1:28" x14ac:dyDescent="0.25">
      <c r="A4107" t="s">
        <v>4111</v>
      </c>
      <c r="B4107">
        <v>0.99252571173614901</v>
      </c>
      <c r="C4107">
        <v>0.91274840424202597</v>
      </c>
      <c r="D4107">
        <v>0.807759514184473</v>
      </c>
      <c r="E4107">
        <v>0.70915346785107403</v>
      </c>
      <c r="F4107">
        <v>0.39939120817882101</v>
      </c>
      <c r="G4107">
        <v>0.21139554939710101</v>
      </c>
      <c r="H4107">
        <v>0.110614091176302</v>
      </c>
      <c r="I4107">
        <v>0.117964105242753</v>
      </c>
      <c r="J4107">
        <v>0.132521209139319</v>
      </c>
      <c r="K4107">
        <v>0.133589194159552</v>
      </c>
      <c r="L4107">
        <v>807.77322638066198</v>
      </c>
      <c r="M4107">
        <v>15.8368781543408</v>
      </c>
      <c r="N4107">
        <v>51.6415239652327</v>
      </c>
      <c r="O4107">
        <v>50.2133503000776</v>
      </c>
      <c r="P4107">
        <v>-7.1871015588784004E-2</v>
      </c>
      <c r="Q4107">
        <v>8.8560312476040806E-2</v>
      </c>
      <c r="R4107">
        <v>0.98872442943051897</v>
      </c>
      <c r="S4107" t="s">
        <v>10753</v>
      </c>
      <c r="T4107" t="s">
        <v>13290</v>
      </c>
      <c r="U4107" t="s">
        <v>13290</v>
      </c>
      <c r="V4107" t="s">
        <v>13290</v>
      </c>
      <c r="W4107" t="s">
        <v>17349</v>
      </c>
      <c r="X4107">
        <v>10</v>
      </c>
      <c r="Y4107" t="s">
        <v>23845</v>
      </c>
      <c r="Z4107" t="s">
        <v>30437</v>
      </c>
      <c r="AA4107">
        <v>0.4421542633185121</v>
      </c>
      <c r="AB4107" t="str">
        <f>HYPERLINK("Melting_Curves/meltCurve_Q6P2P2_PRMT10.pdf", "Melting_Curves/meltCurve_Q6P2P2_PRMT10.pdf")</f>
        <v>Melting_Curves/meltCurve_Q6P2P2_PRMT10.pdf</v>
      </c>
    </row>
    <row r="4108" spans="1:28" x14ac:dyDescent="0.25">
      <c r="A4108" t="s">
        <v>4112</v>
      </c>
      <c r="B4108">
        <v>0.99252571173614901</v>
      </c>
      <c r="C4108">
        <v>0.86936286879826796</v>
      </c>
      <c r="D4108">
        <v>1.2588864843763301</v>
      </c>
      <c r="E4108">
        <v>1.1248123577193001</v>
      </c>
      <c r="F4108">
        <v>0.39951432989024099</v>
      </c>
      <c r="G4108">
        <v>0.26058281462907101</v>
      </c>
      <c r="H4108">
        <v>0.18340405965026599</v>
      </c>
      <c r="I4108">
        <v>0.20445455724198</v>
      </c>
      <c r="J4108">
        <v>0.28644082165741003</v>
      </c>
      <c r="K4108">
        <v>0.29493732314822801</v>
      </c>
      <c r="L4108">
        <v>13227.450662976</v>
      </c>
      <c r="M4108">
        <v>250</v>
      </c>
      <c r="N4108">
        <v>53.053488019914099</v>
      </c>
      <c r="O4108">
        <v>52.906429087636802</v>
      </c>
      <c r="P4108">
        <v>-0.89076635576081598</v>
      </c>
      <c r="Q4108">
        <v>0.245963903167468</v>
      </c>
      <c r="R4108">
        <v>0.93197942879675999</v>
      </c>
      <c r="S4108" t="s">
        <v>10754</v>
      </c>
      <c r="T4108" t="s">
        <v>13290</v>
      </c>
      <c r="U4108" t="s">
        <v>13290</v>
      </c>
      <c r="V4108" t="s">
        <v>13290</v>
      </c>
      <c r="W4108" t="s">
        <v>17350</v>
      </c>
      <c r="X4108">
        <v>12</v>
      </c>
      <c r="Y4108" t="s">
        <v>23846</v>
      </c>
      <c r="Z4108" t="s">
        <v>30438</v>
      </c>
      <c r="AA4108">
        <v>0.57051582660360545</v>
      </c>
      <c r="AB4108" t="str">
        <f>HYPERLINK("Melting_Curves/meltCurve_Q6P2Q9_PRPF8.pdf", "Melting_Curves/meltCurve_Q6P2Q9_PRPF8.pdf")</f>
        <v>Melting_Curves/meltCurve_Q6P2Q9_PRPF8.pdf</v>
      </c>
    </row>
    <row r="4109" spans="1:28" x14ac:dyDescent="0.25">
      <c r="A4109" t="s">
        <v>4113</v>
      </c>
      <c r="B4109">
        <v>0.99252571173614901</v>
      </c>
      <c r="C4109">
        <v>1.0078307052850399</v>
      </c>
      <c r="D4109">
        <v>0.91974260348441195</v>
      </c>
      <c r="E4109">
        <v>0.72416510625299002</v>
      </c>
      <c r="F4109">
        <v>0.48936345969941902</v>
      </c>
      <c r="G4109">
        <v>0.112259370458741</v>
      </c>
      <c r="H4109">
        <v>9.1320036174994804E-2</v>
      </c>
      <c r="I4109">
        <v>8.2866134448078804E-2</v>
      </c>
      <c r="J4109">
        <v>0.116128541535079</v>
      </c>
      <c r="K4109">
        <v>0.109365153614376</v>
      </c>
      <c r="L4109">
        <v>1146.5390819944701</v>
      </c>
      <c r="M4109">
        <v>22.098491067748402</v>
      </c>
      <c r="N4109">
        <v>52.277743700299403</v>
      </c>
      <c r="O4109">
        <v>51.463876958532801</v>
      </c>
      <c r="P4109">
        <v>-9.9105492644694301E-2</v>
      </c>
      <c r="Q4109">
        <v>7.68164007022058E-2</v>
      </c>
      <c r="R4109">
        <v>0.98873274080070395</v>
      </c>
      <c r="S4109" t="s">
        <v>10755</v>
      </c>
      <c r="T4109" t="s">
        <v>13290</v>
      </c>
      <c r="U4109" t="s">
        <v>13290</v>
      </c>
      <c r="V4109" t="s">
        <v>13290</v>
      </c>
      <c r="W4109" t="s">
        <v>17351</v>
      </c>
      <c r="X4109">
        <v>3</v>
      </c>
      <c r="Y4109" t="s">
        <v>23847</v>
      </c>
      <c r="Z4109" t="s">
        <v>30439</v>
      </c>
      <c r="AA4109">
        <v>0.45313607307661907</v>
      </c>
      <c r="AB4109" t="str">
        <f>HYPERLINK("Melting_Curves/meltCurve_Q6P3S6_FBXO42.pdf", "Melting_Curves/meltCurve_Q6P3S6_FBXO42.pdf")</f>
        <v>Melting_Curves/meltCurve_Q6P3S6_FBXO42.pdf</v>
      </c>
    </row>
    <row r="4110" spans="1:28" x14ac:dyDescent="0.25">
      <c r="A4110" t="s">
        <v>4114</v>
      </c>
      <c r="B4110">
        <v>0.99252571173614901</v>
      </c>
      <c r="C4110">
        <v>0.94957984233791803</v>
      </c>
      <c r="D4110">
        <v>0.91511104722242598</v>
      </c>
      <c r="E4110">
        <v>0.82023575808032301</v>
      </c>
      <c r="F4110">
        <v>0.413223426191967</v>
      </c>
      <c r="G4110">
        <v>0.188000032042033</v>
      </c>
      <c r="H4110">
        <v>0.19481943288690501</v>
      </c>
      <c r="I4110">
        <v>0.21140087029961299</v>
      </c>
      <c r="J4110">
        <v>0.30668120710491498</v>
      </c>
      <c r="K4110">
        <v>0.27062779016624799</v>
      </c>
      <c r="L4110">
        <v>1790.3459656382499</v>
      </c>
      <c r="M4110">
        <v>34.9438955622078</v>
      </c>
      <c r="N4110">
        <v>52.163268899843402</v>
      </c>
      <c r="O4110">
        <v>51.067946046049201</v>
      </c>
      <c r="P4110">
        <v>-0.131456900605844</v>
      </c>
      <c r="Q4110">
        <v>0.23154416941393</v>
      </c>
      <c r="R4110">
        <v>0.98011844920629199</v>
      </c>
      <c r="S4110" t="s">
        <v>10756</v>
      </c>
      <c r="T4110" t="s">
        <v>13290</v>
      </c>
      <c r="U4110" t="s">
        <v>13290</v>
      </c>
      <c r="V4110" t="s">
        <v>13290</v>
      </c>
      <c r="W4110" t="s">
        <v>17352</v>
      </c>
      <c r="X4110">
        <v>9</v>
      </c>
      <c r="Y4110" t="s">
        <v>23848</v>
      </c>
      <c r="Z4110" t="s">
        <v>30440</v>
      </c>
      <c r="AA4110">
        <v>0.52289921464653122</v>
      </c>
      <c r="AB4110" t="str">
        <f>HYPERLINK("Melting_Curves/meltCurve_Q6P3W7_SCYL2.pdf", "Melting_Curves/meltCurve_Q6P3W7_SCYL2.pdf")</f>
        <v>Melting_Curves/meltCurve_Q6P3W7_SCYL2.pdf</v>
      </c>
    </row>
    <row r="4111" spans="1:28" x14ac:dyDescent="0.25">
      <c r="A4111" t="s">
        <v>4115</v>
      </c>
      <c r="B4111">
        <v>0.99252571173614901</v>
      </c>
      <c r="C4111">
        <v>0.88132359106457803</v>
      </c>
      <c r="D4111">
        <v>0.48199375530404398</v>
      </c>
      <c r="E4111">
        <v>0.17751027841724701</v>
      </c>
      <c r="F4111">
        <v>9.9757575384246094E-2</v>
      </c>
      <c r="G4111">
        <v>5.6099374566655001E-2</v>
      </c>
      <c r="H4111">
        <v>4.0826543096256399E-2</v>
      </c>
      <c r="I4111">
        <v>4.35494335821544E-2</v>
      </c>
      <c r="J4111">
        <v>4.8363498832539202E-2</v>
      </c>
      <c r="K4111">
        <v>4.7670527800929702E-2</v>
      </c>
      <c r="L4111">
        <v>1212.54600454363</v>
      </c>
      <c r="M4111">
        <v>26.4708828867339</v>
      </c>
      <c r="N4111">
        <v>45.997021774607298</v>
      </c>
      <c r="O4111">
        <v>45.547755884529003</v>
      </c>
      <c r="P4111">
        <v>-0.13775929695995601</v>
      </c>
      <c r="Q4111">
        <v>5.1854883591604797E-2</v>
      </c>
      <c r="R4111">
        <v>0.998501846965552</v>
      </c>
      <c r="S4111" t="s">
        <v>10757</v>
      </c>
      <c r="T4111" t="s">
        <v>13290</v>
      </c>
      <c r="U4111" t="s">
        <v>13290</v>
      </c>
      <c r="V4111" t="s">
        <v>13290</v>
      </c>
      <c r="W4111" t="s">
        <v>17353</v>
      </c>
      <c r="X4111">
        <v>16</v>
      </c>
      <c r="Y4111" t="s">
        <v>23849</v>
      </c>
      <c r="Z4111" t="s">
        <v>30441</v>
      </c>
      <c r="AA4111">
        <v>0.24313044653847851</v>
      </c>
      <c r="AB4111" t="str">
        <f>HYPERLINK("Melting_Curves/meltCurve_Q6P3X3_TTC27.pdf", "Melting_Curves/meltCurve_Q6P3X3_TTC27.pdf")</f>
        <v>Melting_Curves/meltCurve_Q6P3X3_TTC27.pdf</v>
      </c>
    </row>
    <row r="4112" spans="1:28" x14ac:dyDescent="0.25">
      <c r="A4112" t="s">
        <v>4116</v>
      </c>
      <c r="B4112">
        <v>0.99252571173614901</v>
      </c>
      <c r="C4112">
        <v>1.0019658104531299</v>
      </c>
      <c r="D4112">
        <v>1.0053200631988899</v>
      </c>
      <c r="E4112">
        <v>1.1594371714543601</v>
      </c>
      <c r="F4112">
        <v>0.84113785776491801</v>
      </c>
      <c r="G4112">
        <v>0.63076290962388304</v>
      </c>
      <c r="H4112">
        <v>0.47441419928228401</v>
      </c>
      <c r="I4112">
        <v>0.34136949723869398</v>
      </c>
      <c r="J4112">
        <v>0.140385289407949</v>
      </c>
      <c r="K4112">
        <v>0.10111209610710201</v>
      </c>
      <c r="L4112">
        <v>926.65645400708399</v>
      </c>
      <c r="M4112">
        <v>15.469750777874101</v>
      </c>
      <c r="N4112">
        <v>60.026637934565798</v>
      </c>
      <c r="O4112">
        <v>58.926994626144499</v>
      </c>
      <c r="P4112">
        <v>-6.4592820451278093E-2</v>
      </c>
      <c r="Q4112">
        <v>1.5906539756332799E-2</v>
      </c>
      <c r="R4112">
        <v>0.96203776279152997</v>
      </c>
      <c r="S4112" t="s">
        <v>10758</v>
      </c>
      <c r="T4112" t="s">
        <v>13290</v>
      </c>
      <c r="U4112" t="s">
        <v>13290</v>
      </c>
      <c r="V4112" t="s">
        <v>13290</v>
      </c>
      <c r="W4112" t="s">
        <v>17354</v>
      </c>
      <c r="X4112">
        <v>3</v>
      </c>
      <c r="Y4112" t="s">
        <v>23850</v>
      </c>
      <c r="Z4112" t="s">
        <v>30442</v>
      </c>
      <c r="AA4112">
        <v>0.6762088828181837</v>
      </c>
      <c r="AB4112" t="str">
        <f>HYPERLINK("Melting_Curves/meltCurve_Q6P4A7_SFXN4.pdf", "Melting_Curves/meltCurve_Q6P4A7_SFXN4.pdf")</f>
        <v>Melting_Curves/meltCurve_Q6P4A7_SFXN4.pdf</v>
      </c>
    </row>
    <row r="4113" spans="1:28" x14ac:dyDescent="0.25">
      <c r="A4113" t="s">
        <v>4117</v>
      </c>
      <c r="B4113">
        <v>0.99252571173614901</v>
      </c>
      <c r="C4113">
        <v>0.966465227590392</v>
      </c>
      <c r="D4113">
        <v>0.98251118501215495</v>
      </c>
      <c r="E4113">
        <v>0.90713062291167501</v>
      </c>
      <c r="F4113">
        <v>0.84434744196392897</v>
      </c>
      <c r="G4113">
        <v>0.75830882761792195</v>
      </c>
      <c r="H4113">
        <v>0.76487116859850501</v>
      </c>
      <c r="I4113">
        <v>0.96519023156069705</v>
      </c>
      <c r="J4113">
        <v>1.1811674224089399</v>
      </c>
      <c r="K4113">
        <v>0.88986073306568603</v>
      </c>
      <c r="L4113">
        <v>2774.4074322298102</v>
      </c>
      <c r="M4113">
        <v>58.8253428988724</v>
      </c>
      <c r="O4113">
        <v>47.1090571134594</v>
      </c>
      <c r="P4113">
        <v>-3.0968302413033701E-2</v>
      </c>
      <c r="Q4113">
        <v>0.90079874546088101</v>
      </c>
      <c r="R4113">
        <v>8.8870383717179799E-2</v>
      </c>
      <c r="S4113" t="s">
        <v>10759</v>
      </c>
      <c r="T4113" t="s">
        <v>13290</v>
      </c>
      <c r="U4113" t="s">
        <v>13290</v>
      </c>
      <c r="V4113" t="s">
        <v>13290</v>
      </c>
      <c r="W4113" t="s">
        <v>17355</v>
      </c>
      <c r="X4113">
        <v>16</v>
      </c>
      <c r="Y4113" t="s">
        <v>23851</v>
      </c>
      <c r="Z4113" t="s">
        <v>30443</v>
      </c>
      <c r="AA4113">
        <v>0.92463517625200686</v>
      </c>
      <c r="AB4113" t="str">
        <f>HYPERLINK("Melting_Curves/meltCurve_Q6P4A8_PLBD1.pdf", "Melting_Curves/meltCurve_Q6P4A8_PLBD1.pdf")</f>
        <v>Melting_Curves/meltCurve_Q6P4A8_PLBD1.pdf</v>
      </c>
    </row>
    <row r="4114" spans="1:28" x14ac:dyDescent="0.25">
      <c r="A4114" t="s">
        <v>4118</v>
      </c>
      <c r="B4114">
        <v>0.99252571173614901</v>
      </c>
      <c r="C4114">
        <v>0.94846271726240805</v>
      </c>
      <c r="D4114">
        <v>0.88416729431340302</v>
      </c>
      <c r="E4114">
        <v>0.89348741646764496</v>
      </c>
      <c r="F4114">
        <v>0.60983441870711697</v>
      </c>
      <c r="G4114">
        <v>0.44260309654685398</v>
      </c>
      <c r="H4114">
        <v>0.452821046936215</v>
      </c>
      <c r="I4114">
        <v>0.57206636950720302</v>
      </c>
      <c r="J4114">
        <v>0.94993097855256803</v>
      </c>
      <c r="K4114">
        <v>0.87988398481183805</v>
      </c>
      <c r="L4114">
        <v>12440.766372535099</v>
      </c>
      <c r="M4114">
        <v>250</v>
      </c>
      <c r="O4114">
        <v>49.759881006805898</v>
      </c>
      <c r="P4114">
        <v>-0.43811652954792402</v>
      </c>
      <c r="Q4114">
        <v>0.65118997852986604</v>
      </c>
      <c r="R4114">
        <v>0.41688662178971603</v>
      </c>
      <c r="S4114" t="s">
        <v>10760</v>
      </c>
      <c r="T4114" t="s">
        <v>13290</v>
      </c>
      <c r="U4114" t="s">
        <v>13290</v>
      </c>
      <c r="V4114" t="s">
        <v>13290</v>
      </c>
      <c r="W4114" t="s">
        <v>17356</v>
      </c>
      <c r="X4114">
        <v>6</v>
      </c>
      <c r="Y4114" t="s">
        <v>23852</v>
      </c>
      <c r="Z4114" t="s">
        <v>30444</v>
      </c>
      <c r="AA4114">
        <v>0.76473561073790286</v>
      </c>
      <c r="AB4114" t="str">
        <f>HYPERLINK("Melting_Curves/meltCurve_Q6P4E1_CASC4.pdf", "Melting_Curves/meltCurve_Q6P4E1_CASC4.pdf")</f>
        <v>Melting_Curves/meltCurve_Q6P4E1_CASC4.pdf</v>
      </c>
    </row>
    <row r="4115" spans="1:28" x14ac:dyDescent="0.25">
      <c r="A4115" t="s">
        <v>4119</v>
      </c>
      <c r="B4115">
        <v>0.99252571173614901</v>
      </c>
      <c r="C4115">
        <v>1.0856505225194999</v>
      </c>
      <c r="D4115">
        <v>0.98528167792466703</v>
      </c>
      <c r="E4115">
        <v>0.96875645181439796</v>
      </c>
      <c r="F4115">
        <v>0.80984365848496398</v>
      </c>
      <c r="G4115">
        <v>0.75001937310609501</v>
      </c>
      <c r="H4115">
        <v>0.697460538760175</v>
      </c>
      <c r="I4115">
        <v>0.86233258971758497</v>
      </c>
      <c r="J4115">
        <v>1.1350361937738001</v>
      </c>
      <c r="K4115">
        <v>1.10849253055417</v>
      </c>
      <c r="L4115">
        <v>10693.4838034643</v>
      </c>
      <c r="M4115">
        <v>162.12060662390701</v>
      </c>
      <c r="O4115">
        <v>65.950017138300097</v>
      </c>
      <c r="P4115">
        <v>7.6508304281631703E-2</v>
      </c>
      <c r="Q4115">
        <v>1.12449309299594</v>
      </c>
      <c r="R4115">
        <v>-3.4884952293017503E-2</v>
      </c>
      <c r="S4115" t="s">
        <v>10761</v>
      </c>
      <c r="T4115" t="s">
        <v>13290</v>
      </c>
      <c r="U4115" t="s">
        <v>13290</v>
      </c>
      <c r="V4115" t="s">
        <v>13290</v>
      </c>
      <c r="W4115" t="s">
        <v>17357</v>
      </c>
      <c r="X4115">
        <v>4</v>
      </c>
      <c r="Y4115" t="s">
        <v>23853</v>
      </c>
      <c r="Z4115" t="s">
        <v>30445</v>
      </c>
      <c r="AA4115">
        <v>1.016730736853082</v>
      </c>
      <c r="AB4115" t="str">
        <f>HYPERLINK("Melting_Curves/meltCurve_Q6P4F2_FDX1L.pdf", "Melting_Curves/meltCurve_Q6P4F2_FDX1L.pdf")</f>
        <v>Melting_Curves/meltCurve_Q6P4F2_FDX1L.pdf</v>
      </c>
    </row>
    <row r="4116" spans="1:28" x14ac:dyDescent="0.25">
      <c r="A4116" t="s">
        <v>4120</v>
      </c>
      <c r="B4116">
        <v>0.99252571173614901</v>
      </c>
      <c r="C4116">
        <v>1.07909808377553</v>
      </c>
      <c r="D4116">
        <v>0.95909616709675205</v>
      </c>
      <c r="E4116">
        <v>0.82962456274263896</v>
      </c>
      <c r="F4116">
        <v>0.66419613793693899</v>
      </c>
      <c r="G4116">
        <v>0.48635805774202501</v>
      </c>
      <c r="H4116">
        <v>0.276351708439738</v>
      </c>
      <c r="I4116">
        <v>0.23903890465788799</v>
      </c>
      <c r="J4116">
        <v>0.244622463243302</v>
      </c>
      <c r="K4116">
        <v>0.20602578303503499</v>
      </c>
      <c r="L4116">
        <v>884.85398456091002</v>
      </c>
      <c r="M4116">
        <v>16.2843579686736</v>
      </c>
      <c r="N4116">
        <v>55.940419541822898</v>
      </c>
      <c r="O4116">
        <v>53.538058138073701</v>
      </c>
      <c r="P4116">
        <v>-6.1869752840244603E-2</v>
      </c>
      <c r="Q4116">
        <v>0.18642318673191999</v>
      </c>
      <c r="R4116">
        <v>0.98949114773073599</v>
      </c>
      <c r="S4116" t="s">
        <v>10762</v>
      </c>
      <c r="T4116" t="s">
        <v>13290</v>
      </c>
      <c r="U4116" t="s">
        <v>13290</v>
      </c>
      <c r="V4116" t="s">
        <v>13290</v>
      </c>
      <c r="W4116" t="s">
        <v>17358</v>
      </c>
      <c r="X4116">
        <v>6</v>
      </c>
      <c r="Y4116" t="s">
        <v>23854</v>
      </c>
      <c r="Z4116" t="s">
        <v>30446</v>
      </c>
      <c r="AA4116">
        <v>0.59003687440439778</v>
      </c>
      <c r="AB4116" t="str">
        <f>HYPERLINK("Melting_Curves/meltCurve_Q6P4I2_WDR73.pdf", "Melting_Curves/meltCurve_Q6P4I2_WDR73.pdf")</f>
        <v>Melting_Curves/meltCurve_Q6P4I2_WDR73.pdf</v>
      </c>
    </row>
    <row r="4117" spans="1:28" x14ac:dyDescent="0.25">
      <c r="A4117" t="s">
        <v>4121</v>
      </c>
      <c r="B4117">
        <v>0.99252571173614901</v>
      </c>
      <c r="C4117">
        <v>0.83736693190792899</v>
      </c>
      <c r="D4117">
        <v>0.59955342375269804</v>
      </c>
      <c r="E4117">
        <v>0.405971943259335</v>
      </c>
      <c r="F4117">
        <v>0.36125379403674002</v>
      </c>
      <c r="G4117">
        <v>0.24844780815043699</v>
      </c>
      <c r="H4117">
        <v>0.35644206880259299</v>
      </c>
      <c r="I4117">
        <v>0.57022129120946696</v>
      </c>
      <c r="J4117">
        <v>0.84275441834577203</v>
      </c>
      <c r="K4117">
        <v>0.69511445210628897</v>
      </c>
      <c r="L4117">
        <v>1645.19537709308</v>
      </c>
      <c r="M4117">
        <v>37.528522780920298</v>
      </c>
      <c r="N4117">
        <v>53.0573702060356</v>
      </c>
      <c r="O4117">
        <v>43.714612259360102</v>
      </c>
      <c r="P4117">
        <v>-0.107469474061767</v>
      </c>
      <c r="Q4117">
        <v>0.49926365500096098</v>
      </c>
      <c r="R4117">
        <v>0.50586808594231503</v>
      </c>
      <c r="S4117" t="s">
        <v>10763</v>
      </c>
      <c r="T4117" t="s">
        <v>13290</v>
      </c>
      <c r="U4117" t="s">
        <v>13290</v>
      </c>
      <c r="V4117" t="s">
        <v>13290</v>
      </c>
      <c r="W4117" t="s">
        <v>17359</v>
      </c>
      <c r="X4117">
        <v>5</v>
      </c>
      <c r="Y4117" t="s">
        <v>23855</v>
      </c>
      <c r="Z4117" t="s">
        <v>30447</v>
      </c>
      <c r="AA4117">
        <v>0.56547679078540758</v>
      </c>
      <c r="AB4117" t="str">
        <f>HYPERLINK("Melting_Curves/meltCurve_Q6P4R8_3_NFRKB.pdf", "Melting_Curves/meltCurve_Q6P4R8_3_NFRKB.pdf")</f>
        <v>Melting_Curves/meltCurve_Q6P4R8_3_NFRKB.pdf</v>
      </c>
    </row>
    <row r="4118" spans="1:28" x14ac:dyDescent="0.25">
      <c r="A4118" t="s">
        <v>4122</v>
      </c>
      <c r="B4118">
        <v>0.99252571173614901</v>
      </c>
      <c r="C4118">
        <v>1.06217083064831</v>
      </c>
      <c r="D4118">
        <v>1.1633446007288999</v>
      </c>
      <c r="E4118">
        <v>1.4088275346307899</v>
      </c>
      <c r="F4118">
        <v>1.44388776451733</v>
      </c>
      <c r="G4118">
        <v>1.2215872587368299</v>
      </c>
      <c r="H4118">
        <v>0.95511549721146605</v>
      </c>
      <c r="I4118">
        <v>1.16059628001482</v>
      </c>
      <c r="J4118">
        <v>1.8034670742896901</v>
      </c>
      <c r="K4118">
        <v>1.66745896083242</v>
      </c>
      <c r="L4118">
        <v>357.345074348244</v>
      </c>
      <c r="M4118">
        <v>7.0408113131827399</v>
      </c>
      <c r="O4118">
        <v>47.1356277046348</v>
      </c>
      <c r="P4118">
        <v>1.8705567568090099E-2</v>
      </c>
      <c r="Q4118">
        <v>1.5</v>
      </c>
      <c r="R4118">
        <v>0.29719220504530902</v>
      </c>
      <c r="S4118" t="s">
        <v>10764</v>
      </c>
      <c r="T4118" t="s">
        <v>13290</v>
      </c>
      <c r="U4118" t="s">
        <v>13290</v>
      </c>
      <c r="V4118" t="s">
        <v>13290</v>
      </c>
      <c r="W4118" t="s">
        <v>17360</v>
      </c>
      <c r="X4118">
        <v>4</v>
      </c>
      <c r="Y4118" t="s">
        <v>23856</v>
      </c>
      <c r="Z4118" t="s">
        <v>30448</v>
      </c>
      <c r="AA4118">
        <v>1.2896861099417709</v>
      </c>
      <c r="AB4118" t="str">
        <f>HYPERLINK("Melting_Curves/meltCurve_Q6P582_MZT2A.pdf", "Melting_Curves/meltCurve_Q6P582_MZT2A.pdf")</f>
        <v>Melting_Curves/meltCurve_Q6P582_MZT2A.pdf</v>
      </c>
    </row>
    <row r="4119" spans="1:28" x14ac:dyDescent="0.25">
      <c r="A4119" t="s">
        <v>4123</v>
      </c>
      <c r="B4119">
        <v>0.99252571173614901</v>
      </c>
      <c r="C4119">
        <v>1.0618370294436801</v>
      </c>
      <c r="D4119">
        <v>0.96460714881243803</v>
      </c>
      <c r="E4119">
        <v>1.00487422140547</v>
      </c>
      <c r="F4119">
        <v>0.80526671282345197</v>
      </c>
      <c r="G4119">
        <v>0.75496905701788497</v>
      </c>
      <c r="H4119">
        <v>0.73239046678859498</v>
      </c>
      <c r="I4119">
        <v>0.97125118881737305</v>
      </c>
      <c r="J4119">
        <v>1.26365942616427</v>
      </c>
      <c r="K4119">
        <v>1.34190579442911</v>
      </c>
      <c r="L4119">
        <v>15000</v>
      </c>
      <c r="M4119">
        <v>224.76135419588999</v>
      </c>
      <c r="O4119">
        <v>66.732176924501402</v>
      </c>
      <c r="P4119">
        <v>0.28790774917992401</v>
      </c>
      <c r="Q4119">
        <v>1.34192191671844</v>
      </c>
      <c r="R4119">
        <v>0.51346290851814103</v>
      </c>
      <c r="S4119" t="s">
        <v>10765</v>
      </c>
      <c r="T4119" t="s">
        <v>13290</v>
      </c>
      <c r="U4119" t="s">
        <v>13290</v>
      </c>
      <c r="V4119" t="s">
        <v>13290</v>
      </c>
      <c r="W4119" t="s">
        <v>17361</v>
      </c>
      <c r="X4119">
        <v>15</v>
      </c>
      <c r="Y4119" t="s">
        <v>23857</v>
      </c>
      <c r="Z4119" t="s">
        <v>30449</v>
      </c>
      <c r="AA4119">
        <v>1.037135117610078</v>
      </c>
      <c r="AB4119" t="str">
        <f>HYPERLINK("Melting_Curves/meltCurve_Q6P587_FAHD1.pdf", "Melting_Curves/meltCurve_Q6P587_FAHD1.pdf")</f>
        <v>Melting_Curves/meltCurve_Q6P587_FAHD1.pdf</v>
      </c>
    </row>
    <row r="4120" spans="1:28" x14ac:dyDescent="0.25">
      <c r="A4120" t="s">
        <v>4124</v>
      </c>
      <c r="B4120">
        <v>0.99252571173614901</v>
      </c>
      <c r="C4120">
        <v>0.96927549667243995</v>
      </c>
      <c r="D4120">
        <v>0.54956369706792096</v>
      </c>
      <c r="E4120">
        <v>0.523507987451035</v>
      </c>
      <c r="F4120">
        <v>0.388937857133765</v>
      </c>
      <c r="G4120">
        <v>0.24351262016791</v>
      </c>
      <c r="H4120">
        <v>0.18530893545067301</v>
      </c>
      <c r="I4120">
        <v>0.225262021384216</v>
      </c>
      <c r="J4120">
        <v>0.25329142687064099</v>
      </c>
      <c r="K4120">
        <v>0.25844389146262498</v>
      </c>
      <c r="L4120">
        <v>774.50886231712605</v>
      </c>
      <c r="M4120">
        <v>16.466268485125202</v>
      </c>
      <c r="N4120">
        <v>48.861759005966697</v>
      </c>
      <c r="O4120">
        <v>46.358798812821298</v>
      </c>
      <c r="P4120">
        <v>-6.8401826059219295E-2</v>
      </c>
      <c r="Q4120">
        <v>0.229745901171686</v>
      </c>
      <c r="R4120">
        <v>0.94756364002186699</v>
      </c>
      <c r="S4120" t="s">
        <v>10766</v>
      </c>
      <c r="T4120" t="s">
        <v>13290</v>
      </c>
      <c r="U4120" t="s">
        <v>13290</v>
      </c>
      <c r="V4120" t="s">
        <v>13290</v>
      </c>
      <c r="W4120" t="s">
        <v>17362</v>
      </c>
      <c r="X4120">
        <v>2</v>
      </c>
      <c r="Y4120" t="s">
        <v>23858</v>
      </c>
      <c r="Z4120" t="s">
        <v>30450</v>
      </c>
      <c r="AA4120">
        <v>0.42757869353505451</v>
      </c>
      <c r="AB4120" t="str">
        <f>HYPERLINK("Melting_Curves/meltCurve_Q6P6B7_2_ANKRD16.pdf", "Melting_Curves/meltCurve_Q6P6B7_2_ANKRD16.pdf")</f>
        <v>Melting_Curves/meltCurve_Q6P6B7_2_ANKRD16.pdf</v>
      </c>
    </row>
    <row r="4121" spans="1:28" x14ac:dyDescent="0.25">
      <c r="A4121" t="s">
        <v>4125</v>
      </c>
      <c r="B4121">
        <v>0.99252571173614901</v>
      </c>
      <c r="C4121">
        <v>1.0527430727484699</v>
      </c>
      <c r="D4121">
        <v>0.92144633792901398</v>
      </c>
      <c r="E4121">
        <v>0.72323402923192204</v>
      </c>
      <c r="F4121">
        <v>0.47436519918268599</v>
      </c>
      <c r="G4121">
        <v>0.31982918752622702</v>
      </c>
      <c r="H4121">
        <v>0.28042281621881698</v>
      </c>
      <c r="I4121">
        <v>0.355767558227366</v>
      </c>
      <c r="J4121">
        <v>0.44816512506422002</v>
      </c>
      <c r="K4121">
        <v>0.36890172240636299</v>
      </c>
      <c r="L4121">
        <v>1439.8337761467899</v>
      </c>
      <c r="M4121">
        <v>28.7634958079786</v>
      </c>
      <c r="N4121">
        <v>52.2867138842184</v>
      </c>
      <c r="O4121">
        <v>49.817589975593798</v>
      </c>
      <c r="P4121">
        <v>-9.3348055771381E-2</v>
      </c>
      <c r="Q4121">
        <v>0.35329982212298999</v>
      </c>
      <c r="R4121">
        <v>0.97179736643768999</v>
      </c>
      <c r="S4121" t="s">
        <v>10767</v>
      </c>
      <c r="T4121" t="s">
        <v>13290</v>
      </c>
      <c r="U4121" t="s">
        <v>13290</v>
      </c>
      <c r="V4121" t="s">
        <v>13290</v>
      </c>
      <c r="W4121" t="s">
        <v>17363</v>
      </c>
      <c r="X4121">
        <v>17</v>
      </c>
      <c r="Y4121" t="s">
        <v>23859</v>
      </c>
      <c r="Z4121" t="s">
        <v>30451</v>
      </c>
      <c r="AA4121">
        <v>0.57446916329064501</v>
      </c>
      <c r="AB4121" t="str">
        <f>HYPERLINK("Melting_Curves/meltCurve_Q6P6C2_ALKBH5.pdf", "Melting_Curves/meltCurve_Q6P6C2_ALKBH5.pdf")</f>
        <v>Melting_Curves/meltCurve_Q6P6C2_ALKBH5.pdf</v>
      </c>
    </row>
    <row r="4122" spans="1:28" x14ac:dyDescent="0.25">
      <c r="A4122" t="s">
        <v>4126</v>
      </c>
      <c r="B4122">
        <v>0.99252571173614901</v>
      </c>
      <c r="C4122">
        <v>0.75212677740882095</v>
      </c>
      <c r="D4122">
        <v>0.749019693001159</v>
      </c>
      <c r="E4122">
        <v>0.64688324172374001</v>
      </c>
      <c r="F4122">
        <v>0.524023706094499</v>
      </c>
      <c r="G4122">
        <v>0.348458449108066</v>
      </c>
      <c r="H4122">
        <v>0.13330202167074101</v>
      </c>
      <c r="I4122">
        <v>7.5774975556209295E-2</v>
      </c>
      <c r="J4122">
        <v>7.8926487129415607E-2</v>
      </c>
      <c r="K4122">
        <v>5.7720017091893297E-2</v>
      </c>
      <c r="L4122">
        <v>502.43859322614202</v>
      </c>
      <c r="M4122">
        <v>9.6708351596316895</v>
      </c>
      <c r="N4122">
        <v>51.953995742858901</v>
      </c>
      <c r="O4122">
        <v>49.878398134687302</v>
      </c>
      <c r="P4122">
        <v>-4.8498850884939201E-2</v>
      </c>
      <c r="Q4122">
        <v>0</v>
      </c>
      <c r="R4122">
        <v>0.96320657389848097</v>
      </c>
      <c r="S4122" t="s">
        <v>10768</v>
      </c>
      <c r="T4122" t="s">
        <v>13290</v>
      </c>
      <c r="U4122" t="s">
        <v>13290</v>
      </c>
      <c r="V4122" t="s">
        <v>13290</v>
      </c>
      <c r="W4122" t="s">
        <v>17364</v>
      </c>
      <c r="X4122">
        <v>8</v>
      </c>
      <c r="Y4122" t="s">
        <v>23860</v>
      </c>
      <c r="Z4122" t="s">
        <v>30452</v>
      </c>
      <c r="AA4122">
        <v>0.43799583669781822</v>
      </c>
      <c r="AB4122" t="str">
        <f>HYPERLINK("Melting_Curves/meltCurve_Q6P988_NOTUM.pdf", "Melting_Curves/meltCurve_Q6P988_NOTUM.pdf")</f>
        <v>Melting_Curves/meltCurve_Q6P988_NOTUM.pdf</v>
      </c>
    </row>
    <row r="4123" spans="1:28" x14ac:dyDescent="0.25">
      <c r="A4123" t="s">
        <v>4127</v>
      </c>
      <c r="B4123">
        <v>0.99252571173614901</v>
      </c>
      <c r="C4123">
        <v>1.04007985333192</v>
      </c>
      <c r="D4123">
        <v>0.96204189725682598</v>
      </c>
      <c r="E4123">
        <v>0.86057672091929105</v>
      </c>
      <c r="F4123">
        <v>0.67842667021958203</v>
      </c>
      <c r="G4123">
        <v>0.359315298982259</v>
      </c>
      <c r="H4123">
        <v>0.170542008480806</v>
      </c>
      <c r="I4123">
        <v>0.13792505665051</v>
      </c>
      <c r="J4123">
        <v>0.124365713042624</v>
      </c>
      <c r="K4123">
        <v>0.13301200707286301</v>
      </c>
      <c r="L4123">
        <v>1138.1415044676201</v>
      </c>
      <c r="M4123">
        <v>20.9451203127221</v>
      </c>
      <c r="N4123">
        <v>54.963923731784099</v>
      </c>
      <c r="O4123">
        <v>53.851161694263297</v>
      </c>
      <c r="P4123">
        <v>-8.6939045448117702E-2</v>
      </c>
      <c r="Q4123">
        <v>0.10592223582343099</v>
      </c>
      <c r="R4123">
        <v>0.99650162240469398</v>
      </c>
      <c r="S4123" t="s">
        <v>10769</v>
      </c>
      <c r="T4123" t="s">
        <v>13290</v>
      </c>
      <c r="U4123" t="s">
        <v>13290</v>
      </c>
      <c r="V4123" t="s">
        <v>13290</v>
      </c>
      <c r="W4123" t="s">
        <v>17365</v>
      </c>
      <c r="X4123">
        <v>12</v>
      </c>
      <c r="Y4123" t="s">
        <v>23861</v>
      </c>
      <c r="Z4123" t="s">
        <v>30453</v>
      </c>
      <c r="AA4123">
        <v>0.54448828195368215</v>
      </c>
      <c r="AB4123" t="str">
        <f>HYPERLINK("Melting_Curves/meltCurve_Q6PCB5_RSBN1L.pdf", "Melting_Curves/meltCurve_Q6PCB5_RSBN1L.pdf")</f>
        <v>Melting_Curves/meltCurve_Q6PCB5_RSBN1L.pdf</v>
      </c>
    </row>
    <row r="4124" spans="1:28" x14ac:dyDescent="0.25">
      <c r="A4124" t="s">
        <v>4128</v>
      </c>
      <c r="B4124">
        <v>0.99252571173614901</v>
      </c>
      <c r="C4124">
        <v>0.92631298440663501</v>
      </c>
      <c r="D4124">
        <v>0.75463476239694205</v>
      </c>
      <c r="E4124">
        <v>0.51207710481709501</v>
      </c>
      <c r="F4124">
        <v>0.25473767062691999</v>
      </c>
      <c r="G4124">
        <v>0.126370638769043</v>
      </c>
      <c r="H4124">
        <v>8.4059844522062499E-2</v>
      </c>
      <c r="I4124">
        <v>8.8314986134855694E-2</v>
      </c>
      <c r="J4124">
        <v>0.157306927185452</v>
      </c>
      <c r="K4124">
        <v>0.10745828607734</v>
      </c>
      <c r="L4124">
        <v>896.05589260229499</v>
      </c>
      <c r="M4124">
        <v>18.356833858482499</v>
      </c>
      <c r="N4124">
        <v>49.370203200016398</v>
      </c>
      <c r="O4124">
        <v>48.244980527033597</v>
      </c>
      <c r="P4124">
        <v>-8.6229906455818003E-2</v>
      </c>
      <c r="Q4124">
        <v>9.3532060898505007E-2</v>
      </c>
      <c r="R4124">
        <v>0.99388250558675895</v>
      </c>
      <c r="S4124" t="s">
        <v>10770</v>
      </c>
      <c r="T4124" t="s">
        <v>13290</v>
      </c>
      <c r="U4124" t="s">
        <v>13290</v>
      </c>
      <c r="V4124" t="s">
        <v>13290</v>
      </c>
      <c r="W4124" t="s">
        <v>17366</v>
      </c>
      <c r="X4124">
        <v>3</v>
      </c>
      <c r="Y4124" t="s">
        <v>23862</v>
      </c>
      <c r="Z4124" t="s">
        <v>30454</v>
      </c>
      <c r="AA4124">
        <v>0.37497541464385697</v>
      </c>
      <c r="AB4124" t="str">
        <f>HYPERLINK("Melting_Curves/meltCurve_Q6PCB6_2_ABHD17C.pdf", "Melting_Curves/meltCurve_Q6PCB6_2_ABHD17C.pdf")</f>
        <v>Melting_Curves/meltCurve_Q6PCB6_2_ABHD17C.pdf</v>
      </c>
    </row>
    <row r="4125" spans="1:28" x14ac:dyDescent="0.25">
      <c r="A4125" t="s">
        <v>4129</v>
      </c>
      <c r="B4125">
        <v>0.99252571173614901</v>
      </c>
      <c r="C4125">
        <v>1.20141137654737</v>
      </c>
      <c r="D4125">
        <v>0.87984828705348095</v>
      </c>
      <c r="E4125">
        <v>0.91558728070517104</v>
      </c>
      <c r="F4125">
        <v>0.51871787907077604</v>
      </c>
      <c r="G4125">
        <v>0.15504913602453399</v>
      </c>
      <c r="H4125">
        <v>3.7974551567583899E-2</v>
      </c>
      <c r="I4125">
        <v>4.0939499054805199E-2</v>
      </c>
      <c r="J4125">
        <v>0</v>
      </c>
      <c r="K4125">
        <v>8.1925216556694297E-2</v>
      </c>
      <c r="L4125">
        <v>1626.25980494331</v>
      </c>
      <c r="M4125">
        <v>30.564980790768999</v>
      </c>
      <c r="N4125">
        <v>53.326675445185302</v>
      </c>
      <c r="O4125">
        <v>52.980431461401402</v>
      </c>
      <c r="P4125">
        <v>-0.13943371750602301</v>
      </c>
      <c r="Q4125">
        <v>3.32446800285192E-2</v>
      </c>
      <c r="R4125">
        <v>0.97156200645632196</v>
      </c>
      <c r="S4125" t="s">
        <v>10771</v>
      </c>
      <c r="T4125" t="s">
        <v>13290</v>
      </c>
      <c r="U4125" t="s">
        <v>13290</v>
      </c>
      <c r="V4125" t="s">
        <v>13290</v>
      </c>
      <c r="W4125" t="s">
        <v>17367</v>
      </c>
      <c r="X4125">
        <v>7</v>
      </c>
      <c r="Y4125" t="s">
        <v>23863</v>
      </c>
      <c r="Z4125" t="s">
        <v>30455</v>
      </c>
      <c r="AA4125">
        <v>0.46489279455659721</v>
      </c>
      <c r="AB4125" t="str">
        <f>HYPERLINK("Melting_Curves/meltCurve_Q6PCE3_PGM2L1.pdf", "Melting_Curves/meltCurve_Q6PCE3_PGM2L1.pdf")</f>
        <v>Melting_Curves/meltCurve_Q6PCE3_PGM2L1.pdf</v>
      </c>
    </row>
    <row r="4126" spans="1:28" x14ac:dyDescent="0.25">
      <c r="A4126" t="s">
        <v>4130</v>
      </c>
      <c r="B4126">
        <v>0.99252571173614901</v>
      </c>
      <c r="C4126">
        <v>0.843848583628795</v>
      </c>
      <c r="D4126">
        <v>0.76544386586312696</v>
      </c>
      <c r="E4126">
        <v>0.27099285484003</v>
      </c>
      <c r="F4126">
        <v>0.15697396509929201</v>
      </c>
      <c r="G4126">
        <v>9.27506025863232E-2</v>
      </c>
      <c r="H4126">
        <v>6.5608068323791902E-2</v>
      </c>
      <c r="I4126">
        <v>6.8128181124783194E-2</v>
      </c>
      <c r="J4126">
        <v>7.6186708765139999E-2</v>
      </c>
      <c r="K4126">
        <v>7.1883604007516699E-2</v>
      </c>
      <c r="L4126">
        <v>1136.7236800877199</v>
      </c>
      <c r="M4126">
        <v>23.943696378161398</v>
      </c>
      <c r="N4126">
        <v>47.774599149578897</v>
      </c>
      <c r="O4126">
        <v>47.147430233923899</v>
      </c>
      <c r="P4126">
        <v>-0.118109135903346</v>
      </c>
      <c r="Q4126">
        <v>6.9742189240333693E-2</v>
      </c>
      <c r="R4126">
        <v>0.98869607815386096</v>
      </c>
      <c r="S4126" t="s">
        <v>10772</v>
      </c>
      <c r="T4126" t="s">
        <v>13290</v>
      </c>
      <c r="U4126" t="s">
        <v>13290</v>
      </c>
      <c r="V4126" t="s">
        <v>13290</v>
      </c>
      <c r="W4126" t="s">
        <v>17368</v>
      </c>
      <c r="X4126">
        <v>19</v>
      </c>
      <c r="Y4126" t="s">
        <v>23864</v>
      </c>
      <c r="Z4126" t="s">
        <v>30456</v>
      </c>
      <c r="AA4126">
        <v>0.31058436823548691</v>
      </c>
      <c r="AB4126" t="str">
        <f>HYPERLINK("Melting_Curves/meltCurve_Q6PD62_CTR9.pdf", "Melting_Curves/meltCurve_Q6PD62_CTR9.pdf")</f>
        <v>Melting_Curves/meltCurve_Q6PD62_CTR9.pdf</v>
      </c>
    </row>
    <row r="4127" spans="1:28" x14ac:dyDescent="0.25">
      <c r="A4127" t="s">
        <v>4131</v>
      </c>
      <c r="B4127">
        <v>0.99252571173614901</v>
      </c>
      <c r="C4127">
        <v>1.0111639064800699</v>
      </c>
      <c r="D4127">
        <v>0.73515985838297804</v>
      </c>
      <c r="E4127">
        <v>0.336797233485638</v>
      </c>
      <c r="F4127">
        <v>0.18139155605027099</v>
      </c>
      <c r="G4127">
        <v>0.108631117455104</v>
      </c>
      <c r="H4127">
        <v>7.1446355158688593E-2</v>
      </c>
      <c r="I4127">
        <v>6.9861658773763602E-2</v>
      </c>
      <c r="J4127">
        <v>6.2475729609402703E-2</v>
      </c>
      <c r="K4127">
        <v>5.4193431566602002E-2</v>
      </c>
      <c r="L4127">
        <v>1185.39129575181</v>
      </c>
      <c r="M4127">
        <v>24.757171567432199</v>
      </c>
      <c r="N4127">
        <v>48.186868232754897</v>
      </c>
      <c r="O4127">
        <v>47.571603357638899</v>
      </c>
      <c r="P4127">
        <v>-0.120638725585101</v>
      </c>
      <c r="Q4127">
        <v>7.2770109605185707E-2</v>
      </c>
      <c r="R4127">
        <v>0.99551269294852396</v>
      </c>
      <c r="S4127" t="s">
        <v>10773</v>
      </c>
      <c r="T4127" t="s">
        <v>13290</v>
      </c>
      <c r="U4127" t="s">
        <v>13290</v>
      </c>
      <c r="V4127" t="s">
        <v>13290</v>
      </c>
      <c r="W4127" t="s">
        <v>17369</v>
      </c>
      <c r="X4127">
        <v>4</v>
      </c>
      <c r="Y4127" t="s">
        <v>23865</v>
      </c>
      <c r="Z4127" t="s">
        <v>30457</v>
      </c>
      <c r="AA4127">
        <v>0.32471577986993488</v>
      </c>
      <c r="AB4127" t="str">
        <f>HYPERLINK("Melting_Curves/meltCurve_Q6PD74_AAGAB.pdf", "Melting_Curves/meltCurve_Q6PD74_AAGAB.pdf")</f>
        <v>Melting_Curves/meltCurve_Q6PD74_AAGAB.pdf</v>
      </c>
    </row>
    <row r="4128" spans="1:28" x14ac:dyDescent="0.25">
      <c r="A4128" t="s">
        <v>4132</v>
      </c>
      <c r="B4128">
        <v>0.99252571173614901</v>
      </c>
      <c r="C4128">
        <v>0.74480924817598104</v>
      </c>
      <c r="D4128">
        <v>0.58268185991415</v>
      </c>
      <c r="E4128">
        <v>0.19759271404738399</v>
      </c>
      <c r="F4128">
        <v>0.123318384015974</v>
      </c>
      <c r="G4128">
        <v>7.5560897103230801E-2</v>
      </c>
      <c r="H4128">
        <v>7.4782075330574599E-2</v>
      </c>
      <c r="I4128">
        <v>5.9650992336762597E-2</v>
      </c>
      <c r="J4128">
        <v>6.5053437342249706E-2</v>
      </c>
      <c r="K4128">
        <v>7.4927360457354597E-2</v>
      </c>
      <c r="L4128">
        <v>897.73264929202696</v>
      </c>
      <c r="M4128">
        <v>19.546612799773499</v>
      </c>
      <c r="N4128">
        <v>46.231521276844497</v>
      </c>
      <c r="O4128">
        <v>45.455180214177503</v>
      </c>
      <c r="P4128">
        <v>-0.101030466718617</v>
      </c>
      <c r="Q4128">
        <v>6.0257771296855403E-2</v>
      </c>
      <c r="R4128">
        <v>0.98897232236613497</v>
      </c>
      <c r="S4128" t="s">
        <v>10774</v>
      </c>
      <c r="T4128" t="s">
        <v>13290</v>
      </c>
      <c r="U4128" t="s">
        <v>13290</v>
      </c>
      <c r="V4128" t="s">
        <v>13290</v>
      </c>
      <c r="W4128" t="s">
        <v>17370</v>
      </c>
      <c r="X4128">
        <v>11</v>
      </c>
      <c r="Y4128" t="s">
        <v>23866</v>
      </c>
      <c r="Z4128" t="s">
        <v>30458</v>
      </c>
      <c r="AA4128">
        <v>0.2613346346606763</v>
      </c>
      <c r="AB4128" t="str">
        <f>HYPERLINK("Melting_Curves/meltCurve_Q6PGP7_TTC37.pdf", "Melting_Curves/meltCurve_Q6PGP7_TTC37.pdf")</f>
        <v>Melting_Curves/meltCurve_Q6PGP7_TTC37.pdf</v>
      </c>
    </row>
    <row r="4129" spans="1:28" x14ac:dyDescent="0.25">
      <c r="A4129" t="s">
        <v>4133</v>
      </c>
      <c r="B4129">
        <v>0.99252571173614901</v>
      </c>
      <c r="C4129">
        <v>1.0511010472812099</v>
      </c>
      <c r="D4129">
        <v>0.87438093427093599</v>
      </c>
      <c r="E4129">
        <v>0.73654689044588195</v>
      </c>
      <c r="F4129">
        <v>0.23380663738441501</v>
      </c>
      <c r="G4129">
        <v>0.14504250144625799</v>
      </c>
      <c r="H4129">
        <v>0.12713274811775899</v>
      </c>
      <c r="I4129">
        <v>0.16799248106074099</v>
      </c>
      <c r="J4129">
        <v>0.20882352199263199</v>
      </c>
      <c r="K4129">
        <v>0.21290673766582399</v>
      </c>
      <c r="L4129">
        <v>2105.9806684180598</v>
      </c>
      <c r="M4129">
        <v>41.7840496371917</v>
      </c>
      <c r="N4129">
        <v>50.901729365460902</v>
      </c>
      <c r="O4129">
        <v>50.286510986605002</v>
      </c>
      <c r="P4129">
        <v>-0.172754634245777</v>
      </c>
      <c r="Q4129">
        <v>0.16837044665412401</v>
      </c>
      <c r="R4129">
        <v>0.98378095495850804</v>
      </c>
      <c r="S4129" t="s">
        <v>10775</v>
      </c>
      <c r="T4129" t="s">
        <v>13290</v>
      </c>
      <c r="U4129" t="s">
        <v>13290</v>
      </c>
      <c r="V4129" t="s">
        <v>13290</v>
      </c>
      <c r="W4129" t="s">
        <v>17371</v>
      </c>
      <c r="X4129">
        <v>4</v>
      </c>
      <c r="Y4129" t="s">
        <v>23867</v>
      </c>
      <c r="Z4129" t="s">
        <v>30459</v>
      </c>
      <c r="AA4129">
        <v>0.45936531352727072</v>
      </c>
      <c r="AB4129" t="str">
        <f>HYPERLINK("Melting_Curves/meltCurve_Q6PH81_C16orf87.pdf", "Melting_Curves/meltCurve_Q6PH81_C16orf87.pdf")</f>
        <v>Melting_Curves/meltCurve_Q6PH81_C16orf87.pdf</v>
      </c>
    </row>
    <row r="4130" spans="1:28" x14ac:dyDescent="0.25">
      <c r="A4130" t="s">
        <v>4134</v>
      </c>
      <c r="B4130">
        <v>0.99252571173614901</v>
      </c>
      <c r="C4130">
        <v>0.96676992144960705</v>
      </c>
      <c r="D4130">
        <v>0.49998397172099501</v>
      </c>
      <c r="E4130">
        <v>0.19405392647909001</v>
      </c>
      <c r="F4130">
        <v>0.119683064654435</v>
      </c>
      <c r="G4130">
        <v>8.1763482168098298E-2</v>
      </c>
      <c r="H4130">
        <v>6.3705729498643601E-2</v>
      </c>
      <c r="I4130">
        <v>4.4046451662469198E-2</v>
      </c>
      <c r="J4130">
        <v>6.3154960579735603E-2</v>
      </c>
      <c r="K4130">
        <v>6.9289591989043803E-2</v>
      </c>
      <c r="L4130">
        <v>1509.62071043381</v>
      </c>
      <c r="M4130">
        <v>32.853977029373297</v>
      </c>
      <c r="N4130">
        <v>46.181572288107098</v>
      </c>
      <c r="O4130">
        <v>45.780171083304403</v>
      </c>
      <c r="P4130">
        <v>-0.165754969522241</v>
      </c>
      <c r="Q4130">
        <v>7.6123274112784398E-2</v>
      </c>
      <c r="R4130">
        <v>0.99413463874692698</v>
      </c>
      <c r="S4130" t="s">
        <v>10776</v>
      </c>
      <c r="T4130" t="s">
        <v>13290</v>
      </c>
      <c r="U4130" t="s">
        <v>13290</v>
      </c>
      <c r="V4130" t="s">
        <v>13290</v>
      </c>
      <c r="W4130" t="s">
        <v>17372</v>
      </c>
      <c r="X4130">
        <v>1</v>
      </c>
      <c r="Y4130" t="s">
        <v>23868</v>
      </c>
      <c r="Z4130" t="s">
        <v>30460</v>
      </c>
      <c r="AA4130">
        <v>0.26394231580725019</v>
      </c>
      <c r="AB4130" t="str">
        <f>HYPERLINK("Melting_Curves/meltCurve_Q6PI47_3_KCTD18.pdf", "Melting_Curves/meltCurve_Q6PI47_3_KCTD18.pdf")</f>
        <v>Melting_Curves/meltCurve_Q6PI47_3_KCTD18.pdf</v>
      </c>
    </row>
    <row r="4131" spans="1:28" x14ac:dyDescent="0.25">
      <c r="A4131" t="s">
        <v>4135</v>
      </c>
      <c r="B4131">
        <v>0.99252571173614901</v>
      </c>
      <c r="C4131">
        <v>0.96620385552967003</v>
      </c>
      <c r="D4131">
        <v>0.98935003533279298</v>
      </c>
      <c r="E4131">
        <v>0.917476297099314</v>
      </c>
      <c r="F4131">
        <v>0.78222902093579205</v>
      </c>
      <c r="G4131">
        <v>0.51739369285900305</v>
      </c>
      <c r="H4131">
        <v>0.25915688199096498</v>
      </c>
      <c r="I4131">
        <v>0.104256275372218</v>
      </c>
      <c r="J4131">
        <v>0.107650644174923</v>
      </c>
      <c r="K4131">
        <v>9.2375269323106399E-2</v>
      </c>
      <c r="L4131">
        <v>1070.0218278582499</v>
      </c>
      <c r="M4131">
        <v>18.9132819829473</v>
      </c>
      <c r="N4131">
        <v>56.895193470828701</v>
      </c>
      <c r="O4131">
        <v>55.954063039873503</v>
      </c>
      <c r="P4131">
        <v>-8.0242607965735901E-2</v>
      </c>
      <c r="Q4131">
        <v>5.0462481020266597E-2</v>
      </c>
      <c r="R4131">
        <v>0.99738457571996997</v>
      </c>
      <c r="S4131" t="s">
        <v>10777</v>
      </c>
      <c r="T4131" t="s">
        <v>13290</v>
      </c>
      <c r="U4131" t="s">
        <v>13290</v>
      </c>
      <c r="V4131" t="s">
        <v>13290</v>
      </c>
      <c r="W4131" t="s">
        <v>17373</v>
      </c>
      <c r="X4131">
        <v>24</v>
      </c>
      <c r="Y4131" t="s">
        <v>23869</v>
      </c>
      <c r="Z4131" t="s">
        <v>30461</v>
      </c>
      <c r="AA4131">
        <v>0.58783283426836863</v>
      </c>
      <c r="AB4131" t="str">
        <f>HYPERLINK("Melting_Curves/meltCurve_Q6PI48_DARS2.pdf", "Melting_Curves/meltCurve_Q6PI48_DARS2.pdf")</f>
        <v>Melting_Curves/meltCurve_Q6PI48_DARS2.pdf</v>
      </c>
    </row>
    <row r="4132" spans="1:28" x14ac:dyDescent="0.25">
      <c r="A4132" t="s">
        <v>4136</v>
      </c>
      <c r="B4132">
        <v>0.99252571173614901</v>
      </c>
      <c r="C4132">
        <v>1.06569633946538</v>
      </c>
      <c r="D4132">
        <v>0.98265328861988699</v>
      </c>
      <c r="E4132">
        <v>0.83822474474805497</v>
      </c>
      <c r="F4132">
        <v>0.40336203746537902</v>
      </c>
      <c r="G4132">
        <v>0.24470071906545399</v>
      </c>
      <c r="H4132">
        <v>0.19292998928976601</v>
      </c>
      <c r="I4132">
        <v>0.218692689999678</v>
      </c>
      <c r="J4132">
        <v>0.24529119811622399</v>
      </c>
      <c r="K4132">
        <v>0.23124442428477801</v>
      </c>
      <c r="L4132">
        <v>1867.8832301908999</v>
      </c>
      <c r="M4132">
        <v>36.311800590519702</v>
      </c>
      <c r="N4132">
        <v>52.281179693737798</v>
      </c>
      <c r="O4132">
        <v>51.284849590591001</v>
      </c>
      <c r="P4132">
        <v>-0.1378539633144</v>
      </c>
      <c r="Q4132">
        <v>0.22121204675020201</v>
      </c>
      <c r="R4132">
        <v>0.99518429212021697</v>
      </c>
      <c r="S4132" t="s">
        <v>10778</v>
      </c>
      <c r="T4132" t="s">
        <v>13290</v>
      </c>
      <c r="U4132" t="s">
        <v>13290</v>
      </c>
      <c r="V4132" t="s">
        <v>13290</v>
      </c>
      <c r="W4132" t="s">
        <v>17374</v>
      </c>
      <c r="X4132">
        <v>3</v>
      </c>
      <c r="Y4132" t="s">
        <v>23870</v>
      </c>
      <c r="Z4132" t="s">
        <v>30462</v>
      </c>
      <c r="AA4132">
        <v>0.5215562633300016</v>
      </c>
      <c r="AB4132" t="str">
        <f>HYPERLINK("Melting_Curves/meltCurve_Q6PID6_TTC33.pdf", "Melting_Curves/meltCurve_Q6PID6_TTC33.pdf")</f>
        <v>Melting_Curves/meltCurve_Q6PID6_TTC33.pdf</v>
      </c>
    </row>
    <row r="4133" spans="1:28" x14ac:dyDescent="0.25">
      <c r="A4133" t="s">
        <v>4137</v>
      </c>
      <c r="B4133">
        <v>0.99252571173614901</v>
      </c>
      <c r="C4133">
        <v>1.01027034573049</v>
      </c>
      <c r="D4133">
        <v>0.93973491332265502</v>
      </c>
      <c r="E4133">
        <v>0.88040137389262196</v>
      </c>
      <c r="F4133">
        <v>0.69152781780853501</v>
      </c>
      <c r="G4133">
        <v>0.55240614184326398</v>
      </c>
      <c r="H4133">
        <v>0.56734648064828896</v>
      </c>
      <c r="I4133">
        <v>0.67315243339222597</v>
      </c>
      <c r="J4133">
        <v>1.0824340971050701</v>
      </c>
      <c r="K4133">
        <v>1.2118260214904899</v>
      </c>
      <c r="L4133">
        <v>1806.45710162928</v>
      </c>
      <c r="M4133">
        <v>37.7986889220712</v>
      </c>
      <c r="O4133">
        <v>47.658348843798002</v>
      </c>
      <c r="P4133">
        <v>-3.9508819455156302E-2</v>
      </c>
      <c r="Q4133">
        <v>0.80074227350618299</v>
      </c>
      <c r="R4133">
        <v>0.14559353096715899</v>
      </c>
      <c r="S4133" t="s">
        <v>10779</v>
      </c>
      <c r="T4133" t="s">
        <v>13290</v>
      </c>
      <c r="U4133" t="s">
        <v>13290</v>
      </c>
      <c r="V4133" t="s">
        <v>13290</v>
      </c>
      <c r="W4133" t="s">
        <v>17375</v>
      </c>
      <c r="X4133">
        <v>6</v>
      </c>
      <c r="Y4133" t="s">
        <v>23871</v>
      </c>
      <c r="Z4133" t="s">
        <v>30463</v>
      </c>
      <c r="AA4133">
        <v>0.8532346167474173</v>
      </c>
      <c r="AB4133" t="str">
        <f>HYPERLINK("Melting_Curves/meltCurve_Q6PII3_CCDC174.pdf", "Melting_Curves/meltCurve_Q6PII3_CCDC174.pdf")</f>
        <v>Melting_Curves/meltCurve_Q6PII3_CCDC174.pdf</v>
      </c>
    </row>
    <row r="4134" spans="1:28" x14ac:dyDescent="0.25">
      <c r="A4134" t="s">
        <v>4138</v>
      </c>
      <c r="B4134">
        <v>0.99252571173614901</v>
      </c>
      <c r="C4134">
        <v>0.97902369487902696</v>
      </c>
      <c r="D4134">
        <v>0.88075501094742203</v>
      </c>
      <c r="E4134">
        <v>0.72817948941189603</v>
      </c>
      <c r="F4134">
        <v>0.50981082995238702</v>
      </c>
      <c r="G4134">
        <v>0.38783696363130699</v>
      </c>
      <c r="H4134">
        <v>0.322817977257986</v>
      </c>
      <c r="I4134">
        <v>0.371802457093386</v>
      </c>
      <c r="J4134">
        <v>0.36977568053395099</v>
      </c>
      <c r="K4134">
        <v>0.26659870412758202</v>
      </c>
      <c r="L4134">
        <v>905.64419867607103</v>
      </c>
      <c r="M4134">
        <v>17.9352916297502</v>
      </c>
      <c r="N4134">
        <v>53.479968224625097</v>
      </c>
      <c r="O4134">
        <v>49.879899526617898</v>
      </c>
      <c r="P4134">
        <v>-6.1467216299566599E-2</v>
      </c>
      <c r="Q4134">
        <v>0.316247496133022</v>
      </c>
      <c r="R4134">
        <v>0.98915390236746104</v>
      </c>
      <c r="S4134" t="s">
        <v>10780</v>
      </c>
      <c r="T4134" t="s">
        <v>13290</v>
      </c>
      <c r="U4134" t="s">
        <v>13290</v>
      </c>
      <c r="V4134" t="s">
        <v>13290</v>
      </c>
      <c r="W4134" t="s">
        <v>17376</v>
      </c>
      <c r="X4134">
        <v>5</v>
      </c>
      <c r="Y4134" t="s">
        <v>23872</v>
      </c>
      <c r="Z4134" t="s">
        <v>30464</v>
      </c>
      <c r="AA4134">
        <v>0.5671155582655707</v>
      </c>
      <c r="AB4134" t="str">
        <f>HYPERLINK("Melting_Curves/meltCurve_Q6PII5_2_HAGHL.pdf", "Melting_Curves/meltCurve_Q6PII5_2_HAGHL.pdf")</f>
        <v>Melting_Curves/meltCurve_Q6PII5_2_HAGHL.pdf</v>
      </c>
    </row>
    <row r="4135" spans="1:28" x14ac:dyDescent="0.25">
      <c r="A4135" t="s">
        <v>4139</v>
      </c>
      <c r="B4135">
        <v>0.99252571173614901</v>
      </c>
      <c r="C4135">
        <v>0.94828009701518801</v>
      </c>
      <c r="D4135">
        <v>1.1790758013911899</v>
      </c>
      <c r="E4135">
        <v>1.13601422444746</v>
      </c>
      <c r="F4135">
        <v>0.48856338407942101</v>
      </c>
      <c r="G4135">
        <v>0.1429201033228</v>
      </c>
      <c r="H4135">
        <v>0.101401802246072</v>
      </c>
      <c r="I4135">
        <v>6.8418120657740805E-2</v>
      </c>
      <c r="J4135">
        <v>8.2033714964545701E-2</v>
      </c>
      <c r="K4135">
        <v>8.8306631463253502E-2</v>
      </c>
      <c r="L4135">
        <v>10079.9314246145</v>
      </c>
      <c r="M4135">
        <v>189.738481492434</v>
      </c>
      <c r="N4135">
        <v>53.185580883862102</v>
      </c>
      <c r="O4135">
        <v>53.119492078462699</v>
      </c>
      <c r="P4135">
        <v>-0.80670430952090699</v>
      </c>
      <c r="Q4135">
        <v>9.6615041380921904E-2</v>
      </c>
      <c r="R4135">
        <v>0.97334136472021204</v>
      </c>
      <c r="S4135" t="s">
        <v>10781</v>
      </c>
      <c r="T4135" t="s">
        <v>13290</v>
      </c>
      <c r="U4135" t="s">
        <v>13290</v>
      </c>
      <c r="V4135" t="s">
        <v>13290</v>
      </c>
      <c r="W4135" t="s">
        <v>17377</v>
      </c>
      <c r="X4135">
        <v>5</v>
      </c>
      <c r="Y4135" t="s">
        <v>23873</v>
      </c>
      <c r="Z4135" t="s">
        <v>30465</v>
      </c>
      <c r="AA4135">
        <v>0.49200404699809591</v>
      </c>
      <c r="AB4135" t="str">
        <f>HYPERLINK("Melting_Curves/meltCurve_Q6PIJ6_FBXO38.pdf", "Melting_Curves/meltCurve_Q6PIJ6_FBXO38.pdf")</f>
        <v>Melting_Curves/meltCurve_Q6PIJ6_FBXO38.pdf</v>
      </c>
    </row>
    <row r="4136" spans="1:28" x14ac:dyDescent="0.25">
      <c r="A4136" t="s">
        <v>4140</v>
      </c>
      <c r="B4136">
        <v>0.99252571173614901</v>
      </c>
      <c r="C4136">
        <v>1.0952542223669299</v>
      </c>
      <c r="D4136">
        <v>1.0383696813205401</v>
      </c>
      <c r="E4136">
        <v>1.0335288951403401</v>
      </c>
      <c r="F4136">
        <v>0.75660522899816995</v>
      </c>
      <c r="G4136">
        <v>0.43426848538136298</v>
      </c>
      <c r="H4136">
        <v>0.35939544089389502</v>
      </c>
      <c r="I4136">
        <v>0.464445202005555</v>
      </c>
      <c r="J4136">
        <v>0.85822292575523196</v>
      </c>
      <c r="K4136">
        <v>0.87496019119700696</v>
      </c>
      <c r="L4136">
        <v>13277.129435402599</v>
      </c>
      <c r="M4136">
        <v>250</v>
      </c>
      <c r="O4136">
        <v>53.105119359227899</v>
      </c>
      <c r="P4136">
        <v>-0.472814056620667</v>
      </c>
      <c r="Q4136">
        <v>0.598258451478205</v>
      </c>
      <c r="R4136">
        <v>0.62437497681569398</v>
      </c>
      <c r="S4136" t="s">
        <v>10782</v>
      </c>
      <c r="T4136" t="s">
        <v>13290</v>
      </c>
      <c r="U4136" t="s">
        <v>13290</v>
      </c>
      <c r="V4136" t="s">
        <v>13290</v>
      </c>
      <c r="W4136" t="s">
        <v>17378</v>
      </c>
      <c r="X4136">
        <v>2</v>
      </c>
      <c r="Y4136" t="s">
        <v>23874</v>
      </c>
      <c r="Z4136" t="s">
        <v>30466</v>
      </c>
      <c r="AA4136">
        <v>0.77383710285874363</v>
      </c>
      <c r="AB4136" t="str">
        <f>HYPERLINK("Melting_Curves/meltCurve_Q6PIR0_CENPC1.pdf", "Melting_Curves/meltCurve_Q6PIR0_CENPC1.pdf")</f>
        <v>Melting_Curves/meltCurve_Q6PIR0_CENPC1.pdf</v>
      </c>
    </row>
    <row r="4137" spans="1:28" x14ac:dyDescent="0.25">
      <c r="A4137" t="s">
        <v>4141</v>
      </c>
      <c r="B4137">
        <v>0.99252571173614901</v>
      </c>
      <c r="C4137">
        <v>0.74640818388998498</v>
      </c>
      <c r="D4137">
        <v>0.26002085456572399</v>
      </c>
      <c r="E4137">
        <v>0.127437150207037</v>
      </c>
      <c r="F4137">
        <v>9.4707854013343098E-2</v>
      </c>
      <c r="G4137">
        <v>5.7755788690490202E-2</v>
      </c>
      <c r="H4137">
        <v>3.7554442898461202E-2</v>
      </c>
      <c r="I4137">
        <v>3.5510324876355498E-2</v>
      </c>
      <c r="J4137">
        <v>4.6085223967206802E-2</v>
      </c>
      <c r="K4137">
        <v>3.0745687696604199E-2</v>
      </c>
      <c r="L4137">
        <v>1404.6944706567999</v>
      </c>
      <c r="M4137">
        <v>31.7413406382319</v>
      </c>
      <c r="N4137">
        <v>44.4169342914483</v>
      </c>
      <c r="O4137">
        <v>44.079871421011902</v>
      </c>
      <c r="P4137">
        <v>-0.17015442750649601</v>
      </c>
      <c r="Q4137">
        <v>5.48167033516683E-2</v>
      </c>
      <c r="R4137">
        <v>0.99512121649137497</v>
      </c>
      <c r="S4137" t="s">
        <v>10783</v>
      </c>
      <c r="T4137" t="s">
        <v>13290</v>
      </c>
      <c r="U4137" t="s">
        <v>13290</v>
      </c>
      <c r="V4137" t="s">
        <v>13290</v>
      </c>
      <c r="W4137" t="s">
        <v>17379</v>
      </c>
      <c r="X4137">
        <v>4</v>
      </c>
      <c r="Y4137" t="s">
        <v>23875</v>
      </c>
      <c r="Z4137" t="s">
        <v>30467</v>
      </c>
      <c r="AA4137">
        <v>0.19461532629386161</v>
      </c>
      <c r="AB4137" t="str">
        <f>HYPERLINK("Melting_Curves/meltCurve_Q6PIW4_2_FIGNL1.pdf", "Melting_Curves/meltCurve_Q6PIW4_2_FIGNL1.pdf")</f>
        <v>Melting_Curves/meltCurve_Q6PIW4_2_FIGNL1.pdf</v>
      </c>
    </row>
    <row r="4138" spans="1:28" x14ac:dyDescent="0.25">
      <c r="A4138" t="s">
        <v>4142</v>
      </c>
      <c r="B4138">
        <v>0.99252571173614901</v>
      </c>
      <c r="C4138">
        <v>0.88137573378398104</v>
      </c>
      <c r="D4138">
        <v>0.43441380003618901</v>
      </c>
      <c r="E4138">
        <v>0.15873551055926999</v>
      </c>
      <c r="F4138">
        <v>7.4644926023742106E-2</v>
      </c>
      <c r="G4138">
        <v>4.84497958682975E-2</v>
      </c>
      <c r="H4138">
        <v>2.44062666086668E-2</v>
      </c>
      <c r="I4138">
        <v>2.9085194337911801E-2</v>
      </c>
      <c r="J4138">
        <v>4.2180740451187103E-2</v>
      </c>
      <c r="K4138">
        <v>5.2705644679616297E-2</v>
      </c>
      <c r="L4138">
        <v>1310.3804495407801</v>
      </c>
      <c r="M4138">
        <v>28.768326291923799</v>
      </c>
      <c r="N4138">
        <v>45.699606252489303</v>
      </c>
      <c r="O4138">
        <v>45.331026799530498</v>
      </c>
      <c r="P4138">
        <v>-0.151501526195365</v>
      </c>
      <c r="Q4138">
        <v>4.5107237687038698E-2</v>
      </c>
      <c r="R4138">
        <v>0.99769291817995598</v>
      </c>
      <c r="S4138" t="s">
        <v>10784</v>
      </c>
      <c r="T4138" t="s">
        <v>13290</v>
      </c>
      <c r="U4138" t="s">
        <v>13290</v>
      </c>
      <c r="V4138" t="s">
        <v>13290</v>
      </c>
      <c r="W4138" t="s">
        <v>17380</v>
      </c>
      <c r="X4138">
        <v>5</v>
      </c>
      <c r="Y4138" t="s">
        <v>23876</v>
      </c>
      <c r="Z4138" t="s">
        <v>30468</v>
      </c>
      <c r="AA4138">
        <v>0.2282728572555707</v>
      </c>
      <c r="AB4138" t="str">
        <f>HYPERLINK("Melting_Curves/meltCurve_Q6PJ69_TRIM65.pdf", "Melting_Curves/meltCurve_Q6PJ69_TRIM65.pdf")</f>
        <v>Melting_Curves/meltCurve_Q6PJ69_TRIM65.pdf</v>
      </c>
    </row>
    <row r="4139" spans="1:28" x14ac:dyDescent="0.25">
      <c r="A4139" t="s">
        <v>4143</v>
      </c>
      <c r="B4139">
        <v>0.99252571173614901</v>
      </c>
      <c r="C4139">
        <v>0.933402300975824</v>
      </c>
      <c r="D4139">
        <v>0.90988551929320505</v>
      </c>
      <c r="E4139">
        <v>0.76270764699701699</v>
      </c>
      <c r="F4139">
        <v>0.46651058027276598</v>
      </c>
      <c r="G4139">
        <v>0.29279073880696199</v>
      </c>
      <c r="H4139">
        <v>0.22227107807555699</v>
      </c>
      <c r="I4139">
        <v>0.20486497876256901</v>
      </c>
      <c r="J4139">
        <v>0.22774757080586899</v>
      </c>
      <c r="K4139">
        <v>0.19448578550253001</v>
      </c>
      <c r="L4139">
        <v>1011.91954861792</v>
      </c>
      <c r="M4139">
        <v>19.664587109022801</v>
      </c>
      <c r="N4139">
        <v>52.775426232538599</v>
      </c>
      <c r="O4139">
        <v>50.935680704054299</v>
      </c>
      <c r="P4139">
        <v>-7.7810057252009499E-2</v>
      </c>
      <c r="Q4139">
        <v>0.19384619800845701</v>
      </c>
      <c r="R4139">
        <v>0.99570364140112</v>
      </c>
      <c r="S4139" t="s">
        <v>10785</v>
      </c>
      <c r="T4139" t="s">
        <v>13290</v>
      </c>
      <c r="U4139" t="s">
        <v>13290</v>
      </c>
      <c r="V4139" t="s">
        <v>13290</v>
      </c>
      <c r="W4139" t="s">
        <v>17381</v>
      </c>
      <c r="X4139">
        <v>7</v>
      </c>
      <c r="Y4139" t="s">
        <v>23877</v>
      </c>
      <c r="Z4139" t="s">
        <v>30469</v>
      </c>
      <c r="AA4139">
        <v>0.51329798770675661</v>
      </c>
      <c r="AB4139" t="str">
        <f>HYPERLINK("Melting_Curves/meltCurve_Q6PJF5_2_RHBDF2.pdf", "Melting_Curves/meltCurve_Q6PJF5_2_RHBDF2.pdf")</f>
        <v>Melting_Curves/meltCurve_Q6PJF5_2_RHBDF2.pdf</v>
      </c>
    </row>
    <row r="4140" spans="1:28" x14ac:dyDescent="0.25">
      <c r="A4140" t="s">
        <v>4144</v>
      </c>
      <c r="B4140">
        <v>0.99252571173614901</v>
      </c>
      <c r="C4140">
        <v>0.53853929112260801</v>
      </c>
      <c r="D4140">
        <v>0.40831341250187297</v>
      </c>
      <c r="E4140">
        <v>0.31034251378654798</v>
      </c>
      <c r="F4140">
        <v>0.18244676391315601</v>
      </c>
      <c r="G4140">
        <v>9.8022544446875304E-2</v>
      </c>
      <c r="H4140">
        <v>7.6494201173632703E-2</v>
      </c>
      <c r="I4140">
        <v>8.6809494477621693E-2</v>
      </c>
      <c r="J4140">
        <v>7.4290861407197595E-2</v>
      </c>
      <c r="K4140">
        <v>6.4804975867155501E-2</v>
      </c>
      <c r="L4140">
        <v>666.54469115394397</v>
      </c>
      <c r="M4140">
        <v>15.013790318196699</v>
      </c>
      <c r="N4140">
        <v>44.909580847826703</v>
      </c>
      <c r="O4140">
        <v>43.630227896166602</v>
      </c>
      <c r="P4140">
        <v>-7.9244477108133093E-2</v>
      </c>
      <c r="Q4140">
        <v>7.8951700331112803E-2</v>
      </c>
      <c r="R4140">
        <v>0.948143981063434</v>
      </c>
      <c r="S4140" t="s">
        <v>10786</v>
      </c>
      <c r="T4140" t="s">
        <v>13290</v>
      </c>
      <c r="U4140" t="s">
        <v>13290</v>
      </c>
      <c r="V4140" t="s">
        <v>13290</v>
      </c>
      <c r="W4140" t="s">
        <v>17382</v>
      </c>
      <c r="X4140">
        <v>6</v>
      </c>
      <c r="Y4140" t="s">
        <v>23878</v>
      </c>
      <c r="Z4140" t="s">
        <v>30470</v>
      </c>
      <c r="AA4140">
        <v>0.24557825887059759</v>
      </c>
      <c r="AB4140" t="str">
        <f>HYPERLINK("Melting_Curves/meltCurve_Q6PJG6_BRAT1.pdf", "Melting_Curves/meltCurve_Q6PJG6_BRAT1.pdf")</f>
        <v>Melting_Curves/meltCurve_Q6PJG6_BRAT1.pdf</v>
      </c>
    </row>
    <row r="4141" spans="1:28" x14ac:dyDescent="0.25">
      <c r="A4141" t="s">
        <v>4145</v>
      </c>
      <c r="B4141">
        <v>0.99252571173614901</v>
      </c>
      <c r="C4141">
        <v>0.94565191180861796</v>
      </c>
      <c r="D4141">
        <v>0.78902712900094496</v>
      </c>
      <c r="E4141">
        <v>0.73811243016307304</v>
      </c>
      <c r="F4141">
        <v>0.38096570081911002</v>
      </c>
      <c r="G4141">
        <v>0.247919666064956</v>
      </c>
      <c r="H4141">
        <v>0.20195395846474301</v>
      </c>
      <c r="I4141">
        <v>0.30529026696087602</v>
      </c>
      <c r="J4141">
        <v>0.29903176276374199</v>
      </c>
      <c r="K4141">
        <v>0.246374688141867</v>
      </c>
      <c r="L4141">
        <v>963.02454613365501</v>
      </c>
      <c r="M4141">
        <v>19.307310591716998</v>
      </c>
      <c r="N4141">
        <v>51.633347205256698</v>
      </c>
      <c r="O4141">
        <v>49.352914459793297</v>
      </c>
      <c r="P4141">
        <v>-7.4277366004479803E-2</v>
      </c>
      <c r="Q4141">
        <v>0.24056392070080099</v>
      </c>
      <c r="R4141">
        <v>0.96439750744107</v>
      </c>
      <c r="S4141" t="s">
        <v>10787</v>
      </c>
      <c r="T4141" t="s">
        <v>13290</v>
      </c>
      <c r="U4141" t="s">
        <v>13290</v>
      </c>
      <c r="V4141" t="s">
        <v>13290</v>
      </c>
      <c r="W4141" t="s">
        <v>17383</v>
      </c>
      <c r="X4141">
        <v>1</v>
      </c>
      <c r="Y4141" t="s">
        <v>23879</v>
      </c>
      <c r="Z4141" t="s">
        <v>30471</v>
      </c>
      <c r="AA4141">
        <v>0.50197132044520554</v>
      </c>
      <c r="AB4141" t="str">
        <f>HYPERLINK("Melting_Curves/meltCurve_Q6PJI9_WDR59.pdf", "Melting_Curves/meltCurve_Q6PJI9_WDR59.pdf")</f>
        <v>Melting_Curves/meltCurve_Q6PJI9_WDR59.pdf</v>
      </c>
    </row>
    <row r="4142" spans="1:28" x14ac:dyDescent="0.25">
      <c r="A4142" t="s">
        <v>4146</v>
      </c>
      <c r="B4142">
        <v>0.99252571173614901</v>
      </c>
      <c r="C4142">
        <v>1.01029390891144</v>
      </c>
      <c r="D4142">
        <v>0.82935594151609104</v>
      </c>
      <c r="E4142">
        <v>0.584280584118541</v>
      </c>
      <c r="F4142">
        <v>0.30199016062516598</v>
      </c>
      <c r="G4142">
        <v>0.196930855148506</v>
      </c>
      <c r="H4142">
        <v>0.16834432552246001</v>
      </c>
      <c r="I4142">
        <v>0.17721637101198201</v>
      </c>
      <c r="J4142">
        <v>0.242116751557131</v>
      </c>
      <c r="K4142">
        <v>0.33255675306127902</v>
      </c>
      <c r="L4142">
        <v>1227.2508320337099</v>
      </c>
      <c r="M4142">
        <v>25.0399793172706</v>
      </c>
      <c r="N4142">
        <v>50.155831820148698</v>
      </c>
      <c r="O4142">
        <v>48.702261256054499</v>
      </c>
      <c r="P4142">
        <v>-0.100570083112182</v>
      </c>
      <c r="Q4142">
        <v>0.217583144028207</v>
      </c>
      <c r="R4142">
        <v>0.97657285100984104</v>
      </c>
      <c r="S4142" t="s">
        <v>10788</v>
      </c>
      <c r="T4142" t="s">
        <v>13290</v>
      </c>
      <c r="U4142" t="s">
        <v>13290</v>
      </c>
      <c r="V4142" t="s">
        <v>13290</v>
      </c>
      <c r="W4142" t="s">
        <v>17384</v>
      </c>
      <c r="X4142">
        <v>23</v>
      </c>
      <c r="Y4142" t="s">
        <v>23880</v>
      </c>
      <c r="Z4142" t="s">
        <v>30472</v>
      </c>
      <c r="AA4142">
        <v>0.4595232316820636</v>
      </c>
      <c r="AB4142" t="str">
        <f>HYPERLINK("Melting_Curves/meltCurve_Q6PJT7_9_ZC3H14.pdf", "Melting_Curves/meltCurve_Q6PJT7_9_ZC3H14.pdf")</f>
        <v>Melting_Curves/meltCurve_Q6PJT7_9_ZC3H14.pdf</v>
      </c>
    </row>
    <row r="4143" spans="1:28" x14ac:dyDescent="0.25">
      <c r="A4143" t="s">
        <v>4147</v>
      </c>
      <c r="B4143">
        <v>0.99252571173614901</v>
      </c>
      <c r="C4143">
        <v>0.89731881076813103</v>
      </c>
      <c r="D4143">
        <v>0.80508602828032105</v>
      </c>
      <c r="E4143">
        <v>0.68764917805251802</v>
      </c>
      <c r="F4143">
        <v>0.68996406076803996</v>
      </c>
      <c r="G4143">
        <v>0.42009751018599101</v>
      </c>
      <c r="H4143">
        <v>0.29630134073924003</v>
      </c>
      <c r="I4143">
        <v>0.26477496213525697</v>
      </c>
      <c r="J4143">
        <v>0.27245996016527402</v>
      </c>
      <c r="K4143">
        <v>0.26763332133053003</v>
      </c>
      <c r="L4143">
        <v>498.150873197816</v>
      </c>
      <c r="M4143">
        <v>9.3628227041948104</v>
      </c>
      <c r="N4143">
        <v>55.308123977147602</v>
      </c>
      <c r="O4143">
        <v>50.947304478235701</v>
      </c>
      <c r="P4143">
        <v>-3.9087508245362897E-2</v>
      </c>
      <c r="Q4143">
        <v>0.14976107515116299</v>
      </c>
      <c r="R4143">
        <v>0.96876810188076001</v>
      </c>
      <c r="S4143" t="s">
        <v>10789</v>
      </c>
      <c r="T4143" t="s">
        <v>13290</v>
      </c>
      <c r="U4143" t="s">
        <v>13290</v>
      </c>
      <c r="V4143" t="s">
        <v>13290</v>
      </c>
      <c r="W4143" t="s">
        <v>17385</v>
      </c>
      <c r="X4143">
        <v>2</v>
      </c>
      <c r="Y4143" t="s">
        <v>23881</v>
      </c>
      <c r="Z4143" t="s">
        <v>30473</v>
      </c>
      <c r="AA4143">
        <v>0.55399988889761931</v>
      </c>
      <c r="AB4143" t="str">
        <f>HYPERLINK("Melting_Curves/meltCurve_Q6PJZ0_RAB17.pdf", "Melting_Curves/meltCurve_Q6PJZ0_RAB17.pdf")</f>
        <v>Melting_Curves/meltCurve_Q6PJZ0_RAB17.pdf</v>
      </c>
    </row>
    <row r="4144" spans="1:28" x14ac:dyDescent="0.25">
      <c r="A4144" t="s">
        <v>4148</v>
      </c>
      <c r="B4144">
        <v>0.99252571173614901</v>
      </c>
      <c r="C4144">
        <v>0.79343887338539998</v>
      </c>
      <c r="D4144">
        <v>1.2294666604275699</v>
      </c>
      <c r="E4144">
        <v>1.2127324192172899</v>
      </c>
      <c r="F4144">
        <v>0.59147770067759797</v>
      </c>
      <c r="G4144">
        <v>0.26963181759523502</v>
      </c>
      <c r="H4144">
        <v>0.235973565541756</v>
      </c>
      <c r="I4144">
        <v>0.192340160189063</v>
      </c>
      <c r="J4144">
        <v>0.24734139042012601</v>
      </c>
      <c r="K4144">
        <v>0.16920051746595899</v>
      </c>
      <c r="L4144">
        <v>10743.876944276801</v>
      </c>
      <c r="M4144">
        <v>202.05545647638101</v>
      </c>
      <c r="N4144">
        <v>53.328679568896597</v>
      </c>
      <c r="O4144">
        <v>53.167702998891599</v>
      </c>
      <c r="P4144">
        <v>-0.73831429409253602</v>
      </c>
      <c r="Q4144">
        <v>0.22289700891326999</v>
      </c>
      <c r="R4144">
        <v>0.91229162352008097</v>
      </c>
      <c r="S4144" t="s">
        <v>10790</v>
      </c>
      <c r="T4144" t="s">
        <v>13290</v>
      </c>
      <c r="U4144" t="s">
        <v>13290</v>
      </c>
      <c r="V4144" t="s">
        <v>13290</v>
      </c>
      <c r="W4144" t="s">
        <v>17386</v>
      </c>
      <c r="X4144">
        <v>1</v>
      </c>
      <c r="Y4144" t="s">
        <v>23882</v>
      </c>
      <c r="Z4144" t="s">
        <v>30474</v>
      </c>
      <c r="AA4144">
        <v>0.56423167275113495</v>
      </c>
      <c r="AB4144" t="str">
        <f>HYPERLINK("Melting_Curves/meltCurve_Q6PKC3_2_TXNDC11.pdf", "Melting_Curves/meltCurve_Q6PKC3_2_TXNDC11.pdf")</f>
        <v>Melting_Curves/meltCurve_Q6PKC3_2_TXNDC11.pdf</v>
      </c>
    </row>
    <row r="4145" spans="1:28" x14ac:dyDescent="0.25">
      <c r="A4145" t="s">
        <v>4149</v>
      </c>
      <c r="B4145">
        <v>0.99252571173614901</v>
      </c>
      <c r="C4145">
        <v>1.01375683560685</v>
      </c>
      <c r="D4145">
        <v>0.93424481804965898</v>
      </c>
      <c r="E4145">
        <v>0.81896007084315203</v>
      </c>
      <c r="F4145">
        <v>0.48872469450014699</v>
      </c>
      <c r="G4145">
        <v>0.32011143578933299</v>
      </c>
      <c r="H4145">
        <v>0.268823982722871</v>
      </c>
      <c r="I4145">
        <v>0.35133606409237</v>
      </c>
      <c r="J4145">
        <v>0.50853129418524901</v>
      </c>
      <c r="K4145">
        <v>0.56601489192310295</v>
      </c>
      <c r="L4145">
        <v>2040.02166382883</v>
      </c>
      <c r="M4145">
        <v>40.330210675094897</v>
      </c>
      <c r="N4145">
        <v>52.739734205298099</v>
      </c>
      <c r="O4145">
        <v>50.459078382417601</v>
      </c>
      <c r="P4145">
        <v>-0.11910948807554</v>
      </c>
      <c r="Q4145">
        <v>0.403906618651034</v>
      </c>
      <c r="R4145">
        <v>0.90640334828779701</v>
      </c>
      <c r="S4145" t="s">
        <v>10791</v>
      </c>
      <c r="T4145" t="s">
        <v>13290</v>
      </c>
      <c r="U4145" t="s">
        <v>13290</v>
      </c>
      <c r="V4145" t="s">
        <v>13290</v>
      </c>
      <c r="W4145" t="s">
        <v>17387</v>
      </c>
      <c r="X4145">
        <v>13</v>
      </c>
      <c r="Y4145" t="s">
        <v>23883</v>
      </c>
      <c r="Z4145" t="s">
        <v>30475</v>
      </c>
      <c r="AA4145">
        <v>0.61623795691798355</v>
      </c>
      <c r="AB4145" t="str">
        <f>HYPERLINK("Melting_Curves/meltCurve_Q6PKG0_LARP1.pdf", "Melting_Curves/meltCurve_Q6PKG0_LARP1.pdf")</f>
        <v>Melting_Curves/meltCurve_Q6PKG0_LARP1.pdf</v>
      </c>
    </row>
    <row r="4146" spans="1:28" x14ac:dyDescent="0.25">
      <c r="A4146" t="s">
        <v>4150</v>
      </c>
      <c r="B4146">
        <v>0.99252571173614901</v>
      </c>
      <c r="C4146">
        <v>1.0297608919550101</v>
      </c>
      <c r="D4146">
        <v>0.75873825127685801</v>
      </c>
      <c r="E4146">
        <v>0.36085632499277198</v>
      </c>
      <c r="F4146">
        <v>0.16296570274022301</v>
      </c>
      <c r="G4146">
        <v>8.8177642099594097E-2</v>
      </c>
      <c r="H4146">
        <v>6.6100973246650693E-2</v>
      </c>
      <c r="I4146">
        <v>7.1655460355447204E-2</v>
      </c>
      <c r="J4146">
        <v>9.4777093086873099E-2</v>
      </c>
      <c r="K4146">
        <v>8.1935233315208703E-2</v>
      </c>
      <c r="L4146">
        <v>1276.7783119087001</v>
      </c>
      <c r="M4146">
        <v>26.581855640458901</v>
      </c>
      <c r="N4146">
        <v>48.348333132725301</v>
      </c>
      <c r="O4146">
        <v>47.7625909063742</v>
      </c>
      <c r="P4146">
        <v>-0.128028919987699</v>
      </c>
      <c r="Q4146">
        <v>7.9834439351694098E-2</v>
      </c>
      <c r="R4146">
        <v>0.99582133597651201</v>
      </c>
      <c r="S4146" t="s">
        <v>10792</v>
      </c>
      <c r="T4146" t="s">
        <v>13290</v>
      </c>
      <c r="U4146" t="s">
        <v>13290</v>
      </c>
      <c r="V4146" t="s">
        <v>13290</v>
      </c>
      <c r="W4146" t="s">
        <v>17388</v>
      </c>
      <c r="X4146">
        <v>6</v>
      </c>
      <c r="Y4146" t="s">
        <v>23884</v>
      </c>
      <c r="Z4146" t="s">
        <v>30476</v>
      </c>
      <c r="AA4146">
        <v>0.33333376350233451</v>
      </c>
      <c r="AB4146" t="str">
        <f>HYPERLINK("Melting_Curves/meltCurve_Q6PL24_TMED8.pdf", "Melting_Curves/meltCurve_Q6PL24_TMED8.pdf")</f>
        <v>Melting_Curves/meltCurve_Q6PL24_TMED8.pdf</v>
      </c>
    </row>
    <row r="4147" spans="1:28" x14ac:dyDescent="0.25">
      <c r="A4147" t="s">
        <v>4151</v>
      </c>
      <c r="B4147">
        <v>0.99252571173614901</v>
      </c>
      <c r="C4147">
        <v>0.83985513913336896</v>
      </c>
      <c r="D4147">
        <v>0.76771557784238198</v>
      </c>
      <c r="E4147">
        <v>0.685067204937862</v>
      </c>
      <c r="F4147">
        <v>0.33522497163354797</v>
      </c>
      <c r="G4147">
        <v>0.208659457888725</v>
      </c>
      <c r="H4147">
        <v>0.18614919623261</v>
      </c>
      <c r="I4147">
        <v>0.16040792271265</v>
      </c>
      <c r="J4147">
        <v>0.103636291140676</v>
      </c>
      <c r="K4147">
        <v>7.3486694633105795E-2</v>
      </c>
      <c r="L4147">
        <v>626.21136222228097</v>
      </c>
      <c r="M4147">
        <v>12.3835141151051</v>
      </c>
      <c r="N4147">
        <v>51.098054588338698</v>
      </c>
      <c r="O4147">
        <v>49.3037564601348</v>
      </c>
      <c r="P4147">
        <v>-5.9020764458497299E-2</v>
      </c>
      <c r="Q4147">
        <v>6.0258942360227802E-2</v>
      </c>
      <c r="R4147">
        <v>0.97948247585237802</v>
      </c>
      <c r="S4147" t="s">
        <v>10793</v>
      </c>
      <c r="T4147" t="s">
        <v>13290</v>
      </c>
      <c r="U4147" t="s">
        <v>13290</v>
      </c>
      <c r="V4147" t="s">
        <v>13290</v>
      </c>
      <c r="W4147" t="s">
        <v>17389</v>
      </c>
      <c r="X4147">
        <v>6</v>
      </c>
      <c r="Y4147" t="s">
        <v>23885</v>
      </c>
      <c r="Z4147" t="s">
        <v>30477</v>
      </c>
      <c r="AA4147">
        <v>0.42130390169692211</v>
      </c>
      <c r="AB4147" t="str">
        <f>HYPERLINK("Melting_Curves/meltCurve_Q6PML9_SLC30A9.pdf", "Melting_Curves/meltCurve_Q6PML9_SLC30A9.pdf")</f>
        <v>Melting_Curves/meltCurve_Q6PML9_SLC30A9.pdf</v>
      </c>
    </row>
    <row r="4148" spans="1:28" x14ac:dyDescent="0.25">
      <c r="A4148" t="s">
        <v>4152</v>
      </c>
      <c r="B4148">
        <v>0.99252571173614901</v>
      </c>
      <c r="C4148">
        <v>1.01687835551779</v>
      </c>
      <c r="D4148">
        <v>0.922825078411313</v>
      </c>
      <c r="E4148">
        <v>0.87483937848897597</v>
      </c>
      <c r="F4148">
        <v>0.822620800922363</v>
      </c>
      <c r="G4148">
        <v>0.41093706851210299</v>
      </c>
      <c r="H4148">
        <v>0.18891923037800601</v>
      </c>
      <c r="I4148">
        <v>0.144045058145362</v>
      </c>
      <c r="J4148">
        <v>0.14779256138999</v>
      </c>
      <c r="K4148">
        <v>0.14201441121500699</v>
      </c>
      <c r="L4148">
        <v>1479.4691949456901</v>
      </c>
      <c r="M4148">
        <v>26.716607627819702</v>
      </c>
      <c r="N4148">
        <v>55.9987155323794</v>
      </c>
      <c r="O4148">
        <v>55.068925562554803</v>
      </c>
      <c r="P4148">
        <v>-0.105709764343604</v>
      </c>
      <c r="Q4148">
        <v>0.12844278749549401</v>
      </c>
      <c r="R4148">
        <v>0.98847061001506598</v>
      </c>
      <c r="S4148" t="s">
        <v>10794</v>
      </c>
      <c r="T4148" t="s">
        <v>13290</v>
      </c>
      <c r="U4148" t="s">
        <v>13290</v>
      </c>
      <c r="V4148" t="s">
        <v>13290</v>
      </c>
      <c r="W4148" t="s">
        <v>17390</v>
      </c>
      <c r="X4148">
        <v>1</v>
      </c>
      <c r="Y4148" t="s">
        <v>23886</v>
      </c>
      <c r="Z4148" t="s">
        <v>30478</v>
      </c>
      <c r="AA4148">
        <v>0.58232043903458519</v>
      </c>
      <c r="AB4148" t="str">
        <f>HYPERLINK("Melting_Curves/meltCurve_Q6QHF9_4_PAOX.pdf", "Melting_Curves/meltCurve_Q6QHF9_4_PAOX.pdf")</f>
        <v>Melting_Curves/meltCurve_Q6QHF9_4_PAOX.pdf</v>
      </c>
    </row>
    <row r="4149" spans="1:28" x14ac:dyDescent="0.25">
      <c r="A4149" t="s">
        <v>4153</v>
      </c>
      <c r="B4149">
        <v>0.99252571173614901</v>
      </c>
      <c r="C4149">
        <v>1.1157960255044901</v>
      </c>
      <c r="D4149">
        <v>1.00094941140769</v>
      </c>
      <c r="E4149">
        <v>1.0269439813199299</v>
      </c>
      <c r="F4149">
        <v>0.78026036309061197</v>
      </c>
      <c r="G4149">
        <v>0.51623409010215404</v>
      </c>
      <c r="H4149">
        <v>0.35087115563486398</v>
      </c>
      <c r="I4149">
        <v>0.34438203662460998</v>
      </c>
      <c r="J4149">
        <v>0.54518111231620603</v>
      </c>
      <c r="K4149">
        <v>0.61144890083958503</v>
      </c>
      <c r="L4149">
        <v>2827.9027049449801</v>
      </c>
      <c r="M4149">
        <v>52.7625013759395</v>
      </c>
      <c r="N4149">
        <v>56.533008097517197</v>
      </c>
      <c r="O4149">
        <v>53.520001991625797</v>
      </c>
      <c r="P4149">
        <v>-0.131185199354936</v>
      </c>
      <c r="Q4149">
        <v>0.467725973644875</v>
      </c>
      <c r="R4149">
        <v>0.90760270849396996</v>
      </c>
      <c r="S4149" t="s">
        <v>10795</v>
      </c>
      <c r="T4149" t="s">
        <v>13290</v>
      </c>
      <c r="U4149" t="s">
        <v>13290</v>
      </c>
      <c r="V4149" t="s">
        <v>13290</v>
      </c>
      <c r="W4149" t="s">
        <v>17391</v>
      </c>
      <c r="X4149">
        <v>9</v>
      </c>
      <c r="Y4149" t="s">
        <v>23887</v>
      </c>
      <c r="Z4149" t="s">
        <v>30479</v>
      </c>
      <c r="AA4149">
        <v>0.71009653335926282</v>
      </c>
      <c r="AB4149" t="str">
        <f>HYPERLINK("Melting_Curves/meltCurve_Q6QNY0_BLOC1S3.pdf", "Melting_Curves/meltCurve_Q6QNY0_BLOC1S3.pdf")</f>
        <v>Melting_Curves/meltCurve_Q6QNY0_BLOC1S3.pdf</v>
      </c>
    </row>
    <row r="4150" spans="1:28" x14ac:dyDescent="0.25">
      <c r="A4150" t="s">
        <v>4154</v>
      </c>
      <c r="B4150">
        <v>0.99252571173614901</v>
      </c>
      <c r="C4150">
        <v>1.00206551286363</v>
      </c>
      <c r="D4150">
        <v>0.96125419190378703</v>
      </c>
      <c r="E4150">
        <v>0.94622337341339402</v>
      </c>
      <c r="F4150">
        <v>0.712485345849314</v>
      </c>
      <c r="G4150">
        <v>0.584833483721801</v>
      </c>
      <c r="H4150">
        <v>0.34867453033533902</v>
      </c>
      <c r="I4150">
        <v>0.30971089218526798</v>
      </c>
      <c r="J4150">
        <v>0.42227767884621897</v>
      </c>
      <c r="K4150">
        <v>0.35917065209305599</v>
      </c>
      <c r="L4150">
        <v>1180.9790076157501</v>
      </c>
      <c r="M4150">
        <v>21.746891225837199</v>
      </c>
      <c r="N4150">
        <v>57.394455064874201</v>
      </c>
      <c r="O4150">
        <v>53.852722460897098</v>
      </c>
      <c r="P4150">
        <v>-6.6140357809802403E-2</v>
      </c>
      <c r="Q4150">
        <v>0.34487116805490098</v>
      </c>
      <c r="R4150">
        <v>0.97858050505411798</v>
      </c>
      <c r="S4150" t="s">
        <v>10796</v>
      </c>
      <c r="T4150" t="s">
        <v>13290</v>
      </c>
      <c r="U4150" t="s">
        <v>13290</v>
      </c>
      <c r="V4150" t="s">
        <v>13290</v>
      </c>
      <c r="W4150" t="s">
        <v>17392</v>
      </c>
      <c r="X4150">
        <v>3</v>
      </c>
      <c r="Y4150" t="s">
        <v>23888</v>
      </c>
      <c r="Z4150" t="s">
        <v>30480</v>
      </c>
      <c r="AA4150">
        <v>0.6650030643538839</v>
      </c>
      <c r="AB4150" t="str">
        <f>HYPERLINK("Melting_Curves/meltCurve_Q6QNY1_BLOC1S2.pdf", "Melting_Curves/meltCurve_Q6QNY1_BLOC1S2.pdf")</f>
        <v>Melting_Curves/meltCurve_Q6QNY1_BLOC1S2.pdf</v>
      </c>
    </row>
    <row r="4151" spans="1:28" x14ac:dyDescent="0.25">
      <c r="A4151" t="s">
        <v>4155</v>
      </c>
      <c r="B4151">
        <v>0.99252571173614901</v>
      </c>
      <c r="C4151">
        <v>1.03296345994681</v>
      </c>
      <c r="D4151">
        <v>0.98738589506239205</v>
      </c>
      <c r="E4151">
        <v>0.979168581647194</v>
      </c>
      <c r="F4151">
        <v>1.1870187979437301</v>
      </c>
      <c r="G4151">
        <v>0.83828018975103702</v>
      </c>
      <c r="H4151">
        <v>0.208084522715241</v>
      </c>
      <c r="I4151">
        <v>0.173577857281422</v>
      </c>
      <c r="J4151">
        <v>0.150277440596741</v>
      </c>
      <c r="K4151">
        <v>0.149622711422119</v>
      </c>
      <c r="L4151">
        <v>3876.41647824245</v>
      </c>
      <c r="M4151">
        <v>66.769573061184204</v>
      </c>
      <c r="N4151">
        <v>58.393486324807803</v>
      </c>
      <c r="O4151">
        <v>58.004629678291003</v>
      </c>
      <c r="P4151">
        <v>-0.24178075523642101</v>
      </c>
      <c r="Q4151">
        <v>0.15983306929860699</v>
      </c>
      <c r="R4151">
        <v>0.97808742293724904</v>
      </c>
      <c r="S4151" t="s">
        <v>10797</v>
      </c>
      <c r="T4151" t="s">
        <v>13290</v>
      </c>
      <c r="U4151" t="s">
        <v>13290</v>
      </c>
      <c r="V4151" t="s">
        <v>13290</v>
      </c>
      <c r="W4151" t="s">
        <v>17393</v>
      </c>
      <c r="X4151">
        <v>2</v>
      </c>
      <c r="Y4151" t="s">
        <v>23889</v>
      </c>
      <c r="Z4151" t="s">
        <v>30481</v>
      </c>
      <c r="AA4151">
        <v>0.66672237038683746</v>
      </c>
      <c r="AB4151" t="str">
        <f>HYPERLINK("Melting_Curves/meltCurve_Q6RFH5_2_WDR74.pdf", "Melting_Curves/meltCurve_Q6RFH5_2_WDR74.pdf")</f>
        <v>Melting_Curves/meltCurve_Q6RFH5_2_WDR74.pdf</v>
      </c>
    </row>
    <row r="4152" spans="1:28" x14ac:dyDescent="0.25">
      <c r="A4152" t="s">
        <v>4156</v>
      </c>
      <c r="B4152">
        <v>0.99252571173614901</v>
      </c>
      <c r="C4152">
        <v>0.99408883917987101</v>
      </c>
      <c r="D4152">
        <v>0.91795631438051895</v>
      </c>
      <c r="E4152">
        <v>0.81858203272223995</v>
      </c>
      <c r="F4152">
        <v>0.74569405369952002</v>
      </c>
      <c r="G4152">
        <v>0.637735971888019</v>
      </c>
      <c r="H4152">
        <v>0.53189744281627904</v>
      </c>
      <c r="I4152">
        <v>0.67042385314535902</v>
      </c>
      <c r="J4152">
        <v>1.1396563789651599</v>
      </c>
      <c r="K4152">
        <v>0.988264687971809</v>
      </c>
      <c r="L4152">
        <v>1834.0907126975101</v>
      </c>
      <c r="M4152">
        <v>39.357006476689001</v>
      </c>
      <c r="O4152">
        <v>46.481551554942897</v>
      </c>
      <c r="P4152">
        <v>-4.5031601276458097E-2</v>
      </c>
      <c r="Q4152">
        <v>0.78726694349804005</v>
      </c>
      <c r="R4152">
        <v>0.208768198823611</v>
      </c>
      <c r="S4152" t="s">
        <v>10798</v>
      </c>
      <c r="T4152" t="s">
        <v>13290</v>
      </c>
      <c r="U4152" t="s">
        <v>13290</v>
      </c>
      <c r="V4152" t="s">
        <v>13290</v>
      </c>
      <c r="W4152" t="s">
        <v>17394</v>
      </c>
      <c r="X4152">
        <v>3</v>
      </c>
      <c r="Y4152" t="s">
        <v>23890</v>
      </c>
      <c r="Z4152" t="s">
        <v>30482</v>
      </c>
      <c r="AA4152">
        <v>0.83479514409520761</v>
      </c>
      <c r="AB4152" t="str">
        <f>HYPERLINK("Melting_Curves/meltCurve_Q6RW13_AGTRAP.pdf", "Melting_Curves/meltCurve_Q6RW13_AGTRAP.pdf")</f>
        <v>Melting_Curves/meltCurve_Q6RW13_AGTRAP.pdf</v>
      </c>
    </row>
    <row r="4153" spans="1:28" x14ac:dyDescent="0.25">
      <c r="A4153" t="s">
        <v>4157</v>
      </c>
      <c r="B4153">
        <v>0.99252571173614901</v>
      </c>
      <c r="C4153">
        <v>1.0761809347967699</v>
      </c>
      <c r="D4153">
        <v>1.1074752715503999</v>
      </c>
      <c r="E4153">
        <v>0.84937227498085499</v>
      </c>
      <c r="F4153">
        <v>0.89835343498980003</v>
      </c>
      <c r="G4153">
        <v>0.56821074075341305</v>
      </c>
      <c r="H4153">
        <v>0.34192712362949401</v>
      </c>
      <c r="I4153">
        <v>7.2573914070647602E-2</v>
      </c>
      <c r="J4153">
        <v>8.1027580484134595E-2</v>
      </c>
      <c r="K4153">
        <v>9.7379197596586697E-2</v>
      </c>
      <c r="L4153">
        <v>1179.2353826840099</v>
      </c>
      <c r="M4153">
        <v>20.439597340589099</v>
      </c>
      <c r="N4153">
        <v>57.892585989073403</v>
      </c>
      <c r="O4153">
        <v>57.149940258053498</v>
      </c>
      <c r="P4153">
        <v>-8.6382857166100196E-2</v>
      </c>
      <c r="Q4153">
        <v>3.3909043873986702E-2</v>
      </c>
      <c r="R4153">
        <v>0.97260104051574603</v>
      </c>
      <c r="S4153" t="s">
        <v>10799</v>
      </c>
      <c r="T4153" t="s">
        <v>13290</v>
      </c>
      <c r="U4153" t="s">
        <v>13290</v>
      </c>
      <c r="V4153" t="s">
        <v>13290</v>
      </c>
      <c r="W4153" t="s">
        <v>17395</v>
      </c>
      <c r="X4153">
        <v>13</v>
      </c>
      <c r="Y4153" t="s">
        <v>23891</v>
      </c>
      <c r="Z4153" t="s">
        <v>30483</v>
      </c>
      <c r="AA4153">
        <v>0.61469084170941468</v>
      </c>
      <c r="AB4153" t="str">
        <f>HYPERLINK("Melting_Curves/meltCurve_Q6S8J3_POTEE.pdf", "Melting_Curves/meltCurve_Q6S8J3_POTEE.pdf")</f>
        <v>Melting_Curves/meltCurve_Q6S8J3_POTEE.pdf</v>
      </c>
    </row>
    <row r="4154" spans="1:28" x14ac:dyDescent="0.25">
      <c r="A4154" t="s">
        <v>4158</v>
      </c>
      <c r="B4154">
        <v>0.99252571173614901</v>
      </c>
      <c r="C4154">
        <v>1.0282909634307</v>
      </c>
      <c r="D4154">
        <v>0.93871248224577797</v>
      </c>
      <c r="E4154">
        <v>0.78781890118308995</v>
      </c>
      <c r="F4154">
        <v>0.641180678580893</v>
      </c>
      <c r="G4154">
        <v>0.54082214488022495</v>
      </c>
      <c r="H4154">
        <v>0.46557733023985998</v>
      </c>
      <c r="I4154">
        <v>0.47275102308172401</v>
      </c>
      <c r="J4154">
        <v>0.75713522722663795</v>
      </c>
      <c r="K4154">
        <v>0.74232753288061204</v>
      </c>
      <c r="L4154">
        <v>1584.2415307020699</v>
      </c>
      <c r="M4154">
        <v>32.1360235195149</v>
      </c>
      <c r="O4154">
        <v>49.108280934697298</v>
      </c>
      <c r="P4154">
        <v>-6.5949161050206706E-2</v>
      </c>
      <c r="Q4154">
        <v>0.59688435058290501</v>
      </c>
      <c r="R4154">
        <v>0.77818567357013901</v>
      </c>
      <c r="S4154" t="s">
        <v>10800</v>
      </c>
      <c r="T4154" t="s">
        <v>13290</v>
      </c>
      <c r="U4154" t="s">
        <v>13290</v>
      </c>
      <c r="V4154" t="s">
        <v>13290</v>
      </c>
      <c r="W4154" t="s">
        <v>17396</v>
      </c>
      <c r="X4154">
        <v>1</v>
      </c>
      <c r="Y4154" t="s">
        <v>23892</v>
      </c>
      <c r="Z4154" t="s">
        <v>30484</v>
      </c>
      <c r="AA4154">
        <v>0.72396659302504884</v>
      </c>
      <c r="AB4154" t="str">
        <f>HYPERLINK("Melting_Curves/meltCurve_Q6SZW1_2_SARM1.pdf", "Melting_Curves/meltCurve_Q6SZW1_2_SARM1.pdf")</f>
        <v>Melting_Curves/meltCurve_Q6SZW1_2_SARM1.pdf</v>
      </c>
    </row>
    <row r="4155" spans="1:28" x14ac:dyDescent="0.25">
      <c r="A4155" t="s">
        <v>4159</v>
      </c>
      <c r="B4155">
        <v>0.99252571173614901</v>
      </c>
      <c r="C4155">
        <v>1.0770572611743601</v>
      </c>
      <c r="D4155">
        <v>1.0051484981027801</v>
      </c>
      <c r="E4155">
        <v>0.87547287565040199</v>
      </c>
      <c r="F4155">
        <v>0.50705769550372704</v>
      </c>
      <c r="G4155">
        <v>0.211314337840703</v>
      </c>
      <c r="H4155">
        <v>0.117769829649783</v>
      </c>
      <c r="I4155">
        <v>9.5346999415681102E-2</v>
      </c>
      <c r="J4155">
        <v>9.7878992934091399E-2</v>
      </c>
      <c r="K4155">
        <v>9.8893679374217003E-2</v>
      </c>
      <c r="L4155">
        <v>1503.52312040172</v>
      </c>
      <c r="M4155">
        <v>28.436392047796101</v>
      </c>
      <c r="N4155">
        <v>53.270284036016903</v>
      </c>
      <c r="O4155">
        <v>52.613809139055199</v>
      </c>
      <c r="P4155">
        <v>-0.12221509282236501</v>
      </c>
      <c r="Q4155">
        <v>9.5504405236165796E-2</v>
      </c>
      <c r="R4155">
        <v>0.99609104314755104</v>
      </c>
      <c r="S4155" t="s">
        <v>10801</v>
      </c>
      <c r="T4155" t="s">
        <v>13290</v>
      </c>
      <c r="U4155" t="s">
        <v>13290</v>
      </c>
      <c r="V4155" t="s">
        <v>13290</v>
      </c>
      <c r="W4155" t="s">
        <v>17397</v>
      </c>
      <c r="X4155">
        <v>7</v>
      </c>
      <c r="Y4155" t="s">
        <v>23893</v>
      </c>
      <c r="Z4155" t="s">
        <v>30485</v>
      </c>
      <c r="AA4155">
        <v>0.49013018629158128</v>
      </c>
      <c r="AB4155" t="str">
        <f>HYPERLINK("Melting_Curves/meltCurve_Q6UB28_METAP1D.pdf", "Melting_Curves/meltCurve_Q6UB28_METAP1D.pdf")</f>
        <v>Melting_Curves/meltCurve_Q6UB28_METAP1D.pdf</v>
      </c>
    </row>
    <row r="4156" spans="1:28" x14ac:dyDescent="0.25">
      <c r="A4156" t="s">
        <v>4160</v>
      </c>
      <c r="B4156">
        <v>0.99252571173614901</v>
      </c>
      <c r="C4156">
        <v>1.0354099893736499</v>
      </c>
      <c r="D4156">
        <v>0.78727389604367204</v>
      </c>
      <c r="E4156">
        <v>0.79882925339538602</v>
      </c>
      <c r="F4156">
        <v>0.186820527348382</v>
      </c>
      <c r="G4156">
        <v>8.38913808518921E-2</v>
      </c>
      <c r="H4156">
        <v>5.5922587927157E-2</v>
      </c>
      <c r="I4156">
        <v>5.6431824171002197E-2</v>
      </c>
      <c r="J4156">
        <v>6.28478039191563E-2</v>
      </c>
      <c r="K4156">
        <v>5.8309793156667802E-2</v>
      </c>
      <c r="L4156">
        <v>2013.02062293726</v>
      </c>
      <c r="M4156">
        <v>39.467527344444399</v>
      </c>
      <c r="N4156">
        <v>51.160324359134599</v>
      </c>
      <c r="O4156">
        <v>50.874061854829399</v>
      </c>
      <c r="P4156">
        <v>-0.18296229581783499</v>
      </c>
      <c r="Q4156">
        <v>5.6640715228713799E-2</v>
      </c>
      <c r="R4156">
        <v>0.97426360591001804</v>
      </c>
      <c r="S4156" t="s">
        <v>10802</v>
      </c>
      <c r="T4156" t="s">
        <v>13290</v>
      </c>
      <c r="U4156" t="s">
        <v>13290</v>
      </c>
      <c r="V4156" t="s">
        <v>13290</v>
      </c>
      <c r="W4156" t="s">
        <v>17398</v>
      </c>
      <c r="X4156">
        <v>40</v>
      </c>
      <c r="Y4156" t="s">
        <v>20748</v>
      </c>
      <c r="Z4156" t="s">
        <v>30486</v>
      </c>
      <c r="AA4156">
        <v>0.40609659214313959</v>
      </c>
      <c r="AB4156" t="str">
        <f>HYPERLINK("Melting_Curves/meltCurve_Q6UB35_MTHFD1L.pdf", "Melting_Curves/meltCurve_Q6UB35_MTHFD1L.pdf")</f>
        <v>Melting_Curves/meltCurve_Q6UB35_MTHFD1L.pdf</v>
      </c>
    </row>
    <row r="4157" spans="1:28" x14ac:dyDescent="0.25">
      <c r="A4157" t="s">
        <v>4161</v>
      </c>
      <c r="B4157">
        <v>0.99252571173614901</v>
      </c>
      <c r="C4157">
        <v>0.82779305305661299</v>
      </c>
      <c r="D4157">
        <v>0.77341393202481201</v>
      </c>
      <c r="E4157">
        <v>0.48212496749179801</v>
      </c>
      <c r="F4157">
        <v>0.39688619617007098</v>
      </c>
      <c r="G4157">
        <v>0.24269087075728901</v>
      </c>
      <c r="H4157">
        <v>0.12293797276202099</v>
      </c>
      <c r="I4157">
        <v>0.176536468196553</v>
      </c>
      <c r="J4157">
        <v>0.20190971884314701</v>
      </c>
      <c r="K4157">
        <v>0.20637239355980799</v>
      </c>
      <c r="L4157">
        <v>687.32639151297894</v>
      </c>
      <c r="M4157">
        <v>14.1691471260591</v>
      </c>
      <c r="N4157">
        <v>49.8435502067315</v>
      </c>
      <c r="O4157">
        <v>47.573099437777103</v>
      </c>
      <c r="P4157">
        <v>-6.2711429889247994E-2</v>
      </c>
      <c r="Q4157">
        <v>0.157888497327347</v>
      </c>
      <c r="R4157">
        <v>0.97934273460779098</v>
      </c>
      <c r="S4157" t="s">
        <v>10803</v>
      </c>
      <c r="T4157" t="s">
        <v>13290</v>
      </c>
      <c r="U4157" t="s">
        <v>13290</v>
      </c>
      <c r="V4157" t="s">
        <v>13290</v>
      </c>
      <c r="W4157" t="s">
        <v>17399</v>
      </c>
      <c r="X4157">
        <v>1</v>
      </c>
      <c r="Y4157" t="s">
        <v>23894</v>
      </c>
      <c r="Z4157" t="s">
        <v>30487</v>
      </c>
      <c r="AA4157">
        <v>0.42035244684115403</v>
      </c>
      <c r="AB4157" t="str">
        <f>HYPERLINK("Melting_Curves/meltCurve_Q6UB98_2_ANKRD12.pdf", "Melting_Curves/meltCurve_Q6UB98_2_ANKRD12.pdf")</f>
        <v>Melting_Curves/meltCurve_Q6UB98_2_ANKRD12.pdf</v>
      </c>
    </row>
    <row r="4158" spans="1:28" x14ac:dyDescent="0.25">
      <c r="A4158" t="s">
        <v>4162</v>
      </c>
      <c r="B4158">
        <v>0.99252571173614901</v>
      </c>
      <c r="C4158">
        <v>0.91030141915947205</v>
      </c>
      <c r="D4158">
        <v>0.99666195099249899</v>
      </c>
      <c r="E4158">
        <v>0.814100338603027</v>
      </c>
      <c r="F4158">
        <v>0.31461690963509698</v>
      </c>
      <c r="G4158">
        <v>0.222224839719047</v>
      </c>
      <c r="H4158">
        <v>0.177418446320871</v>
      </c>
      <c r="I4158">
        <v>0.200149528988738</v>
      </c>
      <c r="J4158">
        <v>0.266694516423298</v>
      </c>
      <c r="K4158">
        <v>0.32575280348757901</v>
      </c>
      <c r="L4158">
        <v>2470.05003191687</v>
      </c>
      <c r="M4158">
        <v>48.663892092433699</v>
      </c>
      <c r="N4158">
        <v>51.440689280512501</v>
      </c>
      <c r="O4158">
        <v>50.671859665421799</v>
      </c>
      <c r="P4158">
        <v>-0.182938852818223</v>
      </c>
      <c r="Q4158">
        <v>0.238051724032839</v>
      </c>
      <c r="R4158">
        <v>0.98059423156561498</v>
      </c>
      <c r="S4158" t="s">
        <v>10804</v>
      </c>
      <c r="T4158" t="s">
        <v>13290</v>
      </c>
      <c r="U4158" t="s">
        <v>13290</v>
      </c>
      <c r="V4158" t="s">
        <v>13290</v>
      </c>
      <c r="W4158" t="s">
        <v>17400</v>
      </c>
      <c r="X4158">
        <v>8</v>
      </c>
      <c r="Y4158" t="s">
        <v>23895</v>
      </c>
      <c r="Z4158" t="s">
        <v>30488</v>
      </c>
      <c r="AA4158">
        <v>0.51307120397539563</v>
      </c>
      <c r="AB4158" t="str">
        <f>HYPERLINK("Melting_Curves/meltCurve_Q6ULP2_5_AFTPH.pdf", "Melting_Curves/meltCurve_Q6ULP2_5_AFTPH.pdf")</f>
        <v>Melting_Curves/meltCurve_Q6ULP2_5_AFTPH.pdf</v>
      </c>
    </row>
    <row r="4159" spans="1:28" x14ac:dyDescent="0.25">
      <c r="A4159" t="s">
        <v>4163</v>
      </c>
      <c r="B4159">
        <v>0.99252571173614901</v>
      </c>
      <c r="C4159">
        <v>0.89499957456192303</v>
      </c>
      <c r="D4159">
        <v>0.89289656117636396</v>
      </c>
      <c r="E4159">
        <v>0.73290831048384797</v>
      </c>
      <c r="F4159">
        <v>0.86027719877108999</v>
      </c>
      <c r="G4159">
        <v>0.83851203963739096</v>
      </c>
      <c r="H4159">
        <v>0.93477282927295402</v>
      </c>
      <c r="I4159">
        <v>1.3264950655805099</v>
      </c>
      <c r="J4159">
        <v>2.2400554948851799</v>
      </c>
      <c r="K4159">
        <v>2.7929870430170598</v>
      </c>
      <c r="L4159">
        <v>15000</v>
      </c>
      <c r="M4159">
        <v>235.00749163997301</v>
      </c>
      <c r="O4159">
        <v>63.823130225269203</v>
      </c>
      <c r="P4159">
        <v>0.46027100858626602</v>
      </c>
      <c r="Q4159">
        <v>1.5</v>
      </c>
      <c r="R4159">
        <v>0.45978695283070198</v>
      </c>
      <c r="S4159" t="s">
        <v>10805</v>
      </c>
      <c r="T4159" t="s">
        <v>13290</v>
      </c>
      <c r="U4159" t="s">
        <v>13290</v>
      </c>
      <c r="V4159" t="s">
        <v>13290</v>
      </c>
      <c r="W4159" t="s">
        <v>17401</v>
      </c>
      <c r="X4159">
        <v>13</v>
      </c>
      <c r="Y4159" t="s">
        <v>23896</v>
      </c>
      <c r="Z4159" t="s">
        <v>30489</v>
      </c>
      <c r="AA4159">
        <v>1.1028074081703889</v>
      </c>
      <c r="AB4159" t="str">
        <f>HYPERLINK("Melting_Curves/meltCurve_Q6UN15_FIP1L1.pdf", "Melting_Curves/meltCurve_Q6UN15_FIP1L1.pdf")</f>
        <v>Melting_Curves/meltCurve_Q6UN15_FIP1L1.pdf</v>
      </c>
    </row>
    <row r="4160" spans="1:28" x14ac:dyDescent="0.25">
      <c r="A4160" t="s">
        <v>4164</v>
      </c>
      <c r="B4160">
        <v>0.99252571173614901</v>
      </c>
      <c r="C4160">
        <v>1.0201639036919701</v>
      </c>
      <c r="D4160">
        <v>0.944337213370257</v>
      </c>
      <c r="E4160">
        <v>0.78422698132314095</v>
      </c>
      <c r="F4160">
        <v>0.570793817698247</v>
      </c>
      <c r="G4160">
        <v>0.29472382681767301</v>
      </c>
      <c r="H4160">
        <v>0.22422086093476601</v>
      </c>
      <c r="I4160">
        <v>0.22471844465748</v>
      </c>
      <c r="J4160">
        <v>0.32658124695471502</v>
      </c>
      <c r="K4160">
        <v>0.42589304099601399</v>
      </c>
      <c r="L4160">
        <v>1317.5231381819999</v>
      </c>
      <c r="M4160">
        <v>25.5490385948073</v>
      </c>
      <c r="N4160">
        <v>53.383031738998099</v>
      </c>
      <c r="O4160">
        <v>51.2555984374183</v>
      </c>
      <c r="P4160">
        <v>-8.8452787284045098E-2</v>
      </c>
      <c r="Q4160">
        <v>0.29020519459428901</v>
      </c>
      <c r="R4160">
        <v>0.958999830661312</v>
      </c>
      <c r="S4160" t="s">
        <v>10806</v>
      </c>
      <c r="T4160" t="s">
        <v>13290</v>
      </c>
      <c r="U4160" t="s">
        <v>13290</v>
      </c>
      <c r="V4160" t="s">
        <v>13290</v>
      </c>
      <c r="W4160" t="s">
        <v>17402</v>
      </c>
      <c r="X4160">
        <v>3</v>
      </c>
      <c r="Y4160" t="s">
        <v>23897</v>
      </c>
      <c r="Z4160" t="s">
        <v>30490</v>
      </c>
      <c r="AA4160">
        <v>0.57009585032084165</v>
      </c>
      <c r="AB4160" t="str">
        <f>HYPERLINK("Melting_Curves/meltCurve_Q6UUV9_3_CRTC1.pdf", "Melting_Curves/meltCurve_Q6UUV9_3_CRTC1.pdf")</f>
        <v>Melting_Curves/meltCurve_Q6UUV9_3_CRTC1.pdf</v>
      </c>
    </row>
    <row r="4161" spans="1:28" x14ac:dyDescent="0.25">
      <c r="A4161" t="s">
        <v>4165</v>
      </c>
      <c r="B4161">
        <v>0.99252571173614901</v>
      </c>
      <c r="C4161">
        <v>1.0747505797427801</v>
      </c>
      <c r="D4161">
        <v>1.0266050293866</v>
      </c>
      <c r="E4161">
        <v>1.1412648834124699</v>
      </c>
      <c r="F4161">
        <v>0.63123548046364197</v>
      </c>
      <c r="G4161">
        <v>0.37507964361945001</v>
      </c>
      <c r="H4161">
        <v>0.357775831572338</v>
      </c>
      <c r="I4161">
        <v>0.45763003072095298</v>
      </c>
      <c r="J4161">
        <v>0.58013619656890103</v>
      </c>
      <c r="K4161">
        <v>0.50764362574035304</v>
      </c>
      <c r="L4161">
        <v>13260.5229537333</v>
      </c>
      <c r="M4161">
        <v>250</v>
      </c>
      <c r="N4161">
        <v>53.561092515972803</v>
      </c>
      <c r="O4161">
        <v>53.038698716781198</v>
      </c>
      <c r="P4161">
        <v>-0.64145021201451202</v>
      </c>
      <c r="Q4161">
        <v>0.45565306081023299</v>
      </c>
      <c r="R4161">
        <v>0.929786982937577</v>
      </c>
      <c r="S4161" t="s">
        <v>10807</v>
      </c>
      <c r="T4161" t="s">
        <v>13290</v>
      </c>
      <c r="U4161" t="s">
        <v>13290</v>
      </c>
      <c r="V4161" t="s">
        <v>13290</v>
      </c>
      <c r="W4161" t="s">
        <v>17403</v>
      </c>
      <c r="X4161">
        <v>1</v>
      </c>
      <c r="Y4161" t="s">
        <v>23898</v>
      </c>
      <c r="Z4161" t="s">
        <v>30491</v>
      </c>
      <c r="AA4161">
        <v>0.69235115833929994</v>
      </c>
      <c r="AB4161" t="str">
        <f>HYPERLINK("Melting_Curves/meltCurve_Q6UW56_ATRAID.pdf", "Melting_Curves/meltCurve_Q6UW56_ATRAID.pdf")</f>
        <v>Melting_Curves/meltCurve_Q6UW56_ATRAID.pdf</v>
      </c>
    </row>
    <row r="4162" spans="1:28" x14ac:dyDescent="0.25">
      <c r="A4162" t="s">
        <v>4166</v>
      </c>
      <c r="B4162">
        <v>0.99252571173614901</v>
      </c>
      <c r="C4162">
        <v>1.0234376364637301</v>
      </c>
      <c r="D4162">
        <v>1.02107342075895</v>
      </c>
      <c r="E4162">
        <v>1.13624453381247</v>
      </c>
      <c r="F4162">
        <v>0.44830078776487398</v>
      </c>
      <c r="G4162">
        <v>0.36420250378869501</v>
      </c>
      <c r="H4162">
        <v>0.41325363696703998</v>
      </c>
      <c r="I4162">
        <v>0.63760409304050503</v>
      </c>
      <c r="J4162">
        <v>0.92733628712233596</v>
      </c>
      <c r="K4162">
        <v>0.61840793177841102</v>
      </c>
      <c r="L4162">
        <v>4702.8328454113198</v>
      </c>
      <c r="M4162">
        <v>91.528120591280498</v>
      </c>
      <c r="O4162">
        <v>51.356775931369498</v>
      </c>
      <c r="P4162">
        <v>-0.19289507109215501</v>
      </c>
      <c r="Q4162">
        <v>0.56706340951020195</v>
      </c>
      <c r="R4162">
        <v>0.68178764699621397</v>
      </c>
      <c r="S4162" t="s">
        <v>10808</v>
      </c>
      <c r="T4162" t="s">
        <v>13290</v>
      </c>
      <c r="U4162" t="s">
        <v>13290</v>
      </c>
      <c r="V4162" t="s">
        <v>13290</v>
      </c>
      <c r="W4162" t="s">
        <v>17404</v>
      </c>
      <c r="X4162">
        <v>7</v>
      </c>
      <c r="Y4162" t="s">
        <v>23899</v>
      </c>
      <c r="Z4162" t="s">
        <v>30492</v>
      </c>
      <c r="AA4162">
        <v>0.73160096876600766</v>
      </c>
      <c r="AB4162" t="str">
        <f>HYPERLINK("Melting_Curves/meltCurve_Q6UW63_KDELC1.pdf", "Melting_Curves/meltCurve_Q6UW63_KDELC1.pdf")</f>
        <v>Melting_Curves/meltCurve_Q6UW63_KDELC1.pdf</v>
      </c>
    </row>
    <row r="4163" spans="1:28" x14ac:dyDescent="0.25">
      <c r="A4163" t="s">
        <v>4167</v>
      </c>
      <c r="B4163">
        <v>0.99252571173614901</v>
      </c>
      <c r="C4163">
        <v>0.94803237492408299</v>
      </c>
      <c r="D4163">
        <v>0.85731974124253796</v>
      </c>
      <c r="E4163">
        <v>0.86092024885071605</v>
      </c>
      <c r="F4163">
        <v>0.67262315745555301</v>
      </c>
      <c r="G4163">
        <v>0.50329629328886805</v>
      </c>
      <c r="H4163">
        <v>0.43494783164414902</v>
      </c>
      <c r="I4163">
        <v>0.48039488918575701</v>
      </c>
      <c r="J4163">
        <v>0.70375596089537096</v>
      </c>
      <c r="K4163">
        <v>0.59640578935694599</v>
      </c>
      <c r="L4163">
        <v>1040.0133072915501</v>
      </c>
      <c r="M4163">
        <v>20.702472082603201</v>
      </c>
      <c r="O4163">
        <v>49.7745054276239</v>
      </c>
      <c r="P4163">
        <v>-4.7845314064530201E-2</v>
      </c>
      <c r="Q4163">
        <v>0.53987925224758704</v>
      </c>
      <c r="R4163">
        <v>0.82166441031759796</v>
      </c>
      <c r="S4163" t="s">
        <v>10809</v>
      </c>
      <c r="T4163" t="s">
        <v>13290</v>
      </c>
      <c r="U4163" t="s">
        <v>13290</v>
      </c>
      <c r="V4163" t="s">
        <v>13290</v>
      </c>
      <c r="W4163" t="s">
        <v>17405</v>
      </c>
      <c r="X4163">
        <v>4</v>
      </c>
      <c r="Y4163" t="s">
        <v>23900</v>
      </c>
      <c r="Z4163" t="s">
        <v>30493</v>
      </c>
      <c r="AA4163">
        <v>0.70286108239037204</v>
      </c>
      <c r="AB4163" t="str">
        <f>HYPERLINK("Melting_Curves/meltCurve_Q6UW78_C11orf83.pdf", "Melting_Curves/meltCurve_Q6UW78_C11orf83.pdf")</f>
        <v>Melting_Curves/meltCurve_Q6UW78_C11orf83.pdf</v>
      </c>
    </row>
    <row r="4164" spans="1:28" x14ac:dyDescent="0.25">
      <c r="A4164" t="s">
        <v>4168</v>
      </c>
      <c r="B4164">
        <v>0.99252571173614901</v>
      </c>
      <c r="C4164">
        <v>1.0436682073163399</v>
      </c>
      <c r="D4164">
        <v>0.92333934564269804</v>
      </c>
      <c r="E4164">
        <v>0.55506885385286897</v>
      </c>
      <c r="F4164">
        <v>0.24867156741286101</v>
      </c>
      <c r="G4164">
        <v>0.15889519723323101</v>
      </c>
      <c r="H4164">
        <v>0.12371156950600599</v>
      </c>
      <c r="I4164">
        <v>0.122879464215661</v>
      </c>
      <c r="J4164">
        <v>8.7109844108710102E-2</v>
      </c>
      <c r="K4164">
        <v>7.3589990319052695E-2</v>
      </c>
      <c r="L4164">
        <v>1342.0320764903699</v>
      </c>
      <c r="M4164">
        <v>26.9750049097632</v>
      </c>
      <c r="N4164">
        <v>50.192554869036996</v>
      </c>
      <c r="O4164">
        <v>49.479954200294003</v>
      </c>
      <c r="P4164">
        <v>-0.121897172999285</v>
      </c>
      <c r="Q4164">
        <v>0.105630586572396</v>
      </c>
      <c r="R4164">
        <v>0.99600363144152104</v>
      </c>
      <c r="S4164" t="s">
        <v>10810</v>
      </c>
      <c r="T4164" t="s">
        <v>13290</v>
      </c>
      <c r="U4164" t="s">
        <v>13290</v>
      </c>
      <c r="V4164" t="s">
        <v>13290</v>
      </c>
      <c r="W4164" t="s">
        <v>17406</v>
      </c>
      <c r="X4164">
        <v>28</v>
      </c>
      <c r="Y4164" t="s">
        <v>23901</v>
      </c>
      <c r="Z4164" t="s">
        <v>30494</v>
      </c>
      <c r="AA4164">
        <v>0.40316479953973938</v>
      </c>
      <c r="AB4164" t="str">
        <f>HYPERLINK("Melting_Curves/meltCurve_Q6UWE0_LRSAM1.pdf", "Melting_Curves/meltCurve_Q6UWE0_LRSAM1.pdf")</f>
        <v>Melting_Curves/meltCurve_Q6UWE0_LRSAM1.pdf</v>
      </c>
    </row>
    <row r="4165" spans="1:28" x14ac:dyDescent="0.25">
      <c r="A4165" t="s">
        <v>4169</v>
      </c>
      <c r="B4165">
        <v>0.99252571173614901</v>
      </c>
      <c r="C4165">
        <v>1.02442832637313</v>
      </c>
      <c r="D4165">
        <v>1.0333757583258001</v>
      </c>
      <c r="E4165">
        <v>0.98182120200101597</v>
      </c>
      <c r="F4165">
        <v>0.81111515631397302</v>
      </c>
      <c r="G4165">
        <v>0.31566135625998099</v>
      </c>
      <c r="H4165">
        <v>0.106372134333064</v>
      </c>
      <c r="I4165">
        <v>0.10660344860819899</v>
      </c>
      <c r="J4165">
        <v>9.7274968046121499E-2</v>
      </c>
      <c r="K4165">
        <v>8.8941697804669997E-2</v>
      </c>
      <c r="L4165">
        <v>2079.1055172096799</v>
      </c>
      <c r="M4165">
        <v>37.738666200543797</v>
      </c>
      <c r="N4165">
        <v>55.391993812543902</v>
      </c>
      <c r="O4165">
        <v>54.938172938227197</v>
      </c>
      <c r="P4165">
        <v>-0.155868977187994</v>
      </c>
      <c r="Q4165">
        <v>9.2375505932476495E-2</v>
      </c>
      <c r="R4165">
        <v>0.99882721319021694</v>
      </c>
      <c r="S4165" t="s">
        <v>10811</v>
      </c>
      <c r="T4165" t="s">
        <v>13290</v>
      </c>
      <c r="U4165" t="s">
        <v>13290</v>
      </c>
      <c r="V4165" t="s">
        <v>13290</v>
      </c>
      <c r="W4165" t="s">
        <v>17407</v>
      </c>
      <c r="X4165">
        <v>7</v>
      </c>
      <c r="Y4165" t="s">
        <v>23902</v>
      </c>
      <c r="Z4165" t="s">
        <v>30495</v>
      </c>
      <c r="AA4165">
        <v>0.55284030020923158</v>
      </c>
      <c r="AB4165" t="str">
        <f>HYPERLINK("Melting_Curves/meltCurve_Q6UWP2_DHRS11.pdf", "Melting_Curves/meltCurve_Q6UWP2_DHRS11.pdf")</f>
        <v>Melting_Curves/meltCurve_Q6UWP2_DHRS11.pdf</v>
      </c>
    </row>
    <row r="4166" spans="1:28" x14ac:dyDescent="0.25">
      <c r="A4166" t="s">
        <v>4170</v>
      </c>
      <c r="B4166">
        <v>0.99252571173614901</v>
      </c>
      <c r="C4166">
        <v>0.94242141511307997</v>
      </c>
      <c r="D4166">
        <v>0.83950707901631805</v>
      </c>
      <c r="E4166">
        <v>0.736448282922052</v>
      </c>
      <c r="F4166">
        <v>0.48408084300863802</v>
      </c>
      <c r="G4166">
        <v>0.27271270981895801</v>
      </c>
      <c r="H4166">
        <v>0.160171315101161</v>
      </c>
      <c r="I4166">
        <v>0.16001865144844599</v>
      </c>
      <c r="J4166">
        <v>0.18559314586570799</v>
      </c>
      <c r="K4166">
        <v>0.14796160284062601</v>
      </c>
      <c r="L4166">
        <v>804.508185877806</v>
      </c>
      <c r="M4166">
        <v>15.5676780359713</v>
      </c>
      <c r="N4166">
        <v>52.642214032918197</v>
      </c>
      <c r="O4166">
        <v>50.847913676420298</v>
      </c>
      <c r="P4166">
        <v>-6.7052722605267998E-2</v>
      </c>
      <c r="Q4166">
        <v>0.12403294382673299</v>
      </c>
      <c r="R4166">
        <v>0.99250180684377298</v>
      </c>
      <c r="S4166" t="s">
        <v>10812</v>
      </c>
      <c r="T4166" t="s">
        <v>13290</v>
      </c>
      <c r="U4166" t="s">
        <v>13290</v>
      </c>
      <c r="V4166" t="s">
        <v>13290</v>
      </c>
      <c r="W4166" t="s">
        <v>17408</v>
      </c>
      <c r="X4166">
        <v>7</v>
      </c>
      <c r="Y4166" t="s">
        <v>23903</v>
      </c>
      <c r="Z4166" t="s">
        <v>30496</v>
      </c>
      <c r="AA4166">
        <v>0.48368667737769688</v>
      </c>
      <c r="AB4166" t="str">
        <f>HYPERLINK("Melting_Curves/meltCurve_Q6UWP7_3_LCLAT1.pdf", "Melting_Curves/meltCurve_Q6UWP7_3_LCLAT1.pdf")</f>
        <v>Melting_Curves/meltCurve_Q6UWP7_3_LCLAT1.pdf</v>
      </c>
    </row>
    <row r="4167" spans="1:28" x14ac:dyDescent="0.25">
      <c r="A4167" t="s">
        <v>4171</v>
      </c>
      <c r="B4167">
        <v>0.99252571173614901</v>
      </c>
      <c r="C4167">
        <v>1.1248288301678599</v>
      </c>
      <c r="D4167">
        <v>0.95465460503191202</v>
      </c>
      <c r="E4167">
        <v>0.69113972462797302</v>
      </c>
      <c r="F4167">
        <v>0.362418679059684</v>
      </c>
      <c r="G4167">
        <v>0.199090379749086</v>
      </c>
      <c r="H4167">
        <v>0.13764587256295999</v>
      </c>
      <c r="I4167">
        <v>0.137977108620218</v>
      </c>
      <c r="J4167">
        <v>0.17853114333806699</v>
      </c>
      <c r="K4167">
        <v>0.14978379307759199</v>
      </c>
      <c r="L4167">
        <v>1359.3347591258701</v>
      </c>
      <c r="M4167">
        <v>26.755656989211701</v>
      </c>
      <c r="N4167">
        <v>51.489697108020898</v>
      </c>
      <c r="O4167">
        <v>50.524227192835802</v>
      </c>
      <c r="P4167">
        <v>-0.112586105033641</v>
      </c>
      <c r="Q4167">
        <v>0.14959754460632299</v>
      </c>
      <c r="R4167">
        <v>0.98692558099229699</v>
      </c>
      <c r="S4167" t="s">
        <v>10813</v>
      </c>
      <c r="T4167" t="s">
        <v>13290</v>
      </c>
      <c r="U4167" t="s">
        <v>13290</v>
      </c>
      <c r="V4167" t="s">
        <v>13290</v>
      </c>
      <c r="W4167" t="s">
        <v>17409</v>
      </c>
      <c r="X4167">
        <v>6</v>
      </c>
      <c r="Y4167" t="s">
        <v>23904</v>
      </c>
      <c r="Z4167" t="s">
        <v>30497</v>
      </c>
      <c r="AA4167">
        <v>0.46259910167299872</v>
      </c>
      <c r="AB4167" t="str">
        <f>HYPERLINK("Melting_Curves/meltCurve_Q6UWW0_LCN15.pdf", "Melting_Curves/meltCurve_Q6UWW0_LCN15.pdf")</f>
        <v>Melting_Curves/meltCurve_Q6UWW0_LCN15.pdf</v>
      </c>
    </row>
    <row r="4168" spans="1:28" x14ac:dyDescent="0.25">
      <c r="A4168" t="s">
        <v>4172</v>
      </c>
      <c r="B4168">
        <v>0.99252571173614901</v>
      </c>
      <c r="C4168">
        <v>1.0530676705879001</v>
      </c>
      <c r="D4168">
        <v>0.87796890250209003</v>
      </c>
      <c r="E4168">
        <v>0.46997140973349499</v>
      </c>
      <c r="F4168">
        <v>0.25478555684001802</v>
      </c>
      <c r="G4168">
        <v>0.160532393327522</v>
      </c>
      <c r="H4168">
        <v>0.124036593469352</v>
      </c>
      <c r="I4168">
        <v>0.13499933492792199</v>
      </c>
      <c r="J4168">
        <v>0.151519021107234</v>
      </c>
      <c r="K4168">
        <v>0.15368896725611</v>
      </c>
      <c r="L4168">
        <v>1409.66703384265</v>
      </c>
      <c r="M4168">
        <v>28.837735937187301</v>
      </c>
      <c r="N4168">
        <v>49.4735345075228</v>
      </c>
      <c r="O4168">
        <v>48.6494675729043</v>
      </c>
      <c r="P4168">
        <v>-0.126605241387027</v>
      </c>
      <c r="Q4168">
        <v>0.145670702366206</v>
      </c>
      <c r="R4168">
        <v>0.99486758580946899</v>
      </c>
      <c r="S4168" t="s">
        <v>10814</v>
      </c>
      <c r="T4168" t="s">
        <v>13290</v>
      </c>
      <c r="U4168" t="s">
        <v>13290</v>
      </c>
      <c r="V4168" t="s">
        <v>13290</v>
      </c>
      <c r="W4168" t="s">
        <v>17410</v>
      </c>
      <c r="X4168">
        <v>18</v>
      </c>
      <c r="Y4168" t="s">
        <v>23905</v>
      </c>
      <c r="Z4168" t="s">
        <v>30498</v>
      </c>
      <c r="AA4168">
        <v>0.40426410696652099</v>
      </c>
      <c r="AB4168" t="str">
        <f>HYPERLINK("Melting_Curves/meltCurve_Q6UX04_CWC27.pdf", "Melting_Curves/meltCurve_Q6UX04_CWC27.pdf")</f>
        <v>Melting_Curves/meltCurve_Q6UX04_CWC27.pdf</v>
      </c>
    </row>
    <row r="4169" spans="1:28" x14ac:dyDescent="0.25">
      <c r="A4169" t="s">
        <v>4173</v>
      </c>
      <c r="B4169">
        <v>0.99252571173614901</v>
      </c>
      <c r="C4169">
        <v>0.907753108214992</v>
      </c>
      <c r="D4169">
        <v>0.82719114574997099</v>
      </c>
      <c r="E4169">
        <v>0.48624637957200101</v>
      </c>
      <c r="F4169">
        <v>0.22461903122221499</v>
      </c>
      <c r="G4169">
        <v>0.14402789782568701</v>
      </c>
      <c r="H4169">
        <v>8.1907773170583995E-2</v>
      </c>
      <c r="I4169">
        <v>9.9021812567804499E-2</v>
      </c>
      <c r="J4169">
        <v>0.120168920224392</v>
      </c>
      <c r="K4169">
        <v>0.10181083289759001</v>
      </c>
      <c r="L4169">
        <v>1025.8497929829</v>
      </c>
      <c r="M4169">
        <v>20.9708201798957</v>
      </c>
      <c r="N4169">
        <v>49.407451121446499</v>
      </c>
      <c r="O4169">
        <v>48.479663618106798</v>
      </c>
      <c r="P4169">
        <v>-9.8001308374435103E-2</v>
      </c>
      <c r="Q4169">
        <v>9.3799587194749803E-2</v>
      </c>
      <c r="R4169">
        <v>0.99688180388150205</v>
      </c>
      <c r="S4169" t="s">
        <v>10815</v>
      </c>
      <c r="T4169" t="s">
        <v>13290</v>
      </c>
      <c r="U4169" t="s">
        <v>13290</v>
      </c>
      <c r="V4169" t="s">
        <v>13290</v>
      </c>
      <c r="W4169" t="s">
        <v>17411</v>
      </c>
      <c r="X4169">
        <v>2</v>
      </c>
      <c r="Y4169" t="s">
        <v>23906</v>
      </c>
      <c r="Z4169" t="s">
        <v>30499</v>
      </c>
      <c r="AA4169">
        <v>0.37471151289591681</v>
      </c>
      <c r="AB4169" t="str">
        <f>HYPERLINK("Melting_Curves/meltCurve_Q6UXD5_6_SEZ6L2.pdf", "Melting_Curves/meltCurve_Q6UXD5_6_SEZ6L2.pdf")</f>
        <v>Melting_Curves/meltCurve_Q6UXD5_6_SEZ6L2.pdf</v>
      </c>
    </row>
    <row r="4170" spans="1:28" x14ac:dyDescent="0.25">
      <c r="A4170" t="s">
        <v>4174</v>
      </c>
      <c r="B4170">
        <v>0.99252571173614901</v>
      </c>
      <c r="C4170">
        <v>0.95271054822606005</v>
      </c>
      <c r="D4170">
        <v>0.91193665721053396</v>
      </c>
      <c r="E4170">
        <v>1.0133485771875299</v>
      </c>
      <c r="F4170">
        <v>0.69264016260587102</v>
      </c>
      <c r="G4170">
        <v>0.42439799177669202</v>
      </c>
      <c r="H4170">
        <v>0.15352554249062</v>
      </c>
      <c r="I4170">
        <v>0.136971844209789</v>
      </c>
      <c r="J4170">
        <v>0.17470835905517601</v>
      </c>
      <c r="K4170">
        <v>0.12681283196183499</v>
      </c>
      <c r="L4170">
        <v>1417.47736660139</v>
      </c>
      <c r="M4170">
        <v>25.831390510533399</v>
      </c>
      <c r="N4170">
        <v>55.516226712184398</v>
      </c>
      <c r="O4170">
        <v>54.548514310479803</v>
      </c>
      <c r="P4170">
        <v>-0.10310257735131</v>
      </c>
      <c r="Q4170">
        <v>0.12911755526708199</v>
      </c>
      <c r="R4170">
        <v>0.98578228535550105</v>
      </c>
      <c r="S4170" t="s">
        <v>10816</v>
      </c>
      <c r="T4170" t="s">
        <v>13290</v>
      </c>
      <c r="U4170" t="s">
        <v>13290</v>
      </c>
      <c r="V4170" t="s">
        <v>13290</v>
      </c>
      <c r="W4170" t="s">
        <v>17412</v>
      </c>
      <c r="X4170">
        <v>4</v>
      </c>
      <c r="Y4170" t="s">
        <v>23907</v>
      </c>
      <c r="Z4170" t="s">
        <v>30500</v>
      </c>
      <c r="AA4170">
        <v>0.56851295705784066</v>
      </c>
      <c r="AB4170" t="str">
        <f>HYPERLINK("Melting_Curves/meltCurve_Q6UXG2_2_KIAA1324.pdf", "Melting_Curves/meltCurve_Q6UXG2_2_KIAA1324.pdf")</f>
        <v>Melting_Curves/meltCurve_Q6UXG2_2_KIAA1324.pdf</v>
      </c>
    </row>
    <row r="4171" spans="1:28" x14ac:dyDescent="0.25">
      <c r="A4171" t="s">
        <v>4175</v>
      </c>
      <c r="B4171">
        <v>0.99252571173614901</v>
      </c>
      <c r="C4171">
        <v>1.09070218707079</v>
      </c>
      <c r="D4171">
        <v>0.99963166501746104</v>
      </c>
      <c r="E4171">
        <v>0.92941600881527797</v>
      </c>
      <c r="F4171">
        <v>0.68774764675778599</v>
      </c>
      <c r="G4171">
        <v>0.46757426012916298</v>
      </c>
      <c r="H4171">
        <v>0.40332533801978199</v>
      </c>
      <c r="I4171">
        <v>0.58599317885521995</v>
      </c>
      <c r="J4171">
        <v>0.89735923884638502</v>
      </c>
      <c r="K4171">
        <v>0.97743302000122601</v>
      </c>
      <c r="L4171">
        <v>3361.0809143290899</v>
      </c>
      <c r="M4171">
        <v>66.439281069072507</v>
      </c>
      <c r="O4171">
        <v>50.542988667851702</v>
      </c>
      <c r="P4171">
        <v>-0.10917992909944001</v>
      </c>
      <c r="Q4171">
        <v>0.66777013471304003</v>
      </c>
      <c r="R4171">
        <v>0.49799859038698702</v>
      </c>
      <c r="S4171" t="s">
        <v>10817</v>
      </c>
      <c r="T4171" t="s">
        <v>13290</v>
      </c>
      <c r="U4171" t="s">
        <v>13290</v>
      </c>
      <c r="V4171" t="s">
        <v>13290</v>
      </c>
      <c r="W4171" t="s">
        <v>17413</v>
      </c>
      <c r="X4171">
        <v>10</v>
      </c>
      <c r="Y4171" t="s">
        <v>23908</v>
      </c>
      <c r="Z4171" t="s">
        <v>30501</v>
      </c>
      <c r="AA4171">
        <v>0.78545241487728767</v>
      </c>
      <c r="AB4171" t="str">
        <f>HYPERLINK("Melting_Curves/meltCurve_Q6UXH1_5_CRELD2.pdf", "Melting_Curves/meltCurve_Q6UXH1_5_CRELD2.pdf")</f>
        <v>Melting_Curves/meltCurve_Q6UXH1_5_CRELD2.pdf</v>
      </c>
    </row>
    <row r="4172" spans="1:28" x14ac:dyDescent="0.25">
      <c r="A4172" t="s">
        <v>4176</v>
      </c>
      <c r="B4172">
        <v>0.99252571173614901</v>
      </c>
      <c r="C4172">
        <v>0.93713684607345404</v>
      </c>
      <c r="D4172">
        <v>0.88286565326776101</v>
      </c>
      <c r="E4172">
        <v>0.63601060123193398</v>
      </c>
      <c r="F4172">
        <v>0.59289260076389905</v>
      </c>
      <c r="G4172">
        <v>0.37544088829323302</v>
      </c>
      <c r="H4172">
        <v>0.24374989392760199</v>
      </c>
      <c r="I4172">
        <v>0.116056753799008</v>
      </c>
      <c r="J4172">
        <v>9.6999819928262995E-2</v>
      </c>
      <c r="K4172">
        <v>8.7318672118220905E-2</v>
      </c>
      <c r="L4172">
        <v>572.14115856939895</v>
      </c>
      <c r="M4172">
        <v>10.618626164122</v>
      </c>
      <c r="N4172">
        <v>53.880901928037197</v>
      </c>
      <c r="O4172">
        <v>52.075310268904502</v>
      </c>
      <c r="P4172">
        <v>-5.0996957527087897E-2</v>
      </c>
      <c r="Q4172">
        <v>0</v>
      </c>
      <c r="R4172">
        <v>0.98923128067439203</v>
      </c>
      <c r="S4172" t="s">
        <v>10818</v>
      </c>
      <c r="T4172" t="s">
        <v>13290</v>
      </c>
      <c r="U4172" t="s">
        <v>13290</v>
      </c>
      <c r="V4172" t="s">
        <v>13290</v>
      </c>
      <c r="W4172" t="s">
        <v>17414</v>
      </c>
      <c r="X4172">
        <v>17</v>
      </c>
      <c r="Y4172" t="s">
        <v>23909</v>
      </c>
      <c r="Z4172" t="s">
        <v>30502</v>
      </c>
      <c r="AA4172">
        <v>0.49205722260055051</v>
      </c>
      <c r="AB4172" t="str">
        <f>HYPERLINK("Melting_Curves/meltCurve_Q6UXN9_WDR82.pdf", "Melting_Curves/meltCurve_Q6UXN9_WDR82.pdf")</f>
        <v>Melting_Curves/meltCurve_Q6UXN9_WDR82.pdf</v>
      </c>
    </row>
    <row r="4173" spans="1:28" x14ac:dyDescent="0.25">
      <c r="A4173" t="s">
        <v>4177</v>
      </c>
      <c r="B4173">
        <v>0.99252571173614901</v>
      </c>
      <c r="C4173">
        <v>0.94650414058231802</v>
      </c>
      <c r="D4173">
        <v>0.89898894153769104</v>
      </c>
      <c r="E4173">
        <v>0.86424163013288302</v>
      </c>
      <c r="F4173">
        <v>0.72455978412204403</v>
      </c>
      <c r="G4173">
        <v>0.705736603530426</v>
      </c>
      <c r="H4173">
        <v>0.780475934635948</v>
      </c>
      <c r="I4173">
        <v>0.98900131386652201</v>
      </c>
      <c r="J4173">
        <v>1.6091249787936199</v>
      </c>
      <c r="K4173">
        <v>1.3049348168267201</v>
      </c>
      <c r="L4173">
        <v>15000</v>
      </c>
      <c r="M4173">
        <v>230.068212579575</v>
      </c>
      <c r="O4173">
        <v>65.193128740617496</v>
      </c>
      <c r="P4173">
        <v>0.40331479164353801</v>
      </c>
      <c r="Q4173">
        <v>1.45714012876545</v>
      </c>
      <c r="R4173">
        <v>0.58893330087739604</v>
      </c>
      <c r="S4173" t="s">
        <v>10819</v>
      </c>
      <c r="T4173" t="s">
        <v>13290</v>
      </c>
      <c r="U4173" t="s">
        <v>13290</v>
      </c>
      <c r="V4173" t="s">
        <v>13290</v>
      </c>
      <c r="W4173" t="s">
        <v>17415</v>
      </c>
      <c r="X4173">
        <v>11</v>
      </c>
      <c r="Y4173" t="s">
        <v>23910</v>
      </c>
      <c r="Z4173" t="s">
        <v>30503</v>
      </c>
      <c r="AA4173">
        <v>1.07311029288198</v>
      </c>
      <c r="AB4173" t="str">
        <f>HYPERLINK("Melting_Curves/meltCurve_Q6UXV4_APOOL.pdf", "Melting_Curves/meltCurve_Q6UXV4_APOOL.pdf")</f>
        <v>Melting_Curves/meltCurve_Q6UXV4_APOOL.pdf</v>
      </c>
    </row>
    <row r="4174" spans="1:28" x14ac:dyDescent="0.25">
      <c r="A4174" t="s">
        <v>4178</v>
      </c>
      <c r="B4174">
        <v>0.99252571173614901</v>
      </c>
      <c r="C4174">
        <v>1.0249516362698901</v>
      </c>
      <c r="D4174">
        <v>1.0371516255122399</v>
      </c>
      <c r="E4174">
        <v>0.91294665517465001</v>
      </c>
      <c r="F4174">
        <v>0.53380404522075398</v>
      </c>
      <c r="G4174">
        <v>0.30316246504758698</v>
      </c>
      <c r="H4174">
        <v>0.22000356444534899</v>
      </c>
      <c r="I4174">
        <v>0.23890719583297099</v>
      </c>
      <c r="J4174">
        <v>0.22663702780112099</v>
      </c>
      <c r="K4174">
        <v>0.13147089833806799</v>
      </c>
      <c r="L4174">
        <v>1644.5722504405501</v>
      </c>
      <c r="M4174">
        <v>31.1796017668585</v>
      </c>
      <c r="N4174">
        <v>53.642507848342603</v>
      </c>
      <c r="O4174">
        <v>52.529589033302003</v>
      </c>
      <c r="P4174">
        <v>-0.118236249530886</v>
      </c>
      <c r="Q4174">
        <v>0.20321408285342599</v>
      </c>
      <c r="R4174">
        <v>0.99225003662326905</v>
      </c>
      <c r="S4174" t="s">
        <v>10820</v>
      </c>
      <c r="T4174" t="s">
        <v>13290</v>
      </c>
      <c r="U4174" t="s">
        <v>13290</v>
      </c>
      <c r="V4174" t="s">
        <v>13290</v>
      </c>
      <c r="W4174" t="s">
        <v>17416</v>
      </c>
      <c r="X4174">
        <v>1</v>
      </c>
      <c r="Y4174" t="s">
        <v>23911</v>
      </c>
      <c r="Z4174" t="s">
        <v>30504</v>
      </c>
      <c r="AA4174">
        <v>0.54649047493774783</v>
      </c>
      <c r="AB4174" t="str">
        <f>HYPERLINK("Melting_Curves/meltCurve_Q6W4X9_MUC6.pdf", "Melting_Curves/meltCurve_Q6W4X9_MUC6.pdf")</f>
        <v>Melting_Curves/meltCurve_Q6W4X9_MUC6.pdf</v>
      </c>
    </row>
    <row r="4175" spans="1:28" x14ac:dyDescent="0.25">
      <c r="A4175" t="s">
        <v>4179</v>
      </c>
      <c r="B4175">
        <v>0.99252571173614901</v>
      </c>
      <c r="C4175">
        <v>0.92956298075347499</v>
      </c>
      <c r="D4175">
        <v>0.841997560487179</v>
      </c>
      <c r="E4175">
        <v>0.74709489006992802</v>
      </c>
      <c r="F4175">
        <v>0.330548996128812</v>
      </c>
      <c r="G4175">
        <v>0.19960227431598601</v>
      </c>
      <c r="H4175">
        <v>0.175541520304096</v>
      </c>
      <c r="I4175">
        <v>0.22774454114019499</v>
      </c>
      <c r="J4175">
        <v>0.34020538225963498</v>
      </c>
      <c r="K4175">
        <v>0.35926803159814502</v>
      </c>
      <c r="L4175">
        <v>1614.91124667706</v>
      </c>
      <c r="M4175">
        <v>32.164832887495898</v>
      </c>
      <c r="N4175">
        <v>51.341213515427803</v>
      </c>
      <c r="O4175">
        <v>50.014480403855202</v>
      </c>
      <c r="P4175">
        <v>-0.119898425284113</v>
      </c>
      <c r="Q4175">
        <v>0.254262822920791</v>
      </c>
      <c r="R4175">
        <v>0.94386952154792003</v>
      </c>
      <c r="S4175" t="s">
        <v>10821</v>
      </c>
      <c r="T4175" t="s">
        <v>13290</v>
      </c>
      <c r="U4175" t="s">
        <v>13290</v>
      </c>
      <c r="V4175" t="s">
        <v>13290</v>
      </c>
      <c r="W4175" t="s">
        <v>17417</v>
      </c>
      <c r="X4175">
        <v>15</v>
      </c>
      <c r="Y4175" t="s">
        <v>20747</v>
      </c>
      <c r="Z4175" t="s">
        <v>30505</v>
      </c>
      <c r="AA4175">
        <v>0.51201682007307092</v>
      </c>
      <c r="AB4175" t="str">
        <f>HYPERLINK("Melting_Curves/meltCurve_Q6WCQ1_2_MPRIP.pdf", "Melting_Curves/meltCurve_Q6WCQ1_2_MPRIP.pdf")</f>
        <v>Melting_Curves/meltCurve_Q6WCQ1_2_MPRIP.pdf</v>
      </c>
    </row>
    <row r="4176" spans="1:28" x14ac:dyDescent="0.25">
      <c r="A4176" t="s">
        <v>4180</v>
      </c>
      <c r="B4176">
        <v>0.99252571173614901</v>
      </c>
      <c r="C4176">
        <v>0.93690804531043703</v>
      </c>
      <c r="D4176">
        <v>0.81446045075626405</v>
      </c>
      <c r="E4176">
        <v>0.63792526052395604</v>
      </c>
      <c r="F4176">
        <v>0.18979202485421201</v>
      </c>
      <c r="G4176">
        <v>0.12356965096052699</v>
      </c>
      <c r="H4176">
        <v>8.8732883883897107E-2</v>
      </c>
      <c r="I4176">
        <v>9.9377824782353394E-2</v>
      </c>
      <c r="J4176">
        <v>0.115711095693452</v>
      </c>
      <c r="K4176">
        <v>0.13468202892459599</v>
      </c>
      <c r="L4176">
        <v>1173.0924378843399</v>
      </c>
      <c r="M4176">
        <v>23.5873615726961</v>
      </c>
      <c r="N4176">
        <v>50.178258130064897</v>
      </c>
      <c r="O4176">
        <v>49.380603058618298</v>
      </c>
      <c r="P4176">
        <v>-0.108163605302401</v>
      </c>
      <c r="Q4176">
        <v>9.42448532745674E-2</v>
      </c>
      <c r="R4176">
        <v>0.98554198781547198</v>
      </c>
      <c r="S4176" t="s">
        <v>10822</v>
      </c>
      <c r="T4176" t="s">
        <v>13290</v>
      </c>
      <c r="U4176" t="s">
        <v>13290</v>
      </c>
      <c r="V4176" t="s">
        <v>13290</v>
      </c>
      <c r="W4176" t="s">
        <v>17418</v>
      </c>
      <c r="X4176">
        <v>29</v>
      </c>
      <c r="Y4176" t="s">
        <v>23912</v>
      </c>
      <c r="Z4176" t="s">
        <v>30506</v>
      </c>
      <c r="AA4176">
        <v>0.3972111437446591</v>
      </c>
      <c r="AB4176" t="str">
        <f>HYPERLINK("Melting_Curves/meltCurve_Q6WKZ4_RAB11FIP1.pdf", "Melting_Curves/meltCurve_Q6WKZ4_RAB11FIP1.pdf")</f>
        <v>Melting_Curves/meltCurve_Q6WKZ4_RAB11FIP1.pdf</v>
      </c>
    </row>
    <row r="4177" spans="1:28" x14ac:dyDescent="0.25">
      <c r="A4177" t="s">
        <v>4181</v>
      </c>
      <c r="B4177">
        <v>0.99252571173614901</v>
      </c>
      <c r="C4177">
        <v>1.0402793530789201</v>
      </c>
      <c r="D4177">
        <v>1.0011642061078101</v>
      </c>
      <c r="E4177">
        <v>1.0009916939354899</v>
      </c>
      <c r="F4177">
        <v>0.88843766730421703</v>
      </c>
      <c r="G4177">
        <v>0.69932428407730696</v>
      </c>
      <c r="H4177">
        <v>0.61984104146017704</v>
      </c>
      <c r="I4177">
        <v>0.42294058462398798</v>
      </c>
      <c r="J4177">
        <v>0.16275595009129001</v>
      </c>
      <c r="K4177">
        <v>0.13099514951664601</v>
      </c>
      <c r="L4177">
        <v>893.84556697711798</v>
      </c>
      <c r="M4177">
        <v>14.499095688774201</v>
      </c>
      <c r="N4177">
        <v>61.648366647205997</v>
      </c>
      <c r="O4177">
        <v>60.511247338821498</v>
      </c>
      <c r="P4177">
        <v>-5.9909389573477599E-2</v>
      </c>
      <c r="Q4177">
        <v>0</v>
      </c>
      <c r="R4177">
        <v>0.98002389381211896</v>
      </c>
      <c r="S4177" t="s">
        <v>10823</v>
      </c>
      <c r="T4177" t="s">
        <v>13290</v>
      </c>
      <c r="U4177" t="s">
        <v>13290</v>
      </c>
      <c r="V4177" t="s">
        <v>13290</v>
      </c>
      <c r="W4177" t="s">
        <v>17419</v>
      </c>
      <c r="X4177">
        <v>22</v>
      </c>
      <c r="Y4177" t="s">
        <v>23913</v>
      </c>
      <c r="Z4177" t="s">
        <v>30507</v>
      </c>
      <c r="AA4177">
        <v>0.71981992077795809</v>
      </c>
      <c r="AB4177" t="str">
        <f>HYPERLINK("Melting_Curves/meltCurve_Q6XQN6_NAPRT1.pdf", "Melting_Curves/meltCurve_Q6XQN6_NAPRT1.pdf")</f>
        <v>Melting_Curves/meltCurve_Q6XQN6_NAPRT1.pdf</v>
      </c>
    </row>
    <row r="4178" spans="1:28" x14ac:dyDescent="0.25">
      <c r="A4178" t="s">
        <v>4182</v>
      </c>
      <c r="B4178">
        <v>0.99252571173614901</v>
      </c>
      <c r="C4178">
        <v>0.97962510237928302</v>
      </c>
      <c r="D4178">
        <v>0.89406095871430302</v>
      </c>
      <c r="E4178">
        <v>0.92339563461688101</v>
      </c>
      <c r="F4178">
        <v>0.52169254575698298</v>
      </c>
      <c r="G4178">
        <v>0.383838520320473</v>
      </c>
      <c r="H4178">
        <v>0.22313647263668501</v>
      </c>
      <c r="I4178">
        <v>0.23597381817681401</v>
      </c>
      <c r="J4178">
        <v>0.30567559651981102</v>
      </c>
      <c r="K4178">
        <v>0.241729780293124</v>
      </c>
      <c r="L4178">
        <v>1472.26045597249</v>
      </c>
      <c r="M4178">
        <v>28.0560824976587</v>
      </c>
      <c r="N4178">
        <v>53.835829315187802</v>
      </c>
      <c r="O4178">
        <v>52.2111888097863</v>
      </c>
      <c r="P4178">
        <v>-0.10023184340046799</v>
      </c>
      <c r="Q4178">
        <v>0.25389724527059998</v>
      </c>
      <c r="R4178">
        <v>0.98030944434697997</v>
      </c>
      <c r="S4178" t="s">
        <v>10824</v>
      </c>
      <c r="T4178" t="s">
        <v>13290</v>
      </c>
      <c r="U4178" t="s">
        <v>13290</v>
      </c>
      <c r="V4178" t="s">
        <v>13290</v>
      </c>
      <c r="W4178" t="s">
        <v>17420</v>
      </c>
      <c r="X4178">
        <v>2</v>
      </c>
      <c r="Y4178" t="s">
        <v>23914</v>
      </c>
      <c r="Z4178" t="s">
        <v>30508</v>
      </c>
      <c r="AA4178">
        <v>0.56964372261986229</v>
      </c>
      <c r="AB4178" t="str">
        <f>HYPERLINK("Melting_Curves/meltCurve_Q6Y1H2_PTPLB.pdf", "Melting_Curves/meltCurve_Q6Y1H2_PTPLB.pdf")</f>
        <v>Melting_Curves/meltCurve_Q6Y1H2_PTPLB.pdf</v>
      </c>
    </row>
    <row r="4179" spans="1:28" x14ac:dyDescent="0.25">
      <c r="A4179" t="s">
        <v>4183</v>
      </c>
      <c r="B4179">
        <v>0.99252571173614901</v>
      </c>
      <c r="C4179">
        <v>0.85200265421229604</v>
      </c>
      <c r="D4179">
        <v>0.54166352388566597</v>
      </c>
      <c r="E4179">
        <v>0.355326546211711</v>
      </c>
      <c r="F4179">
        <v>0.19854288952311899</v>
      </c>
      <c r="G4179">
        <v>0.117031025511613</v>
      </c>
      <c r="H4179">
        <v>8.9230893897156605E-2</v>
      </c>
      <c r="I4179">
        <v>9.9489453862776606E-2</v>
      </c>
      <c r="J4179">
        <v>0.135611802927843</v>
      </c>
      <c r="K4179">
        <v>0.15138148534076801</v>
      </c>
      <c r="L4179">
        <v>867.66607652161304</v>
      </c>
      <c r="M4179">
        <v>18.7349551301911</v>
      </c>
      <c r="N4179">
        <v>46.967740364182703</v>
      </c>
      <c r="O4179">
        <v>45.794731308303398</v>
      </c>
      <c r="P4179">
        <v>-9.0521625325663796E-2</v>
      </c>
      <c r="Q4179">
        <v>0.114972592241829</v>
      </c>
      <c r="R4179">
        <v>0.99072909612732096</v>
      </c>
      <c r="S4179" t="s">
        <v>10825</v>
      </c>
      <c r="T4179" t="s">
        <v>13290</v>
      </c>
      <c r="U4179" t="s">
        <v>13290</v>
      </c>
      <c r="V4179" t="s">
        <v>13290</v>
      </c>
      <c r="W4179" t="s">
        <v>17421</v>
      </c>
      <c r="X4179">
        <v>25</v>
      </c>
      <c r="Y4179" t="s">
        <v>23915</v>
      </c>
      <c r="Z4179" t="s">
        <v>30509</v>
      </c>
      <c r="AA4179">
        <v>0.31673832390482087</v>
      </c>
      <c r="AB4179" t="str">
        <f>HYPERLINK("Melting_Curves/meltCurve_Q6Y7W6_GIGYF2.pdf", "Melting_Curves/meltCurve_Q6Y7W6_GIGYF2.pdf")</f>
        <v>Melting_Curves/meltCurve_Q6Y7W6_GIGYF2.pdf</v>
      </c>
    </row>
    <row r="4180" spans="1:28" x14ac:dyDescent="0.25">
      <c r="A4180" t="s">
        <v>4184</v>
      </c>
      <c r="B4180">
        <v>0.99252571173614901</v>
      </c>
      <c r="C4180">
        <v>0.97732422471678204</v>
      </c>
      <c r="D4180">
        <v>0.90765783779272802</v>
      </c>
      <c r="E4180">
        <v>0.93036628173186198</v>
      </c>
      <c r="F4180">
        <v>0.75176368697457596</v>
      </c>
      <c r="G4180">
        <v>0.57957663935439196</v>
      </c>
      <c r="H4180">
        <v>0.448622853339049</v>
      </c>
      <c r="I4180">
        <v>0.44950730679716899</v>
      </c>
      <c r="J4180">
        <v>0.60947072755883203</v>
      </c>
      <c r="K4180">
        <v>0.49337837028036202</v>
      </c>
      <c r="L4180">
        <v>1380.3483210313</v>
      </c>
      <c r="M4180">
        <v>26.015139758493699</v>
      </c>
      <c r="N4180">
        <v>65.730979194844394</v>
      </c>
      <c r="O4180">
        <v>52.748905385591499</v>
      </c>
      <c r="P4180">
        <v>-6.2058398774569701E-2</v>
      </c>
      <c r="Q4180">
        <v>0.49668175992861202</v>
      </c>
      <c r="R4180">
        <v>0.94005448559548199</v>
      </c>
      <c r="S4180" t="s">
        <v>10826</v>
      </c>
      <c r="T4180" t="s">
        <v>13290</v>
      </c>
      <c r="U4180" t="s">
        <v>13290</v>
      </c>
      <c r="V4180" t="s">
        <v>13290</v>
      </c>
      <c r="W4180" t="s">
        <v>17422</v>
      </c>
      <c r="X4180">
        <v>26</v>
      </c>
      <c r="Y4180" t="s">
        <v>23916</v>
      </c>
      <c r="Z4180" t="s">
        <v>30510</v>
      </c>
      <c r="AA4180">
        <v>0.72008410200948469</v>
      </c>
      <c r="AB4180" t="str">
        <f>HYPERLINK("Melting_Curves/meltCurve_Q6YHK3_CD109.pdf", "Melting_Curves/meltCurve_Q6YHK3_CD109.pdf")</f>
        <v>Melting_Curves/meltCurve_Q6YHK3_CD109.pdf</v>
      </c>
    </row>
    <row r="4181" spans="1:28" x14ac:dyDescent="0.25">
      <c r="A4181" t="s">
        <v>4185</v>
      </c>
      <c r="B4181">
        <v>0.99252571173614901</v>
      </c>
      <c r="C4181">
        <v>0.91898499609280204</v>
      </c>
      <c r="D4181">
        <v>0.81577745003594104</v>
      </c>
      <c r="E4181">
        <v>0.35615384174502102</v>
      </c>
      <c r="F4181">
        <v>0.235978059112783</v>
      </c>
      <c r="G4181">
        <v>0.132424043935297</v>
      </c>
      <c r="H4181">
        <v>0.105882274403669</v>
      </c>
      <c r="I4181">
        <v>0.13594835234226799</v>
      </c>
      <c r="J4181">
        <v>0.20629068058079</v>
      </c>
      <c r="K4181">
        <v>0.206996875298494</v>
      </c>
      <c r="L4181">
        <v>1387.8956508669301</v>
      </c>
      <c r="M4181">
        <v>29.050880801870399</v>
      </c>
      <c r="N4181">
        <v>48.417531564229499</v>
      </c>
      <c r="O4181">
        <v>47.549986175908799</v>
      </c>
      <c r="P4181">
        <v>-0.12829771650590699</v>
      </c>
      <c r="Q4181">
        <v>0.160024102810852</v>
      </c>
      <c r="R4181">
        <v>0.98753433990926898</v>
      </c>
      <c r="S4181" t="s">
        <v>10827</v>
      </c>
      <c r="T4181" t="s">
        <v>13290</v>
      </c>
      <c r="U4181" t="s">
        <v>13290</v>
      </c>
      <c r="V4181" t="s">
        <v>13290</v>
      </c>
      <c r="W4181" t="s">
        <v>17423</v>
      </c>
      <c r="X4181">
        <v>8</v>
      </c>
      <c r="Y4181" t="s">
        <v>23917</v>
      </c>
      <c r="Z4181" t="s">
        <v>30511</v>
      </c>
      <c r="AA4181">
        <v>0.38310795454635249</v>
      </c>
      <c r="AB4181" t="str">
        <f>HYPERLINK("Melting_Curves/meltCurve_Q6YHU6_3_THADA.pdf", "Melting_Curves/meltCurve_Q6YHU6_3_THADA.pdf")</f>
        <v>Melting_Curves/meltCurve_Q6YHU6_3_THADA.pdf</v>
      </c>
    </row>
    <row r="4182" spans="1:28" x14ac:dyDescent="0.25">
      <c r="A4182" t="s">
        <v>4186</v>
      </c>
      <c r="B4182">
        <v>0.99252571173614901</v>
      </c>
      <c r="C4182">
        <v>1.04814781738786</v>
      </c>
      <c r="D4182">
        <v>0.944239453228639</v>
      </c>
      <c r="E4182">
        <v>0.74430070934507297</v>
      </c>
      <c r="F4182">
        <v>0.21204290677127899</v>
      </c>
      <c r="G4182">
        <v>8.6377983558852497E-2</v>
      </c>
      <c r="H4182">
        <v>6.0025024930039098E-2</v>
      </c>
      <c r="I4182">
        <v>5.7440413230697901E-2</v>
      </c>
      <c r="J4182">
        <v>6.1883386704249303E-2</v>
      </c>
      <c r="K4182">
        <v>6.1885081183597999E-2</v>
      </c>
      <c r="L4182">
        <v>1860.8032196253</v>
      </c>
      <c r="M4182">
        <v>36.571122861545803</v>
      </c>
      <c r="N4182">
        <v>51.060150659452503</v>
      </c>
      <c r="O4182">
        <v>50.730351577857199</v>
      </c>
      <c r="P4182">
        <v>-0.16941545369778499</v>
      </c>
      <c r="Q4182">
        <v>5.9971063903387203E-2</v>
      </c>
      <c r="R4182">
        <v>0.99775444407788505</v>
      </c>
      <c r="S4182" t="s">
        <v>10828</v>
      </c>
      <c r="T4182" t="s">
        <v>13290</v>
      </c>
      <c r="U4182" t="s">
        <v>13290</v>
      </c>
      <c r="V4182" t="s">
        <v>13290</v>
      </c>
      <c r="W4182" t="s">
        <v>17424</v>
      </c>
      <c r="X4182">
        <v>16</v>
      </c>
      <c r="Y4182" t="s">
        <v>23918</v>
      </c>
      <c r="Z4182" t="s">
        <v>30512</v>
      </c>
      <c r="AA4182">
        <v>0.40490389295594931</v>
      </c>
      <c r="AB4182" t="str">
        <f>HYPERLINK("Melting_Curves/meltCurve_Q6YN16_HSDL2.pdf", "Melting_Curves/meltCurve_Q6YN16_HSDL2.pdf")</f>
        <v>Melting_Curves/meltCurve_Q6YN16_HSDL2.pdf</v>
      </c>
    </row>
    <row r="4183" spans="1:28" x14ac:dyDescent="0.25">
      <c r="A4183" t="s">
        <v>4187</v>
      </c>
      <c r="B4183">
        <v>0.99252571173614901</v>
      </c>
      <c r="C4183">
        <v>1.0182536479537001</v>
      </c>
      <c r="D4183">
        <v>0.97540701272066899</v>
      </c>
      <c r="E4183">
        <v>0.88662231262387803</v>
      </c>
      <c r="F4183">
        <v>0.86184399329454997</v>
      </c>
      <c r="G4183">
        <v>0.77389678579434196</v>
      </c>
      <c r="H4183">
        <v>0.67916977805896295</v>
      </c>
      <c r="I4183">
        <v>0.70473216290929797</v>
      </c>
      <c r="J4183">
        <v>0.58617487012871095</v>
      </c>
      <c r="K4183">
        <v>0.35415255116383199</v>
      </c>
      <c r="L4183">
        <v>472.36594226107297</v>
      </c>
      <c r="M4183">
        <v>6.9283826723473503</v>
      </c>
      <c r="N4183">
        <v>68.178385141394699</v>
      </c>
      <c r="O4183">
        <v>63.178274722833599</v>
      </c>
      <c r="P4183">
        <v>-2.7468780942624602E-2</v>
      </c>
      <c r="Q4183">
        <v>0</v>
      </c>
      <c r="R4183">
        <v>0.93170001526660695</v>
      </c>
      <c r="S4183" t="s">
        <v>10829</v>
      </c>
      <c r="T4183" t="s">
        <v>13290</v>
      </c>
      <c r="U4183" t="s">
        <v>13290</v>
      </c>
      <c r="V4183" t="s">
        <v>13290</v>
      </c>
      <c r="W4183" t="s">
        <v>17425</v>
      </c>
      <c r="X4183">
        <v>18</v>
      </c>
      <c r="Y4183" t="s">
        <v>23919</v>
      </c>
      <c r="Z4183" t="s">
        <v>30513</v>
      </c>
      <c r="AA4183">
        <v>0.7958319797928094</v>
      </c>
      <c r="AB4183" t="str">
        <f>HYPERLINK("Melting_Curves/meltCurve_Q6YP21_3_CCBL2.pdf", "Melting_Curves/meltCurve_Q6YP21_3_CCBL2.pdf")</f>
        <v>Melting_Curves/meltCurve_Q6YP21_3_CCBL2.pdf</v>
      </c>
    </row>
    <row r="4184" spans="1:28" x14ac:dyDescent="0.25">
      <c r="A4184" t="s">
        <v>4188</v>
      </c>
      <c r="B4184">
        <v>0.99252571173614901</v>
      </c>
      <c r="C4184">
        <v>0.97134434608760101</v>
      </c>
      <c r="D4184">
        <v>0.81026611267869098</v>
      </c>
      <c r="E4184">
        <v>0.77133115187453205</v>
      </c>
      <c r="F4184">
        <v>0.70742266739145199</v>
      </c>
      <c r="G4184">
        <v>0.63291538820099202</v>
      </c>
      <c r="H4184">
        <v>0.44800051648510297</v>
      </c>
      <c r="I4184">
        <v>0.61815539636519801</v>
      </c>
      <c r="J4184">
        <v>0.79646248951509102</v>
      </c>
      <c r="K4184">
        <v>0.60229530767112704</v>
      </c>
      <c r="L4184">
        <v>804.95854560791599</v>
      </c>
      <c r="M4184">
        <v>16.995441215227199</v>
      </c>
      <c r="O4184">
        <v>46.722036180544897</v>
      </c>
      <c r="P4184">
        <v>-3.4528642952076298E-2</v>
      </c>
      <c r="Q4184">
        <v>0.62033364875435804</v>
      </c>
      <c r="R4184">
        <v>0.73383136995735199</v>
      </c>
      <c r="S4184" t="s">
        <v>10830</v>
      </c>
      <c r="T4184" t="s">
        <v>13290</v>
      </c>
      <c r="U4184" t="s">
        <v>13290</v>
      </c>
      <c r="V4184" t="s">
        <v>13290</v>
      </c>
      <c r="W4184" t="s">
        <v>17426</v>
      </c>
      <c r="X4184">
        <v>1</v>
      </c>
      <c r="Y4184" t="s">
        <v>23920</v>
      </c>
      <c r="Z4184" t="s">
        <v>30514</v>
      </c>
      <c r="AA4184">
        <v>0.72130733690229576</v>
      </c>
      <c r="AB4184" t="str">
        <f>HYPERLINK("Melting_Curves/meltCurve_Q6ZMB5_TMEM184A.pdf", "Melting_Curves/meltCurve_Q6ZMB5_TMEM184A.pdf")</f>
        <v>Melting_Curves/meltCurve_Q6ZMB5_TMEM184A.pdf</v>
      </c>
    </row>
    <row r="4185" spans="1:28" x14ac:dyDescent="0.25">
      <c r="A4185" t="s">
        <v>4189</v>
      </c>
      <c r="B4185">
        <v>0.99252571173614901</v>
      </c>
      <c r="C4185">
        <v>0.87804929140541199</v>
      </c>
      <c r="D4185">
        <v>0.823541952803727</v>
      </c>
      <c r="E4185">
        <v>0.77567646127116896</v>
      </c>
      <c r="F4185">
        <v>0.45767098543670098</v>
      </c>
      <c r="G4185">
        <v>0.20919461311127199</v>
      </c>
      <c r="H4185">
        <v>0.20888156080472201</v>
      </c>
      <c r="I4185">
        <v>0.104597993884348</v>
      </c>
      <c r="J4185">
        <v>0.12205007380268799</v>
      </c>
      <c r="K4185">
        <v>0.15054267381474501</v>
      </c>
      <c r="L4185">
        <v>794.57890055044004</v>
      </c>
      <c r="M4185">
        <v>15.354050585521099</v>
      </c>
      <c r="N4185">
        <v>52.463727552663997</v>
      </c>
      <c r="O4185">
        <v>50.896423366934997</v>
      </c>
      <c r="P4185">
        <v>-6.8319977513304903E-2</v>
      </c>
      <c r="Q4185">
        <v>9.4200745169449901E-2</v>
      </c>
      <c r="R4185">
        <v>0.97697520654386605</v>
      </c>
      <c r="S4185" t="s">
        <v>10831</v>
      </c>
      <c r="T4185" t="s">
        <v>13290</v>
      </c>
      <c r="U4185" t="s">
        <v>13290</v>
      </c>
      <c r="V4185" t="s">
        <v>13290</v>
      </c>
      <c r="W4185" t="s">
        <v>17427</v>
      </c>
      <c r="X4185">
        <v>2</v>
      </c>
      <c r="Y4185" t="s">
        <v>23921</v>
      </c>
      <c r="Z4185" t="s">
        <v>30515</v>
      </c>
      <c r="AA4185">
        <v>0.46867454625014621</v>
      </c>
      <c r="AB4185" t="str">
        <f>HYPERLINK("Melting_Curves/meltCurve_Q6ZMG9_CERS6.pdf", "Melting_Curves/meltCurve_Q6ZMG9_CERS6.pdf")</f>
        <v>Melting_Curves/meltCurve_Q6ZMG9_CERS6.pdf</v>
      </c>
    </row>
    <row r="4186" spans="1:28" x14ac:dyDescent="0.25">
      <c r="A4186" t="s">
        <v>4190</v>
      </c>
      <c r="B4186">
        <v>0.99252571173614901</v>
      </c>
      <c r="C4186">
        <v>0.90074640520980997</v>
      </c>
      <c r="D4186">
        <v>1.1482999284973201</v>
      </c>
      <c r="E4186">
        <v>0.72605954754189905</v>
      </c>
      <c r="F4186">
        <v>0.30969178320302798</v>
      </c>
      <c r="G4186">
        <v>0.21176912354286101</v>
      </c>
      <c r="H4186">
        <v>0.17646067323633999</v>
      </c>
      <c r="I4186">
        <v>0.17143319325054401</v>
      </c>
      <c r="J4186">
        <v>0.22870923898373699</v>
      </c>
      <c r="K4186">
        <v>0.18389897661023</v>
      </c>
      <c r="L4186">
        <v>2137.2179072440799</v>
      </c>
      <c r="M4186">
        <v>42.297846433527098</v>
      </c>
      <c r="N4186">
        <v>51.1320770821306</v>
      </c>
      <c r="O4186">
        <v>50.415284363573903</v>
      </c>
      <c r="P4186">
        <v>-0.16849187536225599</v>
      </c>
      <c r="Q4186">
        <v>0.19669202769901101</v>
      </c>
      <c r="R4186">
        <v>0.97156877148604603</v>
      </c>
      <c r="S4186" t="s">
        <v>10832</v>
      </c>
      <c r="T4186" t="s">
        <v>13290</v>
      </c>
      <c r="U4186" t="s">
        <v>13290</v>
      </c>
      <c r="V4186" t="s">
        <v>13290</v>
      </c>
      <c r="W4186" t="s">
        <v>17428</v>
      </c>
      <c r="X4186">
        <v>5</v>
      </c>
      <c r="Y4186" t="s">
        <v>23922</v>
      </c>
      <c r="Z4186" t="s">
        <v>30516</v>
      </c>
      <c r="AA4186">
        <v>0.48110194663702011</v>
      </c>
      <c r="AB4186" t="str">
        <f>HYPERLINK("Melting_Curves/meltCurve_Q6ZMI0_PPP1R21.pdf", "Melting_Curves/meltCurve_Q6ZMI0_PPP1R21.pdf")</f>
        <v>Melting_Curves/meltCurve_Q6ZMI0_PPP1R21.pdf</v>
      </c>
    </row>
    <row r="4187" spans="1:28" x14ac:dyDescent="0.25">
      <c r="A4187" t="s">
        <v>4191</v>
      </c>
      <c r="B4187">
        <v>0.99252571173614901</v>
      </c>
      <c r="C4187">
        <v>0.99655313199220896</v>
      </c>
      <c r="D4187">
        <v>0.84118404198218799</v>
      </c>
      <c r="E4187">
        <v>0.72481182250671405</v>
      </c>
      <c r="F4187">
        <v>0.58663680210183</v>
      </c>
      <c r="G4187">
        <v>0.438727501685864</v>
      </c>
      <c r="H4187">
        <v>0.53582297989528005</v>
      </c>
      <c r="I4187">
        <v>0.66760637379602905</v>
      </c>
      <c r="J4187">
        <v>0.90826543067515297</v>
      </c>
      <c r="K4187">
        <v>1.04182850532252</v>
      </c>
      <c r="L4187">
        <v>2279.6937460384502</v>
      </c>
      <c r="M4187">
        <v>49.647658130554902</v>
      </c>
      <c r="O4187">
        <v>45.8431343310221</v>
      </c>
      <c r="P4187">
        <v>-8.14206779150662E-2</v>
      </c>
      <c r="Q4187">
        <v>0.69927477406358696</v>
      </c>
      <c r="R4187">
        <v>0.34116176383097002</v>
      </c>
      <c r="S4187" t="s">
        <v>10833</v>
      </c>
      <c r="T4187" t="s">
        <v>13290</v>
      </c>
      <c r="U4187" t="s">
        <v>13290</v>
      </c>
      <c r="V4187" t="s">
        <v>13290</v>
      </c>
      <c r="W4187" t="s">
        <v>17429</v>
      </c>
      <c r="X4187">
        <v>1</v>
      </c>
      <c r="Y4187" t="s">
        <v>23923</v>
      </c>
      <c r="Z4187" t="s">
        <v>30517</v>
      </c>
      <c r="AA4187">
        <v>0.75921451809599771</v>
      </c>
      <c r="AB4187" t="str">
        <f>HYPERLINK("Melting_Curves/meltCurve_Q6ZMP0_THSD4.pdf", "Melting_Curves/meltCurve_Q6ZMP0_THSD4.pdf")</f>
        <v>Melting_Curves/meltCurve_Q6ZMP0_THSD4.pdf</v>
      </c>
    </row>
    <row r="4188" spans="1:28" x14ac:dyDescent="0.25">
      <c r="A4188" t="s">
        <v>4192</v>
      </c>
      <c r="B4188">
        <v>0.99252571173614901</v>
      </c>
      <c r="C4188">
        <v>1.0359987514667099</v>
      </c>
      <c r="D4188">
        <v>0.91017384581716498</v>
      </c>
      <c r="E4188">
        <v>1.2264491841621701</v>
      </c>
      <c r="F4188">
        <v>0.73376346983270202</v>
      </c>
      <c r="G4188">
        <v>0.57610926567528997</v>
      </c>
      <c r="H4188">
        <v>0.31043842528600002</v>
      </c>
      <c r="I4188">
        <v>0.23804256547948799</v>
      </c>
      <c r="J4188">
        <v>0.168511291606738</v>
      </c>
      <c r="K4188">
        <v>0.11873331707939799</v>
      </c>
      <c r="L4188">
        <v>1258.8915846391201</v>
      </c>
      <c r="M4188">
        <v>22.1992009332258</v>
      </c>
      <c r="N4188">
        <v>57.576499029385097</v>
      </c>
      <c r="O4188">
        <v>56.254705600092599</v>
      </c>
      <c r="P4188">
        <v>-8.4631842310503802E-2</v>
      </c>
      <c r="Q4188">
        <v>0.14216068508181801</v>
      </c>
      <c r="R4188">
        <v>0.93879637129794702</v>
      </c>
      <c r="S4188" t="s">
        <v>10834</v>
      </c>
      <c r="T4188" t="s">
        <v>13290</v>
      </c>
      <c r="U4188" t="s">
        <v>13290</v>
      </c>
      <c r="V4188" t="s">
        <v>13290</v>
      </c>
      <c r="W4188" t="s">
        <v>17430</v>
      </c>
      <c r="X4188">
        <v>3</v>
      </c>
      <c r="Y4188" t="s">
        <v>23924</v>
      </c>
      <c r="Z4188" t="s">
        <v>30518</v>
      </c>
      <c r="AA4188">
        <v>0.62924444422137404</v>
      </c>
      <c r="AB4188" t="str">
        <f>HYPERLINK("Melting_Curves/meltCurve_Q6ZMR3_LDHAL6A.pdf", "Melting_Curves/meltCurve_Q6ZMR3_LDHAL6A.pdf")</f>
        <v>Melting_Curves/meltCurve_Q6ZMR3_LDHAL6A.pdf</v>
      </c>
    </row>
    <row r="4189" spans="1:28" x14ac:dyDescent="0.25">
      <c r="A4189" t="s">
        <v>4193</v>
      </c>
      <c r="B4189">
        <v>0.99252571173614901</v>
      </c>
      <c r="C4189">
        <v>1.1379096576435701</v>
      </c>
      <c r="D4189">
        <v>0.91387202102620602</v>
      </c>
      <c r="E4189">
        <v>0.91734488756069799</v>
      </c>
      <c r="F4189">
        <v>0.78035095778408603</v>
      </c>
      <c r="G4189">
        <v>0.65223148400544595</v>
      </c>
      <c r="H4189">
        <v>0.69970326424026996</v>
      </c>
      <c r="I4189">
        <v>0.91069105051343202</v>
      </c>
      <c r="J4189">
        <v>1.4780930195683499</v>
      </c>
      <c r="K4189">
        <v>1.4308559380180901</v>
      </c>
      <c r="L4189">
        <v>11375.6212369717</v>
      </c>
      <c r="M4189">
        <v>173.056628120819</v>
      </c>
      <c r="O4189">
        <v>65.724752312182602</v>
      </c>
      <c r="P4189">
        <v>0.30289071183834398</v>
      </c>
      <c r="Q4189">
        <v>1.4601364066707101</v>
      </c>
      <c r="R4189">
        <v>0.57534191790046796</v>
      </c>
      <c r="S4189" t="s">
        <v>10835</v>
      </c>
      <c r="T4189" t="s">
        <v>13290</v>
      </c>
      <c r="U4189" t="s">
        <v>13290</v>
      </c>
      <c r="V4189" t="s">
        <v>13290</v>
      </c>
      <c r="W4189" t="s">
        <v>17431</v>
      </c>
      <c r="X4189">
        <v>2</v>
      </c>
      <c r="Y4189" t="s">
        <v>23925</v>
      </c>
      <c r="Z4189" t="s">
        <v>30519</v>
      </c>
      <c r="AA4189">
        <v>1.065328138859813</v>
      </c>
      <c r="AB4189" t="str">
        <f>HYPERLINK("Melting_Curves/meltCurve_Q6ZN04_MEX3B.pdf", "Melting_Curves/meltCurve_Q6ZN04_MEX3B.pdf")</f>
        <v>Melting_Curves/meltCurve_Q6ZN04_MEX3B.pdf</v>
      </c>
    </row>
    <row r="4190" spans="1:28" x14ac:dyDescent="0.25">
      <c r="A4190" t="s">
        <v>4194</v>
      </c>
      <c r="B4190">
        <v>0.99252571173614901</v>
      </c>
      <c r="C4190">
        <v>1.6340613662458201</v>
      </c>
      <c r="D4190">
        <v>1.10465110532817</v>
      </c>
      <c r="E4190">
        <v>1.10241883389892</v>
      </c>
      <c r="F4190">
        <v>1.1092885539777499</v>
      </c>
      <c r="G4190">
        <v>1.1268619303002601</v>
      </c>
      <c r="H4190">
        <v>0.79363864091807701</v>
      </c>
      <c r="I4190">
        <v>0.28922255748594</v>
      </c>
      <c r="J4190">
        <v>0.150197237682892</v>
      </c>
      <c r="K4190">
        <v>0.19577310033701101</v>
      </c>
      <c r="L4190">
        <v>3750.2885698944601</v>
      </c>
      <c r="M4190">
        <v>60.5267591188762</v>
      </c>
      <c r="N4190">
        <v>62.398488359780302</v>
      </c>
      <c r="O4190">
        <v>61.893306610015102</v>
      </c>
      <c r="P4190">
        <v>-0.20219530661063501</v>
      </c>
      <c r="Q4190">
        <v>0.172958787986561</v>
      </c>
      <c r="R4190">
        <v>0.78810534358821904</v>
      </c>
      <c r="S4190" t="s">
        <v>10836</v>
      </c>
      <c r="T4190" t="s">
        <v>13290</v>
      </c>
      <c r="U4190" t="s">
        <v>13290</v>
      </c>
      <c r="V4190" t="s">
        <v>13290</v>
      </c>
      <c r="W4190" t="s">
        <v>17432</v>
      </c>
      <c r="X4190">
        <v>1</v>
      </c>
      <c r="Y4190" t="s">
        <v>23926</v>
      </c>
      <c r="Z4190" t="s">
        <v>30520</v>
      </c>
      <c r="AA4190">
        <v>0.77987992400676176</v>
      </c>
      <c r="AB4190" t="str">
        <f>HYPERLINK("Melting_Curves/meltCurve_Q6ZN17_2_LIN28B.pdf", "Melting_Curves/meltCurve_Q6ZN17_2_LIN28B.pdf")</f>
        <v>Melting_Curves/meltCurve_Q6ZN17_2_LIN28B.pdf</v>
      </c>
    </row>
    <row r="4191" spans="1:28" x14ac:dyDescent="0.25">
      <c r="A4191" t="s">
        <v>4195</v>
      </c>
      <c r="B4191">
        <v>0.99252571173614901</v>
      </c>
      <c r="C4191">
        <v>0.95592743965980398</v>
      </c>
      <c r="D4191">
        <v>0.85957467219117001</v>
      </c>
      <c r="E4191">
        <v>0.85996105995135896</v>
      </c>
      <c r="F4191">
        <v>0.29356627092891002</v>
      </c>
      <c r="G4191">
        <v>0.13881227345885599</v>
      </c>
      <c r="H4191">
        <v>0.101351005350654</v>
      </c>
      <c r="I4191">
        <v>0.10140018568749801</v>
      </c>
      <c r="J4191">
        <v>0.131989188790164</v>
      </c>
      <c r="K4191">
        <v>0.122682845773478</v>
      </c>
      <c r="L4191">
        <v>2094.1324646272801</v>
      </c>
      <c r="M4191">
        <v>40.677311273314302</v>
      </c>
      <c r="N4191">
        <v>51.8112749994661</v>
      </c>
      <c r="O4191">
        <v>51.357611343939602</v>
      </c>
      <c r="P4191">
        <v>-0.17543177717206199</v>
      </c>
      <c r="Q4191">
        <v>0.11402767857448801</v>
      </c>
      <c r="R4191">
        <v>0.98565157672694403</v>
      </c>
      <c r="S4191" t="s">
        <v>10837</v>
      </c>
      <c r="T4191" t="s">
        <v>13290</v>
      </c>
      <c r="U4191" t="s">
        <v>13290</v>
      </c>
      <c r="V4191" t="s">
        <v>13290</v>
      </c>
      <c r="W4191" t="s">
        <v>17433</v>
      </c>
      <c r="X4191">
        <v>8</v>
      </c>
      <c r="Y4191" t="s">
        <v>23927</v>
      </c>
      <c r="Z4191" t="s">
        <v>30521</v>
      </c>
      <c r="AA4191">
        <v>0.45615382143766181</v>
      </c>
      <c r="AB4191" t="str">
        <f>HYPERLINK("Melting_Curves/meltCurve_Q6ZNB6_NFXL1.pdf", "Melting_Curves/meltCurve_Q6ZNB6_NFXL1.pdf")</f>
        <v>Melting_Curves/meltCurve_Q6ZNB6_NFXL1.pdf</v>
      </c>
    </row>
    <row r="4192" spans="1:28" x14ac:dyDescent="0.25">
      <c r="A4192" t="s">
        <v>4196</v>
      </c>
      <c r="B4192">
        <v>0.99252571173614901</v>
      </c>
      <c r="C4192">
        <v>0.75799818961529897</v>
      </c>
      <c r="D4192">
        <v>0.433059579453208</v>
      </c>
      <c r="E4192">
        <v>0.33615025244059998</v>
      </c>
      <c r="F4192">
        <v>0.255968004142829</v>
      </c>
      <c r="G4192">
        <v>0.198958518908672</v>
      </c>
      <c r="H4192">
        <v>0.104090131288067</v>
      </c>
      <c r="I4192">
        <v>3.6953777166332497E-2</v>
      </c>
      <c r="J4192">
        <v>4.99017527362908E-2</v>
      </c>
      <c r="K4192">
        <v>4.4952035791684802E-2</v>
      </c>
      <c r="L4192">
        <v>621.59888037652604</v>
      </c>
      <c r="M4192">
        <v>13.4924491802054</v>
      </c>
      <c r="N4192">
        <v>46.5295366865844</v>
      </c>
      <c r="O4192">
        <v>45.093409820927498</v>
      </c>
      <c r="P4192">
        <v>-7.0148580881715897E-2</v>
      </c>
      <c r="Q4192">
        <v>6.2362467175743203E-2</v>
      </c>
      <c r="R4192">
        <v>0.96538138917611505</v>
      </c>
      <c r="S4192" t="s">
        <v>10838</v>
      </c>
      <c r="T4192" t="s">
        <v>13290</v>
      </c>
      <c r="U4192" t="s">
        <v>13290</v>
      </c>
      <c r="V4192" t="s">
        <v>13290</v>
      </c>
      <c r="W4192" t="s">
        <v>17434</v>
      </c>
      <c r="X4192">
        <v>1</v>
      </c>
      <c r="Y4192" t="s">
        <v>23928</v>
      </c>
      <c r="Z4192" t="s">
        <v>30522</v>
      </c>
      <c r="AA4192">
        <v>0.28590970362086249</v>
      </c>
      <c r="AB4192" t="str">
        <f>HYPERLINK("Melting_Curves/meltCurve_Q6ZNJ1_2_NBEAL2.pdf", "Melting_Curves/meltCurve_Q6ZNJ1_2_NBEAL2.pdf")</f>
        <v>Melting_Curves/meltCurve_Q6ZNJ1_2_NBEAL2.pdf</v>
      </c>
    </row>
    <row r="4193" spans="1:28" x14ac:dyDescent="0.25">
      <c r="A4193" t="s">
        <v>4197</v>
      </c>
      <c r="B4193">
        <v>0.99252571173614901</v>
      </c>
      <c r="C4193">
        <v>1.0484813909100399</v>
      </c>
      <c r="D4193">
        <v>0.74782672623283697</v>
      </c>
      <c r="E4193">
        <v>0.34876153961626499</v>
      </c>
      <c r="F4193">
        <v>0.131650283259972</v>
      </c>
      <c r="G4193">
        <v>7.2853746888153201E-2</v>
      </c>
      <c r="H4193">
        <v>6.1370255949752699E-2</v>
      </c>
      <c r="I4193">
        <v>6.4243858396571901E-2</v>
      </c>
      <c r="J4193">
        <v>7.0940219410141794E-2</v>
      </c>
      <c r="K4193">
        <v>7.0687350660471104E-2</v>
      </c>
      <c r="L4193">
        <v>1317.9451165125199</v>
      </c>
      <c r="M4193">
        <v>27.4732296606179</v>
      </c>
      <c r="N4193">
        <v>48.223158967108702</v>
      </c>
      <c r="O4193">
        <v>47.719987423006302</v>
      </c>
      <c r="P4193">
        <v>-0.13433607437678299</v>
      </c>
      <c r="Q4193">
        <v>6.6661762116821802E-2</v>
      </c>
      <c r="R4193">
        <v>0.99443364201106799</v>
      </c>
      <c r="S4193" t="s">
        <v>10839</v>
      </c>
      <c r="T4193" t="s">
        <v>13290</v>
      </c>
      <c r="U4193" t="s">
        <v>13290</v>
      </c>
      <c r="V4193" t="s">
        <v>13290</v>
      </c>
      <c r="W4193" t="s">
        <v>17435</v>
      </c>
      <c r="X4193">
        <v>9</v>
      </c>
      <c r="Y4193" t="s">
        <v>23929</v>
      </c>
      <c r="Z4193" t="s">
        <v>30523</v>
      </c>
      <c r="AA4193">
        <v>0.32143589736486627</v>
      </c>
      <c r="AB4193" t="str">
        <f>HYPERLINK("Melting_Curves/meltCurve_Q6ZNW5_GDPGP1.pdf", "Melting_Curves/meltCurve_Q6ZNW5_GDPGP1.pdf")</f>
        <v>Melting_Curves/meltCurve_Q6ZNW5_GDPGP1.pdf</v>
      </c>
    </row>
    <row r="4194" spans="1:28" x14ac:dyDescent="0.25">
      <c r="A4194" t="s">
        <v>4198</v>
      </c>
      <c r="B4194">
        <v>0.99252571173614901</v>
      </c>
      <c r="C4194">
        <v>0.94465014630594402</v>
      </c>
      <c r="D4194">
        <v>0.79310232283842697</v>
      </c>
      <c r="E4194">
        <v>0.65818137693272505</v>
      </c>
      <c r="F4194">
        <v>0.29329604080561</v>
      </c>
      <c r="G4194">
        <v>0.17739636586419</v>
      </c>
      <c r="H4194">
        <v>0.122712924915793</v>
      </c>
      <c r="I4194">
        <v>8.2127130083125402E-2</v>
      </c>
      <c r="J4194">
        <v>0.109722000713228</v>
      </c>
      <c r="K4194">
        <v>7.5549384049002494E-2</v>
      </c>
      <c r="L4194">
        <v>859.42647810991105</v>
      </c>
      <c r="M4194">
        <v>17.0836971501903</v>
      </c>
      <c r="N4194">
        <v>50.760586141834402</v>
      </c>
      <c r="O4194">
        <v>49.632686383187803</v>
      </c>
      <c r="P4194">
        <v>-7.9961928657977299E-2</v>
      </c>
      <c r="Q4194">
        <v>7.0813639458486496E-2</v>
      </c>
      <c r="R4194">
        <v>0.99249432426432704</v>
      </c>
      <c r="S4194" t="s">
        <v>10840</v>
      </c>
      <c r="T4194" t="s">
        <v>13290</v>
      </c>
      <c r="U4194" t="s">
        <v>13290</v>
      </c>
      <c r="V4194" t="s">
        <v>13290</v>
      </c>
      <c r="W4194" t="s">
        <v>17436</v>
      </c>
      <c r="X4194">
        <v>2</v>
      </c>
      <c r="Y4194" t="s">
        <v>23930</v>
      </c>
      <c r="Z4194" t="s">
        <v>30524</v>
      </c>
      <c r="AA4194">
        <v>0.40743492886059468</v>
      </c>
      <c r="AB4194" t="str">
        <f>HYPERLINK("Melting_Curves/meltCurve_Q6ZPD9_DPY19L3.pdf", "Melting_Curves/meltCurve_Q6ZPD9_DPY19L3.pdf")</f>
        <v>Melting_Curves/meltCurve_Q6ZPD9_DPY19L3.pdf</v>
      </c>
    </row>
    <row r="4195" spans="1:28" x14ac:dyDescent="0.25">
      <c r="A4195" t="s">
        <v>4199</v>
      </c>
      <c r="B4195">
        <v>0.99252571173614901</v>
      </c>
      <c r="C4195">
        <v>0.87828804698673901</v>
      </c>
      <c r="D4195">
        <v>0.87301079016911198</v>
      </c>
      <c r="E4195">
        <v>0.88207623388477796</v>
      </c>
      <c r="F4195">
        <v>0.58961452705989303</v>
      </c>
      <c r="G4195">
        <v>0.304562612014253</v>
      </c>
      <c r="H4195">
        <v>0.11030122882628</v>
      </c>
      <c r="I4195">
        <v>0.108057004822027</v>
      </c>
      <c r="J4195">
        <v>0.13942434019435099</v>
      </c>
      <c r="K4195">
        <v>0.122755401936137</v>
      </c>
      <c r="L4195">
        <v>1126.14618575028</v>
      </c>
      <c r="M4195">
        <v>21.0368528234922</v>
      </c>
      <c r="N4195">
        <v>54.069526129428297</v>
      </c>
      <c r="O4195">
        <v>53.055380735519101</v>
      </c>
      <c r="P4195">
        <v>-8.97769845136593E-2</v>
      </c>
      <c r="Q4195">
        <v>9.4346483225098796E-2</v>
      </c>
      <c r="R4195">
        <v>0.97779775017949599</v>
      </c>
      <c r="S4195" t="s">
        <v>10841</v>
      </c>
      <c r="T4195" t="s">
        <v>13290</v>
      </c>
      <c r="U4195" t="s">
        <v>13290</v>
      </c>
      <c r="V4195" t="s">
        <v>13290</v>
      </c>
      <c r="W4195" t="s">
        <v>17437</v>
      </c>
      <c r="X4195">
        <v>19</v>
      </c>
      <c r="Y4195" t="s">
        <v>23931</v>
      </c>
      <c r="Z4195" t="s">
        <v>30525</v>
      </c>
      <c r="AA4195">
        <v>0.51423723551110767</v>
      </c>
      <c r="AB4195" t="str">
        <f>HYPERLINK("Melting_Curves/meltCurve_Q6ZRP7_QSOX2.pdf", "Melting_Curves/meltCurve_Q6ZRP7_QSOX2.pdf")</f>
        <v>Melting_Curves/meltCurve_Q6ZRP7_QSOX2.pdf</v>
      </c>
    </row>
    <row r="4196" spans="1:28" x14ac:dyDescent="0.25">
      <c r="A4196" t="s">
        <v>4200</v>
      </c>
      <c r="B4196">
        <v>0.99252571173614901</v>
      </c>
      <c r="C4196">
        <v>0.94625293285394696</v>
      </c>
      <c r="D4196">
        <v>0.88808592812479004</v>
      </c>
      <c r="E4196">
        <v>0.58977947447976498</v>
      </c>
      <c r="F4196">
        <v>0.33302096153043398</v>
      </c>
      <c r="G4196">
        <v>0.22816004794169001</v>
      </c>
      <c r="H4196">
        <v>0.32237204648013001</v>
      </c>
      <c r="I4196">
        <v>0.44961481292703298</v>
      </c>
      <c r="J4196">
        <v>0.73180676627233898</v>
      </c>
      <c r="K4196">
        <v>1.1419607928194599</v>
      </c>
      <c r="L4196">
        <v>2285.9493911713598</v>
      </c>
      <c r="M4196">
        <v>48.555322426482697</v>
      </c>
      <c r="O4196">
        <v>46.999625002457996</v>
      </c>
      <c r="P4196">
        <v>-0.119623615733833</v>
      </c>
      <c r="Q4196">
        <v>0.536836798714456</v>
      </c>
      <c r="R4196">
        <v>0.36260704505289398</v>
      </c>
      <c r="S4196" t="s">
        <v>10842</v>
      </c>
      <c r="T4196" t="s">
        <v>13290</v>
      </c>
      <c r="U4196" t="s">
        <v>13290</v>
      </c>
      <c r="V4196" t="s">
        <v>13290</v>
      </c>
      <c r="W4196" t="s">
        <v>17438</v>
      </c>
      <c r="X4196">
        <v>2</v>
      </c>
      <c r="Y4196" t="s">
        <v>23932</v>
      </c>
      <c r="Z4196" t="s">
        <v>30526</v>
      </c>
      <c r="AA4196">
        <v>0.64715433740121808</v>
      </c>
      <c r="AB4196" t="str">
        <f>HYPERLINK("Melting_Curves/meltCurve_Q6ZRS2_2_SRCAP.pdf", "Melting_Curves/meltCurve_Q6ZRS2_2_SRCAP.pdf")</f>
        <v>Melting_Curves/meltCurve_Q6ZRS2_2_SRCAP.pdf</v>
      </c>
    </row>
    <row r="4197" spans="1:28" x14ac:dyDescent="0.25">
      <c r="A4197" t="s">
        <v>4201</v>
      </c>
      <c r="B4197">
        <v>0.99252571173614901</v>
      </c>
      <c r="C4197">
        <v>0.93005149744258397</v>
      </c>
      <c r="D4197">
        <v>0.73935371193525501</v>
      </c>
      <c r="E4197">
        <v>0.21615563637576701</v>
      </c>
      <c r="F4197">
        <v>9.0686165344161906E-2</v>
      </c>
      <c r="G4197">
        <v>4.19913651123228E-2</v>
      </c>
      <c r="H4197">
        <v>3.8215781877802397E-2</v>
      </c>
      <c r="I4197">
        <v>4.1448209543655301E-2</v>
      </c>
      <c r="J4197">
        <v>3.59955045847207E-2</v>
      </c>
      <c r="K4197">
        <v>4.4944968758601302E-2</v>
      </c>
      <c r="L4197">
        <v>1466.28867470511</v>
      </c>
      <c r="M4197">
        <v>30.964686134964701</v>
      </c>
      <c r="N4197">
        <v>47.484893434215003</v>
      </c>
      <c r="O4197">
        <v>47.157389705713101</v>
      </c>
      <c r="P4197">
        <v>-0.15741989674915499</v>
      </c>
      <c r="Q4197">
        <v>4.1040661559473501E-2</v>
      </c>
      <c r="R4197">
        <v>0.99866704999285605</v>
      </c>
      <c r="S4197" t="s">
        <v>10843</v>
      </c>
      <c r="T4197" t="s">
        <v>13290</v>
      </c>
      <c r="U4197" t="s">
        <v>13290</v>
      </c>
      <c r="V4197" t="s">
        <v>13290</v>
      </c>
      <c r="W4197" t="s">
        <v>17439</v>
      </c>
      <c r="X4197">
        <v>5</v>
      </c>
      <c r="Y4197" t="s">
        <v>23933</v>
      </c>
      <c r="Z4197" t="s">
        <v>30527</v>
      </c>
      <c r="AA4197">
        <v>0.2814773575652228</v>
      </c>
      <c r="AB4197" t="str">
        <f>HYPERLINK("Melting_Curves/meltCurve_Q6ZS17_2_FAM65A.pdf", "Melting_Curves/meltCurve_Q6ZS17_2_FAM65A.pdf")</f>
        <v>Melting_Curves/meltCurve_Q6ZS17_2_FAM65A.pdf</v>
      </c>
    </row>
    <row r="4198" spans="1:28" x14ac:dyDescent="0.25">
      <c r="A4198" t="s">
        <v>4202</v>
      </c>
      <c r="B4198">
        <v>0.99252571173614901</v>
      </c>
      <c r="C4198">
        <v>0.81631976400843698</v>
      </c>
      <c r="D4198">
        <v>1.20223280389205</v>
      </c>
      <c r="E4198">
        <v>1.0945500622326001</v>
      </c>
      <c r="F4198">
        <v>0.26643343628394101</v>
      </c>
      <c r="G4198">
        <v>9.3517510365065601E-2</v>
      </c>
      <c r="H4198">
        <v>6.5200364590706397E-2</v>
      </c>
      <c r="I4198">
        <v>6.0943807118754002E-2</v>
      </c>
      <c r="J4198">
        <v>0.111286680217987</v>
      </c>
      <c r="K4198">
        <v>0</v>
      </c>
      <c r="L4198">
        <v>13230.926045624101</v>
      </c>
      <c r="M4198">
        <v>250</v>
      </c>
      <c r="N4198">
        <v>52.953782823983701</v>
      </c>
      <c r="O4198">
        <v>52.920336246618902</v>
      </c>
      <c r="P4198">
        <v>-1.10284950999975</v>
      </c>
      <c r="Q4198">
        <v>6.6189661140542894E-2</v>
      </c>
      <c r="R4198">
        <v>0.95839835364546699</v>
      </c>
      <c r="S4198" t="s">
        <v>10844</v>
      </c>
      <c r="T4198" t="s">
        <v>13290</v>
      </c>
      <c r="U4198" t="s">
        <v>13290</v>
      </c>
      <c r="V4198" t="s">
        <v>13290</v>
      </c>
      <c r="W4198" t="s">
        <v>17440</v>
      </c>
      <c r="X4198">
        <v>1</v>
      </c>
      <c r="Y4198" t="s">
        <v>23934</v>
      </c>
      <c r="Z4198" t="s">
        <v>30528</v>
      </c>
      <c r="AA4198">
        <v>0.46855267976951631</v>
      </c>
      <c r="AB4198" t="str">
        <f>HYPERLINK("Melting_Curves/meltCurve_Q6ZS30_NBEAL1.pdf", "Melting_Curves/meltCurve_Q6ZS30_NBEAL1.pdf")</f>
        <v>Melting_Curves/meltCurve_Q6ZS30_NBEAL1.pdf</v>
      </c>
    </row>
    <row r="4199" spans="1:28" x14ac:dyDescent="0.25">
      <c r="A4199" t="s">
        <v>4203</v>
      </c>
      <c r="B4199">
        <v>0.99252571173614901</v>
      </c>
      <c r="C4199">
        <v>0.97723909805000497</v>
      </c>
      <c r="D4199">
        <v>0.69957238776783304</v>
      </c>
      <c r="E4199">
        <v>0.50480869164778697</v>
      </c>
      <c r="F4199">
        <v>0.28910747970341599</v>
      </c>
      <c r="G4199">
        <v>0.22453644906626899</v>
      </c>
      <c r="H4199">
        <v>0.18352757284233501</v>
      </c>
      <c r="I4199">
        <v>0.22973698518510999</v>
      </c>
      <c r="J4199">
        <v>0.36100857072186998</v>
      </c>
      <c r="K4199">
        <v>0.369225178262096</v>
      </c>
      <c r="L4199">
        <v>1115.98033718279</v>
      </c>
      <c r="M4199">
        <v>23.640602508484701</v>
      </c>
      <c r="N4199">
        <v>48.816476314403303</v>
      </c>
      <c r="O4199">
        <v>46.872199679296799</v>
      </c>
      <c r="P4199">
        <v>-9.1951072323223401E-2</v>
      </c>
      <c r="Q4199">
        <v>0.27076703788080198</v>
      </c>
      <c r="R4199">
        <v>0.95338967783991002</v>
      </c>
      <c r="S4199" t="s">
        <v>10845</v>
      </c>
      <c r="T4199" t="s">
        <v>13290</v>
      </c>
      <c r="U4199" t="s">
        <v>13290</v>
      </c>
      <c r="V4199" t="s">
        <v>13290</v>
      </c>
      <c r="W4199" t="s">
        <v>17441</v>
      </c>
      <c r="X4199">
        <v>4</v>
      </c>
      <c r="Y4199" t="s">
        <v>23935</v>
      </c>
      <c r="Z4199" t="s">
        <v>30529</v>
      </c>
      <c r="AA4199">
        <v>0.45326437948869031</v>
      </c>
      <c r="AB4199" t="str">
        <f>HYPERLINK("Melting_Curves/meltCurve_Q6ZSJ8_C1orf122.pdf", "Melting_Curves/meltCurve_Q6ZSJ8_C1orf122.pdf")</f>
        <v>Melting_Curves/meltCurve_Q6ZSJ8_C1orf122.pdf</v>
      </c>
    </row>
    <row r="4200" spans="1:28" x14ac:dyDescent="0.25">
      <c r="A4200" t="s">
        <v>4204</v>
      </c>
      <c r="B4200">
        <v>0.99252571173614901</v>
      </c>
      <c r="C4200">
        <v>1.00086847655224</v>
      </c>
      <c r="D4200">
        <v>0.87567724885937903</v>
      </c>
      <c r="E4200">
        <v>0.87420137030691902</v>
      </c>
      <c r="F4200">
        <v>0.63555907435603898</v>
      </c>
      <c r="G4200">
        <v>0.485090399357963</v>
      </c>
      <c r="H4200">
        <v>0.42117125114513199</v>
      </c>
      <c r="I4200">
        <v>0.644313454167739</v>
      </c>
      <c r="J4200">
        <v>1.1522654499374301</v>
      </c>
      <c r="K4200">
        <v>0.97086120384364805</v>
      </c>
      <c r="L4200">
        <v>1360.4622519638101</v>
      </c>
      <c r="M4200">
        <v>28.7109533378189</v>
      </c>
      <c r="O4200">
        <v>47.1566748016471</v>
      </c>
      <c r="P4200">
        <v>-4.1639663891744699E-2</v>
      </c>
      <c r="Q4200">
        <v>0.72643562841140497</v>
      </c>
      <c r="R4200">
        <v>0.213990934049378</v>
      </c>
      <c r="S4200" t="s">
        <v>10846</v>
      </c>
      <c r="T4200" t="s">
        <v>13290</v>
      </c>
      <c r="U4200" t="s">
        <v>13290</v>
      </c>
      <c r="V4200" t="s">
        <v>13290</v>
      </c>
      <c r="W4200" t="s">
        <v>17442</v>
      </c>
      <c r="X4200">
        <v>5</v>
      </c>
      <c r="Y4200" t="s">
        <v>23936</v>
      </c>
      <c r="Z4200" t="s">
        <v>30530</v>
      </c>
      <c r="AA4200">
        <v>0.79557765877011521</v>
      </c>
      <c r="AB4200" t="str">
        <f>HYPERLINK("Melting_Curves/meltCurve_Q6ZSS7_MFSD6.pdf", "Melting_Curves/meltCurve_Q6ZSS7_MFSD6.pdf")</f>
        <v>Melting_Curves/meltCurve_Q6ZSS7_MFSD6.pdf</v>
      </c>
    </row>
    <row r="4201" spans="1:28" x14ac:dyDescent="0.25">
      <c r="A4201" t="s">
        <v>4205</v>
      </c>
      <c r="B4201">
        <v>0.99252571173614901</v>
      </c>
      <c r="C4201">
        <v>0.84611513653160397</v>
      </c>
      <c r="D4201">
        <v>0.78591072800825501</v>
      </c>
      <c r="E4201">
        <v>0.665296770458363</v>
      </c>
      <c r="F4201">
        <v>0.532889177310504</v>
      </c>
      <c r="G4201">
        <v>0.36307455268186201</v>
      </c>
      <c r="H4201">
        <v>0.32349336854292798</v>
      </c>
      <c r="I4201">
        <v>0.39975129803537901</v>
      </c>
      <c r="J4201">
        <v>0.63951289141910805</v>
      </c>
      <c r="K4201">
        <v>0.55941623603355795</v>
      </c>
      <c r="L4201">
        <v>804.11883968995903</v>
      </c>
      <c r="M4201">
        <v>17.152895241956699</v>
      </c>
      <c r="N4201">
        <v>54.832352183013498</v>
      </c>
      <c r="O4201">
        <v>46.256244774646397</v>
      </c>
      <c r="P4201">
        <v>-5.0207324357093498E-2</v>
      </c>
      <c r="Q4201">
        <v>0.45845584397262201</v>
      </c>
      <c r="R4201">
        <v>0.79430291563834599</v>
      </c>
      <c r="S4201" t="s">
        <v>10847</v>
      </c>
      <c r="T4201" t="s">
        <v>13290</v>
      </c>
      <c r="U4201" t="s">
        <v>13290</v>
      </c>
      <c r="V4201" t="s">
        <v>13290</v>
      </c>
      <c r="W4201" t="s">
        <v>17443</v>
      </c>
      <c r="X4201">
        <v>2</v>
      </c>
      <c r="Y4201" t="s">
        <v>23937</v>
      </c>
      <c r="Z4201" t="s">
        <v>30531</v>
      </c>
      <c r="AA4201">
        <v>0.59380342799985653</v>
      </c>
      <c r="AB4201" t="str">
        <f>HYPERLINK("Melting_Curves/meltCurve_Q6ZT21_2_TMPPE.pdf", "Melting_Curves/meltCurve_Q6ZT21_2_TMPPE.pdf")</f>
        <v>Melting_Curves/meltCurve_Q6ZT21_2_TMPPE.pdf</v>
      </c>
    </row>
    <row r="4202" spans="1:28" x14ac:dyDescent="0.25">
      <c r="A4202" t="s">
        <v>4206</v>
      </c>
      <c r="B4202">
        <v>0.99252571173614901</v>
      </c>
      <c r="C4202">
        <v>1.0103628684864101</v>
      </c>
      <c r="D4202">
        <v>0.87103135599776005</v>
      </c>
      <c r="E4202">
        <v>0.73186337877167196</v>
      </c>
      <c r="F4202">
        <v>0.31492785749179703</v>
      </c>
      <c r="G4202">
        <v>9.8069292365091695E-2</v>
      </c>
      <c r="H4202">
        <v>7.1209172767538798E-2</v>
      </c>
      <c r="I4202">
        <v>8.1154077422699603E-2</v>
      </c>
      <c r="J4202">
        <v>9.3950732914282506E-2</v>
      </c>
      <c r="K4202">
        <v>0.10196111057814</v>
      </c>
      <c r="L4202">
        <v>1329.5505209471501</v>
      </c>
      <c r="M4202">
        <v>26.050978273803899</v>
      </c>
      <c r="N4202">
        <v>51.354778046264499</v>
      </c>
      <c r="O4202">
        <v>50.7386038820488</v>
      </c>
      <c r="P4202">
        <v>-0.118791123551137</v>
      </c>
      <c r="Q4202">
        <v>7.4548872409382502E-2</v>
      </c>
      <c r="R4202">
        <v>0.99345716547700003</v>
      </c>
      <c r="S4202" t="s">
        <v>10848</v>
      </c>
      <c r="T4202" t="s">
        <v>13290</v>
      </c>
      <c r="U4202" t="s">
        <v>13290</v>
      </c>
      <c r="V4202" t="s">
        <v>13290</v>
      </c>
      <c r="W4202" t="s">
        <v>17444</v>
      </c>
      <c r="X4202">
        <v>14</v>
      </c>
      <c r="Y4202" t="s">
        <v>23938</v>
      </c>
      <c r="Z4202" t="s">
        <v>30532</v>
      </c>
      <c r="AA4202">
        <v>0.42271820223048667</v>
      </c>
      <c r="AB4202" t="str">
        <f>HYPERLINK("Melting_Curves/meltCurve_Q6ZT62_SH3BP1.pdf", "Melting_Curves/meltCurve_Q6ZT62_SH3BP1.pdf")</f>
        <v>Melting_Curves/meltCurve_Q6ZT62_SH3BP1.pdf</v>
      </c>
    </row>
    <row r="4203" spans="1:28" x14ac:dyDescent="0.25">
      <c r="A4203" t="s">
        <v>4207</v>
      </c>
      <c r="B4203">
        <v>0.99252571173614901</v>
      </c>
      <c r="C4203">
        <v>0.76220699041011897</v>
      </c>
      <c r="D4203">
        <v>0.29869367639913802</v>
      </c>
      <c r="E4203">
        <v>0.19487184484359299</v>
      </c>
      <c r="F4203">
        <v>0.115945794434996</v>
      </c>
      <c r="G4203">
        <v>5.7204213719309803E-2</v>
      </c>
      <c r="H4203">
        <v>4.3114481872711302E-2</v>
      </c>
      <c r="I4203">
        <v>5.1469284750699701E-2</v>
      </c>
      <c r="J4203">
        <v>6.8566275894643106E-2</v>
      </c>
      <c r="K4203">
        <v>8.0559058971289996E-2</v>
      </c>
      <c r="L4203">
        <v>1268.6556377290899</v>
      </c>
      <c r="M4203">
        <v>28.5519334132963</v>
      </c>
      <c r="N4203">
        <v>44.691790540780303</v>
      </c>
      <c r="O4203">
        <v>44.2170181324732</v>
      </c>
      <c r="P4203">
        <v>-0.149143622005035</v>
      </c>
      <c r="Q4203">
        <v>7.6120999839652703E-2</v>
      </c>
      <c r="R4203">
        <v>0.98956808927929496</v>
      </c>
      <c r="S4203" t="s">
        <v>10849</v>
      </c>
      <c r="T4203" t="s">
        <v>13290</v>
      </c>
      <c r="U4203" t="s">
        <v>13290</v>
      </c>
      <c r="V4203" t="s">
        <v>13290</v>
      </c>
      <c r="W4203" t="s">
        <v>17445</v>
      </c>
      <c r="X4203">
        <v>3</v>
      </c>
      <c r="Y4203" t="s">
        <v>23939</v>
      </c>
      <c r="Z4203" t="s">
        <v>30533</v>
      </c>
      <c r="AA4203">
        <v>0.2197763842697591</v>
      </c>
      <c r="AB4203" t="str">
        <f>HYPERLINK("Melting_Curves/meltCurve_Q6ZTQ3_4_RASSF6.pdf", "Melting_Curves/meltCurve_Q6ZTQ3_4_RASSF6.pdf")</f>
        <v>Melting_Curves/meltCurve_Q6ZTQ3_4_RASSF6.pdf</v>
      </c>
    </row>
    <row r="4204" spans="1:28" x14ac:dyDescent="0.25">
      <c r="A4204" t="s">
        <v>4208</v>
      </c>
      <c r="B4204">
        <v>0.99252571173614901</v>
      </c>
      <c r="C4204">
        <v>1.0517510041317499</v>
      </c>
      <c r="D4204">
        <v>1.0203139418849001</v>
      </c>
      <c r="E4204">
        <v>1.0491792613764499</v>
      </c>
      <c r="F4204">
        <v>0.80998375508293097</v>
      </c>
      <c r="G4204">
        <v>0.383953256618983</v>
      </c>
      <c r="H4204">
        <v>0.31288447162850203</v>
      </c>
      <c r="I4204">
        <v>0.42940913145291398</v>
      </c>
      <c r="J4204">
        <v>0.58418545649723697</v>
      </c>
      <c r="K4204">
        <v>0.42644367006820899</v>
      </c>
      <c r="L4204">
        <v>13337.234816387499</v>
      </c>
      <c r="M4204">
        <v>250</v>
      </c>
      <c r="N4204">
        <v>53.763844226784599</v>
      </c>
      <c r="O4204">
        <v>53.3455289201383</v>
      </c>
      <c r="P4204">
        <v>-0.67089135377082998</v>
      </c>
      <c r="Q4204">
        <v>0.427375173788207</v>
      </c>
      <c r="R4204">
        <v>0.94729788777050905</v>
      </c>
      <c r="S4204" t="s">
        <v>10850</v>
      </c>
      <c r="T4204" t="s">
        <v>13290</v>
      </c>
      <c r="U4204" t="s">
        <v>13290</v>
      </c>
      <c r="V4204" t="s">
        <v>13290</v>
      </c>
      <c r="W4204" t="s">
        <v>17446</v>
      </c>
      <c r="X4204">
        <v>1</v>
      </c>
      <c r="Y4204" t="s">
        <v>23940</v>
      </c>
      <c r="Z4204" t="s">
        <v>30534</v>
      </c>
      <c r="AA4204">
        <v>0.68222658758135557</v>
      </c>
      <c r="AB4204" t="str">
        <f>HYPERLINK("Melting_Curves/meltCurve_Q6ZUX7_LHFPL2.pdf", "Melting_Curves/meltCurve_Q6ZUX7_LHFPL2.pdf")</f>
        <v>Melting_Curves/meltCurve_Q6ZUX7_LHFPL2.pdf</v>
      </c>
    </row>
    <row r="4205" spans="1:28" x14ac:dyDescent="0.25">
      <c r="A4205" t="s">
        <v>4209</v>
      </c>
      <c r="B4205">
        <v>0.99252571173614901</v>
      </c>
      <c r="C4205">
        <v>1.0168556639806401</v>
      </c>
      <c r="D4205">
        <v>0.94177107289569995</v>
      </c>
      <c r="E4205">
        <v>0.82747255876653802</v>
      </c>
      <c r="F4205">
        <v>0.61352311705292395</v>
      </c>
      <c r="G4205">
        <v>0.49576915268709498</v>
      </c>
      <c r="H4205">
        <v>0.44414670051294303</v>
      </c>
      <c r="I4205">
        <v>0.63976717547612005</v>
      </c>
      <c r="J4205">
        <v>1.0969614498365701</v>
      </c>
      <c r="K4205">
        <v>1.1127805303400999</v>
      </c>
      <c r="L4205">
        <v>2048.6373428665602</v>
      </c>
      <c r="M4205">
        <v>42.5218448329612</v>
      </c>
      <c r="O4205">
        <v>48.072273340871497</v>
      </c>
      <c r="P4205">
        <v>-5.8195107174064703E-2</v>
      </c>
      <c r="Q4205">
        <v>0.73683486829219702</v>
      </c>
      <c r="R4205">
        <v>0.21929773778932499</v>
      </c>
      <c r="S4205" t="s">
        <v>10851</v>
      </c>
      <c r="T4205" t="s">
        <v>13290</v>
      </c>
      <c r="U4205" t="s">
        <v>13290</v>
      </c>
      <c r="V4205" t="s">
        <v>13290</v>
      </c>
      <c r="W4205" t="s">
        <v>17447</v>
      </c>
      <c r="X4205">
        <v>9</v>
      </c>
      <c r="Y4205" t="s">
        <v>23941</v>
      </c>
      <c r="Z4205" t="s">
        <v>30535</v>
      </c>
      <c r="AA4205">
        <v>0.80935381519780258</v>
      </c>
      <c r="AB4205" t="str">
        <f>HYPERLINK("Melting_Curves/meltCurve_Q6ZVF9_GPRIN3.pdf", "Melting_Curves/meltCurve_Q6ZVF9_GPRIN3.pdf")</f>
        <v>Melting_Curves/meltCurve_Q6ZVF9_GPRIN3.pdf</v>
      </c>
    </row>
    <row r="4206" spans="1:28" x14ac:dyDescent="0.25">
      <c r="A4206" t="s">
        <v>4210</v>
      </c>
      <c r="B4206">
        <v>0.99252571173614901</v>
      </c>
      <c r="C4206">
        <v>1.0053822507986501</v>
      </c>
      <c r="D4206">
        <v>0.79002357260482803</v>
      </c>
      <c r="E4206">
        <v>0.50957362488169999</v>
      </c>
      <c r="F4206">
        <v>0.24608276300097801</v>
      </c>
      <c r="G4206">
        <v>0.17010149375730599</v>
      </c>
      <c r="H4206">
        <v>0.14955159629939399</v>
      </c>
      <c r="I4206">
        <v>0.183533162008125</v>
      </c>
      <c r="J4206">
        <v>0.108539671572186</v>
      </c>
      <c r="K4206">
        <v>8.7303707107449502E-2</v>
      </c>
      <c r="L4206">
        <v>1042.4255098901101</v>
      </c>
      <c r="M4206">
        <v>21.325408826796501</v>
      </c>
      <c r="N4206">
        <v>49.554214761927199</v>
      </c>
      <c r="O4206">
        <v>48.458116060399398</v>
      </c>
      <c r="P4206">
        <v>-9.62011518748533E-2</v>
      </c>
      <c r="Q4206">
        <v>0.12562371217902299</v>
      </c>
      <c r="R4206">
        <v>0.99340522321539704</v>
      </c>
      <c r="S4206" t="s">
        <v>10852</v>
      </c>
      <c r="T4206" t="s">
        <v>13290</v>
      </c>
      <c r="U4206" t="s">
        <v>13290</v>
      </c>
      <c r="V4206" t="s">
        <v>13290</v>
      </c>
      <c r="W4206" t="s">
        <v>17448</v>
      </c>
      <c r="X4206">
        <v>5</v>
      </c>
      <c r="Y4206" t="s">
        <v>23942</v>
      </c>
      <c r="Z4206" t="s">
        <v>30536</v>
      </c>
      <c r="AA4206">
        <v>0.39524365240188258</v>
      </c>
      <c r="AB4206" t="str">
        <f>HYPERLINK("Melting_Curves/meltCurve_Q6ZVM7_2_TOM1L2.pdf", "Melting_Curves/meltCurve_Q6ZVM7_2_TOM1L2.pdf")</f>
        <v>Melting_Curves/meltCurve_Q6ZVM7_2_TOM1L2.pdf</v>
      </c>
    </row>
    <row r="4207" spans="1:28" x14ac:dyDescent="0.25">
      <c r="A4207" t="s">
        <v>4211</v>
      </c>
      <c r="B4207">
        <v>0.99252571173614901</v>
      </c>
      <c r="C4207">
        <v>1.32951056477786</v>
      </c>
      <c r="D4207">
        <v>1.2488197522797999</v>
      </c>
      <c r="E4207">
        <v>1.7453232425599701</v>
      </c>
      <c r="F4207">
        <v>1.3084169761292199</v>
      </c>
      <c r="G4207">
        <v>0.92722493824838204</v>
      </c>
      <c r="H4207">
        <v>0.83840601181716101</v>
      </c>
      <c r="I4207">
        <v>1.06221819334735</v>
      </c>
      <c r="J4207">
        <v>1.3820489048273901</v>
      </c>
      <c r="K4207">
        <v>1.37316379675121</v>
      </c>
      <c r="L4207">
        <v>10301.665174231601</v>
      </c>
      <c r="M4207">
        <v>250</v>
      </c>
      <c r="O4207">
        <v>41.204023928436797</v>
      </c>
      <c r="P4207">
        <v>0.37333475988659998</v>
      </c>
      <c r="Q4207">
        <v>1.24612630868458</v>
      </c>
      <c r="R4207">
        <v>8.8373388427884003E-2</v>
      </c>
      <c r="S4207" t="s">
        <v>10853</v>
      </c>
      <c r="T4207" t="s">
        <v>13290</v>
      </c>
      <c r="U4207" t="s">
        <v>13290</v>
      </c>
      <c r="V4207" t="s">
        <v>13290</v>
      </c>
      <c r="W4207" t="s">
        <v>17449</v>
      </c>
      <c r="X4207">
        <v>4</v>
      </c>
      <c r="Y4207" t="s">
        <v>23943</v>
      </c>
      <c r="Z4207" t="s">
        <v>30537</v>
      </c>
      <c r="AA4207">
        <v>1.236208140796204</v>
      </c>
      <c r="AB4207" t="str">
        <f>HYPERLINK("Melting_Curves/meltCurve_Q6ZW13_C16orf86.pdf", "Melting_Curves/meltCurve_Q6ZW13_C16orf86.pdf")</f>
        <v>Melting_Curves/meltCurve_Q6ZW13_C16orf86.pdf</v>
      </c>
    </row>
    <row r="4208" spans="1:28" x14ac:dyDescent="0.25">
      <c r="A4208" t="s">
        <v>4212</v>
      </c>
      <c r="B4208">
        <v>0.99252571173614901</v>
      </c>
      <c r="C4208">
        <v>0.82900848072687106</v>
      </c>
      <c r="D4208">
        <v>0.64350321730235904</v>
      </c>
      <c r="E4208">
        <v>0.48422842429602803</v>
      </c>
      <c r="F4208">
        <v>0.251502285678185</v>
      </c>
      <c r="G4208">
        <v>0.15059823263463301</v>
      </c>
      <c r="H4208">
        <v>9.6487785479957996E-2</v>
      </c>
      <c r="I4208">
        <v>8.7607246155626595E-2</v>
      </c>
      <c r="J4208">
        <v>0.10165787813258501</v>
      </c>
      <c r="K4208">
        <v>0.10492571347731899</v>
      </c>
      <c r="L4208">
        <v>668.02670737301503</v>
      </c>
      <c r="M4208">
        <v>13.9053018027882</v>
      </c>
      <c r="N4208">
        <v>48.569847651032603</v>
      </c>
      <c r="O4208">
        <v>47.080276169248002</v>
      </c>
      <c r="P4208">
        <v>-6.8661585907841396E-2</v>
      </c>
      <c r="Q4208">
        <v>7.0234489598462693E-2</v>
      </c>
      <c r="R4208">
        <v>0.992622463599657</v>
      </c>
      <c r="S4208" t="s">
        <v>10854</v>
      </c>
      <c r="T4208" t="s">
        <v>13290</v>
      </c>
      <c r="U4208" t="s">
        <v>13290</v>
      </c>
      <c r="V4208" t="s">
        <v>13290</v>
      </c>
      <c r="W4208" t="s">
        <v>17450</v>
      </c>
      <c r="X4208">
        <v>7</v>
      </c>
      <c r="Y4208" t="s">
        <v>23944</v>
      </c>
      <c r="Z4208" t="s">
        <v>30538</v>
      </c>
      <c r="AA4208">
        <v>0.34711798509579739</v>
      </c>
      <c r="AB4208" t="str">
        <f>HYPERLINK("Melting_Curves/meltCurve_Q6ZW49_4_PAXIP1.pdf", "Melting_Curves/meltCurve_Q6ZW49_4_PAXIP1.pdf")</f>
        <v>Melting_Curves/meltCurve_Q6ZW49_4_PAXIP1.pdf</v>
      </c>
    </row>
    <row r="4209" spans="1:28" x14ac:dyDescent="0.25">
      <c r="A4209" t="s">
        <v>4213</v>
      </c>
      <c r="B4209">
        <v>0.99252571173614901</v>
      </c>
      <c r="C4209">
        <v>0.87656413272893696</v>
      </c>
      <c r="D4209">
        <v>0.81023642796650097</v>
      </c>
      <c r="E4209">
        <v>0.55814637165666203</v>
      </c>
      <c r="F4209">
        <v>0.17923172393987</v>
      </c>
      <c r="G4209">
        <v>9.6687297569060401E-2</v>
      </c>
      <c r="H4209">
        <v>6.5482415531363997E-2</v>
      </c>
      <c r="I4209">
        <v>7.3867210879523706E-2</v>
      </c>
      <c r="J4209">
        <v>9.7003253557670296E-2</v>
      </c>
      <c r="K4209">
        <v>9.2552383727788096E-2</v>
      </c>
      <c r="L4209">
        <v>1014.2166364756</v>
      </c>
      <c r="M4209">
        <v>20.589174676346101</v>
      </c>
      <c r="N4209">
        <v>49.589892182004398</v>
      </c>
      <c r="O4209">
        <v>48.802074840619802</v>
      </c>
      <c r="P4209">
        <v>-9.8719714470696704E-2</v>
      </c>
      <c r="Q4209">
        <v>6.4054355972264401E-2</v>
      </c>
      <c r="R4209">
        <v>0.98827414614724096</v>
      </c>
      <c r="S4209" t="s">
        <v>10855</v>
      </c>
      <c r="T4209" t="s">
        <v>13290</v>
      </c>
      <c r="U4209" t="s">
        <v>13290</v>
      </c>
      <c r="V4209" t="s">
        <v>13290</v>
      </c>
      <c r="W4209" t="s">
        <v>17451</v>
      </c>
      <c r="X4209">
        <v>15</v>
      </c>
      <c r="Y4209" t="s">
        <v>23945</v>
      </c>
      <c r="Z4209" t="s">
        <v>30539</v>
      </c>
      <c r="AA4209">
        <v>0.36527886995815151</v>
      </c>
      <c r="AB4209" t="str">
        <f>HYPERLINK("Melting_Curves/meltCurve_Q6ZXV5_2_TMTC3.pdf", "Melting_Curves/meltCurve_Q6ZXV5_2_TMTC3.pdf")</f>
        <v>Melting_Curves/meltCurve_Q6ZXV5_2_TMTC3.pdf</v>
      </c>
    </row>
    <row r="4210" spans="1:28" x14ac:dyDescent="0.25">
      <c r="A4210" t="s">
        <v>4214</v>
      </c>
      <c r="B4210">
        <v>0.99252571173614901</v>
      </c>
      <c r="C4210">
        <v>0.89525632613927397</v>
      </c>
      <c r="D4210">
        <v>0.91726832383949997</v>
      </c>
      <c r="E4210">
        <v>0.58169658962107396</v>
      </c>
      <c r="F4210">
        <v>0.68511651842768595</v>
      </c>
      <c r="G4210">
        <v>0.71943867036769904</v>
      </c>
      <c r="H4210">
        <v>0.89110274975051296</v>
      </c>
      <c r="I4210">
        <v>1.0199498277732399</v>
      </c>
      <c r="J4210">
        <v>1.35060595529843</v>
      </c>
      <c r="K4210">
        <v>1.2230655529704699</v>
      </c>
      <c r="L4210">
        <v>15000</v>
      </c>
      <c r="M4210">
        <v>231.79495266985501</v>
      </c>
      <c r="O4210">
        <v>64.707549761410704</v>
      </c>
      <c r="P4210">
        <v>0.25689337952700098</v>
      </c>
      <c r="Q4210">
        <v>1.2868559630360501</v>
      </c>
      <c r="R4210">
        <v>0.223598593734114</v>
      </c>
      <c r="S4210" t="s">
        <v>10856</v>
      </c>
      <c r="T4210" t="s">
        <v>13290</v>
      </c>
      <c r="U4210" t="s">
        <v>13290</v>
      </c>
      <c r="V4210" t="s">
        <v>13290</v>
      </c>
      <c r="W4210" t="s">
        <v>17452</v>
      </c>
      <c r="X4210">
        <v>1</v>
      </c>
      <c r="Y4210" t="s">
        <v>23946</v>
      </c>
      <c r="Z4210" t="s">
        <v>30540</v>
      </c>
      <c r="AA4210">
        <v>1.0505217395437669</v>
      </c>
      <c r="AB4210" t="str">
        <f>HYPERLINK("Melting_Curves/meltCurve_Q6ZYL4_GTF2H5.pdf", "Melting_Curves/meltCurve_Q6ZYL4_GTF2H5.pdf")</f>
        <v>Melting_Curves/meltCurve_Q6ZYL4_GTF2H5.pdf</v>
      </c>
    </row>
    <row r="4211" spans="1:28" x14ac:dyDescent="0.25">
      <c r="A4211" t="s">
        <v>4215</v>
      </c>
      <c r="B4211">
        <v>0.99252571173614901</v>
      </c>
      <c r="C4211">
        <v>0.91205496021861698</v>
      </c>
      <c r="D4211">
        <v>1.1543066380872999</v>
      </c>
      <c r="E4211">
        <v>1.0644283347951</v>
      </c>
      <c r="F4211">
        <v>0.47718508739813598</v>
      </c>
      <c r="G4211">
        <v>0.19139166879654701</v>
      </c>
      <c r="H4211">
        <v>0.13327576179287901</v>
      </c>
      <c r="I4211">
        <v>0.17309657354678101</v>
      </c>
      <c r="J4211">
        <v>0.118309980876176</v>
      </c>
      <c r="K4211">
        <v>0.119234358145241</v>
      </c>
      <c r="L4211">
        <v>8265.3825196008293</v>
      </c>
      <c r="M4211">
        <v>155.824015644702</v>
      </c>
      <c r="N4211">
        <v>53.161901828721199</v>
      </c>
      <c r="O4211">
        <v>53.034323664568397</v>
      </c>
      <c r="P4211">
        <v>-0.62652532799690197</v>
      </c>
      <c r="Q4211">
        <v>0.147054538807142</v>
      </c>
      <c r="R4211">
        <v>0.97736760470967998</v>
      </c>
      <c r="S4211" t="s">
        <v>10857</v>
      </c>
      <c r="T4211" t="s">
        <v>13290</v>
      </c>
      <c r="U4211" t="s">
        <v>13290</v>
      </c>
      <c r="V4211" t="s">
        <v>13290</v>
      </c>
      <c r="W4211" t="s">
        <v>17453</v>
      </c>
      <c r="X4211">
        <v>28</v>
      </c>
      <c r="Y4211" t="s">
        <v>23947</v>
      </c>
      <c r="Z4211" t="s">
        <v>30541</v>
      </c>
      <c r="AA4211">
        <v>0.51809293229987274</v>
      </c>
      <c r="AB4211" t="str">
        <f>HYPERLINK("Melting_Curves/meltCurve_Q709C8_3_VPS13C.pdf", "Melting_Curves/meltCurve_Q709C8_3_VPS13C.pdf")</f>
        <v>Melting_Curves/meltCurve_Q709C8_3_VPS13C.pdf</v>
      </c>
    </row>
    <row r="4212" spans="1:28" x14ac:dyDescent="0.25">
      <c r="A4212" t="s">
        <v>4216</v>
      </c>
      <c r="B4212">
        <v>0.99252571173614901</v>
      </c>
      <c r="C4212">
        <v>0.92578524095168002</v>
      </c>
      <c r="D4212">
        <v>1.09498568794606</v>
      </c>
      <c r="E4212">
        <v>0.98845373541053505</v>
      </c>
      <c r="F4212">
        <v>0.59513874883227003</v>
      </c>
      <c r="G4212">
        <v>0.26549050885165698</v>
      </c>
      <c r="H4212">
        <v>0.119737255013801</v>
      </c>
      <c r="I4212">
        <v>0.147341568676219</v>
      </c>
      <c r="J4212">
        <v>0.116354122805399</v>
      </c>
      <c r="K4212">
        <v>0.108258583211006</v>
      </c>
      <c r="L4212">
        <v>1856.99256231868</v>
      </c>
      <c r="M4212">
        <v>34.645194569078697</v>
      </c>
      <c r="N4212">
        <v>54.043404896006201</v>
      </c>
      <c r="O4212">
        <v>53.422653740711098</v>
      </c>
      <c r="P4212">
        <v>-0.142082813922533</v>
      </c>
      <c r="Q4212">
        <v>0.123640297992577</v>
      </c>
      <c r="R4212">
        <v>0.98819918694911202</v>
      </c>
      <c r="S4212" t="s">
        <v>10858</v>
      </c>
      <c r="T4212" t="s">
        <v>13290</v>
      </c>
      <c r="U4212" t="s">
        <v>13290</v>
      </c>
      <c r="V4212" t="s">
        <v>13290</v>
      </c>
      <c r="W4212" t="s">
        <v>17454</v>
      </c>
      <c r="X4212">
        <v>6</v>
      </c>
      <c r="Y4212" t="s">
        <v>23948</v>
      </c>
      <c r="Z4212" t="s">
        <v>30542</v>
      </c>
      <c r="AA4212">
        <v>0.52524948917420933</v>
      </c>
      <c r="AB4212" t="str">
        <f>HYPERLINK("Melting_Curves/meltCurve_Q709F0_ACAD11.pdf", "Melting_Curves/meltCurve_Q709F0_ACAD11.pdf")</f>
        <v>Melting_Curves/meltCurve_Q709F0_ACAD11.pdf</v>
      </c>
    </row>
    <row r="4213" spans="1:28" x14ac:dyDescent="0.25">
      <c r="A4213" t="s">
        <v>4217</v>
      </c>
      <c r="B4213">
        <v>0.99252571173614901</v>
      </c>
      <c r="C4213">
        <v>0.76613598506063996</v>
      </c>
      <c r="D4213">
        <v>0.64725518797100801</v>
      </c>
      <c r="E4213">
        <v>0.261591784267728</v>
      </c>
      <c r="F4213">
        <v>0.16351438593683201</v>
      </c>
      <c r="G4213">
        <v>0.102495483239889</v>
      </c>
      <c r="H4213">
        <v>7.8322826710774798E-2</v>
      </c>
      <c r="I4213">
        <v>6.3285354541109701E-2</v>
      </c>
      <c r="J4213">
        <v>7.1064525189797098E-2</v>
      </c>
      <c r="K4213">
        <v>6.0530351990171302E-2</v>
      </c>
      <c r="L4213">
        <v>825.25891322765494</v>
      </c>
      <c r="M4213">
        <v>17.6969633219069</v>
      </c>
      <c r="N4213">
        <v>46.974109452938798</v>
      </c>
      <c r="O4213">
        <v>46.049577809007197</v>
      </c>
      <c r="P4213">
        <v>-9.0284060244813599E-2</v>
      </c>
      <c r="Q4213">
        <v>6.0330714858944798E-2</v>
      </c>
      <c r="R4213">
        <v>0.98927478920441003</v>
      </c>
      <c r="S4213" t="s">
        <v>10859</v>
      </c>
      <c r="T4213" t="s">
        <v>13290</v>
      </c>
      <c r="U4213" t="s">
        <v>13290</v>
      </c>
      <c r="V4213" t="s">
        <v>13290</v>
      </c>
      <c r="W4213" t="s">
        <v>17455</v>
      </c>
      <c r="X4213">
        <v>9</v>
      </c>
      <c r="Y4213" t="s">
        <v>23949</v>
      </c>
      <c r="Z4213" t="s">
        <v>30543</v>
      </c>
      <c r="AA4213">
        <v>0.28643901857307458</v>
      </c>
      <c r="AB4213" t="str">
        <f>HYPERLINK("Melting_Curves/meltCurve_Q70CQ2_USP34.pdf", "Melting_Curves/meltCurve_Q70CQ2_USP34.pdf")</f>
        <v>Melting_Curves/meltCurve_Q70CQ2_USP34.pdf</v>
      </c>
    </row>
    <row r="4214" spans="1:28" x14ac:dyDescent="0.25">
      <c r="A4214" t="s">
        <v>4218</v>
      </c>
      <c r="B4214">
        <v>0.99252571173614901</v>
      </c>
      <c r="C4214">
        <v>1.0109170131724401</v>
      </c>
      <c r="D4214">
        <v>0.81516540070259602</v>
      </c>
      <c r="E4214">
        <v>0.33663350200485298</v>
      </c>
      <c r="F4214">
        <v>0.15368055095395899</v>
      </c>
      <c r="G4214">
        <v>9.5255335187522897E-2</v>
      </c>
      <c r="H4214">
        <v>7.8785236725346305E-2</v>
      </c>
      <c r="I4214">
        <v>7.0585086039267997E-2</v>
      </c>
      <c r="J4214">
        <v>7.2206298741331207E-2</v>
      </c>
      <c r="K4214">
        <v>8.00255841528352E-2</v>
      </c>
      <c r="L4214">
        <v>1462.2704061013201</v>
      </c>
      <c r="M4214">
        <v>30.391238918969499</v>
      </c>
      <c r="N4214">
        <v>48.395659816064203</v>
      </c>
      <c r="O4214">
        <v>47.907986611768003</v>
      </c>
      <c r="P4214">
        <v>-0.145773690618724</v>
      </c>
      <c r="Q4214">
        <v>8.0829767935968994E-2</v>
      </c>
      <c r="R4214">
        <v>0.99858500471550604</v>
      </c>
      <c r="S4214" t="s">
        <v>10860</v>
      </c>
      <c r="T4214" t="s">
        <v>13290</v>
      </c>
      <c r="U4214" t="s">
        <v>13290</v>
      </c>
      <c r="V4214" t="s">
        <v>13290</v>
      </c>
      <c r="W4214" t="s">
        <v>17456</v>
      </c>
      <c r="X4214">
        <v>4</v>
      </c>
      <c r="Y4214" t="s">
        <v>23950</v>
      </c>
      <c r="Z4214" t="s">
        <v>30544</v>
      </c>
      <c r="AA4214">
        <v>0.33485178661154319</v>
      </c>
      <c r="AB4214" t="str">
        <f>HYPERLINK("Melting_Curves/meltCurve_Q70IA6_MOB2.pdf", "Melting_Curves/meltCurve_Q70IA6_MOB2.pdf")</f>
        <v>Melting_Curves/meltCurve_Q70IA6_MOB2.pdf</v>
      </c>
    </row>
    <row r="4215" spans="1:28" x14ac:dyDescent="0.25">
      <c r="A4215" t="s">
        <v>4219</v>
      </c>
      <c r="B4215">
        <v>0.99252571173614901</v>
      </c>
      <c r="C4215">
        <v>0.857827663075729</v>
      </c>
      <c r="D4215">
        <v>0.82572230769783295</v>
      </c>
      <c r="E4215">
        <v>0.87010693128925598</v>
      </c>
      <c r="F4215">
        <v>0.35738801978722601</v>
      </c>
      <c r="G4215">
        <v>0.21278525868488199</v>
      </c>
      <c r="H4215">
        <v>0.116042971342029</v>
      </c>
      <c r="I4215">
        <v>7.5922688602346494E-2</v>
      </c>
      <c r="J4215">
        <v>2.8611633250391299E-2</v>
      </c>
      <c r="K4215">
        <v>6.7042058295742293E-2</v>
      </c>
      <c r="L4215">
        <v>1064.8749121759599</v>
      </c>
      <c r="M4215">
        <v>20.4227828691401</v>
      </c>
      <c r="N4215">
        <v>52.401170725756202</v>
      </c>
      <c r="O4215">
        <v>51.649315277136701</v>
      </c>
      <c r="P4215">
        <v>-9.4098893542354997E-2</v>
      </c>
      <c r="Q4215">
        <v>4.8122300827294302E-2</v>
      </c>
      <c r="R4215">
        <v>0.96399449572834495</v>
      </c>
      <c r="S4215" t="s">
        <v>10861</v>
      </c>
      <c r="T4215" t="s">
        <v>13290</v>
      </c>
      <c r="U4215" t="s">
        <v>13290</v>
      </c>
      <c r="V4215" t="s">
        <v>13290</v>
      </c>
      <c r="W4215" t="s">
        <v>17457</v>
      </c>
      <c r="X4215">
        <v>4</v>
      </c>
      <c r="Y4215" t="s">
        <v>23951</v>
      </c>
      <c r="Z4215" t="s">
        <v>30545</v>
      </c>
      <c r="AA4215">
        <v>0.44604481365564458</v>
      </c>
      <c r="AB4215" t="str">
        <f>HYPERLINK("Melting_Curves/meltCurve_Q70UQ0_IKBIP.pdf", "Melting_Curves/meltCurve_Q70UQ0_IKBIP.pdf")</f>
        <v>Melting_Curves/meltCurve_Q70UQ0_IKBIP.pdf</v>
      </c>
    </row>
    <row r="4216" spans="1:28" x14ac:dyDescent="0.25">
      <c r="A4216" t="s">
        <v>4220</v>
      </c>
      <c r="B4216">
        <v>0.99252571173614901</v>
      </c>
      <c r="C4216">
        <v>0.880076302901593</v>
      </c>
      <c r="D4216">
        <v>0.85150605483460395</v>
      </c>
      <c r="E4216">
        <v>0.78962831890221297</v>
      </c>
      <c r="F4216">
        <v>0.44563974496080799</v>
      </c>
      <c r="G4216">
        <v>0.23436726855815501</v>
      </c>
      <c r="H4216">
        <v>0.164115773879041</v>
      </c>
      <c r="I4216">
        <v>0.136031363878691</v>
      </c>
      <c r="J4216">
        <v>0.17189120238195199</v>
      </c>
      <c r="K4216">
        <v>0.197295387314745</v>
      </c>
      <c r="L4216">
        <v>983.04363967317397</v>
      </c>
      <c r="M4216">
        <v>19.068894276904</v>
      </c>
      <c r="N4216">
        <v>52.4773668699507</v>
      </c>
      <c r="O4216">
        <v>50.995296101878203</v>
      </c>
      <c r="P4216">
        <v>-8.0141778073819905E-2</v>
      </c>
      <c r="Q4216">
        <v>0.142751940539872</v>
      </c>
      <c r="R4216">
        <v>0.97770830099630501</v>
      </c>
      <c r="S4216" t="s">
        <v>10862</v>
      </c>
      <c r="T4216" t="s">
        <v>13290</v>
      </c>
      <c r="U4216" t="s">
        <v>13290</v>
      </c>
      <c r="V4216" t="s">
        <v>13290</v>
      </c>
      <c r="W4216" t="s">
        <v>17458</v>
      </c>
      <c r="X4216">
        <v>8</v>
      </c>
      <c r="Y4216" t="s">
        <v>23951</v>
      </c>
      <c r="Z4216" t="s">
        <v>30546</v>
      </c>
      <c r="AA4216">
        <v>0.48580974252068282</v>
      </c>
      <c r="AB4216" t="str">
        <f>HYPERLINK("Melting_Curves/meltCurve_Q70UQ0_4_IKBIP.pdf", "Melting_Curves/meltCurve_Q70UQ0_4_IKBIP.pdf")</f>
        <v>Melting_Curves/meltCurve_Q70UQ0_4_IKBIP.pdf</v>
      </c>
    </row>
    <row r="4217" spans="1:28" x14ac:dyDescent="0.25">
      <c r="A4217" t="s">
        <v>4221</v>
      </c>
      <c r="B4217">
        <v>0.99252571173614901</v>
      </c>
      <c r="C4217">
        <v>1.0317999168455201</v>
      </c>
      <c r="D4217">
        <v>0.79471123902305296</v>
      </c>
      <c r="E4217">
        <v>0.38327943213719601</v>
      </c>
      <c r="F4217">
        <v>0.18223495306524501</v>
      </c>
      <c r="G4217">
        <v>0.113924622032624</v>
      </c>
      <c r="H4217">
        <v>8.0429135547925107E-2</v>
      </c>
      <c r="I4217">
        <v>6.8644784774245099E-2</v>
      </c>
      <c r="J4217">
        <v>7.1945495173237006E-2</v>
      </c>
      <c r="K4217">
        <v>5.5480929479124301E-2</v>
      </c>
      <c r="L4217">
        <v>1251.69960071176</v>
      </c>
      <c r="M4217">
        <v>25.877439280693199</v>
      </c>
      <c r="N4217">
        <v>48.679778800931899</v>
      </c>
      <c r="O4217">
        <v>48.084216301265002</v>
      </c>
      <c r="P4217">
        <v>-0.124339197150397</v>
      </c>
      <c r="Q4217">
        <v>7.5846328265235602E-2</v>
      </c>
      <c r="R4217">
        <v>0.995898957779352</v>
      </c>
      <c r="S4217" t="s">
        <v>10863</v>
      </c>
      <c r="T4217" t="s">
        <v>13290</v>
      </c>
      <c r="U4217" t="s">
        <v>13290</v>
      </c>
      <c r="V4217" t="s">
        <v>13290</v>
      </c>
      <c r="W4217" t="s">
        <v>17459</v>
      </c>
      <c r="X4217">
        <v>6</v>
      </c>
      <c r="Y4217" t="s">
        <v>23952</v>
      </c>
      <c r="Z4217" t="s">
        <v>30547</v>
      </c>
      <c r="AA4217">
        <v>0.34129221566709178</v>
      </c>
      <c r="AB4217" t="str">
        <f>HYPERLINK("Melting_Curves/meltCurve_Q70Z53_2_FRA10AC1.pdf", "Melting_Curves/meltCurve_Q70Z53_2_FRA10AC1.pdf")</f>
        <v>Melting_Curves/meltCurve_Q70Z53_2_FRA10AC1.pdf</v>
      </c>
    </row>
    <row r="4218" spans="1:28" x14ac:dyDescent="0.25">
      <c r="A4218" t="s">
        <v>4222</v>
      </c>
      <c r="B4218">
        <v>0.99252571173614901</v>
      </c>
      <c r="C4218">
        <v>1.0795292363404301</v>
      </c>
      <c r="D4218">
        <v>0.98354942188011196</v>
      </c>
      <c r="E4218">
        <v>0.78098208977351902</v>
      </c>
      <c r="F4218">
        <v>0.32361130383308701</v>
      </c>
      <c r="G4218">
        <v>0.18865331114504699</v>
      </c>
      <c r="H4218">
        <v>0.11053727972367799</v>
      </c>
      <c r="I4218">
        <v>0.11698284039172099</v>
      </c>
      <c r="J4218">
        <v>0.122714814644382</v>
      </c>
      <c r="K4218">
        <v>0.111672568636817</v>
      </c>
      <c r="L4218">
        <v>1642.54361760659</v>
      </c>
      <c r="M4218">
        <v>32.016297925534701</v>
      </c>
      <c r="N4218">
        <v>51.744322195913902</v>
      </c>
      <c r="O4218">
        <v>51.104454526495601</v>
      </c>
      <c r="P4218">
        <v>-0.13792270083595601</v>
      </c>
      <c r="Q4218">
        <v>0.119394937532489</v>
      </c>
      <c r="R4218">
        <v>0.99500312070133901</v>
      </c>
      <c r="S4218" t="s">
        <v>10864</v>
      </c>
      <c r="T4218" t="s">
        <v>13290</v>
      </c>
      <c r="U4218" t="s">
        <v>13290</v>
      </c>
      <c r="V4218" t="s">
        <v>13290</v>
      </c>
      <c r="W4218" t="s">
        <v>17460</v>
      </c>
      <c r="X4218">
        <v>6</v>
      </c>
      <c r="Y4218" t="s">
        <v>23953</v>
      </c>
      <c r="Z4218" t="s">
        <v>30548</v>
      </c>
      <c r="AA4218">
        <v>0.45607326093192863</v>
      </c>
      <c r="AB4218" t="str">
        <f>HYPERLINK("Melting_Curves/meltCurve_Q712K3_UBE2R2.pdf", "Melting_Curves/meltCurve_Q712K3_UBE2R2.pdf")</f>
        <v>Melting_Curves/meltCurve_Q712K3_UBE2R2.pdf</v>
      </c>
    </row>
    <row r="4219" spans="1:28" x14ac:dyDescent="0.25">
      <c r="A4219" t="s">
        <v>4223</v>
      </c>
      <c r="B4219">
        <v>0.99252571173614901</v>
      </c>
      <c r="C4219">
        <v>1.0763244724641201</v>
      </c>
      <c r="D4219">
        <v>0.97579508630005596</v>
      </c>
      <c r="E4219">
        <v>3.06944892832961</v>
      </c>
      <c r="F4219">
        <v>1.18484014585751</v>
      </c>
      <c r="G4219">
        <v>1.28576485244261</v>
      </c>
      <c r="H4219">
        <v>1.81851666686823</v>
      </c>
      <c r="I4219">
        <v>3.79727503107366</v>
      </c>
      <c r="J4219">
        <v>6.1768469662137004</v>
      </c>
      <c r="K4219">
        <v>3.8906578317484199</v>
      </c>
      <c r="L4219">
        <v>11835.5853175758</v>
      </c>
      <c r="M4219">
        <v>250</v>
      </c>
      <c r="O4219">
        <v>47.3393120032976</v>
      </c>
      <c r="P4219">
        <v>0.660127892257794</v>
      </c>
      <c r="Q4219">
        <v>1.5</v>
      </c>
      <c r="R4219">
        <v>-0.28465367031523903</v>
      </c>
      <c r="S4219" t="s">
        <v>10865</v>
      </c>
      <c r="T4219" t="s">
        <v>13290</v>
      </c>
      <c r="U4219" t="s">
        <v>13290</v>
      </c>
      <c r="V4219" t="s">
        <v>13290</v>
      </c>
      <c r="W4219" t="s">
        <v>17461</v>
      </c>
      <c r="X4219">
        <v>1</v>
      </c>
      <c r="Y4219" t="s">
        <v>23954</v>
      </c>
      <c r="Z4219" t="s">
        <v>30549</v>
      </c>
      <c r="AA4219">
        <v>1.3775861029588869</v>
      </c>
      <c r="AB4219" t="str">
        <f>HYPERLINK("Melting_Curves/meltCurve_Q71F56_MED13L.pdf", "Melting_Curves/meltCurve_Q71F56_MED13L.pdf")</f>
        <v>Melting_Curves/meltCurve_Q71F56_MED13L.pdf</v>
      </c>
    </row>
    <row r="4220" spans="1:28" x14ac:dyDescent="0.25">
      <c r="A4220" t="s">
        <v>4224</v>
      </c>
      <c r="B4220">
        <v>0.99252571173614901</v>
      </c>
      <c r="C4220">
        <v>0.86247840822091504</v>
      </c>
      <c r="D4220">
        <v>0.640877411612507</v>
      </c>
      <c r="E4220">
        <v>0.39442747088723501</v>
      </c>
      <c r="F4220">
        <v>0.28424904587622002</v>
      </c>
      <c r="G4220">
        <v>0.17994925778425</v>
      </c>
      <c r="H4220">
        <v>0.13596358116757101</v>
      </c>
      <c r="I4220">
        <v>0.16048231380591599</v>
      </c>
      <c r="J4220">
        <v>0.24452203269582901</v>
      </c>
      <c r="K4220">
        <v>0.24824418935869799</v>
      </c>
      <c r="L4220">
        <v>899.91079429973399</v>
      </c>
      <c r="M4220">
        <v>19.304222837093899</v>
      </c>
      <c r="N4220">
        <v>47.812048240120802</v>
      </c>
      <c r="O4220">
        <v>46.125690709666202</v>
      </c>
      <c r="P4220">
        <v>-8.4611285186847504E-2</v>
      </c>
      <c r="Q4220">
        <v>0.191346288550934</v>
      </c>
      <c r="R4220">
        <v>0.98388743666741196</v>
      </c>
      <c r="S4220" t="s">
        <v>10866</v>
      </c>
      <c r="T4220" t="s">
        <v>13290</v>
      </c>
      <c r="U4220" t="s">
        <v>13290</v>
      </c>
      <c r="V4220" t="s">
        <v>13290</v>
      </c>
      <c r="W4220" t="s">
        <v>17462</v>
      </c>
      <c r="X4220">
        <v>6</v>
      </c>
      <c r="Y4220" t="s">
        <v>23955</v>
      </c>
      <c r="Z4220" t="s">
        <v>30550</v>
      </c>
      <c r="AA4220">
        <v>0.38275509561073467</v>
      </c>
      <c r="AB4220" t="str">
        <f>HYPERLINK("Melting_Curves/meltCurve_Q71RC2_5_LARP4.pdf", "Melting_Curves/meltCurve_Q71RC2_5_LARP4.pdf")</f>
        <v>Melting_Curves/meltCurve_Q71RC2_5_LARP4.pdf</v>
      </c>
    </row>
    <row r="4221" spans="1:28" x14ac:dyDescent="0.25">
      <c r="A4221" t="s">
        <v>4225</v>
      </c>
      <c r="B4221">
        <v>0.99252571173614901</v>
      </c>
      <c r="C4221">
        <v>0.94577606488100696</v>
      </c>
      <c r="D4221">
        <v>0.84174540271846199</v>
      </c>
      <c r="E4221">
        <v>0.674603266652402</v>
      </c>
      <c r="F4221">
        <v>0.52025964845159001</v>
      </c>
      <c r="G4221">
        <v>0.213509932364529</v>
      </c>
      <c r="H4221">
        <v>0.12921428148543099</v>
      </c>
      <c r="I4221">
        <v>0.11407217729972</v>
      </c>
      <c r="J4221">
        <v>9.6658349170269206E-2</v>
      </c>
      <c r="K4221">
        <v>8.2009088497560306E-2</v>
      </c>
      <c r="L4221">
        <v>730.60761801276101</v>
      </c>
      <c r="M4221">
        <v>14.0296162782785</v>
      </c>
      <c r="N4221">
        <v>52.408328544848999</v>
      </c>
      <c r="O4221">
        <v>51.052300885168201</v>
      </c>
      <c r="P4221">
        <v>-6.5787591792975095E-2</v>
      </c>
      <c r="Q4221">
        <v>4.2549096427555201E-2</v>
      </c>
      <c r="R4221">
        <v>0.99210136170455199</v>
      </c>
      <c r="S4221" t="s">
        <v>10867</v>
      </c>
      <c r="T4221" t="s">
        <v>13290</v>
      </c>
      <c r="U4221" t="s">
        <v>13290</v>
      </c>
      <c r="V4221" t="s">
        <v>13290</v>
      </c>
      <c r="W4221" t="s">
        <v>17463</v>
      </c>
      <c r="X4221">
        <v>2</v>
      </c>
      <c r="Y4221" t="s">
        <v>23956</v>
      </c>
      <c r="Z4221" t="s">
        <v>30551</v>
      </c>
      <c r="AA4221">
        <v>0.45153102968797992</v>
      </c>
      <c r="AB4221" t="str">
        <f>HYPERLINK("Melting_Curves/meltCurve_Q71SY5_5_MED25.pdf", "Melting_Curves/meltCurve_Q71SY5_5_MED25.pdf")</f>
        <v>Melting_Curves/meltCurve_Q71SY5_5_MED25.pdf</v>
      </c>
    </row>
    <row r="4222" spans="1:28" x14ac:dyDescent="0.25">
      <c r="A4222" t="s">
        <v>4226</v>
      </c>
      <c r="B4222">
        <v>0.99252571173614901</v>
      </c>
      <c r="C4222">
        <v>0.81481552955864101</v>
      </c>
      <c r="D4222">
        <v>0.74406472996739603</v>
      </c>
      <c r="E4222">
        <v>0.54563384606021703</v>
      </c>
      <c r="F4222">
        <v>0.42444689417877501</v>
      </c>
      <c r="G4222">
        <v>0.34630736047126498</v>
      </c>
      <c r="H4222">
        <v>0.40438766828095202</v>
      </c>
      <c r="I4222">
        <v>0.49742808112588799</v>
      </c>
      <c r="J4222">
        <v>0.52035038407993595</v>
      </c>
      <c r="K4222">
        <v>0.56581274605321796</v>
      </c>
      <c r="L4222">
        <v>947.17337220024604</v>
      </c>
      <c r="M4222">
        <v>20.867024170817199</v>
      </c>
      <c r="N4222">
        <v>51.528684131639402</v>
      </c>
      <c r="O4222">
        <v>44.980219580544897</v>
      </c>
      <c r="P4222">
        <v>-6.2820559326542305E-2</v>
      </c>
      <c r="Q4222">
        <v>0.45835981853450702</v>
      </c>
      <c r="R4222">
        <v>0.88021837880576603</v>
      </c>
      <c r="S4222" t="s">
        <v>10868</v>
      </c>
      <c r="T4222" t="s">
        <v>13290</v>
      </c>
      <c r="U4222" t="s">
        <v>13290</v>
      </c>
      <c r="V4222" t="s">
        <v>13290</v>
      </c>
      <c r="W4222" t="s">
        <v>17464</v>
      </c>
      <c r="X4222">
        <v>5</v>
      </c>
      <c r="Y4222" t="s">
        <v>23957</v>
      </c>
      <c r="Z4222" t="s">
        <v>30552</v>
      </c>
      <c r="AA4222">
        <v>0.56366625182634844</v>
      </c>
      <c r="AB4222" t="str">
        <f>HYPERLINK("Melting_Curves/meltCurve_Q71UI9_H2AFV.pdf", "Melting_Curves/meltCurve_Q71UI9_H2AFV.pdf")</f>
        <v>Melting_Curves/meltCurve_Q71UI9_H2AFV.pdf</v>
      </c>
    </row>
    <row r="4223" spans="1:28" x14ac:dyDescent="0.25">
      <c r="A4223" t="s">
        <v>4227</v>
      </c>
      <c r="B4223">
        <v>0.99252571173614901</v>
      </c>
      <c r="C4223">
        <v>0.81791199970441497</v>
      </c>
      <c r="D4223">
        <v>1.0215086429639799</v>
      </c>
      <c r="E4223">
        <v>0.61432168314680802</v>
      </c>
      <c r="F4223">
        <v>0.13634287681842</v>
      </c>
      <c r="G4223">
        <v>8.8604068101400799E-2</v>
      </c>
      <c r="H4223">
        <v>6.1588582407729998E-2</v>
      </c>
      <c r="I4223">
        <v>5.5246596542461598E-2</v>
      </c>
      <c r="J4223">
        <v>0.118817528609153</v>
      </c>
      <c r="K4223">
        <v>0.123010160686474</v>
      </c>
      <c r="L4223">
        <v>2589.0843747793701</v>
      </c>
      <c r="M4223">
        <v>51.880551470006097</v>
      </c>
      <c r="N4223">
        <v>50.098493516268803</v>
      </c>
      <c r="O4223">
        <v>49.830731994400402</v>
      </c>
      <c r="P4223">
        <v>-0.23662336500899001</v>
      </c>
      <c r="Q4223">
        <v>9.0903381857052601E-2</v>
      </c>
      <c r="R4223">
        <v>0.97471086451348399</v>
      </c>
      <c r="S4223" t="s">
        <v>10869</v>
      </c>
      <c r="T4223" t="s">
        <v>13290</v>
      </c>
      <c r="U4223" t="s">
        <v>13290</v>
      </c>
      <c r="V4223" t="s">
        <v>13290</v>
      </c>
      <c r="W4223" t="s">
        <v>17465</v>
      </c>
      <c r="X4223">
        <v>1</v>
      </c>
      <c r="Y4223" t="s">
        <v>23958</v>
      </c>
      <c r="Z4223" t="s">
        <v>30553</v>
      </c>
      <c r="AA4223">
        <v>0.39290633018227678</v>
      </c>
      <c r="AB4223" t="str">
        <f>HYPERLINK("Melting_Curves/meltCurve_Q75QN2_2_INTS8.pdf", "Melting_Curves/meltCurve_Q75QN2_2_INTS8.pdf")</f>
        <v>Melting_Curves/meltCurve_Q75QN2_2_INTS8.pdf</v>
      </c>
    </row>
    <row r="4224" spans="1:28" x14ac:dyDescent="0.25">
      <c r="A4224" t="s">
        <v>4228</v>
      </c>
      <c r="B4224">
        <v>0.99252571173614901</v>
      </c>
      <c r="C4224">
        <v>0.92300983301122996</v>
      </c>
      <c r="D4224">
        <v>0.82989981496291398</v>
      </c>
      <c r="E4224">
        <v>0.86384637425204402</v>
      </c>
      <c r="F4224">
        <v>0.51386444173214096</v>
      </c>
      <c r="G4224">
        <v>0.26022529039881898</v>
      </c>
      <c r="H4224">
        <v>0.20491135167506599</v>
      </c>
      <c r="I4224">
        <v>0.297879081510252</v>
      </c>
      <c r="J4224">
        <v>0.39624064742949899</v>
      </c>
      <c r="K4224">
        <v>0.39989640167674401</v>
      </c>
      <c r="L4224">
        <v>1692.0854381295501</v>
      </c>
      <c r="M4224">
        <v>32.840207260556198</v>
      </c>
      <c r="N4224">
        <v>53.078034012001297</v>
      </c>
      <c r="O4224">
        <v>51.3348704455274</v>
      </c>
      <c r="P4224">
        <v>-0.110553622755494</v>
      </c>
      <c r="Q4224">
        <v>0.30874598315377899</v>
      </c>
      <c r="R4224">
        <v>0.92047935709259399</v>
      </c>
      <c r="S4224" t="s">
        <v>10870</v>
      </c>
      <c r="T4224" t="s">
        <v>13290</v>
      </c>
      <c r="U4224" t="s">
        <v>13290</v>
      </c>
      <c r="V4224" t="s">
        <v>13290</v>
      </c>
      <c r="W4224" t="s">
        <v>17466</v>
      </c>
      <c r="X4224">
        <v>2</v>
      </c>
      <c r="Y4224" t="s">
        <v>23959</v>
      </c>
      <c r="Z4224" t="s">
        <v>30554</v>
      </c>
      <c r="AA4224">
        <v>0.57795681329691229</v>
      </c>
      <c r="AB4224" t="str">
        <f>HYPERLINK("Melting_Curves/meltCurve_Q765P7_MTSS1L.pdf", "Melting_Curves/meltCurve_Q765P7_MTSS1L.pdf")</f>
        <v>Melting_Curves/meltCurve_Q765P7_MTSS1L.pdf</v>
      </c>
    </row>
    <row r="4225" spans="1:28" x14ac:dyDescent="0.25">
      <c r="A4225" t="s">
        <v>4229</v>
      </c>
      <c r="B4225">
        <v>0.99252571173614901</v>
      </c>
      <c r="C4225">
        <v>0.96277826318316695</v>
      </c>
      <c r="D4225">
        <v>0.77374058011637004</v>
      </c>
      <c r="E4225">
        <v>0.50322124916446398</v>
      </c>
      <c r="F4225">
        <v>0.24173496553523</v>
      </c>
      <c r="G4225">
        <v>0.13700976075652099</v>
      </c>
      <c r="H4225">
        <v>8.9244611745168803E-2</v>
      </c>
      <c r="I4225">
        <v>0.118720121200151</v>
      </c>
      <c r="J4225">
        <v>0.139323326753442</v>
      </c>
      <c r="K4225">
        <v>0.10478850189353001</v>
      </c>
      <c r="L4225">
        <v>984.12985999194098</v>
      </c>
      <c r="M4225">
        <v>20.155427789727401</v>
      </c>
      <c r="N4225">
        <v>49.391421113581202</v>
      </c>
      <c r="O4225">
        <v>48.354017425955803</v>
      </c>
      <c r="P4225">
        <v>-9.3492153355209495E-2</v>
      </c>
      <c r="Q4225">
        <v>0.10285642221777699</v>
      </c>
      <c r="R4225">
        <v>0.99706563422566197</v>
      </c>
      <c r="S4225" t="s">
        <v>10871</v>
      </c>
      <c r="T4225" t="s">
        <v>13290</v>
      </c>
      <c r="U4225" t="s">
        <v>13290</v>
      </c>
      <c r="V4225" t="s">
        <v>13290</v>
      </c>
      <c r="W4225" t="s">
        <v>17467</v>
      </c>
      <c r="X4225">
        <v>6</v>
      </c>
      <c r="Y4225" t="s">
        <v>23960</v>
      </c>
      <c r="Z4225" t="s">
        <v>30555</v>
      </c>
      <c r="AA4225">
        <v>0.37921789556381341</v>
      </c>
      <c r="AB4225" t="str">
        <f>HYPERLINK("Melting_Curves/meltCurve_Q7KYR7_5_BTN2A1.pdf", "Melting_Curves/meltCurve_Q7KYR7_5_BTN2A1.pdf")</f>
        <v>Melting_Curves/meltCurve_Q7KYR7_5_BTN2A1.pdf</v>
      </c>
    </row>
    <row r="4226" spans="1:28" x14ac:dyDescent="0.25">
      <c r="A4226" t="s">
        <v>4230</v>
      </c>
      <c r="B4226">
        <v>0.99252571173614901</v>
      </c>
      <c r="C4226">
        <v>0.92673373804945103</v>
      </c>
      <c r="D4226">
        <v>0.88859748657470095</v>
      </c>
      <c r="E4226">
        <v>0.34344631334153902</v>
      </c>
      <c r="F4226">
        <v>0.171236512241635</v>
      </c>
      <c r="G4226">
        <v>9.5473651610294502E-2</v>
      </c>
      <c r="H4226">
        <v>7.0766200323181802E-2</v>
      </c>
      <c r="I4226">
        <v>7.4434478746119095E-2</v>
      </c>
      <c r="J4226">
        <v>8.3143288659562303E-2</v>
      </c>
      <c r="K4226">
        <v>7.9130620008776395E-2</v>
      </c>
      <c r="L4226">
        <v>1619.80840619029</v>
      </c>
      <c r="M4226">
        <v>33.480190492316098</v>
      </c>
      <c r="N4226">
        <v>48.652415934553098</v>
      </c>
      <c r="O4226">
        <v>48.2094800334553</v>
      </c>
      <c r="P4226">
        <v>-0.158834237707179</v>
      </c>
      <c r="Q4226">
        <v>8.5156649987538593E-2</v>
      </c>
      <c r="R4226">
        <v>0.994950687290441</v>
      </c>
      <c r="S4226" t="s">
        <v>10872</v>
      </c>
      <c r="T4226" t="s">
        <v>13290</v>
      </c>
      <c r="U4226" t="s">
        <v>13290</v>
      </c>
      <c r="V4226" t="s">
        <v>13290</v>
      </c>
      <c r="W4226" t="s">
        <v>17468</v>
      </c>
      <c r="X4226">
        <v>38</v>
      </c>
      <c r="Y4226" t="s">
        <v>23961</v>
      </c>
      <c r="Z4226" t="s">
        <v>30556</v>
      </c>
      <c r="AA4226">
        <v>0.34514402801591237</v>
      </c>
      <c r="AB4226" t="str">
        <f>HYPERLINK("Melting_Curves/meltCurve_Q7KZ85_SUPT6H.pdf", "Melting_Curves/meltCurve_Q7KZ85_SUPT6H.pdf")</f>
        <v>Melting_Curves/meltCurve_Q7KZ85_SUPT6H.pdf</v>
      </c>
    </row>
    <row r="4227" spans="1:28" x14ac:dyDescent="0.25">
      <c r="A4227" t="s">
        <v>4231</v>
      </c>
      <c r="B4227">
        <v>0.99252571173614901</v>
      </c>
      <c r="C4227">
        <v>1.18465110043078</v>
      </c>
      <c r="D4227">
        <v>0.95282239432551696</v>
      </c>
      <c r="E4227">
        <v>0.89423193118284705</v>
      </c>
      <c r="F4227">
        <v>0.75197421116433005</v>
      </c>
      <c r="G4227">
        <v>0.60730217820822896</v>
      </c>
      <c r="H4227">
        <v>0.54011966987009896</v>
      </c>
      <c r="I4227">
        <v>0.88966674105488497</v>
      </c>
      <c r="J4227">
        <v>1.26377157677666</v>
      </c>
      <c r="K4227">
        <v>1.39756672357276</v>
      </c>
      <c r="L4227">
        <v>15000</v>
      </c>
      <c r="M4227">
        <v>224.22529408642899</v>
      </c>
      <c r="O4227">
        <v>66.891664381247494</v>
      </c>
      <c r="P4227">
        <v>0.33319061630603602</v>
      </c>
      <c r="Q4227">
        <v>1.3975943992779001</v>
      </c>
      <c r="R4227">
        <v>0.29116906085587002</v>
      </c>
      <c r="S4227" t="s">
        <v>10873</v>
      </c>
      <c r="T4227" t="s">
        <v>13290</v>
      </c>
      <c r="U4227" t="s">
        <v>13290</v>
      </c>
      <c r="V4227" t="s">
        <v>13290</v>
      </c>
      <c r="W4227" t="s">
        <v>17469</v>
      </c>
      <c r="X4227">
        <v>14</v>
      </c>
      <c r="Y4227" t="s">
        <v>23961</v>
      </c>
      <c r="Z4227" t="s">
        <v>30557</v>
      </c>
      <c r="AA4227">
        <v>1.0410666649171141</v>
      </c>
      <c r="AB4227" t="str">
        <f>HYPERLINK("Melting_Curves/meltCurve_Q7KZ85_2_SUPT6H.pdf", "Melting_Curves/meltCurve_Q7KZ85_2_SUPT6H.pdf")</f>
        <v>Melting_Curves/meltCurve_Q7KZ85_2_SUPT6H.pdf</v>
      </c>
    </row>
    <row r="4228" spans="1:28" x14ac:dyDescent="0.25">
      <c r="A4228" t="s">
        <v>4232</v>
      </c>
      <c r="B4228">
        <v>0.99252571173614901</v>
      </c>
      <c r="C4228">
        <v>0.89153600228389296</v>
      </c>
      <c r="D4228">
        <v>0.307161203817859</v>
      </c>
      <c r="E4228">
        <v>0.155890067990343</v>
      </c>
      <c r="F4228">
        <v>9.0254602302043796E-2</v>
      </c>
      <c r="G4228">
        <v>5.12757301860952E-2</v>
      </c>
      <c r="H4228">
        <v>3.7989615982645802E-2</v>
      </c>
      <c r="I4228">
        <v>4.0575618024303199E-2</v>
      </c>
      <c r="J4228">
        <v>5.1395866726322598E-2</v>
      </c>
      <c r="K4228">
        <v>5.3191544516871102E-2</v>
      </c>
      <c r="L4228">
        <v>1817.69511291396</v>
      </c>
      <c r="M4228">
        <v>40.476945644706603</v>
      </c>
      <c r="N4228">
        <v>45.059288317679801</v>
      </c>
      <c r="O4228">
        <v>44.797710753923702</v>
      </c>
      <c r="P4228">
        <v>-0.21144036065506699</v>
      </c>
      <c r="Q4228">
        <v>6.3958066587543605E-2</v>
      </c>
      <c r="R4228">
        <v>0.99344045686231497</v>
      </c>
      <c r="S4228" t="s">
        <v>10874</v>
      </c>
      <c r="T4228" t="s">
        <v>13290</v>
      </c>
      <c r="U4228" t="s">
        <v>13290</v>
      </c>
      <c r="V4228" t="s">
        <v>13290</v>
      </c>
      <c r="W4228" t="s">
        <v>17470</v>
      </c>
      <c r="X4228">
        <v>60</v>
      </c>
      <c r="Y4228" t="s">
        <v>23962</v>
      </c>
      <c r="Z4228" t="s">
        <v>30558</v>
      </c>
      <c r="AA4228">
        <v>0.22008161507353349</v>
      </c>
      <c r="AB4228" t="str">
        <f>HYPERLINK("Melting_Curves/meltCurve_Q7KZF4_SND1.pdf", "Melting_Curves/meltCurve_Q7KZF4_SND1.pdf")</f>
        <v>Melting_Curves/meltCurve_Q7KZF4_SND1.pdf</v>
      </c>
    </row>
    <row r="4229" spans="1:28" x14ac:dyDescent="0.25">
      <c r="A4229" t="s">
        <v>4233</v>
      </c>
      <c r="B4229">
        <v>0.99252571173614901</v>
      </c>
      <c r="C4229">
        <v>0.91304912615537903</v>
      </c>
      <c r="D4229">
        <v>1.0424015654041101</v>
      </c>
      <c r="E4229">
        <v>0.90894922713065596</v>
      </c>
      <c r="F4229">
        <v>0.76615801150600105</v>
      </c>
      <c r="G4229">
        <v>0.44556298548594703</v>
      </c>
      <c r="H4229">
        <v>0.325248300482679</v>
      </c>
      <c r="I4229">
        <v>0.33854885067747797</v>
      </c>
      <c r="J4229">
        <v>0.26675147903253099</v>
      </c>
      <c r="K4229">
        <v>0.293549059185925</v>
      </c>
      <c r="L4229">
        <v>1434.5675871932599</v>
      </c>
      <c r="M4229">
        <v>26.391051207602899</v>
      </c>
      <c r="N4229">
        <v>56.195803751044203</v>
      </c>
      <c r="O4229">
        <v>54.048893470847901</v>
      </c>
      <c r="P4229">
        <v>-8.6785739141955906E-2</v>
      </c>
      <c r="Q4229">
        <v>0.28905886139492598</v>
      </c>
      <c r="R4229">
        <v>0.98483326071891697</v>
      </c>
      <c r="S4229" t="s">
        <v>10875</v>
      </c>
      <c r="T4229" t="s">
        <v>13290</v>
      </c>
      <c r="U4229" t="s">
        <v>13290</v>
      </c>
      <c r="V4229" t="s">
        <v>13290</v>
      </c>
      <c r="W4229" t="s">
        <v>17471</v>
      </c>
      <c r="X4229">
        <v>4</v>
      </c>
      <c r="Y4229" t="s">
        <v>23963</v>
      </c>
      <c r="Z4229" t="s">
        <v>30559</v>
      </c>
      <c r="AA4229">
        <v>0.63528337270352397</v>
      </c>
      <c r="AB4229" t="str">
        <f>HYPERLINK("Melting_Curves/meltCurve_Q7KZN9_2_COX15.pdf", "Melting_Curves/meltCurve_Q7KZN9_2_COX15.pdf")</f>
        <v>Melting_Curves/meltCurve_Q7KZN9_2_COX15.pdf</v>
      </c>
    </row>
    <row r="4230" spans="1:28" x14ac:dyDescent="0.25">
      <c r="A4230" t="s">
        <v>4234</v>
      </c>
      <c r="B4230">
        <v>0.99252571173614901</v>
      </c>
      <c r="C4230">
        <v>0.99898967159214003</v>
      </c>
      <c r="D4230">
        <v>0.82842574858932505</v>
      </c>
      <c r="E4230">
        <v>0.41483155385917803</v>
      </c>
      <c r="F4230">
        <v>0.12602151867505701</v>
      </c>
      <c r="G4230">
        <v>7.3624845405492204E-2</v>
      </c>
      <c r="H4230">
        <v>5.3071225219320499E-2</v>
      </c>
      <c r="I4230">
        <v>5.5561674985913197E-2</v>
      </c>
      <c r="J4230">
        <v>6.2477165640897898E-2</v>
      </c>
      <c r="K4230">
        <v>6.8471034236905606E-2</v>
      </c>
      <c r="L4230">
        <v>1350.07757767765</v>
      </c>
      <c r="M4230">
        <v>27.753443699039298</v>
      </c>
      <c r="N4230">
        <v>48.858203045804203</v>
      </c>
      <c r="O4230">
        <v>48.394963822231801</v>
      </c>
      <c r="P4230">
        <v>-0.13520895964966001</v>
      </c>
      <c r="Q4230">
        <v>5.6928126086954599E-2</v>
      </c>
      <c r="R4230">
        <v>0.99929826458952498</v>
      </c>
      <c r="S4230" t="s">
        <v>10876</v>
      </c>
      <c r="T4230" t="s">
        <v>13290</v>
      </c>
      <c r="U4230" t="s">
        <v>13290</v>
      </c>
      <c r="V4230" t="s">
        <v>13290</v>
      </c>
      <c r="W4230" t="s">
        <v>17472</v>
      </c>
      <c r="X4230">
        <v>55</v>
      </c>
      <c r="Y4230" t="s">
        <v>23964</v>
      </c>
      <c r="Z4230" t="s">
        <v>30560</v>
      </c>
      <c r="AA4230">
        <v>0.33541692889788188</v>
      </c>
      <c r="AB4230" t="str">
        <f>HYPERLINK("Melting_Curves/meltCurve_Q7L014_DDX46.pdf", "Melting_Curves/meltCurve_Q7L014_DDX46.pdf")</f>
        <v>Melting_Curves/meltCurve_Q7L014_DDX46.pdf</v>
      </c>
    </row>
    <row r="4231" spans="1:28" x14ac:dyDescent="0.25">
      <c r="A4231" t="s">
        <v>4235</v>
      </c>
      <c r="B4231">
        <v>0.99252571173614901</v>
      </c>
      <c r="C4231">
        <v>1.02777018978414</v>
      </c>
      <c r="D4231">
        <v>0.80081788495414197</v>
      </c>
      <c r="E4231">
        <v>0.46230389419218898</v>
      </c>
      <c r="F4231">
        <v>0.27948208429314297</v>
      </c>
      <c r="G4231">
        <v>0.153909828897111</v>
      </c>
      <c r="H4231">
        <v>0.121900413363962</v>
      </c>
      <c r="I4231">
        <v>0.11547374245916101</v>
      </c>
      <c r="J4231">
        <v>0.164554070313645</v>
      </c>
      <c r="K4231">
        <v>0.129662967611791</v>
      </c>
      <c r="L4231">
        <v>1113.1705427668001</v>
      </c>
      <c r="M4231">
        <v>22.865502422400201</v>
      </c>
      <c r="N4231">
        <v>49.348687040916502</v>
      </c>
      <c r="O4231">
        <v>48.315636405167503</v>
      </c>
      <c r="P4231">
        <v>-0.102622571529179</v>
      </c>
      <c r="Q4231">
        <v>0.132635915886468</v>
      </c>
      <c r="R4231">
        <v>0.99354959751716398</v>
      </c>
      <c r="S4231" t="s">
        <v>10877</v>
      </c>
      <c r="T4231" t="s">
        <v>13290</v>
      </c>
      <c r="U4231" t="s">
        <v>13290</v>
      </c>
      <c r="V4231" t="s">
        <v>13290</v>
      </c>
      <c r="W4231" t="s">
        <v>17473</v>
      </c>
      <c r="X4231">
        <v>6</v>
      </c>
      <c r="Y4231" t="s">
        <v>23965</v>
      </c>
      <c r="Z4231" t="s">
        <v>30561</v>
      </c>
      <c r="AA4231">
        <v>0.39292949185116438</v>
      </c>
      <c r="AB4231" t="str">
        <f>HYPERLINK("Melting_Curves/meltCurve_Q7L099_4_RUFY3.pdf", "Melting_Curves/meltCurve_Q7L099_4_RUFY3.pdf")</f>
        <v>Melting_Curves/meltCurve_Q7L099_4_RUFY3.pdf</v>
      </c>
    </row>
    <row r="4232" spans="1:28" x14ac:dyDescent="0.25">
      <c r="A4232" t="s">
        <v>4236</v>
      </c>
      <c r="B4232">
        <v>0.99252571173614901</v>
      </c>
      <c r="C4232">
        <v>0.67350761168011697</v>
      </c>
      <c r="D4232">
        <v>1.0297620040148201</v>
      </c>
      <c r="E4232">
        <v>0.77471970112631605</v>
      </c>
      <c r="F4232">
        <v>0.17685824646906301</v>
      </c>
      <c r="G4232">
        <v>0.12477695168469</v>
      </c>
      <c r="H4232">
        <v>9.16171234924745E-2</v>
      </c>
      <c r="I4232">
        <v>0.107959016694075</v>
      </c>
      <c r="J4232">
        <v>9.6857911654062698E-2</v>
      </c>
      <c r="K4232">
        <v>8.80081640226308E-2</v>
      </c>
      <c r="L4232">
        <v>2555.87937679685</v>
      </c>
      <c r="M4232">
        <v>50.426297117445102</v>
      </c>
      <c r="N4232">
        <v>50.913154862211599</v>
      </c>
      <c r="O4232">
        <v>50.605922816300897</v>
      </c>
      <c r="P4232">
        <v>-0.22396295406580799</v>
      </c>
      <c r="Q4232">
        <v>0.100957759523171</v>
      </c>
      <c r="R4232">
        <v>0.92543455963232202</v>
      </c>
      <c r="S4232" t="s">
        <v>10878</v>
      </c>
      <c r="T4232" t="s">
        <v>13290</v>
      </c>
      <c r="U4232" t="s">
        <v>13290</v>
      </c>
      <c r="V4232" t="s">
        <v>13290</v>
      </c>
      <c r="W4232" t="s">
        <v>17474</v>
      </c>
      <c r="X4232">
        <v>25</v>
      </c>
      <c r="Y4232" t="s">
        <v>23966</v>
      </c>
      <c r="Z4232" t="s">
        <v>30562</v>
      </c>
      <c r="AA4232">
        <v>0.42315599553448019</v>
      </c>
      <c r="AB4232" t="str">
        <f>HYPERLINK("Melting_Curves/meltCurve_Q7L0Y3_TRMT10C.pdf", "Melting_Curves/meltCurve_Q7L0Y3_TRMT10C.pdf")</f>
        <v>Melting_Curves/meltCurve_Q7L0Y3_TRMT10C.pdf</v>
      </c>
    </row>
    <row r="4233" spans="1:28" x14ac:dyDescent="0.25">
      <c r="A4233" t="s">
        <v>4237</v>
      </c>
      <c r="B4233">
        <v>0.99252571173614901</v>
      </c>
      <c r="C4233">
        <v>1.02596275627196</v>
      </c>
      <c r="D4233">
        <v>0.64830400005586997</v>
      </c>
      <c r="E4233">
        <v>0.29928882856544198</v>
      </c>
      <c r="F4233">
        <v>0.13538010826977101</v>
      </c>
      <c r="G4233">
        <v>7.5068076252415905E-2</v>
      </c>
      <c r="H4233">
        <v>5.7566566750727702E-2</v>
      </c>
      <c r="I4233">
        <v>5.2341347413374199E-2</v>
      </c>
      <c r="J4233">
        <v>6.0449149502533099E-2</v>
      </c>
      <c r="K4233">
        <v>5.8936369116475401E-2</v>
      </c>
      <c r="L4233">
        <v>1221.0853648208099</v>
      </c>
      <c r="M4233">
        <v>25.820641617890399</v>
      </c>
      <c r="N4233">
        <v>47.538520073903797</v>
      </c>
      <c r="O4233">
        <v>47.010144712567602</v>
      </c>
      <c r="P4233">
        <v>-0.128681114927653</v>
      </c>
      <c r="Q4233">
        <v>6.2882418221855904E-2</v>
      </c>
      <c r="R4233">
        <v>0.99228075213798095</v>
      </c>
      <c r="S4233" t="s">
        <v>10879</v>
      </c>
      <c r="T4233" t="s">
        <v>13290</v>
      </c>
      <c r="U4233" t="s">
        <v>13290</v>
      </c>
      <c r="V4233" t="s">
        <v>13290</v>
      </c>
      <c r="W4233" t="s">
        <v>17475</v>
      </c>
      <c r="X4233">
        <v>22</v>
      </c>
      <c r="Y4233" t="s">
        <v>23967</v>
      </c>
      <c r="Z4233" t="s">
        <v>30563</v>
      </c>
      <c r="AA4233">
        <v>0.2983964686839648</v>
      </c>
      <c r="AB4233" t="str">
        <f>HYPERLINK("Melting_Curves/meltCurve_Q7L1Q6_2_BZW1.pdf", "Melting_Curves/meltCurve_Q7L1Q6_2_BZW1.pdf")</f>
        <v>Melting_Curves/meltCurve_Q7L1Q6_2_BZW1.pdf</v>
      </c>
    </row>
    <row r="4234" spans="1:28" x14ac:dyDescent="0.25">
      <c r="A4234" t="s">
        <v>4238</v>
      </c>
      <c r="B4234">
        <v>0.99252571173614901</v>
      </c>
      <c r="C4234">
        <v>1.04512973488941</v>
      </c>
      <c r="D4234">
        <v>0.96641615224696797</v>
      </c>
      <c r="E4234">
        <v>0.85522491305751602</v>
      </c>
      <c r="F4234">
        <v>0.50843466307420104</v>
      </c>
      <c r="G4234">
        <v>0.26936127965971302</v>
      </c>
      <c r="H4234">
        <v>0.19930503507203001</v>
      </c>
      <c r="I4234">
        <v>0.189518036809013</v>
      </c>
      <c r="J4234">
        <v>0.22046590589822901</v>
      </c>
      <c r="K4234">
        <v>0.215803445898642</v>
      </c>
      <c r="L4234">
        <v>1494.58901894464</v>
      </c>
      <c r="M4234">
        <v>28.596368277764999</v>
      </c>
      <c r="N4234">
        <v>53.220764030485299</v>
      </c>
      <c r="O4234">
        <v>52.011405858011003</v>
      </c>
      <c r="P4234">
        <v>-0.109850568564427</v>
      </c>
      <c r="Q4234">
        <v>0.20081633735045201</v>
      </c>
      <c r="R4234">
        <v>0.99710489254643797</v>
      </c>
      <c r="S4234" t="s">
        <v>10880</v>
      </c>
      <c r="T4234" t="s">
        <v>13290</v>
      </c>
      <c r="U4234" t="s">
        <v>13290</v>
      </c>
      <c r="V4234" t="s">
        <v>13290</v>
      </c>
      <c r="W4234" t="s">
        <v>17476</v>
      </c>
      <c r="X4234">
        <v>9</v>
      </c>
      <c r="Y4234" t="s">
        <v>23968</v>
      </c>
      <c r="Z4234" t="s">
        <v>30564</v>
      </c>
      <c r="AA4234">
        <v>0.53318404212827109</v>
      </c>
      <c r="AB4234" t="str">
        <f>HYPERLINK("Melting_Curves/meltCurve_Q7L1T6_CYB5R4.pdf", "Melting_Curves/meltCurve_Q7L1T6_CYB5R4.pdf")</f>
        <v>Melting_Curves/meltCurve_Q7L1T6_CYB5R4.pdf</v>
      </c>
    </row>
    <row r="4235" spans="1:28" x14ac:dyDescent="0.25">
      <c r="A4235" t="s">
        <v>4239</v>
      </c>
      <c r="B4235">
        <v>0.99252571173614901</v>
      </c>
      <c r="C4235">
        <v>0.93737424463887298</v>
      </c>
      <c r="D4235">
        <v>0.93026504937225396</v>
      </c>
      <c r="E4235">
        <v>0.99026401158866095</v>
      </c>
      <c r="F4235">
        <v>0.71173743597072603</v>
      </c>
      <c r="G4235">
        <v>0.49777046073810199</v>
      </c>
      <c r="H4235">
        <v>0.37785575719902198</v>
      </c>
      <c r="I4235">
        <v>0.50446413679208701</v>
      </c>
      <c r="J4235">
        <v>0.66696342692274602</v>
      </c>
      <c r="K4235">
        <v>0.74900748201765299</v>
      </c>
      <c r="S4235" t="s">
        <v>10881</v>
      </c>
      <c r="T4235" t="s">
        <v>13290</v>
      </c>
      <c r="U4235" t="s">
        <v>13291</v>
      </c>
      <c r="V4235" t="s">
        <v>13290</v>
      </c>
      <c r="W4235" t="s">
        <v>17477</v>
      </c>
      <c r="X4235">
        <v>2</v>
      </c>
      <c r="Y4235" t="s">
        <v>23969</v>
      </c>
      <c r="Z4235" t="s">
        <v>30565</v>
      </c>
      <c r="AB4235" t="str">
        <f>HYPERLINK("Melting_Curves/meltCurve_Q7L211_ABHD13.pdf", "Melting_Curves/meltCurve_Q7L211_ABHD13.pdf")</f>
        <v>Melting_Curves/meltCurve_Q7L211_ABHD13.pdf</v>
      </c>
    </row>
    <row r="4236" spans="1:28" x14ac:dyDescent="0.25">
      <c r="A4236" t="s">
        <v>4240</v>
      </c>
      <c r="B4236">
        <v>0.99252571173614901</v>
      </c>
      <c r="C4236">
        <v>0.98592211427801402</v>
      </c>
      <c r="D4236">
        <v>0.84326911594135101</v>
      </c>
      <c r="E4236">
        <v>0.75906800622452597</v>
      </c>
      <c r="F4236">
        <v>0.786281870482478</v>
      </c>
      <c r="G4236">
        <v>0.74954333142927398</v>
      </c>
      <c r="H4236">
        <v>0.71447062205226197</v>
      </c>
      <c r="I4236">
        <v>0.81297468378359605</v>
      </c>
      <c r="J4236">
        <v>0.88520466565987699</v>
      </c>
      <c r="K4236">
        <v>0.48115352963518498</v>
      </c>
      <c r="L4236">
        <v>1611.7265002319</v>
      </c>
      <c r="M4236">
        <v>35.337832911192898</v>
      </c>
      <c r="O4236">
        <v>45.463774337514501</v>
      </c>
      <c r="P4236">
        <v>-5.0827820342354502E-2</v>
      </c>
      <c r="Q4236">
        <v>0.73843141866356299</v>
      </c>
      <c r="R4236">
        <v>0.50411977989492196</v>
      </c>
      <c r="S4236" t="s">
        <v>10882</v>
      </c>
      <c r="T4236" t="s">
        <v>13290</v>
      </c>
      <c r="U4236" t="s">
        <v>13290</v>
      </c>
      <c r="V4236" t="s">
        <v>13290</v>
      </c>
      <c r="W4236" t="s">
        <v>17478</v>
      </c>
      <c r="X4236">
        <v>2</v>
      </c>
      <c r="Y4236" t="s">
        <v>23970</v>
      </c>
      <c r="Z4236" t="s">
        <v>30566</v>
      </c>
      <c r="AA4236">
        <v>0.78845419850306941</v>
      </c>
      <c r="AB4236" t="str">
        <f>HYPERLINK("Melting_Curves/meltCurve_Q7L266_ASRGL1.pdf", "Melting_Curves/meltCurve_Q7L266_ASRGL1.pdf")</f>
        <v>Melting_Curves/meltCurve_Q7L266_ASRGL1.pdf</v>
      </c>
    </row>
    <row r="4237" spans="1:28" x14ac:dyDescent="0.25">
      <c r="A4237" t="s">
        <v>4241</v>
      </c>
      <c r="B4237">
        <v>0.99252571173614901</v>
      </c>
      <c r="C4237">
        <v>0.88678720019520496</v>
      </c>
      <c r="D4237">
        <v>1.0813189177386999</v>
      </c>
      <c r="E4237">
        <v>0.96992561699507995</v>
      </c>
      <c r="F4237">
        <v>0.37588864688744</v>
      </c>
      <c r="G4237">
        <v>0.14742087648642499</v>
      </c>
      <c r="H4237">
        <v>9.4852408584858397E-2</v>
      </c>
      <c r="I4237">
        <v>9.8884387599215404E-2</v>
      </c>
      <c r="J4237">
        <v>0.13182377764415201</v>
      </c>
      <c r="K4237">
        <v>0.156451819916268</v>
      </c>
      <c r="L4237">
        <v>3062.6241364180701</v>
      </c>
      <c r="M4237">
        <v>58.4686624133587</v>
      </c>
      <c r="N4237">
        <v>52.6367903989686</v>
      </c>
      <c r="O4237">
        <v>52.319441076607298</v>
      </c>
      <c r="P4237">
        <v>-0.24478783736398799</v>
      </c>
      <c r="Q4237">
        <v>0.12382764115332399</v>
      </c>
      <c r="R4237">
        <v>0.98660943944686597</v>
      </c>
      <c r="S4237" t="s">
        <v>10883</v>
      </c>
      <c r="T4237" t="s">
        <v>13290</v>
      </c>
      <c r="U4237" t="s">
        <v>13290</v>
      </c>
      <c r="V4237" t="s">
        <v>13290</v>
      </c>
      <c r="W4237" t="s">
        <v>17479</v>
      </c>
      <c r="X4237">
        <v>3</v>
      </c>
      <c r="Y4237" t="s">
        <v>23971</v>
      </c>
      <c r="Z4237" t="s">
        <v>30567</v>
      </c>
      <c r="AA4237">
        <v>0.48689075038014162</v>
      </c>
      <c r="AB4237" t="str">
        <f>HYPERLINK("Melting_Curves/meltCurve_Q7L273_KCTD9.pdf", "Melting_Curves/meltCurve_Q7L273_KCTD9.pdf")</f>
        <v>Melting_Curves/meltCurve_Q7L273_KCTD9.pdf</v>
      </c>
    </row>
    <row r="4238" spans="1:28" x14ac:dyDescent="0.25">
      <c r="A4238" t="s">
        <v>4242</v>
      </c>
      <c r="B4238">
        <v>0.99252571173614901</v>
      </c>
      <c r="C4238">
        <v>0.99436515351202603</v>
      </c>
      <c r="D4238">
        <v>0.87097678713521298</v>
      </c>
      <c r="E4238">
        <v>0.70180654997037295</v>
      </c>
      <c r="F4238">
        <v>0.33908052703844799</v>
      </c>
      <c r="G4238">
        <v>0.17862897740806599</v>
      </c>
      <c r="H4238">
        <v>0.13291357569402901</v>
      </c>
      <c r="I4238">
        <v>0.123995934270567</v>
      </c>
      <c r="J4238">
        <v>0.14539917497814001</v>
      </c>
      <c r="K4238">
        <v>0.124425610466397</v>
      </c>
      <c r="L4238">
        <v>1137.38088282392</v>
      </c>
      <c r="M4238">
        <v>22.4157922604677</v>
      </c>
      <c r="N4238">
        <v>51.3655755622516</v>
      </c>
      <c r="O4238">
        <v>50.341522330184297</v>
      </c>
      <c r="P4238">
        <v>-9.8026394204184394E-2</v>
      </c>
      <c r="Q4238">
        <v>0.11942536910105001</v>
      </c>
      <c r="R4238">
        <v>0.99664597457514303</v>
      </c>
      <c r="S4238" t="s">
        <v>10884</v>
      </c>
      <c r="T4238" t="s">
        <v>13290</v>
      </c>
      <c r="U4238" t="s">
        <v>13290</v>
      </c>
      <c r="V4238" t="s">
        <v>13290</v>
      </c>
      <c r="W4238" t="s">
        <v>17480</v>
      </c>
      <c r="X4238">
        <v>10</v>
      </c>
      <c r="Y4238" t="s">
        <v>23972</v>
      </c>
      <c r="Z4238" t="s">
        <v>30568</v>
      </c>
      <c r="AA4238">
        <v>0.44450254424013369</v>
      </c>
      <c r="AB4238" t="str">
        <f>HYPERLINK("Melting_Curves/meltCurve_Q7L2H7_EIF3M.pdf", "Melting_Curves/meltCurve_Q7L2H7_EIF3M.pdf")</f>
        <v>Melting_Curves/meltCurve_Q7L2H7_EIF3M.pdf</v>
      </c>
    </row>
    <row r="4239" spans="1:28" x14ac:dyDescent="0.25">
      <c r="A4239" t="s">
        <v>4243</v>
      </c>
      <c r="B4239">
        <v>0.99252571173614901</v>
      </c>
      <c r="C4239">
        <v>0.86501275495017105</v>
      </c>
      <c r="D4239">
        <v>0.73003219629735905</v>
      </c>
      <c r="E4239">
        <v>0.35854352975424503</v>
      </c>
      <c r="F4239">
        <v>0.23122869668108001</v>
      </c>
      <c r="G4239">
        <v>0.169583547122857</v>
      </c>
      <c r="H4239">
        <v>0.154779562433151</v>
      </c>
      <c r="I4239">
        <v>0.20232435275590099</v>
      </c>
      <c r="J4239">
        <v>0.28563358651557003</v>
      </c>
      <c r="K4239">
        <v>0.44398633997090398</v>
      </c>
      <c r="L4239">
        <v>1276.09397519906</v>
      </c>
      <c r="M4239">
        <v>27.352467447494998</v>
      </c>
      <c r="N4239">
        <v>47.816676485670499</v>
      </c>
      <c r="O4239">
        <v>46.406473525431998</v>
      </c>
      <c r="P4239">
        <v>-0.111557510025919</v>
      </c>
      <c r="Q4239">
        <v>0.242928712628625</v>
      </c>
      <c r="R4239">
        <v>0.92280432966154802</v>
      </c>
      <c r="S4239" t="s">
        <v>10885</v>
      </c>
      <c r="T4239" t="s">
        <v>13290</v>
      </c>
      <c r="U4239" t="s">
        <v>13290</v>
      </c>
      <c r="V4239" t="s">
        <v>13290</v>
      </c>
      <c r="W4239" t="s">
        <v>17481</v>
      </c>
      <c r="X4239">
        <v>7</v>
      </c>
      <c r="Y4239" t="s">
        <v>23973</v>
      </c>
      <c r="Z4239" t="s">
        <v>30569</v>
      </c>
      <c r="AA4239">
        <v>0.41641826272941829</v>
      </c>
      <c r="AB4239" t="str">
        <f>HYPERLINK("Melting_Curves/meltCurve_Q7L2J0_MEPCE.pdf", "Melting_Curves/meltCurve_Q7L2J0_MEPCE.pdf")</f>
        <v>Melting_Curves/meltCurve_Q7L2J0_MEPCE.pdf</v>
      </c>
    </row>
    <row r="4240" spans="1:28" x14ac:dyDescent="0.25">
      <c r="A4240" t="s">
        <v>4244</v>
      </c>
      <c r="B4240">
        <v>0.99252571173614901</v>
      </c>
      <c r="C4240">
        <v>0.99407803193764699</v>
      </c>
      <c r="D4240">
        <v>0.92227288785128403</v>
      </c>
      <c r="E4240">
        <v>0.75844308259626803</v>
      </c>
      <c r="F4240">
        <v>0.73264837449880504</v>
      </c>
      <c r="G4240">
        <v>0.59530961918577596</v>
      </c>
      <c r="H4240">
        <v>0.352301584895926</v>
      </c>
      <c r="I4240">
        <v>0.138160584534162</v>
      </c>
      <c r="J4240">
        <v>0.10686526954159201</v>
      </c>
      <c r="K4240">
        <v>8.3956651148055297E-2</v>
      </c>
      <c r="L4240">
        <v>697.437558998849</v>
      </c>
      <c r="M4240">
        <v>12.2125563293406</v>
      </c>
      <c r="N4240">
        <v>57.108232724508397</v>
      </c>
      <c r="O4240">
        <v>55.641749306438001</v>
      </c>
      <c r="P4240">
        <v>-5.4883723071997202E-2</v>
      </c>
      <c r="Q4240">
        <v>0</v>
      </c>
      <c r="R4240">
        <v>0.97867040206660305</v>
      </c>
      <c r="S4240" t="s">
        <v>10886</v>
      </c>
      <c r="T4240" t="s">
        <v>13290</v>
      </c>
      <c r="U4240" t="s">
        <v>13290</v>
      </c>
      <c r="V4240" t="s">
        <v>13290</v>
      </c>
      <c r="W4240" t="s">
        <v>17482</v>
      </c>
      <c r="X4240">
        <v>11</v>
      </c>
      <c r="Y4240" t="s">
        <v>23974</v>
      </c>
      <c r="Z4240" t="s">
        <v>30570</v>
      </c>
      <c r="AA4240">
        <v>0.58670768986445199</v>
      </c>
      <c r="AB4240" t="str">
        <f>HYPERLINK("Melting_Curves/meltCurve_Q7L3T8_PARS2.pdf", "Melting_Curves/meltCurve_Q7L3T8_PARS2.pdf")</f>
        <v>Melting_Curves/meltCurve_Q7L3T8_PARS2.pdf</v>
      </c>
    </row>
    <row r="4241" spans="1:28" x14ac:dyDescent="0.25">
      <c r="A4241" t="s">
        <v>4245</v>
      </c>
      <c r="B4241">
        <v>0.99252571173614901</v>
      </c>
      <c r="C4241">
        <v>0.822424629228931</v>
      </c>
      <c r="D4241">
        <v>0.40106693205010802</v>
      </c>
      <c r="E4241">
        <v>0.14888043565772699</v>
      </c>
      <c r="F4241">
        <v>7.7947687054092094E-2</v>
      </c>
      <c r="G4241">
        <v>6.1228514211179703E-2</v>
      </c>
      <c r="H4241">
        <v>1.2685421838271401E-2</v>
      </c>
      <c r="I4241">
        <v>3.4363405228082899E-2</v>
      </c>
      <c r="J4241">
        <v>1.7256534360101401E-2</v>
      </c>
      <c r="K4241">
        <v>1.8332221213901E-2</v>
      </c>
      <c r="L4241">
        <v>1165.7666992304601</v>
      </c>
      <c r="M4241">
        <v>25.747173166683599</v>
      </c>
      <c r="N4241">
        <v>45.401864430396003</v>
      </c>
      <c r="O4241">
        <v>45.0069561093499</v>
      </c>
      <c r="P4241">
        <v>-0.13814878237366801</v>
      </c>
      <c r="Q4241">
        <v>3.4055531559841402E-2</v>
      </c>
      <c r="R4241">
        <v>0.99694775323785101</v>
      </c>
      <c r="S4241" t="s">
        <v>10887</v>
      </c>
      <c r="T4241" t="s">
        <v>13290</v>
      </c>
      <c r="U4241" t="s">
        <v>13290</v>
      </c>
      <c r="V4241" t="s">
        <v>13290</v>
      </c>
      <c r="W4241" t="s">
        <v>17483</v>
      </c>
      <c r="X4241">
        <v>1</v>
      </c>
      <c r="Y4241" t="s">
        <v>23975</v>
      </c>
      <c r="Z4241" t="s">
        <v>30571</v>
      </c>
      <c r="AA4241">
        <v>0.21271966051536251</v>
      </c>
      <c r="AB4241" t="str">
        <f>HYPERLINK("Melting_Curves/meltCurve_Q7L4E1_3_FAM73B.pdf", "Melting_Curves/meltCurve_Q7L4E1_3_FAM73B.pdf")</f>
        <v>Melting_Curves/meltCurve_Q7L4E1_3_FAM73B.pdf</v>
      </c>
    </row>
    <row r="4242" spans="1:28" x14ac:dyDescent="0.25">
      <c r="A4242" t="s">
        <v>4246</v>
      </c>
      <c r="B4242">
        <v>0.99252571173614901</v>
      </c>
      <c r="C4242">
        <v>1.0528167635415799</v>
      </c>
      <c r="D4242">
        <v>0.930696465059905</v>
      </c>
      <c r="E4242">
        <v>0.84994160990312595</v>
      </c>
      <c r="F4242">
        <v>0.60004661832475203</v>
      </c>
      <c r="G4242">
        <v>0.39178733980309399</v>
      </c>
      <c r="H4242">
        <v>0.346038403443368</v>
      </c>
      <c r="I4242">
        <v>0.53666685853904805</v>
      </c>
      <c r="J4242">
        <v>0.90760858154041102</v>
      </c>
      <c r="K4242">
        <v>1.1621286905772501</v>
      </c>
      <c r="L4242">
        <v>12412.369970117301</v>
      </c>
      <c r="M4242">
        <v>250</v>
      </c>
      <c r="O4242">
        <v>49.646324731918</v>
      </c>
      <c r="P4242">
        <v>-0.43132691595042599</v>
      </c>
      <c r="Q4242">
        <v>0.65737941362456598</v>
      </c>
      <c r="R4242">
        <v>0.310354799672029</v>
      </c>
      <c r="S4242" t="s">
        <v>10888</v>
      </c>
      <c r="T4242" t="s">
        <v>13290</v>
      </c>
      <c r="U4242" t="s">
        <v>13290</v>
      </c>
      <c r="V4242" t="s">
        <v>13290</v>
      </c>
      <c r="W4242" t="s">
        <v>17484</v>
      </c>
      <c r="X4242">
        <v>14</v>
      </c>
      <c r="Y4242" t="s">
        <v>23976</v>
      </c>
      <c r="Z4242" t="s">
        <v>30572</v>
      </c>
      <c r="AA4242">
        <v>0.76761294937764013</v>
      </c>
      <c r="AB4242" t="str">
        <f>HYPERLINK("Melting_Curves/meltCurve_Q7L4I2_RSRC2.pdf", "Melting_Curves/meltCurve_Q7L4I2_RSRC2.pdf")</f>
        <v>Melting_Curves/meltCurve_Q7L4I2_RSRC2.pdf</v>
      </c>
    </row>
    <row r="4243" spans="1:28" x14ac:dyDescent="0.25">
      <c r="A4243" t="s">
        <v>4247</v>
      </c>
      <c r="B4243">
        <v>0.99252571173614901</v>
      </c>
      <c r="C4243">
        <v>1.0036183368168501</v>
      </c>
      <c r="D4243">
        <v>0.93351787235111705</v>
      </c>
      <c r="E4243">
        <v>0.86832832169723595</v>
      </c>
      <c r="F4243">
        <v>0.61601453236474202</v>
      </c>
      <c r="G4243">
        <v>0.50532756184654903</v>
      </c>
      <c r="H4243">
        <v>0.35722917170553498</v>
      </c>
      <c r="I4243">
        <v>0.40731319042883901</v>
      </c>
      <c r="J4243">
        <v>0.28965217988941699</v>
      </c>
      <c r="K4243">
        <v>0.167785190116783</v>
      </c>
      <c r="L4243">
        <v>676.02080286359001</v>
      </c>
      <c r="M4243">
        <v>12.3400440439853</v>
      </c>
      <c r="N4243">
        <v>57.042229011433797</v>
      </c>
      <c r="O4243">
        <v>53.4036511916728</v>
      </c>
      <c r="P4243">
        <v>-4.6610087482936498E-2</v>
      </c>
      <c r="Q4243">
        <v>0.19332208970814899</v>
      </c>
      <c r="R4243">
        <v>0.97537975303623303</v>
      </c>
      <c r="S4243" t="s">
        <v>10889</v>
      </c>
      <c r="T4243" t="s">
        <v>13290</v>
      </c>
      <c r="U4243" t="s">
        <v>13290</v>
      </c>
      <c r="V4243" t="s">
        <v>13290</v>
      </c>
      <c r="W4243" t="s">
        <v>17485</v>
      </c>
      <c r="X4243">
        <v>7</v>
      </c>
      <c r="Y4243" t="s">
        <v>23977</v>
      </c>
      <c r="Z4243" t="s">
        <v>30573</v>
      </c>
      <c r="AA4243">
        <v>0.60981596066082766</v>
      </c>
      <c r="AB4243" t="str">
        <f>HYPERLINK("Melting_Curves/meltCurve_Q7L523_RRAGA.pdf", "Melting_Curves/meltCurve_Q7L523_RRAGA.pdf")</f>
        <v>Melting_Curves/meltCurve_Q7L523_RRAGA.pdf</v>
      </c>
    </row>
    <row r="4244" spans="1:28" x14ac:dyDescent="0.25">
      <c r="A4244" t="s">
        <v>4248</v>
      </c>
      <c r="B4244">
        <v>0.99252571173614901</v>
      </c>
      <c r="C4244">
        <v>0.78112570729483999</v>
      </c>
      <c r="D4244">
        <v>1.08011801280673</v>
      </c>
      <c r="E4244">
        <v>0.98502465518813997</v>
      </c>
      <c r="F4244">
        <v>0.20657794411883901</v>
      </c>
      <c r="G4244">
        <v>8.9501694731675893E-2</v>
      </c>
      <c r="H4244">
        <v>5.7424348274585202E-2</v>
      </c>
      <c r="I4244">
        <v>7.2847166422786006E-2</v>
      </c>
      <c r="J4244">
        <v>6.8017976182623202E-2</v>
      </c>
      <c r="K4244">
        <v>6.5313269870585194E-2</v>
      </c>
      <c r="L4244">
        <v>4265.7320443333701</v>
      </c>
      <c r="M4244">
        <v>81.942797703227399</v>
      </c>
      <c r="N4244">
        <v>52.153985784745799</v>
      </c>
      <c r="O4244">
        <v>52.026456570282598</v>
      </c>
      <c r="P4244">
        <v>-0.36604538855110702</v>
      </c>
      <c r="Q4244">
        <v>7.0373832068889697E-2</v>
      </c>
      <c r="R4244">
        <v>0.97056435124748397</v>
      </c>
      <c r="S4244" t="s">
        <v>10890</v>
      </c>
      <c r="T4244" t="s">
        <v>13290</v>
      </c>
      <c r="U4244" t="s">
        <v>13290</v>
      </c>
      <c r="V4244" t="s">
        <v>13290</v>
      </c>
      <c r="W4244" t="s">
        <v>17486</v>
      </c>
      <c r="X4244">
        <v>17</v>
      </c>
      <c r="Y4244" t="s">
        <v>23978</v>
      </c>
      <c r="Z4244" t="s">
        <v>30574</v>
      </c>
      <c r="AA4244">
        <v>0.44479613365280718</v>
      </c>
      <c r="AB4244" t="str">
        <f>HYPERLINK("Melting_Curves/meltCurve_Q7L576_CYFIP1.pdf", "Melting_Curves/meltCurve_Q7L576_CYFIP1.pdf")</f>
        <v>Melting_Curves/meltCurve_Q7L576_CYFIP1.pdf</v>
      </c>
    </row>
    <row r="4245" spans="1:28" x14ac:dyDescent="0.25">
      <c r="A4245" t="s">
        <v>4249</v>
      </c>
      <c r="B4245">
        <v>0.99252571173614901</v>
      </c>
      <c r="C4245">
        <v>0.96413211390168596</v>
      </c>
      <c r="D4245">
        <v>0.79041660519131995</v>
      </c>
      <c r="E4245">
        <v>0.35964958115457102</v>
      </c>
      <c r="F4245">
        <v>0.145362201964673</v>
      </c>
      <c r="G4245">
        <v>9.0734471930401697E-2</v>
      </c>
      <c r="H4245">
        <v>7.0394770954586905E-2</v>
      </c>
      <c r="I4245">
        <v>6.4333367842481906E-2</v>
      </c>
      <c r="J4245">
        <v>6.9604132432527804E-2</v>
      </c>
      <c r="K4245">
        <v>6.8088476085127997E-2</v>
      </c>
      <c r="L4245">
        <v>1260.59397787233</v>
      </c>
      <c r="M4245">
        <v>26.182724881921001</v>
      </c>
      <c r="N4245">
        <v>48.418558745333499</v>
      </c>
      <c r="O4245">
        <v>47.8677974525623</v>
      </c>
      <c r="P4245">
        <v>-0.127377181854404</v>
      </c>
      <c r="Q4245">
        <v>6.8516096617528596E-2</v>
      </c>
      <c r="R4245">
        <v>0.999910650823289</v>
      </c>
      <c r="S4245" t="s">
        <v>10891</v>
      </c>
      <c r="T4245" t="s">
        <v>13290</v>
      </c>
      <c r="U4245" t="s">
        <v>13290</v>
      </c>
      <c r="V4245" t="s">
        <v>13290</v>
      </c>
      <c r="W4245" t="s">
        <v>17487</v>
      </c>
      <c r="X4245">
        <v>18</v>
      </c>
      <c r="Y4245" t="s">
        <v>23979</v>
      </c>
      <c r="Z4245" t="s">
        <v>30575</v>
      </c>
      <c r="AA4245">
        <v>0.32891184518043259</v>
      </c>
      <c r="AB4245" t="str">
        <f>HYPERLINK("Melting_Curves/meltCurve_Q7L592_NDUFAF7.pdf", "Melting_Curves/meltCurve_Q7L592_NDUFAF7.pdf")</f>
        <v>Melting_Curves/meltCurve_Q7L592_NDUFAF7.pdf</v>
      </c>
    </row>
    <row r="4246" spans="1:28" x14ac:dyDescent="0.25">
      <c r="A4246" t="s">
        <v>4250</v>
      </c>
      <c r="B4246">
        <v>0.99252571173614901</v>
      </c>
      <c r="C4246">
        <v>0.88469548122856401</v>
      </c>
      <c r="D4246">
        <v>0.70934994230502701</v>
      </c>
      <c r="E4246">
        <v>0.437092671477879</v>
      </c>
      <c r="F4246">
        <v>0.34757024875971099</v>
      </c>
      <c r="G4246">
        <v>0.26623619153087102</v>
      </c>
      <c r="H4246">
        <v>0.23714730556646901</v>
      </c>
      <c r="I4246">
        <v>0.226668021068088</v>
      </c>
      <c r="J4246">
        <v>0.25171985010471898</v>
      </c>
      <c r="K4246">
        <v>0.199514594518126</v>
      </c>
      <c r="L4246">
        <v>837.25319103478103</v>
      </c>
      <c r="M4246">
        <v>17.720830109976301</v>
      </c>
      <c r="N4246">
        <v>48.900996608083702</v>
      </c>
      <c r="O4246">
        <v>46.657491634560401</v>
      </c>
      <c r="P4246">
        <v>-7.3549674996229594E-2</v>
      </c>
      <c r="Q4246">
        <v>0.22543959179064699</v>
      </c>
      <c r="R4246">
        <v>0.99595926450842698</v>
      </c>
      <c r="S4246" t="s">
        <v>10892</v>
      </c>
      <c r="T4246" t="s">
        <v>13290</v>
      </c>
      <c r="U4246" t="s">
        <v>13290</v>
      </c>
      <c r="V4246" t="s">
        <v>13290</v>
      </c>
      <c r="W4246" t="s">
        <v>17488</v>
      </c>
      <c r="X4246">
        <v>4</v>
      </c>
      <c r="Y4246" t="s">
        <v>23980</v>
      </c>
      <c r="Z4246" t="s">
        <v>30576</v>
      </c>
      <c r="AA4246">
        <v>0.42715426287200631</v>
      </c>
      <c r="AB4246" t="str">
        <f>HYPERLINK("Melting_Curves/meltCurve_Q7L5D6_GET4.pdf", "Melting_Curves/meltCurve_Q7L5D6_GET4.pdf")</f>
        <v>Melting_Curves/meltCurve_Q7L5D6_GET4.pdf</v>
      </c>
    </row>
    <row r="4247" spans="1:28" x14ac:dyDescent="0.25">
      <c r="A4247" t="s">
        <v>4251</v>
      </c>
      <c r="B4247">
        <v>0.99252571173614901</v>
      </c>
      <c r="C4247">
        <v>0.95359490340406095</v>
      </c>
      <c r="D4247">
        <v>0.87641439585650305</v>
      </c>
      <c r="E4247">
        <v>0.68541605467857603</v>
      </c>
      <c r="F4247">
        <v>6.6634794134636896E-2</v>
      </c>
      <c r="G4247">
        <v>4.34566421334436E-2</v>
      </c>
      <c r="H4247">
        <v>2.0616809465216102E-2</v>
      </c>
      <c r="I4247">
        <v>3.8092563649038902E-2</v>
      </c>
      <c r="J4247">
        <v>4.5506801778108001E-2</v>
      </c>
      <c r="K4247">
        <v>3.8348607144419102E-2</v>
      </c>
      <c r="L4247">
        <v>2532.7130432017898</v>
      </c>
      <c r="M4247">
        <v>50.381138145372901</v>
      </c>
      <c r="N4247">
        <v>50.3387152033186</v>
      </c>
      <c r="O4247">
        <v>50.1920419349116</v>
      </c>
      <c r="P4247">
        <v>-0.242726986700393</v>
      </c>
      <c r="Q4247">
        <v>3.2736959140303702E-2</v>
      </c>
      <c r="R4247">
        <v>0.99051349468330796</v>
      </c>
      <c r="S4247" t="s">
        <v>10893</v>
      </c>
      <c r="T4247" t="s">
        <v>13290</v>
      </c>
      <c r="U4247" t="s">
        <v>13290</v>
      </c>
      <c r="V4247" t="s">
        <v>13290</v>
      </c>
      <c r="W4247" t="s">
        <v>17489</v>
      </c>
      <c r="X4247">
        <v>3</v>
      </c>
      <c r="Y4247" t="s">
        <v>23981</v>
      </c>
      <c r="Z4247" t="s">
        <v>30577</v>
      </c>
      <c r="AA4247">
        <v>0.36600978305113058</v>
      </c>
      <c r="AB4247" t="str">
        <f>HYPERLINK("Melting_Curves/meltCurve_Q7L5N7_LPCAT2.pdf", "Melting_Curves/meltCurve_Q7L5N7_LPCAT2.pdf")</f>
        <v>Melting_Curves/meltCurve_Q7L5N7_LPCAT2.pdf</v>
      </c>
    </row>
    <row r="4248" spans="1:28" x14ac:dyDescent="0.25">
      <c r="A4248" t="s">
        <v>4252</v>
      </c>
      <c r="B4248">
        <v>0.99252571173614901</v>
      </c>
      <c r="C4248">
        <v>0.97607422716854797</v>
      </c>
      <c r="D4248">
        <v>0.84991253790103005</v>
      </c>
      <c r="E4248">
        <v>0.759279417698283</v>
      </c>
      <c r="F4248">
        <v>0.66676545203126203</v>
      </c>
      <c r="G4248">
        <v>0.52020120165379602</v>
      </c>
      <c r="H4248">
        <v>0.459846589464741</v>
      </c>
      <c r="I4248">
        <v>0.40017742445526799</v>
      </c>
      <c r="J4248">
        <v>0.25367677298775598</v>
      </c>
      <c r="K4248">
        <v>0.22900702664116501</v>
      </c>
      <c r="L4248">
        <v>415.613925346879</v>
      </c>
      <c r="M4248">
        <v>7.12385448043936</v>
      </c>
      <c r="N4248">
        <v>58.435642973990703</v>
      </c>
      <c r="O4248">
        <v>54.268102046241196</v>
      </c>
      <c r="P4248">
        <v>-3.2686697050468602E-2</v>
      </c>
      <c r="Q4248">
        <v>5.7255959135531697E-3</v>
      </c>
      <c r="R4248">
        <v>0.98693889887646702</v>
      </c>
      <c r="S4248" t="s">
        <v>10894</v>
      </c>
      <c r="T4248" t="s">
        <v>13290</v>
      </c>
      <c r="U4248" t="s">
        <v>13290</v>
      </c>
      <c r="V4248" t="s">
        <v>13290</v>
      </c>
      <c r="W4248" t="s">
        <v>17490</v>
      </c>
      <c r="X4248">
        <v>8</v>
      </c>
      <c r="Y4248" t="s">
        <v>23982</v>
      </c>
      <c r="Z4248" t="s">
        <v>30578</v>
      </c>
      <c r="AA4248">
        <v>0.6093021002799216</v>
      </c>
      <c r="AB4248" t="str">
        <f>HYPERLINK("Melting_Curves/meltCurve_Q7L5Y1_ENOSF1.pdf", "Melting_Curves/meltCurve_Q7L5Y1_ENOSF1.pdf")</f>
        <v>Melting_Curves/meltCurve_Q7L5Y1_ENOSF1.pdf</v>
      </c>
    </row>
    <row r="4249" spans="1:28" x14ac:dyDescent="0.25">
      <c r="A4249" t="s">
        <v>4253</v>
      </c>
      <c r="B4249">
        <v>0.99252571173614901</v>
      </c>
      <c r="C4249">
        <v>0.92295960344253403</v>
      </c>
      <c r="D4249">
        <v>0.88119338002463898</v>
      </c>
      <c r="E4249">
        <v>0.67150445625134902</v>
      </c>
      <c r="F4249">
        <v>0.31037785088794501</v>
      </c>
      <c r="G4249">
        <v>0.18581769000031401</v>
      </c>
      <c r="H4249">
        <v>0.15862815044685599</v>
      </c>
      <c r="I4249">
        <v>0.17137689776308901</v>
      </c>
      <c r="J4249">
        <v>0.226124488777836</v>
      </c>
      <c r="K4249">
        <v>0.23942590589656801</v>
      </c>
      <c r="L4249">
        <v>1293.00717994101</v>
      </c>
      <c r="M4249">
        <v>25.858867369093101</v>
      </c>
      <c r="N4249">
        <v>50.920783431659402</v>
      </c>
      <c r="O4249">
        <v>49.706304878523703</v>
      </c>
      <c r="P4249">
        <v>-0.10582261866581601</v>
      </c>
      <c r="Q4249">
        <v>0.18635423217675701</v>
      </c>
      <c r="R4249">
        <v>0.98642265493824099</v>
      </c>
      <c r="S4249" t="s">
        <v>10895</v>
      </c>
      <c r="T4249" t="s">
        <v>13290</v>
      </c>
      <c r="U4249" t="s">
        <v>13290</v>
      </c>
      <c r="V4249" t="s">
        <v>13290</v>
      </c>
      <c r="W4249" t="s">
        <v>17491</v>
      </c>
      <c r="X4249">
        <v>10</v>
      </c>
      <c r="Y4249" t="s">
        <v>23983</v>
      </c>
      <c r="Z4249" t="s">
        <v>30579</v>
      </c>
      <c r="AA4249">
        <v>0.4644307293984492</v>
      </c>
      <c r="AB4249" t="str">
        <f>HYPERLINK("Melting_Curves/meltCurve_Q7L775_EPM2AIP1.pdf", "Melting_Curves/meltCurve_Q7L775_EPM2AIP1.pdf")</f>
        <v>Melting_Curves/meltCurve_Q7L775_EPM2AIP1.pdf</v>
      </c>
    </row>
    <row r="4250" spans="1:28" x14ac:dyDescent="0.25">
      <c r="A4250" t="s">
        <v>4254</v>
      </c>
      <c r="B4250">
        <v>0.99252571173614901</v>
      </c>
      <c r="C4250">
        <v>0.85769254352395297</v>
      </c>
      <c r="D4250">
        <v>0.65404807808061005</v>
      </c>
      <c r="E4250">
        <v>0.34822250748967698</v>
      </c>
      <c r="F4250">
        <v>0.236909491877418</v>
      </c>
      <c r="G4250">
        <v>0.14076240452656</v>
      </c>
      <c r="H4250">
        <v>0.110039058338259</v>
      </c>
      <c r="I4250">
        <v>8.4842877684215404E-2</v>
      </c>
      <c r="J4250">
        <v>0.11101307105215601</v>
      </c>
      <c r="K4250">
        <v>0.104694945212132</v>
      </c>
      <c r="L4250">
        <v>830.40259371989396</v>
      </c>
      <c r="M4250">
        <v>17.598034362572498</v>
      </c>
      <c r="N4250">
        <v>47.778732167636903</v>
      </c>
      <c r="O4250">
        <v>46.590563149607</v>
      </c>
      <c r="P4250">
        <v>-8.5191100475009204E-2</v>
      </c>
      <c r="Q4250">
        <v>9.7879406355577306E-2</v>
      </c>
      <c r="R4250">
        <v>0.99734171993417897</v>
      </c>
      <c r="S4250" t="s">
        <v>10896</v>
      </c>
      <c r="T4250" t="s">
        <v>13290</v>
      </c>
      <c r="U4250" t="s">
        <v>13290</v>
      </c>
      <c r="V4250" t="s">
        <v>13290</v>
      </c>
      <c r="W4250" t="s">
        <v>17492</v>
      </c>
      <c r="X4250">
        <v>7</v>
      </c>
      <c r="Y4250" t="s">
        <v>23984</v>
      </c>
      <c r="Z4250" t="s">
        <v>30580</v>
      </c>
      <c r="AA4250">
        <v>0.33132528672544609</v>
      </c>
      <c r="AB4250" t="str">
        <f>HYPERLINK("Melting_Curves/meltCurve_Q7L7V1_DHX32.pdf", "Melting_Curves/meltCurve_Q7L7V1_DHX32.pdf")</f>
        <v>Melting_Curves/meltCurve_Q7L7V1_DHX32.pdf</v>
      </c>
    </row>
    <row r="4251" spans="1:28" x14ac:dyDescent="0.25">
      <c r="A4251" t="s">
        <v>4255</v>
      </c>
      <c r="B4251">
        <v>0.99252571173614901</v>
      </c>
      <c r="C4251">
        <v>0.98053503123107799</v>
      </c>
      <c r="D4251">
        <v>0.86467292400626605</v>
      </c>
      <c r="E4251">
        <v>0.76549269364146899</v>
      </c>
      <c r="F4251">
        <v>0.16254751849121801</v>
      </c>
      <c r="G4251">
        <v>9.8654453864269201E-2</v>
      </c>
      <c r="H4251">
        <v>7.4667010929868494E-2</v>
      </c>
      <c r="I4251">
        <v>8.4228610539544002E-2</v>
      </c>
      <c r="J4251">
        <v>0.102842507694972</v>
      </c>
      <c r="K4251">
        <v>8.9641858461217902E-2</v>
      </c>
      <c r="L4251">
        <v>2330.5107195426299</v>
      </c>
      <c r="M4251">
        <v>45.9958395842146</v>
      </c>
      <c r="N4251">
        <v>50.877338078941001</v>
      </c>
      <c r="O4251">
        <v>50.572360748424103</v>
      </c>
      <c r="P4251">
        <v>-0.207761622195547</v>
      </c>
      <c r="Q4251">
        <v>8.6266616993511E-2</v>
      </c>
      <c r="R4251">
        <v>0.98892073472459696</v>
      </c>
      <c r="S4251" t="s">
        <v>10897</v>
      </c>
      <c r="T4251" t="s">
        <v>13290</v>
      </c>
      <c r="U4251" t="s">
        <v>13290</v>
      </c>
      <c r="V4251" t="s">
        <v>13290</v>
      </c>
      <c r="W4251" t="s">
        <v>17493</v>
      </c>
      <c r="X4251">
        <v>19</v>
      </c>
      <c r="Y4251" t="s">
        <v>23985</v>
      </c>
      <c r="Z4251" t="s">
        <v>30581</v>
      </c>
      <c r="AA4251">
        <v>0.41360149941065211</v>
      </c>
      <c r="AB4251" t="str">
        <f>HYPERLINK("Melting_Curves/meltCurve_Q7L7X3_TAOK1.pdf", "Melting_Curves/meltCurve_Q7L7X3_TAOK1.pdf")</f>
        <v>Melting_Curves/meltCurve_Q7L7X3_TAOK1.pdf</v>
      </c>
    </row>
    <row r="4252" spans="1:28" x14ac:dyDescent="0.25">
      <c r="A4252" t="s">
        <v>4256</v>
      </c>
      <c r="B4252">
        <v>0.99252571173614901</v>
      </c>
      <c r="C4252">
        <v>0.90190877432669903</v>
      </c>
      <c r="D4252">
        <v>0.54324933238495698</v>
      </c>
      <c r="E4252">
        <v>0.21092164554027801</v>
      </c>
      <c r="F4252">
        <v>0.13075506604652701</v>
      </c>
      <c r="G4252">
        <v>7.30841926342225E-2</v>
      </c>
      <c r="H4252">
        <v>5.6877664204780701E-2</v>
      </c>
      <c r="I4252">
        <v>5.9255058987734102E-2</v>
      </c>
      <c r="J4252">
        <v>7.1524572308697507E-2</v>
      </c>
      <c r="K4252">
        <v>7.2466354982942599E-2</v>
      </c>
      <c r="L4252">
        <v>1184.4085236206399</v>
      </c>
      <c r="M4252">
        <v>25.651475532857901</v>
      </c>
      <c r="N4252">
        <v>46.4477364254683</v>
      </c>
      <c r="O4252">
        <v>45.895237571113</v>
      </c>
      <c r="P4252">
        <v>-0.12989898353700299</v>
      </c>
      <c r="Q4252">
        <v>7.0357990905904694E-2</v>
      </c>
      <c r="R4252">
        <v>0.99840252442185495</v>
      </c>
      <c r="S4252" t="s">
        <v>10898</v>
      </c>
      <c r="T4252" t="s">
        <v>13290</v>
      </c>
      <c r="U4252" t="s">
        <v>13290</v>
      </c>
      <c r="V4252" t="s">
        <v>13290</v>
      </c>
      <c r="W4252" t="s">
        <v>17494</v>
      </c>
      <c r="X4252">
        <v>13</v>
      </c>
      <c r="Y4252" t="s">
        <v>23986</v>
      </c>
      <c r="Z4252" t="s">
        <v>30582</v>
      </c>
      <c r="AA4252">
        <v>0.26968163412248208</v>
      </c>
      <c r="AB4252" t="str">
        <f>HYPERLINK("Melting_Curves/meltCurve_Q7L8L6_FASTKD5.pdf", "Melting_Curves/meltCurve_Q7L8L6_FASTKD5.pdf")</f>
        <v>Melting_Curves/meltCurve_Q7L8L6_FASTKD5.pdf</v>
      </c>
    </row>
    <row r="4253" spans="1:28" x14ac:dyDescent="0.25">
      <c r="A4253" t="s">
        <v>4257</v>
      </c>
      <c r="B4253">
        <v>0.99252571173614901</v>
      </c>
      <c r="C4253">
        <v>1.0108238579411599</v>
      </c>
      <c r="D4253">
        <v>0.84418825739950298</v>
      </c>
      <c r="E4253">
        <v>0.55070479572324704</v>
      </c>
      <c r="F4253">
        <v>0.26686996458511703</v>
      </c>
      <c r="G4253">
        <v>0.14535045022451001</v>
      </c>
      <c r="H4253">
        <v>0.102198708340385</v>
      </c>
      <c r="I4253">
        <v>9.2822071803532399E-2</v>
      </c>
      <c r="J4253">
        <v>9.3410543849687597E-2</v>
      </c>
      <c r="K4253">
        <v>8.6474189472011104E-2</v>
      </c>
      <c r="L4253">
        <v>1067.32746511544</v>
      </c>
      <c r="M4253">
        <v>21.4918017811816</v>
      </c>
      <c r="N4253">
        <v>50.1077435626663</v>
      </c>
      <c r="O4253">
        <v>49.238086934844702</v>
      </c>
      <c r="P4253">
        <v>-9.9631029271143701E-2</v>
      </c>
      <c r="Q4253">
        <v>8.6996325122499704E-2</v>
      </c>
      <c r="R4253">
        <v>0.99860298610068399</v>
      </c>
      <c r="S4253" t="s">
        <v>10899</v>
      </c>
      <c r="T4253" t="s">
        <v>13290</v>
      </c>
      <c r="U4253" t="s">
        <v>13290</v>
      </c>
      <c r="V4253" t="s">
        <v>13290</v>
      </c>
      <c r="W4253" t="s">
        <v>17495</v>
      </c>
      <c r="X4253">
        <v>8</v>
      </c>
      <c r="Y4253" t="s">
        <v>23987</v>
      </c>
      <c r="Z4253" t="s">
        <v>30583</v>
      </c>
      <c r="AA4253">
        <v>0.3920782772025786</v>
      </c>
      <c r="AB4253" t="str">
        <f>HYPERLINK("Melting_Curves/meltCurve_Q7L8W6_ATPBD4.pdf", "Melting_Curves/meltCurve_Q7L8W6_ATPBD4.pdf")</f>
        <v>Melting_Curves/meltCurve_Q7L8W6_ATPBD4.pdf</v>
      </c>
    </row>
    <row r="4254" spans="1:28" x14ac:dyDescent="0.25">
      <c r="A4254" t="s">
        <v>4258</v>
      </c>
      <c r="B4254">
        <v>0.99252571173614901</v>
      </c>
      <c r="C4254">
        <v>0.87150571936245103</v>
      </c>
      <c r="D4254">
        <v>0.78693373575833703</v>
      </c>
      <c r="E4254">
        <v>0.44569912580017201</v>
      </c>
      <c r="F4254">
        <v>0.17935655192359401</v>
      </c>
      <c r="G4254">
        <v>0.117091074600775</v>
      </c>
      <c r="H4254">
        <v>8.6145828182641201E-2</v>
      </c>
      <c r="I4254">
        <v>8.9642838556972804E-2</v>
      </c>
      <c r="J4254">
        <v>5.5764041087946498E-2</v>
      </c>
      <c r="K4254">
        <v>4.9966342165933403E-2</v>
      </c>
      <c r="L4254">
        <v>925.62060298443896</v>
      </c>
      <c r="M4254">
        <v>19.054434348975398</v>
      </c>
      <c r="N4254">
        <v>48.891762888228797</v>
      </c>
      <c r="O4254">
        <v>48.052136020555501</v>
      </c>
      <c r="P4254">
        <v>-9.3427503678085E-2</v>
      </c>
      <c r="Q4254">
        <v>5.7602177543908499E-2</v>
      </c>
      <c r="R4254">
        <v>0.99535415085244805</v>
      </c>
      <c r="S4254" t="s">
        <v>10900</v>
      </c>
      <c r="T4254" t="s">
        <v>13290</v>
      </c>
      <c r="U4254" t="s">
        <v>13290</v>
      </c>
      <c r="V4254" t="s">
        <v>13290</v>
      </c>
      <c r="W4254" t="s">
        <v>17496</v>
      </c>
      <c r="X4254">
        <v>13</v>
      </c>
      <c r="Y4254" t="s">
        <v>23988</v>
      </c>
      <c r="Z4254" t="s">
        <v>30584</v>
      </c>
      <c r="AA4254">
        <v>0.34171281328471692</v>
      </c>
      <c r="AB4254" t="str">
        <f>HYPERLINK("Melting_Curves/meltCurve_Q7L9B9_EEPD1.pdf", "Melting_Curves/meltCurve_Q7L9B9_EEPD1.pdf")</f>
        <v>Melting_Curves/meltCurve_Q7L9B9_EEPD1.pdf</v>
      </c>
    </row>
    <row r="4255" spans="1:28" x14ac:dyDescent="0.25">
      <c r="A4255" t="s">
        <v>4259</v>
      </c>
      <c r="B4255">
        <v>0.99252571173614901</v>
      </c>
      <c r="C4255">
        <v>0.91166518253370998</v>
      </c>
      <c r="D4255">
        <v>0.69868587395063497</v>
      </c>
      <c r="E4255">
        <v>0.34631720167416402</v>
      </c>
      <c r="F4255">
        <v>0.18044028958237199</v>
      </c>
      <c r="G4255">
        <v>0.111144483798229</v>
      </c>
      <c r="H4255">
        <v>8.8391111907308806E-2</v>
      </c>
      <c r="I4255">
        <v>8.6949634934827699E-2</v>
      </c>
      <c r="J4255">
        <v>9.7478045163637395E-2</v>
      </c>
      <c r="K4255">
        <v>0.108405139484199</v>
      </c>
      <c r="L4255">
        <v>1024.80443493899</v>
      </c>
      <c r="M4255">
        <v>21.589499049776599</v>
      </c>
      <c r="N4255">
        <v>47.917912243228997</v>
      </c>
      <c r="O4255">
        <v>47.0660849473879</v>
      </c>
      <c r="P4255">
        <v>-0.104152969376254</v>
      </c>
      <c r="Q4255">
        <v>9.1788745621148804E-2</v>
      </c>
      <c r="R4255">
        <v>0.99943703843986798</v>
      </c>
      <c r="S4255" t="s">
        <v>10901</v>
      </c>
      <c r="T4255" t="s">
        <v>13290</v>
      </c>
      <c r="U4255" t="s">
        <v>13290</v>
      </c>
      <c r="V4255" t="s">
        <v>13290</v>
      </c>
      <c r="W4255" t="s">
        <v>17497</v>
      </c>
      <c r="X4255">
        <v>32</v>
      </c>
      <c r="Y4255" t="s">
        <v>23989</v>
      </c>
      <c r="Z4255" t="s">
        <v>30585</v>
      </c>
      <c r="AA4255">
        <v>0.32894153485133337</v>
      </c>
      <c r="AB4255" t="str">
        <f>HYPERLINK("Melting_Curves/meltCurve_Q7LBC6_KDM3B.pdf", "Melting_Curves/meltCurve_Q7LBC6_KDM3B.pdf")</f>
        <v>Melting_Curves/meltCurve_Q7LBC6_KDM3B.pdf</v>
      </c>
    </row>
    <row r="4256" spans="1:28" x14ac:dyDescent="0.25">
      <c r="A4256" t="s">
        <v>4260</v>
      </c>
      <c r="B4256">
        <v>0.99252571173614901</v>
      </c>
      <c r="C4256">
        <v>1.14154288585869</v>
      </c>
      <c r="D4256">
        <v>1.05822016663635</v>
      </c>
      <c r="E4256">
        <v>1.0465235580619301</v>
      </c>
      <c r="F4256">
        <v>0.31534549784388799</v>
      </c>
      <c r="G4256">
        <v>0.133956148151607</v>
      </c>
      <c r="H4256">
        <v>0.10730924326384</v>
      </c>
      <c r="I4256">
        <v>0.13182088282582199</v>
      </c>
      <c r="J4256">
        <v>0.17165391257854501</v>
      </c>
      <c r="K4256">
        <v>0.199473725247545</v>
      </c>
      <c r="L4256">
        <v>13224.7803845001</v>
      </c>
      <c r="M4256">
        <v>250</v>
      </c>
      <c r="N4256">
        <v>52.973975936171499</v>
      </c>
      <c r="O4256">
        <v>52.895714751106297</v>
      </c>
      <c r="P4256">
        <v>-1.00570159758924</v>
      </c>
      <c r="Q4256">
        <v>0.14884277401213</v>
      </c>
      <c r="R4256">
        <v>0.98380117267275102</v>
      </c>
      <c r="S4256" t="s">
        <v>10902</v>
      </c>
      <c r="T4256" t="s">
        <v>13290</v>
      </c>
      <c r="U4256" t="s">
        <v>13290</v>
      </c>
      <c r="V4256" t="s">
        <v>13290</v>
      </c>
      <c r="W4256" t="s">
        <v>17498</v>
      </c>
      <c r="X4256">
        <v>6</v>
      </c>
      <c r="Y4256" t="s">
        <v>23990</v>
      </c>
      <c r="Z4256" t="s">
        <v>30586</v>
      </c>
      <c r="AA4256">
        <v>0.51489447654259246</v>
      </c>
      <c r="AB4256" t="str">
        <f>HYPERLINK("Melting_Curves/meltCurve_Q7LBR1_CHMP1B.pdf", "Melting_Curves/meltCurve_Q7LBR1_CHMP1B.pdf")</f>
        <v>Melting_Curves/meltCurve_Q7LBR1_CHMP1B.pdf</v>
      </c>
    </row>
    <row r="4257" spans="1:28" x14ac:dyDescent="0.25">
      <c r="A4257" t="s">
        <v>4261</v>
      </c>
      <c r="B4257">
        <v>0.99252571173614901</v>
      </c>
      <c r="C4257">
        <v>0.81177673814373297</v>
      </c>
      <c r="D4257">
        <v>0.80516762226046301</v>
      </c>
      <c r="E4257">
        <v>0.76710980279695795</v>
      </c>
      <c r="F4257">
        <v>0.52744637906419201</v>
      </c>
      <c r="G4257">
        <v>0.38489604267837602</v>
      </c>
      <c r="H4257">
        <v>0.29754750740915997</v>
      </c>
      <c r="I4257">
        <v>0.42309206289747497</v>
      </c>
      <c r="J4257">
        <v>0.57064647668683699</v>
      </c>
      <c r="K4257">
        <v>0.43084860242296003</v>
      </c>
      <c r="L4257">
        <v>672.39563456404005</v>
      </c>
      <c r="M4257">
        <v>13.872078077286201</v>
      </c>
      <c r="N4257">
        <v>55.016253116350498</v>
      </c>
      <c r="O4257">
        <v>47.497187474649401</v>
      </c>
      <c r="P4257">
        <v>-4.3522700068652997E-2</v>
      </c>
      <c r="Q4257">
        <v>0.40400498535698798</v>
      </c>
      <c r="R4257">
        <v>0.84039683141900101</v>
      </c>
      <c r="S4257" t="s">
        <v>10903</v>
      </c>
      <c r="T4257" t="s">
        <v>13290</v>
      </c>
      <c r="U4257" t="s">
        <v>13290</v>
      </c>
      <c r="V4257" t="s">
        <v>13290</v>
      </c>
      <c r="W4257" t="s">
        <v>17499</v>
      </c>
      <c r="X4257">
        <v>4</v>
      </c>
      <c r="Y4257" t="s">
        <v>23991</v>
      </c>
      <c r="Z4257" t="s">
        <v>30587</v>
      </c>
      <c r="AA4257">
        <v>0.58972559697791216</v>
      </c>
      <c r="AB4257" t="str">
        <f>HYPERLINK("Melting_Curves/meltCurve_Q7LGA3_HS2ST1.pdf", "Melting_Curves/meltCurve_Q7LGA3_HS2ST1.pdf")</f>
        <v>Melting_Curves/meltCurve_Q7LGA3_HS2ST1.pdf</v>
      </c>
    </row>
    <row r="4258" spans="1:28" x14ac:dyDescent="0.25">
      <c r="A4258" t="s">
        <v>4262</v>
      </c>
      <c r="B4258">
        <v>0.99252571173614901</v>
      </c>
      <c r="C4258">
        <v>1.01481361296369</v>
      </c>
      <c r="D4258">
        <v>0.97353892760553196</v>
      </c>
      <c r="E4258">
        <v>0.92787975960586899</v>
      </c>
      <c r="F4258">
        <v>0.80076161627936004</v>
      </c>
      <c r="G4258">
        <v>0.62578003504672197</v>
      </c>
      <c r="H4258">
        <v>0.52204701266501197</v>
      </c>
      <c r="I4258">
        <v>0.55655694586266302</v>
      </c>
      <c r="J4258">
        <v>0.20652683750606901</v>
      </c>
      <c r="K4258">
        <v>0.122075797322496</v>
      </c>
      <c r="L4258">
        <v>642.38307365100695</v>
      </c>
      <c r="M4258">
        <v>10.522031926823299</v>
      </c>
      <c r="N4258">
        <v>61.0512378459999</v>
      </c>
      <c r="O4258">
        <v>58.969742579979602</v>
      </c>
      <c r="P4258">
        <v>-4.4625617223135301E-2</v>
      </c>
      <c r="Q4258">
        <v>0</v>
      </c>
      <c r="R4258">
        <v>0.94892663870202298</v>
      </c>
      <c r="S4258" t="s">
        <v>10904</v>
      </c>
      <c r="T4258" t="s">
        <v>13290</v>
      </c>
      <c r="U4258" t="s">
        <v>13290</v>
      </c>
      <c r="V4258" t="s">
        <v>13290</v>
      </c>
      <c r="W4258" t="s">
        <v>17500</v>
      </c>
      <c r="X4258">
        <v>1</v>
      </c>
      <c r="Y4258" t="s">
        <v>23992</v>
      </c>
      <c r="Z4258" t="s">
        <v>30588</v>
      </c>
      <c r="AA4258">
        <v>0.69167198855516676</v>
      </c>
      <c r="AB4258" t="str">
        <f>HYPERLINK("Melting_Curves/meltCurve_Q7RTP0_NIPA1.pdf", "Melting_Curves/meltCurve_Q7RTP0_NIPA1.pdf")</f>
        <v>Melting_Curves/meltCurve_Q7RTP0_NIPA1.pdf</v>
      </c>
    </row>
    <row r="4259" spans="1:28" x14ac:dyDescent="0.25">
      <c r="A4259" t="s">
        <v>4263</v>
      </c>
      <c r="B4259">
        <v>0.99252571173614901</v>
      </c>
      <c r="C4259">
        <v>1.00716336156306</v>
      </c>
      <c r="D4259">
        <v>0.94218132359810203</v>
      </c>
      <c r="E4259">
        <v>0.69913556339010596</v>
      </c>
      <c r="F4259">
        <v>0.364770642657889</v>
      </c>
      <c r="G4259">
        <v>0.30142550777214799</v>
      </c>
      <c r="H4259">
        <v>0.27847825677263099</v>
      </c>
      <c r="I4259">
        <v>0.32155836858184</v>
      </c>
      <c r="J4259">
        <v>0.20298532222762999</v>
      </c>
      <c r="K4259">
        <v>0.13996994935875801</v>
      </c>
      <c r="L4259">
        <v>1311.7093047216799</v>
      </c>
      <c r="M4259">
        <v>26.045351768101899</v>
      </c>
      <c r="N4259">
        <v>51.621582766808302</v>
      </c>
      <c r="O4259">
        <v>50.068434436603503</v>
      </c>
      <c r="P4259">
        <v>-9.9475513162633103E-2</v>
      </c>
      <c r="Q4259">
        <v>0.23509946416323901</v>
      </c>
      <c r="R4259">
        <v>0.98149586129107302</v>
      </c>
      <c r="S4259" t="s">
        <v>10905</v>
      </c>
      <c r="T4259" t="s">
        <v>13290</v>
      </c>
      <c r="U4259" t="s">
        <v>13290</v>
      </c>
      <c r="V4259" t="s">
        <v>13290</v>
      </c>
      <c r="W4259" t="s">
        <v>17501</v>
      </c>
      <c r="X4259">
        <v>11</v>
      </c>
      <c r="Y4259" t="s">
        <v>23993</v>
      </c>
      <c r="Z4259" t="s">
        <v>30589</v>
      </c>
      <c r="AA4259">
        <v>0.5056321245187666</v>
      </c>
      <c r="AB4259" t="str">
        <f>HYPERLINK("Melting_Curves/meltCurve_Q7RTP6_MICAL3.pdf", "Melting_Curves/meltCurve_Q7RTP6_MICAL3.pdf")</f>
        <v>Melting_Curves/meltCurve_Q7RTP6_MICAL3.pdf</v>
      </c>
    </row>
    <row r="4260" spans="1:28" x14ac:dyDescent="0.25">
      <c r="A4260" t="s">
        <v>4264</v>
      </c>
      <c r="B4260">
        <v>0.99252571173614901</v>
      </c>
      <c r="C4260">
        <v>1.0737196145497501</v>
      </c>
      <c r="D4260">
        <v>1.48004586578667</v>
      </c>
      <c r="E4260">
        <v>2.2064891732090102</v>
      </c>
      <c r="F4260">
        <v>1.85056090910017</v>
      </c>
      <c r="G4260">
        <v>1.53640104449471</v>
      </c>
      <c r="H4260">
        <v>1.01437901616189</v>
      </c>
      <c r="I4260">
        <v>0.456798102684214</v>
      </c>
      <c r="J4260">
        <v>0.460004663221799</v>
      </c>
      <c r="K4260">
        <v>0.48161176551073398</v>
      </c>
      <c r="L4260">
        <v>15000</v>
      </c>
      <c r="M4260">
        <v>240.344683741404</v>
      </c>
      <c r="N4260">
        <v>63.114000761301497</v>
      </c>
      <c r="O4260">
        <v>62.406033255805497</v>
      </c>
      <c r="P4260">
        <v>-0.51443630728088796</v>
      </c>
      <c r="Q4260">
        <v>0.46570175082144</v>
      </c>
      <c r="R4260">
        <v>0.18507114491705801</v>
      </c>
      <c r="S4260" t="s">
        <v>10906</v>
      </c>
      <c r="T4260" t="s">
        <v>13290</v>
      </c>
      <c r="U4260" t="s">
        <v>13290</v>
      </c>
      <c r="V4260" t="s">
        <v>13290</v>
      </c>
      <c r="W4260" t="s">
        <v>17502</v>
      </c>
      <c r="X4260">
        <v>12</v>
      </c>
      <c r="Y4260" t="s">
        <v>23994</v>
      </c>
      <c r="Z4260" t="s">
        <v>30590</v>
      </c>
      <c r="AA4260">
        <v>0.86489240401410783</v>
      </c>
      <c r="AB4260" t="str">
        <f>HYPERLINK("Melting_Curves/meltCurve_Q7RTV0_PHF5A.pdf", "Melting_Curves/meltCurve_Q7RTV0_PHF5A.pdf")</f>
        <v>Melting_Curves/meltCurve_Q7RTV0_PHF5A.pdf</v>
      </c>
    </row>
    <row r="4261" spans="1:28" x14ac:dyDescent="0.25">
      <c r="A4261" t="s">
        <v>4265</v>
      </c>
      <c r="B4261">
        <v>0.99252571173614901</v>
      </c>
      <c r="C4261">
        <v>0.96976517537978102</v>
      </c>
      <c r="D4261">
        <v>0.97550861804895705</v>
      </c>
      <c r="E4261">
        <v>0.60741199166431703</v>
      </c>
      <c r="F4261">
        <v>0.51679159785447804</v>
      </c>
      <c r="G4261">
        <v>0.35808584268745802</v>
      </c>
      <c r="H4261">
        <v>0.21777845539807</v>
      </c>
      <c r="I4261">
        <v>0.28313947157427899</v>
      </c>
      <c r="J4261">
        <v>0.447044536932721</v>
      </c>
      <c r="K4261">
        <v>0.30477421793061699</v>
      </c>
      <c r="L4261">
        <v>1163.15716169998</v>
      </c>
      <c r="M4261">
        <v>23.373284829581799</v>
      </c>
      <c r="N4261">
        <v>52.033033556164497</v>
      </c>
      <c r="O4261">
        <v>49.404403870877999</v>
      </c>
      <c r="P4261">
        <v>-8.0483472007767107E-2</v>
      </c>
      <c r="Q4261">
        <v>0.31953627812033297</v>
      </c>
      <c r="R4261">
        <v>0.94771171560203304</v>
      </c>
      <c r="S4261" t="s">
        <v>10907</v>
      </c>
      <c r="T4261" t="s">
        <v>13290</v>
      </c>
      <c r="U4261" t="s">
        <v>13290</v>
      </c>
      <c r="V4261" t="s">
        <v>13290</v>
      </c>
      <c r="W4261" t="s">
        <v>17503</v>
      </c>
      <c r="X4261">
        <v>2</v>
      </c>
      <c r="Y4261" t="s">
        <v>23995</v>
      </c>
      <c r="Z4261" t="s">
        <v>30591</v>
      </c>
      <c r="AA4261">
        <v>0.54796308758827728</v>
      </c>
      <c r="AB4261" t="str">
        <f>HYPERLINK("Melting_Curves/meltCurve_Q7RTX0_TAS1R3.pdf", "Melting_Curves/meltCurve_Q7RTX0_TAS1R3.pdf")</f>
        <v>Melting_Curves/meltCurve_Q7RTX0_TAS1R3.pdf</v>
      </c>
    </row>
    <row r="4262" spans="1:28" x14ac:dyDescent="0.25">
      <c r="A4262" t="s">
        <v>4266</v>
      </c>
      <c r="B4262">
        <v>0.99252571173614901</v>
      </c>
      <c r="C4262">
        <v>0.97397196774612205</v>
      </c>
      <c r="D4262">
        <v>0.66199866691049203</v>
      </c>
      <c r="E4262">
        <v>0.20664585673104299</v>
      </c>
      <c r="F4262">
        <v>9.7756652127694396E-2</v>
      </c>
      <c r="G4262">
        <v>6.2923032162618506E-2</v>
      </c>
      <c r="H4262">
        <v>5.4007778879535603E-2</v>
      </c>
      <c r="I4262">
        <v>5.0498104334237098E-2</v>
      </c>
      <c r="J4262">
        <v>5.51918310234535E-2</v>
      </c>
      <c r="K4262">
        <v>4.7465882280060698E-2</v>
      </c>
      <c r="L4262">
        <v>1457.6198436874599</v>
      </c>
      <c r="M4262">
        <v>31.0675755009146</v>
      </c>
      <c r="N4262">
        <v>47.099299766208397</v>
      </c>
      <c r="O4262">
        <v>46.724615488982501</v>
      </c>
      <c r="P4262">
        <v>-0.15684626897918999</v>
      </c>
      <c r="Q4262">
        <v>5.64387617108301E-2</v>
      </c>
      <c r="R4262">
        <v>0.99925806567116504</v>
      </c>
      <c r="S4262" t="s">
        <v>10908</v>
      </c>
      <c r="T4262" t="s">
        <v>13290</v>
      </c>
      <c r="U4262" t="s">
        <v>13290</v>
      </c>
      <c r="V4262" t="s">
        <v>13290</v>
      </c>
      <c r="W4262" t="s">
        <v>17504</v>
      </c>
      <c r="X4262">
        <v>7</v>
      </c>
      <c r="Y4262" t="s">
        <v>23996</v>
      </c>
      <c r="Z4262" t="s">
        <v>30592</v>
      </c>
      <c r="AA4262">
        <v>0.27926701019503958</v>
      </c>
      <c r="AB4262" t="str">
        <f>HYPERLINK("Melting_Curves/meltCurve_Q7Z2E3_8_APTX.pdf", "Melting_Curves/meltCurve_Q7Z2E3_8_APTX.pdf")</f>
        <v>Melting_Curves/meltCurve_Q7Z2E3_8_APTX.pdf</v>
      </c>
    </row>
    <row r="4263" spans="1:28" x14ac:dyDescent="0.25">
      <c r="A4263" t="s">
        <v>4267</v>
      </c>
      <c r="B4263">
        <v>0.99252571173614901</v>
      </c>
      <c r="C4263">
        <v>0.79355087144230196</v>
      </c>
      <c r="D4263">
        <v>0.68050107865863996</v>
      </c>
      <c r="E4263">
        <v>0.67224980241898002</v>
      </c>
      <c r="F4263">
        <v>0.45128722657582598</v>
      </c>
      <c r="G4263">
        <v>0.30071498839509497</v>
      </c>
      <c r="H4263">
        <v>0.31020328089552901</v>
      </c>
      <c r="I4263">
        <v>0.44090248037621899</v>
      </c>
      <c r="J4263">
        <v>0.64470564784593898</v>
      </c>
      <c r="K4263">
        <v>0.73894664039481495</v>
      </c>
      <c r="L4263">
        <v>852.28445405795901</v>
      </c>
      <c r="M4263">
        <v>19.0682064193687</v>
      </c>
      <c r="N4263">
        <v>56.585527313109203</v>
      </c>
      <c r="O4263">
        <v>44.213736888305696</v>
      </c>
      <c r="P4263">
        <v>-5.4892480440875399E-2</v>
      </c>
      <c r="Q4263">
        <v>0.49089993090325701</v>
      </c>
      <c r="R4263">
        <v>0.59202776429788795</v>
      </c>
      <c r="S4263" t="s">
        <v>10909</v>
      </c>
      <c r="T4263" t="s">
        <v>13290</v>
      </c>
      <c r="U4263" t="s">
        <v>13290</v>
      </c>
      <c r="V4263" t="s">
        <v>13290</v>
      </c>
      <c r="W4263" t="s">
        <v>17505</v>
      </c>
      <c r="X4263">
        <v>2</v>
      </c>
      <c r="Y4263" t="s">
        <v>23997</v>
      </c>
      <c r="Z4263" t="s">
        <v>30593</v>
      </c>
      <c r="AA4263">
        <v>0.5805841642729519</v>
      </c>
      <c r="AB4263" t="str">
        <f>HYPERLINK("Melting_Curves/meltCurve_Q7Z2K8_GPRIN1.pdf", "Melting_Curves/meltCurve_Q7Z2K8_GPRIN1.pdf")</f>
        <v>Melting_Curves/meltCurve_Q7Z2K8_GPRIN1.pdf</v>
      </c>
    </row>
    <row r="4264" spans="1:28" x14ac:dyDescent="0.25">
      <c r="A4264" t="s">
        <v>4268</v>
      </c>
      <c r="B4264">
        <v>0.99252571173614901</v>
      </c>
      <c r="C4264">
        <v>0.88980682103849695</v>
      </c>
      <c r="D4264">
        <v>0.69291952035730198</v>
      </c>
      <c r="E4264">
        <v>0.29252434255367898</v>
      </c>
      <c r="F4264">
        <v>0.155958581291991</v>
      </c>
      <c r="G4264">
        <v>8.5266592448874801E-2</v>
      </c>
      <c r="H4264">
        <v>6.8770667409592701E-2</v>
      </c>
      <c r="I4264">
        <v>7.8503677638740194E-2</v>
      </c>
      <c r="J4264">
        <v>0.114793652183713</v>
      </c>
      <c r="K4264">
        <v>0.113581955812775</v>
      </c>
      <c r="L4264">
        <v>1114.5334076838001</v>
      </c>
      <c r="M4264">
        <v>23.641906240769899</v>
      </c>
      <c r="N4264">
        <v>47.533593584674897</v>
      </c>
      <c r="O4264">
        <v>46.808887836393602</v>
      </c>
      <c r="P4264">
        <v>-0.11510436789285799</v>
      </c>
      <c r="Q4264">
        <v>8.8429453885355197E-2</v>
      </c>
      <c r="R4264">
        <v>0.99677461273897405</v>
      </c>
      <c r="S4264" t="s">
        <v>10910</v>
      </c>
      <c r="T4264" t="s">
        <v>13290</v>
      </c>
      <c r="U4264" t="s">
        <v>13290</v>
      </c>
      <c r="V4264" t="s">
        <v>13290</v>
      </c>
      <c r="W4264" t="s">
        <v>17506</v>
      </c>
      <c r="X4264">
        <v>16</v>
      </c>
      <c r="Y4264" t="s">
        <v>23998</v>
      </c>
      <c r="Z4264" t="s">
        <v>30594</v>
      </c>
      <c r="AA4264">
        <v>0.31463083108223711</v>
      </c>
      <c r="AB4264" t="str">
        <f>HYPERLINK("Melting_Curves/meltCurve_Q7Z2W4_ZC3HAV1.pdf", "Melting_Curves/meltCurve_Q7Z2W4_ZC3HAV1.pdf")</f>
        <v>Melting_Curves/meltCurve_Q7Z2W4_ZC3HAV1.pdf</v>
      </c>
    </row>
    <row r="4265" spans="1:28" x14ac:dyDescent="0.25">
      <c r="A4265" t="s">
        <v>4269</v>
      </c>
      <c r="B4265">
        <v>0.99252571173614901</v>
      </c>
      <c r="C4265">
        <v>1.1923808718639199</v>
      </c>
      <c r="D4265">
        <v>1.2846176048831</v>
      </c>
      <c r="E4265">
        <v>5.0870122819201598</v>
      </c>
      <c r="F4265">
        <v>0.86874168877583102</v>
      </c>
      <c r="G4265">
        <v>0.452709452934909</v>
      </c>
      <c r="H4265">
        <v>0.27286505253309601</v>
      </c>
      <c r="I4265">
        <v>0.58871767314941903</v>
      </c>
      <c r="J4265">
        <v>0.686335390000818</v>
      </c>
      <c r="K4265">
        <v>0.655389625402228</v>
      </c>
      <c r="L4265">
        <v>13350.2480137982</v>
      </c>
      <c r="M4265">
        <v>250</v>
      </c>
      <c r="O4265">
        <v>53.397574822228897</v>
      </c>
      <c r="P4265">
        <v>-0.54871004989705796</v>
      </c>
      <c r="Q4265">
        <v>0.53120342609818805</v>
      </c>
      <c r="R4265">
        <v>3.87563894574506E-2</v>
      </c>
      <c r="S4265" t="s">
        <v>10911</v>
      </c>
      <c r="T4265" t="s">
        <v>13290</v>
      </c>
      <c r="U4265" t="s">
        <v>13290</v>
      </c>
      <c r="V4265" t="s">
        <v>13290</v>
      </c>
      <c r="W4265" t="s">
        <v>17507</v>
      </c>
      <c r="X4265">
        <v>1</v>
      </c>
      <c r="Y4265" t="s">
        <v>23999</v>
      </c>
      <c r="Z4265" t="s">
        <v>30595</v>
      </c>
      <c r="AA4265">
        <v>0.74065866614528142</v>
      </c>
      <c r="AB4265" t="str">
        <f>HYPERLINK("Melting_Curves/meltCurve_Q7Z2Y8_GVINP1.pdf", "Melting_Curves/meltCurve_Q7Z2Y8_GVINP1.pdf")</f>
        <v>Melting_Curves/meltCurve_Q7Z2Y8_GVINP1.pdf</v>
      </c>
    </row>
    <row r="4266" spans="1:28" x14ac:dyDescent="0.25">
      <c r="A4266" t="s">
        <v>4270</v>
      </c>
      <c r="B4266">
        <v>0.99252571173614901</v>
      </c>
      <c r="C4266">
        <v>1.02615142114258</v>
      </c>
      <c r="D4266">
        <v>0.95831885607678902</v>
      </c>
      <c r="E4266">
        <v>0.77285637545746499</v>
      </c>
      <c r="F4266">
        <v>0.17740787212315301</v>
      </c>
      <c r="G4266">
        <v>0.117277808715246</v>
      </c>
      <c r="H4266">
        <v>8.0697056923090205E-2</v>
      </c>
      <c r="I4266">
        <v>8.4149627803005694E-2</v>
      </c>
      <c r="J4266">
        <v>8.0565226673797299E-2</v>
      </c>
      <c r="K4266">
        <v>7.6014677392100799E-2</v>
      </c>
      <c r="L4266">
        <v>2340.8702424497101</v>
      </c>
      <c r="M4266">
        <v>46.1102599546279</v>
      </c>
      <c r="N4266">
        <v>50.973241526126998</v>
      </c>
      <c r="O4266">
        <v>50.671598023051402</v>
      </c>
      <c r="P4266">
        <v>-0.20811863282489801</v>
      </c>
      <c r="Q4266">
        <v>8.5176352943202596E-2</v>
      </c>
      <c r="R4266">
        <v>0.99840389677921104</v>
      </c>
      <c r="S4266" t="s">
        <v>10912</v>
      </c>
      <c r="T4266" t="s">
        <v>13290</v>
      </c>
      <c r="U4266" t="s">
        <v>13290</v>
      </c>
      <c r="V4266" t="s">
        <v>13290</v>
      </c>
      <c r="W4266" t="s">
        <v>17508</v>
      </c>
      <c r="X4266">
        <v>28</v>
      </c>
      <c r="Y4266" t="s">
        <v>24000</v>
      </c>
      <c r="Z4266" t="s">
        <v>30596</v>
      </c>
      <c r="AA4266">
        <v>0.41591147003361928</v>
      </c>
      <c r="AB4266" t="str">
        <f>HYPERLINK("Melting_Curves/meltCurve_Q7Z2Z2_EFTUD1.pdf", "Melting_Curves/meltCurve_Q7Z2Z2_EFTUD1.pdf")</f>
        <v>Melting_Curves/meltCurve_Q7Z2Z2_EFTUD1.pdf</v>
      </c>
    </row>
    <row r="4267" spans="1:28" x14ac:dyDescent="0.25">
      <c r="A4267" t="s">
        <v>4271</v>
      </c>
      <c r="B4267">
        <v>0.99252571173614901</v>
      </c>
      <c r="C4267">
        <v>1.0256707144977399</v>
      </c>
      <c r="D4267">
        <v>0.91130194646923901</v>
      </c>
      <c r="E4267">
        <v>0.90267262194646902</v>
      </c>
      <c r="F4267">
        <v>0.73827870030017695</v>
      </c>
      <c r="G4267">
        <v>0.52046593293218002</v>
      </c>
      <c r="H4267">
        <v>0.39884100297436298</v>
      </c>
      <c r="I4267">
        <v>0.449594171531292</v>
      </c>
      <c r="J4267">
        <v>0.832909113633995</v>
      </c>
      <c r="K4267">
        <v>0.76673251801376296</v>
      </c>
      <c r="L4267">
        <v>1781.9653602053099</v>
      </c>
      <c r="M4267">
        <v>34.601979731192301</v>
      </c>
      <c r="O4267">
        <v>51.327843605933602</v>
      </c>
      <c r="P4267">
        <v>-6.8008578966816002E-2</v>
      </c>
      <c r="Q4267">
        <v>0.59647154910956401</v>
      </c>
      <c r="R4267">
        <v>0.64125827244195899</v>
      </c>
      <c r="S4267" t="s">
        <v>10913</v>
      </c>
      <c r="T4267" t="s">
        <v>13290</v>
      </c>
      <c r="U4267" t="s">
        <v>13290</v>
      </c>
      <c r="V4267" t="s">
        <v>13290</v>
      </c>
      <c r="W4267" t="s">
        <v>17509</v>
      </c>
      <c r="X4267">
        <v>3</v>
      </c>
      <c r="Y4267" t="s">
        <v>24001</v>
      </c>
      <c r="Z4267" t="s">
        <v>30597</v>
      </c>
      <c r="AA4267">
        <v>0.75306544053272606</v>
      </c>
      <c r="AB4267" t="str">
        <f>HYPERLINK("Melting_Curves/meltCurve_Q7Z309_FAM122B.pdf", "Melting_Curves/meltCurve_Q7Z309_FAM122B.pdf")</f>
        <v>Melting_Curves/meltCurve_Q7Z309_FAM122B.pdf</v>
      </c>
    </row>
    <row r="4268" spans="1:28" x14ac:dyDescent="0.25">
      <c r="A4268" t="s">
        <v>4272</v>
      </c>
      <c r="B4268">
        <v>0.99252571173614901</v>
      </c>
      <c r="C4268">
        <v>1.1114979064291</v>
      </c>
      <c r="D4268">
        <v>1.0026347445208099</v>
      </c>
      <c r="E4268">
        <v>0.93456681864039903</v>
      </c>
      <c r="F4268">
        <v>0.64587455922554404</v>
      </c>
      <c r="G4268">
        <v>0.41683753105214599</v>
      </c>
      <c r="H4268">
        <v>0.303056999487543</v>
      </c>
      <c r="I4268">
        <v>0.32227891795039199</v>
      </c>
      <c r="J4268">
        <v>0.52607728701189305</v>
      </c>
      <c r="K4268">
        <v>0.72313144794014195</v>
      </c>
      <c r="L4268">
        <v>2405.50940286683</v>
      </c>
      <c r="M4268">
        <v>45.9757158183534</v>
      </c>
      <c r="N4268">
        <v>55.280749785104902</v>
      </c>
      <c r="O4268">
        <v>52.222596449950998</v>
      </c>
      <c r="P4268">
        <v>-0.119437256098194</v>
      </c>
      <c r="Q4268">
        <v>0.45733811241436101</v>
      </c>
      <c r="R4268">
        <v>0.835610647838404</v>
      </c>
      <c r="S4268" t="s">
        <v>10914</v>
      </c>
      <c r="T4268" t="s">
        <v>13290</v>
      </c>
      <c r="U4268" t="s">
        <v>13290</v>
      </c>
      <c r="V4268" t="s">
        <v>13290</v>
      </c>
      <c r="W4268" t="s">
        <v>17510</v>
      </c>
      <c r="X4268">
        <v>2</v>
      </c>
      <c r="Y4268" t="s">
        <v>24001</v>
      </c>
      <c r="Z4268" t="s">
        <v>30598</v>
      </c>
      <c r="AA4268">
        <v>0.68169729448738459</v>
      </c>
      <c r="AB4268" t="str">
        <f>HYPERLINK("Melting_Curves/meltCurve_Q7Z309_4_FAM122B.pdf", "Melting_Curves/meltCurve_Q7Z309_4_FAM122B.pdf")</f>
        <v>Melting_Curves/meltCurve_Q7Z309_4_FAM122B.pdf</v>
      </c>
    </row>
    <row r="4269" spans="1:28" x14ac:dyDescent="0.25">
      <c r="A4269" t="s">
        <v>4273</v>
      </c>
      <c r="B4269">
        <v>0.99252571173614901</v>
      </c>
      <c r="C4269">
        <v>0.95077456340850497</v>
      </c>
      <c r="D4269">
        <v>0.91879641294683001</v>
      </c>
      <c r="E4269">
        <v>0.74198200925792301</v>
      </c>
      <c r="F4269">
        <v>0.50847935426887303</v>
      </c>
      <c r="G4269">
        <v>0.30987060662094401</v>
      </c>
      <c r="H4269">
        <v>0.261008445268892</v>
      </c>
      <c r="I4269">
        <v>0.230560979329755</v>
      </c>
      <c r="J4269">
        <v>0.270642034718866</v>
      </c>
      <c r="K4269">
        <v>0.263731972653938</v>
      </c>
      <c r="L4269">
        <v>1008.69552780523</v>
      </c>
      <c r="M4269">
        <v>19.682320384519599</v>
      </c>
      <c r="N4269">
        <v>53.003337852115799</v>
      </c>
      <c r="O4269">
        <v>50.728574771681302</v>
      </c>
      <c r="P4269">
        <v>-7.3781708420261799E-2</v>
      </c>
      <c r="Q4269">
        <v>0.23937601956323801</v>
      </c>
      <c r="R4269">
        <v>0.99572849923915596</v>
      </c>
      <c r="S4269" t="s">
        <v>10915</v>
      </c>
      <c r="T4269" t="s">
        <v>13290</v>
      </c>
      <c r="U4269" t="s">
        <v>13290</v>
      </c>
      <c r="V4269" t="s">
        <v>13290</v>
      </c>
      <c r="W4269" t="s">
        <v>17511</v>
      </c>
      <c r="X4269">
        <v>1</v>
      </c>
      <c r="Y4269" t="s">
        <v>24002</v>
      </c>
      <c r="Z4269" t="s">
        <v>30599</v>
      </c>
      <c r="AA4269">
        <v>0.53544863967318679</v>
      </c>
      <c r="AB4269" t="str">
        <f>HYPERLINK("Melting_Curves/meltCurve_Q7Z350_DKFZp686L0695.pdf", "Melting_Curves/meltCurve_Q7Z350_DKFZp686L0695.pdf")</f>
        <v>Melting_Curves/meltCurve_Q7Z350_DKFZp686L0695.pdf</v>
      </c>
    </row>
    <row r="4270" spans="1:28" x14ac:dyDescent="0.25">
      <c r="A4270" t="s">
        <v>4274</v>
      </c>
      <c r="B4270">
        <v>0.99252571173614901</v>
      </c>
      <c r="C4270">
        <v>0.82278463044801897</v>
      </c>
      <c r="D4270">
        <v>0.99303213062758899</v>
      </c>
      <c r="E4270">
        <v>0.43361167611923201</v>
      </c>
      <c r="F4270">
        <v>0.27018967465517602</v>
      </c>
      <c r="G4270">
        <v>0.146132249016663</v>
      </c>
      <c r="H4270">
        <v>0.112586861938248</v>
      </c>
      <c r="I4270">
        <v>0.12657002512896501</v>
      </c>
      <c r="J4270">
        <v>0.147457608097219</v>
      </c>
      <c r="K4270">
        <v>0.13899798789639101</v>
      </c>
      <c r="L4270">
        <v>1856.21959540693</v>
      </c>
      <c r="M4270">
        <v>37.937777693405501</v>
      </c>
      <c r="N4270">
        <v>49.3789473428712</v>
      </c>
      <c r="O4270">
        <v>48.792649948528798</v>
      </c>
      <c r="P4270">
        <v>-0.16592360644885401</v>
      </c>
      <c r="Q4270">
        <v>0.14640953991642999</v>
      </c>
      <c r="R4270">
        <v>0.96485494182322296</v>
      </c>
      <c r="S4270" t="s">
        <v>10916</v>
      </c>
      <c r="T4270" t="s">
        <v>13290</v>
      </c>
      <c r="U4270" t="s">
        <v>13290</v>
      </c>
      <c r="V4270" t="s">
        <v>13290</v>
      </c>
      <c r="W4270" t="s">
        <v>17512</v>
      </c>
      <c r="X4270">
        <v>1</v>
      </c>
      <c r="Y4270" t="s">
        <v>24003</v>
      </c>
      <c r="Z4270" t="s">
        <v>30600</v>
      </c>
      <c r="AA4270">
        <v>0.4036555060643327</v>
      </c>
      <c r="AB4270" t="str">
        <f>HYPERLINK("Melting_Curves/meltCurve_Q7Z392_TRAPPC11.pdf", "Melting_Curves/meltCurve_Q7Z392_TRAPPC11.pdf")</f>
        <v>Melting_Curves/meltCurve_Q7Z392_TRAPPC11.pdf</v>
      </c>
    </row>
    <row r="4271" spans="1:28" x14ac:dyDescent="0.25">
      <c r="A4271" t="s">
        <v>4275</v>
      </c>
      <c r="B4271">
        <v>0.99252571173614901</v>
      </c>
      <c r="C4271">
        <v>0.91378137774271095</v>
      </c>
      <c r="D4271">
        <v>0.86800200582040798</v>
      </c>
      <c r="E4271">
        <v>0.80300137021780404</v>
      </c>
      <c r="F4271">
        <v>0.426318341346834</v>
      </c>
      <c r="G4271">
        <v>0.207845033325187</v>
      </c>
      <c r="H4271">
        <v>0.12553575956533899</v>
      </c>
      <c r="I4271">
        <v>0.141595587823279</v>
      </c>
      <c r="J4271">
        <v>0.120451073454015</v>
      </c>
      <c r="K4271">
        <v>0.152947548854212</v>
      </c>
      <c r="L4271">
        <v>1138.3077363827001</v>
      </c>
      <c r="M4271">
        <v>21.9903467447363</v>
      </c>
      <c r="N4271">
        <v>52.407594016564502</v>
      </c>
      <c r="O4271">
        <v>51.341607670682002</v>
      </c>
      <c r="P4271">
        <v>-9.4409567473573999E-2</v>
      </c>
      <c r="Q4271">
        <v>0.118334852790917</v>
      </c>
      <c r="R4271">
        <v>0.986749776566899</v>
      </c>
      <c r="S4271" t="s">
        <v>10917</v>
      </c>
      <c r="T4271" t="s">
        <v>13290</v>
      </c>
      <c r="U4271" t="s">
        <v>13290</v>
      </c>
      <c r="V4271" t="s">
        <v>13290</v>
      </c>
      <c r="W4271" t="s">
        <v>17513</v>
      </c>
      <c r="X4271">
        <v>2</v>
      </c>
      <c r="Y4271" t="s">
        <v>24004</v>
      </c>
      <c r="Z4271" t="s">
        <v>30601</v>
      </c>
      <c r="AA4271">
        <v>0.47431770629510089</v>
      </c>
      <c r="AB4271" t="str">
        <f>HYPERLINK("Melting_Curves/meltCurve_Q7Z3C6_2_ATG9A.pdf", "Melting_Curves/meltCurve_Q7Z3C6_2_ATG9A.pdf")</f>
        <v>Melting_Curves/meltCurve_Q7Z3C6_2_ATG9A.pdf</v>
      </c>
    </row>
    <row r="4272" spans="1:28" x14ac:dyDescent="0.25">
      <c r="A4272" t="s">
        <v>4276</v>
      </c>
      <c r="B4272">
        <v>0.99252571173614901</v>
      </c>
      <c r="C4272">
        <v>0.960829738701381</v>
      </c>
      <c r="D4272">
        <v>0.91216730774589505</v>
      </c>
      <c r="E4272">
        <v>0.77831190081222101</v>
      </c>
      <c r="F4272">
        <v>0.61111623681539096</v>
      </c>
      <c r="G4272">
        <v>0.42962033228350599</v>
      </c>
      <c r="H4272">
        <v>0.31399829865189399</v>
      </c>
      <c r="I4272">
        <v>0.273457656709792</v>
      </c>
      <c r="J4272">
        <v>0.31671432557391899</v>
      </c>
      <c r="K4272">
        <v>0.26590562414406599</v>
      </c>
      <c r="L4272">
        <v>788.549443680796</v>
      </c>
      <c r="M4272">
        <v>15.00620757165</v>
      </c>
      <c r="N4272">
        <v>55.087904065604498</v>
      </c>
      <c r="O4272">
        <v>51.641523304449102</v>
      </c>
      <c r="P4272">
        <v>-5.4514088680315001E-2</v>
      </c>
      <c r="Q4272">
        <v>0.249668741435874</v>
      </c>
      <c r="R4272">
        <v>0.99591945544044402</v>
      </c>
      <c r="S4272" t="s">
        <v>10918</v>
      </c>
      <c r="T4272" t="s">
        <v>13290</v>
      </c>
      <c r="U4272" t="s">
        <v>13290</v>
      </c>
      <c r="V4272" t="s">
        <v>13290</v>
      </c>
      <c r="W4272" t="s">
        <v>17514</v>
      </c>
      <c r="X4272">
        <v>4</v>
      </c>
      <c r="Y4272" t="s">
        <v>24005</v>
      </c>
      <c r="Z4272" t="s">
        <v>30602</v>
      </c>
      <c r="AA4272">
        <v>0.57994497003325618</v>
      </c>
      <c r="AB4272" t="str">
        <f>HYPERLINK("Melting_Curves/meltCurve_Q7Z3D4_LYSMD3.pdf", "Melting_Curves/meltCurve_Q7Z3D4_LYSMD3.pdf")</f>
        <v>Melting_Curves/meltCurve_Q7Z3D4_LYSMD3.pdf</v>
      </c>
    </row>
    <row r="4273" spans="1:28" x14ac:dyDescent="0.25">
      <c r="A4273" t="s">
        <v>4277</v>
      </c>
      <c r="B4273">
        <v>0.99252571173614901</v>
      </c>
      <c r="C4273">
        <v>1.0571851173817901</v>
      </c>
      <c r="D4273">
        <v>0.95922221483292402</v>
      </c>
      <c r="E4273">
        <v>0.74978028940605501</v>
      </c>
      <c r="F4273">
        <v>0.33909631666963203</v>
      </c>
      <c r="G4273">
        <v>0.123202010938479</v>
      </c>
      <c r="H4273">
        <v>8.8582205580831602E-2</v>
      </c>
      <c r="I4273">
        <v>0.101106634733078</v>
      </c>
      <c r="J4273">
        <v>6.6599213795361503E-2</v>
      </c>
      <c r="K4273">
        <v>5.5306800047723502E-2</v>
      </c>
      <c r="L4273">
        <v>1426.54822206877</v>
      </c>
      <c r="M4273">
        <v>27.747438609679801</v>
      </c>
      <c r="N4273">
        <v>51.699475557801499</v>
      </c>
      <c r="O4273">
        <v>51.147098490890897</v>
      </c>
      <c r="P4273">
        <v>-0.12592772775176</v>
      </c>
      <c r="Q4273">
        <v>7.1513887610582805E-2</v>
      </c>
      <c r="R4273">
        <v>0.99705930782438501</v>
      </c>
      <c r="S4273" t="s">
        <v>10919</v>
      </c>
      <c r="T4273" t="s">
        <v>13290</v>
      </c>
      <c r="U4273" t="s">
        <v>13290</v>
      </c>
      <c r="V4273" t="s">
        <v>13290</v>
      </c>
      <c r="W4273" t="s">
        <v>17515</v>
      </c>
      <c r="X4273">
        <v>12</v>
      </c>
      <c r="Y4273" t="s">
        <v>24006</v>
      </c>
      <c r="Z4273" t="s">
        <v>30603</v>
      </c>
      <c r="AA4273">
        <v>0.43157015737248028</v>
      </c>
      <c r="AB4273" t="str">
        <f>HYPERLINK("Melting_Curves/meltCurve_Q7Z3D6_2_C14orf159.pdf", "Melting_Curves/meltCurve_Q7Z3D6_2_C14orf159.pdf")</f>
        <v>Melting_Curves/meltCurve_Q7Z3D6_2_C14orf159.pdf</v>
      </c>
    </row>
    <row r="4274" spans="1:28" x14ac:dyDescent="0.25">
      <c r="A4274" t="s">
        <v>4278</v>
      </c>
      <c r="B4274">
        <v>0.99252571173614901</v>
      </c>
      <c r="C4274">
        <v>1.0181482303578</v>
      </c>
      <c r="D4274">
        <v>0.79413399819304398</v>
      </c>
      <c r="E4274">
        <v>0.46624289830534099</v>
      </c>
      <c r="F4274">
        <v>0.20342325914769699</v>
      </c>
      <c r="G4274">
        <v>0.13525777067997699</v>
      </c>
      <c r="H4274">
        <v>0.103717540826351</v>
      </c>
      <c r="I4274">
        <v>0.134657596128096</v>
      </c>
      <c r="J4274">
        <v>0.20124506666901601</v>
      </c>
      <c r="K4274">
        <v>0.22972249536057901</v>
      </c>
      <c r="L4274">
        <v>1299.4090903787201</v>
      </c>
      <c r="M4274">
        <v>26.887840563089199</v>
      </c>
      <c r="N4274">
        <v>49.009769819931698</v>
      </c>
      <c r="O4274">
        <v>48.062090816761298</v>
      </c>
      <c r="P4274">
        <v>-0.11801315384557499</v>
      </c>
      <c r="Q4274">
        <v>0.156213486779471</v>
      </c>
      <c r="R4274">
        <v>0.98635679765286799</v>
      </c>
      <c r="S4274" t="s">
        <v>10920</v>
      </c>
      <c r="T4274" t="s">
        <v>13290</v>
      </c>
      <c r="U4274" t="s">
        <v>13290</v>
      </c>
      <c r="V4274" t="s">
        <v>13290</v>
      </c>
      <c r="W4274" t="s">
        <v>17516</v>
      </c>
      <c r="X4274">
        <v>19</v>
      </c>
      <c r="Y4274" t="s">
        <v>24007</v>
      </c>
      <c r="Z4274" t="s">
        <v>30604</v>
      </c>
      <c r="AA4274">
        <v>0.3968219784810339</v>
      </c>
      <c r="AB4274" t="str">
        <f>HYPERLINK("Melting_Curves/meltCurve_Q7Z3E2_C10orf118.pdf", "Melting_Curves/meltCurve_Q7Z3E2_C10orf118.pdf")</f>
        <v>Melting_Curves/meltCurve_Q7Z3E2_C10orf118.pdf</v>
      </c>
    </row>
    <row r="4275" spans="1:28" x14ac:dyDescent="0.25">
      <c r="A4275" t="s">
        <v>4279</v>
      </c>
      <c r="B4275">
        <v>0.99252571173614901</v>
      </c>
      <c r="C4275">
        <v>0.90118495710018298</v>
      </c>
      <c r="D4275">
        <v>0.71202289865110802</v>
      </c>
      <c r="E4275">
        <v>0.46360623137409601</v>
      </c>
      <c r="F4275">
        <v>0.32498317022701301</v>
      </c>
      <c r="G4275">
        <v>0.164634187643031</v>
      </c>
      <c r="H4275">
        <v>0.103645741668334</v>
      </c>
      <c r="I4275">
        <v>0.117014992060662</v>
      </c>
      <c r="J4275">
        <v>0.15857996135824001</v>
      </c>
      <c r="K4275">
        <v>0.14283581742801901</v>
      </c>
      <c r="L4275">
        <v>774.45521612077403</v>
      </c>
      <c r="M4275">
        <v>16.025706552054199</v>
      </c>
      <c r="N4275">
        <v>49.135252090283601</v>
      </c>
      <c r="O4275">
        <v>47.592121906785898</v>
      </c>
      <c r="P4275">
        <v>-7.4421951612913706E-2</v>
      </c>
      <c r="Q4275">
        <v>0.11601485510000301</v>
      </c>
      <c r="R4275">
        <v>0.99331196504735597</v>
      </c>
      <c r="S4275" t="s">
        <v>10921</v>
      </c>
      <c r="T4275" t="s">
        <v>13290</v>
      </c>
      <c r="U4275" t="s">
        <v>13290</v>
      </c>
      <c r="V4275" t="s">
        <v>13290</v>
      </c>
      <c r="W4275" t="s">
        <v>17517</v>
      </c>
      <c r="X4275">
        <v>10</v>
      </c>
      <c r="Y4275" t="s">
        <v>24008</v>
      </c>
      <c r="Z4275" t="s">
        <v>30605</v>
      </c>
      <c r="AA4275">
        <v>0.38101754222846562</v>
      </c>
      <c r="AB4275" t="str">
        <f>HYPERLINK("Melting_Curves/meltCurve_Q7Z3K3_5_POGZ.pdf", "Melting_Curves/meltCurve_Q7Z3K3_5_POGZ.pdf")</f>
        <v>Melting_Curves/meltCurve_Q7Z3K3_5_POGZ.pdf</v>
      </c>
    </row>
    <row r="4276" spans="1:28" x14ac:dyDescent="0.25">
      <c r="A4276" t="s">
        <v>4280</v>
      </c>
      <c r="B4276">
        <v>0.99252571173614901</v>
      </c>
      <c r="C4276">
        <v>1.0437330319646501</v>
      </c>
      <c r="D4276">
        <v>0.98309022057933304</v>
      </c>
      <c r="E4276">
        <v>0.89103085427374795</v>
      </c>
      <c r="F4276">
        <v>0.42013539315429799</v>
      </c>
      <c r="G4276">
        <v>0.14723144895342399</v>
      </c>
      <c r="H4276">
        <v>0.10245797915183801</v>
      </c>
      <c r="I4276">
        <v>0.10063534290793399</v>
      </c>
      <c r="J4276">
        <v>0.15017061113612701</v>
      </c>
      <c r="K4276">
        <v>0.14426317396528801</v>
      </c>
      <c r="L4276">
        <v>1984.5266762455601</v>
      </c>
      <c r="M4276">
        <v>37.994572072770502</v>
      </c>
      <c r="N4276">
        <v>52.614777610545502</v>
      </c>
      <c r="O4276">
        <v>52.087786194735699</v>
      </c>
      <c r="P4276">
        <v>-0.16033119780986199</v>
      </c>
      <c r="Q4276">
        <v>0.120792775787345</v>
      </c>
      <c r="R4276">
        <v>0.99709489634327597</v>
      </c>
      <c r="S4276" t="s">
        <v>10922</v>
      </c>
      <c r="T4276" t="s">
        <v>13290</v>
      </c>
      <c r="U4276" t="s">
        <v>13290</v>
      </c>
      <c r="V4276" t="s">
        <v>13290</v>
      </c>
      <c r="W4276" t="s">
        <v>17518</v>
      </c>
      <c r="X4276">
        <v>6</v>
      </c>
      <c r="Y4276" t="s">
        <v>24009</v>
      </c>
      <c r="Z4276" t="s">
        <v>30606</v>
      </c>
      <c r="AA4276">
        <v>0.48278818780726029</v>
      </c>
      <c r="AB4276" t="str">
        <f>HYPERLINK("Melting_Curves/meltCurve_Q7Z3T8_ZFYVE16.pdf", "Melting_Curves/meltCurve_Q7Z3T8_ZFYVE16.pdf")</f>
        <v>Melting_Curves/meltCurve_Q7Z3T8_ZFYVE16.pdf</v>
      </c>
    </row>
    <row r="4277" spans="1:28" x14ac:dyDescent="0.25">
      <c r="A4277" t="s">
        <v>4281</v>
      </c>
      <c r="B4277">
        <v>0.99252571173614901</v>
      </c>
      <c r="C4277">
        <v>0.88766226820244998</v>
      </c>
      <c r="D4277">
        <v>0.71922815229318904</v>
      </c>
      <c r="E4277">
        <v>0.715505977425555</v>
      </c>
      <c r="F4277">
        <v>0.22757666341330601</v>
      </c>
      <c r="G4277">
        <v>0.132120612266694</v>
      </c>
      <c r="H4277">
        <v>2.2032288086835501E-2</v>
      </c>
      <c r="I4277">
        <v>0.111042252138935</v>
      </c>
      <c r="J4277">
        <v>8.4265353716414207E-2</v>
      </c>
      <c r="K4277">
        <v>4.8684104516155603E-2</v>
      </c>
      <c r="L4277">
        <v>808.21178144072201</v>
      </c>
      <c r="M4277">
        <v>16.111894163811598</v>
      </c>
      <c r="N4277">
        <v>50.365951213221301</v>
      </c>
      <c r="O4277">
        <v>49.408772688913899</v>
      </c>
      <c r="P4277">
        <v>-7.8960210995277197E-2</v>
      </c>
      <c r="Q4277">
        <v>3.1515633081333302E-2</v>
      </c>
      <c r="R4277">
        <v>0.96132296836773201</v>
      </c>
      <c r="S4277" t="s">
        <v>10923</v>
      </c>
      <c r="T4277" t="s">
        <v>13290</v>
      </c>
      <c r="U4277" t="s">
        <v>13290</v>
      </c>
      <c r="V4277" t="s">
        <v>13290</v>
      </c>
      <c r="W4277" t="s">
        <v>17519</v>
      </c>
      <c r="X4277">
        <v>1</v>
      </c>
      <c r="Y4277" t="s">
        <v>24010</v>
      </c>
      <c r="Z4277" t="s">
        <v>30607</v>
      </c>
      <c r="AA4277">
        <v>0.37981431464713761</v>
      </c>
      <c r="AB4277" t="str">
        <f>HYPERLINK("Melting_Curves/meltCurve_Q7Z404_1_TMC4.pdf", "Melting_Curves/meltCurve_Q7Z404_1_TMC4.pdf")</f>
        <v>Melting_Curves/meltCurve_Q7Z404_1_TMC4.pdf</v>
      </c>
    </row>
    <row r="4278" spans="1:28" x14ac:dyDescent="0.25">
      <c r="A4278" t="s">
        <v>4282</v>
      </c>
      <c r="B4278">
        <v>0.99252571173614901</v>
      </c>
      <c r="C4278">
        <v>0.92370569819503301</v>
      </c>
      <c r="D4278">
        <v>0.90076979953031</v>
      </c>
      <c r="E4278">
        <v>0.75397405933889206</v>
      </c>
      <c r="F4278">
        <v>0.56677970057925797</v>
      </c>
      <c r="G4278">
        <v>0.24639274602655001</v>
      </c>
      <c r="H4278">
        <v>0.156839926600781</v>
      </c>
      <c r="I4278">
        <v>0.20624836851359099</v>
      </c>
      <c r="J4278">
        <v>0.33785375538245699</v>
      </c>
      <c r="K4278">
        <v>0.48039485711214702</v>
      </c>
      <c r="L4278">
        <v>1212.97037921628</v>
      </c>
      <c r="M4278">
        <v>23.7353528686535</v>
      </c>
      <c r="N4278">
        <v>52.944727573389599</v>
      </c>
      <c r="O4278">
        <v>50.745345389913297</v>
      </c>
      <c r="P4278">
        <v>-8.4084610324678205E-2</v>
      </c>
      <c r="Q4278">
        <v>0.28093221135776397</v>
      </c>
      <c r="R4278">
        <v>0.899536963393189</v>
      </c>
      <c r="S4278" t="s">
        <v>10924</v>
      </c>
      <c r="T4278" t="s">
        <v>13290</v>
      </c>
      <c r="U4278" t="s">
        <v>13290</v>
      </c>
      <c r="V4278" t="s">
        <v>13290</v>
      </c>
      <c r="W4278" t="s">
        <v>17520</v>
      </c>
      <c r="X4278">
        <v>19</v>
      </c>
      <c r="Y4278" t="s">
        <v>24011</v>
      </c>
      <c r="Z4278" t="s">
        <v>30608</v>
      </c>
      <c r="AA4278">
        <v>0.55427999395547645</v>
      </c>
      <c r="AB4278" t="str">
        <f>HYPERLINK("Melting_Curves/meltCurve_Q7Z417_NUFIP2.pdf", "Melting_Curves/meltCurve_Q7Z417_NUFIP2.pdf")</f>
        <v>Melting_Curves/meltCurve_Q7Z417_NUFIP2.pdf</v>
      </c>
    </row>
    <row r="4279" spans="1:28" x14ac:dyDescent="0.25">
      <c r="A4279" t="s">
        <v>4283</v>
      </c>
      <c r="B4279">
        <v>0.99252571173614901</v>
      </c>
      <c r="C4279">
        <v>1.0514318803286899</v>
      </c>
      <c r="D4279">
        <v>0.964547003636129</v>
      </c>
      <c r="E4279">
        <v>0.91441629936389701</v>
      </c>
      <c r="F4279">
        <v>0.95274050225843998</v>
      </c>
      <c r="G4279">
        <v>0.79326520645558996</v>
      </c>
      <c r="H4279">
        <v>0.94933683393641399</v>
      </c>
      <c r="I4279">
        <v>1.14976283625176</v>
      </c>
      <c r="J4279">
        <v>1.9079417010438799</v>
      </c>
      <c r="K4279">
        <v>1.9875016900690601</v>
      </c>
      <c r="L4279">
        <v>15000</v>
      </c>
      <c r="M4279">
        <v>233.526296724963</v>
      </c>
      <c r="O4279">
        <v>64.227877082499404</v>
      </c>
      <c r="P4279">
        <v>0.45448775962896798</v>
      </c>
      <c r="Q4279">
        <v>1.5</v>
      </c>
      <c r="R4279">
        <v>0.71140936252790599</v>
      </c>
      <c r="S4279" t="s">
        <v>10925</v>
      </c>
      <c r="T4279" t="s">
        <v>13290</v>
      </c>
      <c r="U4279" t="s">
        <v>13290</v>
      </c>
      <c r="V4279" t="s">
        <v>13290</v>
      </c>
      <c r="W4279" t="s">
        <v>17521</v>
      </c>
      <c r="X4279">
        <v>6</v>
      </c>
      <c r="Y4279" t="s">
        <v>24012</v>
      </c>
      <c r="Z4279" t="s">
        <v>30609</v>
      </c>
      <c r="AA4279">
        <v>1.096058821183882</v>
      </c>
      <c r="AB4279" t="str">
        <f>HYPERLINK("Melting_Curves/meltCurve_Q7Z422_2_SZRD1.pdf", "Melting_Curves/meltCurve_Q7Z422_2_SZRD1.pdf")</f>
        <v>Melting_Curves/meltCurve_Q7Z422_2_SZRD1.pdf</v>
      </c>
    </row>
    <row r="4280" spans="1:28" x14ac:dyDescent="0.25">
      <c r="A4280" t="s">
        <v>4284</v>
      </c>
      <c r="B4280">
        <v>0.99252571173614901</v>
      </c>
      <c r="C4280">
        <v>0.99604381562746602</v>
      </c>
      <c r="D4280">
        <v>0.87671941154331601</v>
      </c>
      <c r="E4280">
        <v>0.77385712765735104</v>
      </c>
      <c r="F4280">
        <v>0.67751436669320397</v>
      </c>
      <c r="G4280">
        <v>0.45944205606341199</v>
      </c>
      <c r="H4280">
        <v>0.29904755159374502</v>
      </c>
      <c r="I4280">
        <v>0.34015770241120402</v>
      </c>
      <c r="J4280">
        <v>0.45262640596690401</v>
      </c>
      <c r="K4280">
        <v>0.420503951200417</v>
      </c>
      <c r="L4280">
        <v>869.24212108064603</v>
      </c>
      <c r="M4280">
        <v>16.832101542915701</v>
      </c>
      <c r="N4280">
        <v>55.935918328501799</v>
      </c>
      <c r="O4280">
        <v>50.929531132487597</v>
      </c>
      <c r="P4280">
        <v>-5.2663349264097603E-2</v>
      </c>
      <c r="Q4280">
        <v>0.36265894415384903</v>
      </c>
      <c r="R4280">
        <v>0.95127935327079605</v>
      </c>
      <c r="S4280" t="s">
        <v>10926</v>
      </c>
      <c r="T4280" t="s">
        <v>13290</v>
      </c>
      <c r="U4280" t="s">
        <v>13290</v>
      </c>
      <c r="V4280" t="s">
        <v>13290</v>
      </c>
      <c r="W4280" t="s">
        <v>17522</v>
      </c>
      <c r="X4280">
        <v>4</v>
      </c>
      <c r="Y4280" t="s">
        <v>24013</v>
      </c>
      <c r="Z4280" t="s">
        <v>30610</v>
      </c>
      <c r="AA4280">
        <v>0.62194185737375263</v>
      </c>
      <c r="AB4280" t="str">
        <f>HYPERLINK("Melting_Curves/meltCurve_Q7Z434_MAVS.pdf", "Melting_Curves/meltCurve_Q7Z434_MAVS.pdf")</f>
        <v>Melting_Curves/meltCurve_Q7Z434_MAVS.pdf</v>
      </c>
    </row>
    <row r="4281" spans="1:28" x14ac:dyDescent="0.25">
      <c r="A4281" t="s">
        <v>4285</v>
      </c>
      <c r="B4281">
        <v>0.99252571173614901</v>
      </c>
      <c r="C4281">
        <v>1.0636578673354</v>
      </c>
      <c r="D4281">
        <v>1.05956408434083</v>
      </c>
      <c r="E4281">
        <v>0.96123806114469601</v>
      </c>
      <c r="F4281">
        <v>0.29814372043692999</v>
      </c>
      <c r="G4281">
        <v>0.103306117196625</v>
      </c>
      <c r="H4281">
        <v>0.11358567070596901</v>
      </c>
      <c r="I4281">
        <v>9.1417741937482005E-2</v>
      </c>
      <c r="J4281">
        <v>9.17396893684779E-2</v>
      </c>
      <c r="K4281">
        <v>8.6983937195295999E-2</v>
      </c>
      <c r="L4281">
        <v>3201.4168822995298</v>
      </c>
      <c r="M4281">
        <v>61.422765035271702</v>
      </c>
      <c r="N4281">
        <v>52.303039858794897</v>
      </c>
      <c r="O4281">
        <v>52.065852510544197</v>
      </c>
      <c r="P4281">
        <v>-0.26654767416210201</v>
      </c>
      <c r="Q4281">
        <v>9.6229114715304501E-2</v>
      </c>
      <c r="R4281">
        <v>0.99580847225581803</v>
      </c>
      <c r="S4281" t="s">
        <v>10927</v>
      </c>
      <c r="T4281" t="s">
        <v>13290</v>
      </c>
      <c r="U4281" t="s">
        <v>13290</v>
      </c>
      <c r="V4281" t="s">
        <v>13290</v>
      </c>
      <c r="W4281" t="s">
        <v>17523</v>
      </c>
      <c r="X4281">
        <v>20</v>
      </c>
      <c r="Y4281" t="s">
        <v>24014</v>
      </c>
      <c r="Z4281" t="s">
        <v>30611</v>
      </c>
      <c r="AA4281">
        <v>0.46275740039534602</v>
      </c>
      <c r="AB4281" t="str">
        <f>HYPERLINK("Melting_Curves/meltCurve_Q7Z478_DHX29.pdf", "Melting_Curves/meltCurve_Q7Z478_DHX29.pdf")</f>
        <v>Melting_Curves/meltCurve_Q7Z478_DHX29.pdf</v>
      </c>
    </row>
    <row r="4282" spans="1:28" x14ac:dyDescent="0.25">
      <c r="A4282" t="s">
        <v>4286</v>
      </c>
      <c r="B4282">
        <v>0.99252571173614901</v>
      </c>
      <c r="C4282">
        <v>1.03076127981098</v>
      </c>
      <c r="D4282">
        <v>0.97618298469004305</v>
      </c>
      <c r="E4282">
        <v>0.83474705241759695</v>
      </c>
      <c r="F4282">
        <v>0.52796817133482299</v>
      </c>
      <c r="G4282">
        <v>0.27501425750811098</v>
      </c>
      <c r="H4282">
        <v>0.17516321970217</v>
      </c>
      <c r="I4282">
        <v>0.17694525038921699</v>
      </c>
      <c r="J4282">
        <v>0.19348279847229399</v>
      </c>
      <c r="K4282">
        <v>0.16129127974281399</v>
      </c>
      <c r="L4282">
        <v>1306.13576452451</v>
      </c>
      <c r="M4282">
        <v>24.8620489127238</v>
      </c>
      <c r="N4282">
        <v>53.404819475902698</v>
      </c>
      <c r="O4282">
        <v>52.198976945899503</v>
      </c>
      <c r="P4282">
        <v>-9.9256239513486597E-2</v>
      </c>
      <c r="Q4282">
        <v>0.16643990940332601</v>
      </c>
      <c r="R4282">
        <v>0.99824318604337703</v>
      </c>
      <c r="S4282" t="s">
        <v>10928</v>
      </c>
      <c r="T4282" t="s">
        <v>13290</v>
      </c>
      <c r="U4282" t="s">
        <v>13290</v>
      </c>
      <c r="V4282" t="s">
        <v>13290</v>
      </c>
      <c r="W4282" t="s">
        <v>17524</v>
      </c>
      <c r="X4282">
        <v>3</v>
      </c>
      <c r="Y4282" t="s">
        <v>24015</v>
      </c>
      <c r="Z4282" t="s">
        <v>30612</v>
      </c>
      <c r="AA4282">
        <v>0.52246582509192452</v>
      </c>
      <c r="AB4282" t="str">
        <f>HYPERLINK("Melting_Curves/meltCurve_Q7Z4G1_COMMD6.pdf", "Melting_Curves/meltCurve_Q7Z4G1_COMMD6.pdf")</f>
        <v>Melting_Curves/meltCurve_Q7Z4G1_COMMD6.pdf</v>
      </c>
    </row>
    <row r="4283" spans="1:28" x14ac:dyDescent="0.25">
      <c r="A4283" t="s">
        <v>4287</v>
      </c>
      <c r="B4283">
        <v>0.99252571173614901</v>
      </c>
      <c r="C4283">
        <v>1.05033865216836</v>
      </c>
      <c r="D4283">
        <v>0.96611775008146705</v>
      </c>
      <c r="E4283">
        <v>0.77945131518824595</v>
      </c>
      <c r="F4283">
        <v>0.71377616369595598</v>
      </c>
      <c r="G4283">
        <v>0.329233369616446</v>
      </c>
      <c r="H4283">
        <v>0.16599093698394901</v>
      </c>
      <c r="I4283">
        <v>0.15566117248032299</v>
      </c>
      <c r="J4283">
        <v>0.15991215279898099</v>
      </c>
      <c r="K4283">
        <v>0.142911208230835</v>
      </c>
      <c r="L4283">
        <v>1056.53829287291</v>
      </c>
      <c r="M4283">
        <v>19.547818547726798</v>
      </c>
      <c r="N4283">
        <v>54.7937299031571</v>
      </c>
      <c r="O4283">
        <v>53.4927834792366</v>
      </c>
      <c r="P4283">
        <v>-8.0701300777579504E-2</v>
      </c>
      <c r="Q4283">
        <v>0.116671762233376</v>
      </c>
      <c r="R4283">
        <v>0.98347100983539903</v>
      </c>
      <c r="S4283" t="s">
        <v>10929</v>
      </c>
      <c r="T4283" t="s">
        <v>13290</v>
      </c>
      <c r="U4283" t="s">
        <v>13290</v>
      </c>
      <c r="V4283" t="s">
        <v>13290</v>
      </c>
      <c r="W4283" t="s">
        <v>17525</v>
      </c>
      <c r="X4283">
        <v>9</v>
      </c>
      <c r="Y4283" t="s">
        <v>24016</v>
      </c>
      <c r="Z4283" t="s">
        <v>30613</v>
      </c>
      <c r="AA4283">
        <v>0.54277287535115593</v>
      </c>
      <c r="AB4283" t="str">
        <f>HYPERLINK("Melting_Curves/meltCurve_Q7Z4G4_2_TRMT11.pdf", "Melting_Curves/meltCurve_Q7Z4G4_2_TRMT11.pdf")</f>
        <v>Melting_Curves/meltCurve_Q7Z4G4_2_TRMT11.pdf</v>
      </c>
    </row>
    <row r="4284" spans="1:28" x14ac:dyDescent="0.25">
      <c r="A4284" t="s">
        <v>4288</v>
      </c>
      <c r="B4284">
        <v>0.99252571173614901</v>
      </c>
      <c r="C4284">
        <v>1.0571573047081899</v>
      </c>
      <c r="D4284">
        <v>0.98603312861488401</v>
      </c>
      <c r="E4284">
        <v>0.84682297125963002</v>
      </c>
      <c r="F4284">
        <v>0.74701690368301299</v>
      </c>
      <c r="G4284">
        <v>0.58064883548458002</v>
      </c>
      <c r="H4284">
        <v>0.49324576335431802</v>
      </c>
      <c r="I4284">
        <v>0.27449062192925</v>
      </c>
      <c r="J4284">
        <v>0.18126888731506199</v>
      </c>
      <c r="K4284">
        <v>0.155023015848859</v>
      </c>
      <c r="L4284">
        <v>638.83807860388697</v>
      </c>
      <c r="M4284">
        <v>10.839875897551099</v>
      </c>
      <c r="N4284">
        <v>58.9340531683956</v>
      </c>
      <c r="O4284">
        <v>57.034730226901701</v>
      </c>
      <c r="P4284">
        <v>-4.7531326297475897E-2</v>
      </c>
      <c r="Q4284">
        <v>0</v>
      </c>
      <c r="R4284">
        <v>0.98536552886016704</v>
      </c>
      <c r="S4284" t="s">
        <v>10930</v>
      </c>
      <c r="T4284" t="s">
        <v>13290</v>
      </c>
      <c r="U4284" t="s">
        <v>13290</v>
      </c>
      <c r="V4284" t="s">
        <v>13290</v>
      </c>
      <c r="W4284" t="s">
        <v>17526</v>
      </c>
      <c r="X4284">
        <v>9</v>
      </c>
      <c r="Y4284" t="s">
        <v>24017</v>
      </c>
      <c r="Z4284" t="s">
        <v>30614</v>
      </c>
      <c r="AA4284">
        <v>0.63719111000100659</v>
      </c>
      <c r="AB4284" t="str">
        <f>HYPERLINK("Melting_Curves/meltCurve_Q7Z4H3_HDDC2.pdf", "Melting_Curves/meltCurve_Q7Z4H3_HDDC2.pdf")</f>
        <v>Melting_Curves/meltCurve_Q7Z4H3_HDDC2.pdf</v>
      </c>
    </row>
    <row r="4285" spans="1:28" x14ac:dyDescent="0.25">
      <c r="A4285" t="s">
        <v>4289</v>
      </c>
      <c r="B4285">
        <v>0.99252571173614901</v>
      </c>
      <c r="C4285">
        <v>0.81227772795424202</v>
      </c>
      <c r="D4285">
        <v>0.70737586241091599</v>
      </c>
      <c r="E4285">
        <v>0.57120768969394997</v>
      </c>
      <c r="F4285">
        <v>0.46105583166842201</v>
      </c>
      <c r="G4285">
        <v>0.34452554555157799</v>
      </c>
      <c r="H4285">
        <v>0.12251626197008</v>
      </c>
      <c r="I4285">
        <v>8.4978696818210506E-2</v>
      </c>
      <c r="J4285">
        <v>9.3548907906320602E-2</v>
      </c>
      <c r="K4285">
        <v>0.103038263356138</v>
      </c>
      <c r="L4285">
        <v>475.994393820185</v>
      </c>
      <c r="M4285">
        <v>9.2952754096426808</v>
      </c>
      <c r="N4285">
        <v>51.208194363860599</v>
      </c>
      <c r="O4285">
        <v>49.005588474643503</v>
      </c>
      <c r="P4285">
        <v>-4.7449941833457299E-2</v>
      </c>
      <c r="Q4285">
        <v>0</v>
      </c>
      <c r="R4285">
        <v>0.97986274280733399</v>
      </c>
      <c r="S4285" t="s">
        <v>10931</v>
      </c>
      <c r="T4285" t="s">
        <v>13290</v>
      </c>
      <c r="U4285" t="s">
        <v>13290</v>
      </c>
      <c r="V4285" t="s">
        <v>13290</v>
      </c>
      <c r="W4285" t="s">
        <v>17527</v>
      </c>
      <c r="X4285">
        <v>2</v>
      </c>
      <c r="Y4285" t="s">
        <v>24018</v>
      </c>
      <c r="Z4285" t="s">
        <v>30615</v>
      </c>
      <c r="AA4285">
        <v>0.41808538304585191</v>
      </c>
      <c r="AB4285" t="str">
        <f>HYPERLINK("Melting_Curves/meltCurve_Q7Z4H7_3_HAUS6.pdf", "Melting_Curves/meltCurve_Q7Z4H7_3_HAUS6.pdf")</f>
        <v>Melting_Curves/meltCurve_Q7Z4H7_3_HAUS6.pdf</v>
      </c>
    </row>
    <row r="4286" spans="1:28" x14ac:dyDescent="0.25">
      <c r="A4286" t="s">
        <v>4290</v>
      </c>
      <c r="B4286">
        <v>0.99252571173614901</v>
      </c>
      <c r="C4286">
        <v>1.12963871422416</v>
      </c>
      <c r="D4286">
        <v>0.72501930785261903</v>
      </c>
      <c r="E4286">
        <v>0.82124269354021195</v>
      </c>
      <c r="F4286">
        <v>0.28651497937303</v>
      </c>
      <c r="G4286">
        <v>0.102719076793022</v>
      </c>
      <c r="H4286">
        <v>7.4990499040988007E-2</v>
      </c>
      <c r="I4286">
        <v>7.4078174708743602E-2</v>
      </c>
      <c r="J4286">
        <v>9.9684381754091902E-2</v>
      </c>
      <c r="K4286">
        <v>7.5109705009726704E-2</v>
      </c>
      <c r="L4286">
        <v>1433.5964773253099</v>
      </c>
      <c r="M4286">
        <v>27.948403321070501</v>
      </c>
      <c r="N4286">
        <v>51.566518164848503</v>
      </c>
      <c r="O4286">
        <v>51.033943218882598</v>
      </c>
      <c r="P4286">
        <v>-0.127524938199888</v>
      </c>
      <c r="Q4286">
        <v>6.8562998626662194E-2</v>
      </c>
      <c r="R4286">
        <v>0.94939595275465505</v>
      </c>
      <c r="S4286" t="s">
        <v>10932</v>
      </c>
      <c r="T4286" t="s">
        <v>13290</v>
      </c>
      <c r="U4286" t="s">
        <v>13290</v>
      </c>
      <c r="V4286" t="s">
        <v>13290</v>
      </c>
      <c r="W4286" t="s">
        <v>17528</v>
      </c>
      <c r="X4286">
        <v>18</v>
      </c>
      <c r="Y4286" t="s">
        <v>24019</v>
      </c>
      <c r="Z4286" t="s">
        <v>30616</v>
      </c>
      <c r="AA4286">
        <v>0.42600638492942122</v>
      </c>
      <c r="AB4286" t="str">
        <f>HYPERLINK("Melting_Curves/meltCurve_Q7Z4H8_KDELC2.pdf", "Melting_Curves/meltCurve_Q7Z4H8_KDELC2.pdf")</f>
        <v>Melting_Curves/meltCurve_Q7Z4H8_KDELC2.pdf</v>
      </c>
    </row>
    <row r="4287" spans="1:28" x14ac:dyDescent="0.25">
      <c r="A4287" t="s">
        <v>4291</v>
      </c>
      <c r="B4287">
        <v>0.99252571173614901</v>
      </c>
      <c r="C4287">
        <v>1.2781808521428899</v>
      </c>
      <c r="D4287">
        <v>1.0004881987924801</v>
      </c>
      <c r="E4287">
        <v>0.98149998450910803</v>
      </c>
      <c r="F4287">
        <v>0.73906045127115505</v>
      </c>
      <c r="G4287">
        <v>0.39205167881261799</v>
      </c>
      <c r="H4287">
        <v>0.29263514473389501</v>
      </c>
      <c r="I4287">
        <v>0.249697928147429</v>
      </c>
      <c r="J4287">
        <v>0.169660567973348</v>
      </c>
      <c r="K4287">
        <v>0.33954506582275901</v>
      </c>
      <c r="L4287">
        <v>1823.15644065316</v>
      </c>
      <c r="M4287">
        <v>33.624548146864001</v>
      </c>
      <c r="N4287">
        <v>55.4087342126005</v>
      </c>
      <c r="O4287">
        <v>54.030285607862098</v>
      </c>
      <c r="P4287">
        <v>-0.115627176287091</v>
      </c>
      <c r="Q4287">
        <v>0.25681155755072399</v>
      </c>
      <c r="R4287">
        <v>0.93535217326563902</v>
      </c>
      <c r="S4287" t="s">
        <v>10933</v>
      </c>
      <c r="T4287" t="s">
        <v>13290</v>
      </c>
      <c r="U4287" t="s">
        <v>13290</v>
      </c>
      <c r="V4287" t="s">
        <v>13290</v>
      </c>
      <c r="W4287" t="s">
        <v>17529</v>
      </c>
      <c r="X4287">
        <v>7</v>
      </c>
      <c r="Y4287" t="s">
        <v>24020</v>
      </c>
      <c r="Z4287" t="s">
        <v>30617</v>
      </c>
      <c r="AA4287">
        <v>0.61302834024597852</v>
      </c>
      <c r="AB4287" t="str">
        <f>HYPERLINK("Melting_Curves/meltCurve_Q7Z4I7_4_LIMS2.pdf", "Melting_Curves/meltCurve_Q7Z4I7_4_LIMS2.pdf")</f>
        <v>Melting_Curves/meltCurve_Q7Z4I7_4_LIMS2.pdf</v>
      </c>
    </row>
    <row r="4288" spans="1:28" x14ac:dyDescent="0.25">
      <c r="A4288" t="s">
        <v>4292</v>
      </c>
      <c r="B4288">
        <v>0.99252571173614901</v>
      </c>
      <c r="C4288">
        <v>0.87298485925015401</v>
      </c>
      <c r="D4288">
        <v>0.70393778333167101</v>
      </c>
      <c r="E4288">
        <v>0.20231448855617801</v>
      </c>
      <c r="F4288">
        <v>0.10699245528222499</v>
      </c>
      <c r="G4288">
        <v>5.5321286894783599E-2</v>
      </c>
      <c r="H4288">
        <v>4.2497429828728603E-2</v>
      </c>
      <c r="I4288">
        <v>4.65963570257392E-2</v>
      </c>
      <c r="J4288">
        <v>5.5416877640404302E-2</v>
      </c>
      <c r="K4288">
        <v>4.8720423207097199E-2</v>
      </c>
      <c r="L4288">
        <v>1279.2687109206699</v>
      </c>
      <c r="M4288">
        <v>27.191693644147399</v>
      </c>
      <c r="N4288">
        <v>47.219844720556701</v>
      </c>
      <c r="O4288">
        <v>46.794061394470603</v>
      </c>
      <c r="P4288">
        <v>-0.138366633281717</v>
      </c>
      <c r="Q4288">
        <v>4.7551143232753702E-2</v>
      </c>
      <c r="R4288">
        <v>0.99473381876667499</v>
      </c>
      <c r="S4288" t="s">
        <v>10934</v>
      </c>
      <c r="T4288" t="s">
        <v>13290</v>
      </c>
      <c r="U4288" t="s">
        <v>13290</v>
      </c>
      <c r="V4288" t="s">
        <v>13290</v>
      </c>
      <c r="W4288" t="s">
        <v>17530</v>
      </c>
      <c r="X4288">
        <v>13</v>
      </c>
      <c r="Y4288" t="s">
        <v>24021</v>
      </c>
      <c r="Z4288" t="s">
        <v>30618</v>
      </c>
      <c r="AA4288">
        <v>0.27832642682204389</v>
      </c>
      <c r="AB4288" t="str">
        <f>HYPERLINK("Melting_Curves/meltCurve_Q7Z4Q2_HEATR3.pdf", "Melting_Curves/meltCurve_Q7Z4Q2_HEATR3.pdf")</f>
        <v>Melting_Curves/meltCurve_Q7Z4Q2_HEATR3.pdf</v>
      </c>
    </row>
    <row r="4289" spans="1:28" x14ac:dyDescent="0.25">
      <c r="A4289" t="s">
        <v>4293</v>
      </c>
      <c r="B4289">
        <v>0.99252571173614901</v>
      </c>
      <c r="C4289">
        <v>1.09658451140239</v>
      </c>
      <c r="D4289">
        <v>1.0071414585493299</v>
      </c>
      <c r="E4289">
        <v>0.93623421535104301</v>
      </c>
      <c r="F4289">
        <v>0.624575971117586</v>
      </c>
      <c r="G4289">
        <v>0.51351952810974499</v>
      </c>
      <c r="H4289">
        <v>0.44419213534379098</v>
      </c>
      <c r="I4289">
        <v>0.59984753743561903</v>
      </c>
      <c r="J4289">
        <v>0.81238113343901597</v>
      </c>
      <c r="K4289">
        <v>0.84272067217715696</v>
      </c>
      <c r="L4289">
        <v>12476.259338518999</v>
      </c>
      <c r="M4289">
        <v>250</v>
      </c>
      <c r="O4289">
        <v>49.901843795113599</v>
      </c>
      <c r="P4289">
        <v>-0.45146191916997302</v>
      </c>
      <c r="Q4289">
        <v>0.63953948593886101</v>
      </c>
      <c r="R4289">
        <v>0.70740180977892997</v>
      </c>
      <c r="S4289" t="s">
        <v>10935</v>
      </c>
      <c r="T4289" t="s">
        <v>13290</v>
      </c>
      <c r="U4289" t="s">
        <v>13290</v>
      </c>
      <c r="V4289" t="s">
        <v>13290</v>
      </c>
      <c r="W4289" t="s">
        <v>17531</v>
      </c>
      <c r="X4289">
        <v>20</v>
      </c>
      <c r="Y4289" t="s">
        <v>24022</v>
      </c>
      <c r="Z4289" t="s">
        <v>30619</v>
      </c>
      <c r="AA4289">
        <v>0.75858355120968757</v>
      </c>
      <c r="AB4289" t="str">
        <f>HYPERLINK("Melting_Curves/meltCurve_Q7Z4V5_HDGFRP2.pdf", "Melting_Curves/meltCurve_Q7Z4V5_HDGFRP2.pdf")</f>
        <v>Melting_Curves/meltCurve_Q7Z4V5_HDGFRP2.pdf</v>
      </c>
    </row>
    <row r="4290" spans="1:28" x14ac:dyDescent="0.25">
      <c r="A4290" t="s">
        <v>4294</v>
      </c>
      <c r="B4290">
        <v>0.99252571173614901</v>
      </c>
      <c r="C4290">
        <v>1.0045656153617399</v>
      </c>
      <c r="D4290">
        <v>1.00307597378123</v>
      </c>
      <c r="E4290">
        <v>0.93381619295938401</v>
      </c>
      <c r="F4290">
        <v>0.87846806637074504</v>
      </c>
      <c r="G4290">
        <v>0.715618739960735</v>
      </c>
      <c r="H4290">
        <v>0.48732384890441999</v>
      </c>
      <c r="I4290">
        <v>0.140628100472488</v>
      </c>
      <c r="J4290">
        <v>0.11277286878724101</v>
      </c>
      <c r="K4290">
        <v>9.4590984424702901E-2</v>
      </c>
      <c r="L4290">
        <v>1092.1565598269899</v>
      </c>
      <c r="M4290">
        <v>18.296337724502902</v>
      </c>
      <c r="N4290">
        <v>59.692653398092602</v>
      </c>
      <c r="O4290">
        <v>58.993248148489897</v>
      </c>
      <c r="P4290">
        <v>-7.7539310524860905E-2</v>
      </c>
      <c r="Q4290">
        <v>0</v>
      </c>
      <c r="R4290">
        <v>0.98865673775485596</v>
      </c>
      <c r="S4290" t="s">
        <v>10936</v>
      </c>
      <c r="T4290" t="s">
        <v>13290</v>
      </c>
      <c r="U4290" t="s">
        <v>13290</v>
      </c>
      <c r="V4290" t="s">
        <v>13290</v>
      </c>
      <c r="W4290" t="s">
        <v>17532</v>
      </c>
      <c r="X4290">
        <v>17</v>
      </c>
      <c r="Y4290" t="s">
        <v>24023</v>
      </c>
      <c r="Z4290" t="s">
        <v>30620</v>
      </c>
      <c r="AA4290">
        <v>0.66547725472156938</v>
      </c>
      <c r="AB4290" t="str">
        <f>HYPERLINK("Melting_Curves/meltCurve_Q7Z4W1_DCXR.pdf", "Melting_Curves/meltCurve_Q7Z4W1_DCXR.pdf")</f>
        <v>Melting_Curves/meltCurve_Q7Z4W1_DCXR.pdf</v>
      </c>
    </row>
    <row r="4291" spans="1:28" x14ac:dyDescent="0.25">
      <c r="A4291" t="s">
        <v>4295</v>
      </c>
      <c r="B4291">
        <v>0.99252571173614901</v>
      </c>
      <c r="C4291">
        <v>0.99245820390296302</v>
      </c>
      <c r="D4291">
        <v>0.58815496045694005</v>
      </c>
      <c r="E4291">
        <v>0.323743204197733</v>
      </c>
      <c r="F4291">
        <v>0.20174264687295901</v>
      </c>
      <c r="G4291">
        <v>0.10970149162469001</v>
      </c>
      <c r="H4291">
        <v>9.4424105406641701E-2</v>
      </c>
      <c r="I4291">
        <v>0.106485339929672</v>
      </c>
      <c r="J4291">
        <v>0.147035747435938</v>
      </c>
      <c r="K4291">
        <v>0.17093251453917499</v>
      </c>
      <c r="L4291">
        <v>1200.61471687515</v>
      </c>
      <c r="M4291">
        <v>25.7487347412888</v>
      </c>
      <c r="N4291">
        <v>47.195938241659903</v>
      </c>
      <c r="O4291">
        <v>46.349590364643198</v>
      </c>
      <c r="P4291">
        <v>-0.120385402113622</v>
      </c>
      <c r="Q4291">
        <v>0.13320064519057701</v>
      </c>
      <c r="R4291">
        <v>0.98585687399626598</v>
      </c>
      <c r="S4291" t="s">
        <v>10937</v>
      </c>
      <c r="T4291" t="s">
        <v>13290</v>
      </c>
      <c r="U4291" t="s">
        <v>13290</v>
      </c>
      <c r="V4291" t="s">
        <v>13290</v>
      </c>
      <c r="W4291" t="s">
        <v>17533</v>
      </c>
      <c r="X4291">
        <v>7</v>
      </c>
      <c r="Y4291" t="s">
        <v>24024</v>
      </c>
      <c r="Z4291" t="s">
        <v>30621</v>
      </c>
      <c r="AA4291">
        <v>0.33201909415086278</v>
      </c>
      <c r="AB4291" t="str">
        <f>HYPERLINK("Melting_Curves/meltCurve_Q7Z569_BRAP.pdf", "Melting_Curves/meltCurve_Q7Z569_BRAP.pdf")</f>
        <v>Melting_Curves/meltCurve_Q7Z569_BRAP.pdf</v>
      </c>
    </row>
    <row r="4292" spans="1:28" x14ac:dyDescent="0.25">
      <c r="A4292" t="s">
        <v>4296</v>
      </c>
      <c r="B4292">
        <v>0.99252571173614901</v>
      </c>
      <c r="C4292">
        <v>1.0210345359606099</v>
      </c>
      <c r="D4292">
        <v>0.98344646190446405</v>
      </c>
      <c r="E4292">
        <v>1.02191053190464</v>
      </c>
      <c r="F4292">
        <v>0.87655814185217895</v>
      </c>
      <c r="G4292">
        <v>0.54705498621438198</v>
      </c>
      <c r="H4292">
        <v>0.52717888975513005</v>
      </c>
      <c r="I4292">
        <v>0.71760660992871095</v>
      </c>
      <c r="J4292">
        <v>1.0064501449215999</v>
      </c>
      <c r="K4292">
        <v>1.00086645388201</v>
      </c>
      <c r="L4292">
        <v>13297.024180272199</v>
      </c>
      <c r="M4292">
        <v>250</v>
      </c>
      <c r="O4292">
        <v>53.184675740054502</v>
      </c>
      <c r="P4292">
        <v>-0.282234135031248</v>
      </c>
      <c r="Q4292">
        <v>0.759831426510854</v>
      </c>
      <c r="R4292">
        <v>0.37575992876421199</v>
      </c>
      <c r="S4292" t="s">
        <v>10938</v>
      </c>
      <c r="T4292" t="s">
        <v>13290</v>
      </c>
      <c r="U4292" t="s">
        <v>13290</v>
      </c>
      <c r="V4292" t="s">
        <v>13290</v>
      </c>
      <c r="W4292" t="s">
        <v>17534</v>
      </c>
      <c r="X4292">
        <v>2</v>
      </c>
      <c r="Y4292" t="s">
        <v>24025</v>
      </c>
      <c r="Z4292" t="s">
        <v>30622</v>
      </c>
      <c r="AA4292">
        <v>0.86543272409192074</v>
      </c>
      <c r="AB4292" t="str">
        <f>HYPERLINK("Melting_Curves/meltCurve_Q7Z589_2_EMSY.pdf", "Melting_Curves/meltCurve_Q7Z589_2_EMSY.pdf")</f>
        <v>Melting_Curves/meltCurve_Q7Z589_2_EMSY.pdf</v>
      </c>
    </row>
    <row r="4293" spans="1:28" x14ac:dyDescent="0.25">
      <c r="A4293" t="s">
        <v>4297</v>
      </c>
      <c r="B4293">
        <v>0.99252571173614901</v>
      </c>
      <c r="C4293">
        <v>0.92488056952544195</v>
      </c>
      <c r="D4293">
        <v>0.85083013853997702</v>
      </c>
      <c r="E4293">
        <v>0.80333036866885399</v>
      </c>
      <c r="F4293">
        <v>0.74170185393903698</v>
      </c>
      <c r="G4293">
        <v>0.52965346087035503</v>
      </c>
      <c r="H4293">
        <v>0.44411207939385799</v>
      </c>
      <c r="I4293">
        <v>0.42837002634134103</v>
      </c>
      <c r="J4293">
        <v>0.48214092308892198</v>
      </c>
      <c r="K4293">
        <v>0.31402836187418398</v>
      </c>
      <c r="L4293">
        <v>486.60884124352299</v>
      </c>
      <c r="M4293">
        <v>8.9150555874011594</v>
      </c>
      <c r="N4293">
        <v>59.992567514885501</v>
      </c>
      <c r="O4293">
        <v>52.046013419610901</v>
      </c>
      <c r="P4293">
        <v>-3.1018143950497699E-2</v>
      </c>
      <c r="Q4293">
        <v>0.276210531600382</v>
      </c>
      <c r="R4293">
        <v>0.96030612749733602</v>
      </c>
      <c r="S4293" t="s">
        <v>10939</v>
      </c>
      <c r="T4293" t="s">
        <v>13290</v>
      </c>
      <c r="U4293" t="s">
        <v>13290</v>
      </c>
      <c r="V4293" t="s">
        <v>13290</v>
      </c>
      <c r="W4293" t="s">
        <v>17535</v>
      </c>
      <c r="X4293">
        <v>4</v>
      </c>
      <c r="Y4293" t="s">
        <v>24026</v>
      </c>
      <c r="Z4293" t="s">
        <v>30623</v>
      </c>
      <c r="AA4293">
        <v>0.64914983357571032</v>
      </c>
      <c r="AB4293" t="str">
        <f>HYPERLINK("Melting_Curves/meltCurve_Q7Z5G4_3_GOLGA7.pdf", "Melting_Curves/meltCurve_Q7Z5G4_3_GOLGA7.pdf")</f>
        <v>Melting_Curves/meltCurve_Q7Z5G4_3_GOLGA7.pdf</v>
      </c>
    </row>
    <row r="4294" spans="1:28" x14ac:dyDescent="0.25">
      <c r="A4294" t="s">
        <v>4298</v>
      </c>
      <c r="B4294">
        <v>0.99252571173614901</v>
      </c>
      <c r="C4294">
        <v>0.83450234351881003</v>
      </c>
      <c r="D4294">
        <v>0.469403208660369</v>
      </c>
      <c r="E4294">
        <v>0.22201991156939899</v>
      </c>
      <c r="F4294">
        <v>0.161894941979044</v>
      </c>
      <c r="G4294">
        <v>0.107243920482076</v>
      </c>
      <c r="H4294">
        <v>8.87850742070391E-2</v>
      </c>
      <c r="I4294">
        <v>0.10320926329071201</v>
      </c>
      <c r="J4294">
        <v>0.13902088516304201</v>
      </c>
      <c r="K4294">
        <v>0.16281175192927</v>
      </c>
      <c r="L4294">
        <v>1169.7503514014199</v>
      </c>
      <c r="M4294">
        <v>25.816957198719798</v>
      </c>
      <c r="N4294">
        <v>45.815818285934398</v>
      </c>
      <c r="O4294">
        <v>45.040151699736803</v>
      </c>
      <c r="P4294">
        <v>-0.12551285223675601</v>
      </c>
      <c r="Q4294">
        <v>0.124133649251929</v>
      </c>
      <c r="R4294">
        <v>0.99489468178944396</v>
      </c>
      <c r="S4294" t="s">
        <v>10940</v>
      </c>
      <c r="T4294" t="s">
        <v>13290</v>
      </c>
      <c r="U4294" t="s">
        <v>13290</v>
      </c>
      <c r="V4294" t="s">
        <v>13290</v>
      </c>
      <c r="W4294" t="s">
        <v>17536</v>
      </c>
      <c r="X4294">
        <v>9</v>
      </c>
      <c r="Y4294" t="s">
        <v>24027</v>
      </c>
      <c r="Z4294" t="s">
        <v>30624</v>
      </c>
      <c r="AA4294">
        <v>0.28699689007886281</v>
      </c>
      <c r="AB4294" t="str">
        <f>HYPERLINK("Melting_Curves/meltCurve_Q7Z5K2_WAPAL.pdf", "Melting_Curves/meltCurve_Q7Z5K2_WAPAL.pdf")</f>
        <v>Melting_Curves/meltCurve_Q7Z5K2_WAPAL.pdf</v>
      </c>
    </row>
    <row r="4295" spans="1:28" x14ac:dyDescent="0.25">
      <c r="A4295" t="s">
        <v>4299</v>
      </c>
      <c r="B4295">
        <v>0.99252571173614901</v>
      </c>
      <c r="C4295">
        <v>1.01240565692184</v>
      </c>
      <c r="D4295">
        <v>0.91862494495253499</v>
      </c>
      <c r="E4295">
        <v>0.83850286075543001</v>
      </c>
      <c r="F4295">
        <v>0.69814326445834396</v>
      </c>
      <c r="G4295">
        <v>0.52033032945657998</v>
      </c>
      <c r="H4295">
        <v>0.436278823121801</v>
      </c>
      <c r="I4295">
        <v>0.32468856595491602</v>
      </c>
      <c r="J4295">
        <v>0.42194327380888902</v>
      </c>
      <c r="K4295">
        <v>0.60159952132485195</v>
      </c>
      <c r="L4295">
        <v>1053.25097924737</v>
      </c>
      <c r="M4295">
        <v>20.221281092659499</v>
      </c>
      <c r="N4295">
        <v>58.050015192906599</v>
      </c>
      <c r="O4295">
        <v>51.584892540291598</v>
      </c>
      <c r="P4295">
        <v>-5.51390758320911E-2</v>
      </c>
      <c r="Q4295">
        <v>0.43737399283619499</v>
      </c>
      <c r="R4295">
        <v>0.91790348413871603</v>
      </c>
      <c r="S4295" t="s">
        <v>10941</v>
      </c>
      <c r="T4295" t="s">
        <v>13290</v>
      </c>
      <c r="U4295" t="s">
        <v>13290</v>
      </c>
      <c r="V4295" t="s">
        <v>13290</v>
      </c>
      <c r="W4295" t="s">
        <v>17537</v>
      </c>
      <c r="X4295">
        <v>14</v>
      </c>
      <c r="Y4295" t="s">
        <v>24028</v>
      </c>
      <c r="Z4295" t="s">
        <v>30625</v>
      </c>
      <c r="AA4295">
        <v>0.67167361358942623</v>
      </c>
      <c r="AB4295" t="str">
        <f>HYPERLINK("Melting_Curves/meltCurve_Q7Z5L9_2_IRF2BP2.pdf", "Melting_Curves/meltCurve_Q7Z5L9_2_IRF2BP2.pdf")</f>
        <v>Melting_Curves/meltCurve_Q7Z5L9_2_IRF2BP2.pdf</v>
      </c>
    </row>
    <row r="4296" spans="1:28" x14ac:dyDescent="0.25">
      <c r="A4296" t="s">
        <v>4300</v>
      </c>
      <c r="B4296">
        <v>0.99252571173614901</v>
      </c>
      <c r="C4296">
        <v>1.04370271544336</v>
      </c>
      <c r="D4296">
        <v>0.92820918033521105</v>
      </c>
      <c r="E4296">
        <v>0.88234485378911098</v>
      </c>
      <c r="F4296">
        <v>0.57392107654847102</v>
      </c>
      <c r="G4296">
        <v>0.18396113808845899</v>
      </c>
      <c r="H4296">
        <v>8.3065126028331895E-2</v>
      </c>
      <c r="I4296">
        <v>5.95474512364303E-2</v>
      </c>
      <c r="J4296">
        <v>4.7203361170491002E-2</v>
      </c>
      <c r="K4296">
        <v>6.1383702048241201E-2</v>
      </c>
      <c r="L4296">
        <v>1446.39825760384</v>
      </c>
      <c r="M4296">
        <v>27.063653014898001</v>
      </c>
      <c r="N4296">
        <v>53.6402845949913</v>
      </c>
      <c r="O4296">
        <v>53.155069239820897</v>
      </c>
      <c r="P4296">
        <v>-0.121295759904928</v>
      </c>
      <c r="Q4296">
        <v>4.7073021280170602E-2</v>
      </c>
      <c r="R4296">
        <v>0.99596117856280397</v>
      </c>
      <c r="S4296" t="s">
        <v>10942</v>
      </c>
      <c r="T4296" t="s">
        <v>13290</v>
      </c>
      <c r="U4296" t="s">
        <v>13290</v>
      </c>
      <c r="V4296" t="s">
        <v>13290</v>
      </c>
      <c r="W4296" t="s">
        <v>17538</v>
      </c>
      <c r="X4296">
        <v>2</v>
      </c>
      <c r="Y4296" t="s">
        <v>24029</v>
      </c>
      <c r="Z4296" t="s">
        <v>30626</v>
      </c>
      <c r="AA4296">
        <v>0.48170161226617558</v>
      </c>
      <c r="AB4296" t="str">
        <f>HYPERLINK("Melting_Curves/meltCurve_Q7Z5W3_BCDIN3D.pdf", "Melting_Curves/meltCurve_Q7Z5W3_BCDIN3D.pdf")</f>
        <v>Melting_Curves/meltCurve_Q7Z5W3_BCDIN3D.pdf</v>
      </c>
    </row>
    <row r="4297" spans="1:28" x14ac:dyDescent="0.25">
      <c r="A4297" t="s">
        <v>4301</v>
      </c>
      <c r="B4297">
        <v>0.99252571173614901</v>
      </c>
      <c r="C4297">
        <v>1.0278022443221499</v>
      </c>
      <c r="D4297">
        <v>0.89010972799633203</v>
      </c>
      <c r="E4297">
        <v>0.75536324031715596</v>
      </c>
      <c r="F4297">
        <v>0.21419991299901001</v>
      </c>
      <c r="G4297">
        <v>0.14224372147448</v>
      </c>
      <c r="H4297">
        <v>0.11366016875842901</v>
      </c>
      <c r="I4297">
        <v>0.14111640395320099</v>
      </c>
      <c r="J4297">
        <v>0.20509382231335199</v>
      </c>
      <c r="K4297">
        <v>0.22743757897671299</v>
      </c>
      <c r="L4297">
        <v>2457.0226062859902</v>
      </c>
      <c r="M4297">
        <v>48.7023013186623</v>
      </c>
      <c r="N4297">
        <v>50.862969603940797</v>
      </c>
      <c r="O4297">
        <v>50.3649854094554</v>
      </c>
      <c r="P4297">
        <v>-0.20225528552730801</v>
      </c>
      <c r="Q4297">
        <v>0.163359875852577</v>
      </c>
      <c r="R4297">
        <v>0.98478446692078303</v>
      </c>
      <c r="S4297" t="s">
        <v>10943</v>
      </c>
      <c r="T4297" t="s">
        <v>13290</v>
      </c>
      <c r="U4297" t="s">
        <v>13290</v>
      </c>
      <c r="V4297" t="s">
        <v>13290</v>
      </c>
      <c r="W4297" t="s">
        <v>17539</v>
      </c>
      <c r="X4297">
        <v>14</v>
      </c>
      <c r="Y4297" t="s">
        <v>24030</v>
      </c>
      <c r="Z4297" t="s">
        <v>30627</v>
      </c>
      <c r="AA4297">
        <v>0.45674760161416061</v>
      </c>
      <c r="AB4297" t="str">
        <f>HYPERLINK("Melting_Curves/meltCurve_Q7Z6B0_2_CCDC91.pdf", "Melting_Curves/meltCurve_Q7Z6B0_2_CCDC91.pdf")</f>
        <v>Melting_Curves/meltCurve_Q7Z6B0_2_CCDC91.pdf</v>
      </c>
    </row>
    <row r="4298" spans="1:28" x14ac:dyDescent="0.25">
      <c r="A4298" t="s">
        <v>4302</v>
      </c>
      <c r="B4298">
        <v>0.99252571173614901</v>
      </c>
      <c r="C4298">
        <v>1.07231165431584</v>
      </c>
      <c r="D4298">
        <v>1.11582644725855</v>
      </c>
      <c r="E4298">
        <v>0.81879633886379899</v>
      </c>
      <c r="F4298">
        <v>0.62187273189337</v>
      </c>
      <c r="G4298">
        <v>0.49109602608907299</v>
      </c>
      <c r="H4298">
        <v>0.27420515114414901</v>
      </c>
      <c r="I4298">
        <v>0.334837364982424</v>
      </c>
      <c r="J4298">
        <v>0.41603474087863701</v>
      </c>
      <c r="K4298">
        <v>0.43483743254757301</v>
      </c>
      <c r="L4298">
        <v>1374.19562899625</v>
      </c>
      <c r="M4298">
        <v>26.3222729122886</v>
      </c>
      <c r="N4298">
        <v>55.053771541419202</v>
      </c>
      <c r="O4298">
        <v>51.908043636405097</v>
      </c>
      <c r="P4298">
        <v>-7.96353972931957E-2</v>
      </c>
      <c r="Q4298">
        <v>0.37183656248525998</v>
      </c>
      <c r="R4298">
        <v>0.94562958441266398</v>
      </c>
      <c r="S4298" t="s">
        <v>10944</v>
      </c>
      <c r="T4298" t="s">
        <v>13290</v>
      </c>
      <c r="U4298" t="s">
        <v>13290</v>
      </c>
      <c r="V4298" t="s">
        <v>13290</v>
      </c>
      <c r="W4298" t="s">
        <v>17540</v>
      </c>
      <c r="X4298">
        <v>1</v>
      </c>
      <c r="Y4298" t="s">
        <v>24031</v>
      </c>
      <c r="Z4298" t="s">
        <v>30628</v>
      </c>
      <c r="AA4298">
        <v>0.63262991696967186</v>
      </c>
      <c r="AB4298" t="str">
        <f>HYPERLINK("Melting_Curves/meltCurve_Q7Z6B7_2_SRGAP1.pdf", "Melting_Curves/meltCurve_Q7Z6B7_2_SRGAP1.pdf")</f>
        <v>Melting_Curves/meltCurve_Q7Z6B7_2_SRGAP1.pdf</v>
      </c>
    </row>
    <row r="4299" spans="1:28" x14ac:dyDescent="0.25">
      <c r="A4299" t="s">
        <v>4303</v>
      </c>
      <c r="B4299">
        <v>0.99252571173614901</v>
      </c>
      <c r="C4299">
        <v>0.93142108628185405</v>
      </c>
      <c r="D4299">
        <v>0.77532827522068004</v>
      </c>
      <c r="E4299">
        <v>0.62177704602933004</v>
      </c>
      <c r="F4299">
        <v>0.30545540883032501</v>
      </c>
      <c r="G4299">
        <v>0.162324685729301</v>
      </c>
      <c r="H4299">
        <v>9.1719994467972396E-2</v>
      </c>
      <c r="I4299">
        <v>9.23462073215989E-2</v>
      </c>
      <c r="J4299">
        <v>0.114585533229658</v>
      </c>
      <c r="K4299">
        <v>0.141495278002358</v>
      </c>
      <c r="L4299">
        <v>850.67546592232304</v>
      </c>
      <c r="M4299">
        <v>17.064669539931401</v>
      </c>
      <c r="N4299">
        <v>50.414559693551404</v>
      </c>
      <c r="O4299">
        <v>49.180625990822001</v>
      </c>
      <c r="P4299">
        <v>-7.9206413864300607E-2</v>
      </c>
      <c r="Q4299">
        <v>8.6959437943135806E-2</v>
      </c>
      <c r="R4299">
        <v>0.99108221144880904</v>
      </c>
      <c r="S4299" t="s">
        <v>10945</v>
      </c>
      <c r="T4299" t="s">
        <v>13290</v>
      </c>
      <c r="U4299" t="s">
        <v>13290</v>
      </c>
      <c r="V4299" t="s">
        <v>13290</v>
      </c>
      <c r="W4299" t="s">
        <v>17541</v>
      </c>
      <c r="X4299">
        <v>22</v>
      </c>
      <c r="Y4299" t="s">
        <v>24032</v>
      </c>
      <c r="Z4299" t="s">
        <v>30629</v>
      </c>
      <c r="AA4299">
        <v>0.40400848060525563</v>
      </c>
      <c r="AB4299" t="str">
        <f>HYPERLINK("Melting_Curves/meltCurve_Q7Z6E9_RBBP6.pdf", "Melting_Curves/meltCurve_Q7Z6E9_RBBP6.pdf")</f>
        <v>Melting_Curves/meltCurve_Q7Z6E9_RBBP6.pdf</v>
      </c>
    </row>
    <row r="4300" spans="1:28" x14ac:dyDescent="0.25">
      <c r="A4300" t="s">
        <v>4304</v>
      </c>
      <c r="B4300">
        <v>0.99252571173614901</v>
      </c>
      <c r="C4300">
        <v>0.99161650236419296</v>
      </c>
      <c r="D4300">
        <v>0.98589379020560797</v>
      </c>
      <c r="E4300">
        <v>0.90187423392748101</v>
      </c>
      <c r="F4300">
        <v>0.81971592107037905</v>
      </c>
      <c r="G4300">
        <v>0.47581300092564399</v>
      </c>
      <c r="H4300">
        <v>0.51576421810462403</v>
      </c>
      <c r="I4300">
        <v>0.60292961796113398</v>
      </c>
      <c r="J4300">
        <v>0.80407679687010003</v>
      </c>
      <c r="K4300">
        <v>1.0315140984834299</v>
      </c>
      <c r="L4300">
        <v>1941.4671729792699</v>
      </c>
      <c r="M4300">
        <v>37.9649981043639</v>
      </c>
      <c r="O4300">
        <v>50.997081290736098</v>
      </c>
      <c r="P4300">
        <v>-5.6711204996261699E-2</v>
      </c>
      <c r="Q4300">
        <v>0.69528791445457105</v>
      </c>
      <c r="R4300">
        <v>0.43788841785435001</v>
      </c>
      <c r="S4300" t="s">
        <v>10946</v>
      </c>
      <c r="T4300" t="s">
        <v>13290</v>
      </c>
      <c r="U4300" t="s">
        <v>13290</v>
      </c>
      <c r="V4300" t="s">
        <v>13290</v>
      </c>
      <c r="W4300" t="s">
        <v>17542</v>
      </c>
      <c r="X4300">
        <v>2</v>
      </c>
      <c r="Y4300" t="s">
        <v>24033</v>
      </c>
      <c r="Z4300" t="s">
        <v>30630</v>
      </c>
      <c r="AA4300">
        <v>0.8096172565374492</v>
      </c>
      <c r="AB4300" t="str">
        <f>HYPERLINK("Melting_Curves/meltCurve_Q7Z6I8_C5orf24.pdf", "Melting_Curves/meltCurve_Q7Z6I8_C5orf24.pdf")</f>
        <v>Melting_Curves/meltCurve_Q7Z6I8_C5orf24.pdf</v>
      </c>
    </row>
    <row r="4301" spans="1:28" x14ac:dyDescent="0.25">
      <c r="A4301" t="s">
        <v>4305</v>
      </c>
      <c r="B4301">
        <v>0.99252571173614901</v>
      </c>
      <c r="C4301">
        <v>0.92231905653226798</v>
      </c>
      <c r="D4301">
        <v>0.80646088668090099</v>
      </c>
      <c r="E4301">
        <v>0.66163410722778604</v>
      </c>
      <c r="F4301">
        <v>0.38123801757412201</v>
      </c>
      <c r="G4301">
        <v>0.17223234987404101</v>
      </c>
      <c r="H4301">
        <v>0.136006240119808</v>
      </c>
      <c r="I4301">
        <v>0.17602819049933699</v>
      </c>
      <c r="J4301">
        <v>0.20647020998604401</v>
      </c>
      <c r="K4301">
        <v>0.25196596663785498</v>
      </c>
      <c r="L4301">
        <v>932.96544821135706</v>
      </c>
      <c r="M4301">
        <v>18.711132066972802</v>
      </c>
      <c r="N4301">
        <v>50.995560416695497</v>
      </c>
      <c r="O4301">
        <v>49.302453594630798</v>
      </c>
      <c r="P4301">
        <v>-7.8735142864501603E-2</v>
      </c>
      <c r="Q4301">
        <v>0.17018983716139799</v>
      </c>
      <c r="R4301">
        <v>0.97698318998442102</v>
      </c>
      <c r="S4301" t="s">
        <v>10947</v>
      </c>
      <c r="T4301" t="s">
        <v>13290</v>
      </c>
      <c r="U4301" t="s">
        <v>13290</v>
      </c>
      <c r="V4301" t="s">
        <v>13290</v>
      </c>
      <c r="W4301" t="s">
        <v>17543</v>
      </c>
      <c r="X4301">
        <v>3</v>
      </c>
      <c r="Y4301" t="s">
        <v>24034</v>
      </c>
      <c r="Z4301" t="s">
        <v>30631</v>
      </c>
      <c r="AA4301">
        <v>0.45612250164891027</v>
      </c>
      <c r="AB4301" t="str">
        <f>HYPERLINK("Melting_Curves/meltCurve_Q7Z6J8_UBE3D.pdf", "Melting_Curves/meltCurve_Q7Z6J8_UBE3D.pdf")</f>
        <v>Melting_Curves/meltCurve_Q7Z6J8_UBE3D.pdf</v>
      </c>
    </row>
    <row r="4302" spans="1:28" x14ac:dyDescent="0.25">
      <c r="A4302" t="s">
        <v>4306</v>
      </c>
      <c r="B4302">
        <v>0.99252571173614901</v>
      </c>
      <c r="C4302">
        <v>0.882405568613984</v>
      </c>
      <c r="D4302">
        <v>1.0749204487275801</v>
      </c>
      <c r="E4302">
        <v>0.70625502607956103</v>
      </c>
      <c r="F4302">
        <v>0.22894388721190401</v>
      </c>
      <c r="G4302">
        <v>0.13621277226933001</v>
      </c>
      <c r="H4302">
        <v>9.9043322700901895E-2</v>
      </c>
      <c r="I4302">
        <v>0.10453527530697899</v>
      </c>
      <c r="J4302">
        <v>0.14428105223332399</v>
      </c>
      <c r="K4302">
        <v>0.116582200012721</v>
      </c>
      <c r="L4302">
        <v>2115.5563282831099</v>
      </c>
      <c r="M4302">
        <v>41.894348318827497</v>
      </c>
      <c r="N4302">
        <v>50.8316616096457</v>
      </c>
      <c r="O4302">
        <v>50.382789021712</v>
      </c>
      <c r="P4302">
        <v>-0.18285296324356901</v>
      </c>
      <c r="Q4302">
        <v>0.120394745211853</v>
      </c>
      <c r="R4302">
        <v>0.98464974100721603</v>
      </c>
      <c r="S4302" t="s">
        <v>10948</v>
      </c>
      <c r="T4302" t="s">
        <v>13290</v>
      </c>
      <c r="U4302" t="s">
        <v>13290</v>
      </c>
      <c r="V4302" t="s">
        <v>13290</v>
      </c>
      <c r="W4302" t="s">
        <v>17544</v>
      </c>
      <c r="X4302">
        <v>8</v>
      </c>
      <c r="Y4302" t="s">
        <v>24035</v>
      </c>
      <c r="Z4302" t="s">
        <v>30632</v>
      </c>
      <c r="AA4302">
        <v>0.43097806148272533</v>
      </c>
      <c r="AB4302" t="str">
        <f>HYPERLINK("Melting_Curves/meltCurve_Q7Z6J9_TSEN54.pdf", "Melting_Curves/meltCurve_Q7Z6J9_TSEN54.pdf")</f>
        <v>Melting_Curves/meltCurve_Q7Z6J9_TSEN54.pdf</v>
      </c>
    </row>
    <row r="4303" spans="1:28" x14ac:dyDescent="0.25">
      <c r="A4303" t="s">
        <v>4307</v>
      </c>
      <c r="B4303">
        <v>0.99252571173614901</v>
      </c>
      <c r="C4303">
        <v>0.96101518236480599</v>
      </c>
      <c r="D4303">
        <v>0.75851698931789602</v>
      </c>
      <c r="E4303">
        <v>0.52491589952608997</v>
      </c>
      <c r="F4303">
        <v>0.28270260281307802</v>
      </c>
      <c r="G4303">
        <v>0.11980187607041599</v>
      </c>
      <c r="H4303">
        <v>0.119156169329603</v>
      </c>
      <c r="I4303">
        <v>0.130383705458129</v>
      </c>
      <c r="J4303">
        <v>0.19600111731806799</v>
      </c>
      <c r="K4303">
        <v>0.16601829378126501</v>
      </c>
      <c r="L4303">
        <v>970.94729552384297</v>
      </c>
      <c r="M4303">
        <v>19.932893368939901</v>
      </c>
      <c r="N4303">
        <v>49.498741302881299</v>
      </c>
      <c r="O4303">
        <v>48.228491198483802</v>
      </c>
      <c r="P4303">
        <v>-8.9281913147551295E-2</v>
      </c>
      <c r="Q4303">
        <v>0.13594293038087199</v>
      </c>
      <c r="R4303">
        <v>0.98933522051508704</v>
      </c>
      <c r="S4303" t="s">
        <v>10949</v>
      </c>
      <c r="T4303" t="s">
        <v>13290</v>
      </c>
      <c r="U4303" t="s">
        <v>13290</v>
      </c>
      <c r="V4303" t="s">
        <v>13290</v>
      </c>
      <c r="W4303" t="s">
        <v>17545</v>
      </c>
      <c r="X4303">
        <v>5</v>
      </c>
      <c r="Y4303" t="s">
        <v>24036</v>
      </c>
      <c r="Z4303" t="s">
        <v>30633</v>
      </c>
      <c r="AA4303">
        <v>0.39905552917588971</v>
      </c>
      <c r="AB4303" t="str">
        <f>HYPERLINK("Melting_Curves/meltCurve_Q7Z6K3_PTAR1.pdf", "Melting_Curves/meltCurve_Q7Z6K3_PTAR1.pdf")</f>
        <v>Melting_Curves/meltCurve_Q7Z6K3_PTAR1.pdf</v>
      </c>
    </row>
    <row r="4304" spans="1:28" x14ac:dyDescent="0.25">
      <c r="A4304" t="s">
        <v>4308</v>
      </c>
      <c r="B4304">
        <v>0.99252571173614901</v>
      </c>
      <c r="C4304">
        <v>0.89874165464387901</v>
      </c>
      <c r="D4304">
        <v>0.74953879928508405</v>
      </c>
      <c r="E4304">
        <v>0.33710250614795301</v>
      </c>
      <c r="F4304">
        <v>0.21985586774234001</v>
      </c>
      <c r="G4304">
        <v>0.130320115652137</v>
      </c>
      <c r="H4304">
        <v>0.112461467558315</v>
      </c>
      <c r="I4304">
        <v>0.12641091308789201</v>
      </c>
      <c r="J4304">
        <v>0.193146568541543</v>
      </c>
      <c r="K4304">
        <v>0.13694569840304699</v>
      </c>
      <c r="L4304">
        <v>1154.79311772954</v>
      </c>
      <c r="M4304">
        <v>24.352800316484</v>
      </c>
      <c r="N4304">
        <v>48.057498434549203</v>
      </c>
      <c r="O4304">
        <v>47.103035970232398</v>
      </c>
      <c r="P4304">
        <v>-0.111397443316032</v>
      </c>
      <c r="Q4304">
        <v>0.13815587318485401</v>
      </c>
      <c r="R4304">
        <v>0.99287197405150696</v>
      </c>
      <c r="S4304" t="s">
        <v>10950</v>
      </c>
      <c r="T4304" t="s">
        <v>13290</v>
      </c>
      <c r="U4304" t="s">
        <v>13290</v>
      </c>
      <c r="V4304" t="s">
        <v>13290</v>
      </c>
      <c r="W4304" t="s">
        <v>17546</v>
      </c>
      <c r="X4304">
        <v>5</v>
      </c>
      <c r="Y4304" t="s">
        <v>24037</v>
      </c>
      <c r="Z4304" t="s">
        <v>30634</v>
      </c>
      <c r="AA4304">
        <v>0.35939297873631998</v>
      </c>
      <c r="AB4304" t="str">
        <f>HYPERLINK("Melting_Curves/meltCurve_Q7Z6L1_TECPR1.pdf", "Melting_Curves/meltCurve_Q7Z6L1_TECPR1.pdf")</f>
        <v>Melting_Curves/meltCurve_Q7Z6L1_TECPR1.pdf</v>
      </c>
    </row>
    <row r="4305" spans="1:28" x14ac:dyDescent="0.25">
      <c r="A4305" t="s">
        <v>4309</v>
      </c>
      <c r="B4305">
        <v>0.99252571173614901</v>
      </c>
      <c r="C4305">
        <v>1.1035431199805099</v>
      </c>
      <c r="D4305">
        <v>0.96961941632367299</v>
      </c>
      <c r="E4305">
        <v>0.92619851158327904</v>
      </c>
      <c r="F4305">
        <v>0.77795738615861099</v>
      </c>
      <c r="G4305">
        <v>0.60341596538873599</v>
      </c>
      <c r="H4305">
        <v>0.4623884930912</v>
      </c>
      <c r="I4305">
        <v>0.31632161897420802</v>
      </c>
      <c r="J4305">
        <v>0.23637922401103301</v>
      </c>
      <c r="K4305">
        <v>0.19434521693903201</v>
      </c>
      <c r="L4305">
        <v>757.43879112565605</v>
      </c>
      <c r="M4305">
        <v>13.0285117724365</v>
      </c>
      <c r="N4305">
        <v>59.268353044201902</v>
      </c>
      <c r="O4305">
        <v>56.818492539820198</v>
      </c>
      <c r="P4305">
        <v>-5.1023088461125098E-2</v>
      </c>
      <c r="Q4305">
        <v>0.110091069927074</v>
      </c>
      <c r="R4305">
        <v>0.98617153599416496</v>
      </c>
      <c r="S4305" t="s">
        <v>10951</v>
      </c>
      <c r="T4305" t="s">
        <v>13290</v>
      </c>
      <c r="U4305" t="s">
        <v>13290</v>
      </c>
      <c r="V4305" t="s">
        <v>13290</v>
      </c>
      <c r="W4305" t="s">
        <v>17547</v>
      </c>
      <c r="X4305">
        <v>13</v>
      </c>
      <c r="Y4305" t="s">
        <v>24038</v>
      </c>
      <c r="Z4305" t="s">
        <v>30635</v>
      </c>
      <c r="AA4305">
        <v>0.65946412994779446</v>
      </c>
      <c r="AB4305" t="str">
        <f>HYPERLINK("Melting_Curves/meltCurve_Q7Z6M1_RABEPK.pdf", "Melting_Curves/meltCurve_Q7Z6M1_RABEPK.pdf")</f>
        <v>Melting_Curves/meltCurve_Q7Z6M1_RABEPK.pdf</v>
      </c>
    </row>
    <row r="4306" spans="1:28" x14ac:dyDescent="0.25">
      <c r="A4306" t="s">
        <v>4310</v>
      </c>
      <c r="B4306">
        <v>0.99252571173614901</v>
      </c>
      <c r="C4306">
        <v>1.02040105168245</v>
      </c>
      <c r="D4306">
        <v>0.89719328087653005</v>
      </c>
      <c r="E4306">
        <v>0.89879978746093203</v>
      </c>
      <c r="F4306">
        <v>0.361882256802809</v>
      </c>
      <c r="G4306">
        <v>0.15605973606437001</v>
      </c>
      <c r="H4306">
        <v>0.102345649622905</v>
      </c>
      <c r="I4306">
        <v>0.119814561576521</v>
      </c>
      <c r="J4306">
        <v>0.148732014677039</v>
      </c>
      <c r="K4306">
        <v>0.18605531822979601</v>
      </c>
      <c r="L4306">
        <v>2190.19727907887</v>
      </c>
      <c r="M4306">
        <v>42.212077136545297</v>
      </c>
      <c r="N4306">
        <v>52.285035448952897</v>
      </c>
      <c r="O4306">
        <v>51.769520410582203</v>
      </c>
      <c r="P4306">
        <v>-0.17574890247036101</v>
      </c>
      <c r="Q4306">
        <v>0.13783716838801</v>
      </c>
      <c r="R4306">
        <v>0.99028292547217001</v>
      </c>
      <c r="S4306" t="s">
        <v>10952</v>
      </c>
      <c r="T4306" t="s">
        <v>13290</v>
      </c>
      <c r="U4306" t="s">
        <v>13290</v>
      </c>
      <c r="V4306" t="s">
        <v>13290</v>
      </c>
      <c r="W4306" t="s">
        <v>17548</v>
      </c>
      <c r="X4306">
        <v>1</v>
      </c>
      <c r="Y4306" t="s">
        <v>24039</v>
      </c>
      <c r="Z4306" t="s">
        <v>30636</v>
      </c>
      <c r="AA4306">
        <v>0.48218710071758403</v>
      </c>
      <c r="AB4306" t="str">
        <f>HYPERLINK("Melting_Curves/meltCurve_Q7Z6M2_FBXO33.pdf", "Melting_Curves/meltCurve_Q7Z6M2_FBXO33.pdf")</f>
        <v>Melting_Curves/meltCurve_Q7Z6M2_FBXO33.pdf</v>
      </c>
    </row>
    <row r="4307" spans="1:28" x14ac:dyDescent="0.25">
      <c r="A4307" t="s">
        <v>4311</v>
      </c>
      <c r="B4307">
        <v>0.99252571173614901</v>
      </c>
      <c r="C4307">
        <v>1.0084309613672999</v>
      </c>
      <c r="D4307">
        <v>0.81695647707690899</v>
      </c>
      <c r="E4307">
        <v>0.65731505030931003</v>
      </c>
      <c r="F4307">
        <v>0.238986926632339</v>
      </c>
      <c r="G4307">
        <v>0.189177495619122</v>
      </c>
      <c r="H4307">
        <v>0.128119836380827</v>
      </c>
      <c r="I4307">
        <v>0.149249446368001</v>
      </c>
      <c r="J4307">
        <v>0.21560903452187299</v>
      </c>
      <c r="K4307">
        <v>0.19047020667266801</v>
      </c>
      <c r="L4307">
        <v>1240.98391595821</v>
      </c>
      <c r="M4307">
        <v>24.968898571770801</v>
      </c>
      <c r="N4307">
        <v>50.479900795762198</v>
      </c>
      <c r="O4307">
        <v>49.385677720239201</v>
      </c>
      <c r="P4307">
        <v>-0.106196258961732</v>
      </c>
      <c r="Q4307">
        <v>0.15983428505847999</v>
      </c>
      <c r="R4307">
        <v>0.98262388165971404</v>
      </c>
      <c r="S4307" t="s">
        <v>10953</v>
      </c>
      <c r="T4307" t="s">
        <v>13290</v>
      </c>
      <c r="U4307" t="s">
        <v>13290</v>
      </c>
      <c r="V4307" t="s">
        <v>13290</v>
      </c>
      <c r="W4307" t="s">
        <v>17549</v>
      </c>
      <c r="X4307">
        <v>5</v>
      </c>
      <c r="Y4307" t="s">
        <v>24040</v>
      </c>
      <c r="Z4307" t="s">
        <v>30637</v>
      </c>
      <c r="AA4307">
        <v>0.43902729246519229</v>
      </c>
      <c r="AB4307" t="str">
        <f>HYPERLINK("Melting_Curves/meltCurve_Q7Z6M4_MTERFD2.pdf", "Melting_Curves/meltCurve_Q7Z6M4_MTERFD2.pdf")</f>
        <v>Melting_Curves/meltCurve_Q7Z6M4_MTERFD2.pdf</v>
      </c>
    </row>
    <row r="4308" spans="1:28" x14ac:dyDescent="0.25">
      <c r="A4308" t="s">
        <v>4312</v>
      </c>
      <c r="B4308">
        <v>0.99252571173614901</v>
      </c>
      <c r="C4308">
        <v>1.05536755614612</v>
      </c>
      <c r="D4308">
        <v>0.98763478835576701</v>
      </c>
      <c r="E4308">
        <v>0.89984344614567102</v>
      </c>
      <c r="F4308">
        <v>0.60476273574025996</v>
      </c>
      <c r="G4308">
        <v>0.49121928783368302</v>
      </c>
      <c r="H4308">
        <v>0.34141776195686002</v>
      </c>
      <c r="I4308">
        <v>0.19744242216615601</v>
      </c>
      <c r="J4308">
        <v>0.121939046501263</v>
      </c>
      <c r="K4308">
        <v>0.120437740157572</v>
      </c>
      <c r="L4308">
        <v>778.246785763758</v>
      </c>
      <c r="M4308">
        <v>13.957292577547699</v>
      </c>
      <c r="N4308">
        <v>56.358290102637604</v>
      </c>
      <c r="O4308">
        <v>54.651916989397002</v>
      </c>
      <c r="P4308">
        <v>-5.9452199445134003E-2</v>
      </c>
      <c r="Q4308">
        <v>6.89476259541843E-2</v>
      </c>
      <c r="R4308">
        <v>0.98653106693321502</v>
      </c>
      <c r="S4308" t="s">
        <v>10954</v>
      </c>
      <c r="T4308" t="s">
        <v>13290</v>
      </c>
      <c r="U4308" t="s">
        <v>13290</v>
      </c>
      <c r="V4308" t="s">
        <v>13290</v>
      </c>
      <c r="W4308" t="s">
        <v>17550</v>
      </c>
      <c r="X4308">
        <v>5</v>
      </c>
      <c r="Y4308" t="s">
        <v>24041</v>
      </c>
      <c r="Z4308" t="s">
        <v>30638</v>
      </c>
      <c r="AA4308">
        <v>0.57597745363001052</v>
      </c>
      <c r="AB4308" t="str">
        <f>HYPERLINK("Melting_Curves/meltCurve_Q7Z6V5_ADAT2.pdf", "Melting_Curves/meltCurve_Q7Z6V5_ADAT2.pdf")</f>
        <v>Melting_Curves/meltCurve_Q7Z6V5_ADAT2.pdf</v>
      </c>
    </row>
    <row r="4309" spans="1:28" x14ac:dyDescent="0.25">
      <c r="A4309" t="s">
        <v>4313</v>
      </c>
      <c r="B4309">
        <v>0.99252571173614901</v>
      </c>
      <c r="C4309">
        <v>0.63041697225932403</v>
      </c>
      <c r="D4309">
        <v>1.34386987247973</v>
      </c>
      <c r="E4309">
        <v>0.96327122228186501</v>
      </c>
      <c r="F4309">
        <v>0.166726236209853</v>
      </c>
      <c r="G4309">
        <v>9.7710943039630002E-2</v>
      </c>
      <c r="H4309">
        <v>6.6895008430304007E-2</v>
      </c>
      <c r="I4309">
        <v>6.9079229131727607E-2</v>
      </c>
      <c r="J4309">
        <v>7.7921758616734296E-2</v>
      </c>
      <c r="K4309">
        <v>7.7792705487866695E-2</v>
      </c>
      <c r="L4309">
        <v>3994.0082455035599</v>
      </c>
      <c r="M4309">
        <v>77.311239974678898</v>
      </c>
      <c r="N4309">
        <v>51.774530133063998</v>
      </c>
      <c r="O4309">
        <v>51.626883851891201</v>
      </c>
      <c r="P4309">
        <v>-0.34528771608370801</v>
      </c>
      <c r="Q4309">
        <v>7.7695519424061998E-2</v>
      </c>
      <c r="R4309">
        <v>0.88185052254316898</v>
      </c>
      <c r="S4309" t="s">
        <v>10955</v>
      </c>
      <c r="T4309" t="s">
        <v>13290</v>
      </c>
      <c r="U4309" t="s">
        <v>13290</v>
      </c>
      <c r="V4309" t="s">
        <v>13290</v>
      </c>
      <c r="W4309" t="s">
        <v>17551</v>
      </c>
      <c r="X4309">
        <v>95</v>
      </c>
      <c r="Y4309" t="s">
        <v>24042</v>
      </c>
      <c r="Z4309" t="s">
        <v>30639</v>
      </c>
      <c r="AA4309">
        <v>0.43708434147382308</v>
      </c>
      <c r="AB4309" t="str">
        <f>HYPERLINK("Melting_Curves/meltCurve_Q7Z6Z7_2_HUWE1.pdf", "Melting_Curves/meltCurve_Q7Z6Z7_2_HUWE1.pdf")</f>
        <v>Melting_Curves/meltCurve_Q7Z6Z7_2_HUWE1.pdf</v>
      </c>
    </row>
    <row r="4310" spans="1:28" x14ac:dyDescent="0.25">
      <c r="A4310" t="s">
        <v>4314</v>
      </c>
      <c r="B4310">
        <v>0.99252571173614901</v>
      </c>
      <c r="C4310">
        <v>0.994305796125042</v>
      </c>
      <c r="D4310">
        <v>1.01044549176064</v>
      </c>
      <c r="E4310">
        <v>0.95458527244205904</v>
      </c>
      <c r="F4310">
        <v>0.38891680988923699</v>
      </c>
      <c r="G4310">
        <v>0.143371313611694</v>
      </c>
      <c r="H4310">
        <v>7.6545451009937898E-2</v>
      </c>
      <c r="I4310">
        <v>6.5061438254190904E-2</v>
      </c>
      <c r="J4310">
        <v>8.1146616651053105E-2</v>
      </c>
      <c r="K4310">
        <v>7.3403530476130296E-2</v>
      </c>
      <c r="L4310">
        <v>2442.58393650686</v>
      </c>
      <c r="M4310">
        <v>46.561524082412902</v>
      </c>
      <c r="N4310">
        <v>52.660229823199501</v>
      </c>
      <c r="O4310">
        <v>52.362785227952102</v>
      </c>
      <c r="P4310">
        <v>-0.20420866248061401</v>
      </c>
      <c r="Q4310">
        <v>8.1394137889865506E-2</v>
      </c>
      <c r="R4310">
        <v>0.99879923928363201</v>
      </c>
      <c r="S4310" t="s">
        <v>10956</v>
      </c>
      <c r="T4310" t="s">
        <v>13290</v>
      </c>
      <c r="U4310" t="s">
        <v>13290</v>
      </c>
      <c r="V4310" t="s">
        <v>13290</v>
      </c>
      <c r="W4310" t="s">
        <v>17552</v>
      </c>
      <c r="X4310">
        <v>6</v>
      </c>
      <c r="Y4310" t="s">
        <v>24043</v>
      </c>
      <c r="Z4310" t="s">
        <v>30640</v>
      </c>
      <c r="AA4310">
        <v>0.46535243575187979</v>
      </c>
      <c r="AB4310" t="str">
        <f>HYPERLINK("Melting_Curves/meltCurve_Q7Z7A3_CTU1.pdf", "Melting_Curves/meltCurve_Q7Z7A3_CTU1.pdf")</f>
        <v>Melting_Curves/meltCurve_Q7Z7A3_CTU1.pdf</v>
      </c>
    </row>
    <row r="4311" spans="1:28" x14ac:dyDescent="0.25">
      <c r="A4311" t="s">
        <v>4315</v>
      </c>
      <c r="B4311">
        <v>0.99252571173614901</v>
      </c>
      <c r="C4311">
        <v>1.0458488517203199</v>
      </c>
      <c r="D4311">
        <v>0.93453310930225597</v>
      </c>
      <c r="E4311">
        <v>0.77485032040014401</v>
      </c>
      <c r="F4311">
        <v>0.20743599515893199</v>
      </c>
      <c r="G4311">
        <v>0.11411125353872099</v>
      </c>
      <c r="H4311">
        <v>7.4605169174877195E-2</v>
      </c>
      <c r="I4311">
        <v>8.2171276978525998E-2</v>
      </c>
      <c r="J4311">
        <v>9.8174915768169405E-2</v>
      </c>
      <c r="K4311">
        <v>9.8388674573467394E-2</v>
      </c>
      <c r="L4311">
        <v>2126.8905590454001</v>
      </c>
      <c r="M4311">
        <v>41.811794192913098</v>
      </c>
      <c r="N4311">
        <v>51.110266413461801</v>
      </c>
      <c r="O4311">
        <v>50.752274472793196</v>
      </c>
      <c r="P4311">
        <v>-0.187459345489737</v>
      </c>
      <c r="Q4311">
        <v>8.9829339301903802E-2</v>
      </c>
      <c r="R4311">
        <v>0.99647609498257395</v>
      </c>
      <c r="S4311" t="s">
        <v>10957</v>
      </c>
      <c r="T4311" t="s">
        <v>13290</v>
      </c>
      <c r="U4311" t="s">
        <v>13290</v>
      </c>
      <c r="V4311" t="s">
        <v>13290</v>
      </c>
      <c r="W4311" t="s">
        <v>17553</v>
      </c>
      <c r="X4311">
        <v>6</v>
      </c>
      <c r="Y4311" t="s">
        <v>24044</v>
      </c>
      <c r="Z4311" t="s">
        <v>30641</v>
      </c>
      <c r="AA4311">
        <v>0.42248682190989578</v>
      </c>
      <c r="AB4311" t="str">
        <f>HYPERLINK("Melting_Curves/meltCurve_Q7Z7A4_PXK.pdf", "Melting_Curves/meltCurve_Q7Z7A4_PXK.pdf")</f>
        <v>Melting_Curves/meltCurve_Q7Z7A4_PXK.pdf</v>
      </c>
    </row>
    <row r="4312" spans="1:28" x14ac:dyDescent="0.25">
      <c r="A4312" t="s">
        <v>4316</v>
      </c>
      <c r="B4312">
        <v>0.99252571173614901</v>
      </c>
      <c r="C4312">
        <v>0.998325092856298</v>
      </c>
      <c r="D4312">
        <v>0.97818222001980104</v>
      </c>
      <c r="E4312">
        <v>0.97547019824334602</v>
      </c>
      <c r="F4312">
        <v>0.53597908804324002</v>
      </c>
      <c r="G4312">
        <v>0.20120893989687999</v>
      </c>
      <c r="H4312">
        <v>9.9583578784069704E-2</v>
      </c>
      <c r="I4312">
        <v>0.104608251905486</v>
      </c>
      <c r="J4312">
        <v>0.15914861871120101</v>
      </c>
      <c r="K4312">
        <v>0.114368311798586</v>
      </c>
      <c r="L4312">
        <v>2194.93662890223</v>
      </c>
      <c r="M4312">
        <v>41.334017000985</v>
      </c>
      <c r="N4312">
        <v>53.466145330117897</v>
      </c>
      <c r="O4312">
        <v>52.978571354744403</v>
      </c>
      <c r="P4312">
        <v>-0.17114680519318801</v>
      </c>
      <c r="Q4312">
        <v>0.122553311303125</v>
      </c>
      <c r="R4312">
        <v>0.99752434871845497</v>
      </c>
      <c r="S4312" t="s">
        <v>10958</v>
      </c>
      <c r="T4312" t="s">
        <v>13290</v>
      </c>
      <c r="U4312" t="s">
        <v>13290</v>
      </c>
      <c r="V4312" t="s">
        <v>13290</v>
      </c>
      <c r="W4312" t="s">
        <v>17554</v>
      </c>
      <c r="X4312">
        <v>2</v>
      </c>
      <c r="Y4312" t="s">
        <v>24045</v>
      </c>
      <c r="Z4312" t="s">
        <v>30642</v>
      </c>
      <c r="AA4312">
        <v>0.50878817937877063</v>
      </c>
      <c r="AB4312" t="str">
        <f>HYPERLINK("Melting_Curves/meltCurve_Q7Z7C8_TAF8.pdf", "Melting_Curves/meltCurve_Q7Z7C8_TAF8.pdf")</f>
        <v>Melting_Curves/meltCurve_Q7Z7C8_TAF8.pdf</v>
      </c>
    </row>
    <row r="4313" spans="1:28" x14ac:dyDescent="0.25">
      <c r="A4313" t="s">
        <v>4317</v>
      </c>
      <c r="B4313">
        <v>0.99252571173614901</v>
      </c>
      <c r="C4313">
        <v>0.78149979858696805</v>
      </c>
      <c r="D4313">
        <v>0.53422832520025798</v>
      </c>
      <c r="E4313">
        <v>0.41663357296219999</v>
      </c>
      <c r="F4313">
        <v>0.175868940892703</v>
      </c>
      <c r="G4313">
        <v>0.103888175709775</v>
      </c>
      <c r="H4313">
        <v>6.6679558904420705E-2</v>
      </c>
      <c r="I4313">
        <v>6.4009738782742895E-2</v>
      </c>
      <c r="J4313">
        <v>6.6727390037447806E-2</v>
      </c>
      <c r="K4313">
        <v>6.2793761813130802E-2</v>
      </c>
      <c r="L4313">
        <v>668.48162836377605</v>
      </c>
      <c r="M4313">
        <v>14.2539217748299</v>
      </c>
      <c r="N4313">
        <v>47.211461757258903</v>
      </c>
      <c r="O4313">
        <v>46.003975604255402</v>
      </c>
      <c r="P4313">
        <v>-7.3973007741392802E-2</v>
      </c>
      <c r="Q4313">
        <v>4.51378858240239E-2</v>
      </c>
      <c r="R4313">
        <v>0.986841546145239</v>
      </c>
      <c r="S4313" t="s">
        <v>10959</v>
      </c>
      <c r="T4313" t="s">
        <v>13290</v>
      </c>
      <c r="U4313" t="s">
        <v>13290</v>
      </c>
      <c r="V4313" t="s">
        <v>13290</v>
      </c>
      <c r="W4313" t="s">
        <v>17555</v>
      </c>
      <c r="X4313">
        <v>8</v>
      </c>
      <c r="Y4313" t="s">
        <v>24046</v>
      </c>
      <c r="Z4313" t="s">
        <v>30643</v>
      </c>
      <c r="AA4313">
        <v>0.29367281886198199</v>
      </c>
      <c r="AB4313" t="str">
        <f>HYPERLINK("Melting_Curves/meltCurve_Q7Z7E8_UBE2Q1.pdf", "Melting_Curves/meltCurve_Q7Z7E8_UBE2Q1.pdf")</f>
        <v>Melting_Curves/meltCurve_Q7Z7E8_UBE2Q1.pdf</v>
      </c>
    </row>
    <row r="4314" spans="1:28" x14ac:dyDescent="0.25">
      <c r="A4314" t="s">
        <v>4318</v>
      </c>
      <c r="B4314">
        <v>0.99252571173614901</v>
      </c>
      <c r="C4314">
        <v>1.0633201755261401</v>
      </c>
      <c r="D4314">
        <v>0.87724803164349296</v>
      </c>
      <c r="E4314">
        <v>0.53599913843931501</v>
      </c>
      <c r="F4314">
        <v>0.171409066641353</v>
      </c>
      <c r="G4314">
        <v>0.113115207760753</v>
      </c>
      <c r="H4314">
        <v>8.5137412608283503E-2</v>
      </c>
      <c r="I4314">
        <v>9.9148457961641401E-2</v>
      </c>
      <c r="J4314">
        <v>0.109432964525329</v>
      </c>
      <c r="K4314">
        <v>0.12347212879929501</v>
      </c>
      <c r="L4314">
        <v>1503.3112983152701</v>
      </c>
      <c r="M4314">
        <v>30.446485382693201</v>
      </c>
      <c r="N4314">
        <v>49.739174596445402</v>
      </c>
      <c r="O4314">
        <v>49.163990088942498</v>
      </c>
      <c r="P4314">
        <v>-0.13937309410571699</v>
      </c>
      <c r="Q4314">
        <v>9.9785050069279596E-2</v>
      </c>
      <c r="R4314">
        <v>0.99462389547343599</v>
      </c>
      <c r="S4314" t="s">
        <v>10960</v>
      </c>
      <c r="T4314" t="s">
        <v>13290</v>
      </c>
      <c r="U4314" t="s">
        <v>13290</v>
      </c>
      <c r="V4314" t="s">
        <v>13290</v>
      </c>
      <c r="W4314" t="s">
        <v>17556</v>
      </c>
      <c r="X4314">
        <v>4</v>
      </c>
      <c r="Y4314" t="s">
        <v>24047</v>
      </c>
      <c r="Z4314" t="s">
        <v>30644</v>
      </c>
      <c r="AA4314">
        <v>0.38646787429627821</v>
      </c>
      <c r="AB4314" t="str">
        <f>HYPERLINK("Melting_Curves/meltCurve_Q7Z7F0_2_KIAA0907.pdf", "Melting_Curves/meltCurve_Q7Z7F0_2_KIAA0907.pdf")</f>
        <v>Melting_Curves/meltCurve_Q7Z7F0_2_KIAA0907.pdf</v>
      </c>
    </row>
    <row r="4315" spans="1:28" x14ac:dyDescent="0.25">
      <c r="A4315" t="s">
        <v>4319</v>
      </c>
      <c r="B4315">
        <v>0.99252571173614901</v>
      </c>
      <c r="C4315">
        <v>1.11054626483438</v>
      </c>
      <c r="D4315">
        <v>0.86139641872800599</v>
      </c>
      <c r="E4315">
        <v>0.694530025908208</v>
      </c>
      <c r="F4315">
        <v>0.512742944192633</v>
      </c>
      <c r="G4315">
        <v>0.32873879238297099</v>
      </c>
      <c r="H4315">
        <v>0.22599265202949501</v>
      </c>
      <c r="I4315">
        <v>0.19023219660260099</v>
      </c>
      <c r="J4315">
        <v>0.190538702748654</v>
      </c>
      <c r="K4315">
        <v>0.22026575379327201</v>
      </c>
      <c r="L4315">
        <v>876.94656606951696</v>
      </c>
      <c r="M4315">
        <v>17.026007765530899</v>
      </c>
      <c r="N4315">
        <v>52.927021567975203</v>
      </c>
      <c r="O4315">
        <v>50.8115042470261</v>
      </c>
      <c r="P4315">
        <v>-6.8409483239668306E-2</v>
      </c>
      <c r="Q4315">
        <v>0.18341979305387801</v>
      </c>
      <c r="R4315">
        <v>0.97935607371338196</v>
      </c>
      <c r="S4315" t="s">
        <v>10961</v>
      </c>
      <c r="T4315" t="s">
        <v>13290</v>
      </c>
      <c r="U4315" t="s">
        <v>13290</v>
      </c>
      <c r="V4315" t="s">
        <v>13290</v>
      </c>
      <c r="W4315" t="s">
        <v>17557</v>
      </c>
      <c r="X4315">
        <v>2</v>
      </c>
      <c r="Y4315" t="s">
        <v>24048</v>
      </c>
      <c r="Z4315" t="s">
        <v>30645</v>
      </c>
      <c r="AA4315">
        <v>0.51167267682231299</v>
      </c>
      <c r="AB4315" t="str">
        <f>HYPERLINK("Melting_Curves/meltCurve_Q7Z7F7_MRPL55.pdf", "Melting_Curves/meltCurve_Q7Z7F7_MRPL55.pdf")</f>
        <v>Melting_Curves/meltCurve_Q7Z7F7_MRPL55.pdf</v>
      </c>
    </row>
    <row r="4316" spans="1:28" x14ac:dyDescent="0.25">
      <c r="A4316" t="s">
        <v>4320</v>
      </c>
      <c r="B4316">
        <v>0.99252571173614901</v>
      </c>
      <c r="C4316">
        <v>0.82865718263979105</v>
      </c>
      <c r="D4316">
        <v>0.76304739540244004</v>
      </c>
      <c r="E4316">
        <v>0.73074082849920396</v>
      </c>
      <c r="F4316">
        <v>0.52457787085312102</v>
      </c>
      <c r="G4316">
        <v>0.32110237303640699</v>
      </c>
      <c r="H4316">
        <v>9.1033773437713003E-2</v>
      </c>
      <c r="I4316">
        <v>7.2911106279723095E-2</v>
      </c>
      <c r="J4316">
        <v>7.29571978513959E-2</v>
      </c>
      <c r="K4316">
        <v>5.9733606760459801E-2</v>
      </c>
      <c r="L4316">
        <v>602.637714741747</v>
      </c>
      <c r="M4316">
        <v>11.4574330544328</v>
      </c>
      <c r="N4316">
        <v>52.597965010460499</v>
      </c>
      <c r="O4316">
        <v>51.072173261332701</v>
      </c>
      <c r="P4316">
        <v>-5.6100689377688501E-2</v>
      </c>
      <c r="Q4316">
        <v>0</v>
      </c>
      <c r="R4316">
        <v>0.97247388435847204</v>
      </c>
      <c r="S4316" t="s">
        <v>10962</v>
      </c>
      <c r="T4316" t="s">
        <v>13290</v>
      </c>
      <c r="U4316" t="s">
        <v>13290</v>
      </c>
      <c r="V4316" t="s">
        <v>13290</v>
      </c>
      <c r="W4316" t="s">
        <v>17558</v>
      </c>
      <c r="X4316">
        <v>10</v>
      </c>
      <c r="Y4316" t="s">
        <v>24049</v>
      </c>
      <c r="Z4316" t="s">
        <v>30646</v>
      </c>
      <c r="AA4316">
        <v>0.45089911186982762</v>
      </c>
      <c r="AB4316" t="str">
        <f>HYPERLINK("Melting_Curves/meltCurve_Q7Z7H5_3_TMED4.pdf", "Melting_Curves/meltCurve_Q7Z7H5_3_TMED4.pdf")</f>
        <v>Melting_Curves/meltCurve_Q7Z7H5_3_TMED4.pdf</v>
      </c>
    </row>
    <row r="4317" spans="1:28" x14ac:dyDescent="0.25">
      <c r="A4317" t="s">
        <v>4321</v>
      </c>
      <c r="B4317">
        <v>0.99252571173614901</v>
      </c>
      <c r="C4317">
        <v>0.95144581493826696</v>
      </c>
      <c r="D4317">
        <v>0.65994014658564504</v>
      </c>
      <c r="E4317">
        <v>0.32625868590679402</v>
      </c>
      <c r="F4317">
        <v>0.15579424218210799</v>
      </c>
      <c r="G4317">
        <v>0.114875059788672</v>
      </c>
      <c r="H4317">
        <v>9.7291958174292495E-2</v>
      </c>
      <c r="I4317">
        <v>0.125485889483897</v>
      </c>
      <c r="J4317">
        <v>0.16341430982132099</v>
      </c>
      <c r="K4317">
        <v>0.17425047164416399</v>
      </c>
      <c r="L4317">
        <v>1225.7830989674501</v>
      </c>
      <c r="M4317">
        <v>26.1210845275432</v>
      </c>
      <c r="N4317">
        <v>47.486656000832099</v>
      </c>
      <c r="O4317">
        <v>46.654512164620002</v>
      </c>
      <c r="P4317">
        <v>-0.12142735467393199</v>
      </c>
      <c r="Q4317">
        <v>0.13249083760665201</v>
      </c>
      <c r="R4317">
        <v>0.99442813349098302</v>
      </c>
      <c r="S4317" t="s">
        <v>10963</v>
      </c>
      <c r="T4317" t="s">
        <v>13290</v>
      </c>
      <c r="U4317" t="s">
        <v>13290</v>
      </c>
      <c r="V4317" t="s">
        <v>13290</v>
      </c>
      <c r="W4317" t="s">
        <v>17559</v>
      </c>
      <c r="X4317">
        <v>3</v>
      </c>
      <c r="Y4317" t="s">
        <v>24050</v>
      </c>
      <c r="Z4317" t="s">
        <v>30647</v>
      </c>
      <c r="AA4317">
        <v>0.3398386248188357</v>
      </c>
      <c r="AB4317" t="str">
        <f>HYPERLINK("Melting_Curves/meltCurve_Q7Z7H8_MRPL10.pdf", "Melting_Curves/meltCurve_Q7Z7H8_MRPL10.pdf")</f>
        <v>Melting_Curves/meltCurve_Q7Z7H8_MRPL10.pdf</v>
      </c>
    </row>
    <row r="4318" spans="1:28" x14ac:dyDescent="0.25">
      <c r="A4318" t="s">
        <v>4322</v>
      </c>
      <c r="B4318">
        <v>0.99252571173614901</v>
      </c>
      <c r="C4318">
        <v>1.09500690942374</v>
      </c>
      <c r="D4318">
        <v>1.0200259380105701</v>
      </c>
      <c r="E4318">
        <v>0.98761963978550105</v>
      </c>
      <c r="F4318">
        <v>0.58213095620869804</v>
      </c>
      <c r="G4318">
        <v>0.46331060113609901</v>
      </c>
      <c r="H4318">
        <v>0.44659822221918399</v>
      </c>
      <c r="I4318">
        <v>0.639650942033272</v>
      </c>
      <c r="J4318">
        <v>0.89035171970377502</v>
      </c>
      <c r="K4318">
        <v>1.01671657282675</v>
      </c>
      <c r="L4318">
        <v>12560.4397153964</v>
      </c>
      <c r="M4318">
        <v>250</v>
      </c>
      <c r="O4318">
        <v>50.238543345526402</v>
      </c>
      <c r="P4318">
        <v>-0.406651815994159</v>
      </c>
      <c r="Q4318">
        <v>0.67312647978186402</v>
      </c>
      <c r="R4318">
        <v>0.51183380592228001</v>
      </c>
      <c r="S4318" t="s">
        <v>10964</v>
      </c>
      <c r="T4318" t="s">
        <v>13290</v>
      </c>
      <c r="U4318" t="s">
        <v>13290</v>
      </c>
      <c r="V4318" t="s">
        <v>13290</v>
      </c>
      <c r="W4318" t="s">
        <v>17560</v>
      </c>
      <c r="X4318">
        <v>8</v>
      </c>
      <c r="Y4318" t="s">
        <v>24051</v>
      </c>
      <c r="Z4318" t="s">
        <v>30648</v>
      </c>
      <c r="AA4318">
        <v>0.78474729377618258</v>
      </c>
      <c r="AB4318" t="str">
        <f>HYPERLINK("Melting_Curves/meltCurve_Q7Z7K0_CMC1.pdf", "Melting_Curves/meltCurve_Q7Z7K0_CMC1.pdf")</f>
        <v>Melting_Curves/meltCurve_Q7Z7K0_CMC1.pdf</v>
      </c>
    </row>
    <row r="4319" spans="1:28" x14ac:dyDescent="0.25">
      <c r="A4319" t="s">
        <v>4323</v>
      </c>
      <c r="B4319">
        <v>0.99252571173614901</v>
      </c>
      <c r="C4319">
        <v>0.96883857447204902</v>
      </c>
      <c r="D4319">
        <v>0.89272104570850297</v>
      </c>
      <c r="E4319">
        <v>0.74067255783958197</v>
      </c>
      <c r="F4319">
        <v>0.83783243484391501</v>
      </c>
      <c r="G4319">
        <v>0.2330998158707</v>
      </c>
      <c r="H4319">
        <v>0.16211086113707501</v>
      </c>
      <c r="I4319">
        <v>0.15647112421347401</v>
      </c>
      <c r="J4319">
        <v>0.25425316429857497</v>
      </c>
      <c r="K4319">
        <v>0.34237552988325898</v>
      </c>
      <c r="L4319">
        <v>4314.1412415822397</v>
      </c>
      <c r="M4319">
        <v>79.784661124209094</v>
      </c>
      <c r="N4319">
        <v>54.4842165503104</v>
      </c>
      <c r="O4319">
        <v>54.038371603662597</v>
      </c>
      <c r="P4319">
        <v>-0.28552073344144102</v>
      </c>
      <c r="Q4319">
        <v>0.226464172760237</v>
      </c>
      <c r="R4319">
        <v>0.91006341317626804</v>
      </c>
      <c r="S4319" t="s">
        <v>10965</v>
      </c>
      <c r="T4319" t="s">
        <v>13290</v>
      </c>
      <c r="U4319" t="s">
        <v>13290</v>
      </c>
      <c r="V4319" t="s">
        <v>13290</v>
      </c>
      <c r="W4319" t="s">
        <v>17561</v>
      </c>
      <c r="X4319">
        <v>1</v>
      </c>
      <c r="Y4319" t="s">
        <v>24052</v>
      </c>
      <c r="Z4319" t="s">
        <v>30649</v>
      </c>
      <c r="AA4319">
        <v>0.5900342763539469</v>
      </c>
      <c r="AB4319" t="str">
        <f>HYPERLINK("Melting_Curves/meltCurve_Q7Z7K6_3_CENPV.pdf", "Melting_Curves/meltCurve_Q7Z7K6_3_CENPV.pdf")</f>
        <v>Melting_Curves/meltCurve_Q7Z7K6_3_CENPV.pdf</v>
      </c>
    </row>
    <row r="4320" spans="1:28" x14ac:dyDescent="0.25">
      <c r="A4320" t="s">
        <v>4324</v>
      </c>
      <c r="B4320">
        <v>0.99252571173614901</v>
      </c>
      <c r="C4320">
        <v>1.0070886972884601</v>
      </c>
      <c r="D4320">
        <v>1.06148659496432</v>
      </c>
      <c r="E4320">
        <v>1.0069447554619</v>
      </c>
      <c r="F4320">
        <v>0.91671176644333796</v>
      </c>
      <c r="G4320">
        <v>0.57013128916051503</v>
      </c>
      <c r="H4320">
        <v>0.39568979203438398</v>
      </c>
      <c r="I4320">
        <v>0.37326149191499602</v>
      </c>
      <c r="J4320">
        <v>0.36108220822272402</v>
      </c>
      <c r="K4320">
        <v>0.24055647212831299</v>
      </c>
      <c r="L4320">
        <v>1856.0401807794101</v>
      </c>
      <c r="M4320">
        <v>33.121229899191498</v>
      </c>
      <c r="N4320">
        <v>57.867243140077697</v>
      </c>
      <c r="O4320">
        <v>55.834685153978697</v>
      </c>
      <c r="P4320">
        <v>-0.100173388197234</v>
      </c>
      <c r="Q4320">
        <v>0.32452689917050498</v>
      </c>
      <c r="R4320">
        <v>0.98476051994724201</v>
      </c>
      <c r="S4320" t="s">
        <v>10966</v>
      </c>
      <c r="T4320" t="s">
        <v>13290</v>
      </c>
      <c r="U4320" t="s">
        <v>13290</v>
      </c>
      <c r="V4320" t="s">
        <v>13290</v>
      </c>
      <c r="W4320" t="s">
        <v>17562</v>
      </c>
      <c r="X4320">
        <v>3</v>
      </c>
      <c r="Y4320" t="s">
        <v>24053</v>
      </c>
      <c r="Z4320" t="s">
        <v>30650</v>
      </c>
      <c r="AA4320">
        <v>0.68937565589076943</v>
      </c>
      <c r="AB4320" t="str">
        <f>HYPERLINK("Melting_Curves/meltCurve_Q7Z7L7_ZER1.pdf", "Melting_Curves/meltCurve_Q7Z7L7_ZER1.pdf")</f>
        <v>Melting_Curves/meltCurve_Q7Z7L7_ZER1.pdf</v>
      </c>
    </row>
    <row r="4321" spans="1:28" x14ac:dyDescent="0.25">
      <c r="A4321" t="s">
        <v>4325</v>
      </c>
      <c r="B4321">
        <v>0.99252571173614901</v>
      </c>
      <c r="C4321">
        <v>0.94523272842838602</v>
      </c>
      <c r="D4321">
        <v>0.86519614308772697</v>
      </c>
      <c r="E4321">
        <v>0.66805026035590598</v>
      </c>
      <c r="F4321">
        <v>0.64993683080569498</v>
      </c>
      <c r="G4321">
        <v>0.47700684651878</v>
      </c>
      <c r="H4321">
        <v>0.37046182196171801</v>
      </c>
      <c r="I4321">
        <v>0.47576181727183298</v>
      </c>
      <c r="J4321">
        <v>0.74902582078806501</v>
      </c>
      <c r="K4321">
        <v>0.584560399327957</v>
      </c>
      <c r="L4321">
        <v>1044.3708969642801</v>
      </c>
      <c r="M4321">
        <v>21.884855718096901</v>
      </c>
      <c r="O4321">
        <v>47.328075384057598</v>
      </c>
      <c r="P4321">
        <v>-5.3325614695908997E-2</v>
      </c>
      <c r="Q4321">
        <v>0.53872369528503705</v>
      </c>
      <c r="R4321">
        <v>0.77129287802165303</v>
      </c>
      <c r="S4321" t="s">
        <v>10967</v>
      </c>
      <c r="T4321" t="s">
        <v>13290</v>
      </c>
      <c r="U4321" t="s">
        <v>13290</v>
      </c>
      <c r="V4321" t="s">
        <v>13290</v>
      </c>
      <c r="W4321" t="s">
        <v>17563</v>
      </c>
      <c r="X4321">
        <v>2</v>
      </c>
      <c r="Y4321" t="s">
        <v>24054</v>
      </c>
      <c r="Z4321" t="s">
        <v>30651</v>
      </c>
      <c r="AA4321">
        <v>0.66287859656515158</v>
      </c>
      <c r="AB4321" t="str">
        <f>HYPERLINK("Melting_Curves/meltCurve_Q7Z7N9_TMEM179B.pdf", "Melting_Curves/meltCurve_Q7Z7N9_TMEM179B.pdf")</f>
        <v>Melting_Curves/meltCurve_Q7Z7N9_TMEM179B.pdf</v>
      </c>
    </row>
    <row r="4322" spans="1:28" x14ac:dyDescent="0.25">
      <c r="A4322" t="s">
        <v>4326</v>
      </c>
      <c r="B4322">
        <v>0.99252571173614901</v>
      </c>
      <c r="C4322">
        <v>1.0018781051275201</v>
      </c>
      <c r="D4322">
        <v>0.995861595847783</v>
      </c>
      <c r="E4322">
        <v>1.0067736740468001</v>
      </c>
      <c r="F4322">
        <v>0.77657451222495999</v>
      </c>
      <c r="G4322">
        <v>0.51523266287963898</v>
      </c>
      <c r="H4322">
        <v>0.16980153825840899</v>
      </c>
      <c r="I4322">
        <v>0.11061073536346799</v>
      </c>
      <c r="J4322">
        <v>0.103089167004093</v>
      </c>
      <c r="K4322">
        <v>9.2556784198930903E-2</v>
      </c>
      <c r="L4322">
        <v>1385.1519961067499</v>
      </c>
      <c r="M4322">
        <v>24.637202612280099</v>
      </c>
      <c r="N4322">
        <v>56.595943551108803</v>
      </c>
      <c r="O4322">
        <v>55.855507232898603</v>
      </c>
      <c r="P4322">
        <v>-0.101989837191151</v>
      </c>
      <c r="Q4322">
        <v>7.5120463186156103E-2</v>
      </c>
      <c r="R4322">
        <v>0.99639005091736199</v>
      </c>
      <c r="S4322" t="s">
        <v>10968</v>
      </c>
      <c r="T4322" t="s">
        <v>13290</v>
      </c>
      <c r="U4322" t="s">
        <v>13290</v>
      </c>
      <c r="V4322" t="s">
        <v>13290</v>
      </c>
      <c r="W4322" t="s">
        <v>17564</v>
      </c>
      <c r="X4322">
        <v>4</v>
      </c>
      <c r="Y4322" t="s">
        <v>24055</v>
      </c>
      <c r="Z4322" t="s">
        <v>30652</v>
      </c>
      <c r="AA4322">
        <v>0.58390067609552476</v>
      </c>
      <c r="AB4322" t="str">
        <f>HYPERLINK("Melting_Curves/meltCurve_Q86SQ9_3_DHDDS.pdf", "Melting_Curves/meltCurve_Q86SQ9_3_DHDDS.pdf")</f>
        <v>Melting_Curves/meltCurve_Q86SQ9_3_DHDDS.pdf</v>
      </c>
    </row>
    <row r="4323" spans="1:28" x14ac:dyDescent="0.25">
      <c r="A4323" t="s">
        <v>4327</v>
      </c>
      <c r="B4323">
        <v>0.99252571173614901</v>
      </c>
      <c r="C4323">
        <v>0.86639926771140696</v>
      </c>
      <c r="D4323">
        <v>0.83313835506728096</v>
      </c>
      <c r="E4323">
        <v>0.534617441419596</v>
      </c>
      <c r="F4323">
        <v>0.117805740369086</v>
      </c>
      <c r="G4323">
        <v>6.7600685165912999E-2</v>
      </c>
      <c r="H4323">
        <v>5.3142746428448497E-2</v>
      </c>
      <c r="I4323">
        <v>6.7671354946663098E-2</v>
      </c>
      <c r="J4323">
        <v>0.10746037645534599</v>
      </c>
      <c r="K4323">
        <v>9.23899033831595E-2</v>
      </c>
      <c r="L4323">
        <v>1209.8181769555399</v>
      </c>
      <c r="M4323">
        <v>24.6230172615026</v>
      </c>
      <c r="N4323">
        <v>49.399597257414001</v>
      </c>
      <c r="O4323">
        <v>48.813004956342603</v>
      </c>
      <c r="P4323">
        <v>-0.118281859654729</v>
      </c>
      <c r="Q4323">
        <v>6.2079393395343498E-2</v>
      </c>
      <c r="R4323">
        <v>0.98252504699413901</v>
      </c>
      <c r="S4323" t="s">
        <v>10969</v>
      </c>
      <c r="T4323" t="s">
        <v>13290</v>
      </c>
      <c r="U4323" t="s">
        <v>13290</v>
      </c>
      <c r="V4323" t="s">
        <v>13290</v>
      </c>
      <c r="W4323" t="s">
        <v>17565</v>
      </c>
      <c r="X4323">
        <v>4</v>
      </c>
      <c r="Y4323" t="s">
        <v>24056</v>
      </c>
      <c r="Z4323" t="s">
        <v>30653</v>
      </c>
      <c r="AA4323">
        <v>0.35621577158700052</v>
      </c>
      <c r="AB4323" t="str">
        <f>HYPERLINK("Melting_Curves/meltCurve_Q86SR1_2_GALNT10.pdf", "Melting_Curves/meltCurve_Q86SR1_2_GALNT10.pdf")</f>
        <v>Melting_Curves/meltCurve_Q86SR1_2_GALNT10.pdf</v>
      </c>
    </row>
    <row r="4324" spans="1:28" x14ac:dyDescent="0.25">
      <c r="A4324" t="s">
        <v>4328</v>
      </c>
      <c r="B4324">
        <v>0.99252571173614901</v>
      </c>
      <c r="C4324">
        <v>1.0726845507535601</v>
      </c>
      <c r="D4324">
        <v>0.93989732738643295</v>
      </c>
      <c r="E4324">
        <v>0.79555290772176301</v>
      </c>
      <c r="F4324">
        <v>0.65283760322193396</v>
      </c>
      <c r="G4324">
        <v>0.44912019084368698</v>
      </c>
      <c r="H4324">
        <v>0.26678542421638002</v>
      </c>
      <c r="I4324">
        <v>0.213200683583119</v>
      </c>
      <c r="J4324">
        <v>0.22336690030729001</v>
      </c>
      <c r="K4324">
        <v>0.19879414485493799</v>
      </c>
      <c r="L4324">
        <v>845.06685922259601</v>
      </c>
      <c r="M4324">
        <v>15.647665199279301</v>
      </c>
      <c r="N4324">
        <v>55.453384621486798</v>
      </c>
      <c r="O4324">
        <v>53.146960777343203</v>
      </c>
      <c r="P4324">
        <v>-6.1270523029548003E-2</v>
      </c>
      <c r="Q4324">
        <v>0.167655154677364</v>
      </c>
      <c r="R4324">
        <v>0.98989607595382101</v>
      </c>
      <c r="S4324" t="s">
        <v>10970</v>
      </c>
      <c r="T4324" t="s">
        <v>13290</v>
      </c>
      <c r="U4324" t="s">
        <v>13290</v>
      </c>
      <c r="V4324" t="s">
        <v>13290</v>
      </c>
      <c r="W4324" t="s">
        <v>17566</v>
      </c>
      <c r="X4324">
        <v>7</v>
      </c>
      <c r="Y4324" t="s">
        <v>24057</v>
      </c>
      <c r="Z4324" t="s">
        <v>30654</v>
      </c>
      <c r="AA4324">
        <v>0.57242866079640808</v>
      </c>
      <c r="AB4324" t="str">
        <f>HYPERLINK("Melting_Curves/meltCurve_Q86SX6_GLRX5.pdf", "Melting_Curves/meltCurve_Q86SX6_GLRX5.pdf")</f>
        <v>Melting_Curves/meltCurve_Q86SX6_GLRX5.pdf</v>
      </c>
    </row>
    <row r="4325" spans="1:28" x14ac:dyDescent="0.25">
      <c r="A4325" t="s">
        <v>4329</v>
      </c>
      <c r="B4325">
        <v>0.99252571173614901</v>
      </c>
      <c r="C4325">
        <v>0.96403717156461699</v>
      </c>
      <c r="D4325">
        <v>1.0186187647846101</v>
      </c>
      <c r="E4325">
        <v>0.85521589614163396</v>
      </c>
      <c r="F4325">
        <v>0.98670728043631795</v>
      </c>
      <c r="G4325">
        <v>0.48990708017720203</v>
      </c>
      <c r="H4325">
        <v>0.16669479599251499</v>
      </c>
      <c r="I4325">
        <v>0.13779422899207799</v>
      </c>
      <c r="J4325">
        <v>0.133940426181895</v>
      </c>
      <c r="K4325">
        <v>0.141692890927475</v>
      </c>
      <c r="L4325">
        <v>3319.8855494497798</v>
      </c>
      <c r="M4325">
        <v>58.821868244279102</v>
      </c>
      <c r="N4325">
        <v>56.760553009565001</v>
      </c>
      <c r="O4325">
        <v>56.374526032187603</v>
      </c>
      <c r="P4325">
        <v>-0.223953368224694</v>
      </c>
      <c r="Q4325">
        <v>0.14145812212381301</v>
      </c>
      <c r="R4325">
        <v>0.98487699802645601</v>
      </c>
      <c r="S4325" t="s">
        <v>10971</v>
      </c>
      <c r="T4325" t="s">
        <v>13290</v>
      </c>
      <c r="U4325" t="s">
        <v>13290</v>
      </c>
      <c r="V4325" t="s">
        <v>13290</v>
      </c>
      <c r="W4325" t="s">
        <v>17567</v>
      </c>
      <c r="X4325">
        <v>4</v>
      </c>
      <c r="Y4325" t="s">
        <v>24058</v>
      </c>
      <c r="Z4325" t="s">
        <v>30655</v>
      </c>
      <c r="AA4325">
        <v>0.61347046280955175</v>
      </c>
      <c r="AB4325" t="str">
        <f>HYPERLINK("Melting_Curves/meltCurve_Q86SZ2_TRAPPC6B.pdf", "Melting_Curves/meltCurve_Q86SZ2_TRAPPC6B.pdf")</f>
        <v>Melting_Curves/meltCurve_Q86SZ2_TRAPPC6B.pdf</v>
      </c>
    </row>
    <row r="4326" spans="1:28" x14ac:dyDescent="0.25">
      <c r="A4326" t="s">
        <v>4330</v>
      </c>
      <c r="B4326">
        <v>0.99252571173614901</v>
      </c>
      <c r="C4326">
        <v>0.94502683516487596</v>
      </c>
      <c r="D4326">
        <v>0.876827210256655</v>
      </c>
      <c r="E4326">
        <v>0.76440804863092404</v>
      </c>
      <c r="F4326">
        <v>0.52255142770714702</v>
      </c>
      <c r="G4326">
        <v>0.29724216043832802</v>
      </c>
      <c r="H4326">
        <v>0.22505107045012501</v>
      </c>
      <c r="I4326">
        <v>0.16263809442146701</v>
      </c>
      <c r="J4326">
        <v>0.18553118296627399</v>
      </c>
      <c r="K4326">
        <v>0.13976126706580799</v>
      </c>
      <c r="L4326">
        <v>806.88474941792902</v>
      </c>
      <c r="M4326">
        <v>15.4196030351782</v>
      </c>
      <c r="N4326">
        <v>53.355400487195702</v>
      </c>
      <c r="O4326">
        <v>51.4720933660318</v>
      </c>
      <c r="P4326">
        <v>-6.5283284662722305E-2</v>
      </c>
      <c r="Q4326">
        <v>0.12839225080998101</v>
      </c>
      <c r="R4326">
        <v>0.995945224725301</v>
      </c>
      <c r="S4326" t="s">
        <v>10972</v>
      </c>
      <c r="T4326" t="s">
        <v>13290</v>
      </c>
      <c r="U4326" t="s">
        <v>13290</v>
      </c>
      <c r="V4326" t="s">
        <v>13290</v>
      </c>
      <c r="W4326" t="s">
        <v>17568</v>
      </c>
      <c r="X4326">
        <v>5</v>
      </c>
      <c r="Y4326" t="s">
        <v>24059</v>
      </c>
      <c r="Z4326" t="s">
        <v>30656</v>
      </c>
      <c r="AA4326">
        <v>0.50505706462434885</v>
      </c>
      <c r="AB4326" t="str">
        <f>HYPERLINK("Melting_Curves/meltCurve_Q86T03_TMEM55B.pdf", "Melting_Curves/meltCurve_Q86T03_TMEM55B.pdf")</f>
        <v>Melting_Curves/meltCurve_Q86T03_TMEM55B.pdf</v>
      </c>
    </row>
    <row r="4327" spans="1:28" x14ac:dyDescent="0.25">
      <c r="A4327" t="s">
        <v>4331</v>
      </c>
      <c r="B4327">
        <v>0.99252571173614901</v>
      </c>
      <c r="C4327">
        <v>0.91100659491346303</v>
      </c>
      <c r="D4327">
        <v>0.59594009958109295</v>
      </c>
      <c r="E4327">
        <v>0.385137990230352</v>
      </c>
      <c r="F4327">
        <v>0.26260732957320798</v>
      </c>
      <c r="G4327">
        <v>0.17597255836481501</v>
      </c>
      <c r="H4327">
        <v>0.120285210719037</v>
      </c>
      <c r="I4327">
        <v>0.102328284555527</v>
      </c>
      <c r="J4327">
        <v>0.135982802674357</v>
      </c>
      <c r="K4327">
        <v>0.142130571844264</v>
      </c>
      <c r="L4327">
        <v>838.58109381247198</v>
      </c>
      <c r="M4327">
        <v>17.835796209102501</v>
      </c>
      <c r="N4327">
        <v>47.804871005539603</v>
      </c>
      <c r="O4327">
        <v>46.4376528388647</v>
      </c>
      <c r="P4327">
        <v>-8.3793461249923096E-2</v>
      </c>
      <c r="Q4327">
        <v>0.12737899159928801</v>
      </c>
      <c r="R4327">
        <v>0.99121244422460297</v>
      </c>
      <c r="S4327" t="s">
        <v>10973</v>
      </c>
      <c r="T4327" t="s">
        <v>13290</v>
      </c>
      <c r="U4327" t="s">
        <v>13290</v>
      </c>
      <c r="V4327" t="s">
        <v>13290</v>
      </c>
      <c r="W4327" t="s">
        <v>17569</v>
      </c>
      <c r="X4327">
        <v>4</v>
      </c>
      <c r="Y4327" t="s">
        <v>24060</v>
      </c>
      <c r="Z4327" t="s">
        <v>30657</v>
      </c>
      <c r="AA4327">
        <v>0.34788739128747892</v>
      </c>
      <c r="AB4327" t="str">
        <f>HYPERLINK("Melting_Curves/meltCurve_Q86TB9_4_PATL1.pdf", "Melting_Curves/meltCurve_Q86TB9_4_PATL1.pdf")</f>
        <v>Melting_Curves/meltCurve_Q86TB9_4_PATL1.pdf</v>
      </c>
    </row>
    <row r="4328" spans="1:28" x14ac:dyDescent="0.25">
      <c r="A4328" t="s">
        <v>4332</v>
      </c>
      <c r="B4328">
        <v>0.99252571173614901</v>
      </c>
      <c r="C4328">
        <v>0.67223935860392103</v>
      </c>
      <c r="D4328">
        <v>0.29244689415925001</v>
      </c>
      <c r="E4328">
        <v>0.215434163352687</v>
      </c>
      <c r="F4328">
        <v>0.14178809590182501</v>
      </c>
      <c r="G4328">
        <v>0.106360387897536</v>
      </c>
      <c r="H4328">
        <v>8.9710272277530506E-2</v>
      </c>
      <c r="I4328">
        <v>0.102423135229348</v>
      </c>
      <c r="J4328">
        <v>0.136265684080452</v>
      </c>
      <c r="K4328">
        <v>0.121731646677413</v>
      </c>
      <c r="L4328">
        <v>1256.39855108142</v>
      </c>
      <c r="M4328">
        <v>28.694334008789401</v>
      </c>
      <c r="N4328">
        <v>44.224084968397896</v>
      </c>
      <c r="O4328">
        <v>43.574588247730297</v>
      </c>
      <c r="P4328">
        <v>-0.144246567894012</v>
      </c>
      <c r="Q4328">
        <v>0.123808077659512</v>
      </c>
      <c r="R4328">
        <v>0.98950204482952697</v>
      </c>
      <c r="S4328" t="s">
        <v>10974</v>
      </c>
      <c r="T4328" t="s">
        <v>13290</v>
      </c>
      <c r="U4328" t="s">
        <v>13290</v>
      </c>
      <c r="V4328" t="s">
        <v>13290</v>
      </c>
      <c r="W4328" t="s">
        <v>17570</v>
      </c>
      <c r="X4328">
        <v>11</v>
      </c>
      <c r="Y4328" t="s">
        <v>24061</v>
      </c>
      <c r="Z4328" t="s">
        <v>30658</v>
      </c>
      <c r="AA4328">
        <v>0.24180980464808149</v>
      </c>
      <c r="AB4328" t="str">
        <f>HYPERLINK("Melting_Curves/meltCurve_Q86TG7_PEG10.pdf", "Melting_Curves/meltCurve_Q86TG7_PEG10.pdf")</f>
        <v>Melting_Curves/meltCurve_Q86TG7_PEG10.pdf</v>
      </c>
    </row>
    <row r="4329" spans="1:28" x14ac:dyDescent="0.25">
      <c r="A4329" t="s">
        <v>4333</v>
      </c>
      <c r="B4329">
        <v>0.99252571173614901</v>
      </c>
      <c r="C4329">
        <v>1.01680153418589</v>
      </c>
      <c r="D4329">
        <v>0.99156016214235199</v>
      </c>
      <c r="E4329">
        <v>0.88303050113411097</v>
      </c>
      <c r="F4329">
        <v>0.56903788543644795</v>
      </c>
      <c r="G4329">
        <v>0.25516722185670498</v>
      </c>
      <c r="H4329">
        <v>0.185728771333663</v>
      </c>
      <c r="I4329">
        <v>0.19454889581600601</v>
      </c>
      <c r="J4329">
        <v>0.26180008061401699</v>
      </c>
      <c r="K4329">
        <v>0.18988163392433599</v>
      </c>
      <c r="L4329">
        <v>1662.62290117417</v>
      </c>
      <c r="M4329">
        <v>31.507139536558899</v>
      </c>
      <c r="N4329">
        <v>53.643967198216799</v>
      </c>
      <c r="O4329">
        <v>52.558504857744502</v>
      </c>
      <c r="P4329">
        <v>-0.119775095494446</v>
      </c>
      <c r="Q4329">
        <v>0.20079495673064701</v>
      </c>
      <c r="R4329">
        <v>0.995041191374191</v>
      </c>
      <c r="S4329" t="s">
        <v>10975</v>
      </c>
      <c r="T4329" t="s">
        <v>13290</v>
      </c>
      <c r="U4329" t="s">
        <v>13290</v>
      </c>
      <c r="V4329" t="s">
        <v>13290</v>
      </c>
      <c r="W4329" t="s">
        <v>17571</v>
      </c>
      <c r="X4329">
        <v>6</v>
      </c>
      <c r="Y4329" t="s">
        <v>24062</v>
      </c>
      <c r="Z4329" t="s">
        <v>30659</v>
      </c>
      <c r="AA4329">
        <v>0.5456724733575139</v>
      </c>
      <c r="AB4329" t="str">
        <f>HYPERLINK("Melting_Curves/meltCurve_Q86TI0_TBC1D1.pdf", "Melting_Curves/meltCurve_Q86TI0_TBC1D1.pdf")</f>
        <v>Melting_Curves/meltCurve_Q86TI0_TBC1D1.pdf</v>
      </c>
    </row>
    <row r="4330" spans="1:28" x14ac:dyDescent="0.25">
      <c r="A4330" t="s">
        <v>4334</v>
      </c>
      <c r="B4330">
        <v>0.99252571173614901</v>
      </c>
      <c r="C4330">
        <v>0.94017808729710695</v>
      </c>
      <c r="D4330">
        <v>1.0281585811549501</v>
      </c>
      <c r="E4330">
        <v>0.98180051009512403</v>
      </c>
      <c r="F4330">
        <v>0.29152507827208002</v>
      </c>
      <c r="G4330">
        <v>0.18492520249404701</v>
      </c>
      <c r="H4330">
        <v>0.118834964089502</v>
      </c>
      <c r="I4330">
        <v>0.121206268692855</v>
      </c>
      <c r="J4330">
        <v>0.129954304070931</v>
      </c>
      <c r="K4330">
        <v>0.12811107208380801</v>
      </c>
      <c r="L4330">
        <v>3772.5984909919098</v>
      </c>
      <c r="M4330">
        <v>72.4182166544458</v>
      </c>
      <c r="N4330">
        <v>52.323857193736004</v>
      </c>
      <c r="O4330">
        <v>52.054923359165997</v>
      </c>
      <c r="P4330">
        <v>-0.30051915648497601</v>
      </c>
      <c r="Q4330">
        <v>0.13593571721536801</v>
      </c>
      <c r="R4330">
        <v>0.99561526690888602</v>
      </c>
      <c r="S4330" t="s">
        <v>10976</v>
      </c>
      <c r="T4330" t="s">
        <v>13290</v>
      </c>
      <c r="U4330" t="s">
        <v>13290</v>
      </c>
      <c r="V4330" t="s">
        <v>13290</v>
      </c>
      <c r="W4330" t="s">
        <v>17572</v>
      </c>
      <c r="X4330">
        <v>5</v>
      </c>
      <c r="Y4330" t="s">
        <v>24063</v>
      </c>
      <c r="Z4330" t="s">
        <v>30660</v>
      </c>
      <c r="AA4330">
        <v>0.48523003116696728</v>
      </c>
      <c r="AB4330" t="str">
        <f>HYPERLINK("Melting_Curves/meltCurve_Q86TI2_DPP9.pdf", "Melting_Curves/meltCurve_Q86TI2_DPP9.pdf")</f>
        <v>Melting_Curves/meltCurve_Q86TI2_DPP9.pdf</v>
      </c>
    </row>
    <row r="4331" spans="1:28" x14ac:dyDescent="0.25">
      <c r="A4331" t="s">
        <v>4335</v>
      </c>
      <c r="B4331">
        <v>0.99252571173614901</v>
      </c>
      <c r="C4331">
        <v>0.99614496599237601</v>
      </c>
      <c r="D4331">
        <v>0.74381966264750299</v>
      </c>
      <c r="E4331">
        <v>0.66657839415273401</v>
      </c>
      <c r="F4331">
        <v>0.39050531959241502</v>
      </c>
      <c r="G4331">
        <v>0.28443435373394998</v>
      </c>
      <c r="H4331">
        <v>0.28252892533566598</v>
      </c>
      <c r="I4331">
        <v>0.36028679134518798</v>
      </c>
      <c r="J4331">
        <v>0.46546349894551298</v>
      </c>
      <c r="K4331">
        <v>0.39660566382319001</v>
      </c>
      <c r="L4331">
        <v>1016.06292501429</v>
      </c>
      <c r="M4331">
        <v>21.1241682643297</v>
      </c>
      <c r="N4331">
        <v>51.051148318732601</v>
      </c>
      <c r="O4331">
        <v>47.674716419533098</v>
      </c>
      <c r="P4331">
        <v>-7.1718124909771794E-2</v>
      </c>
      <c r="Q4331">
        <v>0.35258011905566899</v>
      </c>
      <c r="R4331">
        <v>0.93189598618715397</v>
      </c>
      <c r="S4331" t="s">
        <v>10977</v>
      </c>
      <c r="T4331" t="s">
        <v>13290</v>
      </c>
      <c r="U4331" t="s">
        <v>13290</v>
      </c>
      <c r="V4331" t="s">
        <v>13290</v>
      </c>
      <c r="W4331" t="s">
        <v>17573</v>
      </c>
      <c r="X4331">
        <v>3</v>
      </c>
      <c r="Y4331" t="s">
        <v>24064</v>
      </c>
      <c r="Z4331" t="s">
        <v>30661</v>
      </c>
      <c r="AA4331">
        <v>0.53555272169777779</v>
      </c>
      <c r="AB4331" t="str">
        <f>HYPERLINK("Melting_Curves/meltCurve_Q86TM6_2_SYVN1.pdf", "Melting_Curves/meltCurve_Q86TM6_2_SYVN1.pdf")</f>
        <v>Melting_Curves/meltCurve_Q86TM6_2_SYVN1.pdf</v>
      </c>
    </row>
    <row r="4332" spans="1:28" x14ac:dyDescent="0.25">
      <c r="A4332" t="s">
        <v>4336</v>
      </c>
      <c r="B4332">
        <v>0.99252571173614901</v>
      </c>
      <c r="C4332">
        <v>1.00872104320414</v>
      </c>
      <c r="D4332">
        <v>0.89812909010351705</v>
      </c>
      <c r="E4332">
        <v>0.65289992828613497</v>
      </c>
      <c r="F4332">
        <v>0.27770766685382497</v>
      </c>
      <c r="G4332">
        <v>0.12246646852192999</v>
      </c>
      <c r="H4332">
        <v>6.24155113615723E-2</v>
      </c>
      <c r="I4332">
        <v>5.7758967184170597E-2</v>
      </c>
      <c r="J4332">
        <v>5.4816232660150899E-2</v>
      </c>
      <c r="K4332">
        <v>5.5438670868818103E-2</v>
      </c>
      <c r="L4332">
        <v>1186.66854483919</v>
      </c>
      <c r="M4332">
        <v>23.421295715904499</v>
      </c>
      <c r="N4332">
        <v>50.894887603990902</v>
      </c>
      <c r="O4332">
        <v>50.301203096331001</v>
      </c>
      <c r="P4332">
        <v>-0.110593767673624</v>
      </c>
      <c r="Q4332">
        <v>4.9941182493094101E-2</v>
      </c>
      <c r="R4332">
        <v>0.99924737286204801</v>
      </c>
      <c r="S4332" t="s">
        <v>10978</v>
      </c>
      <c r="T4332" t="s">
        <v>13290</v>
      </c>
      <c r="U4332" t="s">
        <v>13290</v>
      </c>
      <c r="V4332" t="s">
        <v>13290</v>
      </c>
      <c r="W4332" t="s">
        <v>17574</v>
      </c>
      <c r="X4332">
        <v>5</v>
      </c>
      <c r="Y4332" t="s">
        <v>24065</v>
      </c>
      <c r="Z4332" t="s">
        <v>30662</v>
      </c>
      <c r="AA4332">
        <v>0.39745190627071481</v>
      </c>
      <c r="AB4332" t="str">
        <f>HYPERLINK("Melting_Curves/meltCurve_Q86TN4_TRPT1.pdf", "Melting_Curves/meltCurve_Q86TN4_TRPT1.pdf")</f>
        <v>Melting_Curves/meltCurve_Q86TN4_TRPT1.pdf</v>
      </c>
    </row>
    <row r="4333" spans="1:28" x14ac:dyDescent="0.25">
      <c r="A4333" t="s">
        <v>4337</v>
      </c>
      <c r="B4333">
        <v>0.99252571173614901</v>
      </c>
      <c r="C4333">
        <v>1.06633281354594</v>
      </c>
      <c r="D4333">
        <v>0.88082939265582705</v>
      </c>
      <c r="E4333">
        <v>0.47461787772899799</v>
      </c>
      <c r="F4333">
        <v>0.196642796922365</v>
      </c>
      <c r="G4333">
        <v>0.122463456255905</v>
      </c>
      <c r="H4333">
        <v>7.38491603520052E-2</v>
      </c>
      <c r="I4333">
        <v>5.9437801385000301E-2</v>
      </c>
      <c r="J4333">
        <v>4.7736885335310002E-2</v>
      </c>
      <c r="K4333">
        <v>4.9566474525729001E-2</v>
      </c>
      <c r="L4333">
        <v>1325.23427018796</v>
      </c>
      <c r="M4333">
        <v>26.8926209811492</v>
      </c>
      <c r="N4333">
        <v>49.536018962929496</v>
      </c>
      <c r="O4333">
        <v>49.008670964547498</v>
      </c>
      <c r="P4333">
        <v>-0.12824264802860399</v>
      </c>
      <c r="Q4333">
        <v>6.5180356228175806E-2</v>
      </c>
      <c r="R4333">
        <v>0.99430208804349796</v>
      </c>
      <c r="S4333" t="s">
        <v>10979</v>
      </c>
      <c r="T4333" t="s">
        <v>13290</v>
      </c>
      <c r="U4333" t="s">
        <v>13290</v>
      </c>
      <c r="V4333" t="s">
        <v>13290</v>
      </c>
      <c r="W4333" t="s">
        <v>17575</v>
      </c>
      <c r="X4333">
        <v>9</v>
      </c>
      <c r="Y4333" t="s">
        <v>24066</v>
      </c>
      <c r="Z4333" t="s">
        <v>30663</v>
      </c>
      <c r="AA4333">
        <v>0.36146068898849643</v>
      </c>
      <c r="AB4333" t="str">
        <f>HYPERLINK("Melting_Curves/meltCurve_Q86TP1_PRUNE.pdf", "Melting_Curves/meltCurve_Q86TP1_PRUNE.pdf")</f>
        <v>Melting_Curves/meltCurve_Q86TP1_PRUNE.pdf</v>
      </c>
    </row>
    <row r="4334" spans="1:28" x14ac:dyDescent="0.25">
      <c r="A4334" t="s">
        <v>4338</v>
      </c>
      <c r="B4334">
        <v>0.99252571173614901</v>
      </c>
      <c r="C4334">
        <v>1.0663690886422099</v>
      </c>
      <c r="D4334">
        <v>0.97697248086915101</v>
      </c>
      <c r="E4334">
        <v>0.84397652289608804</v>
      </c>
      <c r="F4334">
        <v>0.40859143880041898</v>
      </c>
      <c r="G4334">
        <v>0.10819301113523799</v>
      </c>
      <c r="H4334">
        <v>6.14636284960886E-2</v>
      </c>
      <c r="I4334">
        <v>5.7654171890340201E-2</v>
      </c>
      <c r="J4334">
        <v>5.8811207777276699E-2</v>
      </c>
      <c r="K4334">
        <v>5.3720691010139501E-2</v>
      </c>
      <c r="L4334">
        <v>1630.92462687955</v>
      </c>
      <c r="M4334">
        <v>31.201645125082099</v>
      </c>
      <c r="N4334">
        <v>52.452628488937201</v>
      </c>
      <c r="O4334">
        <v>52.057164300922899</v>
      </c>
      <c r="P4334">
        <v>-0.14215009705859899</v>
      </c>
      <c r="Q4334">
        <v>5.13462103472236E-2</v>
      </c>
      <c r="R4334">
        <v>0.99720643587262403</v>
      </c>
      <c r="S4334" t="s">
        <v>10980</v>
      </c>
      <c r="T4334" t="s">
        <v>13290</v>
      </c>
      <c r="U4334" t="s">
        <v>13290</v>
      </c>
      <c r="V4334" t="s">
        <v>13290</v>
      </c>
      <c r="W4334" t="s">
        <v>17576</v>
      </c>
      <c r="X4334">
        <v>17</v>
      </c>
      <c r="Y4334" t="s">
        <v>24067</v>
      </c>
      <c r="Z4334" t="s">
        <v>30664</v>
      </c>
      <c r="AA4334">
        <v>0.44499143380023481</v>
      </c>
      <c r="AB4334" t="str">
        <f>HYPERLINK("Melting_Curves/meltCurve_Q86TU7_SETD3.pdf", "Melting_Curves/meltCurve_Q86TU7_SETD3.pdf")</f>
        <v>Melting_Curves/meltCurve_Q86TU7_SETD3.pdf</v>
      </c>
    </row>
    <row r="4335" spans="1:28" x14ac:dyDescent="0.25">
      <c r="A4335" t="s">
        <v>4339</v>
      </c>
      <c r="B4335">
        <v>0.99252571173614901</v>
      </c>
      <c r="C4335">
        <v>0.88782535258353601</v>
      </c>
      <c r="D4335">
        <v>0.97642491588220803</v>
      </c>
      <c r="E4335">
        <v>0.95820587924031597</v>
      </c>
      <c r="F4335">
        <v>0.73805645079764204</v>
      </c>
      <c r="G4335">
        <v>0.45446723118721</v>
      </c>
      <c r="H4335">
        <v>0.20837090361299301</v>
      </c>
      <c r="I4335">
        <v>7.7847800691140404E-2</v>
      </c>
      <c r="J4335">
        <v>6.8143334664945501E-2</v>
      </c>
      <c r="K4335">
        <v>5.62728954186269E-2</v>
      </c>
      <c r="L4335">
        <v>1119.7002731503701</v>
      </c>
      <c r="M4335">
        <v>19.9804899699819</v>
      </c>
      <c r="N4335">
        <v>56.207306905989597</v>
      </c>
      <c r="O4335">
        <v>55.4873877293821</v>
      </c>
      <c r="P4335">
        <v>-8.7421749146779207E-2</v>
      </c>
      <c r="Q4335">
        <v>2.89235035897791E-2</v>
      </c>
      <c r="R4335">
        <v>0.99074076556951496</v>
      </c>
      <c r="S4335" t="s">
        <v>10981</v>
      </c>
      <c r="T4335" t="s">
        <v>13290</v>
      </c>
      <c r="U4335" t="s">
        <v>13290</v>
      </c>
      <c r="V4335" t="s">
        <v>13290</v>
      </c>
      <c r="W4335" t="s">
        <v>17577</v>
      </c>
      <c r="X4335">
        <v>1</v>
      </c>
      <c r="Y4335" t="s">
        <v>24068</v>
      </c>
      <c r="Z4335" t="s">
        <v>30665</v>
      </c>
      <c r="AA4335">
        <v>0.56062032220218194</v>
      </c>
      <c r="AB4335" t="str">
        <f>HYPERLINK("Melting_Curves/meltCurve_Q86TW2_3_ADCK1.pdf", "Melting_Curves/meltCurve_Q86TW2_3_ADCK1.pdf")</f>
        <v>Melting_Curves/meltCurve_Q86TW2_3_ADCK1.pdf</v>
      </c>
    </row>
    <row r="4336" spans="1:28" x14ac:dyDescent="0.25">
      <c r="A4336" t="s">
        <v>4340</v>
      </c>
      <c r="B4336">
        <v>0.99252571173614901</v>
      </c>
      <c r="C4336">
        <v>1.0802367327411799</v>
      </c>
      <c r="D4336">
        <v>0.92954951414938403</v>
      </c>
      <c r="E4336">
        <v>0.70695029556840405</v>
      </c>
      <c r="F4336">
        <v>0.24815800515563899</v>
      </c>
      <c r="G4336">
        <v>0.12553109955948399</v>
      </c>
      <c r="H4336">
        <v>9.2814377796417102E-2</v>
      </c>
      <c r="I4336">
        <v>0.10225552109790199</v>
      </c>
      <c r="J4336">
        <v>0.108896484882282</v>
      </c>
      <c r="K4336">
        <v>8.6683665426102299E-2</v>
      </c>
      <c r="L4336">
        <v>1633.2519712307201</v>
      </c>
      <c r="M4336">
        <v>32.240532190259401</v>
      </c>
      <c r="N4336">
        <v>50.995197034923898</v>
      </c>
      <c r="O4336">
        <v>50.464649049358002</v>
      </c>
      <c r="P4336">
        <v>-0.14440079850450199</v>
      </c>
      <c r="Q4336">
        <v>9.5908341963451604E-2</v>
      </c>
      <c r="R4336">
        <v>0.99461317716225395</v>
      </c>
      <c r="S4336" t="s">
        <v>10982</v>
      </c>
      <c r="T4336" t="s">
        <v>13290</v>
      </c>
      <c r="U4336" t="s">
        <v>13290</v>
      </c>
      <c r="V4336" t="s">
        <v>13290</v>
      </c>
      <c r="W4336" t="s">
        <v>17578</v>
      </c>
      <c r="X4336">
        <v>25</v>
      </c>
      <c r="Y4336" t="s">
        <v>24069</v>
      </c>
      <c r="Z4336" t="s">
        <v>30666</v>
      </c>
      <c r="AA4336">
        <v>0.42200228968946613</v>
      </c>
      <c r="AB4336" t="str">
        <f>HYPERLINK("Melting_Curves/meltCurve_Q86TX2_ACOT1.pdf", "Melting_Curves/meltCurve_Q86TX2_ACOT1.pdf")</f>
        <v>Melting_Curves/meltCurve_Q86TX2_ACOT1.pdf</v>
      </c>
    </row>
    <row r="4337" spans="1:28" x14ac:dyDescent="0.25">
      <c r="A4337" t="s">
        <v>4341</v>
      </c>
      <c r="B4337">
        <v>0.99252571173614901</v>
      </c>
      <c r="C4337">
        <v>1.11793663176438</v>
      </c>
      <c r="D4337">
        <v>0.99884955705359102</v>
      </c>
      <c r="E4337">
        <v>0.80006316530072297</v>
      </c>
      <c r="F4337">
        <v>0.506473679836968</v>
      </c>
      <c r="G4337">
        <v>0.25322852977948301</v>
      </c>
      <c r="H4337">
        <v>0.129852132418668</v>
      </c>
      <c r="I4337">
        <v>0.116411428797524</v>
      </c>
      <c r="J4337">
        <v>0.12899490832857799</v>
      </c>
      <c r="K4337">
        <v>0.112816571200928</v>
      </c>
      <c r="L4337">
        <v>1229.5816095845801</v>
      </c>
      <c r="M4337">
        <v>23.370878668927801</v>
      </c>
      <c r="N4337">
        <v>53.1752929273514</v>
      </c>
      <c r="O4337">
        <v>52.231041775401202</v>
      </c>
      <c r="P4337">
        <v>-9.9593030991552201E-2</v>
      </c>
      <c r="Q4337">
        <v>0.109702903245916</v>
      </c>
      <c r="R4337">
        <v>0.98919385145961003</v>
      </c>
      <c r="S4337" t="s">
        <v>10983</v>
      </c>
      <c r="T4337" t="s">
        <v>13290</v>
      </c>
      <c r="U4337" t="s">
        <v>13290</v>
      </c>
      <c r="V4337" t="s">
        <v>13290</v>
      </c>
      <c r="W4337" t="s">
        <v>17579</v>
      </c>
      <c r="X4337">
        <v>6</v>
      </c>
      <c r="Y4337" t="s">
        <v>24070</v>
      </c>
      <c r="Z4337" t="s">
        <v>30667</v>
      </c>
      <c r="AA4337">
        <v>0.49324991073116448</v>
      </c>
      <c r="AB4337" t="str">
        <f>HYPERLINK("Melting_Curves/meltCurve_Q86U28_ISCA2.pdf", "Melting_Curves/meltCurve_Q86U28_ISCA2.pdf")</f>
        <v>Melting_Curves/meltCurve_Q86U28_ISCA2.pdf</v>
      </c>
    </row>
    <row r="4338" spans="1:28" x14ac:dyDescent="0.25">
      <c r="A4338" t="s">
        <v>4342</v>
      </c>
      <c r="B4338">
        <v>0.99252571173614901</v>
      </c>
      <c r="C4338">
        <v>0.96304938449419397</v>
      </c>
      <c r="D4338">
        <v>0.61796216979145702</v>
      </c>
      <c r="E4338">
        <v>0.34566926952390797</v>
      </c>
      <c r="F4338">
        <v>0.20727898234275299</v>
      </c>
      <c r="G4338">
        <v>0.12821741712304199</v>
      </c>
      <c r="H4338">
        <v>8.5438330078465102E-2</v>
      </c>
      <c r="I4338">
        <v>9.7883562027356597E-2</v>
      </c>
      <c r="J4338">
        <v>0.113865110035554</v>
      </c>
      <c r="K4338">
        <v>8.8068698354975702E-2</v>
      </c>
      <c r="L4338">
        <v>1000.91730869555</v>
      </c>
      <c r="M4338">
        <v>21.236991525023502</v>
      </c>
      <c r="N4338">
        <v>47.637902012629702</v>
      </c>
      <c r="O4338">
        <v>46.718915346152599</v>
      </c>
      <c r="P4338">
        <v>-0.10214895113028399</v>
      </c>
      <c r="Q4338">
        <v>0.10115975013551801</v>
      </c>
      <c r="R4338">
        <v>0.99295931673312698</v>
      </c>
      <c r="S4338" t="s">
        <v>10984</v>
      </c>
      <c r="T4338" t="s">
        <v>13290</v>
      </c>
      <c r="U4338" t="s">
        <v>13290</v>
      </c>
      <c r="V4338" t="s">
        <v>13290</v>
      </c>
      <c r="W4338" t="s">
        <v>17580</v>
      </c>
      <c r="X4338">
        <v>6</v>
      </c>
      <c r="Y4338" t="s">
        <v>24071</v>
      </c>
      <c r="Z4338" t="s">
        <v>30668</v>
      </c>
      <c r="AA4338">
        <v>0.32627972233549118</v>
      </c>
      <c r="AB4338" t="str">
        <f>HYPERLINK("Melting_Curves/meltCurve_Q86U38_NOP9.pdf", "Melting_Curves/meltCurve_Q86U38_NOP9.pdf")</f>
        <v>Melting_Curves/meltCurve_Q86U38_NOP9.pdf</v>
      </c>
    </row>
    <row r="4339" spans="1:28" x14ac:dyDescent="0.25">
      <c r="A4339" t="s">
        <v>4343</v>
      </c>
      <c r="B4339">
        <v>0.99252571173614901</v>
      </c>
      <c r="C4339">
        <v>0.96729256875702296</v>
      </c>
      <c r="D4339">
        <v>0.85140901537773195</v>
      </c>
      <c r="E4339">
        <v>0.71105816912396602</v>
      </c>
      <c r="F4339">
        <v>0.227518619074841</v>
      </c>
      <c r="G4339">
        <v>8.3287002080163097E-2</v>
      </c>
      <c r="H4339">
        <v>5.7282409227689499E-2</v>
      </c>
      <c r="I4339">
        <v>6.3801548704082001E-2</v>
      </c>
      <c r="J4339">
        <v>8.0446695635587803E-2</v>
      </c>
      <c r="K4339">
        <v>8.8071028133793999E-2</v>
      </c>
      <c r="L4339">
        <v>1423.82747797512</v>
      </c>
      <c r="M4339">
        <v>28.118041141430599</v>
      </c>
      <c r="N4339">
        <v>50.876030977469199</v>
      </c>
      <c r="O4339">
        <v>50.383450985912297</v>
      </c>
      <c r="P4339">
        <v>-0.130905469063017</v>
      </c>
      <c r="Q4339">
        <v>6.1753378277269899E-2</v>
      </c>
      <c r="R4339">
        <v>0.99052420681750497</v>
      </c>
      <c r="S4339" t="s">
        <v>10985</v>
      </c>
      <c r="T4339" t="s">
        <v>13290</v>
      </c>
      <c r="U4339" t="s">
        <v>13290</v>
      </c>
      <c r="V4339" t="s">
        <v>13290</v>
      </c>
      <c r="W4339" t="s">
        <v>17581</v>
      </c>
      <c r="X4339">
        <v>12</v>
      </c>
      <c r="Y4339" t="s">
        <v>24072</v>
      </c>
      <c r="Z4339" t="s">
        <v>30669</v>
      </c>
      <c r="AA4339">
        <v>0.40111862249819491</v>
      </c>
      <c r="AB4339" t="str">
        <f>HYPERLINK("Melting_Curves/meltCurve_Q86U44_METTL3.pdf", "Melting_Curves/meltCurve_Q86U44_METTL3.pdf")</f>
        <v>Melting_Curves/meltCurve_Q86U44_METTL3.pdf</v>
      </c>
    </row>
    <row r="4340" spans="1:28" x14ac:dyDescent="0.25">
      <c r="A4340" t="s">
        <v>4344</v>
      </c>
      <c r="B4340">
        <v>0.99252571173614901</v>
      </c>
      <c r="C4340">
        <v>1.10168493400623</v>
      </c>
      <c r="D4340">
        <v>1.12309373785296</v>
      </c>
      <c r="E4340">
        <v>1.4601390601809201</v>
      </c>
      <c r="F4340">
        <v>1.4609836551761</v>
      </c>
      <c r="G4340">
        <v>1.02710216249285</v>
      </c>
      <c r="H4340">
        <v>0.63549825995401499</v>
      </c>
      <c r="I4340">
        <v>0.85505158658005798</v>
      </c>
      <c r="J4340">
        <v>0.94940847161468001</v>
      </c>
      <c r="K4340">
        <v>0.84277566015776795</v>
      </c>
      <c r="L4340">
        <v>3398.5751261707001</v>
      </c>
      <c r="M4340">
        <v>58.488649592232797</v>
      </c>
      <c r="O4340">
        <v>58.038768734317301</v>
      </c>
      <c r="P4340">
        <v>-4.4182468132976202E-2</v>
      </c>
      <c r="Q4340">
        <v>0.82462958313477897</v>
      </c>
      <c r="R4340">
        <v>0.16308233330029101</v>
      </c>
      <c r="S4340" t="s">
        <v>10986</v>
      </c>
      <c r="T4340" t="s">
        <v>13290</v>
      </c>
      <c r="U4340" t="s">
        <v>13290</v>
      </c>
      <c r="V4340" t="s">
        <v>13290</v>
      </c>
      <c r="W4340" t="s">
        <v>17582</v>
      </c>
      <c r="X4340">
        <v>1</v>
      </c>
      <c r="Y4340" t="s">
        <v>24073</v>
      </c>
      <c r="Z4340" t="s">
        <v>30670</v>
      </c>
      <c r="AA4340">
        <v>0.93080240510663559</v>
      </c>
      <c r="AB4340" t="str">
        <f>HYPERLINK("Melting_Curves/meltCurve_Q86U70_3_LDB1.pdf", "Melting_Curves/meltCurve_Q86U70_3_LDB1.pdf")</f>
        <v>Melting_Curves/meltCurve_Q86U70_3_LDB1.pdf</v>
      </c>
    </row>
    <row r="4341" spans="1:28" x14ac:dyDescent="0.25">
      <c r="A4341" t="s">
        <v>4345</v>
      </c>
      <c r="B4341">
        <v>0.99252571173614901</v>
      </c>
      <c r="C4341">
        <v>0.74659391252207596</v>
      </c>
      <c r="D4341">
        <v>0.427747467947385</v>
      </c>
      <c r="E4341">
        <v>0.28848545291958599</v>
      </c>
      <c r="F4341">
        <v>0.18269979997705399</v>
      </c>
      <c r="G4341">
        <v>0.124671306851039</v>
      </c>
      <c r="H4341">
        <v>9.9988316521898601E-2</v>
      </c>
      <c r="I4341">
        <v>0.152316073834427</v>
      </c>
      <c r="J4341">
        <v>0.19216807965171701</v>
      </c>
      <c r="K4341">
        <v>0.18063344226210801</v>
      </c>
      <c r="L4341">
        <v>1001.37948410978</v>
      </c>
      <c r="M4341">
        <v>22.410087278332998</v>
      </c>
      <c r="N4341">
        <v>45.438107974408503</v>
      </c>
      <c r="O4341">
        <v>44.333076412810001</v>
      </c>
      <c r="P4341">
        <v>-0.106757016075876</v>
      </c>
      <c r="Q4341">
        <v>0.15524322009316699</v>
      </c>
      <c r="R4341">
        <v>0.98485148219293195</v>
      </c>
      <c r="S4341" t="s">
        <v>10987</v>
      </c>
      <c r="T4341" t="s">
        <v>13290</v>
      </c>
      <c r="U4341" t="s">
        <v>13290</v>
      </c>
      <c r="V4341" t="s">
        <v>13290</v>
      </c>
      <c r="W4341" t="s">
        <v>17583</v>
      </c>
      <c r="X4341">
        <v>4</v>
      </c>
      <c r="Y4341" t="s">
        <v>24074</v>
      </c>
      <c r="Z4341" t="s">
        <v>30671</v>
      </c>
      <c r="AA4341">
        <v>0.2985021875307215</v>
      </c>
      <c r="AB4341" t="str">
        <f>HYPERLINK("Melting_Curves/meltCurve_Q86U86_5_PBRM1.pdf", "Melting_Curves/meltCurve_Q86U86_5_PBRM1.pdf")</f>
        <v>Melting_Curves/meltCurve_Q86U86_5_PBRM1.pdf</v>
      </c>
    </row>
    <row r="4342" spans="1:28" x14ac:dyDescent="0.25">
      <c r="A4342" t="s">
        <v>4346</v>
      </c>
      <c r="B4342">
        <v>0.99252571173614901</v>
      </c>
      <c r="C4342">
        <v>1.11815292813222</v>
      </c>
      <c r="D4342">
        <v>0.98366931065352503</v>
      </c>
      <c r="E4342">
        <v>0.848578503717209</v>
      </c>
      <c r="F4342">
        <v>0.50236431062896703</v>
      </c>
      <c r="G4342">
        <v>0.16004281412270699</v>
      </c>
      <c r="H4342">
        <v>9.1817617863230297E-2</v>
      </c>
      <c r="I4342">
        <v>0.107024075112591</v>
      </c>
      <c r="J4342">
        <v>0.13065816442879399</v>
      </c>
      <c r="K4342">
        <v>0.115968568572969</v>
      </c>
      <c r="L4342">
        <v>1583.1547003155199</v>
      </c>
      <c r="M4342">
        <v>30.091812781977399</v>
      </c>
      <c r="N4342">
        <v>53.013274537870601</v>
      </c>
      <c r="O4342">
        <v>52.380112421733102</v>
      </c>
      <c r="P4342">
        <v>-0.12895726412139</v>
      </c>
      <c r="Q4342">
        <v>0.102114331635195</v>
      </c>
      <c r="R4342">
        <v>0.98934202955429895</v>
      </c>
      <c r="S4342" t="s">
        <v>10988</v>
      </c>
      <c r="T4342" t="s">
        <v>13290</v>
      </c>
      <c r="U4342" t="s">
        <v>13290</v>
      </c>
      <c r="V4342" t="s">
        <v>13290</v>
      </c>
      <c r="W4342" t="s">
        <v>17584</v>
      </c>
      <c r="X4342">
        <v>10</v>
      </c>
      <c r="Y4342" t="s">
        <v>24075</v>
      </c>
      <c r="Z4342" t="s">
        <v>30672</v>
      </c>
      <c r="AA4342">
        <v>0.48530550157191688</v>
      </c>
      <c r="AB4342" t="str">
        <f>HYPERLINK("Melting_Curves/meltCurve_Q86U90_YRDC.pdf", "Melting_Curves/meltCurve_Q86U90_YRDC.pdf")</f>
        <v>Melting_Curves/meltCurve_Q86U90_YRDC.pdf</v>
      </c>
    </row>
    <row r="4343" spans="1:28" x14ac:dyDescent="0.25">
      <c r="A4343" t="s">
        <v>4347</v>
      </c>
      <c r="B4343">
        <v>0.99252571173614901</v>
      </c>
      <c r="C4343">
        <v>0.80629596394757796</v>
      </c>
      <c r="D4343">
        <v>0.44901027751057898</v>
      </c>
      <c r="E4343">
        <v>0.30785746702296102</v>
      </c>
      <c r="F4343">
        <v>0.20548852883859101</v>
      </c>
      <c r="G4343">
        <v>0.14198588308062901</v>
      </c>
      <c r="H4343">
        <v>0.102527456902079</v>
      </c>
      <c r="I4343">
        <v>0.12974346410805199</v>
      </c>
      <c r="J4343">
        <v>0.13709806143406</v>
      </c>
      <c r="K4343">
        <v>0.13393783746568599</v>
      </c>
      <c r="L4343">
        <v>939.07003712426103</v>
      </c>
      <c r="M4343">
        <v>20.734662696632199</v>
      </c>
      <c r="N4343">
        <v>45.989033259550098</v>
      </c>
      <c r="O4343">
        <v>44.874910305644001</v>
      </c>
      <c r="P4343">
        <v>-9.9900329157220996E-2</v>
      </c>
      <c r="Q4343">
        <v>0.135188884245772</v>
      </c>
      <c r="R4343">
        <v>0.98916662095742303</v>
      </c>
      <c r="S4343" t="s">
        <v>10989</v>
      </c>
      <c r="T4343" t="s">
        <v>13290</v>
      </c>
      <c r="U4343" t="s">
        <v>13290</v>
      </c>
      <c r="V4343" t="s">
        <v>13290</v>
      </c>
      <c r="W4343" t="s">
        <v>17585</v>
      </c>
      <c r="X4343">
        <v>5</v>
      </c>
      <c r="Y4343" t="s">
        <v>24076</v>
      </c>
      <c r="Z4343" t="s">
        <v>30673</v>
      </c>
      <c r="AA4343">
        <v>0.30073032158902419</v>
      </c>
      <c r="AB4343" t="str">
        <f>HYPERLINK("Melting_Curves/meltCurve_Q86UA1_PRPF39.pdf", "Melting_Curves/meltCurve_Q86UA1_PRPF39.pdf")</f>
        <v>Melting_Curves/meltCurve_Q86UA1_PRPF39.pdf</v>
      </c>
    </row>
    <row r="4344" spans="1:28" x14ac:dyDescent="0.25">
      <c r="A4344" t="s">
        <v>4348</v>
      </c>
      <c r="B4344">
        <v>0.99252571173614901</v>
      </c>
      <c r="C4344">
        <v>0.86761949983233</v>
      </c>
      <c r="D4344">
        <v>0.66914758381351402</v>
      </c>
      <c r="E4344">
        <v>0.37835699849175602</v>
      </c>
      <c r="F4344">
        <v>0.18955350410852401</v>
      </c>
      <c r="G4344">
        <v>0.12043427197833199</v>
      </c>
      <c r="H4344">
        <v>8.41950580085737E-2</v>
      </c>
      <c r="I4344">
        <v>9.8680354828662803E-2</v>
      </c>
      <c r="J4344">
        <v>0.117791424883749</v>
      </c>
      <c r="K4344">
        <v>0.12103989321664201</v>
      </c>
      <c r="L4344">
        <v>890.24365437221695</v>
      </c>
      <c r="M4344">
        <v>18.8086748548169</v>
      </c>
      <c r="N4344">
        <v>47.875157036872103</v>
      </c>
      <c r="O4344">
        <v>46.806243905084798</v>
      </c>
      <c r="P4344">
        <v>-9.0804839602873805E-2</v>
      </c>
      <c r="Q4344">
        <v>9.6149584557206402E-2</v>
      </c>
      <c r="R4344">
        <v>0.99751864438594295</v>
      </c>
      <c r="S4344" t="s">
        <v>10990</v>
      </c>
      <c r="T4344" t="s">
        <v>13290</v>
      </c>
      <c r="U4344" t="s">
        <v>13290</v>
      </c>
      <c r="V4344" t="s">
        <v>13290</v>
      </c>
      <c r="W4344" t="s">
        <v>17586</v>
      </c>
      <c r="X4344">
        <v>4</v>
      </c>
      <c r="Y4344" t="s">
        <v>24077</v>
      </c>
      <c r="Z4344" t="s">
        <v>30674</v>
      </c>
      <c r="AA4344">
        <v>0.33197718635072748</v>
      </c>
      <c r="AB4344" t="str">
        <f>HYPERLINK("Melting_Curves/meltCurve_Q86UD0_SAPCD2.pdf", "Melting_Curves/meltCurve_Q86UD0_SAPCD2.pdf")</f>
        <v>Melting_Curves/meltCurve_Q86UD0_SAPCD2.pdf</v>
      </c>
    </row>
    <row r="4345" spans="1:28" x14ac:dyDescent="0.25">
      <c r="A4345" t="s">
        <v>4349</v>
      </c>
      <c r="B4345">
        <v>0.99252571173614901</v>
      </c>
      <c r="C4345">
        <v>1.0151899989983399</v>
      </c>
      <c r="D4345">
        <v>0.92785580789855504</v>
      </c>
      <c r="E4345">
        <v>1.10917550322551</v>
      </c>
      <c r="F4345">
        <v>1.0449712649640299</v>
      </c>
      <c r="G4345">
        <v>0.89529231927271302</v>
      </c>
      <c r="H4345">
        <v>0.82292358687688505</v>
      </c>
      <c r="I4345">
        <v>1.04054925766717</v>
      </c>
      <c r="J4345">
        <v>1.64757529639041</v>
      </c>
      <c r="K4345">
        <v>1.70915624676953</v>
      </c>
      <c r="L4345">
        <v>15000</v>
      </c>
      <c r="M4345">
        <v>231.95910186627799</v>
      </c>
      <c r="O4345">
        <v>64.661766033975695</v>
      </c>
      <c r="P4345">
        <v>0.448408540328325</v>
      </c>
      <c r="Q4345">
        <v>1.5</v>
      </c>
      <c r="R4345">
        <v>0.84851161982615397</v>
      </c>
      <c r="S4345" t="s">
        <v>10991</v>
      </c>
      <c r="T4345" t="s">
        <v>13290</v>
      </c>
      <c r="U4345" t="s">
        <v>13290</v>
      </c>
      <c r="V4345" t="s">
        <v>13290</v>
      </c>
      <c r="W4345" t="s">
        <v>17587</v>
      </c>
      <c r="X4345">
        <v>23</v>
      </c>
      <c r="Y4345" t="s">
        <v>24078</v>
      </c>
      <c r="Z4345" t="s">
        <v>30675</v>
      </c>
      <c r="AA4345">
        <v>1.0888245472888689</v>
      </c>
      <c r="AB4345" t="str">
        <f>HYPERLINK("Melting_Curves/meltCurve_Q86UE4_MTDH.pdf", "Melting_Curves/meltCurve_Q86UE4_MTDH.pdf")</f>
        <v>Melting_Curves/meltCurve_Q86UE4_MTDH.pdf</v>
      </c>
    </row>
    <row r="4346" spans="1:28" x14ac:dyDescent="0.25">
      <c r="A4346" t="s">
        <v>4350</v>
      </c>
      <c r="B4346">
        <v>0.99252571173614901</v>
      </c>
      <c r="C4346">
        <v>1.0450224615258901</v>
      </c>
      <c r="D4346">
        <v>0.97608449114999296</v>
      </c>
      <c r="E4346">
        <v>1.0367457613037001</v>
      </c>
      <c r="F4346">
        <v>0.37705480063720698</v>
      </c>
      <c r="G4346">
        <v>0.186547360546544</v>
      </c>
      <c r="H4346">
        <v>0.14547553275147301</v>
      </c>
      <c r="I4346">
        <v>0.17101101881644101</v>
      </c>
      <c r="J4346">
        <v>0.23882187126875501</v>
      </c>
      <c r="K4346">
        <v>0.21334715464845699</v>
      </c>
      <c r="L4346">
        <v>13235.700599026501</v>
      </c>
      <c r="M4346">
        <v>250</v>
      </c>
      <c r="N4346">
        <v>53.044963305759403</v>
      </c>
      <c r="O4346">
        <v>52.939396909491997</v>
      </c>
      <c r="P4346">
        <v>-0.95505332489955197</v>
      </c>
      <c r="Q4346">
        <v>0.19104057958922199</v>
      </c>
      <c r="R4346">
        <v>0.99396176761479504</v>
      </c>
      <c r="S4346" t="s">
        <v>10992</v>
      </c>
      <c r="T4346" t="s">
        <v>13290</v>
      </c>
      <c r="U4346" t="s">
        <v>13290</v>
      </c>
      <c r="V4346" t="s">
        <v>13290</v>
      </c>
      <c r="W4346" t="s">
        <v>17588</v>
      </c>
      <c r="X4346">
        <v>11</v>
      </c>
      <c r="Y4346" t="s">
        <v>24079</v>
      </c>
      <c r="Z4346" t="s">
        <v>30676</v>
      </c>
      <c r="AA4346">
        <v>0.5401224739065259</v>
      </c>
      <c r="AB4346" t="str">
        <f>HYPERLINK("Melting_Curves/meltCurve_Q86UE8_2_TLK2.pdf", "Melting_Curves/meltCurve_Q86UE8_2_TLK2.pdf")</f>
        <v>Melting_Curves/meltCurve_Q86UE8_2_TLK2.pdf</v>
      </c>
    </row>
    <row r="4347" spans="1:28" x14ac:dyDescent="0.25">
      <c r="A4347" t="s">
        <v>4351</v>
      </c>
      <c r="B4347">
        <v>0.99252571173614901</v>
      </c>
      <c r="C4347">
        <v>0.89016572078915601</v>
      </c>
      <c r="D4347">
        <v>0.69863592942151898</v>
      </c>
      <c r="E4347">
        <v>0.37645318135467998</v>
      </c>
      <c r="F4347">
        <v>0.17877603264942099</v>
      </c>
      <c r="G4347">
        <v>0.104981778801904</v>
      </c>
      <c r="H4347">
        <v>8.2530612053840699E-2</v>
      </c>
      <c r="I4347">
        <v>0.102455486885918</v>
      </c>
      <c r="J4347">
        <v>0.125285022517544</v>
      </c>
      <c r="K4347">
        <v>0.129518075151696</v>
      </c>
      <c r="L4347">
        <v>982.58692140286303</v>
      </c>
      <c r="M4347">
        <v>20.6911292740504</v>
      </c>
      <c r="N4347">
        <v>48.005345382938998</v>
      </c>
      <c r="O4347">
        <v>47.051396447584303</v>
      </c>
      <c r="P4347">
        <v>-9.89610931157658E-2</v>
      </c>
      <c r="Q4347">
        <v>9.9879559733819206E-2</v>
      </c>
      <c r="R4347">
        <v>0.99695048656312402</v>
      </c>
      <c r="S4347" t="s">
        <v>10993</v>
      </c>
      <c r="T4347" t="s">
        <v>13290</v>
      </c>
      <c r="U4347" t="s">
        <v>13290</v>
      </c>
      <c r="V4347" t="s">
        <v>13290</v>
      </c>
      <c r="W4347" t="s">
        <v>17589</v>
      </c>
      <c r="X4347">
        <v>25</v>
      </c>
      <c r="Y4347" t="s">
        <v>24080</v>
      </c>
      <c r="Z4347" t="s">
        <v>30677</v>
      </c>
      <c r="AA4347">
        <v>0.33659451894871689</v>
      </c>
      <c r="AB4347" t="str">
        <f>HYPERLINK("Melting_Curves/meltCurve_Q86UK7_3_ZNF598.pdf", "Melting_Curves/meltCurve_Q86UK7_3_ZNF598.pdf")</f>
        <v>Melting_Curves/meltCurve_Q86UK7_3_ZNF598.pdf</v>
      </c>
    </row>
    <row r="4348" spans="1:28" x14ac:dyDescent="0.25">
      <c r="A4348" t="s">
        <v>4352</v>
      </c>
      <c r="B4348">
        <v>0.99252571173614901</v>
      </c>
      <c r="C4348">
        <v>0.95137878075978999</v>
      </c>
      <c r="D4348">
        <v>0.93940919747888596</v>
      </c>
      <c r="E4348">
        <v>0.80295040944635998</v>
      </c>
      <c r="F4348">
        <v>0.377521008779102</v>
      </c>
      <c r="G4348">
        <v>0.17231870668668101</v>
      </c>
      <c r="H4348">
        <v>9.4820500557970602E-2</v>
      </c>
      <c r="I4348">
        <v>8.6083410499066093E-2</v>
      </c>
      <c r="J4348">
        <v>0.1002565593219</v>
      </c>
      <c r="K4348">
        <v>9.6953911368180004E-2</v>
      </c>
      <c r="L4348">
        <v>1403.1091999641201</v>
      </c>
      <c r="M4348">
        <v>27.099363362471902</v>
      </c>
      <c r="N4348">
        <v>52.155318574403204</v>
      </c>
      <c r="O4348">
        <v>51.496989150066199</v>
      </c>
      <c r="P4348">
        <v>-0.11980543601028799</v>
      </c>
      <c r="Q4348">
        <v>8.9342734897542506E-2</v>
      </c>
      <c r="R4348">
        <v>0.997487578127775</v>
      </c>
      <c r="S4348" t="s">
        <v>10994</v>
      </c>
      <c r="T4348" t="s">
        <v>13290</v>
      </c>
      <c r="U4348" t="s">
        <v>13290</v>
      </c>
      <c r="V4348" t="s">
        <v>13290</v>
      </c>
      <c r="W4348" t="s">
        <v>17590</v>
      </c>
      <c r="X4348">
        <v>6</v>
      </c>
      <c r="Y4348" t="s">
        <v>24081</v>
      </c>
      <c r="Z4348" t="s">
        <v>30678</v>
      </c>
      <c r="AA4348">
        <v>0.4539085308083699</v>
      </c>
      <c r="AB4348" t="str">
        <f>HYPERLINK("Melting_Curves/meltCurve_Q86UL3_AGPAT6.pdf", "Melting_Curves/meltCurve_Q86UL3_AGPAT6.pdf")</f>
        <v>Melting_Curves/meltCurve_Q86UL3_AGPAT6.pdf</v>
      </c>
    </row>
    <row r="4349" spans="1:28" x14ac:dyDescent="0.25">
      <c r="A4349" t="s">
        <v>4353</v>
      </c>
      <c r="B4349">
        <v>0.99252571173614901</v>
      </c>
      <c r="C4349">
        <v>0.95589609408695697</v>
      </c>
      <c r="D4349">
        <v>0.79594525160191099</v>
      </c>
      <c r="E4349">
        <v>0.50414993007947795</v>
      </c>
      <c r="F4349">
        <v>0.24453678583278499</v>
      </c>
      <c r="G4349">
        <v>0.159312815231547</v>
      </c>
      <c r="H4349">
        <v>0.126820782212579</v>
      </c>
      <c r="I4349">
        <v>0.16354701506646199</v>
      </c>
      <c r="J4349">
        <v>0.26133992150421498</v>
      </c>
      <c r="K4349">
        <v>0.31061447589364199</v>
      </c>
      <c r="L4349">
        <v>1206.5221305514999</v>
      </c>
      <c r="M4349">
        <v>25.004657349632499</v>
      </c>
      <c r="N4349">
        <v>49.249007749247603</v>
      </c>
      <c r="O4349">
        <v>47.9464466839826</v>
      </c>
      <c r="P4349">
        <v>-0.10448311275824999</v>
      </c>
      <c r="Q4349">
        <v>0.19862495460961899</v>
      </c>
      <c r="R4349">
        <v>0.97182005477062605</v>
      </c>
      <c r="S4349" t="s">
        <v>10995</v>
      </c>
      <c r="T4349" t="s">
        <v>13290</v>
      </c>
      <c r="U4349" t="s">
        <v>13290</v>
      </c>
      <c r="V4349" t="s">
        <v>13290</v>
      </c>
      <c r="W4349" t="s">
        <v>17591</v>
      </c>
      <c r="X4349">
        <v>67</v>
      </c>
      <c r="Y4349" t="s">
        <v>24082</v>
      </c>
      <c r="Z4349" t="s">
        <v>30679</v>
      </c>
      <c r="AA4349">
        <v>0.42613245479746747</v>
      </c>
      <c r="AB4349" t="str">
        <f>HYPERLINK("Melting_Curves/meltCurve_Q86UP2_KTN1.pdf", "Melting_Curves/meltCurve_Q86UP2_KTN1.pdf")</f>
        <v>Melting_Curves/meltCurve_Q86UP2_KTN1.pdf</v>
      </c>
    </row>
    <row r="4350" spans="1:28" x14ac:dyDescent="0.25">
      <c r="A4350" t="s">
        <v>4354</v>
      </c>
      <c r="B4350">
        <v>0.99252571173614901</v>
      </c>
      <c r="C4350">
        <v>0.83630636679076897</v>
      </c>
      <c r="D4350">
        <v>0.62435088699880503</v>
      </c>
      <c r="E4350">
        <v>0.349460658119222</v>
      </c>
      <c r="F4350">
        <v>0.228273278783307</v>
      </c>
      <c r="G4350">
        <v>0.16443510275699699</v>
      </c>
      <c r="H4350">
        <v>0.11834227322900701</v>
      </c>
      <c r="I4350">
        <v>0.123705521286344</v>
      </c>
      <c r="J4350">
        <v>8.9695368912050905E-2</v>
      </c>
      <c r="K4350">
        <v>0.107547102572844</v>
      </c>
      <c r="L4350">
        <v>795.15629636363701</v>
      </c>
      <c r="M4350">
        <v>16.955486731924999</v>
      </c>
      <c r="N4350">
        <v>47.563895290023801</v>
      </c>
      <c r="O4350">
        <v>46.2589531631589</v>
      </c>
      <c r="P4350">
        <v>-8.1940527298659596E-2</v>
      </c>
      <c r="Q4350">
        <v>0.10583644125420499</v>
      </c>
      <c r="R4350">
        <v>0.99727082241390297</v>
      </c>
      <c r="S4350" t="s">
        <v>10996</v>
      </c>
      <c r="T4350" t="s">
        <v>13290</v>
      </c>
      <c r="U4350" t="s">
        <v>13290</v>
      </c>
      <c r="V4350" t="s">
        <v>13290</v>
      </c>
      <c r="W4350" t="s">
        <v>17592</v>
      </c>
      <c r="X4350">
        <v>4</v>
      </c>
      <c r="Y4350" t="s">
        <v>24083</v>
      </c>
      <c r="Z4350" t="s">
        <v>30680</v>
      </c>
      <c r="AA4350">
        <v>0.3302747340741109</v>
      </c>
      <c r="AB4350" t="str">
        <f>HYPERLINK("Melting_Curves/meltCurve_Q86US8_SMG6.pdf", "Melting_Curves/meltCurve_Q86US8_SMG6.pdf")</f>
        <v>Melting_Curves/meltCurve_Q86US8_SMG6.pdf</v>
      </c>
    </row>
    <row r="4351" spans="1:28" x14ac:dyDescent="0.25">
      <c r="A4351" t="s">
        <v>4355</v>
      </c>
      <c r="B4351">
        <v>0.99252571173614901</v>
      </c>
      <c r="C4351">
        <v>0.81415519858951102</v>
      </c>
      <c r="D4351">
        <v>0.976575651766178</v>
      </c>
      <c r="E4351">
        <v>1.0584429263461099</v>
      </c>
      <c r="F4351">
        <v>0.927088246214539</v>
      </c>
      <c r="G4351">
        <v>0.64370746263158496</v>
      </c>
      <c r="H4351">
        <v>0.22161881766194599</v>
      </c>
      <c r="I4351">
        <v>0.18028436262207401</v>
      </c>
      <c r="J4351">
        <v>8.8692735464538E-2</v>
      </c>
      <c r="K4351">
        <v>4.1609198947394899E-2</v>
      </c>
      <c r="L4351">
        <v>1690.82035572672</v>
      </c>
      <c r="M4351">
        <v>29.3020619459774</v>
      </c>
      <c r="N4351">
        <v>58.018688175733701</v>
      </c>
      <c r="O4351">
        <v>57.4363674748571</v>
      </c>
      <c r="P4351">
        <v>-0.118146754266253</v>
      </c>
      <c r="Q4351">
        <v>7.3666317878294502E-2</v>
      </c>
      <c r="R4351">
        <v>0.97123673317618897</v>
      </c>
      <c r="S4351" t="s">
        <v>10997</v>
      </c>
      <c r="T4351" t="s">
        <v>13290</v>
      </c>
      <c r="U4351" t="s">
        <v>13290</v>
      </c>
      <c r="V4351" t="s">
        <v>13290</v>
      </c>
      <c r="W4351" t="s">
        <v>17593</v>
      </c>
      <c r="X4351">
        <v>3</v>
      </c>
      <c r="Y4351" t="s">
        <v>24084</v>
      </c>
      <c r="Z4351" t="s">
        <v>30681</v>
      </c>
      <c r="AA4351">
        <v>0.62667242151149116</v>
      </c>
      <c r="AB4351" t="str">
        <f>HYPERLINK("Melting_Curves/meltCurve_Q86UT6_2_NLRX1.pdf", "Melting_Curves/meltCurve_Q86UT6_2_NLRX1.pdf")</f>
        <v>Melting_Curves/meltCurve_Q86UT6_2_NLRX1.pdf</v>
      </c>
    </row>
    <row r="4352" spans="1:28" x14ac:dyDescent="0.25">
      <c r="A4352" t="s">
        <v>4356</v>
      </c>
      <c r="B4352">
        <v>0.99252571173614901</v>
      </c>
      <c r="C4352">
        <v>0.97279358686734396</v>
      </c>
      <c r="D4352">
        <v>0.89938747190407198</v>
      </c>
      <c r="E4352">
        <v>0.88945026884906497</v>
      </c>
      <c r="F4352">
        <v>0.66256154688647295</v>
      </c>
      <c r="G4352">
        <v>0.49343927170734703</v>
      </c>
      <c r="H4352">
        <v>0.48538047393286399</v>
      </c>
      <c r="I4352">
        <v>0.62298222841428497</v>
      </c>
      <c r="J4352">
        <v>0.95461858247550002</v>
      </c>
      <c r="K4352">
        <v>0.99173757730024903</v>
      </c>
      <c r="L4352">
        <v>12426.247608407801</v>
      </c>
      <c r="M4352">
        <v>250</v>
      </c>
      <c r="O4352">
        <v>49.701809897128101</v>
      </c>
      <c r="P4352">
        <v>-0.37500318329031102</v>
      </c>
      <c r="Q4352">
        <v>0.70178661104123297</v>
      </c>
      <c r="R4352">
        <v>0.33879682558443802</v>
      </c>
      <c r="S4352" t="s">
        <v>10998</v>
      </c>
      <c r="T4352" t="s">
        <v>13290</v>
      </c>
      <c r="U4352" t="s">
        <v>13290</v>
      </c>
      <c r="V4352" t="s">
        <v>13290</v>
      </c>
      <c r="W4352" t="s">
        <v>17594</v>
      </c>
      <c r="X4352">
        <v>13</v>
      </c>
      <c r="Y4352" t="s">
        <v>24085</v>
      </c>
      <c r="Z4352" t="s">
        <v>30682</v>
      </c>
      <c r="AA4352">
        <v>0.79828456087207444</v>
      </c>
      <c r="AB4352" t="str">
        <f>HYPERLINK("Melting_Curves/meltCurve_Q86UU0_4_BCL9L.pdf", "Melting_Curves/meltCurve_Q86UU0_4_BCL9L.pdf")</f>
        <v>Melting_Curves/meltCurve_Q86UU0_4_BCL9L.pdf</v>
      </c>
    </row>
    <row r="4353" spans="1:28" x14ac:dyDescent="0.25">
      <c r="A4353" t="s">
        <v>4357</v>
      </c>
      <c r="B4353">
        <v>0.99252571173614901</v>
      </c>
      <c r="C4353">
        <v>0.85378957885719298</v>
      </c>
      <c r="D4353">
        <v>0.430206697764977</v>
      </c>
      <c r="E4353">
        <v>0.29648754013532802</v>
      </c>
      <c r="F4353">
        <v>0.23403840721051</v>
      </c>
      <c r="G4353">
        <v>0.151895506430969</v>
      </c>
      <c r="H4353">
        <v>7.4982611203389393E-2</v>
      </c>
      <c r="I4353">
        <v>8.9821965583238905E-2</v>
      </c>
      <c r="J4353">
        <v>0.107728758172096</v>
      </c>
      <c r="K4353">
        <v>0.102533245062414</v>
      </c>
      <c r="L4353">
        <v>959.78329321250203</v>
      </c>
      <c r="M4353">
        <v>21.097216983612601</v>
      </c>
      <c r="N4353">
        <v>46.079914732387103</v>
      </c>
      <c r="O4353">
        <v>45.090542868323602</v>
      </c>
      <c r="P4353">
        <v>-0.103200104638898</v>
      </c>
      <c r="Q4353">
        <v>0.117755590818421</v>
      </c>
      <c r="R4353">
        <v>0.97800204875473695</v>
      </c>
      <c r="S4353" t="s">
        <v>10999</v>
      </c>
      <c r="T4353" t="s">
        <v>13290</v>
      </c>
      <c r="U4353" t="s">
        <v>13290</v>
      </c>
      <c r="V4353" t="s">
        <v>13290</v>
      </c>
      <c r="W4353" t="s">
        <v>17595</v>
      </c>
      <c r="X4353">
        <v>10</v>
      </c>
      <c r="Y4353" t="s">
        <v>24086</v>
      </c>
      <c r="Z4353" t="s">
        <v>30683</v>
      </c>
      <c r="AA4353">
        <v>0.29184931305831718</v>
      </c>
      <c r="AB4353" t="str">
        <f>HYPERLINK("Melting_Curves/meltCurve_Q86UV5_USP48.pdf", "Melting_Curves/meltCurve_Q86UV5_USP48.pdf")</f>
        <v>Melting_Curves/meltCurve_Q86UV5_USP48.pdf</v>
      </c>
    </row>
    <row r="4354" spans="1:28" x14ac:dyDescent="0.25">
      <c r="A4354" t="s">
        <v>4358</v>
      </c>
      <c r="B4354">
        <v>0.99252571173614901</v>
      </c>
      <c r="C4354">
        <v>0.92172286156842398</v>
      </c>
      <c r="D4354">
        <v>0.84855804971655302</v>
      </c>
      <c r="E4354">
        <v>0.95267619190658004</v>
      </c>
      <c r="F4354">
        <v>0.63233184927659303</v>
      </c>
      <c r="G4354">
        <v>0.38163239018235401</v>
      </c>
      <c r="H4354">
        <v>0.15709841209935499</v>
      </c>
      <c r="I4354">
        <v>0.142297318685772</v>
      </c>
      <c r="J4354">
        <v>0.16488399301770901</v>
      </c>
      <c r="K4354">
        <v>0.14142232123788201</v>
      </c>
      <c r="L4354">
        <v>1199.5090613591799</v>
      </c>
      <c r="M4354">
        <v>22.142097018327199</v>
      </c>
      <c r="N4354">
        <v>54.894983334544499</v>
      </c>
      <c r="O4354">
        <v>53.737170128274499</v>
      </c>
      <c r="P4354">
        <v>-9.00038131783336E-2</v>
      </c>
      <c r="Q4354">
        <v>0.12628963770649701</v>
      </c>
      <c r="R4354">
        <v>0.97584617045849298</v>
      </c>
      <c r="S4354" t="s">
        <v>11000</v>
      </c>
      <c r="T4354" t="s">
        <v>13290</v>
      </c>
      <c r="U4354" t="s">
        <v>13290</v>
      </c>
      <c r="V4354" t="s">
        <v>13290</v>
      </c>
      <c r="W4354" t="s">
        <v>17596</v>
      </c>
      <c r="X4354">
        <v>6</v>
      </c>
      <c r="Y4354" t="s">
        <v>24087</v>
      </c>
      <c r="Z4354" t="s">
        <v>30684</v>
      </c>
      <c r="AA4354">
        <v>0.54907916429526293</v>
      </c>
      <c r="AB4354" t="str">
        <f>HYPERLINK("Melting_Curves/meltCurve_Q86UX3_ABCC5.pdf", "Melting_Curves/meltCurve_Q86UX3_ABCC5.pdf")</f>
        <v>Melting_Curves/meltCurve_Q86UX3_ABCC5.pdf</v>
      </c>
    </row>
    <row r="4355" spans="1:28" x14ac:dyDescent="0.25">
      <c r="A4355" t="s">
        <v>4359</v>
      </c>
      <c r="B4355">
        <v>0.99252571173614901</v>
      </c>
      <c r="C4355">
        <v>1.03987507950971</v>
      </c>
      <c r="D4355">
        <v>0.80219981987072297</v>
      </c>
      <c r="E4355">
        <v>0.388231197607733</v>
      </c>
      <c r="F4355">
        <v>0.187995305143495</v>
      </c>
      <c r="G4355">
        <v>0.119830786761257</v>
      </c>
      <c r="H4355">
        <v>9.4959699437740894E-2</v>
      </c>
      <c r="I4355">
        <v>0.10181680379868301</v>
      </c>
      <c r="J4355">
        <v>0.13355884707346199</v>
      </c>
      <c r="K4355">
        <v>0.12806700569481699</v>
      </c>
      <c r="L4355">
        <v>1384.1380311410601</v>
      </c>
      <c r="M4355">
        <v>28.7234041157466</v>
      </c>
      <c r="N4355">
        <v>48.634389475010202</v>
      </c>
      <c r="O4355">
        <v>47.956747587347799</v>
      </c>
      <c r="P4355">
        <v>-0.132403125280314</v>
      </c>
      <c r="Q4355">
        <v>0.115762999925185</v>
      </c>
      <c r="R4355">
        <v>0.99556152097137995</v>
      </c>
      <c r="S4355" t="s">
        <v>11001</v>
      </c>
      <c r="T4355" t="s">
        <v>13290</v>
      </c>
      <c r="U4355" t="s">
        <v>13290</v>
      </c>
      <c r="V4355" t="s">
        <v>13290</v>
      </c>
      <c r="W4355" t="s">
        <v>17597</v>
      </c>
      <c r="X4355">
        <v>8</v>
      </c>
      <c r="Y4355" t="s">
        <v>24088</v>
      </c>
      <c r="Z4355" t="s">
        <v>30685</v>
      </c>
      <c r="AA4355">
        <v>0.36295299803013498</v>
      </c>
      <c r="AB4355" t="str">
        <f>HYPERLINK("Melting_Curves/meltCurve_Q86UX6_STK32C.pdf", "Melting_Curves/meltCurve_Q86UX6_STK32C.pdf")</f>
        <v>Melting_Curves/meltCurve_Q86UX6_STK32C.pdf</v>
      </c>
    </row>
    <row r="4356" spans="1:28" x14ac:dyDescent="0.25">
      <c r="A4356" t="s">
        <v>4360</v>
      </c>
      <c r="B4356">
        <v>0.99252571173614901</v>
      </c>
      <c r="C4356">
        <v>1.0521823021969201</v>
      </c>
      <c r="D4356">
        <v>0.92813501059708803</v>
      </c>
      <c r="E4356">
        <v>0.84417971612934595</v>
      </c>
      <c r="F4356">
        <v>0.63224445166043197</v>
      </c>
      <c r="G4356">
        <v>0.44668539379308098</v>
      </c>
      <c r="H4356">
        <v>0.24067709457195499</v>
      </c>
      <c r="I4356">
        <v>0.16907978817216701</v>
      </c>
      <c r="J4356">
        <v>0.19742196159410999</v>
      </c>
      <c r="K4356">
        <v>0.17504397290433499</v>
      </c>
      <c r="L4356">
        <v>897.20908193694504</v>
      </c>
      <c r="M4356">
        <v>16.547573248763602</v>
      </c>
      <c r="N4356">
        <v>55.325120471629297</v>
      </c>
      <c r="O4356">
        <v>53.446691355713099</v>
      </c>
      <c r="P4356">
        <v>-6.6513700670808903E-2</v>
      </c>
      <c r="Q4356">
        <v>0.14073370937205801</v>
      </c>
      <c r="R4356">
        <v>0.993071916704382</v>
      </c>
      <c r="S4356" t="s">
        <v>11002</v>
      </c>
      <c r="T4356" t="s">
        <v>13290</v>
      </c>
      <c r="U4356" t="s">
        <v>13290</v>
      </c>
      <c r="V4356" t="s">
        <v>13290</v>
      </c>
      <c r="W4356" t="s">
        <v>17598</v>
      </c>
      <c r="X4356">
        <v>25</v>
      </c>
      <c r="Y4356" t="s">
        <v>24089</v>
      </c>
      <c r="Z4356" t="s">
        <v>30686</v>
      </c>
      <c r="AA4356">
        <v>0.56339419370429777</v>
      </c>
      <c r="AB4356" t="str">
        <f>HYPERLINK("Melting_Curves/meltCurve_Q86UY0_TXNDC5.pdf", "Melting_Curves/meltCurve_Q86UY0_TXNDC5.pdf")</f>
        <v>Melting_Curves/meltCurve_Q86UY0_TXNDC5.pdf</v>
      </c>
    </row>
    <row r="4357" spans="1:28" x14ac:dyDescent="0.25">
      <c r="A4357" t="s">
        <v>4361</v>
      </c>
      <c r="B4357">
        <v>0.99252571173614901</v>
      </c>
      <c r="C4357">
        <v>0.94636365830775904</v>
      </c>
      <c r="D4357">
        <v>1.04368671039473</v>
      </c>
      <c r="E4357">
        <v>1.04219775977313</v>
      </c>
      <c r="F4357">
        <v>0.937125583509405</v>
      </c>
      <c r="G4357">
        <v>0.61524474316097699</v>
      </c>
      <c r="H4357">
        <v>0.21499229991538199</v>
      </c>
      <c r="I4357">
        <v>0.157010132200678</v>
      </c>
      <c r="J4357">
        <v>0.15686734143823799</v>
      </c>
      <c r="K4357">
        <v>0.14450945959063399</v>
      </c>
      <c r="L4357">
        <v>2185.8214132386902</v>
      </c>
      <c r="M4357">
        <v>38.303430888932603</v>
      </c>
      <c r="N4357">
        <v>57.585231707039</v>
      </c>
      <c r="O4357">
        <v>56.911087734169101</v>
      </c>
      <c r="P4357">
        <v>-0.14368883757259299</v>
      </c>
      <c r="Q4357">
        <v>0.14603321214739801</v>
      </c>
      <c r="R4357">
        <v>0.99530124762976502</v>
      </c>
      <c r="S4357" t="s">
        <v>11003</v>
      </c>
      <c r="T4357" t="s">
        <v>13290</v>
      </c>
      <c r="U4357" t="s">
        <v>13290</v>
      </c>
      <c r="V4357" t="s">
        <v>13290</v>
      </c>
      <c r="W4357" t="s">
        <v>17599</v>
      </c>
      <c r="X4357">
        <v>9</v>
      </c>
      <c r="Y4357" t="s">
        <v>24090</v>
      </c>
      <c r="Z4357" t="s">
        <v>30687</v>
      </c>
      <c r="AA4357">
        <v>0.63544474294613851</v>
      </c>
      <c r="AB4357" t="str">
        <f>HYPERLINK("Melting_Curves/meltCurve_Q86UY8_NT5DC3.pdf", "Melting_Curves/meltCurve_Q86UY8_NT5DC3.pdf")</f>
        <v>Melting_Curves/meltCurve_Q86UY8_NT5DC3.pdf</v>
      </c>
    </row>
    <row r="4358" spans="1:28" x14ac:dyDescent="0.25">
      <c r="A4358" t="s">
        <v>4362</v>
      </c>
      <c r="B4358">
        <v>0.99252571173614901</v>
      </c>
      <c r="C4358">
        <v>0.84809718508328702</v>
      </c>
      <c r="D4358">
        <v>0.43533816822454602</v>
      </c>
      <c r="E4358">
        <v>0.205060582803134</v>
      </c>
      <c r="F4358">
        <v>0.23486674211155201</v>
      </c>
      <c r="G4358">
        <v>0.17368492120850201</v>
      </c>
      <c r="H4358">
        <v>0.35850024506557199</v>
      </c>
      <c r="I4358">
        <v>0</v>
      </c>
      <c r="J4358">
        <v>0.35154515753827797</v>
      </c>
      <c r="K4358">
        <v>0.54396127481040502</v>
      </c>
      <c r="L4358">
        <v>1750.52772147615</v>
      </c>
      <c r="M4358">
        <v>39.388557947549799</v>
      </c>
      <c r="N4358">
        <v>45.319243452869202</v>
      </c>
      <c r="O4358">
        <v>44.328454572159401</v>
      </c>
      <c r="P4358">
        <v>-0.16291209008424601</v>
      </c>
      <c r="Q4358">
        <v>0.26662714898474199</v>
      </c>
      <c r="R4358">
        <v>0.78982822223971505</v>
      </c>
      <c r="S4358" t="s">
        <v>11004</v>
      </c>
      <c r="T4358" t="s">
        <v>13290</v>
      </c>
      <c r="U4358" t="s">
        <v>13290</v>
      </c>
      <c r="V4358" t="s">
        <v>13290</v>
      </c>
      <c r="W4358" t="s">
        <v>17600</v>
      </c>
      <c r="X4358">
        <v>4</v>
      </c>
      <c r="Y4358" t="s">
        <v>24091</v>
      </c>
      <c r="Z4358" t="s">
        <v>30688</v>
      </c>
      <c r="AA4358">
        <v>0.37782080564204412</v>
      </c>
      <c r="AB4358" t="str">
        <f>HYPERLINK("Melting_Curves/meltCurve_Q86V15_CASZ1.pdf", "Melting_Curves/meltCurve_Q86V15_CASZ1.pdf")</f>
        <v>Melting_Curves/meltCurve_Q86V15_CASZ1.pdf</v>
      </c>
    </row>
    <row r="4359" spans="1:28" x14ac:dyDescent="0.25">
      <c r="A4359" t="s">
        <v>4363</v>
      </c>
      <c r="B4359">
        <v>0.99252571173614901</v>
      </c>
      <c r="C4359">
        <v>0.84876480875650995</v>
      </c>
      <c r="D4359">
        <v>0.31138955759047299</v>
      </c>
      <c r="E4359">
        <v>0.18418599774142899</v>
      </c>
      <c r="F4359">
        <v>0.14143984919572</v>
      </c>
      <c r="G4359">
        <v>8.3299671283275895E-2</v>
      </c>
      <c r="H4359">
        <v>4.7470083196184697E-2</v>
      </c>
      <c r="I4359">
        <v>5.08312226339716E-2</v>
      </c>
      <c r="J4359">
        <v>5.9112308158088003E-2</v>
      </c>
      <c r="K4359">
        <v>5.8465057513483298E-2</v>
      </c>
      <c r="L4359">
        <v>1567.40723858396</v>
      </c>
      <c r="M4359">
        <v>35.035319519694802</v>
      </c>
      <c r="N4359">
        <v>44.968141546784402</v>
      </c>
      <c r="O4359">
        <v>44.592915083663598</v>
      </c>
      <c r="P4359">
        <v>-0.18029188544316599</v>
      </c>
      <c r="Q4359">
        <v>8.2101975053415696E-2</v>
      </c>
      <c r="R4359">
        <v>0.98849839937355899</v>
      </c>
      <c r="S4359" t="s">
        <v>11005</v>
      </c>
      <c r="T4359" t="s">
        <v>13290</v>
      </c>
      <c r="U4359" t="s">
        <v>13290</v>
      </c>
      <c r="V4359" t="s">
        <v>13290</v>
      </c>
      <c r="W4359" t="s">
        <v>17601</v>
      </c>
      <c r="X4359">
        <v>17</v>
      </c>
      <c r="Y4359" t="s">
        <v>24092</v>
      </c>
      <c r="Z4359" t="s">
        <v>30689</v>
      </c>
      <c r="AA4359">
        <v>0.2312422399601213</v>
      </c>
      <c r="AB4359" t="str">
        <f>HYPERLINK("Melting_Curves/meltCurve_Q86V21_AACS.pdf", "Melting_Curves/meltCurve_Q86V21_AACS.pdf")</f>
        <v>Melting_Curves/meltCurve_Q86V21_AACS.pdf</v>
      </c>
    </row>
    <row r="4360" spans="1:28" x14ac:dyDescent="0.25">
      <c r="A4360" t="s">
        <v>4364</v>
      </c>
      <c r="B4360">
        <v>0.99252571173614901</v>
      </c>
      <c r="C4360">
        <v>0.95276773070691301</v>
      </c>
      <c r="D4360">
        <v>0.75172448335187503</v>
      </c>
      <c r="E4360">
        <v>0.50251823671920803</v>
      </c>
      <c r="F4360">
        <v>0.269676867733669</v>
      </c>
      <c r="G4360">
        <v>0.169606081525874</v>
      </c>
      <c r="H4360">
        <v>0.14717636733473</v>
      </c>
      <c r="I4360">
        <v>0.178520391273397</v>
      </c>
      <c r="J4360">
        <v>0.27053898492096001</v>
      </c>
      <c r="K4360">
        <v>0.30704080902432901</v>
      </c>
      <c r="L4360">
        <v>1085.2583929050099</v>
      </c>
      <c r="M4360">
        <v>22.6411522685402</v>
      </c>
      <c r="N4360">
        <v>49.1115717145329</v>
      </c>
      <c r="O4360">
        <v>47.563772055604304</v>
      </c>
      <c r="P4360">
        <v>-9.4063309557837996E-2</v>
      </c>
      <c r="Q4360">
        <v>0.20959558642932</v>
      </c>
      <c r="R4360">
        <v>0.97372445780876205</v>
      </c>
      <c r="S4360" t="s">
        <v>11006</v>
      </c>
      <c r="T4360" t="s">
        <v>13290</v>
      </c>
      <c r="U4360" t="s">
        <v>13290</v>
      </c>
      <c r="V4360" t="s">
        <v>13290</v>
      </c>
      <c r="W4360" t="s">
        <v>17602</v>
      </c>
      <c r="X4360">
        <v>11</v>
      </c>
      <c r="Y4360" t="s">
        <v>24093</v>
      </c>
      <c r="Z4360" t="s">
        <v>30690</v>
      </c>
      <c r="AA4360">
        <v>0.42723768761359648</v>
      </c>
      <c r="AB4360" t="str">
        <f>HYPERLINK("Melting_Curves/meltCurve_Q86V48_2_LUZP1.pdf", "Melting_Curves/meltCurve_Q86V48_2_LUZP1.pdf")</f>
        <v>Melting_Curves/meltCurve_Q86V48_2_LUZP1.pdf</v>
      </c>
    </row>
    <row r="4361" spans="1:28" x14ac:dyDescent="0.25">
      <c r="A4361" t="s">
        <v>4365</v>
      </c>
      <c r="B4361">
        <v>0.99252571173614901</v>
      </c>
      <c r="C4361">
        <v>0.83376848769672696</v>
      </c>
      <c r="D4361">
        <v>0.71381574298735295</v>
      </c>
      <c r="E4361">
        <v>0.58606227693594004</v>
      </c>
      <c r="F4361">
        <v>0.149696795128655</v>
      </c>
      <c r="G4361">
        <v>7.4462748255106098E-2</v>
      </c>
      <c r="H4361">
        <v>3.6020224088197203E-2</v>
      </c>
      <c r="I4361">
        <v>3.1821047790076502E-2</v>
      </c>
      <c r="J4361">
        <v>4.6732263928887401E-2</v>
      </c>
      <c r="K4361">
        <v>6.5905138121444107E-2</v>
      </c>
      <c r="L4361">
        <v>786.44409655545599</v>
      </c>
      <c r="M4361">
        <v>16.026060896811298</v>
      </c>
      <c r="N4361">
        <v>49.144775989949501</v>
      </c>
      <c r="O4361">
        <v>48.327816461939399</v>
      </c>
      <c r="P4361">
        <v>-8.1948007283382196E-2</v>
      </c>
      <c r="Q4361">
        <v>1.15949774047248E-2</v>
      </c>
      <c r="R4361">
        <v>0.97462777740496698</v>
      </c>
      <c r="S4361" t="s">
        <v>11007</v>
      </c>
      <c r="T4361" t="s">
        <v>13290</v>
      </c>
      <c r="U4361" t="s">
        <v>13290</v>
      </c>
      <c r="V4361" t="s">
        <v>13290</v>
      </c>
      <c r="W4361" t="s">
        <v>17603</v>
      </c>
      <c r="X4361">
        <v>3</v>
      </c>
      <c r="Y4361" t="s">
        <v>24094</v>
      </c>
      <c r="Z4361" t="s">
        <v>30691</v>
      </c>
      <c r="AA4361">
        <v>0.33197369821553568</v>
      </c>
      <c r="AB4361" t="str">
        <f>HYPERLINK("Melting_Curves/meltCurve_Q86V85_GPR180.pdf", "Melting_Curves/meltCurve_Q86V85_GPR180.pdf")</f>
        <v>Melting_Curves/meltCurve_Q86V85_GPR180.pdf</v>
      </c>
    </row>
    <row r="4362" spans="1:28" x14ac:dyDescent="0.25">
      <c r="A4362" t="s">
        <v>4366</v>
      </c>
      <c r="B4362">
        <v>0.99252571173614901</v>
      </c>
      <c r="C4362">
        <v>1.3516166750487899</v>
      </c>
      <c r="D4362">
        <v>1.3779592715281801</v>
      </c>
      <c r="E4362">
        <v>1.03026232819646</v>
      </c>
      <c r="F4362">
        <v>0.91497151030722501</v>
      </c>
      <c r="G4362">
        <v>0.99919382823763203</v>
      </c>
      <c r="H4362">
        <v>0.80830794896501201</v>
      </c>
      <c r="I4362">
        <v>0.76341954842083903</v>
      </c>
      <c r="J4362">
        <v>0.31742510353535502</v>
      </c>
      <c r="K4362">
        <v>0.22871214587278699</v>
      </c>
      <c r="L4362">
        <v>1674.7592007517501</v>
      </c>
      <c r="M4362">
        <v>25.512721266857199</v>
      </c>
      <c r="N4362">
        <v>65.846096461191195</v>
      </c>
      <c r="O4362">
        <v>65.244756935113202</v>
      </c>
      <c r="P4362">
        <v>-9.4078953580808394E-2</v>
      </c>
      <c r="Q4362">
        <v>3.7643588238894299E-2</v>
      </c>
      <c r="R4362">
        <v>0.76926415685988803</v>
      </c>
      <c r="S4362" t="s">
        <v>11008</v>
      </c>
      <c r="T4362" t="s">
        <v>13290</v>
      </c>
      <c r="U4362" t="s">
        <v>13290</v>
      </c>
      <c r="V4362" t="s">
        <v>13290</v>
      </c>
      <c r="W4362" t="s">
        <v>17604</v>
      </c>
      <c r="X4362">
        <v>6</v>
      </c>
      <c r="Y4362" t="s">
        <v>24095</v>
      </c>
      <c r="Z4362" t="s">
        <v>30692</v>
      </c>
      <c r="AA4362">
        <v>0.85192542828754791</v>
      </c>
      <c r="AB4362" t="str">
        <f>HYPERLINK("Melting_Curves/meltCurve_Q86V88_MDP1.pdf", "Melting_Curves/meltCurve_Q86V88_MDP1.pdf")</f>
        <v>Melting_Curves/meltCurve_Q86V88_MDP1.pdf</v>
      </c>
    </row>
    <row r="4363" spans="1:28" x14ac:dyDescent="0.25">
      <c r="A4363" t="s">
        <v>4367</v>
      </c>
      <c r="B4363">
        <v>0.99252571173614901</v>
      </c>
      <c r="C4363">
        <v>0.88337483547114404</v>
      </c>
      <c r="D4363">
        <v>0.90428849741280104</v>
      </c>
      <c r="E4363">
        <v>0.73127103583450703</v>
      </c>
      <c r="F4363">
        <v>0.207799119947157</v>
      </c>
      <c r="G4363">
        <v>0.105588628946972</v>
      </c>
      <c r="H4363">
        <v>6.4670668336638704E-2</v>
      </c>
      <c r="I4363">
        <v>7.2026592056067207E-2</v>
      </c>
      <c r="J4363">
        <v>7.9571304135310106E-2</v>
      </c>
      <c r="K4363">
        <v>7.2891745835335794E-2</v>
      </c>
      <c r="L4363">
        <v>1720.02352210104</v>
      </c>
      <c r="M4363">
        <v>33.900934390462602</v>
      </c>
      <c r="N4363">
        <v>50.965029480268697</v>
      </c>
      <c r="O4363">
        <v>50.561188317924099</v>
      </c>
      <c r="P4363">
        <v>-0.15581757754463799</v>
      </c>
      <c r="Q4363">
        <v>7.0433832879387398E-2</v>
      </c>
      <c r="R4363">
        <v>0.987169416033707</v>
      </c>
      <c r="S4363" t="s">
        <v>11009</v>
      </c>
      <c r="T4363" t="s">
        <v>13290</v>
      </c>
      <c r="U4363" t="s">
        <v>13290</v>
      </c>
      <c r="V4363" t="s">
        <v>13290</v>
      </c>
      <c r="W4363" t="s">
        <v>17605</v>
      </c>
      <c r="X4363">
        <v>9</v>
      </c>
      <c r="Y4363" t="s">
        <v>24096</v>
      </c>
      <c r="Z4363" t="s">
        <v>30693</v>
      </c>
      <c r="AA4363">
        <v>0.40766849861371351</v>
      </c>
      <c r="AB4363" t="str">
        <f>HYPERLINK("Melting_Curves/meltCurve_Q86V97_KBTBD6.pdf", "Melting_Curves/meltCurve_Q86V97_KBTBD6.pdf")</f>
        <v>Melting_Curves/meltCurve_Q86V97_KBTBD6.pdf</v>
      </c>
    </row>
    <row r="4364" spans="1:28" x14ac:dyDescent="0.25">
      <c r="A4364" t="s">
        <v>4368</v>
      </c>
      <c r="B4364">
        <v>0.99252571173614901</v>
      </c>
      <c r="C4364">
        <v>1.1099994389396901</v>
      </c>
      <c r="D4364">
        <v>1.0453368121316899</v>
      </c>
      <c r="E4364">
        <v>1.55999285055038</v>
      </c>
      <c r="F4364">
        <v>1.2957560376320201</v>
      </c>
      <c r="G4364">
        <v>1.4358406226525799</v>
      </c>
      <c r="H4364">
        <v>1.8730927614927</v>
      </c>
      <c r="I4364">
        <v>3.25609450990759</v>
      </c>
      <c r="J4364">
        <v>7.2664702200401399</v>
      </c>
      <c r="K4364">
        <v>13.554194932180099</v>
      </c>
      <c r="L4364">
        <v>11000.389376506701</v>
      </c>
      <c r="M4364">
        <v>236.833417609409</v>
      </c>
      <c r="O4364">
        <v>46.444478268176901</v>
      </c>
      <c r="P4364">
        <v>0.63741002341046205</v>
      </c>
      <c r="Q4364">
        <v>1.5</v>
      </c>
      <c r="R4364">
        <v>-0.223460305935094</v>
      </c>
      <c r="S4364" t="s">
        <v>11010</v>
      </c>
      <c r="T4364" t="s">
        <v>13290</v>
      </c>
      <c r="U4364" t="s">
        <v>13290</v>
      </c>
      <c r="V4364" t="s">
        <v>13290</v>
      </c>
      <c r="W4364" t="s">
        <v>17606</v>
      </c>
      <c r="X4364">
        <v>2</v>
      </c>
      <c r="Y4364" t="s">
        <v>24097</v>
      </c>
      <c r="Z4364" t="s">
        <v>30694</v>
      </c>
      <c r="AA4364">
        <v>1.392491379536438</v>
      </c>
      <c r="AB4364" t="str">
        <f>HYPERLINK("Melting_Curves/meltCurve_Q86VF7_4_NRAP.pdf", "Melting_Curves/meltCurve_Q86VF7_4_NRAP.pdf")</f>
        <v>Melting_Curves/meltCurve_Q86VF7_4_NRAP.pdf</v>
      </c>
    </row>
    <row r="4365" spans="1:28" x14ac:dyDescent="0.25">
      <c r="A4365" t="s">
        <v>4369</v>
      </c>
      <c r="B4365">
        <v>0.99252571173614901</v>
      </c>
      <c r="C4365">
        <v>0.91666720549152902</v>
      </c>
      <c r="D4365">
        <v>0.96721409361808897</v>
      </c>
      <c r="E4365">
        <v>0.741839352160927</v>
      </c>
      <c r="F4365">
        <v>1.1009830305556501</v>
      </c>
      <c r="G4365">
        <v>1.01219013459161</v>
      </c>
      <c r="H4365">
        <v>1.05014933840703</v>
      </c>
      <c r="I4365">
        <v>1.15806356890037</v>
      </c>
      <c r="J4365">
        <v>0.358513977866941</v>
      </c>
      <c r="K4365">
        <v>0.14050527364667301</v>
      </c>
      <c r="L4365">
        <v>15000</v>
      </c>
      <c r="M4365">
        <v>224.625646329023</v>
      </c>
      <c r="N4365">
        <v>66.875946367747105</v>
      </c>
      <c r="O4365">
        <v>66.772464733662304</v>
      </c>
      <c r="P4365">
        <v>-0.72289096867630198</v>
      </c>
      <c r="Q4365">
        <v>0.140450398547462</v>
      </c>
      <c r="R4365">
        <v>0.88951844111412903</v>
      </c>
      <c r="S4365" t="s">
        <v>11011</v>
      </c>
      <c r="T4365" t="s">
        <v>13290</v>
      </c>
      <c r="U4365" t="s">
        <v>13290</v>
      </c>
      <c r="V4365" t="s">
        <v>13290</v>
      </c>
      <c r="W4365" t="s">
        <v>17607</v>
      </c>
      <c r="X4365">
        <v>5</v>
      </c>
      <c r="Y4365" t="s">
        <v>24098</v>
      </c>
      <c r="Z4365" t="s">
        <v>30695</v>
      </c>
      <c r="AA4365">
        <v>0.90780229434384685</v>
      </c>
      <c r="AB4365" t="str">
        <f>HYPERLINK("Melting_Curves/meltCurve_Q86VI3_IQGAP3.pdf", "Melting_Curves/meltCurve_Q86VI3_IQGAP3.pdf")</f>
        <v>Melting_Curves/meltCurve_Q86VI3_IQGAP3.pdf</v>
      </c>
    </row>
    <row r="4366" spans="1:28" x14ac:dyDescent="0.25">
      <c r="A4366" t="s">
        <v>4370</v>
      </c>
      <c r="B4366">
        <v>0.99252571173614901</v>
      </c>
      <c r="C4366">
        <v>1.0009529657432901</v>
      </c>
      <c r="D4366">
        <v>0.90187694346004998</v>
      </c>
      <c r="E4366">
        <v>0.67643315815653005</v>
      </c>
      <c r="F4366">
        <v>0.25018934329147302</v>
      </c>
      <c r="G4366">
        <v>0.13307458506667999</v>
      </c>
      <c r="H4366">
        <v>0.108329066298298</v>
      </c>
      <c r="I4366">
        <v>0.103977385099517</v>
      </c>
      <c r="J4366">
        <v>0.12875816824123401</v>
      </c>
      <c r="K4366">
        <v>0.11025892996971801</v>
      </c>
      <c r="L4366">
        <v>1460.4106172746101</v>
      </c>
      <c r="M4366">
        <v>28.981082706888898</v>
      </c>
      <c r="N4366">
        <v>50.814518455144302</v>
      </c>
      <c r="O4366">
        <v>50.153766383807202</v>
      </c>
      <c r="P4366">
        <v>-0.128989381974392</v>
      </c>
      <c r="Q4366">
        <v>0.107106680295149</v>
      </c>
      <c r="R4366">
        <v>0.99765115149026895</v>
      </c>
      <c r="S4366" t="s">
        <v>11012</v>
      </c>
      <c r="T4366" t="s">
        <v>13290</v>
      </c>
      <c r="U4366" t="s">
        <v>13290</v>
      </c>
      <c r="V4366" t="s">
        <v>13290</v>
      </c>
      <c r="W4366" t="s">
        <v>17608</v>
      </c>
      <c r="X4366">
        <v>24</v>
      </c>
      <c r="Y4366" t="s">
        <v>24099</v>
      </c>
      <c r="Z4366" t="s">
        <v>30696</v>
      </c>
      <c r="AA4366">
        <v>0.42235944523359342</v>
      </c>
      <c r="AB4366" t="str">
        <f>HYPERLINK("Melting_Curves/meltCurve_Q86VN1_2_VPS36.pdf", "Melting_Curves/meltCurve_Q86VN1_2_VPS36.pdf")</f>
        <v>Melting_Curves/meltCurve_Q86VN1_2_VPS36.pdf</v>
      </c>
    </row>
    <row r="4367" spans="1:28" x14ac:dyDescent="0.25">
      <c r="A4367" t="s">
        <v>4371</v>
      </c>
      <c r="B4367">
        <v>0.99252571173614901</v>
      </c>
      <c r="C4367">
        <v>0.92614728028460303</v>
      </c>
      <c r="D4367">
        <v>1.04343114002832</v>
      </c>
      <c r="E4367">
        <v>1.00941539250059</v>
      </c>
      <c r="F4367">
        <v>1.0079950358652601</v>
      </c>
      <c r="G4367">
        <v>0.43320148226945998</v>
      </c>
      <c r="H4367">
        <v>0.119822448384066</v>
      </c>
      <c r="I4367">
        <v>9.7405925120290393E-2</v>
      </c>
      <c r="J4367">
        <v>0.103934677229369</v>
      </c>
      <c r="K4367">
        <v>0.100991151387179</v>
      </c>
      <c r="L4367">
        <v>14168.872554797401</v>
      </c>
      <c r="M4367">
        <v>250</v>
      </c>
      <c r="N4367">
        <v>56.729287024719497</v>
      </c>
      <c r="O4367">
        <v>56.671859512335203</v>
      </c>
      <c r="P4367">
        <v>-0.98644791246952301</v>
      </c>
      <c r="Q4367">
        <v>0.10553854000886299</v>
      </c>
      <c r="R4367">
        <v>0.99562983132321203</v>
      </c>
      <c r="S4367" t="s">
        <v>11013</v>
      </c>
      <c r="T4367" t="s">
        <v>13290</v>
      </c>
      <c r="U4367" t="s">
        <v>13290</v>
      </c>
      <c r="V4367" t="s">
        <v>13290</v>
      </c>
      <c r="W4367" t="s">
        <v>17609</v>
      </c>
      <c r="X4367">
        <v>73</v>
      </c>
      <c r="Y4367" t="s">
        <v>24100</v>
      </c>
      <c r="Z4367" t="s">
        <v>30697</v>
      </c>
      <c r="AA4367">
        <v>0.6028136181805962</v>
      </c>
      <c r="AB4367" t="str">
        <f>HYPERLINK("Melting_Curves/meltCurve_Q86VP6_CAND1.pdf", "Melting_Curves/meltCurve_Q86VP6_CAND1.pdf")</f>
        <v>Melting_Curves/meltCurve_Q86VP6_CAND1.pdf</v>
      </c>
    </row>
    <row r="4368" spans="1:28" x14ac:dyDescent="0.25">
      <c r="A4368" t="s">
        <v>4372</v>
      </c>
      <c r="B4368">
        <v>0.99252571173614901</v>
      </c>
      <c r="C4368">
        <v>1.0799737431163401</v>
      </c>
      <c r="D4368">
        <v>0.90428101706596697</v>
      </c>
      <c r="E4368">
        <v>1.1468537084444601</v>
      </c>
      <c r="F4368">
        <v>0.59230090369351995</v>
      </c>
      <c r="G4368">
        <v>0.39652889425927801</v>
      </c>
      <c r="H4368">
        <v>0.36029474565599801</v>
      </c>
      <c r="I4368">
        <v>0.48984263064309103</v>
      </c>
      <c r="J4368">
        <v>0.81978841039796302</v>
      </c>
      <c r="K4368">
        <v>1.00821180327751</v>
      </c>
      <c r="L4368">
        <v>8064.4742252337601</v>
      </c>
      <c r="M4368">
        <v>156.10304919021999</v>
      </c>
      <c r="O4368">
        <v>51.6527438836033</v>
      </c>
      <c r="P4368">
        <v>-0.29425394441608099</v>
      </c>
      <c r="Q4368">
        <v>0.61053871626394296</v>
      </c>
      <c r="R4368">
        <v>0.53576880445205299</v>
      </c>
      <c r="S4368" t="s">
        <v>11014</v>
      </c>
      <c r="T4368" t="s">
        <v>13290</v>
      </c>
      <c r="U4368" t="s">
        <v>13290</v>
      </c>
      <c r="V4368" t="s">
        <v>13290</v>
      </c>
      <c r="W4368" t="s">
        <v>17610</v>
      </c>
      <c r="X4368">
        <v>2</v>
      </c>
      <c r="Y4368" t="s">
        <v>24101</v>
      </c>
      <c r="Z4368" t="s">
        <v>30698</v>
      </c>
      <c r="AA4368">
        <v>0.76201579097572358</v>
      </c>
      <c r="AB4368" t="str">
        <f>HYPERLINK("Melting_Curves/meltCurve_Q86VQ1_GLCCI1.pdf", "Melting_Curves/meltCurve_Q86VQ1_GLCCI1.pdf")</f>
        <v>Melting_Curves/meltCurve_Q86VQ1_GLCCI1.pdf</v>
      </c>
    </row>
    <row r="4369" spans="1:28" x14ac:dyDescent="0.25">
      <c r="A4369" t="s">
        <v>4373</v>
      </c>
      <c r="B4369">
        <v>0.99252571173614901</v>
      </c>
      <c r="C4369">
        <v>1.04554008597824</v>
      </c>
      <c r="D4369">
        <v>0.917555706790388</v>
      </c>
      <c r="E4369">
        <v>0.81847111092196601</v>
      </c>
      <c r="F4369">
        <v>0.61155471935509997</v>
      </c>
      <c r="G4369">
        <v>0.32812814137841401</v>
      </c>
      <c r="H4369">
        <v>0.18573720648236</v>
      </c>
      <c r="I4369">
        <v>0.18580278634568601</v>
      </c>
      <c r="J4369">
        <v>0.25282282410192902</v>
      </c>
      <c r="K4369">
        <v>0.19094698184244999</v>
      </c>
      <c r="L4369">
        <v>1102.31916196114</v>
      </c>
      <c r="M4369">
        <v>20.8172483875063</v>
      </c>
      <c r="N4369">
        <v>54.137535358599102</v>
      </c>
      <c r="O4369">
        <v>52.470824782756601</v>
      </c>
      <c r="P4369">
        <v>-8.1033648114994306E-2</v>
      </c>
      <c r="Q4369">
        <v>0.18302659261166701</v>
      </c>
      <c r="R4369">
        <v>0.98840671288763104</v>
      </c>
      <c r="S4369" t="s">
        <v>11015</v>
      </c>
      <c r="T4369" t="s">
        <v>13290</v>
      </c>
      <c r="U4369" t="s">
        <v>13290</v>
      </c>
      <c r="V4369" t="s">
        <v>13290</v>
      </c>
      <c r="W4369" t="s">
        <v>17611</v>
      </c>
      <c r="X4369">
        <v>6</v>
      </c>
      <c r="Y4369" t="s">
        <v>24102</v>
      </c>
      <c r="Z4369" t="s">
        <v>30699</v>
      </c>
      <c r="AA4369">
        <v>0.5462357152812114</v>
      </c>
      <c r="AB4369" t="str">
        <f>HYPERLINK("Melting_Curves/meltCurve_Q86VR2_FAM134C.pdf", "Melting_Curves/meltCurve_Q86VR2_FAM134C.pdf")</f>
        <v>Melting_Curves/meltCurve_Q86VR2_FAM134C.pdf</v>
      </c>
    </row>
    <row r="4370" spans="1:28" x14ac:dyDescent="0.25">
      <c r="A4370" t="s">
        <v>4374</v>
      </c>
      <c r="B4370">
        <v>0.99252571173614901</v>
      </c>
      <c r="C4370">
        <v>0.95132672059805701</v>
      </c>
      <c r="D4370">
        <v>0.82754475977943398</v>
      </c>
      <c r="E4370">
        <v>0.61346272316563299</v>
      </c>
      <c r="F4370">
        <v>0.260024043215139</v>
      </c>
      <c r="G4370">
        <v>0.13199420903381201</v>
      </c>
      <c r="H4370">
        <v>9.0712184705433602E-2</v>
      </c>
      <c r="I4370">
        <v>9.7398921425675203E-2</v>
      </c>
      <c r="J4370">
        <v>0.121725092781098</v>
      </c>
      <c r="K4370">
        <v>0.12822012725267501</v>
      </c>
      <c r="L4370">
        <v>1058.99333348031</v>
      </c>
      <c r="M4370">
        <v>21.2557048953765</v>
      </c>
      <c r="N4370">
        <v>50.320509714946702</v>
      </c>
      <c r="O4370">
        <v>49.386913727835598</v>
      </c>
      <c r="P4370">
        <v>-9.7377762802261694E-2</v>
      </c>
      <c r="Q4370">
        <v>9.5007325413798693E-2</v>
      </c>
      <c r="R4370">
        <v>0.99451723879404497</v>
      </c>
      <c r="S4370" t="s">
        <v>11016</v>
      </c>
      <c r="T4370" t="s">
        <v>13290</v>
      </c>
      <c r="U4370" t="s">
        <v>13290</v>
      </c>
      <c r="V4370" t="s">
        <v>13290</v>
      </c>
      <c r="W4370" t="s">
        <v>17612</v>
      </c>
      <c r="X4370">
        <v>13</v>
      </c>
      <c r="Y4370" t="s">
        <v>24103</v>
      </c>
      <c r="Z4370" t="s">
        <v>30700</v>
      </c>
      <c r="AA4370">
        <v>0.40246871107160709</v>
      </c>
      <c r="AB4370" t="str">
        <f>HYPERLINK("Melting_Curves/meltCurve_Q86VS8_HOOK3.pdf", "Melting_Curves/meltCurve_Q86VS8_HOOK3.pdf")</f>
        <v>Melting_Curves/meltCurve_Q86VS8_HOOK3.pdf</v>
      </c>
    </row>
    <row r="4371" spans="1:28" x14ac:dyDescent="0.25">
      <c r="A4371" t="s">
        <v>4375</v>
      </c>
      <c r="B4371">
        <v>0.99252571173614901</v>
      </c>
      <c r="C4371">
        <v>0.93224793907718995</v>
      </c>
      <c r="D4371">
        <v>0.78120531930494896</v>
      </c>
      <c r="E4371">
        <v>0.74844612912368902</v>
      </c>
      <c r="F4371">
        <v>0.382073308208768</v>
      </c>
      <c r="G4371">
        <v>0.209388259537299</v>
      </c>
      <c r="H4371">
        <v>0.15396428683989599</v>
      </c>
      <c r="I4371">
        <v>0.139649219366312</v>
      </c>
      <c r="J4371">
        <v>0.10646917798777</v>
      </c>
      <c r="K4371">
        <v>8.7597350715687694E-2</v>
      </c>
      <c r="L4371">
        <v>773.40853701900596</v>
      </c>
      <c r="M4371">
        <v>15.0863960983009</v>
      </c>
      <c r="N4371">
        <v>51.813084010686502</v>
      </c>
      <c r="O4371">
        <v>50.389851799137098</v>
      </c>
      <c r="P4371">
        <v>-6.9337814104866002E-2</v>
      </c>
      <c r="Q4371">
        <v>7.3714621039568995E-2</v>
      </c>
      <c r="R4371">
        <v>0.98446530437678803</v>
      </c>
      <c r="S4371" t="s">
        <v>11017</v>
      </c>
      <c r="T4371" t="s">
        <v>13290</v>
      </c>
      <c r="U4371" t="s">
        <v>13290</v>
      </c>
      <c r="V4371" t="s">
        <v>13290</v>
      </c>
      <c r="W4371" t="s">
        <v>17613</v>
      </c>
      <c r="X4371">
        <v>5</v>
      </c>
      <c r="Y4371" t="s">
        <v>24104</v>
      </c>
      <c r="Z4371" t="s">
        <v>30701</v>
      </c>
      <c r="AA4371">
        <v>0.44256863762292309</v>
      </c>
      <c r="AB4371" t="str">
        <f>HYPERLINK("Melting_Curves/meltCurve_Q86VU5_COMTD1.pdf", "Melting_Curves/meltCurve_Q86VU5_COMTD1.pdf")</f>
        <v>Melting_Curves/meltCurve_Q86VU5_COMTD1.pdf</v>
      </c>
    </row>
    <row r="4372" spans="1:28" x14ac:dyDescent="0.25">
      <c r="A4372" t="s">
        <v>4376</v>
      </c>
      <c r="B4372">
        <v>0.99252571173614901</v>
      </c>
      <c r="C4372">
        <v>1.08647980138925</v>
      </c>
      <c r="D4372">
        <v>0.81188156897244501</v>
      </c>
      <c r="E4372">
        <v>0.377512261481388</v>
      </c>
      <c r="F4372">
        <v>0.23793833545446799</v>
      </c>
      <c r="G4372">
        <v>0.114655619701098</v>
      </c>
      <c r="H4372">
        <v>0.11389317835985199</v>
      </c>
      <c r="I4372">
        <v>9.35447069548518E-2</v>
      </c>
      <c r="J4372">
        <v>0.14079210786164301</v>
      </c>
      <c r="K4372">
        <v>0.123847948620655</v>
      </c>
      <c r="L4372">
        <v>1420.96772440367</v>
      </c>
      <c r="M4372">
        <v>29.469336359773401</v>
      </c>
      <c r="N4372">
        <v>48.690517484414002</v>
      </c>
      <c r="O4372">
        <v>47.998121018908002</v>
      </c>
      <c r="P4372">
        <v>-0.13442310402111801</v>
      </c>
      <c r="Q4372">
        <v>0.124240802795336</v>
      </c>
      <c r="R4372">
        <v>0.98736888547003498</v>
      </c>
      <c r="S4372" t="s">
        <v>11018</v>
      </c>
      <c r="T4372" t="s">
        <v>13290</v>
      </c>
      <c r="U4372" t="s">
        <v>13290</v>
      </c>
      <c r="V4372" t="s">
        <v>13290</v>
      </c>
      <c r="W4372" t="s">
        <v>17614</v>
      </c>
      <c r="X4372">
        <v>1</v>
      </c>
      <c r="Y4372" t="s">
        <v>24105</v>
      </c>
      <c r="Z4372" t="s">
        <v>30702</v>
      </c>
      <c r="AA4372">
        <v>0.36963729792871569</v>
      </c>
      <c r="AB4372" t="str">
        <f>HYPERLINK("Melting_Curves/meltCurve_Q86VW0_SESTD1.pdf", "Melting_Curves/meltCurve_Q86VW0_SESTD1.pdf")</f>
        <v>Melting_Curves/meltCurve_Q86VW0_SESTD1.pdf</v>
      </c>
    </row>
    <row r="4373" spans="1:28" x14ac:dyDescent="0.25">
      <c r="A4373" t="s">
        <v>4377</v>
      </c>
      <c r="B4373">
        <v>0.99252571173614901</v>
      </c>
      <c r="C4373">
        <v>0.96917315964137496</v>
      </c>
      <c r="D4373">
        <v>1.0800198700318699</v>
      </c>
      <c r="E4373">
        <v>0.88224742276497803</v>
      </c>
      <c r="F4373">
        <v>0.49465986657115701</v>
      </c>
      <c r="G4373">
        <v>0.19843112723797601</v>
      </c>
      <c r="H4373">
        <v>9.8476563633398295E-2</v>
      </c>
      <c r="I4373">
        <v>9.5409147986886905E-2</v>
      </c>
      <c r="J4373">
        <v>4.6186365313811303E-2</v>
      </c>
      <c r="K4373">
        <v>0.121668341447252</v>
      </c>
      <c r="L4373">
        <v>1615.2057017202501</v>
      </c>
      <c r="M4373">
        <v>30.557080477236699</v>
      </c>
      <c r="N4373">
        <v>53.191854105153297</v>
      </c>
      <c r="O4373">
        <v>52.633793415382399</v>
      </c>
      <c r="P4373">
        <v>-0.132498031880214</v>
      </c>
      <c r="Q4373">
        <v>8.7107401155565894E-2</v>
      </c>
      <c r="R4373">
        <v>0.99283296103406204</v>
      </c>
      <c r="S4373" t="s">
        <v>11019</v>
      </c>
      <c r="T4373" t="s">
        <v>13290</v>
      </c>
      <c r="U4373" t="s">
        <v>13290</v>
      </c>
      <c r="V4373" t="s">
        <v>13290</v>
      </c>
      <c r="W4373" t="s">
        <v>17615</v>
      </c>
      <c r="X4373">
        <v>4</v>
      </c>
      <c r="Y4373" t="s">
        <v>24106</v>
      </c>
      <c r="Z4373" t="s">
        <v>30703</v>
      </c>
      <c r="AA4373">
        <v>0.4840911004758342</v>
      </c>
      <c r="AB4373" t="str">
        <f>HYPERLINK("Melting_Curves/meltCurve_Q86VX9_MON1A.pdf", "Melting_Curves/meltCurve_Q86VX9_MON1A.pdf")</f>
        <v>Melting_Curves/meltCurve_Q86VX9_MON1A.pdf</v>
      </c>
    </row>
    <row r="4374" spans="1:28" x14ac:dyDescent="0.25">
      <c r="A4374" t="s">
        <v>4378</v>
      </c>
      <c r="B4374">
        <v>0.99252571173614901</v>
      </c>
      <c r="C4374">
        <v>1.0076912029415599</v>
      </c>
      <c r="D4374">
        <v>1.3662008685732301</v>
      </c>
      <c r="E4374">
        <v>1.7949986997426499</v>
      </c>
      <c r="F4374">
        <v>0.95310937655416095</v>
      </c>
      <c r="G4374">
        <v>0.57801446034524495</v>
      </c>
      <c r="H4374">
        <v>0.21876054819646901</v>
      </c>
      <c r="I4374">
        <v>0.218278049260827</v>
      </c>
      <c r="J4374">
        <v>0.19013657658789901</v>
      </c>
      <c r="K4374">
        <v>0.16613235581067501</v>
      </c>
      <c r="L4374">
        <v>3005.8875553746998</v>
      </c>
      <c r="M4374">
        <v>53.011807455658399</v>
      </c>
      <c r="N4374">
        <v>57.225956533769804</v>
      </c>
      <c r="O4374">
        <v>56.6217105926698</v>
      </c>
      <c r="P4374">
        <v>-0.18907474077057301</v>
      </c>
      <c r="Q4374">
        <v>0.192200488780991</v>
      </c>
      <c r="R4374">
        <v>0.73373853851436199</v>
      </c>
      <c r="S4374" t="s">
        <v>11020</v>
      </c>
      <c r="T4374" t="s">
        <v>13290</v>
      </c>
      <c r="U4374" t="s">
        <v>13290</v>
      </c>
      <c r="V4374" t="s">
        <v>13290</v>
      </c>
      <c r="W4374" t="s">
        <v>17616</v>
      </c>
      <c r="X4374">
        <v>7</v>
      </c>
      <c r="Y4374" t="s">
        <v>24107</v>
      </c>
      <c r="Z4374" t="s">
        <v>30704</v>
      </c>
      <c r="AA4374">
        <v>0.64372983629723957</v>
      </c>
      <c r="AB4374" t="str">
        <f>HYPERLINK("Melting_Curves/meltCurve_Q86W42_THOC6.pdf", "Melting_Curves/meltCurve_Q86W42_THOC6.pdf")</f>
        <v>Melting_Curves/meltCurve_Q86W42_THOC6.pdf</v>
      </c>
    </row>
    <row r="4375" spans="1:28" x14ac:dyDescent="0.25">
      <c r="A4375" t="s">
        <v>4379</v>
      </c>
      <c r="B4375">
        <v>0.99252571173614901</v>
      </c>
      <c r="C4375">
        <v>0.95828135122935998</v>
      </c>
      <c r="D4375">
        <v>0.78225861747396996</v>
      </c>
      <c r="E4375">
        <v>0.50123054620818097</v>
      </c>
      <c r="F4375">
        <v>0.192673078203874</v>
      </c>
      <c r="G4375">
        <v>9.9120344164180405E-2</v>
      </c>
      <c r="H4375">
        <v>7.0154938076774004E-2</v>
      </c>
      <c r="I4375">
        <v>5.9159303851557501E-2</v>
      </c>
      <c r="J4375">
        <v>6.8507279092507506E-2</v>
      </c>
      <c r="K4375">
        <v>6.8836031985478899E-2</v>
      </c>
      <c r="L4375">
        <v>1006.286613804</v>
      </c>
      <c r="M4375">
        <v>20.520789061595</v>
      </c>
      <c r="N4375">
        <v>49.318178031212902</v>
      </c>
      <c r="O4375">
        <v>48.578872810308603</v>
      </c>
      <c r="P4375">
        <v>-9.9786760401643804E-2</v>
      </c>
      <c r="Q4375">
        <v>5.51269650944348E-2</v>
      </c>
      <c r="R4375">
        <v>0.998431159588276</v>
      </c>
      <c r="S4375" t="s">
        <v>11021</v>
      </c>
      <c r="T4375" t="s">
        <v>13290</v>
      </c>
      <c r="U4375" t="s">
        <v>13290</v>
      </c>
      <c r="V4375" t="s">
        <v>13290</v>
      </c>
      <c r="W4375" t="s">
        <v>17617</v>
      </c>
      <c r="X4375">
        <v>5</v>
      </c>
      <c r="Y4375" t="s">
        <v>24108</v>
      </c>
      <c r="Z4375" t="s">
        <v>30705</v>
      </c>
      <c r="AA4375">
        <v>0.35232473823982702</v>
      </c>
      <c r="AB4375" t="str">
        <f>HYPERLINK("Melting_Curves/meltCurve_Q86W50_METTL16.pdf", "Melting_Curves/meltCurve_Q86W50_METTL16.pdf")</f>
        <v>Melting_Curves/meltCurve_Q86W50_METTL16.pdf</v>
      </c>
    </row>
    <row r="4376" spans="1:28" x14ac:dyDescent="0.25">
      <c r="A4376" t="s">
        <v>4380</v>
      </c>
      <c r="B4376">
        <v>0.99252571173614901</v>
      </c>
      <c r="C4376">
        <v>1.0218243939959299</v>
      </c>
      <c r="D4376">
        <v>0.85801112153057202</v>
      </c>
      <c r="E4376">
        <v>0.56985525095339895</v>
      </c>
      <c r="F4376">
        <v>0.49967720499409501</v>
      </c>
      <c r="G4376">
        <v>0.22634744137892601</v>
      </c>
      <c r="H4376">
        <v>0.173587249435665</v>
      </c>
      <c r="I4376">
        <v>0.19901999859439201</v>
      </c>
      <c r="J4376">
        <v>0.208820531491828</v>
      </c>
      <c r="K4376">
        <v>0.166599207929886</v>
      </c>
      <c r="L4376">
        <v>850.94705152411996</v>
      </c>
      <c r="M4376">
        <v>16.9077933440112</v>
      </c>
      <c r="N4376">
        <v>51.565446833774402</v>
      </c>
      <c r="O4376">
        <v>49.6404735674191</v>
      </c>
      <c r="P4376">
        <v>-7.0962445925060999E-2</v>
      </c>
      <c r="Q4376">
        <v>0.16668323375747099</v>
      </c>
      <c r="R4376">
        <v>0.98050006739898998</v>
      </c>
      <c r="S4376" t="s">
        <v>11022</v>
      </c>
      <c r="T4376" t="s">
        <v>13290</v>
      </c>
      <c r="U4376" t="s">
        <v>13290</v>
      </c>
      <c r="V4376" t="s">
        <v>13290</v>
      </c>
      <c r="W4376" t="s">
        <v>17618</v>
      </c>
      <c r="X4376">
        <v>5</v>
      </c>
      <c r="Y4376" t="s">
        <v>24109</v>
      </c>
      <c r="Z4376" t="s">
        <v>30706</v>
      </c>
      <c r="AA4376">
        <v>0.46947293370240661</v>
      </c>
      <c r="AB4376" t="str">
        <f>HYPERLINK("Melting_Curves/meltCurve_Q86W56_PARG.pdf", "Melting_Curves/meltCurve_Q86W56_PARG.pdf")</f>
        <v>Melting_Curves/meltCurve_Q86W56_PARG.pdf</v>
      </c>
    </row>
    <row r="4377" spans="1:28" x14ac:dyDescent="0.25">
      <c r="A4377" t="s">
        <v>4381</v>
      </c>
      <c r="B4377">
        <v>0.99252571173614901</v>
      </c>
      <c r="C4377">
        <v>0.87024606951246097</v>
      </c>
      <c r="D4377">
        <v>0.69697268182870498</v>
      </c>
      <c r="E4377">
        <v>0.38392143298898601</v>
      </c>
      <c r="F4377">
        <v>0.27405927352235998</v>
      </c>
      <c r="G4377">
        <v>0.15404432981361599</v>
      </c>
      <c r="H4377">
        <v>0.14808016079302999</v>
      </c>
      <c r="I4377">
        <v>0.14319926062209701</v>
      </c>
      <c r="J4377">
        <v>0.164315579580771</v>
      </c>
      <c r="K4377">
        <v>0.13852296919114099</v>
      </c>
      <c r="L4377">
        <v>866.92242791822798</v>
      </c>
      <c r="M4377">
        <v>18.303757441419101</v>
      </c>
      <c r="N4377">
        <v>48.229725192757897</v>
      </c>
      <c r="O4377">
        <v>46.808597325552697</v>
      </c>
      <c r="P4377">
        <v>-8.4062222558150199E-2</v>
      </c>
      <c r="Q4377">
        <v>0.14014300187495099</v>
      </c>
      <c r="R4377">
        <v>0.99651950039951898</v>
      </c>
      <c r="S4377" t="s">
        <v>11023</v>
      </c>
      <c r="T4377" t="s">
        <v>13290</v>
      </c>
      <c r="U4377" t="s">
        <v>13290</v>
      </c>
      <c r="V4377" t="s">
        <v>13290</v>
      </c>
      <c r="W4377" t="s">
        <v>17619</v>
      </c>
      <c r="X4377">
        <v>3</v>
      </c>
      <c r="Y4377" t="s">
        <v>24110</v>
      </c>
      <c r="Z4377" t="s">
        <v>30707</v>
      </c>
      <c r="AA4377">
        <v>0.36623755508841072</v>
      </c>
      <c r="AB4377" t="str">
        <f>HYPERLINK("Melting_Curves/meltCurve_Q86W92_4_PPFIBP1.pdf", "Melting_Curves/meltCurve_Q86W92_4_PPFIBP1.pdf")</f>
        <v>Melting_Curves/meltCurve_Q86W92_4_PPFIBP1.pdf</v>
      </c>
    </row>
    <row r="4378" spans="1:28" x14ac:dyDescent="0.25">
      <c r="A4378" t="s">
        <v>4382</v>
      </c>
      <c r="B4378">
        <v>0.99252571173614901</v>
      </c>
      <c r="C4378">
        <v>1.12066874901886</v>
      </c>
      <c r="D4378">
        <v>0.99024062584486805</v>
      </c>
      <c r="E4378">
        <v>0.83320516688991497</v>
      </c>
      <c r="F4378">
        <v>0.28569154610118602</v>
      </c>
      <c r="G4378">
        <v>0.118019689258473</v>
      </c>
      <c r="H4378">
        <v>8.5547835950134904E-2</v>
      </c>
      <c r="I4378">
        <v>8.9620800433803993E-2</v>
      </c>
      <c r="J4378">
        <v>0.118733086220089</v>
      </c>
      <c r="K4378">
        <v>9.5562121660872995E-2</v>
      </c>
      <c r="L4378">
        <v>2071.9475496199798</v>
      </c>
      <c r="M4378">
        <v>40.282722966050599</v>
      </c>
      <c r="N4378">
        <v>51.712622277471603</v>
      </c>
      <c r="O4378">
        <v>51.308870767261702</v>
      </c>
      <c r="P4378">
        <v>-0.177200352737269</v>
      </c>
      <c r="Q4378">
        <v>9.7187976402526993E-2</v>
      </c>
      <c r="R4378">
        <v>0.991503421567827</v>
      </c>
      <c r="S4378" t="s">
        <v>11024</v>
      </c>
      <c r="T4378" t="s">
        <v>13290</v>
      </c>
      <c r="U4378" t="s">
        <v>13290</v>
      </c>
      <c r="V4378" t="s">
        <v>13290</v>
      </c>
      <c r="W4378" t="s">
        <v>17620</v>
      </c>
      <c r="X4378">
        <v>9</v>
      </c>
      <c r="Y4378" t="s">
        <v>24111</v>
      </c>
      <c r="Z4378" t="s">
        <v>30708</v>
      </c>
      <c r="AA4378">
        <v>0.44447797643130732</v>
      </c>
      <c r="AB4378" t="str">
        <f>HYPERLINK("Melting_Curves/meltCurve_Q86WA6_2_BPHL.pdf", "Melting_Curves/meltCurve_Q86WA6_2_BPHL.pdf")</f>
        <v>Melting_Curves/meltCurve_Q86WA6_2_BPHL.pdf</v>
      </c>
    </row>
    <row r="4379" spans="1:28" x14ac:dyDescent="0.25">
      <c r="A4379" t="s">
        <v>4383</v>
      </c>
      <c r="B4379">
        <v>0.99252571173614901</v>
      </c>
      <c r="C4379">
        <v>0.95098007995264</v>
      </c>
      <c r="D4379">
        <v>0.95008392917728302</v>
      </c>
      <c r="E4379">
        <v>0.86189790142764999</v>
      </c>
      <c r="F4379">
        <v>0.44356310260336301</v>
      </c>
      <c r="G4379">
        <v>0.21676864954157801</v>
      </c>
      <c r="H4379">
        <v>9.1487889895225494E-2</v>
      </c>
      <c r="I4379">
        <v>0.100648772041169</v>
      </c>
      <c r="J4379">
        <v>0.124242464060587</v>
      </c>
      <c r="K4379">
        <v>0.12119515590673</v>
      </c>
      <c r="L4379">
        <v>1478.4725251889799</v>
      </c>
      <c r="M4379">
        <v>28.237641684516799</v>
      </c>
      <c r="N4379">
        <v>52.807720811688</v>
      </c>
      <c r="O4379">
        <v>52.097738178001499</v>
      </c>
      <c r="P4379">
        <v>-0.121028432522549</v>
      </c>
      <c r="Q4379">
        <v>0.106829826227487</v>
      </c>
      <c r="R4379">
        <v>0.99605814546597105</v>
      </c>
      <c r="S4379" t="s">
        <v>11025</v>
      </c>
      <c r="T4379" t="s">
        <v>13290</v>
      </c>
      <c r="U4379" t="s">
        <v>13290</v>
      </c>
      <c r="V4379" t="s">
        <v>13290</v>
      </c>
      <c r="W4379" t="s">
        <v>17621</v>
      </c>
      <c r="X4379">
        <v>7</v>
      </c>
      <c r="Y4379" t="s">
        <v>24112</v>
      </c>
      <c r="Z4379" t="s">
        <v>30709</v>
      </c>
      <c r="AA4379">
        <v>0.48122658348111702</v>
      </c>
      <c r="AB4379" t="str">
        <f>HYPERLINK("Melting_Curves/meltCurve_Q86WA8_LONP2.pdf", "Melting_Curves/meltCurve_Q86WA8_LONP2.pdf")</f>
        <v>Melting_Curves/meltCurve_Q86WA8_LONP2.pdf</v>
      </c>
    </row>
    <row r="4380" spans="1:28" x14ac:dyDescent="0.25">
      <c r="A4380" t="s">
        <v>4384</v>
      </c>
      <c r="B4380">
        <v>0.99252571173614901</v>
      </c>
      <c r="C4380">
        <v>0.88024289340962503</v>
      </c>
      <c r="D4380">
        <v>0.68075927558997296</v>
      </c>
      <c r="E4380">
        <v>0.52574887855182395</v>
      </c>
      <c r="F4380">
        <v>0.30657672987315399</v>
      </c>
      <c r="G4380">
        <v>0.21768499038856401</v>
      </c>
      <c r="H4380">
        <v>0.190672801493908</v>
      </c>
      <c r="I4380">
        <v>0.26690370177995998</v>
      </c>
      <c r="J4380">
        <v>0.42394873891470097</v>
      </c>
      <c r="K4380">
        <v>0.56627884561878905</v>
      </c>
      <c r="L4380">
        <v>1025.7744220033701</v>
      </c>
      <c r="M4380">
        <v>22.138094576296002</v>
      </c>
      <c r="N4380">
        <v>48.693778639307801</v>
      </c>
      <c r="O4380">
        <v>45.962162184618698</v>
      </c>
      <c r="P4380">
        <v>-8.0813821005504605E-2</v>
      </c>
      <c r="Q4380">
        <v>0.32888598478048903</v>
      </c>
      <c r="R4380">
        <v>0.83760986039219598</v>
      </c>
      <c r="S4380" t="s">
        <v>11026</v>
      </c>
      <c r="T4380" t="s">
        <v>13290</v>
      </c>
      <c r="U4380" t="s">
        <v>13290</v>
      </c>
      <c r="V4380" t="s">
        <v>13290</v>
      </c>
      <c r="W4380" t="s">
        <v>17622</v>
      </c>
      <c r="X4380">
        <v>1</v>
      </c>
      <c r="Y4380" t="s">
        <v>24113</v>
      </c>
      <c r="Z4380" t="s">
        <v>30710</v>
      </c>
      <c r="AA4380">
        <v>0.47866552497349257</v>
      </c>
      <c r="AB4380" t="str">
        <f>HYPERLINK("Melting_Curves/meltCurve_Q86WC4_OSTM1.pdf", "Melting_Curves/meltCurve_Q86WC4_OSTM1.pdf")</f>
        <v>Melting_Curves/meltCurve_Q86WC4_OSTM1.pdf</v>
      </c>
    </row>
    <row r="4381" spans="1:28" x14ac:dyDescent="0.25">
      <c r="A4381" t="s">
        <v>4385</v>
      </c>
      <c r="B4381">
        <v>0.99252571173614901</v>
      </c>
      <c r="C4381">
        <v>0.77859525336123303</v>
      </c>
      <c r="D4381">
        <v>0.32147324993501403</v>
      </c>
      <c r="E4381">
        <v>0.23976194641626999</v>
      </c>
      <c r="F4381">
        <v>0.183350940563452</v>
      </c>
      <c r="G4381">
        <v>0.12446485340592101</v>
      </c>
      <c r="H4381">
        <v>9.7054380455671801E-2</v>
      </c>
      <c r="I4381">
        <v>7.9090448275212097E-2</v>
      </c>
      <c r="J4381">
        <v>7.3493251122591197E-2</v>
      </c>
      <c r="K4381">
        <v>5.8258753219025697E-2</v>
      </c>
      <c r="L4381">
        <v>1221.4310532576001</v>
      </c>
      <c r="M4381">
        <v>27.452160080459301</v>
      </c>
      <c r="N4381">
        <v>44.893815762680603</v>
      </c>
      <c r="O4381">
        <v>44.259004423846697</v>
      </c>
      <c r="P4381">
        <v>-0.13821628162561</v>
      </c>
      <c r="Q4381">
        <v>0.108666709503423</v>
      </c>
      <c r="R4381">
        <v>0.98008529507670605</v>
      </c>
      <c r="S4381" t="s">
        <v>11027</v>
      </c>
      <c r="T4381" t="s">
        <v>13290</v>
      </c>
      <c r="U4381" t="s">
        <v>13290</v>
      </c>
      <c r="V4381" t="s">
        <v>13290</v>
      </c>
      <c r="W4381" t="s">
        <v>17623</v>
      </c>
      <c r="X4381">
        <v>13</v>
      </c>
      <c r="Y4381" t="s">
        <v>24114</v>
      </c>
      <c r="Z4381" t="s">
        <v>30711</v>
      </c>
      <c r="AA4381">
        <v>0.24967356614044239</v>
      </c>
      <c r="AB4381" t="str">
        <f>HYPERLINK("Melting_Curves/meltCurve_Q86WJ1_2_CHD1L.pdf", "Melting_Curves/meltCurve_Q86WJ1_2_CHD1L.pdf")</f>
        <v>Melting_Curves/meltCurve_Q86WJ1_2_CHD1L.pdf</v>
      </c>
    </row>
    <row r="4382" spans="1:28" x14ac:dyDescent="0.25">
      <c r="A4382" t="s">
        <v>4386</v>
      </c>
      <c r="B4382">
        <v>0.99252571173614901</v>
      </c>
      <c r="C4382">
        <v>1.09210471145389</v>
      </c>
      <c r="D4382">
        <v>0.99119461111879703</v>
      </c>
      <c r="E4382">
        <v>0.860345911732871</v>
      </c>
      <c r="F4382">
        <v>0.52635826729419</v>
      </c>
      <c r="G4382">
        <v>0.31038179072095801</v>
      </c>
      <c r="H4382">
        <v>0.23172120309215799</v>
      </c>
      <c r="I4382">
        <v>0.242884040319751</v>
      </c>
      <c r="J4382">
        <v>0.168473301287178</v>
      </c>
      <c r="K4382">
        <v>0.12222148419232499</v>
      </c>
      <c r="L4382">
        <v>1272.6278376970499</v>
      </c>
      <c r="M4382">
        <v>24.141378710872399</v>
      </c>
      <c r="N4382">
        <v>53.697468465544098</v>
      </c>
      <c r="O4382">
        <v>52.357893097936604</v>
      </c>
      <c r="P4382">
        <v>-9.4703635085086293E-2</v>
      </c>
      <c r="Q4382">
        <v>0.17843844496851399</v>
      </c>
      <c r="R4382">
        <v>0.98773933213713505</v>
      </c>
      <c r="S4382" t="s">
        <v>11028</v>
      </c>
      <c r="T4382" t="s">
        <v>13290</v>
      </c>
      <c r="U4382" t="s">
        <v>13290</v>
      </c>
      <c r="V4382" t="s">
        <v>13290</v>
      </c>
      <c r="W4382" t="s">
        <v>17624</v>
      </c>
      <c r="X4382">
        <v>7</v>
      </c>
      <c r="Y4382" t="s">
        <v>24115</v>
      </c>
      <c r="Z4382" t="s">
        <v>30712</v>
      </c>
      <c r="AA4382">
        <v>0.53472191490568122</v>
      </c>
      <c r="AB4382" t="str">
        <f>HYPERLINK("Melting_Curves/meltCurve_Q86WQ0_NR2C2AP.pdf", "Melting_Curves/meltCurve_Q86WQ0_NR2C2AP.pdf")</f>
        <v>Melting_Curves/meltCurve_Q86WQ0_NR2C2AP.pdf</v>
      </c>
    </row>
    <row r="4383" spans="1:28" x14ac:dyDescent="0.25">
      <c r="A4383" t="s">
        <v>4387</v>
      </c>
      <c r="B4383">
        <v>0.99252571173614901</v>
      </c>
      <c r="C4383">
        <v>1.08530714488203</v>
      </c>
      <c r="D4383">
        <v>0.87201760844182297</v>
      </c>
      <c r="E4383">
        <v>0.63109785787305595</v>
      </c>
      <c r="F4383">
        <v>0.43463957714815898</v>
      </c>
      <c r="G4383">
        <v>0.30546895296893201</v>
      </c>
      <c r="H4383">
        <v>0.25750629863090202</v>
      </c>
      <c r="I4383">
        <v>0.329154725381195</v>
      </c>
      <c r="J4383">
        <v>0.40830170575693298</v>
      </c>
      <c r="K4383">
        <v>0.375944488401313</v>
      </c>
      <c r="L4383">
        <v>1327.5949782244199</v>
      </c>
      <c r="M4383">
        <v>27.026822950447599</v>
      </c>
      <c r="N4383">
        <v>51.229842456829203</v>
      </c>
      <c r="O4383">
        <v>48.854822266838099</v>
      </c>
      <c r="P4383">
        <v>-9.1887825116572702E-2</v>
      </c>
      <c r="Q4383">
        <v>0.33560536584624201</v>
      </c>
      <c r="R4383">
        <v>0.96759304579055305</v>
      </c>
      <c r="S4383" t="s">
        <v>11029</v>
      </c>
      <c r="T4383" t="s">
        <v>13290</v>
      </c>
      <c r="U4383" t="s">
        <v>13290</v>
      </c>
      <c r="V4383" t="s">
        <v>13290</v>
      </c>
      <c r="W4383" t="s">
        <v>17625</v>
      </c>
      <c r="X4383">
        <v>7</v>
      </c>
      <c r="Y4383" t="s">
        <v>24116</v>
      </c>
      <c r="Z4383" t="s">
        <v>30713</v>
      </c>
      <c r="AA4383">
        <v>0.54263261504764027</v>
      </c>
      <c r="AB4383" t="str">
        <f>HYPERLINK("Melting_Curves/meltCurve_Q86WR0_CCDC25.pdf", "Melting_Curves/meltCurve_Q86WR0_CCDC25.pdf")</f>
        <v>Melting_Curves/meltCurve_Q86WR0_CCDC25.pdf</v>
      </c>
    </row>
    <row r="4384" spans="1:28" x14ac:dyDescent="0.25">
      <c r="A4384" t="s">
        <v>4388</v>
      </c>
      <c r="B4384">
        <v>0.99252571173614901</v>
      </c>
      <c r="C4384">
        <v>1.0077461092717199</v>
      </c>
      <c r="D4384">
        <v>0.85727614660347295</v>
      </c>
      <c r="E4384">
        <v>0.71641365387446498</v>
      </c>
      <c r="F4384">
        <v>0.34387276444729997</v>
      </c>
      <c r="G4384">
        <v>0.207795116648787</v>
      </c>
      <c r="H4384">
        <v>0.182399475539339</v>
      </c>
      <c r="I4384">
        <v>0.22534972757058999</v>
      </c>
      <c r="J4384">
        <v>0.31664985330886097</v>
      </c>
      <c r="K4384">
        <v>0.40512654597159298</v>
      </c>
      <c r="L4384">
        <v>1529.12515764725</v>
      </c>
      <c r="M4384">
        <v>30.5882318274124</v>
      </c>
      <c r="N4384">
        <v>51.236885949939399</v>
      </c>
      <c r="O4384">
        <v>49.778439163670001</v>
      </c>
      <c r="P4384">
        <v>-0.113312730424781</v>
      </c>
      <c r="Q4384">
        <v>0.262396636478886</v>
      </c>
      <c r="R4384">
        <v>0.951791295863053</v>
      </c>
      <c r="S4384" t="s">
        <v>11030</v>
      </c>
      <c r="T4384" t="s">
        <v>13290</v>
      </c>
      <c r="U4384" t="s">
        <v>13290</v>
      </c>
      <c r="V4384" t="s">
        <v>13290</v>
      </c>
      <c r="W4384" t="s">
        <v>17626</v>
      </c>
      <c r="X4384">
        <v>8</v>
      </c>
      <c r="Y4384" t="s">
        <v>24117</v>
      </c>
      <c r="Z4384" t="s">
        <v>30714</v>
      </c>
      <c r="AA4384">
        <v>0.51241989616049222</v>
      </c>
      <c r="AB4384" t="str">
        <f>HYPERLINK("Melting_Curves/meltCurve_Q86WR7_PROSER2.pdf", "Melting_Curves/meltCurve_Q86WR7_PROSER2.pdf")</f>
        <v>Melting_Curves/meltCurve_Q86WR7_PROSER2.pdf</v>
      </c>
    </row>
    <row r="4385" spans="1:28" x14ac:dyDescent="0.25">
      <c r="A4385" t="s">
        <v>4389</v>
      </c>
      <c r="B4385">
        <v>0.99252571173614901</v>
      </c>
      <c r="C4385">
        <v>1.0031927842275401</v>
      </c>
      <c r="D4385">
        <v>0.98284704124398903</v>
      </c>
      <c r="E4385">
        <v>0.91035826906426398</v>
      </c>
      <c r="F4385">
        <v>0.78901945944316099</v>
      </c>
      <c r="G4385">
        <v>0.66300173245573701</v>
      </c>
      <c r="H4385">
        <v>0.58595342330104905</v>
      </c>
      <c r="I4385">
        <v>0.68623105123592698</v>
      </c>
      <c r="J4385">
        <v>0.73037895635238004</v>
      </c>
      <c r="K4385">
        <v>0.59604810190482505</v>
      </c>
      <c r="L4385">
        <v>1393.40619690472</v>
      </c>
      <c r="M4385">
        <v>26.821383122175799</v>
      </c>
      <c r="O4385">
        <v>51.665101985506503</v>
      </c>
      <c r="P4385">
        <v>-4.5915246392964702E-2</v>
      </c>
      <c r="Q4385">
        <v>0.646223798599183</v>
      </c>
      <c r="R4385">
        <v>0.93398601375496604</v>
      </c>
      <c r="S4385" t="s">
        <v>11031</v>
      </c>
      <c r="T4385" t="s">
        <v>13290</v>
      </c>
      <c r="U4385" t="s">
        <v>13290</v>
      </c>
      <c r="V4385" t="s">
        <v>13290</v>
      </c>
      <c r="W4385" t="s">
        <v>17627</v>
      </c>
      <c r="X4385">
        <v>16</v>
      </c>
      <c r="Y4385" t="s">
        <v>24118</v>
      </c>
      <c r="Z4385" t="s">
        <v>30715</v>
      </c>
      <c r="AA4385">
        <v>0.78997643123615791</v>
      </c>
      <c r="AB4385" t="str">
        <f>HYPERLINK("Melting_Curves/meltCurve_Q86WU2_2_LDHD.pdf", "Melting_Curves/meltCurve_Q86WU2_2_LDHD.pdf")</f>
        <v>Melting_Curves/meltCurve_Q86WU2_2_LDHD.pdf</v>
      </c>
    </row>
    <row r="4386" spans="1:28" x14ac:dyDescent="0.25">
      <c r="A4386" t="s">
        <v>4390</v>
      </c>
      <c r="B4386">
        <v>0.99252571173614901</v>
      </c>
      <c r="C4386">
        <v>1.17460307201342</v>
      </c>
      <c r="D4386">
        <v>1.03714027599522</v>
      </c>
      <c r="E4386">
        <v>0.990192293871896</v>
      </c>
      <c r="F4386">
        <v>0.60897345534136305</v>
      </c>
      <c r="G4386">
        <v>0.38313488240147903</v>
      </c>
      <c r="H4386">
        <v>0.281575862189825</v>
      </c>
      <c r="I4386">
        <v>0.32969194588900802</v>
      </c>
      <c r="J4386">
        <v>0.42879349721335702</v>
      </c>
      <c r="K4386">
        <v>0.439099278474682</v>
      </c>
      <c r="L4386">
        <v>3368.1748190580602</v>
      </c>
      <c r="M4386">
        <v>63.806957068307497</v>
      </c>
      <c r="N4386">
        <v>53.932274557172498</v>
      </c>
      <c r="O4386">
        <v>52.735173050363997</v>
      </c>
      <c r="P4386">
        <v>-0.19025624282654999</v>
      </c>
      <c r="Q4386">
        <v>0.37102826754970197</v>
      </c>
      <c r="R4386">
        <v>0.95315283414126195</v>
      </c>
      <c r="S4386" t="s">
        <v>11032</v>
      </c>
      <c r="T4386" t="s">
        <v>13290</v>
      </c>
      <c r="U4386" t="s">
        <v>13290</v>
      </c>
      <c r="V4386" t="s">
        <v>13290</v>
      </c>
      <c r="W4386" t="s">
        <v>17628</v>
      </c>
      <c r="X4386">
        <v>4</v>
      </c>
      <c r="Y4386" t="s">
        <v>24119</v>
      </c>
      <c r="Z4386" t="s">
        <v>30716</v>
      </c>
      <c r="AA4386">
        <v>0.64001333698342233</v>
      </c>
      <c r="AB4386" t="str">
        <f>HYPERLINK("Melting_Curves/meltCurve_Q86WV7_CCDC43.pdf", "Melting_Curves/meltCurve_Q86WV7_CCDC43.pdf")</f>
        <v>Melting_Curves/meltCurve_Q86WV7_CCDC43.pdf</v>
      </c>
    </row>
    <row r="4387" spans="1:28" x14ac:dyDescent="0.25">
      <c r="A4387" t="s">
        <v>4391</v>
      </c>
      <c r="B4387">
        <v>0.99252571173614901</v>
      </c>
      <c r="C4387">
        <v>0.877621575040471</v>
      </c>
      <c r="D4387">
        <v>1.1982107817079899</v>
      </c>
      <c r="E4387">
        <v>1.2446891193062899</v>
      </c>
      <c r="F4387">
        <v>1.2396974883747101</v>
      </c>
      <c r="G4387">
        <v>0.842857656002863</v>
      </c>
      <c r="H4387">
        <v>0.20284411503836</v>
      </c>
      <c r="I4387">
        <v>9.0459910608094607E-2</v>
      </c>
      <c r="J4387">
        <v>9.2954984870571897E-2</v>
      </c>
      <c r="K4387">
        <v>8.5019849996643401E-2</v>
      </c>
      <c r="L4387">
        <v>3239.1250935888702</v>
      </c>
      <c r="M4387">
        <v>55.338499929803803</v>
      </c>
      <c r="N4387">
        <v>58.741803827750303</v>
      </c>
      <c r="O4387">
        <v>58.456635311253699</v>
      </c>
      <c r="P4387">
        <v>-0.21553069286801299</v>
      </c>
      <c r="Q4387">
        <v>8.9299827455127406E-2</v>
      </c>
      <c r="R4387">
        <v>0.92564331993979698</v>
      </c>
      <c r="S4387" t="s">
        <v>11033</v>
      </c>
      <c r="T4387" t="s">
        <v>13290</v>
      </c>
      <c r="U4387" t="s">
        <v>13290</v>
      </c>
      <c r="V4387" t="s">
        <v>13290</v>
      </c>
      <c r="W4387" t="s">
        <v>17629</v>
      </c>
      <c r="X4387">
        <v>9</v>
      </c>
      <c r="Y4387" t="s">
        <v>24120</v>
      </c>
      <c r="Z4387" t="s">
        <v>30717</v>
      </c>
      <c r="AA4387">
        <v>0.65381024071374716</v>
      </c>
      <c r="AB4387" t="str">
        <f>HYPERLINK("Melting_Curves/meltCurve_Q86X55_1_CARM1.pdf", "Melting_Curves/meltCurve_Q86X55_1_CARM1.pdf")</f>
        <v>Melting_Curves/meltCurve_Q86X55_1_CARM1.pdf</v>
      </c>
    </row>
    <row r="4388" spans="1:28" x14ac:dyDescent="0.25">
      <c r="A4388" t="s">
        <v>4392</v>
      </c>
      <c r="B4388">
        <v>0.99252571173614901</v>
      </c>
      <c r="C4388">
        <v>0.96896330446893597</v>
      </c>
      <c r="D4388">
        <v>0.90283369667257396</v>
      </c>
      <c r="E4388">
        <v>0.81446614124708405</v>
      </c>
      <c r="F4388">
        <v>0.85533191123102603</v>
      </c>
      <c r="G4388">
        <v>0.65932350021546204</v>
      </c>
      <c r="H4388">
        <v>0.53178548022573002</v>
      </c>
      <c r="I4388">
        <v>0.47029658187301998</v>
      </c>
      <c r="J4388">
        <v>0.114145160254747</v>
      </c>
      <c r="K4388">
        <v>0.100722067034373</v>
      </c>
      <c r="L4388">
        <v>694.89729710374104</v>
      </c>
      <c r="M4388">
        <v>11.507952915272901</v>
      </c>
      <c r="N4388">
        <v>60.384092864036496</v>
      </c>
      <c r="O4388">
        <v>58.647052111771998</v>
      </c>
      <c r="P4388">
        <v>-4.9069878857751298E-2</v>
      </c>
      <c r="Q4388">
        <v>0</v>
      </c>
      <c r="R4388">
        <v>0.94092755268894701</v>
      </c>
      <c r="S4388" t="s">
        <v>11034</v>
      </c>
      <c r="T4388" t="s">
        <v>13290</v>
      </c>
      <c r="U4388" t="s">
        <v>13290</v>
      </c>
      <c r="V4388" t="s">
        <v>13290</v>
      </c>
      <c r="W4388" t="s">
        <v>17630</v>
      </c>
      <c r="X4388">
        <v>2</v>
      </c>
      <c r="Y4388" t="s">
        <v>24121</v>
      </c>
      <c r="Z4388" t="s">
        <v>30718</v>
      </c>
      <c r="AA4388">
        <v>0.6780991369740289</v>
      </c>
      <c r="AB4388" t="str">
        <f>HYPERLINK("Melting_Curves/meltCurve_Q86X67_NUDT13.pdf", "Melting_Curves/meltCurve_Q86X67_NUDT13.pdf")</f>
        <v>Melting_Curves/meltCurve_Q86X67_NUDT13.pdf</v>
      </c>
    </row>
    <row r="4389" spans="1:28" x14ac:dyDescent="0.25">
      <c r="A4389" t="s">
        <v>4393</v>
      </c>
      <c r="B4389">
        <v>0.99252571173614901</v>
      </c>
      <c r="C4389">
        <v>0.89820864765241404</v>
      </c>
      <c r="D4389">
        <v>0.884377780113072</v>
      </c>
      <c r="E4389">
        <v>0.79995709057493303</v>
      </c>
      <c r="F4389">
        <v>0.83183704509515899</v>
      </c>
      <c r="G4389">
        <v>0.72116562480559299</v>
      </c>
      <c r="H4389">
        <v>0.686967940333161</v>
      </c>
      <c r="I4389">
        <v>0.83328198265031606</v>
      </c>
      <c r="J4389">
        <v>0.51156703466186104</v>
      </c>
      <c r="K4389">
        <v>0.17447442607899899</v>
      </c>
      <c r="L4389">
        <v>421.29447454073102</v>
      </c>
      <c r="M4389">
        <v>6.3214863132157602</v>
      </c>
      <c r="N4389">
        <v>66.644844837065406</v>
      </c>
      <c r="O4389">
        <v>60.9091248136139</v>
      </c>
      <c r="P4389">
        <v>-2.6016057665226799E-2</v>
      </c>
      <c r="Q4389">
        <v>0</v>
      </c>
      <c r="R4389">
        <v>0.69108404477954699</v>
      </c>
      <c r="S4389" t="s">
        <v>11035</v>
      </c>
      <c r="T4389" t="s">
        <v>13290</v>
      </c>
      <c r="U4389" t="s">
        <v>13290</v>
      </c>
      <c r="V4389" t="s">
        <v>13290</v>
      </c>
      <c r="W4389" t="s">
        <v>17631</v>
      </c>
      <c r="X4389">
        <v>12</v>
      </c>
      <c r="Y4389" t="s">
        <v>24122</v>
      </c>
      <c r="Z4389" t="s">
        <v>30719</v>
      </c>
      <c r="AA4389">
        <v>0.75972500376865637</v>
      </c>
      <c r="AB4389" t="str">
        <f>HYPERLINK("Melting_Curves/meltCurve_Q86X76_2_NIT1.pdf", "Melting_Curves/meltCurve_Q86X76_2_NIT1.pdf")</f>
        <v>Melting_Curves/meltCurve_Q86X76_2_NIT1.pdf</v>
      </c>
    </row>
    <row r="4390" spans="1:28" x14ac:dyDescent="0.25">
      <c r="A4390" t="s">
        <v>4394</v>
      </c>
      <c r="B4390">
        <v>0.99252571173614901</v>
      </c>
      <c r="C4390">
        <v>0.95558018522627597</v>
      </c>
      <c r="D4390">
        <v>0.82089667494769802</v>
      </c>
      <c r="E4390">
        <v>0.37003950844557798</v>
      </c>
      <c r="F4390">
        <v>0.13255601665581801</v>
      </c>
      <c r="G4390">
        <v>9.0764473738999304E-2</v>
      </c>
      <c r="H4390">
        <v>6.3028583116988599E-2</v>
      </c>
      <c r="I4390">
        <v>5.8316451328295799E-2</v>
      </c>
      <c r="J4390">
        <v>5.5630646336215402E-2</v>
      </c>
      <c r="K4390">
        <v>5.0930118196575697E-2</v>
      </c>
      <c r="L4390">
        <v>1311.15937440215</v>
      </c>
      <c r="M4390">
        <v>27.114406398397499</v>
      </c>
      <c r="N4390">
        <v>48.580945392812502</v>
      </c>
      <c r="O4390">
        <v>48.095822836570498</v>
      </c>
      <c r="P4390">
        <v>-0.13264565826746899</v>
      </c>
      <c r="Q4390">
        <v>5.8856041127407201E-2</v>
      </c>
      <c r="R4390">
        <v>0.99953154582410797</v>
      </c>
      <c r="S4390" t="s">
        <v>11036</v>
      </c>
      <c r="T4390" t="s">
        <v>13290</v>
      </c>
      <c r="U4390" t="s">
        <v>13290</v>
      </c>
      <c r="V4390" t="s">
        <v>13290</v>
      </c>
      <c r="W4390" t="s">
        <v>17632</v>
      </c>
      <c r="X4390">
        <v>2</v>
      </c>
      <c r="Y4390" t="s">
        <v>24123</v>
      </c>
      <c r="Z4390" t="s">
        <v>30720</v>
      </c>
      <c r="AA4390">
        <v>0.32803021696099049</v>
      </c>
      <c r="AB4390" t="str">
        <f>HYPERLINK("Melting_Curves/meltCurve_Q86X83_COMMD2.pdf", "Melting_Curves/meltCurve_Q86X83_COMMD2.pdf")</f>
        <v>Melting_Curves/meltCurve_Q86X83_COMMD2.pdf</v>
      </c>
    </row>
    <row r="4391" spans="1:28" x14ac:dyDescent="0.25">
      <c r="A4391" t="s">
        <v>4395</v>
      </c>
      <c r="B4391">
        <v>0.99252571173614901</v>
      </c>
      <c r="C4391">
        <v>1.0984014637313899</v>
      </c>
      <c r="D4391">
        <v>0.91426667821159002</v>
      </c>
      <c r="E4391">
        <v>0.94607971343864306</v>
      </c>
      <c r="F4391">
        <v>0.673021624602677</v>
      </c>
      <c r="G4391">
        <v>0.48350603545551102</v>
      </c>
      <c r="H4391">
        <v>0.32563118195309099</v>
      </c>
      <c r="I4391">
        <v>0.253488771606319</v>
      </c>
      <c r="J4391">
        <v>0.34049499326235599</v>
      </c>
      <c r="K4391">
        <v>0.44817502897700201</v>
      </c>
      <c r="L4391">
        <v>1454.64978355976</v>
      </c>
      <c r="M4391">
        <v>27.234567431508498</v>
      </c>
      <c r="N4391">
        <v>55.742022374450798</v>
      </c>
      <c r="O4391">
        <v>53.126420251389099</v>
      </c>
      <c r="P4391">
        <v>-8.46059057419212E-2</v>
      </c>
      <c r="Q4391">
        <v>0.33984408583653403</v>
      </c>
      <c r="R4391">
        <v>0.95637718330836197</v>
      </c>
      <c r="S4391" t="s">
        <v>11037</v>
      </c>
      <c r="T4391" t="s">
        <v>13290</v>
      </c>
      <c r="U4391" t="s">
        <v>13290</v>
      </c>
      <c r="V4391" t="s">
        <v>13290</v>
      </c>
      <c r="W4391" t="s">
        <v>17633</v>
      </c>
      <c r="X4391">
        <v>2</v>
      </c>
      <c r="Y4391" t="s">
        <v>24124</v>
      </c>
      <c r="Z4391" t="s">
        <v>30721</v>
      </c>
      <c r="AA4391">
        <v>0.64016274114216709</v>
      </c>
      <c r="AB4391" t="str">
        <f>HYPERLINK("Melting_Curves/meltCurve_Q86X95_2_CIR1.pdf", "Melting_Curves/meltCurve_Q86X95_2_CIR1.pdf")</f>
        <v>Melting_Curves/meltCurve_Q86X95_2_CIR1.pdf</v>
      </c>
    </row>
    <row r="4392" spans="1:28" x14ac:dyDescent="0.25">
      <c r="A4392" t="s">
        <v>4396</v>
      </c>
      <c r="B4392">
        <v>0.99252571173614901</v>
      </c>
      <c r="C4392">
        <v>1.06996179541696</v>
      </c>
      <c r="D4392">
        <v>0.99029150328219695</v>
      </c>
      <c r="E4392">
        <v>1.0365157191810299</v>
      </c>
      <c r="F4392">
        <v>0.524269914963854</v>
      </c>
      <c r="G4392">
        <v>0.189885157928152</v>
      </c>
      <c r="H4392">
        <v>9.6071630759699503E-2</v>
      </c>
      <c r="I4392">
        <v>4.7739089667231997E-2</v>
      </c>
      <c r="J4392">
        <v>0.103442568309929</v>
      </c>
      <c r="K4392">
        <v>5.3268242738321002E-2</v>
      </c>
      <c r="L4392">
        <v>2378.4526602656501</v>
      </c>
      <c r="M4392">
        <v>44.693192075557398</v>
      </c>
      <c r="N4392">
        <v>53.4394289251643</v>
      </c>
      <c r="O4392">
        <v>53.111126549380401</v>
      </c>
      <c r="P4392">
        <v>-0.192547165234496</v>
      </c>
      <c r="Q4392">
        <v>8.4748081581410006E-2</v>
      </c>
      <c r="R4392">
        <v>0.99158431517703405</v>
      </c>
      <c r="S4392" t="s">
        <v>11038</v>
      </c>
      <c r="T4392" t="s">
        <v>13290</v>
      </c>
      <c r="U4392" t="s">
        <v>13290</v>
      </c>
      <c r="V4392" t="s">
        <v>13290</v>
      </c>
      <c r="W4392" t="s">
        <v>17634</v>
      </c>
      <c r="X4392">
        <v>1</v>
      </c>
      <c r="Y4392" t="s">
        <v>24125</v>
      </c>
      <c r="Z4392" t="s">
        <v>30722</v>
      </c>
      <c r="AA4392">
        <v>0.4906792063287071</v>
      </c>
      <c r="AB4392" t="str">
        <f>HYPERLINK("Melting_Curves/meltCurve_Q86XP0_PLA2G4D.pdf", "Melting_Curves/meltCurve_Q86XP0_PLA2G4D.pdf")</f>
        <v>Melting_Curves/meltCurve_Q86XP0_PLA2G4D.pdf</v>
      </c>
    </row>
    <row r="4393" spans="1:28" x14ac:dyDescent="0.25">
      <c r="A4393" t="s">
        <v>4397</v>
      </c>
      <c r="B4393">
        <v>0.99252571173614901</v>
      </c>
      <c r="C4393">
        <v>0.62110887043674901</v>
      </c>
      <c r="D4393">
        <v>0.37297981412787101</v>
      </c>
      <c r="E4393">
        <v>0.31218414056348198</v>
      </c>
      <c r="F4393">
        <v>0.26171394226241901</v>
      </c>
      <c r="G4393">
        <v>0.14703318226852199</v>
      </c>
      <c r="H4393">
        <v>0.122193228740657</v>
      </c>
      <c r="I4393">
        <v>0.11550849797068601</v>
      </c>
      <c r="J4393">
        <v>0.14948324924572901</v>
      </c>
      <c r="K4393">
        <v>0.15851862926711299</v>
      </c>
      <c r="L4393">
        <v>873.55232928043597</v>
      </c>
      <c r="M4393">
        <v>19.8932551718855</v>
      </c>
      <c r="N4393">
        <v>44.770403044701801</v>
      </c>
      <c r="O4393">
        <v>43.475489094208797</v>
      </c>
      <c r="P4393">
        <v>-9.6259095291966704E-2</v>
      </c>
      <c r="Q4393">
        <v>0.15855484888428301</v>
      </c>
      <c r="R4393">
        <v>0.95906238361080498</v>
      </c>
      <c r="S4393" t="s">
        <v>11039</v>
      </c>
      <c r="T4393" t="s">
        <v>13290</v>
      </c>
      <c r="U4393" t="s">
        <v>13290</v>
      </c>
      <c r="V4393" t="s">
        <v>13290</v>
      </c>
      <c r="W4393" t="s">
        <v>17635</v>
      </c>
      <c r="X4393">
        <v>2</v>
      </c>
      <c r="Y4393" t="s">
        <v>24126</v>
      </c>
      <c r="Z4393" t="s">
        <v>30723</v>
      </c>
      <c r="AA4393">
        <v>0.28508270594885482</v>
      </c>
      <c r="AB4393" t="str">
        <f>HYPERLINK("Melting_Curves/meltCurve_Q86XP1_DGKH.pdf", "Melting_Curves/meltCurve_Q86XP1_DGKH.pdf")</f>
        <v>Melting_Curves/meltCurve_Q86XP1_DGKH.pdf</v>
      </c>
    </row>
    <row r="4394" spans="1:28" x14ac:dyDescent="0.25">
      <c r="A4394" t="s">
        <v>4398</v>
      </c>
      <c r="B4394">
        <v>0.99252571173614901</v>
      </c>
      <c r="C4394">
        <v>1.0044437365451699</v>
      </c>
      <c r="D4394">
        <v>0.92825204596822997</v>
      </c>
      <c r="E4394">
        <v>0.25343460553403802</v>
      </c>
      <c r="F4394">
        <v>0.15565818537270601</v>
      </c>
      <c r="G4394">
        <v>8.2467629623583893E-2</v>
      </c>
      <c r="H4394">
        <v>6.2466406152507502E-2</v>
      </c>
      <c r="I4394">
        <v>6.4899350220671295E-2</v>
      </c>
      <c r="J4394">
        <v>8.1062665099840697E-2</v>
      </c>
      <c r="K4394">
        <v>9.0549728429930906E-2</v>
      </c>
      <c r="L4394">
        <v>2436.8810558629498</v>
      </c>
      <c r="M4394">
        <v>50.5905778175416</v>
      </c>
      <c r="N4394">
        <v>48.352229982568304</v>
      </c>
      <c r="O4394">
        <v>48.093584696414503</v>
      </c>
      <c r="P4394">
        <v>-0.24000366272542201</v>
      </c>
      <c r="Q4394">
        <v>8.7369343874684105E-2</v>
      </c>
      <c r="R4394">
        <v>0.99683060489185704</v>
      </c>
      <c r="S4394" t="s">
        <v>11040</v>
      </c>
      <c r="T4394" t="s">
        <v>13290</v>
      </c>
      <c r="U4394" t="s">
        <v>13290</v>
      </c>
      <c r="V4394" t="s">
        <v>13290</v>
      </c>
      <c r="W4394" t="s">
        <v>17636</v>
      </c>
      <c r="X4394">
        <v>31</v>
      </c>
      <c r="Y4394" t="s">
        <v>24127</v>
      </c>
      <c r="Z4394" t="s">
        <v>30724</v>
      </c>
      <c r="AA4394">
        <v>0.33776322702366079</v>
      </c>
      <c r="AB4394" t="str">
        <f>HYPERLINK("Melting_Curves/meltCurve_Q86XP3_DDX42.pdf", "Melting_Curves/meltCurve_Q86XP3_DDX42.pdf")</f>
        <v>Melting_Curves/meltCurve_Q86XP3_DDX42.pdf</v>
      </c>
    </row>
    <row r="4395" spans="1:28" x14ac:dyDescent="0.25">
      <c r="A4395" t="s">
        <v>4399</v>
      </c>
      <c r="B4395">
        <v>0.99252571173614901</v>
      </c>
      <c r="C4395">
        <v>1.1762896482434599</v>
      </c>
      <c r="D4395">
        <v>0.98711298698265504</v>
      </c>
      <c r="E4395">
        <v>1.1404563455154999</v>
      </c>
      <c r="F4395">
        <v>0.84477182518871297</v>
      </c>
      <c r="G4395">
        <v>0.47336477512450997</v>
      </c>
      <c r="H4395">
        <v>0.421390865115567</v>
      </c>
      <c r="I4395">
        <v>0.470407832758098</v>
      </c>
      <c r="J4395">
        <v>0.81313876568976995</v>
      </c>
      <c r="K4395">
        <v>0.57530777282777201</v>
      </c>
      <c r="L4395">
        <v>13333.9869488405</v>
      </c>
      <c r="M4395">
        <v>250</v>
      </c>
      <c r="O4395">
        <v>53.332551292677003</v>
      </c>
      <c r="P4395">
        <v>-0.52650555288068202</v>
      </c>
      <c r="Q4395">
        <v>0.55072198957769902</v>
      </c>
      <c r="R4395">
        <v>0.79770868383135995</v>
      </c>
      <c r="S4395" t="s">
        <v>11041</v>
      </c>
      <c r="T4395" t="s">
        <v>13290</v>
      </c>
      <c r="U4395" t="s">
        <v>13290</v>
      </c>
      <c r="V4395" t="s">
        <v>13290</v>
      </c>
      <c r="W4395" t="s">
        <v>17637</v>
      </c>
      <c r="X4395">
        <v>1</v>
      </c>
      <c r="Y4395" t="s">
        <v>24128</v>
      </c>
      <c r="Z4395" t="s">
        <v>30725</v>
      </c>
      <c r="AA4395">
        <v>0.75048231344118788</v>
      </c>
      <c r="AB4395" t="str">
        <f>HYPERLINK("Melting_Curves/meltCurve_Q86XX4_FRAS1.pdf", "Melting_Curves/meltCurve_Q86XX4_FRAS1.pdf")</f>
        <v>Melting_Curves/meltCurve_Q86XX4_FRAS1.pdf</v>
      </c>
    </row>
    <row r="4396" spans="1:28" x14ac:dyDescent="0.25">
      <c r="A4396" t="s">
        <v>4400</v>
      </c>
      <c r="B4396">
        <v>0.99252571173614901</v>
      </c>
      <c r="C4396">
        <v>0.96270043217894696</v>
      </c>
      <c r="D4396">
        <v>0.71087971520721605</v>
      </c>
      <c r="E4396">
        <v>0.36581913790984999</v>
      </c>
      <c r="F4396">
        <v>0.15682027598992601</v>
      </c>
      <c r="G4396">
        <v>8.9129887816211895E-2</v>
      </c>
      <c r="H4396">
        <v>6.4276139644372496E-2</v>
      </c>
      <c r="I4396">
        <v>6.0644418547614799E-2</v>
      </c>
      <c r="J4396">
        <v>8.7530310912613499E-2</v>
      </c>
      <c r="K4396">
        <v>6.66554377029977E-2</v>
      </c>
      <c r="L4396">
        <v>1076.4851607821699</v>
      </c>
      <c r="M4396">
        <v>22.503480865326502</v>
      </c>
      <c r="N4396">
        <v>48.143897616081702</v>
      </c>
      <c r="O4396">
        <v>47.463434585670001</v>
      </c>
      <c r="P4396">
        <v>-0.110598308997993</v>
      </c>
      <c r="Q4396">
        <v>6.6941060704988203E-2</v>
      </c>
      <c r="R4396">
        <v>0.99863212480446695</v>
      </c>
      <c r="S4396" t="s">
        <v>11042</v>
      </c>
      <c r="T4396" t="s">
        <v>13290</v>
      </c>
      <c r="U4396" t="s">
        <v>13290</v>
      </c>
      <c r="V4396" t="s">
        <v>13290</v>
      </c>
      <c r="W4396" t="s">
        <v>17638</v>
      </c>
      <c r="X4396">
        <v>4</v>
      </c>
      <c r="Y4396" t="s">
        <v>24129</v>
      </c>
      <c r="Z4396" t="s">
        <v>30726</v>
      </c>
      <c r="AA4396">
        <v>0.32100468303571389</v>
      </c>
      <c r="AB4396" t="str">
        <f>HYPERLINK("Melting_Curves/meltCurve_Q86XZ4_SPATS2.pdf", "Melting_Curves/meltCurve_Q86XZ4_SPATS2.pdf")</f>
        <v>Melting_Curves/meltCurve_Q86XZ4_SPATS2.pdf</v>
      </c>
    </row>
    <row r="4397" spans="1:28" x14ac:dyDescent="0.25">
      <c r="A4397" t="s">
        <v>4401</v>
      </c>
      <c r="B4397">
        <v>0.99252571173614901</v>
      </c>
      <c r="C4397">
        <v>0.94105132918365397</v>
      </c>
      <c r="D4397">
        <v>0.77676432932795203</v>
      </c>
      <c r="E4397">
        <v>0.70555133387710001</v>
      </c>
      <c r="F4397">
        <v>0.32323198870361802</v>
      </c>
      <c r="G4397">
        <v>0.17057690331685499</v>
      </c>
      <c r="H4397">
        <v>0.13665730639799101</v>
      </c>
      <c r="I4397">
        <v>0.123506253022035</v>
      </c>
      <c r="J4397">
        <v>0.16482800387292099</v>
      </c>
      <c r="K4397">
        <v>9.7033456984162395E-2</v>
      </c>
      <c r="L4397">
        <v>876.31865504227403</v>
      </c>
      <c r="M4397">
        <v>17.388136554187099</v>
      </c>
      <c r="N4397">
        <v>51.0588099078863</v>
      </c>
      <c r="O4397">
        <v>49.745098885391101</v>
      </c>
      <c r="P4397">
        <v>-7.8579913367757895E-2</v>
      </c>
      <c r="Q4397">
        <v>0.100825119837605</v>
      </c>
      <c r="R4397">
        <v>0.98258866986317195</v>
      </c>
      <c r="S4397" t="s">
        <v>11043</v>
      </c>
      <c r="T4397" t="s">
        <v>13290</v>
      </c>
      <c r="U4397" t="s">
        <v>13290</v>
      </c>
      <c r="V4397" t="s">
        <v>13290</v>
      </c>
      <c r="W4397" t="s">
        <v>17639</v>
      </c>
      <c r="X4397">
        <v>4</v>
      </c>
      <c r="Y4397" t="s">
        <v>24130</v>
      </c>
      <c r="Z4397" t="s">
        <v>30727</v>
      </c>
      <c r="AA4397">
        <v>0.42873043930106541</v>
      </c>
      <c r="AB4397" t="str">
        <f>HYPERLINK("Melting_Curves/meltCurve_Q86Y07_VRK2.pdf", "Melting_Curves/meltCurve_Q86Y07_VRK2.pdf")</f>
        <v>Melting_Curves/meltCurve_Q86Y07_VRK2.pdf</v>
      </c>
    </row>
    <row r="4398" spans="1:28" x14ac:dyDescent="0.25">
      <c r="A4398" t="s">
        <v>4402</v>
      </c>
      <c r="B4398">
        <v>0.99252571173614901</v>
      </c>
      <c r="C4398">
        <v>0.83565260825014298</v>
      </c>
      <c r="D4398">
        <v>1.0224332082287</v>
      </c>
      <c r="E4398">
        <v>0.93147607901448404</v>
      </c>
      <c r="F4398">
        <v>0.93426360866381297</v>
      </c>
      <c r="G4398">
        <v>0.704780325545869</v>
      </c>
      <c r="H4398">
        <v>0.83781978262378398</v>
      </c>
      <c r="I4398">
        <v>0.93519282935311199</v>
      </c>
      <c r="J4398">
        <v>0.128443210366672</v>
      </c>
      <c r="K4398">
        <v>0.11605395658645</v>
      </c>
      <c r="L4398">
        <v>9297.1476078880405</v>
      </c>
      <c r="M4398">
        <v>142.733698712435</v>
      </c>
      <c r="N4398">
        <v>65.256466376882003</v>
      </c>
      <c r="O4398">
        <v>65.123534402440001</v>
      </c>
      <c r="P4398">
        <v>-0.48461953925947698</v>
      </c>
      <c r="Q4398">
        <v>0.115551921299218</v>
      </c>
      <c r="R4398">
        <v>0.85562108805122306</v>
      </c>
      <c r="S4398" t="s">
        <v>11044</v>
      </c>
      <c r="T4398" t="s">
        <v>13290</v>
      </c>
      <c r="U4398" t="s">
        <v>13290</v>
      </c>
      <c r="V4398" t="s">
        <v>13290</v>
      </c>
      <c r="W4398" t="s">
        <v>17640</v>
      </c>
      <c r="X4398">
        <v>4</v>
      </c>
      <c r="Y4398" t="s">
        <v>24130</v>
      </c>
      <c r="Z4398" t="s">
        <v>30728</v>
      </c>
      <c r="AA4398">
        <v>0.85692039512859719</v>
      </c>
      <c r="AB4398" t="str">
        <f>HYPERLINK("Melting_Curves/meltCurve_Q86Y07_4_VRK2.pdf", "Melting_Curves/meltCurve_Q86Y07_4_VRK2.pdf")</f>
        <v>Melting_Curves/meltCurve_Q86Y07_4_VRK2.pdf</v>
      </c>
    </row>
    <row r="4399" spans="1:28" x14ac:dyDescent="0.25">
      <c r="A4399" t="s">
        <v>4403</v>
      </c>
      <c r="B4399">
        <v>0.99252571173614901</v>
      </c>
      <c r="C4399">
        <v>1.0056709295395501</v>
      </c>
      <c r="D4399">
        <v>0.92840292378586398</v>
      </c>
      <c r="E4399">
        <v>0.84944193342315799</v>
      </c>
      <c r="F4399">
        <v>0.76947362752280901</v>
      </c>
      <c r="G4399">
        <v>0.65006586242881204</v>
      </c>
      <c r="H4399">
        <v>0.56622494644570998</v>
      </c>
      <c r="I4399">
        <v>0.73780067119172899</v>
      </c>
      <c r="J4399">
        <v>0.79725596697352696</v>
      </c>
      <c r="K4399">
        <v>0.61748468424779601</v>
      </c>
      <c r="L4399">
        <v>1089.4369876640401</v>
      </c>
      <c r="M4399">
        <v>21.8832265551208</v>
      </c>
      <c r="O4399">
        <v>49.373967538988403</v>
      </c>
      <c r="P4399">
        <v>-3.6183585505584197E-2</v>
      </c>
      <c r="Q4399">
        <v>0.67345099862676805</v>
      </c>
      <c r="R4399">
        <v>0.81779230909640399</v>
      </c>
      <c r="S4399" t="s">
        <v>11045</v>
      </c>
      <c r="T4399" t="s">
        <v>13290</v>
      </c>
      <c r="U4399" t="s">
        <v>13290</v>
      </c>
      <c r="V4399" t="s">
        <v>13290</v>
      </c>
      <c r="W4399" t="s">
        <v>17641</v>
      </c>
      <c r="X4399">
        <v>6</v>
      </c>
      <c r="Y4399" t="s">
        <v>24131</v>
      </c>
      <c r="Z4399" t="s">
        <v>30729</v>
      </c>
      <c r="AA4399">
        <v>0.78375710024671019</v>
      </c>
      <c r="AB4399" t="str">
        <f>HYPERLINK("Melting_Curves/meltCurve_Q86Y39_NDUFA11.pdf", "Melting_Curves/meltCurve_Q86Y39_NDUFA11.pdf")</f>
        <v>Melting_Curves/meltCurve_Q86Y39_NDUFA11.pdf</v>
      </c>
    </row>
    <row r="4400" spans="1:28" x14ac:dyDescent="0.25">
      <c r="A4400" t="s">
        <v>4404</v>
      </c>
      <c r="B4400">
        <v>0.99252571173614901</v>
      </c>
      <c r="C4400">
        <v>0.88378212162011704</v>
      </c>
      <c r="D4400">
        <v>0.32984190723850298</v>
      </c>
      <c r="E4400">
        <v>0.19128583921120601</v>
      </c>
      <c r="F4400">
        <v>0.10856413143233901</v>
      </c>
      <c r="G4400">
        <v>6.4455163245788705E-2</v>
      </c>
      <c r="H4400">
        <v>4.9297893317573498E-2</v>
      </c>
      <c r="I4400">
        <v>4.85012056790146E-2</v>
      </c>
      <c r="J4400">
        <v>6.0421881516472598E-2</v>
      </c>
      <c r="K4400">
        <v>5.4739053639448101E-2</v>
      </c>
      <c r="L4400">
        <v>1632.60573986907</v>
      </c>
      <c r="M4400">
        <v>36.3184915851228</v>
      </c>
      <c r="N4400">
        <v>45.154743625983002</v>
      </c>
      <c r="O4400">
        <v>44.816834574071301</v>
      </c>
      <c r="P4400">
        <v>-0.187384929659202</v>
      </c>
      <c r="Q4400">
        <v>7.5074673519995597E-2</v>
      </c>
      <c r="R4400">
        <v>0.98993534467129196</v>
      </c>
      <c r="S4400" t="s">
        <v>11046</v>
      </c>
      <c r="T4400" t="s">
        <v>13290</v>
      </c>
      <c r="U4400" t="s">
        <v>13290</v>
      </c>
      <c r="V4400" t="s">
        <v>13290</v>
      </c>
      <c r="W4400" t="s">
        <v>17642</v>
      </c>
      <c r="X4400">
        <v>22</v>
      </c>
      <c r="Y4400" t="s">
        <v>24132</v>
      </c>
      <c r="Z4400" t="s">
        <v>30730</v>
      </c>
      <c r="AA4400">
        <v>0.23157651305236601</v>
      </c>
      <c r="AB4400" t="str">
        <f>HYPERLINK("Melting_Curves/meltCurve_Q86Y56_HEATR2.pdf", "Melting_Curves/meltCurve_Q86Y56_HEATR2.pdf")</f>
        <v>Melting_Curves/meltCurve_Q86Y56_HEATR2.pdf</v>
      </c>
    </row>
    <row r="4401" spans="1:28" x14ac:dyDescent="0.25">
      <c r="A4401" t="s">
        <v>4405</v>
      </c>
      <c r="B4401">
        <v>0.99252571173614901</v>
      </c>
      <c r="C4401">
        <v>1.14067428847375</v>
      </c>
      <c r="D4401">
        <v>0.96188340823940699</v>
      </c>
      <c r="E4401">
        <v>0.94795037194632303</v>
      </c>
      <c r="F4401">
        <v>0.298487655925402</v>
      </c>
      <c r="G4401">
        <v>0.26594446314099501</v>
      </c>
      <c r="H4401">
        <v>0.27382831154600801</v>
      </c>
      <c r="I4401">
        <v>0.31423023023444502</v>
      </c>
      <c r="J4401">
        <v>0.35461265036589801</v>
      </c>
      <c r="K4401">
        <v>0.36507179534744699</v>
      </c>
      <c r="L4401">
        <v>12524.1426161195</v>
      </c>
      <c r="M4401">
        <v>250</v>
      </c>
      <c r="N4401">
        <v>50.293394312582997</v>
      </c>
      <c r="O4401">
        <v>50.093363956043198</v>
      </c>
      <c r="P4401">
        <v>-0.85836077382881304</v>
      </c>
      <c r="Q4401">
        <v>0.31202913335336002</v>
      </c>
      <c r="R4401">
        <v>0.97532875496652804</v>
      </c>
      <c r="S4401" t="s">
        <v>11047</v>
      </c>
      <c r="T4401" t="s">
        <v>13290</v>
      </c>
      <c r="U4401" t="s">
        <v>13290</v>
      </c>
      <c r="V4401" t="s">
        <v>13290</v>
      </c>
      <c r="W4401" t="s">
        <v>17643</v>
      </c>
      <c r="X4401">
        <v>3</v>
      </c>
      <c r="Y4401" t="s">
        <v>24133</v>
      </c>
      <c r="Z4401" t="s">
        <v>30731</v>
      </c>
      <c r="AA4401">
        <v>0.54362782994547854</v>
      </c>
      <c r="AB4401" t="str">
        <f>HYPERLINK("Melting_Curves/meltCurve_Q86Y79_PTRH1.pdf", "Melting_Curves/meltCurve_Q86Y79_PTRH1.pdf")</f>
        <v>Melting_Curves/meltCurve_Q86Y79_PTRH1.pdf</v>
      </c>
    </row>
    <row r="4402" spans="1:28" x14ac:dyDescent="0.25">
      <c r="A4402" t="s">
        <v>4406</v>
      </c>
      <c r="B4402">
        <v>0.99252571173614901</v>
      </c>
      <c r="C4402">
        <v>0.94192263530980802</v>
      </c>
      <c r="D4402">
        <v>0.88327055375002295</v>
      </c>
      <c r="E4402">
        <v>0.75500826399592502</v>
      </c>
      <c r="F4402">
        <v>0.63935417866487099</v>
      </c>
      <c r="G4402">
        <v>0.50854165761022896</v>
      </c>
      <c r="H4402">
        <v>0.40109163199555098</v>
      </c>
      <c r="I4402">
        <v>0.51220478112213297</v>
      </c>
      <c r="J4402">
        <v>0.68102943571761798</v>
      </c>
      <c r="K4402">
        <v>0.58878204711501803</v>
      </c>
      <c r="L4402">
        <v>989.11927170137403</v>
      </c>
      <c r="M4402">
        <v>20.252827009770499</v>
      </c>
      <c r="O4402">
        <v>48.369909892804998</v>
      </c>
      <c r="P4402">
        <v>-4.8414831288556399E-2</v>
      </c>
      <c r="Q4402">
        <v>0.53749697803335705</v>
      </c>
      <c r="R4402">
        <v>0.86052512181695195</v>
      </c>
      <c r="S4402" t="s">
        <v>11048</v>
      </c>
      <c r="T4402" t="s">
        <v>13290</v>
      </c>
      <c r="U4402" t="s">
        <v>13290</v>
      </c>
      <c r="V4402" t="s">
        <v>13290</v>
      </c>
      <c r="W4402" t="s">
        <v>17644</v>
      </c>
      <c r="X4402">
        <v>9</v>
      </c>
      <c r="Y4402" t="s">
        <v>24134</v>
      </c>
      <c r="Z4402" t="s">
        <v>30732</v>
      </c>
      <c r="AA4402">
        <v>0.68008353696546264</v>
      </c>
      <c r="AB4402" t="str">
        <f>HYPERLINK("Melting_Curves/meltCurve_Q86Y82_STX12.pdf", "Melting_Curves/meltCurve_Q86Y82_STX12.pdf")</f>
        <v>Melting_Curves/meltCurve_Q86Y82_STX12.pdf</v>
      </c>
    </row>
    <row r="4403" spans="1:28" x14ac:dyDescent="0.25">
      <c r="A4403" t="s">
        <v>4407</v>
      </c>
      <c r="B4403">
        <v>0.99252571173614901</v>
      </c>
      <c r="C4403">
        <v>1.08996822252582</v>
      </c>
      <c r="D4403">
        <v>0.96280306587904196</v>
      </c>
      <c r="E4403">
        <v>0.68759954208990504</v>
      </c>
      <c r="F4403">
        <v>0.339360355363377</v>
      </c>
      <c r="G4403">
        <v>0.21986247488487101</v>
      </c>
      <c r="H4403">
        <v>0.127839878231224</v>
      </c>
      <c r="I4403">
        <v>0.10982118059139399</v>
      </c>
      <c r="J4403">
        <v>0.132937012743123</v>
      </c>
      <c r="K4403">
        <v>0.12824847187003999</v>
      </c>
      <c r="L4403">
        <v>1307.4545915169899</v>
      </c>
      <c r="M4403">
        <v>25.700787852295399</v>
      </c>
      <c r="N4403">
        <v>51.460217322923398</v>
      </c>
      <c r="O4403">
        <v>50.567182838323902</v>
      </c>
      <c r="P4403">
        <v>-0.110896077086039</v>
      </c>
      <c r="Q4403">
        <v>0.12724345964480199</v>
      </c>
      <c r="R4403">
        <v>0.99201801963630099</v>
      </c>
      <c r="S4403" t="s">
        <v>11049</v>
      </c>
      <c r="T4403" t="s">
        <v>13290</v>
      </c>
      <c r="U4403" t="s">
        <v>13290</v>
      </c>
      <c r="V4403" t="s">
        <v>13290</v>
      </c>
      <c r="W4403" t="s">
        <v>17645</v>
      </c>
      <c r="X4403">
        <v>8</v>
      </c>
      <c r="Y4403" t="s">
        <v>24135</v>
      </c>
      <c r="Z4403" t="s">
        <v>30733</v>
      </c>
      <c r="AA4403">
        <v>0.4509898535916933</v>
      </c>
      <c r="AB4403" t="str">
        <f>HYPERLINK("Melting_Curves/meltCurve_Q86YB8_ERO1LB.pdf", "Melting_Curves/meltCurve_Q86YB8_ERO1LB.pdf")</f>
        <v>Melting_Curves/meltCurve_Q86YB8_ERO1LB.pdf</v>
      </c>
    </row>
    <row r="4404" spans="1:28" x14ac:dyDescent="0.25">
      <c r="A4404" t="s">
        <v>4408</v>
      </c>
      <c r="B4404">
        <v>0.99252571173614901</v>
      </c>
      <c r="C4404">
        <v>1.0283185101838599</v>
      </c>
      <c r="D4404">
        <v>0.93168831214174197</v>
      </c>
      <c r="E4404">
        <v>0.86257722301859396</v>
      </c>
      <c r="F4404">
        <v>0.63631917191309395</v>
      </c>
      <c r="G4404">
        <v>0.40725594475770799</v>
      </c>
      <c r="H4404">
        <v>0.202699372044572</v>
      </c>
      <c r="I4404">
        <v>8.5800286635070694E-2</v>
      </c>
      <c r="J4404">
        <v>9.3979060818079996E-2</v>
      </c>
      <c r="K4404">
        <v>9.1873717925653103E-2</v>
      </c>
      <c r="L4404">
        <v>908.36459357583999</v>
      </c>
      <c r="M4404">
        <v>16.5582356046962</v>
      </c>
      <c r="N4404">
        <v>55.162627752854299</v>
      </c>
      <c r="O4404">
        <v>54.077363777411001</v>
      </c>
      <c r="P4404">
        <v>-7.3217434919753396E-2</v>
      </c>
      <c r="Q4404">
        <v>4.3585409558585399E-2</v>
      </c>
      <c r="R4404">
        <v>0.99664293058919196</v>
      </c>
      <c r="S4404" t="s">
        <v>11050</v>
      </c>
      <c r="T4404" t="s">
        <v>13290</v>
      </c>
      <c r="U4404" t="s">
        <v>13290</v>
      </c>
      <c r="V4404" t="s">
        <v>13290</v>
      </c>
      <c r="W4404" t="s">
        <v>17646</v>
      </c>
      <c r="X4404">
        <v>13</v>
      </c>
      <c r="Y4404" t="s">
        <v>24136</v>
      </c>
      <c r="Z4404" t="s">
        <v>30734</v>
      </c>
      <c r="AA4404">
        <v>0.5338851326152797</v>
      </c>
      <c r="AB4404" t="str">
        <f>HYPERLINK("Melting_Curves/meltCurve_Q86YH6_PDSS2.pdf", "Melting_Curves/meltCurve_Q86YH6_PDSS2.pdf")</f>
        <v>Melting_Curves/meltCurve_Q86YH6_PDSS2.pdf</v>
      </c>
    </row>
    <row r="4405" spans="1:28" x14ac:dyDescent="0.25">
      <c r="A4405" t="s">
        <v>4409</v>
      </c>
      <c r="B4405">
        <v>0.99252571173614901</v>
      </c>
      <c r="C4405">
        <v>1.0546115631692501</v>
      </c>
      <c r="D4405">
        <v>0.95505264983392102</v>
      </c>
      <c r="E4405">
        <v>0.73870124578197205</v>
      </c>
      <c r="F4405">
        <v>0.39556616668182698</v>
      </c>
      <c r="G4405">
        <v>0.20179343310526701</v>
      </c>
      <c r="H4405">
        <v>0.123806720487035</v>
      </c>
      <c r="I4405">
        <v>0.124178521261765</v>
      </c>
      <c r="J4405">
        <v>0.14681092971790599</v>
      </c>
      <c r="K4405">
        <v>0.142283731787713</v>
      </c>
      <c r="L4405">
        <v>1294.9128525941901</v>
      </c>
      <c r="M4405">
        <v>25.209248968598601</v>
      </c>
      <c r="N4405">
        <v>51.982152427349298</v>
      </c>
      <c r="O4405">
        <v>51.046603492339898</v>
      </c>
      <c r="P4405">
        <v>-0.107531081356043</v>
      </c>
      <c r="Q4405">
        <v>0.12904559397676801</v>
      </c>
      <c r="R4405">
        <v>0.99662347410525298</v>
      </c>
      <c r="S4405" t="s">
        <v>11051</v>
      </c>
      <c r="T4405" t="s">
        <v>13290</v>
      </c>
      <c r="U4405" t="s">
        <v>13290</v>
      </c>
      <c r="V4405" t="s">
        <v>13290</v>
      </c>
      <c r="W4405" t="s">
        <v>17647</v>
      </c>
      <c r="X4405">
        <v>6</v>
      </c>
      <c r="Y4405" t="s">
        <v>24137</v>
      </c>
      <c r="Z4405" t="s">
        <v>30735</v>
      </c>
      <c r="AA4405">
        <v>0.46680979341045731</v>
      </c>
      <c r="AB4405" t="str">
        <f>HYPERLINK("Melting_Curves/meltCurve_Q86YM7_HOMER1.pdf", "Melting_Curves/meltCurve_Q86YM7_HOMER1.pdf")</f>
        <v>Melting_Curves/meltCurve_Q86YM7_HOMER1.pdf</v>
      </c>
    </row>
    <row r="4406" spans="1:28" x14ac:dyDescent="0.25">
      <c r="A4406" t="s">
        <v>4410</v>
      </c>
      <c r="B4406">
        <v>0.99252571173614901</v>
      </c>
      <c r="C4406">
        <v>0.93106950309401804</v>
      </c>
      <c r="D4406">
        <v>0.827073502382076</v>
      </c>
      <c r="E4406">
        <v>0.64736704818714397</v>
      </c>
      <c r="F4406">
        <v>0.61169688395696598</v>
      </c>
      <c r="G4406">
        <v>0.29750228774463999</v>
      </c>
      <c r="H4406">
        <v>0.226273041506795</v>
      </c>
      <c r="I4406">
        <v>0.21388450027955799</v>
      </c>
      <c r="J4406">
        <v>0.163128893502761</v>
      </c>
      <c r="K4406">
        <v>0.14384124677729801</v>
      </c>
      <c r="L4406">
        <v>583.26947647670295</v>
      </c>
      <c r="M4406">
        <v>11.100485776124501</v>
      </c>
      <c r="N4406">
        <v>53.428054096915901</v>
      </c>
      <c r="O4406">
        <v>50.925669468904999</v>
      </c>
      <c r="P4406">
        <v>-4.99403160143779E-2</v>
      </c>
      <c r="Q4406">
        <v>8.3853878725273306E-2</v>
      </c>
      <c r="R4406">
        <v>0.98251872694641296</v>
      </c>
      <c r="S4406" t="s">
        <v>11052</v>
      </c>
      <c r="T4406" t="s">
        <v>13290</v>
      </c>
      <c r="U4406" t="s">
        <v>13290</v>
      </c>
      <c r="V4406" t="s">
        <v>13290</v>
      </c>
      <c r="W4406" t="s">
        <v>17648</v>
      </c>
      <c r="X4406">
        <v>1</v>
      </c>
      <c r="Y4406" t="s">
        <v>24138</v>
      </c>
      <c r="Z4406" t="s">
        <v>30736</v>
      </c>
      <c r="AA4406">
        <v>0.49646436652657999</v>
      </c>
      <c r="AB4406" t="str">
        <f>HYPERLINK("Melting_Curves/meltCurve_Q86YN1_2_DOLPP1.pdf", "Melting_Curves/meltCurve_Q86YN1_2_DOLPP1.pdf")</f>
        <v>Melting_Curves/meltCurve_Q86YN1_2_DOLPP1.pdf</v>
      </c>
    </row>
    <row r="4407" spans="1:28" x14ac:dyDescent="0.25">
      <c r="A4407" t="s">
        <v>4411</v>
      </c>
      <c r="B4407">
        <v>0.99252571173614901</v>
      </c>
      <c r="C4407">
        <v>0.81828467539514205</v>
      </c>
      <c r="D4407">
        <v>0.78613626408133697</v>
      </c>
      <c r="E4407">
        <v>0.40594860941425898</v>
      </c>
      <c r="F4407">
        <v>0.24459746293412801</v>
      </c>
      <c r="G4407">
        <v>0.150088620058594</v>
      </c>
      <c r="H4407">
        <v>0.149263219436334</v>
      </c>
      <c r="I4407">
        <v>0.18981125879774099</v>
      </c>
      <c r="J4407">
        <v>0.26317394975589098</v>
      </c>
      <c r="K4407">
        <v>0.299772197434091</v>
      </c>
      <c r="L4407">
        <v>1066.9752690077401</v>
      </c>
      <c r="M4407">
        <v>22.5441419543065</v>
      </c>
      <c r="N4407">
        <v>48.447161365461199</v>
      </c>
      <c r="O4407">
        <v>46.960595948106601</v>
      </c>
      <c r="P4407">
        <v>-9.5662910322053596E-2</v>
      </c>
      <c r="Q4407">
        <v>0.20293329295704601</v>
      </c>
      <c r="R4407">
        <v>0.95746895582395297</v>
      </c>
      <c r="S4407" t="s">
        <v>11053</v>
      </c>
      <c r="T4407" t="s">
        <v>13290</v>
      </c>
      <c r="U4407" t="s">
        <v>13290</v>
      </c>
      <c r="V4407" t="s">
        <v>13290</v>
      </c>
      <c r="W4407" t="s">
        <v>17649</v>
      </c>
      <c r="X4407">
        <v>8</v>
      </c>
      <c r="Y4407" t="s">
        <v>24139</v>
      </c>
      <c r="Z4407" t="s">
        <v>30737</v>
      </c>
      <c r="AA4407">
        <v>0.40651006795885108</v>
      </c>
      <c r="AB4407" t="str">
        <f>HYPERLINK("Melting_Curves/meltCurve_Q86YP4_GATAD2A.pdf", "Melting_Curves/meltCurve_Q86YP4_GATAD2A.pdf")</f>
        <v>Melting_Curves/meltCurve_Q86YP4_GATAD2A.pdf</v>
      </c>
    </row>
    <row r="4408" spans="1:28" x14ac:dyDescent="0.25">
      <c r="A4408" t="s">
        <v>4412</v>
      </c>
      <c r="B4408">
        <v>0.99252571173614901</v>
      </c>
      <c r="C4408">
        <v>0.99016493330147304</v>
      </c>
      <c r="D4408">
        <v>0.99647020520473395</v>
      </c>
      <c r="E4408">
        <v>0.92346811876920498</v>
      </c>
      <c r="F4408">
        <v>0.45187270636015098</v>
      </c>
      <c r="G4408">
        <v>0.16276911162329999</v>
      </c>
      <c r="H4408">
        <v>0.100302535017512</v>
      </c>
      <c r="I4408">
        <v>9.6197946429407905E-2</v>
      </c>
      <c r="J4408">
        <v>0.11724839945024799</v>
      </c>
      <c r="K4408">
        <v>0.120313325881508</v>
      </c>
      <c r="L4408">
        <v>2045.0172270043699</v>
      </c>
      <c r="M4408">
        <v>38.8985407103049</v>
      </c>
      <c r="N4408">
        <v>52.9062080684146</v>
      </c>
      <c r="O4408">
        <v>52.434745517746897</v>
      </c>
      <c r="P4408">
        <v>-0.16531888922198301</v>
      </c>
      <c r="Q4408">
        <v>0.10861104421908201</v>
      </c>
      <c r="R4408">
        <v>0.99953330371343696</v>
      </c>
      <c r="S4408" t="s">
        <v>11054</v>
      </c>
      <c r="T4408" t="s">
        <v>13290</v>
      </c>
      <c r="U4408" t="s">
        <v>13290</v>
      </c>
      <c r="V4408" t="s">
        <v>13290</v>
      </c>
      <c r="W4408" t="s">
        <v>17650</v>
      </c>
      <c r="X4408">
        <v>11</v>
      </c>
      <c r="Y4408" t="s">
        <v>24140</v>
      </c>
      <c r="Z4408" t="s">
        <v>30738</v>
      </c>
      <c r="AA4408">
        <v>0.48561883799041838</v>
      </c>
      <c r="AB4408" t="str">
        <f>HYPERLINK("Melting_Curves/meltCurve_Q86YS7_C2CD5.pdf", "Melting_Curves/meltCurve_Q86YS7_C2CD5.pdf")</f>
        <v>Melting_Curves/meltCurve_Q86YS7_C2CD5.pdf</v>
      </c>
    </row>
    <row r="4409" spans="1:28" x14ac:dyDescent="0.25">
      <c r="A4409" t="s">
        <v>4413</v>
      </c>
      <c r="B4409">
        <v>0.99252571173614901</v>
      </c>
      <c r="C4409">
        <v>0.81623337223818604</v>
      </c>
      <c r="D4409">
        <v>0.79155410421803296</v>
      </c>
      <c r="E4409">
        <v>0.36018566188634699</v>
      </c>
      <c r="F4409">
        <v>8.1360388857191407E-2</v>
      </c>
      <c r="G4409">
        <v>6.3530962263819005E-2</v>
      </c>
      <c r="H4409">
        <v>4.6069073321073198E-2</v>
      </c>
      <c r="I4409">
        <v>6.7097449227340594E-2</v>
      </c>
      <c r="J4409">
        <v>6.3614276206880302E-2</v>
      </c>
      <c r="K4409">
        <v>7.7717972876896899E-2</v>
      </c>
      <c r="L4409">
        <v>1110.0109993332201</v>
      </c>
      <c r="M4409">
        <v>23.146734963466301</v>
      </c>
      <c r="N4409">
        <v>48.168774532523798</v>
      </c>
      <c r="O4409">
        <v>47.6017756332311</v>
      </c>
      <c r="P4409">
        <v>-0.115643046385282</v>
      </c>
      <c r="Q4409">
        <v>4.8727559363474698E-2</v>
      </c>
      <c r="R4409">
        <v>0.98248465088252301</v>
      </c>
      <c r="S4409" t="s">
        <v>11055</v>
      </c>
      <c r="T4409" t="s">
        <v>13290</v>
      </c>
      <c r="U4409" t="s">
        <v>13290</v>
      </c>
      <c r="V4409" t="s">
        <v>13290</v>
      </c>
      <c r="W4409" t="s">
        <v>17651</v>
      </c>
      <c r="X4409">
        <v>2</v>
      </c>
      <c r="Y4409" t="s">
        <v>24141</v>
      </c>
      <c r="Z4409" t="s">
        <v>30739</v>
      </c>
      <c r="AA4409">
        <v>0.31089501100509659</v>
      </c>
      <c r="AB4409" t="str">
        <f>HYPERLINK("Melting_Curves/meltCurve_Q86YT6_MIB1.pdf", "Melting_Curves/meltCurve_Q86YT6_MIB1.pdf")</f>
        <v>Melting_Curves/meltCurve_Q86YT6_MIB1.pdf</v>
      </c>
    </row>
    <row r="4410" spans="1:28" x14ac:dyDescent="0.25">
      <c r="A4410" t="s">
        <v>4414</v>
      </c>
      <c r="B4410">
        <v>0.99252571173614901</v>
      </c>
      <c r="C4410">
        <v>0.98050261059680599</v>
      </c>
      <c r="D4410">
        <v>0.83612785178594795</v>
      </c>
      <c r="E4410">
        <v>0.66029972450409902</v>
      </c>
      <c r="F4410">
        <v>0.34131119014029998</v>
      </c>
      <c r="G4410">
        <v>0.219457931315964</v>
      </c>
      <c r="H4410">
        <v>0.24331452198322701</v>
      </c>
      <c r="I4410">
        <v>0.29756352029606897</v>
      </c>
      <c r="J4410">
        <v>0.412973262620074</v>
      </c>
      <c r="K4410">
        <v>0.46187753997537501</v>
      </c>
      <c r="L4410">
        <v>1344.73159904252</v>
      </c>
      <c r="M4410">
        <v>27.4844475095185</v>
      </c>
      <c r="N4410">
        <v>50.824228139849197</v>
      </c>
      <c r="O4410">
        <v>48.670196714481897</v>
      </c>
      <c r="P4410">
        <v>-9.5891705245541206E-2</v>
      </c>
      <c r="Q4410">
        <v>0.32077602777295</v>
      </c>
      <c r="R4410">
        <v>0.92734534272692404</v>
      </c>
      <c r="S4410" t="s">
        <v>11056</v>
      </c>
      <c r="T4410" t="s">
        <v>13290</v>
      </c>
      <c r="U4410" t="s">
        <v>13290</v>
      </c>
      <c r="V4410" t="s">
        <v>13290</v>
      </c>
      <c r="W4410" t="s">
        <v>17652</v>
      </c>
      <c r="X4410">
        <v>5</v>
      </c>
      <c r="Y4410" t="s">
        <v>24142</v>
      </c>
      <c r="Z4410" t="s">
        <v>30740</v>
      </c>
      <c r="AA4410">
        <v>0.5278385737238368</v>
      </c>
      <c r="AB4410" t="str">
        <f>HYPERLINK("Melting_Curves/meltCurve_Q86YV5_SGK223.pdf", "Melting_Curves/meltCurve_Q86YV5_SGK223.pdf")</f>
        <v>Melting_Curves/meltCurve_Q86YV5_SGK223.pdf</v>
      </c>
    </row>
    <row r="4411" spans="1:28" x14ac:dyDescent="0.25">
      <c r="A4411" t="s">
        <v>4415</v>
      </c>
      <c r="B4411">
        <v>0.99252571173614901</v>
      </c>
      <c r="C4411">
        <v>0.61788264022846895</v>
      </c>
      <c r="D4411">
        <v>0.34370990106881</v>
      </c>
      <c r="E4411">
        <v>0.25041109995648297</v>
      </c>
      <c r="F4411">
        <v>0.206714221592977</v>
      </c>
      <c r="G4411">
        <v>0.123006179446528</v>
      </c>
      <c r="H4411">
        <v>9.1590480595809806E-2</v>
      </c>
      <c r="I4411">
        <v>9.1831628916503594E-2</v>
      </c>
      <c r="J4411">
        <v>4.76209390656561E-2</v>
      </c>
      <c r="K4411">
        <v>5.2854199732172098E-2</v>
      </c>
      <c r="L4411">
        <v>858.42537617908704</v>
      </c>
      <c r="M4411">
        <v>19.465690629609</v>
      </c>
      <c r="N4411">
        <v>44.595676506998103</v>
      </c>
      <c r="O4411">
        <v>43.641896827312003</v>
      </c>
      <c r="P4411">
        <v>-0.100652597706095</v>
      </c>
      <c r="Q4411">
        <v>9.7383944664352698E-2</v>
      </c>
      <c r="R4411">
        <v>0.96590899995575197</v>
      </c>
      <c r="S4411" t="s">
        <v>11057</v>
      </c>
      <c r="T4411" t="s">
        <v>13290</v>
      </c>
      <c r="U4411" t="s">
        <v>13290</v>
      </c>
      <c r="V4411" t="s">
        <v>13290</v>
      </c>
      <c r="W4411" t="s">
        <v>17653</v>
      </c>
      <c r="X4411">
        <v>1</v>
      </c>
      <c r="Y4411" t="s">
        <v>24143</v>
      </c>
      <c r="Z4411" t="s">
        <v>30741</v>
      </c>
      <c r="AA4411">
        <v>0.23909508143492819</v>
      </c>
      <c r="AB4411" t="str">
        <f>HYPERLINK("Melting_Curves/meltCurve_Q86YV9_HPS6.pdf", "Melting_Curves/meltCurve_Q86YV9_HPS6.pdf")</f>
        <v>Melting_Curves/meltCurve_Q86YV9_HPS6.pdf</v>
      </c>
    </row>
    <row r="4412" spans="1:28" x14ac:dyDescent="0.25">
      <c r="A4412" t="s">
        <v>4416</v>
      </c>
      <c r="B4412">
        <v>0.99252571173614901</v>
      </c>
      <c r="C4412">
        <v>0.68025810696533795</v>
      </c>
      <c r="D4412">
        <v>0.42500336879655398</v>
      </c>
      <c r="E4412">
        <v>0.25840588533521403</v>
      </c>
      <c r="F4412">
        <v>0.151700546012319</v>
      </c>
      <c r="G4412">
        <v>9.8187532010411804E-2</v>
      </c>
      <c r="H4412">
        <v>6.9421151010162302E-2</v>
      </c>
      <c r="I4412">
        <v>7.0401286247663494E-2</v>
      </c>
      <c r="J4412">
        <v>7.8864620912639696E-2</v>
      </c>
      <c r="K4412">
        <v>6.8902475074698502E-2</v>
      </c>
      <c r="L4412">
        <v>806.660542309932</v>
      </c>
      <c r="M4412">
        <v>17.955085239642301</v>
      </c>
      <c r="N4412">
        <v>45.348648089957699</v>
      </c>
      <c r="O4412">
        <v>44.380410165838299</v>
      </c>
      <c r="P4412">
        <v>-9.3364764139331799E-2</v>
      </c>
      <c r="Q4412">
        <v>7.6950065411976895E-2</v>
      </c>
      <c r="R4412">
        <v>0.987339726335276</v>
      </c>
      <c r="S4412" t="s">
        <v>11058</v>
      </c>
      <c r="T4412" t="s">
        <v>13290</v>
      </c>
      <c r="U4412" t="s">
        <v>13290</v>
      </c>
      <c r="V4412" t="s">
        <v>13290</v>
      </c>
      <c r="W4412" t="s">
        <v>17654</v>
      </c>
      <c r="X4412">
        <v>17</v>
      </c>
      <c r="Y4412" t="s">
        <v>24144</v>
      </c>
      <c r="Z4412" t="s">
        <v>30742</v>
      </c>
      <c r="AA4412">
        <v>0.24872121685229309</v>
      </c>
      <c r="AB4412" t="str">
        <f>HYPERLINK("Melting_Curves/meltCurve_Q8IU81_IRF2BP1.pdf", "Melting_Curves/meltCurve_Q8IU81_IRF2BP1.pdf")</f>
        <v>Melting_Curves/meltCurve_Q8IU81_IRF2BP1.pdf</v>
      </c>
    </row>
    <row r="4413" spans="1:28" x14ac:dyDescent="0.25">
      <c r="A4413" t="s">
        <v>4417</v>
      </c>
      <c r="B4413">
        <v>0.99252571173614901</v>
      </c>
      <c r="C4413">
        <v>0.79848960526075896</v>
      </c>
      <c r="D4413">
        <v>0.52477134127825198</v>
      </c>
      <c r="E4413">
        <v>0.23070874823381701</v>
      </c>
      <c r="F4413">
        <v>0.11254907557167</v>
      </c>
      <c r="G4413">
        <v>6.4227459865386999E-2</v>
      </c>
      <c r="H4413">
        <v>5.0121026544677698E-2</v>
      </c>
      <c r="I4413">
        <v>5.1715154450087203E-2</v>
      </c>
      <c r="J4413">
        <v>6.1194171565408503E-2</v>
      </c>
      <c r="K4413">
        <v>5.7843521097829802E-2</v>
      </c>
      <c r="L4413">
        <v>928.41785812339401</v>
      </c>
      <c r="M4413">
        <v>20.202156805578799</v>
      </c>
      <c r="N4413">
        <v>46.206837265202097</v>
      </c>
      <c r="O4413">
        <v>45.513182453023298</v>
      </c>
      <c r="P4413">
        <v>-0.105216973873553</v>
      </c>
      <c r="Q4413">
        <v>5.1861721674118497E-2</v>
      </c>
      <c r="R4413">
        <v>0.99817601382761001</v>
      </c>
      <c r="S4413" t="s">
        <v>11059</v>
      </c>
      <c r="T4413" t="s">
        <v>13290</v>
      </c>
      <c r="U4413" t="s">
        <v>13290</v>
      </c>
      <c r="V4413" t="s">
        <v>13290</v>
      </c>
      <c r="W4413" t="s">
        <v>17655</v>
      </c>
      <c r="X4413">
        <v>12</v>
      </c>
      <c r="Y4413" t="s">
        <v>24145</v>
      </c>
      <c r="Z4413" t="s">
        <v>30743</v>
      </c>
      <c r="AA4413">
        <v>0.254478048570355</v>
      </c>
      <c r="AB4413" t="str">
        <f>HYPERLINK("Melting_Curves/meltCurve_Q8IUC4_RHPN2.pdf", "Melting_Curves/meltCurve_Q8IUC4_RHPN2.pdf")</f>
        <v>Melting_Curves/meltCurve_Q8IUC4_RHPN2.pdf</v>
      </c>
    </row>
    <row r="4414" spans="1:28" x14ac:dyDescent="0.25">
      <c r="A4414" t="s">
        <v>4418</v>
      </c>
      <c r="B4414">
        <v>0.99252571173614901</v>
      </c>
      <c r="C4414">
        <v>0.98096701314013701</v>
      </c>
      <c r="D4414">
        <v>0.724794231415678</v>
      </c>
      <c r="E4414">
        <v>0.34594207997224902</v>
      </c>
      <c r="F4414">
        <v>0.217764767396805</v>
      </c>
      <c r="G4414">
        <v>0.12882134263922801</v>
      </c>
      <c r="H4414">
        <v>9.1647229977432604E-2</v>
      </c>
      <c r="I4414">
        <v>0.101806114387338</v>
      </c>
      <c r="J4414">
        <v>0.119671156918355</v>
      </c>
      <c r="K4414">
        <v>0.133249482708928</v>
      </c>
      <c r="L4414">
        <v>1171.24753431966</v>
      </c>
      <c r="M4414">
        <v>24.602308047118498</v>
      </c>
      <c r="N4414">
        <v>48.124283480525598</v>
      </c>
      <c r="O4414">
        <v>47.296012967588297</v>
      </c>
      <c r="P4414">
        <v>-0.11494190034004401</v>
      </c>
      <c r="Q4414">
        <v>0.11614514300626699</v>
      </c>
      <c r="R4414">
        <v>0.99631220367378803</v>
      </c>
      <c r="S4414" t="s">
        <v>11060</v>
      </c>
      <c r="T4414" t="s">
        <v>13290</v>
      </c>
      <c r="U4414" t="s">
        <v>13290</v>
      </c>
      <c r="V4414" t="s">
        <v>13290</v>
      </c>
      <c r="W4414" t="s">
        <v>17656</v>
      </c>
      <c r="X4414">
        <v>12</v>
      </c>
      <c r="Y4414" t="s">
        <v>24146</v>
      </c>
      <c r="Z4414" t="s">
        <v>30744</v>
      </c>
      <c r="AA4414">
        <v>0.3483703144790074</v>
      </c>
      <c r="AB4414" t="str">
        <f>HYPERLINK("Melting_Curves/meltCurve_Q8IUD2_2_ERC1.pdf", "Melting_Curves/meltCurve_Q8IUD2_2_ERC1.pdf")</f>
        <v>Melting_Curves/meltCurve_Q8IUD2_2_ERC1.pdf</v>
      </c>
    </row>
    <row r="4415" spans="1:28" x14ac:dyDescent="0.25">
      <c r="A4415" t="s">
        <v>4419</v>
      </c>
      <c r="B4415">
        <v>0.99252571173614901</v>
      </c>
      <c r="C4415">
        <v>0.97053425550024497</v>
      </c>
      <c r="D4415">
        <v>0.94397689046959998</v>
      </c>
      <c r="E4415">
        <v>0.68729320674588601</v>
      </c>
      <c r="F4415">
        <v>0.50900897228006303</v>
      </c>
      <c r="G4415">
        <v>0.28913465158913798</v>
      </c>
      <c r="H4415">
        <v>9.9380050850708099E-2</v>
      </c>
      <c r="I4415">
        <v>9.3149870579404506E-2</v>
      </c>
      <c r="J4415">
        <v>0.10596261772978401</v>
      </c>
      <c r="K4415">
        <v>9.6153779976095893E-2</v>
      </c>
      <c r="L4415">
        <v>850.27507480501299</v>
      </c>
      <c r="M4415">
        <v>16.212910425245699</v>
      </c>
      <c r="N4415">
        <v>52.861974521837901</v>
      </c>
      <c r="O4415">
        <v>51.665926089144598</v>
      </c>
      <c r="P4415">
        <v>-7.3740093079498706E-2</v>
      </c>
      <c r="Q4415">
        <v>6.0115320934975999E-2</v>
      </c>
      <c r="R4415">
        <v>0.99393908218363702</v>
      </c>
      <c r="S4415" t="s">
        <v>11061</v>
      </c>
      <c r="T4415" t="s">
        <v>13290</v>
      </c>
      <c r="U4415" t="s">
        <v>13290</v>
      </c>
      <c r="V4415" t="s">
        <v>13290</v>
      </c>
      <c r="W4415" t="s">
        <v>17657</v>
      </c>
      <c r="X4415">
        <v>13</v>
      </c>
      <c r="Y4415" t="s">
        <v>24147</v>
      </c>
      <c r="Z4415" t="s">
        <v>30745</v>
      </c>
      <c r="AA4415">
        <v>0.46837340704718589</v>
      </c>
      <c r="AB4415" t="str">
        <f>HYPERLINK("Melting_Curves/meltCurve_Q8IUF8_MINA.pdf", "Melting_Curves/meltCurve_Q8IUF8_MINA.pdf")</f>
        <v>Melting_Curves/meltCurve_Q8IUF8_MINA.pdf</v>
      </c>
    </row>
    <row r="4416" spans="1:28" x14ac:dyDescent="0.25">
      <c r="A4416" t="s">
        <v>4420</v>
      </c>
      <c r="B4416">
        <v>0.99252571173614901</v>
      </c>
      <c r="C4416">
        <v>0.90004822015335595</v>
      </c>
      <c r="D4416">
        <v>0.81059053456103902</v>
      </c>
      <c r="E4416">
        <v>0.61008892593768205</v>
      </c>
      <c r="F4416">
        <v>0.63887360584762298</v>
      </c>
      <c r="G4416">
        <v>0.404097812185504</v>
      </c>
      <c r="H4416">
        <v>0.431949736182699</v>
      </c>
      <c r="I4416">
        <v>0.52361574407857603</v>
      </c>
      <c r="J4416">
        <v>0.16692613955647301</v>
      </c>
      <c r="K4416">
        <v>0.110166470765643</v>
      </c>
      <c r="L4416">
        <v>368.00604658337301</v>
      </c>
      <c r="M4416">
        <v>6.5463923661112204</v>
      </c>
      <c r="N4416">
        <v>56.215091608043402</v>
      </c>
      <c r="O4416">
        <v>51.661462476341001</v>
      </c>
      <c r="P4416">
        <v>-3.1754264771716299E-2</v>
      </c>
      <c r="Q4416">
        <v>0</v>
      </c>
      <c r="R4416">
        <v>0.88540731509314596</v>
      </c>
      <c r="S4416" t="s">
        <v>11062</v>
      </c>
      <c r="T4416" t="s">
        <v>13290</v>
      </c>
      <c r="U4416" t="s">
        <v>13290</v>
      </c>
      <c r="V4416" t="s">
        <v>13290</v>
      </c>
      <c r="W4416" t="s">
        <v>17658</v>
      </c>
      <c r="X4416">
        <v>12</v>
      </c>
      <c r="Y4416" t="s">
        <v>24147</v>
      </c>
      <c r="Z4416" t="s">
        <v>30746</v>
      </c>
      <c r="AA4416">
        <v>0.55505138064636028</v>
      </c>
      <c r="AB4416" t="str">
        <f>HYPERLINK("Melting_Curves/meltCurve_Q8IUF8_4_MINA.pdf", "Melting_Curves/meltCurve_Q8IUF8_4_MINA.pdf")</f>
        <v>Melting_Curves/meltCurve_Q8IUF8_4_MINA.pdf</v>
      </c>
    </row>
    <row r="4417" spans="1:28" x14ac:dyDescent="0.25">
      <c r="A4417" t="s">
        <v>4421</v>
      </c>
      <c r="B4417">
        <v>0.99252571173614901</v>
      </c>
      <c r="C4417">
        <v>0.872857943197209</v>
      </c>
      <c r="D4417">
        <v>0.76988944823128402</v>
      </c>
      <c r="E4417">
        <v>0.55057406778965401</v>
      </c>
      <c r="F4417">
        <v>0.29470767971383</v>
      </c>
      <c r="G4417">
        <v>0.15986119781788999</v>
      </c>
      <c r="H4417">
        <v>0.128550198996813</v>
      </c>
      <c r="I4417">
        <v>0.15458858615877999</v>
      </c>
      <c r="J4417">
        <v>0.16018789005324699</v>
      </c>
      <c r="K4417">
        <v>0.145848281333012</v>
      </c>
      <c r="L4417">
        <v>811.81752238292495</v>
      </c>
      <c r="M4417">
        <v>16.600027881648501</v>
      </c>
      <c r="N4417">
        <v>49.754924159595198</v>
      </c>
      <c r="O4417">
        <v>48.211405047983902</v>
      </c>
      <c r="P4417">
        <v>-7.5453276006485395E-2</v>
      </c>
      <c r="Q4417">
        <v>0.123504686305551</v>
      </c>
      <c r="R4417">
        <v>0.992322573365087</v>
      </c>
      <c r="S4417" t="s">
        <v>11063</v>
      </c>
      <c r="T4417" t="s">
        <v>13290</v>
      </c>
      <c r="U4417" t="s">
        <v>13290</v>
      </c>
      <c r="V4417" t="s">
        <v>13290</v>
      </c>
      <c r="W4417" t="s">
        <v>17659</v>
      </c>
      <c r="X4417">
        <v>2</v>
      </c>
      <c r="Y4417" t="s">
        <v>24148</v>
      </c>
      <c r="Z4417" t="s">
        <v>30747</v>
      </c>
      <c r="AA4417">
        <v>0.4015237690123768</v>
      </c>
      <c r="AB4417" t="str">
        <f>HYPERLINK("Melting_Curves/meltCurve_Q8IUH4_ZDHHC13.pdf", "Melting_Curves/meltCurve_Q8IUH4_ZDHHC13.pdf")</f>
        <v>Melting_Curves/meltCurve_Q8IUH4_ZDHHC13.pdf</v>
      </c>
    </row>
    <row r="4418" spans="1:28" x14ac:dyDescent="0.25">
      <c r="A4418" t="s">
        <v>4422</v>
      </c>
      <c r="B4418">
        <v>0.99252571173614901</v>
      </c>
      <c r="C4418">
        <v>1.0429536605249199</v>
      </c>
      <c r="D4418">
        <v>0.81168908350445401</v>
      </c>
      <c r="E4418">
        <v>0.30310375753513802</v>
      </c>
      <c r="F4418">
        <v>0.159772730407653</v>
      </c>
      <c r="G4418">
        <v>8.0896509580810697E-2</v>
      </c>
      <c r="H4418">
        <v>5.5725899047049797E-2</v>
      </c>
      <c r="I4418">
        <v>6.4943034173577496E-2</v>
      </c>
      <c r="J4418">
        <v>8.3452166820391097E-2</v>
      </c>
      <c r="K4418">
        <v>8.1131768304860699E-2</v>
      </c>
      <c r="L4418">
        <v>1575.50417085752</v>
      </c>
      <c r="M4418">
        <v>32.845824518751598</v>
      </c>
      <c r="N4418">
        <v>48.2199568724592</v>
      </c>
      <c r="O4418">
        <v>47.789899771199302</v>
      </c>
      <c r="P4418">
        <v>-0.15820971751257601</v>
      </c>
      <c r="Q4418">
        <v>7.9238602706958303E-2</v>
      </c>
      <c r="R4418">
        <v>0.99548850930889898</v>
      </c>
      <c r="S4418" t="s">
        <v>11064</v>
      </c>
      <c r="T4418" t="s">
        <v>13290</v>
      </c>
      <c r="U4418" t="s">
        <v>13290</v>
      </c>
      <c r="V4418" t="s">
        <v>13290</v>
      </c>
      <c r="W4418" t="s">
        <v>17660</v>
      </c>
      <c r="X4418">
        <v>8</v>
      </c>
      <c r="Y4418" t="s">
        <v>24149</v>
      </c>
      <c r="Z4418" t="s">
        <v>30748</v>
      </c>
      <c r="AA4418">
        <v>0.32833938380703548</v>
      </c>
      <c r="AB4418" t="str">
        <f>HYPERLINK("Melting_Curves/meltCurve_Q8IUI8_CRLF3.pdf", "Melting_Curves/meltCurve_Q8IUI8_CRLF3.pdf")</f>
        <v>Melting_Curves/meltCurve_Q8IUI8_CRLF3.pdf</v>
      </c>
    </row>
    <row r="4419" spans="1:28" x14ac:dyDescent="0.25">
      <c r="A4419" t="s">
        <v>4423</v>
      </c>
      <c r="B4419">
        <v>0.99252571173614901</v>
      </c>
      <c r="C4419">
        <v>1.0078253482727999</v>
      </c>
      <c r="D4419">
        <v>0.85739232086849204</v>
      </c>
      <c r="E4419">
        <v>0.51824172198575003</v>
      </c>
      <c r="F4419">
        <v>0.30321153236028803</v>
      </c>
      <c r="G4419">
        <v>0.106424911528733</v>
      </c>
      <c r="H4419">
        <v>0.106261454531691</v>
      </c>
      <c r="I4419">
        <v>0.12358660306052</v>
      </c>
      <c r="J4419">
        <v>8.2398475145696606E-2</v>
      </c>
      <c r="K4419">
        <v>8.1886881628143102E-2</v>
      </c>
      <c r="L4419">
        <v>1065.60012219487</v>
      </c>
      <c r="M4419">
        <v>21.491581124479801</v>
      </c>
      <c r="N4419">
        <v>50.035385139564298</v>
      </c>
      <c r="O4419">
        <v>49.1589172167646</v>
      </c>
      <c r="P4419">
        <v>-9.9632876785747698E-2</v>
      </c>
      <c r="Q4419">
        <v>8.8438452224774394E-2</v>
      </c>
      <c r="R4419">
        <v>0.99548025532724804</v>
      </c>
      <c r="S4419" t="s">
        <v>11065</v>
      </c>
      <c r="T4419" t="s">
        <v>13290</v>
      </c>
      <c r="U4419" t="s">
        <v>13290</v>
      </c>
      <c r="V4419" t="s">
        <v>13290</v>
      </c>
      <c r="W4419" t="s">
        <v>17661</v>
      </c>
      <c r="X4419">
        <v>3</v>
      </c>
      <c r="Y4419" t="s">
        <v>24150</v>
      </c>
      <c r="Z4419" t="s">
        <v>30749</v>
      </c>
      <c r="AA4419">
        <v>0.39061195510496638</v>
      </c>
      <c r="AB4419" t="str">
        <f>HYPERLINK("Melting_Curves/meltCurve_Q8IUR0_TRAPPC5.pdf", "Melting_Curves/meltCurve_Q8IUR0_TRAPPC5.pdf")</f>
        <v>Melting_Curves/meltCurve_Q8IUR0_TRAPPC5.pdf</v>
      </c>
    </row>
    <row r="4420" spans="1:28" x14ac:dyDescent="0.25">
      <c r="A4420" t="s">
        <v>4424</v>
      </c>
      <c r="B4420">
        <v>0.99252571173614901</v>
      </c>
      <c r="C4420">
        <v>0.94537017671509704</v>
      </c>
      <c r="D4420">
        <v>0.88412712779607805</v>
      </c>
      <c r="E4420">
        <v>0.69581694720739395</v>
      </c>
      <c r="F4420">
        <v>0.59436002878531802</v>
      </c>
      <c r="G4420">
        <v>0.38590514143273102</v>
      </c>
      <c r="H4420">
        <v>0.27513271888575103</v>
      </c>
      <c r="I4420">
        <v>0.41414522695767098</v>
      </c>
      <c r="J4420">
        <v>0.35189000760682798</v>
      </c>
      <c r="K4420">
        <v>0.23585357259817399</v>
      </c>
      <c r="L4420">
        <v>728.61825715438601</v>
      </c>
      <c r="M4420">
        <v>14.2570133048852</v>
      </c>
      <c r="N4420">
        <v>54.279825750355897</v>
      </c>
      <c r="O4420">
        <v>50.132035153054403</v>
      </c>
      <c r="P4420">
        <v>-5.09995655079813E-2</v>
      </c>
      <c r="Q4420">
        <v>0.282768001581228</v>
      </c>
      <c r="R4420">
        <v>0.96656872446956998</v>
      </c>
      <c r="S4420" t="s">
        <v>11066</v>
      </c>
      <c r="T4420" t="s">
        <v>13290</v>
      </c>
      <c r="U4420" t="s">
        <v>13290</v>
      </c>
      <c r="V4420" t="s">
        <v>13290</v>
      </c>
      <c r="W4420" t="s">
        <v>17662</v>
      </c>
      <c r="X4420">
        <v>5</v>
      </c>
      <c r="Y4420" t="s">
        <v>24151</v>
      </c>
      <c r="Z4420" t="s">
        <v>30750</v>
      </c>
      <c r="AA4420">
        <v>0.56621594641353801</v>
      </c>
      <c r="AB4420" t="str">
        <f>HYPERLINK("Melting_Curves/meltCurve_Q8IUW5_RELL1.pdf", "Melting_Curves/meltCurve_Q8IUW5_RELL1.pdf")</f>
        <v>Melting_Curves/meltCurve_Q8IUW5_RELL1.pdf</v>
      </c>
    </row>
    <row r="4421" spans="1:28" x14ac:dyDescent="0.25">
      <c r="A4421" t="s">
        <v>4425</v>
      </c>
      <c r="B4421">
        <v>0.99252571173614901</v>
      </c>
      <c r="C4421">
        <v>0.922802695566316</v>
      </c>
      <c r="D4421">
        <v>0.925006639877475</v>
      </c>
      <c r="E4421">
        <v>0.90240312563063296</v>
      </c>
      <c r="F4421">
        <v>1.07578270679763</v>
      </c>
      <c r="G4421">
        <v>0.76379624222930398</v>
      </c>
      <c r="H4421">
        <v>0.52344749500187704</v>
      </c>
      <c r="I4421">
        <v>0.35230909824520301</v>
      </c>
      <c r="J4421">
        <v>0.33951742875087598</v>
      </c>
      <c r="K4421">
        <v>0.310519562942974</v>
      </c>
      <c r="L4421">
        <v>1710.2351368965799</v>
      </c>
      <c r="M4421">
        <v>29.1537880875158</v>
      </c>
      <c r="N4421">
        <v>60.707997301085499</v>
      </c>
      <c r="O4421">
        <v>58.388594527347102</v>
      </c>
      <c r="P4421">
        <v>-8.5784667606365606E-2</v>
      </c>
      <c r="Q4421">
        <v>0.31277397694509401</v>
      </c>
      <c r="R4421">
        <v>0.95574521651961097</v>
      </c>
      <c r="S4421" t="s">
        <v>11067</v>
      </c>
      <c r="T4421" t="s">
        <v>13290</v>
      </c>
      <c r="U4421" t="s">
        <v>13290</v>
      </c>
      <c r="V4421" t="s">
        <v>13290</v>
      </c>
      <c r="W4421" t="s">
        <v>17663</v>
      </c>
      <c r="X4421">
        <v>3</v>
      </c>
      <c r="Y4421" t="s">
        <v>24152</v>
      </c>
      <c r="Z4421" t="s">
        <v>30751</v>
      </c>
      <c r="AA4421">
        <v>0.74493981529880549</v>
      </c>
      <c r="AB4421" t="str">
        <f>HYPERLINK("Melting_Curves/meltCurve_Q8IUX1_4_TMEM126B.pdf", "Melting_Curves/meltCurve_Q8IUX1_4_TMEM126B.pdf")</f>
        <v>Melting_Curves/meltCurve_Q8IUX1_4_TMEM126B.pdf</v>
      </c>
    </row>
    <row r="4422" spans="1:28" x14ac:dyDescent="0.25">
      <c r="A4422" t="s">
        <v>4426</v>
      </c>
      <c r="B4422">
        <v>0.99252571173614901</v>
      </c>
      <c r="C4422">
        <v>0.98675078668968397</v>
      </c>
      <c r="D4422">
        <v>0.94267487932659899</v>
      </c>
      <c r="E4422">
        <v>0.94174706214422899</v>
      </c>
      <c r="F4422">
        <v>0.78138678122488703</v>
      </c>
      <c r="G4422">
        <v>0.64336258717499695</v>
      </c>
      <c r="H4422">
        <v>0.639351959624465</v>
      </c>
      <c r="I4422">
        <v>0.46890368154595202</v>
      </c>
      <c r="J4422">
        <v>0.52178043964950305</v>
      </c>
      <c r="K4422">
        <v>0.47072246179947802</v>
      </c>
      <c r="L4422">
        <v>753.04322183299496</v>
      </c>
      <c r="M4422">
        <v>13.636777451966701</v>
      </c>
      <c r="N4422">
        <v>66.556455555352699</v>
      </c>
      <c r="O4422">
        <v>54.074588216840198</v>
      </c>
      <c r="P4422">
        <v>-3.46185385167017E-2</v>
      </c>
      <c r="Q4422">
        <v>0.45098209004922102</v>
      </c>
      <c r="R4422">
        <v>0.97296611112521303</v>
      </c>
      <c r="S4422" t="s">
        <v>11068</v>
      </c>
      <c r="T4422" t="s">
        <v>13290</v>
      </c>
      <c r="U4422" t="s">
        <v>13290</v>
      </c>
      <c r="V4422" t="s">
        <v>13290</v>
      </c>
      <c r="W4422" t="s">
        <v>17664</v>
      </c>
      <c r="X4422">
        <v>8</v>
      </c>
      <c r="Y4422" t="s">
        <v>24153</v>
      </c>
      <c r="Z4422" t="s">
        <v>30752</v>
      </c>
      <c r="AA4422">
        <v>0.74093267186805145</v>
      </c>
      <c r="AB4422" t="str">
        <f>HYPERLINK("Melting_Curves/meltCurve_Q8IUZ5_AGXT2L2.pdf", "Melting_Curves/meltCurve_Q8IUZ5_AGXT2L2.pdf")</f>
        <v>Melting_Curves/meltCurve_Q8IUZ5_AGXT2L2.pdf</v>
      </c>
    </row>
    <row r="4423" spans="1:28" x14ac:dyDescent="0.25">
      <c r="A4423" t="s">
        <v>4427</v>
      </c>
      <c r="B4423">
        <v>0.99252571173614901</v>
      </c>
      <c r="C4423">
        <v>1.02534089605598</v>
      </c>
      <c r="D4423">
        <v>0.96532406266202797</v>
      </c>
      <c r="E4423">
        <v>0.96442524690838805</v>
      </c>
      <c r="F4423">
        <v>0.81469072957563204</v>
      </c>
      <c r="G4423">
        <v>0.59909897487022001</v>
      </c>
      <c r="H4423">
        <v>0.38059102568005898</v>
      </c>
      <c r="I4423">
        <v>0.170872437388111</v>
      </c>
      <c r="J4423">
        <v>0.19033089039673701</v>
      </c>
      <c r="K4423">
        <v>0.18208804373467899</v>
      </c>
      <c r="L4423">
        <v>1075.1797963900101</v>
      </c>
      <c r="M4423">
        <v>18.797099602422499</v>
      </c>
      <c r="N4423">
        <v>58.140279897893997</v>
      </c>
      <c r="O4423">
        <v>56.563654389356202</v>
      </c>
      <c r="P4423">
        <v>-7.21857472033446E-2</v>
      </c>
      <c r="Q4423">
        <v>0.13115960317943801</v>
      </c>
      <c r="R4423">
        <v>0.99361179312868397</v>
      </c>
      <c r="S4423" t="s">
        <v>11069</v>
      </c>
      <c r="T4423" t="s">
        <v>13290</v>
      </c>
      <c r="U4423" t="s">
        <v>13290</v>
      </c>
      <c r="V4423" t="s">
        <v>13290</v>
      </c>
      <c r="W4423" t="s">
        <v>17665</v>
      </c>
      <c r="X4423">
        <v>10</v>
      </c>
      <c r="Y4423" t="s">
        <v>24154</v>
      </c>
      <c r="Z4423" t="s">
        <v>30753</v>
      </c>
      <c r="AA4423">
        <v>0.64050148645481897</v>
      </c>
      <c r="AB4423" t="str">
        <f>HYPERLINK("Melting_Curves/meltCurve_Q8IV08_PLD3.pdf", "Melting_Curves/meltCurve_Q8IV08_PLD3.pdf")</f>
        <v>Melting_Curves/meltCurve_Q8IV08_PLD3.pdf</v>
      </c>
    </row>
    <row r="4424" spans="1:28" x14ac:dyDescent="0.25">
      <c r="A4424" t="s">
        <v>4428</v>
      </c>
      <c r="B4424">
        <v>0.99252571173614901</v>
      </c>
      <c r="C4424">
        <v>1.0595208733975101</v>
      </c>
      <c r="D4424">
        <v>0.94331148318914204</v>
      </c>
      <c r="E4424">
        <v>0.81175278539776796</v>
      </c>
      <c r="F4424">
        <v>0.57633162234025503</v>
      </c>
      <c r="G4424">
        <v>0.34423987588967497</v>
      </c>
      <c r="H4424">
        <v>0.15545128470380701</v>
      </c>
      <c r="I4424">
        <v>0.143895961629664</v>
      </c>
      <c r="J4424">
        <v>0.2178212892318</v>
      </c>
      <c r="K4424">
        <v>0.20389582529759201</v>
      </c>
      <c r="L4424">
        <v>1107.2860861639999</v>
      </c>
      <c r="M4424">
        <v>20.933016768342299</v>
      </c>
      <c r="N4424">
        <v>53.924917048556999</v>
      </c>
      <c r="O4424">
        <v>52.420987652951098</v>
      </c>
      <c r="P4424">
        <v>-8.3405204461752605E-2</v>
      </c>
      <c r="Q4424">
        <v>0.16456104143487099</v>
      </c>
      <c r="R4424">
        <v>0.98851941500606</v>
      </c>
      <c r="S4424" t="s">
        <v>11070</v>
      </c>
      <c r="T4424" t="s">
        <v>13290</v>
      </c>
      <c r="U4424" t="s">
        <v>13290</v>
      </c>
      <c r="V4424" t="s">
        <v>13290</v>
      </c>
      <c r="W4424" t="s">
        <v>17666</v>
      </c>
      <c r="X4424">
        <v>4</v>
      </c>
      <c r="Y4424" t="s">
        <v>24155</v>
      </c>
      <c r="Z4424" t="s">
        <v>30754</v>
      </c>
      <c r="AA4424">
        <v>0.53433099080852109</v>
      </c>
      <c r="AB4424" t="str">
        <f>HYPERLINK("Melting_Curves/meltCurve_Q8IV20_LACC1.pdf", "Melting_Curves/meltCurve_Q8IV20_LACC1.pdf")</f>
        <v>Melting_Curves/meltCurve_Q8IV20_LACC1.pdf</v>
      </c>
    </row>
    <row r="4425" spans="1:28" x14ac:dyDescent="0.25">
      <c r="A4425" t="s">
        <v>4429</v>
      </c>
      <c r="B4425">
        <v>0.99252571173614901</v>
      </c>
      <c r="C4425">
        <v>1.0081801391760401</v>
      </c>
      <c r="D4425">
        <v>0.94170974283494602</v>
      </c>
      <c r="E4425">
        <v>0.70242912201101604</v>
      </c>
      <c r="F4425">
        <v>0.22339151734309301</v>
      </c>
      <c r="G4425">
        <v>9.7211178246664295E-2</v>
      </c>
      <c r="H4425">
        <v>7.2299405482471199E-2</v>
      </c>
      <c r="I4425">
        <v>7.7614412591538506E-2</v>
      </c>
      <c r="J4425">
        <v>9.9396954771187707E-2</v>
      </c>
      <c r="K4425">
        <v>8.6076936062596796E-2</v>
      </c>
      <c r="L4425">
        <v>1726.1903664255899</v>
      </c>
      <c r="M4425">
        <v>34.103246361406399</v>
      </c>
      <c r="N4425">
        <v>50.879853445720201</v>
      </c>
      <c r="O4425">
        <v>50.443505855945602</v>
      </c>
      <c r="P4425">
        <v>-0.155347630689294</v>
      </c>
      <c r="Q4425">
        <v>8.0879468788828193E-2</v>
      </c>
      <c r="R4425">
        <v>0.99898911925401102</v>
      </c>
      <c r="S4425" t="s">
        <v>11071</v>
      </c>
      <c r="T4425" t="s">
        <v>13290</v>
      </c>
      <c r="U4425" t="s">
        <v>13290</v>
      </c>
      <c r="V4425" t="s">
        <v>13290</v>
      </c>
      <c r="W4425" t="s">
        <v>17667</v>
      </c>
      <c r="X4425">
        <v>8</v>
      </c>
      <c r="Y4425" t="s">
        <v>24156</v>
      </c>
      <c r="Z4425" t="s">
        <v>30755</v>
      </c>
      <c r="AA4425">
        <v>0.41057983337203752</v>
      </c>
      <c r="AB4425" t="str">
        <f>HYPERLINK("Melting_Curves/meltCurve_Q8IV36_2_HID1.pdf", "Melting_Curves/meltCurve_Q8IV36_2_HID1.pdf")</f>
        <v>Melting_Curves/meltCurve_Q8IV36_2_HID1.pdf</v>
      </c>
    </row>
    <row r="4426" spans="1:28" x14ac:dyDescent="0.25">
      <c r="A4426" t="s">
        <v>4430</v>
      </c>
      <c r="B4426">
        <v>0.99252571173614901</v>
      </c>
      <c r="C4426">
        <v>1.0910274423167099</v>
      </c>
      <c r="D4426">
        <v>0.94431664150442096</v>
      </c>
      <c r="E4426">
        <v>0.68726296015100896</v>
      </c>
      <c r="F4426">
        <v>0.23712315793852201</v>
      </c>
      <c r="G4426">
        <v>0.164682664817796</v>
      </c>
      <c r="H4426">
        <v>8.0886500035723605E-2</v>
      </c>
      <c r="I4426">
        <v>7.2324325017243896E-2</v>
      </c>
      <c r="J4426">
        <v>7.7995644566325004E-2</v>
      </c>
      <c r="K4426">
        <v>8.0388354867608397E-2</v>
      </c>
      <c r="L4426">
        <v>1543.07123191592</v>
      </c>
      <c r="M4426">
        <v>30.482645265693801</v>
      </c>
      <c r="N4426">
        <v>50.930509388366403</v>
      </c>
      <c r="O4426">
        <v>50.4049363287821</v>
      </c>
      <c r="P4426">
        <v>-0.138418022052582</v>
      </c>
      <c r="Q4426">
        <v>8.4474568747763004E-2</v>
      </c>
      <c r="R4426">
        <v>0.99273243925826604</v>
      </c>
      <c r="S4426" t="s">
        <v>11072</v>
      </c>
      <c r="T4426" t="s">
        <v>13290</v>
      </c>
      <c r="U4426" t="s">
        <v>13290</v>
      </c>
      <c r="V4426" t="s">
        <v>13290</v>
      </c>
      <c r="W4426" t="s">
        <v>17668</v>
      </c>
      <c r="X4426">
        <v>9</v>
      </c>
      <c r="Y4426" t="s">
        <v>24157</v>
      </c>
      <c r="Z4426" t="s">
        <v>30756</v>
      </c>
      <c r="AA4426">
        <v>0.41415021159252807</v>
      </c>
      <c r="AB4426" t="str">
        <f>HYPERLINK("Melting_Curves/meltCurve_Q8IV38_ANKMY2.pdf", "Melting_Curves/meltCurve_Q8IV38_ANKMY2.pdf")</f>
        <v>Melting_Curves/meltCurve_Q8IV38_ANKMY2.pdf</v>
      </c>
    </row>
    <row r="4427" spans="1:28" x14ac:dyDescent="0.25">
      <c r="A4427" t="s">
        <v>4431</v>
      </c>
      <c r="B4427">
        <v>0.99252571173614901</v>
      </c>
      <c r="C4427">
        <v>0.94717281034034195</v>
      </c>
      <c r="D4427">
        <v>0.66637669552081702</v>
      </c>
      <c r="E4427">
        <v>0.59908180290115298</v>
      </c>
      <c r="F4427">
        <v>0.26736490845807798</v>
      </c>
      <c r="G4427">
        <v>0.141571235938941</v>
      </c>
      <c r="H4427">
        <v>8.7401676540952197E-2</v>
      </c>
      <c r="I4427">
        <v>6.04053042003624E-2</v>
      </c>
      <c r="J4427">
        <v>0.102946533906269</v>
      </c>
      <c r="K4427">
        <v>9.8733067379102799E-2</v>
      </c>
      <c r="L4427">
        <v>746.62519577417697</v>
      </c>
      <c r="M4427">
        <v>15.1423965523225</v>
      </c>
      <c r="N4427">
        <v>49.705624185769103</v>
      </c>
      <c r="O4427">
        <v>48.470976996932002</v>
      </c>
      <c r="P4427">
        <v>-7.3641306898689807E-2</v>
      </c>
      <c r="Q4427">
        <v>5.71852451101122E-2</v>
      </c>
      <c r="R4427">
        <v>0.98097429080633003</v>
      </c>
      <c r="S4427" t="s">
        <v>11073</v>
      </c>
      <c r="T4427" t="s">
        <v>13290</v>
      </c>
      <c r="U4427" t="s">
        <v>13290</v>
      </c>
      <c r="V4427" t="s">
        <v>13290</v>
      </c>
      <c r="W4427" t="s">
        <v>17669</v>
      </c>
      <c r="X4427">
        <v>2</v>
      </c>
      <c r="Y4427" t="s">
        <v>24158</v>
      </c>
      <c r="Z4427" t="s">
        <v>30757</v>
      </c>
      <c r="AA4427">
        <v>0.37228857523295539</v>
      </c>
      <c r="AB4427" t="str">
        <f>HYPERLINK("Melting_Curves/meltCurve_Q8IV45_UNC5CL.pdf", "Melting_Curves/meltCurve_Q8IV45_UNC5CL.pdf")</f>
        <v>Melting_Curves/meltCurve_Q8IV45_UNC5CL.pdf</v>
      </c>
    </row>
    <row r="4428" spans="1:28" x14ac:dyDescent="0.25">
      <c r="A4428" t="s">
        <v>4432</v>
      </c>
      <c r="B4428">
        <v>0.99252571173614901</v>
      </c>
      <c r="C4428">
        <v>1.1190650782462099</v>
      </c>
      <c r="D4428">
        <v>0.99315725036805502</v>
      </c>
      <c r="E4428">
        <v>0.71188448857048803</v>
      </c>
      <c r="F4428">
        <v>0.39712148149651699</v>
      </c>
      <c r="G4428">
        <v>0.26585905358370099</v>
      </c>
      <c r="H4428">
        <v>0.22223911653973499</v>
      </c>
      <c r="I4428">
        <v>0.23489845016931599</v>
      </c>
      <c r="J4428">
        <v>0.345305322422784</v>
      </c>
      <c r="K4428">
        <v>0.35562692722428801</v>
      </c>
      <c r="L4428">
        <v>1795.9770417055199</v>
      </c>
      <c r="M4428">
        <v>35.745736448151398</v>
      </c>
      <c r="N4428">
        <v>51.464345854610301</v>
      </c>
      <c r="O4428">
        <v>50.0866430319589</v>
      </c>
      <c r="P4428">
        <v>-0.12740751773532899</v>
      </c>
      <c r="Q4428">
        <v>0.28591270017491299</v>
      </c>
      <c r="R4428">
        <v>0.97172927117034003</v>
      </c>
      <c r="S4428" t="s">
        <v>11074</v>
      </c>
      <c r="T4428" t="s">
        <v>13290</v>
      </c>
      <c r="U4428" t="s">
        <v>13290</v>
      </c>
      <c r="V4428" t="s">
        <v>13290</v>
      </c>
      <c r="W4428" t="s">
        <v>17670</v>
      </c>
      <c r="X4428">
        <v>4</v>
      </c>
      <c r="Y4428" t="s">
        <v>24159</v>
      </c>
      <c r="Z4428" t="s">
        <v>30758</v>
      </c>
      <c r="AA4428">
        <v>0.53284112841513553</v>
      </c>
      <c r="AB4428" t="str">
        <f>HYPERLINK("Melting_Curves/meltCurve_Q8IV50_LYSMD2.pdf", "Melting_Curves/meltCurve_Q8IV50_LYSMD2.pdf")</f>
        <v>Melting_Curves/meltCurve_Q8IV50_LYSMD2.pdf</v>
      </c>
    </row>
    <row r="4429" spans="1:28" x14ac:dyDescent="0.25">
      <c r="A4429" t="s">
        <v>4433</v>
      </c>
      <c r="B4429">
        <v>0.99252571173614901</v>
      </c>
      <c r="C4429">
        <v>1.09140930460915</v>
      </c>
      <c r="D4429">
        <v>0.947428692181562</v>
      </c>
      <c r="E4429">
        <v>0.917903659229788</v>
      </c>
      <c r="F4429">
        <v>0.79187654129596097</v>
      </c>
      <c r="G4429">
        <v>0.68961566424077703</v>
      </c>
      <c r="H4429">
        <v>0.77529085768714401</v>
      </c>
      <c r="I4429">
        <v>0.96630752601713599</v>
      </c>
      <c r="J4429">
        <v>1.6721606335489601</v>
      </c>
      <c r="K4429">
        <v>1.73821034743789</v>
      </c>
      <c r="L4429">
        <v>15000</v>
      </c>
      <c r="M4429">
        <v>229.72143404270301</v>
      </c>
      <c r="O4429">
        <v>65.291526610134596</v>
      </c>
      <c r="P4429">
        <v>0.43979947631310901</v>
      </c>
      <c r="Q4429">
        <v>1.5</v>
      </c>
      <c r="R4429">
        <v>0.74719971278351405</v>
      </c>
      <c r="S4429" t="s">
        <v>11075</v>
      </c>
      <c r="T4429" t="s">
        <v>13290</v>
      </c>
      <c r="U4429" t="s">
        <v>13290</v>
      </c>
      <c r="V4429" t="s">
        <v>13290</v>
      </c>
      <c r="W4429" t="s">
        <v>17671</v>
      </c>
      <c r="X4429">
        <v>2</v>
      </c>
      <c r="Y4429" t="s">
        <v>24160</v>
      </c>
      <c r="Z4429" t="s">
        <v>30759</v>
      </c>
      <c r="AA4429">
        <v>1.0783242131823529</v>
      </c>
      <c r="AB4429" t="str">
        <f>HYPERLINK("Melting_Curves/meltCurve_Q8IV56_PRR15.pdf", "Melting_Curves/meltCurve_Q8IV56_PRR15.pdf")</f>
        <v>Melting_Curves/meltCurve_Q8IV56_PRR15.pdf</v>
      </c>
    </row>
    <row r="4430" spans="1:28" x14ac:dyDescent="0.25">
      <c r="A4430" t="s">
        <v>4434</v>
      </c>
      <c r="B4430">
        <v>0.99252571173614901</v>
      </c>
      <c r="C4430">
        <v>1.07474482161</v>
      </c>
      <c r="D4430">
        <v>0.98493561471451996</v>
      </c>
      <c r="E4430">
        <v>0.80150750298783502</v>
      </c>
      <c r="F4430">
        <v>0.39191967082511198</v>
      </c>
      <c r="G4430">
        <v>0.21246976247006899</v>
      </c>
      <c r="H4430">
        <v>0.16283804973229599</v>
      </c>
      <c r="I4430">
        <v>0.16960062182193</v>
      </c>
      <c r="J4430">
        <v>0.17892545946694999</v>
      </c>
      <c r="K4430">
        <v>0.16803809729671401</v>
      </c>
      <c r="L4430">
        <v>1614.92544839626</v>
      </c>
      <c r="M4430">
        <v>31.371555114663899</v>
      </c>
      <c r="N4430">
        <v>52.160071594440097</v>
      </c>
      <c r="O4430">
        <v>51.269564295196503</v>
      </c>
      <c r="P4430">
        <v>-0.12721682227622799</v>
      </c>
      <c r="Q4430">
        <v>0.168378414429873</v>
      </c>
      <c r="R4430">
        <v>0.99567405406909504</v>
      </c>
      <c r="S4430" t="s">
        <v>11076</v>
      </c>
      <c r="T4430" t="s">
        <v>13290</v>
      </c>
      <c r="U4430" t="s">
        <v>13290</v>
      </c>
      <c r="V4430" t="s">
        <v>13290</v>
      </c>
      <c r="W4430" t="s">
        <v>17672</v>
      </c>
      <c r="X4430">
        <v>1</v>
      </c>
      <c r="Y4430" t="s">
        <v>24161</v>
      </c>
      <c r="Z4430" t="s">
        <v>30760</v>
      </c>
      <c r="AA4430">
        <v>0.49135921501513818</v>
      </c>
      <c r="AB4430" t="str">
        <f>HYPERLINK("Melting_Curves/meltCurve_Q8IV63_3_VRK3.pdf", "Melting_Curves/meltCurve_Q8IV63_3_VRK3.pdf")</f>
        <v>Melting_Curves/meltCurve_Q8IV63_3_VRK3.pdf</v>
      </c>
    </row>
    <row r="4431" spans="1:28" x14ac:dyDescent="0.25">
      <c r="A4431" t="s">
        <v>4435</v>
      </c>
      <c r="B4431">
        <v>0.99252571173614901</v>
      </c>
      <c r="C4431">
        <v>1.0995564454712801</v>
      </c>
      <c r="D4431">
        <v>0.60596237069209702</v>
      </c>
      <c r="E4431">
        <v>0.31819945064160299</v>
      </c>
      <c r="F4431">
        <v>0.15433119800390299</v>
      </c>
      <c r="G4431">
        <v>0.1068844662772</v>
      </c>
      <c r="H4431">
        <v>8.9173063789207099E-2</v>
      </c>
      <c r="I4431">
        <v>0.14098563938821501</v>
      </c>
      <c r="J4431">
        <v>0.114586051232384</v>
      </c>
      <c r="K4431">
        <v>9.5566176249077595E-2</v>
      </c>
      <c r="L4431">
        <v>1405.87975376691</v>
      </c>
      <c r="M4431">
        <v>30.006916913966901</v>
      </c>
      <c r="N4431">
        <v>47.2735979966752</v>
      </c>
      <c r="O4431">
        <v>46.645227227484597</v>
      </c>
      <c r="P4431">
        <v>-0.141940583924688</v>
      </c>
      <c r="Q4431">
        <v>0.11742870541770301</v>
      </c>
      <c r="R4431">
        <v>0.97496693314815697</v>
      </c>
      <c r="S4431" t="s">
        <v>11077</v>
      </c>
      <c r="T4431" t="s">
        <v>13290</v>
      </c>
      <c r="U4431" t="s">
        <v>13290</v>
      </c>
      <c r="V4431" t="s">
        <v>13290</v>
      </c>
      <c r="W4431" t="s">
        <v>17673</v>
      </c>
      <c r="X4431">
        <v>2</v>
      </c>
      <c r="Y4431" t="s">
        <v>24162</v>
      </c>
      <c r="Z4431" t="s">
        <v>30761</v>
      </c>
      <c r="AA4431">
        <v>0.32429959290694971</v>
      </c>
      <c r="AB4431" t="str">
        <f>HYPERLINK("Melting_Curves/meltCurve_Q8IVB5_LIX1L.pdf", "Melting_Curves/meltCurve_Q8IVB5_LIX1L.pdf")</f>
        <v>Melting_Curves/meltCurve_Q8IVB5_LIX1L.pdf</v>
      </c>
    </row>
    <row r="4432" spans="1:28" x14ac:dyDescent="0.25">
      <c r="A4432" t="s">
        <v>4436</v>
      </c>
      <c r="B4432">
        <v>0.99252571173614901</v>
      </c>
      <c r="C4432">
        <v>1.05229514361455</v>
      </c>
      <c r="D4432">
        <v>0.80980325291792699</v>
      </c>
      <c r="E4432">
        <v>0.36913190176461402</v>
      </c>
      <c r="F4432">
        <v>0.20938720883850401</v>
      </c>
      <c r="G4432">
        <v>0.112673699813368</v>
      </c>
      <c r="H4432">
        <v>8.4408293476268006E-2</v>
      </c>
      <c r="I4432">
        <v>6.7463822504231594E-2</v>
      </c>
      <c r="J4432">
        <v>6.8151717460067304E-2</v>
      </c>
      <c r="K4432">
        <v>6.3741828292045999E-2</v>
      </c>
      <c r="L4432">
        <v>1300.9437038619601</v>
      </c>
      <c r="M4432">
        <v>26.892327444186801</v>
      </c>
      <c r="N4432">
        <v>48.698874712344796</v>
      </c>
      <c r="O4432">
        <v>48.110890662027799</v>
      </c>
      <c r="P4432">
        <v>-0.12833292959196599</v>
      </c>
      <c r="Q4432">
        <v>8.1648931351307394E-2</v>
      </c>
      <c r="R4432">
        <v>0.99255537228715596</v>
      </c>
      <c r="S4432" t="s">
        <v>11078</v>
      </c>
      <c r="T4432" t="s">
        <v>13290</v>
      </c>
      <c r="U4432" t="s">
        <v>13290</v>
      </c>
      <c r="V4432" t="s">
        <v>13290</v>
      </c>
      <c r="W4432" t="s">
        <v>17674</v>
      </c>
      <c r="X4432">
        <v>10</v>
      </c>
      <c r="Y4432" t="s">
        <v>24163</v>
      </c>
      <c r="Z4432" t="s">
        <v>30762</v>
      </c>
      <c r="AA4432">
        <v>0.34501937442746189</v>
      </c>
      <c r="AB4432" t="str">
        <f>HYPERLINK("Melting_Curves/meltCurve_Q8IVD9_NUDCD3.pdf", "Melting_Curves/meltCurve_Q8IVD9_NUDCD3.pdf")</f>
        <v>Melting_Curves/meltCurve_Q8IVD9_NUDCD3.pdf</v>
      </c>
    </row>
    <row r="4433" spans="1:28" x14ac:dyDescent="0.25">
      <c r="A4433" t="s">
        <v>4437</v>
      </c>
      <c r="B4433">
        <v>0.99252571173614901</v>
      </c>
      <c r="C4433">
        <v>1.0814552357691301</v>
      </c>
      <c r="D4433">
        <v>0.91209906871310997</v>
      </c>
      <c r="E4433">
        <v>0.96985658933059804</v>
      </c>
      <c r="F4433">
        <v>0.45590954739377199</v>
      </c>
      <c r="G4433">
        <v>0.21962687918208301</v>
      </c>
      <c r="H4433">
        <v>0.21953845899779001</v>
      </c>
      <c r="I4433">
        <v>0.24992298407771399</v>
      </c>
      <c r="J4433">
        <v>0.40306936853191799</v>
      </c>
      <c r="K4433">
        <v>0.37486839149032197</v>
      </c>
      <c r="L4433">
        <v>3510.7539316606199</v>
      </c>
      <c r="M4433">
        <v>67.229039265141097</v>
      </c>
      <c r="N4433">
        <v>52.916252687510699</v>
      </c>
      <c r="O4433">
        <v>52.174650566140699</v>
      </c>
      <c r="P4433">
        <v>-0.22763803934514601</v>
      </c>
      <c r="Q4433">
        <v>0.29334515901256197</v>
      </c>
      <c r="R4433">
        <v>0.95927868624949897</v>
      </c>
      <c r="S4433" t="s">
        <v>11079</v>
      </c>
      <c r="T4433" t="s">
        <v>13290</v>
      </c>
      <c r="U4433" t="s">
        <v>13290</v>
      </c>
      <c r="V4433" t="s">
        <v>13290</v>
      </c>
      <c r="W4433" t="s">
        <v>17675</v>
      </c>
      <c r="X4433">
        <v>1</v>
      </c>
      <c r="Y4433" t="s">
        <v>24164</v>
      </c>
      <c r="Z4433" t="s">
        <v>30763</v>
      </c>
      <c r="AA4433">
        <v>0.58210608420162047</v>
      </c>
      <c r="AB4433" t="str">
        <f>HYPERLINK("Melting_Curves/meltCurve_Q8IVF2_3_AHNAK2.pdf", "Melting_Curves/meltCurve_Q8IVF2_3_AHNAK2.pdf")</f>
        <v>Melting_Curves/meltCurve_Q8IVF2_3_AHNAK2.pdf</v>
      </c>
    </row>
    <row r="4434" spans="1:28" x14ac:dyDescent="0.25">
      <c r="A4434" t="s">
        <v>4438</v>
      </c>
      <c r="B4434">
        <v>0.99252571173614901</v>
      </c>
      <c r="C4434">
        <v>1.0232129314534499</v>
      </c>
      <c r="D4434">
        <v>0.93410173914856598</v>
      </c>
      <c r="E4434">
        <v>0.90207780456540798</v>
      </c>
      <c r="F4434">
        <v>0.65727808238542795</v>
      </c>
      <c r="G4434">
        <v>0.31343886740315102</v>
      </c>
      <c r="H4434">
        <v>0.114251970983115</v>
      </c>
      <c r="I4434">
        <v>0.11242053705978</v>
      </c>
      <c r="J4434">
        <v>0.13398140754733101</v>
      </c>
      <c r="K4434">
        <v>0.13540364057582499</v>
      </c>
      <c r="L4434">
        <v>1393.6174644052201</v>
      </c>
      <c r="M4434">
        <v>25.785484812726398</v>
      </c>
      <c r="N4434">
        <v>54.564166012526101</v>
      </c>
      <c r="O4434">
        <v>53.724664865136397</v>
      </c>
      <c r="P4434">
        <v>-0.106972895220467</v>
      </c>
      <c r="Q4434">
        <v>0.10848841206312</v>
      </c>
      <c r="R4434">
        <v>0.995117639606794</v>
      </c>
      <c r="S4434" t="s">
        <v>11080</v>
      </c>
      <c r="T4434" t="s">
        <v>13290</v>
      </c>
      <c r="U4434" t="s">
        <v>13290</v>
      </c>
      <c r="V4434" t="s">
        <v>13290</v>
      </c>
      <c r="W4434" t="s">
        <v>17676</v>
      </c>
      <c r="X4434">
        <v>5</v>
      </c>
      <c r="Y4434" t="s">
        <v>24165</v>
      </c>
      <c r="Z4434" t="s">
        <v>30764</v>
      </c>
      <c r="AA4434">
        <v>0.53370837743749233</v>
      </c>
      <c r="AB4434" t="str">
        <f>HYPERLINK("Melting_Curves/meltCurve_Q8IVH4_MMAA.pdf", "Melting_Curves/meltCurve_Q8IVH4_MMAA.pdf")</f>
        <v>Melting_Curves/meltCurve_Q8IVH4_MMAA.pdf</v>
      </c>
    </row>
    <row r="4435" spans="1:28" x14ac:dyDescent="0.25">
      <c r="A4435" t="s">
        <v>4439</v>
      </c>
      <c r="B4435">
        <v>0.99252571173614901</v>
      </c>
      <c r="C4435">
        <v>0.98400354448253202</v>
      </c>
      <c r="D4435">
        <v>0.914562834819037</v>
      </c>
      <c r="E4435">
        <v>0.66400105886511995</v>
      </c>
      <c r="F4435">
        <v>0.23152160264055199</v>
      </c>
      <c r="G4435">
        <v>0.12139574418858499</v>
      </c>
      <c r="H4435">
        <v>8.7749422660726897E-2</v>
      </c>
      <c r="I4435">
        <v>0.101484083785348</v>
      </c>
      <c r="J4435">
        <v>0.14899176354028601</v>
      </c>
      <c r="K4435">
        <v>0.165513028141583</v>
      </c>
      <c r="L4435">
        <v>1629.1333629824601</v>
      </c>
      <c r="M4435">
        <v>32.439003748127398</v>
      </c>
      <c r="N4435">
        <v>50.646807913409297</v>
      </c>
      <c r="O4435">
        <v>50.031740584301197</v>
      </c>
      <c r="P4435">
        <v>-0.142764390327701</v>
      </c>
      <c r="Q4435">
        <v>0.119243501936817</v>
      </c>
      <c r="R4435">
        <v>0.99487294862185005</v>
      </c>
      <c r="S4435" t="s">
        <v>11081</v>
      </c>
      <c r="T4435" t="s">
        <v>13290</v>
      </c>
      <c r="U4435" t="s">
        <v>13290</v>
      </c>
      <c r="V4435" t="s">
        <v>13290</v>
      </c>
      <c r="W4435" t="s">
        <v>17677</v>
      </c>
      <c r="X4435">
        <v>7</v>
      </c>
      <c r="Y4435" t="s">
        <v>24166</v>
      </c>
      <c r="Z4435" t="s">
        <v>30765</v>
      </c>
      <c r="AA4435">
        <v>0.42399888300610378</v>
      </c>
      <c r="AB4435" t="str">
        <f>HYPERLINK("Melting_Curves/meltCurve_Q8IVH8_3_MAP4K3.pdf", "Melting_Curves/meltCurve_Q8IVH8_3_MAP4K3.pdf")</f>
        <v>Melting_Curves/meltCurve_Q8IVH8_3_MAP4K3.pdf</v>
      </c>
    </row>
    <row r="4436" spans="1:28" x14ac:dyDescent="0.25">
      <c r="A4436" t="s">
        <v>4440</v>
      </c>
      <c r="B4436">
        <v>0.99252571173614901</v>
      </c>
      <c r="C4436">
        <v>0.85868010320361698</v>
      </c>
      <c r="D4436">
        <v>0.61350788087154495</v>
      </c>
      <c r="E4436">
        <v>0.43584678017971801</v>
      </c>
      <c r="F4436">
        <v>0.29520768823024701</v>
      </c>
      <c r="G4436">
        <v>0.19310331918972701</v>
      </c>
      <c r="H4436">
        <v>0.20785672965674901</v>
      </c>
      <c r="I4436">
        <v>0.25765898587792901</v>
      </c>
      <c r="J4436">
        <v>0.36002056920822201</v>
      </c>
      <c r="K4436">
        <v>0.378913003534395</v>
      </c>
      <c r="L4436">
        <v>1008.50741900133</v>
      </c>
      <c r="M4436">
        <v>22.009204815320501</v>
      </c>
      <c r="N4436">
        <v>47.5914507332119</v>
      </c>
      <c r="O4436">
        <v>45.4488205386237</v>
      </c>
      <c r="P4436">
        <v>-8.7241712113172901E-2</v>
      </c>
      <c r="Q4436">
        <v>0.2794024585837</v>
      </c>
      <c r="R4436">
        <v>0.94987771414181399</v>
      </c>
      <c r="S4436" t="s">
        <v>11082</v>
      </c>
      <c r="T4436" t="s">
        <v>13290</v>
      </c>
      <c r="U4436" t="s">
        <v>13290</v>
      </c>
      <c r="V4436" t="s">
        <v>13290</v>
      </c>
      <c r="W4436" t="s">
        <v>17678</v>
      </c>
      <c r="X4436">
        <v>11</v>
      </c>
      <c r="Y4436" t="s">
        <v>24167</v>
      </c>
      <c r="Z4436" t="s">
        <v>30766</v>
      </c>
      <c r="AA4436">
        <v>0.42829184411489968</v>
      </c>
      <c r="AB4436" t="str">
        <f>HYPERLINK("Melting_Curves/meltCurve_Q8IVL1_4_NAV2.pdf", "Melting_Curves/meltCurve_Q8IVL1_4_NAV2.pdf")</f>
        <v>Melting_Curves/meltCurve_Q8IVL1_4_NAV2.pdf</v>
      </c>
    </row>
    <row r="4437" spans="1:28" x14ac:dyDescent="0.25">
      <c r="A4437" t="s">
        <v>4441</v>
      </c>
      <c r="B4437">
        <v>0.99252571173614901</v>
      </c>
      <c r="C4437">
        <v>1.1080384973525499</v>
      </c>
      <c r="D4437">
        <v>0.98361077323806101</v>
      </c>
      <c r="E4437">
        <v>0.90303888427211099</v>
      </c>
      <c r="F4437">
        <v>0.631159040415884</v>
      </c>
      <c r="G4437">
        <v>0.64882789713603695</v>
      </c>
      <c r="H4437">
        <v>0.63158083186560798</v>
      </c>
      <c r="I4437">
        <v>0.83619172325661795</v>
      </c>
      <c r="J4437">
        <v>1.2667472084095699</v>
      </c>
      <c r="K4437">
        <v>1.36661003606084</v>
      </c>
      <c r="L4437">
        <v>15000</v>
      </c>
      <c r="M4437">
        <v>224.52848472144299</v>
      </c>
      <c r="O4437">
        <v>66.801368251300204</v>
      </c>
      <c r="P4437">
        <v>0.30808696457437001</v>
      </c>
      <c r="Q4437">
        <v>1.3666462320631501</v>
      </c>
      <c r="R4437">
        <v>0.27200957343630899</v>
      </c>
      <c r="S4437" t="s">
        <v>11083</v>
      </c>
      <c r="T4437" t="s">
        <v>13290</v>
      </c>
      <c r="U4437" t="s">
        <v>13290</v>
      </c>
      <c r="V4437" t="s">
        <v>13290</v>
      </c>
      <c r="W4437" t="s">
        <v>17679</v>
      </c>
      <c r="X4437">
        <v>15</v>
      </c>
      <c r="Y4437" t="s">
        <v>24168</v>
      </c>
      <c r="Z4437" t="s">
        <v>30767</v>
      </c>
      <c r="AA4437">
        <v>1.0389742814727221</v>
      </c>
      <c r="AB4437" t="str">
        <f>HYPERLINK("Melting_Curves/meltCurve_Q8IVM0_CCDC50.pdf", "Melting_Curves/meltCurve_Q8IVM0_CCDC50.pdf")</f>
        <v>Melting_Curves/meltCurve_Q8IVM0_CCDC50.pdf</v>
      </c>
    </row>
    <row r="4438" spans="1:28" x14ac:dyDescent="0.25">
      <c r="A4438" t="s">
        <v>4442</v>
      </c>
      <c r="B4438">
        <v>0.99252571173614901</v>
      </c>
      <c r="C4438">
        <v>1.10549076338852</v>
      </c>
      <c r="D4438">
        <v>1.0121150790092099</v>
      </c>
      <c r="E4438">
        <v>0.95354379284856094</v>
      </c>
      <c r="F4438">
        <v>0.796384553685618</v>
      </c>
      <c r="G4438">
        <v>0.68637808676562595</v>
      </c>
      <c r="H4438">
        <v>0.72352615176070101</v>
      </c>
      <c r="I4438">
        <v>1.0081532056762701</v>
      </c>
      <c r="J4438">
        <v>1.5055755503088299</v>
      </c>
      <c r="K4438">
        <v>1.67983163095488</v>
      </c>
      <c r="L4438">
        <v>15000</v>
      </c>
      <c r="M4438">
        <v>230.32567151960001</v>
      </c>
      <c r="O4438">
        <v>65.120255135305399</v>
      </c>
      <c r="P4438">
        <v>0.44211595698880402</v>
      </c>
      <c r="Q4438">
        <v>1.5</v>
      </c>
      <c r="R4438">
        <v>0.71696227170138005</v>
      </c>
      <c r="S4438" t="s">
        <v>11084</v>
      </c>
      <c r="T4438" t="s">
        <v>13290</v>
      </c>
      <c r="U4438" t="s">
        <v>13290</v>
      </c>
      <c r="V4438" t="s">
        <v>13290</v>
      </c>
      <c r="W4438" t="s">
        <v>17680</v>
      </c>
      <c r="X4438">
        <v>16</v>
      </c>
      <c r="Y4438" t="s">
        <v>24168</v>
      </c>
      <c r="Z4438" t="s">
        <v>30768</v>
      </c>
      <c r="AA4438">
        <v>1.081179730283039</v>
      </c>
      <c r="AB4438" t="str">
        <f>HYPERLINK("Melting_Curves/meltCurve_Q8IVM0_2_CCDC50.pdf", "Melting_Curves/meltCurve_Q8IVM0_2_CCDC50.pdf")</f>
        <v>Melting_Curves/meltCurve_Q8IVM0_2_CCDC50.pdf</v>
      </c>
    </row>
    <row r="4439" spans="1:28" x14ac:dyDescent="0.25">
      <c r="A4439" t="s">
        <v>4443</v>
      </c>
      <c r="B4439">
        <v>0.99252571173614901</v>
      </c>
      <c r="C4439">
        <v>0.788798228031104</v>
      </c>
      <c r="D4439">
        <v>0.82006442044661898</v>
      </c>
      <c r="E4439">
        <v>0.66449399940735698</v>
      </c>
      <c r="F4439">
        <v>0.524363687998885</v>
      </c>
      <c r="G4439">
        <v>0.176856143634363</v>
      </c>
      <c r="H4439">
        <v>0.122280294554637</v>
      </c>
      <c r="I4439">
        <v>0.169249662746631</v>
      </c>
      <c r="J4439">
        <v>0.30443481745818801</v>
      </c>
      <c r="K4439">
        <v>0.18562069931328801</v>
      </c>
      <c r="L4439">
        <v>675.41218641794001</v>
      </c>
      <c r="M4439">
        <v>13.4069118056428</v>
      </c>
      <c r="N4439">
        <v>51.721773920033002</v>
      </c>
      <c r="O4439">
        <v>49.296696284548901</v>
      </c>
      <c r="P4439">
        <v>-5.8000423203509899E-2</v>
      </c>
      <c r="Q4439">
        <v>0.14707239928372001</v>
      </c>
      <c r="R4439">
        <v>0.92201671063580504</v>
      </c>
      <c r="S4439" t="s">
        <v>11085</v>
      </c>
      <c r="T4439" t="s">
        <v>13290</v>
      </c>
      <c r="U4439" t="s">
        <v>13290</v>
      </c>
      <c r="V4439" t="s">
        <v>13290</v>
      </c>
      <c r="W4439" t="s">
        <v>17681</v>
      </c>
      <c r="X4439">
        <v>1</v>
      </c>
      <c r="Y4439" t="s">
        <v>24169</v>
      </c>
      <c r="Z4439" t="s">
        <v>30769</v>
      </c>
      <c r="AA4439">
        <v>0.46638672956053001</v>
      </c>
      <c r="AB4439" t="str">
        <f>HYPERLINK("Melting_Curves/meltCurve_Q8IVQ6_ZDHHC21.pdf", "Melting_Curves/meltCurve_Q8IVQ6_ZDHHC21.pdf")</f>
        <v>Melting_Curves/meltCurve_Q8IVQ6_ZDHHC21.pdf</v>
      </c>
    </row>
    <row r="4440" spans="1:28" x14ac:dyDescent="0.25">
      <c r="A4440" t="s">
        <v>4444</v>
      </c>
      <c r="B4440">
        <v>0.99252571173614901</v>
      </c>
      <c r="C4440">
        <v>0.93892605217332503</v>
      </c>
      <c r="D4440">
        <v>0.79761785711276401</v>
      </c>
      <c r="E4440">
        <v>0.35715331665640099</v>
      </c>
      <c r="F4440">
        <v>0.242904339201611</v>
      </c>
      <c r="G4440">
        <v>0.20246145776728899</v>
      </c>
      <c r="H4440">
        <v>0.14788393927433799</v>
      </c>
      <c r="I4440">
        <v>2.8528186352018502E-2</v>
      </c>
      <c r="J4440">
        <v>0</v>
      </c>
      <c r="K4440">
        <v>6.6549501012803103E-2</v>
      </c>
      <c r="L4440">
        <v>925.81387193697799</v>
      </c>
      <c r="M4440">
        <v>19.1056323895641</v>
      </c>
      <c r="N4440">
        <v>48.836635738773097</v>
      </c>
      <c r="O4440">
        <v>47.936132277329797</v>
      </c>
      <c r="P4440">
        <v>-9.2779405443653998E-2</v>
      </c>
      <c r="Q4440">
        <v>6.8900224757205503E-2</v>
      </c>
      <c r="R4440">
        <v>0.97982568130178105</v>
      </c>
      <c r="S4440" t="s">
        <v>11086</v>
      </c>
      <c r="T4440" t="s">
        <v>13290</v>
      </c>
      <c r="U4440" t="s">
        <v>13290</v>
      </c>
      <c r="V4440" t="s">
        <v>13290</v>
      </c>
      <c r="W4440" t="s">
        <v>17682</v>
      </c>
      <c r="X4440">
        <v>1</v>
      </c>
      <c r="Y4440" t="s">
        <v>24170</v>
      </c>
      <c r="Z4440" t="s">
        <v>30770</v>
      </c>
      <c r="AA4440">
        <v>0.34583007437637953</v>
      </c>
      <c r="AB4440" t="str">
        <f>HYPERLINK("Melting_Curves/meltCurve_Q8IVR6_PPM1D.pdf", "Melting_Curves/meltCurve_Q8IVR6_PPM1D.pdf")</f>
        <v>Melting_Curves/meltCurve_Q8IVR6_PPM1D.pdf</v>
      </c>
    </row>
    <row r="4441" spans="1:28" x14ac:dyDescent="0.25">
      <c r="A4441" t="s">
        <v>4445</v>
      </c>
      <c r="B4441">
        <v>0.99252571173614901</v>
      </c>
      <c r="C4441">
        <v>1.0420096485920201</v>
      </c>
      <c r="D4441">
        <v>0.99542754146773704</v>
      </c>
      <c r="E4441">
        <v>0.886283708929133</v>
      </c>
      <c r="F4441">
        <v>0.69652816633688996</v>
      </c>
      <c r="G4441">
        <v>0.44950167968194799</v>
      </c>
      <c r="H4441">
        <v>0.19626425844894699</v>
      </c>
      <c r="I4441">
        <v>0.11147371173002001</v>
      </c>
      <c r="J4441">
        <v>0.112528990295288</v>
      </c>
      <c r="K4441">
        <v>0.117887899633948</v>
      </c>
      <c r="L4441">
        <v>1061.01972078055</v>
      </c>
      <c r="M4441">
        <v>19.197860819899802</v>
      </c>
      <c r="N4441">
        <v>55.756666190345001</v>
      </c>
      <c r="O4441">
        <v>54.678395084346803</v>
      </c>
      <c r="P4441">
        <v>-8.0977665299623303E-2</v>
      </c>
      <c r="Q4441">
        <v>7.7488855900574999E-2</v>
      </c>
      <c r="R4441">
        <v>0.99636557022153105</v>
      </c>
      <c r="S4441" t="s">
        <v>11087</v>
      </c>
      <c r="T4441" t="s">
        <v>13290</v>
      </c>
      <c r="U4441" t="s">
        <v>13290</v>
      </c>
      <c r="V4441" t="s">
        <v>13290</v>
      </c>
      <c r="W4441" t="s">
        <v>17683</v>
      </c>
      <c r="X4441">
        <v>16</v>
      </c>
      <c r="Y4441" t="s">
        <v>24171</v>
      </c>
      <c r="Z4441" t="s">
        <v>30771</v>
      </c>
      <c r="AA4441">
        <v>0.55990217879007387</v>
      </c>
      <c r="AB4441" t="str">
        <f>HYPERLINK("Melting_Curves/meltCurve_Q8IVS2_MCAT.pdf", "Melting_Curves/meltCurve_Q8IVS2_MCAT.pdf")</f>
        <v>Melting_Curves/meltCurve_Q8IVS2_MCAT.pdf</v>
      </c>
    </row>
    <row r="4442" spans="1:28" x14ac:dyDescent="0.25">
      <c r="A4442" t="s">
        <v>4446</v>
      </c>
      <c r="B4442">
        <v>0.99252571173614901</v>
      </c>
      <c r="C4442">
        <v>0.93098395768935005</v>
      </c>
      <c r="D4442">
        <v>0.76077912160611705</v>
      </c>
      <c r="E4442">
        <v>0.671578702014476</v>
      </c>
      <c r="F4442">
        <v>0.44503912024076703</v>
      </c>
      <c r="G4442">
        <v>0.24006179668186001</v>
      </c>
      <c r="H4442">
        <v>0.251027223278594</v>
      </c>
      <c r="I4442">
        <v>0.38787886838521402</v>
      </c>
      <c r="J4442">
        <v>0.89818096611588505</v>
      </c>
      <c r="K4442">
        <v>2.0765142329743602</v>
      </c>
      <c r="L4442">
        <v>1930.8257369929499</v>
      </c>
      <c r="M4442">
        <v>43.783514492290998</v>
      </c>
      <c r="O4442">
        <v>44.007679037924603</v>
      </c>
      <c r="P4442">
        <v>-7.1933911425073604E-2</v>
      </c>
      <c r="Q4442">
        <v>0.71079161439620897</v>
      </c>
      <c r="R4442">
        <v>3.8340603160508899E-2</v>
      </c>
      <c r="S4442" t="s">
        <v>11088</v>
      </c>
      <c r="T4442" t="s">
        <v>13290</v>
      </c>
      <c r="U4442" t="s">
        <v>13290</v>
      </c>
      <c r="V4442" t="s">
        <v>13290</v>
      </c>
      <c r="W4442" t="s">
        <v>17684</v>
      </c>
      <c r="X4442">
        <v>7</v>
      </c>
      <c r="Y4442" t="s">
        <v>24172</v>
      </c>
      <c r="Z4442" t="s">
        <v>30772</v>
      </c>
      <c r="AA4442">
        <v>0.75113158715514849</v>
      </c>
      <c r="AB4442" t="str">
        <f>HYPERLINK("Melting_Curves/meltCurve_Q8IVT2_C19orf21.pdf", "Melting_Curves/meltCurve_Q8IVT2_C19orf21.pdf")</f>
        <v>Melting_Curves/meltCurve_Q8IVT2_C19orf21.pdf</v>
      </c>
    </row>
    <row r="4443" spans="1:28" x14ac:dyDescent="0.25">
      <c r="A4443" t="s">
        <v>4447</v>
      </c>
      <c r="B4443">
        <v>0.99252571173614901</v>
      </c>
      <c r="C4443">
        <v>0.91270515980754396</v>
      </c>
      <c r="D4443">
        <v>0.68879146525887802</v>
      </c>
      <c r="E4443">
        <v>0.79308728685062702</v>
      </c>
      <c r="F4443">
        <v>0.460748552854709</v>
      </c>
      <c r="G4443">
        <v>0.41147032535420802</v>
      </c>
      <c r="H4443">
        <v>0.26213078690419001</v>
      </c>
      <c r="I4443">
        <v>0.345881578523839</v>
      </c>
      <c r="J4443">
        <v>0.409215464426814</v>
      </c>
      <c r="K4443">
        <v>0.491559138661745</v>
      </c>
      <c r="L4443">
        <v>687.45056840148504</v>
      </c>
      <c r="M4443">
        <v>14.1524189157021</v>
      </c>
      <c r="N4443">
        <v>53.3892093339364</v>
      </c>
      <c r="O4443">
        <v>47.635790251528</v>
      </c>
      <c r="P4443">
        <v>-4.7507750164490298E-2</v>
      </c>
      <c r="Q4443">
        <v>0.360453579371591</v>
      </c>
      <c r="R4443">
        <v>0.86705744517873196</v>
      </c>
      <c r="S4443" t="s">
        <v>11089</v>
      </c>
      <c r="T4443" t="s">
        <v>13290</v>
      </c>
      <c r="U4443" t="s">
        <v>13290</v>
      </c>
      <c r="V4443" t="s">
        <v>13290</v>
      </c>
      <c r="W4443" t="s">
        <v>17685</v>
      </c>
      <c r="X4443">
        <v>2</v>
      </c>
      <c r="Y4443" t="s">
        <v>24173</v>
      </c>
      <c r="Z4443" t="s">
        <v>30773</v>
      </c>
      <c r="AA4443">
        <v>0.56117701120656915</v>
      </c>
      <c r="AB4443" t="str">
        <f>HYPERLINK("Melting_Curves/meltCurve_Q8IVW6_3_ARID3B.pdf", "Melting_Curves/meltCurve_Q8IVW6_3_ARID3B.pdf")</f>
        <v>Melting_Curves/meltCurve_Q8IVW6_3_ARID3B.pdf</v>
      </c>
    </row>
    <row r="4444" spans="1:28" x14ac:dyDescent="0.25">
      <c r="A4444" t="s">
        <v>4448</v>
      </c>
      <c r="B4444">
        <v>0.99252571173614901</v>
      </c>
      <c r="C4444">
        <v>0.99210527607400201</v>
      </c>
      <c r="D4444">
        <v>0.97065122001126403</v>
      </c>
      <c r="E4444">
        <v>0.991804360792089</v>
      </c>
      <c r="F4444">
        <v>0.83738472560432398</v>
      </c>
      <c r="G4444">
        <v>0.69699030585282995</v>
      </c>
      <c r="H4444">
        <v>0.65781982642998904</v>
      </c>
      <c r="I4444">
        <v>0.89619320557438198</v>
      </c>
      <c r="J4444">
        <v>1.2686978488838601</v>
      </c>
      <c r="K4444">
        <v>1.3867886232203299</v>
      </c>
      <c r="L4444">
        <v>1620.6974677053699</v>
      </c>
      <c r="M4444">
        <v>36.391898795496701</v>
      </c>
      <c r="O4444">
        <v>44.4007345494474</v>
      </c>
      <c r="P4444">
        <v>-7.7887568406938999E-3</v>
      </c>
      <c r="Q4444">
        <v>0.96198874172874105</v>
      </c>
      <c r="R4444">
        <v>3.0053060252760401E-3</v>
      </c>
      <c r="S4444" t="s">
        <v>11090</v>
      </c>
      <c r="T4444" t="s">
        <v>13290</v>
      </c>
      <c r="U4444" t="s">
        <v>13290</v>
      </c>
      <c r="V4444" t="s">
        <v>13290</v>
      </c>
      <c r="W4444" t="s">
        <v>17686</v>
      </c>
      <c r="X4444">
        <v>22</v>
      </c>
      <c r="Y4444" t="s">
        <v>24174</v>
      </c>
      <c r="Z4444" t="s">
        <v>30774</v>
      </c>
      <c r="AA4444">
        <v>0.96789501011673373</v>
      </c>
      <c r="AB4444" t="str">
        <f>HYPERLINK("Melting_Curves/meltCurve_Q8IW45_CARKD.pdf", "Melting_Curves/meltCurve_Q8IW45_CARKD.pdf")</f>
        <v>Melting_Curves/meltCurve_Q8IW45_CARKD.pdf</v>
      </c>
    </row>
    <row r="4445" spans="1:28" x14ac:dyDescent="0.25">
      <c r="A4445" t="s">
        <v>4449</v>
      </c>
      <c r="B4445">
        <v>0.99252571173614901</v>
      </c>
      <c r="C4445">
        <v>0.88227218947920005</v>
      </c>
      <c r="D4445">
        <v>0.80265256673780405</v>
      </c>
      <c r="E4445">
        <v>0.53990741740484105</v>
      </c>
      <c r="F4445">
        <v>0.12784079223349801</v>
      </c>
      <c r="G4445">
        <v>6.2263526783982899E-2</v>
      </c>
      <c r="H4445">
        <v>4.3323163760012703E-2</v>
      </c>
      <c r="I4445">
        <v>5.47068870051882E-2</v>
      </c>
      <c r="J4445">
        <v>6.82273166889939E-2</v>
      </c>
      <c r="K4445">
        <v>6.6349741384005706E-2</v>
      </c>
      <c r="L4445">
        <v>1073.5938393509</v>
      </c>
      <c r="M4445">
        <v>21.836986554132</v>
      </c>
      <c r="N4445">
        <v>49.349484677381902</v>
      </c>
      <c r="O4445">
        <v>48.757287922137202</v>
      </c>
      <c r="P4445">
        <v>-0.107559099687009</v>
      </c>
      <c r="Q4445">
        <v>3.9396986063436501E-2</v>
      </c>
      <c r="R4445">
        <v>0.98743628614539602</v>
      </c>
      <c r="S4445" t="s">
        <v>11091</v>
      </c>
      <c r="T4445" t="s">
        <v>13290</v>
      </c>
      <c r="U4445" t="s">
        <v>13290</v>
      </c>
      <c r="V4445" t="s">
        <v>13290</v>
      </c>
      <c r="W4445" t="s">
        <v>17687</v>
      </c>
      <c r="X4445">
        <v>7</v>
      </c>
      <c r="Y4445" t="s">
        <v>24175</v>
      </c>
      <c r="Z4445" t="s">
        <v>30775</v>
      </c>
      <c r="AA4445">
        <v>0.34407068609106362</v>
      </c>
      <c r="AB4445" t="str">
        <f>HYPERLINK("Melting_Curves/meltCurve_Q8IWA4_MFN1.pdf", "Melting_Curves/meltCurve_Q8IWA4_MFN1.pdf")</f>
        <v>Melting_Curves/meltCurve_Q8IWA4_MFN1.pdf</v>
      </c>
    </row>
    <row r="4446" spans="1:28" x14ac:dyDescent="0.25">
      <c r="A4446" t="s">
        <v>4450</v>
      </c>
      <c r="B4446">
        <v>0.99252571173614901</v>
      </c>
      <c r="C4446">
        <v>0.98154396129131405</v>
      </c>
      <c r="D4446">
        <v>0.96641786467010504</v>
      </c>
      <c r="E4446">
        <v>0.79267874893068502</v>
      </c>
      <c r="F4446">
        <v>0.37391970904966998</v>
      </c>
      <c r="G4446">
        <v>0.274746023324273</v>
      </c>
      <c r="H4446">
        <v>0.21193931970289101</v>
      </c>
      <c r="I4446">
        <v>0.23519605735746299</v>
      </c>
      <c r="J4446">
        <v>0.15899000311402001</v>
      </c>
      <c r="K4446">
        <v>0.126615328080046</v>
      </c>
      <c r="L4446">
        <v>1461.41756196606</v>
      </c>
      <c r="M4446">
        <v>28.486060648948101</v>
      </c>
      <c r="N4446">
        <v>52.149856796819101</v>
      </c>
      <c r="O4446">
        <v>51.0520665232063</v>
      </c>
      <c r="P4446">
        <v>-0.113662880056557</v>
      </c>
      <c r="Q4446">
        <v>0.185190464853182</v>
      </c>
      <c r="R4446">
        <v>0.99222276722227098</v>
      </c>
      <c r="S4446" t="s">
        <v>11092</v>
      </c>
      <c r="T4446" t="s">
        <v>13290</v>
      </c>
      <c r="U4446" t="s">
        <v>13290</v>
      </c>
      <c r="V4446" t="s">
        <v>13290</v>
      </c>
      <c r="W4446" t="s">
        <v>17688</v>
      </c>
      <c r="X4446">
        <v>6</v>
      </c>
      <c r="Y4446" t="s">
        <v>24176</v>
      </c>
      <c r="Z4446" t="s">
        <v>30776</v>
      </c>
      <c r="AA4446">
        <v>0.49788902790132528</v>
      </c>
      <c r="AB4446" t="str">
        <f>HYPERLINK("Melting_Curves/meltCurve_Q8IWB1_ITPRIP.pdf", "Melting_Curves/meltCurve_Q8IWB1_ITPRIP.pdf")</f>
        <v>Melting_Curves/meltCurve_Q8IWB1_ITPRIP.pdf</v>
      </c>
    </row>
    <row r="4447" spans="1:28" x14ac:dyDescent="0.25">
      <c r="A4447" t="s">
        <v>4451</v>
      </c>
      <c r="B4447">
        <v>0.99252571173614901</v>
      </c>
      <c r="C4447">
        <v>1.02529206707459</v>
      </c>
      <c r="D4447">
        <v>0.93176895320189101</v>
      </c>
      <c r="E4447">
        <v>0.78889633941580195</v>
      </c>
      <c r="F4447">
        <v>0.70246585555000096</v>
      </c>
      <c r="G4447">
        <v>0.449750511033147</v>
      </c>
      <c r="H4447">
        <v>0.22521992821933101</v>
      </c>
      <c r="I4447">
        <v>0.120787553914437</v>
      </c>
      <c r="J4447">
        <v>0.108581139323951</v>
      </c>
      <c r="K4447">
        <v>9.5405956319678104E-2</v>
      </c>
      <c r="L4447">
        <v>770.81520530185003</v>
      </c>
      <c r="M4447">
        <v>13.8658092418002</v>
      </c>
      <c r="N4447">
        <v>55.731459545018801</v>
      </c>
      <c r="O4447">
        <v>54.473063252426599</v>
      </c>
      <c r="P4447">
        <v>-6.2552633157776094E-2</v>
      </c>
      <c r="Q4447">
        <v>1.7160742872570401E-2</v>
      </c>
      <c r="R4447">
        <v>0.99287087139958996</v>
      </c>
      <c r="S4447" t="s">
        <v>11093</v>
      </c>
      <c r="T4447" t="s">
        <v>13290</v>
      </c>
      <c r="U4447" t="s">
        <v>13290</v>
      </c>
      <c r="V4447" t="s">
        <v>13290</v>
      </c>
      <c r="W4447" t="s">
        <v>17689</v>
      </c>
      <c r="X4447">
        <v>8</v>
      </c>
      <c r="Y4447" t="s">
        <v>24177</v>
      </c>
      <c r="Z4447" t="s">
        <v>30777</v>
      </c>
      <c r="AA4447">
        <v>0.54732340513040745</v>
      </c>
      <c r="AB4447" t="str">
        <f>HYPERLINK("Melting_Curves/meltCurve_Q8IWB7_WDFY1.pdf", "Melting_Curves/meltCurve_Q8IWB7_WDFY1.pdf")</f>
        <v>Melting_Curves/meltCurve_Q8IWB7_WDFY1.pdf</v>
      </c>
    </row>
    <row r="4448" spans="1:28" x14ac:dyDescent="0.25">
      <c r="A4448" t="s">
        <v>4452</v>
      </c>
      <c r="B4448">
        <v>0.99252571173614901</v>
      </c>
      <c r="C4448">
        <v>0.98414839399923204</v>
      </c>
      <c r="D4448">
        <v>0.84913971712768899</v>
      </c>
      <c r="E4448">
        <v>0.400136357260377</v>
      </c>
      <c r="F4448">
        <v>0.17162741784393201</v>
      </c>
      <c r="G4448">
        <v>0.10528154802574</v>
      </c>
      <c r="H4448">
        <v>8.6003552550497506E-2</v>
      </c>
      <c r="I4448">
        <v>9.69148576823365E-2</v>
      </c>
      <c r="J4448">
        <v>0.12608549754990001</v>
      </c>
      <c r="K4448">
        <v>0.14238902738002601</v>
      </c>
      <c r="L4448">
        <v>1468.92070781084</v>
      </c>
      <c r="M4448">
        <v>30.339131828621198</v>
      </c>
      <c r="N4448">
        <v>48.816761120572103</v>
      </c>
      <c r="O4448">
        <v>48.207818858339401</v>
      </c>
      <c r="P4448">
        <v>-0.14001863348720001</v>
      </c>
      <c r="Q4448">
        <v>0.11006683701212</v>
      </c>
      <c r="R4448">
        <v>0.99820072322503295</v>
      </c>
      <c r="S4448" t="s">
        <v>11094</v>
      </c>
      <c r="T4448" t="s">
        <v>13290</v>
      </c>
      <c r="U4448" t="s">
        <v>13290</v>
      </c>
      <c r="V4448" t="s">
        <v>13290</v>
      </c>
      <c r="W4448" t="s">
        <v>17690</v>
      </c>
      <c r="X4448">
        <v>8</v>
      </c>
      <c r="Y4448" t="s">
        <v>24178</v>
      </c>
      <c r="Z4448" t="s">
        <v>30778</v>
      </c>
      <c r="AA4448">
        <v>0.36499904850254578</v>
      </c>
      <c r="AB4448" t="str">
        <f>HYPERLINK("Melting_Curves/meltCurve_Q8IWB9_TEX2.pdf", "Melting_Curves/meltCurve_Q8IWB9_TEX2.pdf")</f>
        <v>Melting_Curves/meltCurve_Q8IWB9_TEX2.pdf</v>
      </c>
    </row>
    <row r="4449" spans="1:28" x14ac:dyDescent="0.25">
      <c r="A4449" t="s">
        <v>4453</v>
      </c>
      <c r="B4449">
        <v>0.99252571173614901</v>
      </c>
      <c r="C4449">
        <v>0.97757442647200499</v>
      </c>
      <c r="D4449">
        <v>0.76577391416157803</v>
      </c>
      <c r="E4449">
        <v>0.60788374204871998</v>
      </c>
      <c r="F4449">
        <v>0.27072927044724698</v>
      </c>
      <c r="G4449">
        <v>0.19809359768302101</v>
      </c>
      <c r="H4449">
        <v>0.18021467341443501</v>
      </c>
      <c r="I4449">
        <v>0.228010758096475</v>
      </c>
      <c r="J4449">
        <v>0.35104449092421097</v>
      </c>
      <c r="K4449">
        <v>0.39237277234534601</v>
      </c>
      <c r="L4449">
        <v>1145.08632716173</v>
      </c>
      <c r="M4449">
        <v>23.692306016445698</v>
      </c>
      <c r="N4449">
        <v>49.885184155113301</v>
      </c>
      <c r="O4449">
        <v>47.991169810864299</v>
      </c>
      <c r="P4449">
        <v>-9.1217414184650694E-2</v>
      </c>
      <c r="Q4449">
        <v>0.26093141367839601</v>
      </c>
      <c r="R4449">
        <v>0.93738339834734996</v>
      </c>
      <c r="S4449" t="s">
        <v>11095</v>
      </c>
      <c r="T4449" t="s">
        <v>13290</v>
      </c>
      <c r="U4449" t="s">
        <v>13290</v>
      </c>
      <c r="V4449" t="s">
        <v>13290</v>
      </c>
      <c r="W4449" t="s">
        <v>17691</v>
      </c>
      <c r="X4449">
        <v>4</v>
      </c>
      <c r="Y4449" t="s">
        <v>24179</v>
      </c>
      <c r="Z4449" t="s">
        <v>30779</v>
      </c>
      <c r="AA4449">
        <v>0.4734973760985503</v>
      </c>
      <c r="AB4449" t="str">
        <f>HYPERLINK("Melting_Curves/meltCurve_Q8IWC1_2_MAP7D3.pdf", "Melting_Curves/meltCurve_Q8IWC1_2_MAP7D3.pdf")</f>
        <v>Melting_Curves/meltCurve_Q8IWC1_2_MAP7D3.pdf</v>
      </c>
    </row>
    <row r="4450" spans="1:28" x14ac:dyDescent="0.25">
      <c r="A4450" t="s">
        <v>4454</v>
      </c>
      <c r="B4450">
        <v>0.99252571173614901</v>
      </c>
      <c r="C4450">
        <v>0.94565170933836395</v>
      </c>
      <c r="D4450">
        <v>0.98543221727663899</v>
      </c>
      <c r="E4450">
        <v>0.85969827521254605</v>
      </c>
      <c r="F4450">
        <v>0.43540189916900601</v>
      </c>
      <c r="G4450">
        <v>0.50234398157931404</v>
      </c>
      <c r="H4450">
        <v>0.54308221807613</v>
      </c>
      <c r="I4450">
        <v>0.73219463472611102</v>
      </c>
      <c r="J4450">
        <v>1.4401637977291</v>
      </c>
      <c r="K4450">
        <v>2.07111964520253</v>
      </c>
      <c r="L4450">
        <v>15000</v>
      </c>
      <c r="M4450">
        <v>225.53685292514399</v>
      </c>
      <c r="O4450">
        <v>66.502746803274505</v>
      </c>
      <c r="P4450">
        <v>0.42392393268436201</v>
      </c>
      <c r="Q4450">
        <v>1.5</v>
      </c>
      <c r="R4450">
        <v>0.45301365795209397</v>
      </c>
      <c r="S4450" t="s">
        <v>11096</v>
      </c>
      <c r="T4450" t="s">
        <v>13290</v>
      </c>
      <c r="U4450" t="s">
        <v>13290</v>
      </c>
      <c r="V4450" t="s">
        <v>13290</v>
      </c>
      <c r="W4450" t="s">
        <v>17692</v>
      </c>
      <c r="X4450">
        <v>5</v>
      </c>
      <c r="Y4450" t="s">
        <v>24180</v>
      </c>
      <c r="Z4450" t="s">
        <v>30780</v>
      </c>
      <c r="AA4450">
        <v>1.0581287312521379</v>
      </c>
      <c r="AB4450" t="str">
        <f>HYPERLINK("Melting_Curves/meltCurve_Q8IWD4_CCDC117.pdf", "Melting_Curves/meltCurve_Q8IWD4_CCDC117.pdf")</f>
        <v>Melting_Curves/meltCurve_Q8IWD4_CCDC117.pdf</v>
      </c>
    </row>
    <row r="4451" spans="1:28" x14ac:dyDescent="0.25">
      <c r="A4451" t="s">
        <v>4455</v>
      </c>
      <c r="B4451">
        <v>0.99252571173614901</v>
      </c>
      <c r="C4451">
        <v>1.0666040849521501</v>
      </c>
      <c r="D4451">
        <v>0.82437475479939504</v>
      </c>
      <c r="E4451">
        <v>0.405080236750263</v>
      </c>
      <c r="F4451">
        <v>0.201668685620389</v>
      </c>
      <c r="G4451">
        <v>0.10871929663393</v>
      </c>
      <c r="H4451">
        <v>7.5776485085534001E-2</v>
      </c>
      <c r="I4451">
        <v>7.8572350117397799E-2</v>
      </c>
      <c r="J4451">
        <v>9.2572320033830396E-2</v>
      </c>
      <c r="K4451">
        <v>7.6151185648222194E-2</v>
      </c>
      <c r="L4451">
        <v>1329.8088447702601</v>
      </c>
      <c r="M4451">
        <v>27.371730473486402</v>
      </c>
      <c r="N4451">
        <v>48.9243201881701</v>
      </c>
      <c r="O4451">
        <v>48.326176012832697</v>
      </c>
      <c r="P4451">
        <v>-0.12930237414380899</v>
      </c>
      <c r="Q4451">
        <v>8.6848641707509097E-2</v>
      </c>
      <c r="R4451">
        <v>0.99309043993998303</v>
      </c>
      <c r="S4451" t="s">
        <v>11097</v>
      </c>
      <c r="T4451" t="s">
        <v>13290</v>
      </c>
      <c r="U4451" t="s">
        <v>13290</v>
      </c>
      <c r="V4451" t="s">
        <v>13290</v>
      </c>
      <c r="W4451" t="s">
        <v>17693</v>
      </c>
      <c r="X4451">
        <v>5</v>
      </c>
      <c r="Y4451" t="s">
        <v>24181</v>
      </c>
      <c r="Z4451" t="s">
        <v>30781</v>
      </c>
      <c r="AA4451">
        <v>0.35479698109267088</v>
      </c>
      <c r="AB4451" t="str">
        <f>HYPERLINK("Melting_Curves/meltCurve_Q8IWE2_FAM114A1.pdf", "Melting_Curves/meltCurve_Q8IWE2_FAM114A1.pdf")</f>
        <v>Melting_Curves/meltCurve_Q8IWE2_FAM114A1.pdf</v>
      </c>
    </row>
    <row r="4452" spans="1:28" x14ac:dyDescent="0.25">
      <c r="A4452" t="s">
        <v>4456</v>
      </c>
      <c r="B4452">
        <v>0.99252571173614901</v>
      </c>
      <c r="C4452">
        <v>0.83250015865971605</v>
      </c>
      <c r="D4452">
        <v>0.51087061742897999</v>
      </c>
      <c r="E4452">
        <v>0.33133092757127602</v>
      </c>
      <c r="F4452">
        <v>0.20723989863705899</v>
      </c>
      <c r="G4452">
        <v>0.10337433822318</v>
      </c>
      <c r="H4452">
        <v>7.2350691076818602E-2</v>
      </c>
      <c r="I4452">
        <v>0.13241535486540801</v>
      </c>
      <c r="J4452">
        <v>0.175761056264752</v>
      </c>
      <c r="K4452">
        <v>0.141648887497102</v>
      </c>
      <c r="L4452">
        <v>903.46143461666998</v>
      </c>
      <c r="M4452">
        <v>19.6960128566154</v>
      </c>
      <c r="N4452">
        <v>46.564990255449999</v>
      </c>
      <c r="O4452">
        <v>45.4052839608675</v>
      </c>
      <c r="P4452">
        <v>-9.46430645168473E-2</v>
      </c>
      <c r="Q4452">
        <v>0.127306568372267</v>
      </c>
      <c r="R4452">
        <v>0.98555047384662797</v>
      </c>
      <c r="S4452" t="s">
        <v>11098</v>
      </c>
      <c r="T4452" t="s">
        <v>13290</v>
      </c>
      <c r="U4452" t="s">
        <v>13290</v>
      </c>
      <c r="V4452" t="s">
        <v>13290</v>
      </c>
      <c r="W4452" t="s">
        <v>17694</v>
      </c>
      <c r="X4452">
        <v>1</v>
      </c>
      <c r="Y4452" t="s">
        <v>24182</v>
      </c>
      <c r="Z4452" t="s">
        <v>30782</v>
      </c>
      <c r="AA4452">
        <v>0.31217802936938499</v>
      </c>
      <c r="AB4452" t="str">
        <f>HYPERLINK("Melting_Curves/meltCurve_Q8IWE4_DCUN1D3.pdf", "Melting_Curves/meltCurve_Q8IWE4_DCUN1D3.pdf")</f>
        <v>Melting_Curves/meltCurve_Q8IWE4_DCUN1D3.pdf</v>
      </c>
    </row>
    <row r="4453" spans="1:28" x14ac:dyDescent="0.25">
      <c r="A4453" t="s">
        <v>4457</v>
      </c>
      <c r="B4453">
        <v>0.99252571173614901</v>
      </c>
      <c r="C4453">
        <v>0.97089492342817796</v>
      </c>
      <c r="D4453">
        <v>0.82599781157142904</v>
      </c>
      <c r="E4453">
        <v>0.58211413927659506</v>
      </c>
      <c r="F4453">
        <v>0.198435106842417</v>
      </c>
      <c r="G4453">
        <v>0.111852716559232</v>
      </c>
      <c r="H4453">
        <v>7.1670077905862994E-2</v>
      </c>
      <c r="I4453">
        <v>5.4515001394413197E-2</v>
      </c>
      <c r="J4453">
        <v>5.5641847889128099E-2</v>
      </c>
      <c r="K4453">
        <v>4.1343919738264498E-2</v>
      </c>
      <c r="L4453">
        <v>1070.90042191419</v>
      </c>
      <c r="M4453">
        <v>21.508825702434699</v>
      </c>
      <c r="N4453">
        <v>50.005827091279201</v>
      </c>
      <c r="O4453">
        <v>49.3645000655738</v>
      </c>
      <c r="P4453">
        <v>-0.10407883563937299</v>
      </c>
      <c r="Q4453">
        <v>4.4545836585622701E-2</v>
      </c>
      <c r="R4453">
        <v>0.99697616904018005</v>
      </c>
      <c r="S4453" t="s">
        <v>11099</v>
      </c>
      <c r="T4453" t="s">
        <v>13290</v>
      </c>
      <c r="U4453" t="s">
        <v>13290</v>
      </c>
      <c r="V4453" t="s">
        <v>13290</v>
      </c>
      <c r="W4453" t="s">
        <v>17695</v>
      </c>
      <c r="X4453">
        <v>3</v>
      </c>
      <c r="Y4453" t="s">
        <v>24183</v>
      </c>
      <c r="Z4453" t="s">
        <v>30783</v>
      </c>
      <c r="AA4453">
        <v>0.36783400893723489</v>
      </c>
      <c r="AB4453" t="str">
        <f>HYPERLINK("Melting_Curves/meltCurve_Q8IWF6_DENND6A.pdf", "Melting_Curves/meltCurve_Q8IWF6_DENND6A.pdf")</f>
        <v>Melting_Curves/meltCurve_Q8IWF6_DENND6A.pdf</v>
      </c>
    </row>
    <row r="4454" spans="1:28" x14ac:dyDescent="0.25">
      <c r="A4454" t="s">
        <v>4458</v>
      </c>
      <c r="B4454">
        <v>0.99252571173614901</v>
      </c>
      <c r="C4454">
        <v>0.92353622359619003</v>
      </c>
      <c r="D4454">
        <v>0.35025766713072198</v>
      </c>
      <c r="E4454">
        <v>0.31074146460824498</v>
      </c>
      <c r="F4454">
        <v>0.28620387522559998</v>
      </c>
      <c r="G4454">
        <v>0.180916228401414</v>
      </c>
      <c r="H4454">
        <v>0.16477800129739301</v>
      </c>
      <c r="I4454">
        <v>0.17602112323596</v>
      </c>
      <c r="J4454">
        <v>0.18719028496765699</v>
      </c>
      <c r="K4454">
        <v>0.18392803138199801</v>
      </c>
      <c r="L4454">
        <v>2298.7299035644801</v>
      </c>
      <c r="M4454">
        <v>51.445760639767698</v>
      </c>
      <c r="N4454">
        <v>45.164428905845597</v>
      </c>
      <c r="O4454">
        <v>44.615235873669</v>
      </c>
      <c r="P4454">
        <v>-0.22739217353105801</v>
      </c>
      <c r="Q4454">
        <v>0.21119668936807201</v>
      </c>
      <c r="R4454">
        <v>0.97709046884638895</v>
      </c>
      <c r="S4454" t="s">
        <v>11100</v>
      </c>
      <c r="T4454" t="s">
        <v>13290</v>
      </c>
      <c r="U4454" t="s">
        <v>13290</v>
      </c>
      <c r="V4454" t="s">
        <v>13290</v>
      </c>
      <c r="W4454" t="s">
        <v>17696</v>
      </c>
      <c r="X4454">
        <v>11</v>
      </c>
      <c r="Y4454" t="s">
        <v>24184</v>
      </c>
      <c r="Z4454" t="s">
        <v>30784</v>
      </c>
      <c r="AA4454">
        <v>0.3358290710257465</v>
      </c>
      <c r="AB4454" t="str">
        <f>HYPERLINK("Melting_Curves/meltCurve_Q8IWJ2_GCC2.pdf", "Melting_Curves/meltCurve_Q8IWJ2_GCC2.pdf")</f>
        <v>Melting_Curves/meltCurve_Q8IWJ2_GCC2.pdf</v>
      </c>
    </row>
    <row r="4455" spans="1:28" x14ac:dyDescent="0.25">
      <c r="A4455" t="s">
        <v>4459</v>
      </c>
      <c r="B4455">
        <v>0.99252571173614901</v>
      </c>
      <c r="C4455">
        <v>1.0884889303220999</v>
      </c>
      <c r="D4455">
        <v>0.91596385985914897</v>
      </c>
      <c r="E4455">
        <v>0.61491667156874696</v>
      </c>
      <c r="F4455">
        <v>0.26594615091526103</v>
      </c>
      <c r="G4455">
        <v>0.13013782844626001</v>
      </c>
      <c r="H4455">
        <v>8.8803820591938906E-2</v>
      </c>
      <c r="I4455">
        <v>8.9024072556645698E-2</v>
      </c>
      <c r="J4455">
        <v>9.6736852082729002E-2</v>
      </c>
      <c r="K4455">
        <v>9.94379876039133E-2</v>
      </c>
      <c r="L4455">
        <v>1350.77648991554</v>
      </c>
      <c r="M4455">
        <v>26.901091029850502</v>
      </c>
      <c r="N4455">
        <v>50.594188742190902</v>
      </c>
      <c r="O4455">
        <v>49.937688010535403</v>
      </c>
      <c r="P4455">
        <v>-0.12231247046574199</v>
      </c>
      <c r="Q4455">
        <v>9.1792887732498205E-2</v>
      </c>
      <c r="R4455">
        <v>0.99364647286647101</v>
      </c>
      <c r="S4455" t="s">
        <v>11101</v>
      </c>
      <c r="T4455" t="s">
        <v>13290</v>
      </c>
      <c r="U4455" t="s">
        <v>13290</v>
      </c>
      <c r="V4455" t="s">
        <v>13290</v>
      </c>
      <c r="W4455" t="s">
        <v>17697</v>
      </c>
      <c r="X4455">
        <v>12</v>
      </c>
      <c r="Y4455" t="s">
        <v>24185</v>
      </c>
      <c r="Z4455" t="s">
        <v>30785</v>
      </c>
      <c r="AA4455">
        <v>0.40799035643562598</v>
      </c>
      <c r="AB4455" t="str">
        <f>HYPERLINK("Melting_Curves/meltCurve_Q8IWL3_HSCB.pdf", "Melting_Curves/meltCurve_Q8IWL3_HSCB.pdf")</f>
        <v>Melting_Curves/meltCurve_Q8IWL3_HSCB.pdf</v>
      </c>
    </row>
    <row r="4456" spans="1:28" x14ac:dyDescent="0.25">
      <c r="A4456" t="s">
        <v>4460</v>
      </c>
      <c r="B4456">
        <v>0.99252571173614901</v>
      </c>
      <c r="C4456">
        <v>0.67670488296263498</v>
      </c>
      <c r="D4456">
        <v>0.20315835107574701</v>
      </c>
      <c r="E4456">
        <v>0.128311817692877</v>
      </c>
      <c r="F4456">
        <v>6.9876164271310007E-2</v>
      </c>
      <c r="G4456">
        <v>4.8205610767766201E-2</v>
      </c>
      <c r="H4456">
        <v>4.2557802006763297E-2</v>
      </c>
      <c r="I4456">
        <v>5.7524123423255198E-2</v>
      </c>
      <c r="J4456">
        <v>7.9068977974771804E-2</v>
      </c>
      <c r="K4456">
        <v>7.5549712946650402E-2</v>
      </c>
      <c r="L4456">
        <v>1540.4882876315301</v>
      </c>
      <c r="M4456">
        <v>35.249195528530699</v>
      </c>
      <c r="N4456">
        <v>43.887068961280796</v>
      </c>
      <c r="O4456">
        <v>43.562853627881502</v>
      </c>
      <c r="P4456">
        <v>-0.18837512737541401</v>
      </c>
      <c r="Q4456">
        <v>6.8786759776829701E-2</v>
      </c>
      <c r="R4456">
        <v>0.99558198564192402</v>
      </c>
      <c r="S4456" t="s">
        <v>11102</v>
      </c>
      <c r="T4456" t="s">
        <v>13290</v>
      </c>
      <c r="U4456" t="s">
        <v>13290</v>
      </c>
      <c r="V4456" t="s">
        <v>13290</v>
      </c>
      <c r="W4456" t="s">
        <v>17698</v>
      </c>
      <c r="X4456">
        <v>5</v>
      </c>
      <c r="Y4456" t="s">
        <v>24186</v>
      </c>
      <c r="Z4456" t="s">
        <v>30786</v>
      </c>
      <c r="AA4456">
        <v>0.188507636805642</v>
      </c>
      <c r="AB4456" t="str">
        <f>HYPERLINK("Melting_Curves/meltCurve_Q8IWR0_ZC3H7A.pdf", "Melting_Curves/meltCurve_Q8IWR0_ZC3H7A.pdf")</f>
        <v>Melting_Curves/meltCurve_Q8IWR0_ZC3H7A.pdf</v>
      </c>
    </row>
    <row r="4457" spans="1:28" x14ac:dyDescent="0.25">
      <c r="A4457" t="s">
        <v>4461</v>
      </c>
      <c r="B4457">
        <v>0.99252571173614901</v>
      </c>
      <c r="C4457">
        <v>1.0465095815037599</v>
      </c>
      <c r="D4457">
        <v>0.88246260680716804</v>
      </c>
      <c r="E4457">
        <v>0.58493076239280495</v>
      </c>
      <c r="F4457">
        <v>0.14370359623586901</v>
      </c>
      <c r="G4457">
        <v>7.0568745844188804E-2</v>
      </c>
      <c r="H4457">
        <v>5.4627828488758599E-2</v>
      </c>
      <c r="I4457">
        <v>6.1646414980255602E-2</v>
      </c>
      <c r="J4457">
        <v>7.5172263922526905E-2</v>
      </c>
      <c r="K4457">
        <v>7.9383182600314503E-2</v>
      </c>
      <c r="L4457">
        <v>1572.5621081217801</v>
      </c>
      <c r="M4457">
        <v>31.576038056222899</v>
      </c>
      <c r="N4457">
        <v>50.006700210173399</v>
      </c>
      <c r="O4457">
        <v>49.603914350656403</v>
      </c>
      <c r="P4457">
        <v>-0.14951099133270901</v>
      </c>
      <c r="Q4457">
        <v>6.0516587880355403E-2</v>
      </c>
      <c r="R4457">
        <v>0.99535861646757995</v>
      </c>
      <c r="S4457" t="s">
        <v>11103</v>
      </c>
      <c r="T4457" t="s">
        <v>13290</v>
      </c>
      <c r="U4457" t="s">
        <v>13290</v>
      </c>
      <c r="V4457" t="s">
        <v>13290</v>
      </c>
      <c r="W4457" t="s">
        <v>17699</v>
      </c>
      <c r="X4457">
        <v>23</v>
      </c>
      <c r="Y4457" t="s">
        <v>24187</v>
      </c>
      <c r="Z4457" t="s">
        <v>30787</v>
      </c>
      <c r="AA4457">
        <v>0.37271045490818427</v>
      </c>
      <c r="AB4457" t="str">
        <f>HYPERLINK("Melting_Curves/meltCurve_Q8IWS0_PHF6.pdf", "Melting_Curves/meltCurve_Q8IWS0_PHF6.pdf")</f>
        <v>Melting_Curves/meltCurve_Q8IWS0_PHF6.pdf</v>
      </c>
    </row>
    <row r="4458" spans="1:28" x14ac:dyDescent="0.25">
      <c r="A4458" t="s">
        <v>4462</v>
      </c>
      <c r="B4458">
        <v>0.99252571173614901</v>
      </c>
      <c r="C4458">
        <v>0.87785748450506895</v>
      </c>
      <c r="D4458">
        <v>0.83138300646630303</v>
      </c>
      <c r="E4458">
        <v>0.79529522315766399</v>
      </c>
      <c r="F4458">
        <v>0.73277703103622704</v>
      </c>
      <c r="G4458">
        <v>0.473558353277716</v>
      </c>
      <c r="H4458">
        <v>0.29990949861607802</v>
      </c>
      <c r="I4458">
        <v>0.36154689897634201</v>
      </c>
      <c r="J4458">
        <v>0.156263739999322</v>
      </c>
      <c r="K4458">
        <v>0.104026683114166</v>
      </c>
      <c r="L4458">
        <v>515.00992132612498</v>
      </c>
      <c r="M4458">
        <v>9.0755489913626608</v>
      </c>
      <c r="N4458">
        <v>56.746987752584999</v>
      </c>
      <c r="O4458">
        <v>54.195264235111502</v>
      </c>
      <c r="P4458">
        <v>-4.1894511182191098E-2</v>
      </c>
      <c r="Q4458">
        <v>0</v>
      </c>
      <c r="R4458">
        <v>0.96391057885828002</v>
      </c>
      <c r="S4458" t="s">
        <v>11104</v>
      </c>
      <c r="T4458" t="s">
        <v>13290</v>
      </c>
      <c r="U4458" t="s">
        <v>13290</v>
      </c>
      <c r="V4458" t="s">
        <v>13290</v>
      </c>
      <c r="W4458" t="s">
        <v>17700</v>
      </c>
      <c r="X4458">
        <v>3</v>
      </c>
      <c r="Y4458" t="s">
        <v>24188</v>
      </c>
      <c r="Z4458" t="s">
        <v>30788</v>
      </c>
      <c r="AA4458">
        <v>0.5743809366591055</v>
      </c>
      <c r="AB4458" t="str">
        <f>HYPERLINK("Melting_Curves/meltCurve_Q8IWT6_LRRC8A.pdf", "Melting_Curves/meltCurve_Q8IWT6_LRRC8A.pdf")</f>
        <v>Melting_Curves/meltCurve_Q8IWT6_LRRC8A.pdf</v>
      </c>
    </row>
    <row r="4459" spans="1:28" x14ac:dyDescent="0.25">
      <c r="A4459" t="s">
        <v>4463</v>
      </c>
      <c r="B4459">
        <v>0.99252571173614901</v>
      </c>
      <c r="C4459">
        <v>0.810906169541035</v>
      </c>
      <c r="D4459">
        <v>0.77667272671744503</v>
      </c>
      <c r="E4459">
        <v>0.69971563991173302</v>
      </c>
      <c r="F4459">
        <v>0.48448582395432899</v>
      </c>
      <c r="G4459">
        <v>0.28551137791522302</v>
      </c>
      <c r="H4459">
        <v>0.131132087875415</v>
      </c>
      <c r="I4459">
        <v>0.21447355950416599</v>
      </c>
      <c r="J4459">
        <v>0.28072308752728597</v>
      </c>
      <c r="K4459">
        <v>0.42776862048752101</v>
      </c>
      <c r="L4459">
        <v>687.4374553028</v>
      </c>
      <c r="M4459">
        <v>13.912918624819</v>
      </c>
      <c r="N4459">
        <v>51.831196117919603</v>
      </c>
      <c r="O4459">
        <v>48.422831685664399</v>
      </c>
      <c r="P4459">
        <v>-5.4673739686205702E-2</v>
      </c>
      <c r="Q4459">
        <v>0.23895277818921201</v>
      </c>
      <c r="R4459">
        <v>0.88849248486911203</v>
      </c>
      <c r="S4459" t="s">
        <v>11105</v>
      </c>
      <c r="T4459" t="s">
        <v>13290</v>
      </c>
      <c r="U4459" t="s">
        <v>13290</v>
      </c>
      <c r="V4459" t="s">
        <v>13290</v>
      </c>
      <c r="W4459" t="s">
        <v>17701</v>
      </c>
      <c r="X4459">
        <v>1</v>
      </c>
      <c r="Y4459" t="s">
        <v>24189</v>
      </c>
      <c r="Z4459" t="s">
        <v>30789</v>
      </c>
      <c r="AA4459">
        <v>0.49887050835239588</v>
      </c>
      <c r="AB4459" t="str">
        <f>HYPERLINK("Melting_Curves/meltCurve_Q8IWU2_LMTK2.pdf", "Melting_Curves/meltCurve_Q8IWU2_LMTK2.pdf")</f>
        <v>Melting_Curves/meltCurve_Q8IWU2_LMTK2.pdf</v>
      </c>
    </row>
    <row r="4460" spans="1:28" x14ac:dyDescent="0.25">
      <c r="A4460" t="s">
        <v>4464</v>
      </c>
      <c r="B4460">
        <v>0.99252571173614901</v>
      </c>
      <c r="C4460">
        <v>0.98155688254307305</v>
      </c>
      <c r="D4460">
        <v>0.97825848858278297</v>
      </c>
      <c r="E4460">
        <v>0.61229700328750603</v>
      </c>
      <c r="F4460">
        <v>0.62811090685727999</v>
      </c>
      <c r="G4460">
        <v>0.25666774792345498</v>
      </c>
      <c r="H4460">
        <v>0.26546065305792599</v>
      </c>
      <c r="I4460">
        <v>0.23264566316695401</v>
      </c>
      <c r="J4460">
        <v>0.25766095469725497</v>
      </c>
      <c r="K4460">
        <v>0.11035098742173</v>
      </c>
      <c r="L4460">
        <v>800.80561329084799</v>
      </c>
      <c r="M4460">
        <v>15.4120162312367</v>
      </c>
      <c r="N4460">
        <v>53.375761736835102</v>
      </c>
      <c r="O4460">
        <v>51.108610771082198</v>
      </c>
      <c r="P4460">
        <v>-6.2744662051361005E-2</v>
      </c>
      <c r="Q4460">
        <v>0.16779189125739999</v>
      </c>
      <c r="R4460">
        <v>0.95354915513761895</v>
      </c>
      <c r="S4460" t="s">
        <v>11106</v>
      </c>
      <c r="T4460" t="s">
        <v>13290</v>
      </c>
      <c r="U4460" t="s">
        <v>13290</v>
      </c>
      <c r="V4460" t="s">
        <v>13290</v>
      </c>
      <c r="W4460" t="s">
        <v>17702</v>
      </c>
      <c r="X4460">
        <v>4</v>
      </c>
      <c r="Y4460" t="s">
        <v>24190</v>
      </c>
      <c r="Z4460" t="s">
        <v>30790</v>
      </c>
      <c r="AA4460">
        <v>0.51742687307733359</v>
      </c>
      <c r="AB4460" t="str">
        <f>HYPERLINK("Melting_Curves/meltCurve_Q8IWV7_UBR1.pdf", "Melting_Curves/meltCurve_Q8IWV7_UBR1.pdf")</f>
        <v>Melting_Curves/meltCurve_Q8IWV7_UBR1.pdf</v>
      </c>
    </row>
    <row r="4461" spans="1:28" x14ac:dyDescent="0.25">
      <c r="A4461" t="s">
        <v>4465</v>
      </c>
      <c r="B4461">
        <v>0.99252571173614901</v>
      </c>
      <c r="C4461">
        <v>0.81331500867828499</v>
      </c>
      <c r="D4461">
        <v>0.77171509893548296</v>
      </c>
      <c r="E4461">
        <v>0.25355152770128803</v>
      </c>
      <c r="F4461">
        <v>0.17656081829746401</v>
      </c>
      <c r="G4461">
        <v>0.105732523208136</v>
      </c>
      <c r="H4461">
        <v>7.0768860944886297E-2</v>
      </c>
      <c r="I4461">
        <v>6.2881830623476895E-2</v>
      </c>
      <c r="J4461">
        <v>7.0660956296149505E-2</v>
      </c>
      <c r="K4461">
        <v>5.9994320972175899E-2</v>
      </c>
      <c r="L4461">
        <v>1051.6646691916001</v>
      </c>
      <c r="M4461">
        <v>22.181219860299301</v>
      </c>
      <c r="N4461">
        <v>47.721457615340803</v>
      </c>
      <c r="O4461">
        <v>47.032061445962</v>
      </c>
      <c r="P4461">
        <v>-0.110018713565326</v>
      </c>
      <c r="Q4461">
        <v>6.6905010843008497E-2</v>
      </c>
      <c r="R4461">
        <v>0.98017229120575899</v>
      </c>
      <c r="S4461" t="s">
        <v>11107</v>
      </c>
      <c r="T4461" t="s">
        <v>13290</v>
      </c>
      <c r="U4461" t="s">
        <v>13290</v>
      </c>
      <c r="V4461" t="s">
        <v>13290</v>
      </c>
      <c r="W4461" t="s">
        <v>17703</v>
      </c>
      <c r="X4461">
        <v>8</v>
      </c>
      <c r="Y4461" t="s">
        <v>24191</v>
      </c>
      <c r="Z4461" t="s">
        <v>30791</v>
      </c>
      <c r="AA4461">
        <v>0.3081962224080162</v>
      </c>
      <c r="AB4461" t="str">
        <f>HYPERLINK("Melting_Curves/meltCurve_Q8IWV8_4_UBR2.pdf", "Melting_Curves/meltCurve_Q8IWV8_4_UBR2.pdf")</f>
        <v>Melting_Curves/meltCurve_Q8IWV8_4_UBR2.pdf</v>
      </c>
    </row>
    <row r="4462" spans="1:28" x14ac:dyDescent="0.25">
      <c r="A4462" t="s">
        <v>4466</v>
      </c>
      <c r="B4462">
        <v>0.99252571173614901</v>
      </c>
      <c r="C4462">
        <v>0.91782443186330398</v>
      </c>
      <c r="D4462">
        <v>0.869814608584215</v>
      </c>
      <c r="E4462">
        <v>0.54798270562181095</v>
      </c>
      <c r="F4462">
        <v>0.225104202418137</v>
      </c>
      <c r="G4462">
        <v>0.15314519652504499</v>
      </c>
      <c r="H4462">
        <v>0.14191558271726401</v>
      </c>
      <c r="I4462">
        <v>0.147836854622443</v>
      </c>
      <c r="J4462">
        <v>0.154904572005023</v>
      </c>
      <c r="K4462">
        <v>0.114639603941583</v>
      </c>
      <c r="L4462">
        <v>1209.86804485568</v>
      </c>
      <c r="M4462">
        <v>24.5648493768904</v>
      </c>
      <c r="N4462">
        <v>49.8677658715973</v>
      </c>
      <c r="O4462">
        <v>48.929085705554598</v>
      </c>
      <c r="P4462">
        <v>-0.109094780121469</v>
      </c>
      <c r="Q4462">
        <v>0.130818055152576</v>
      </c>
      <c r="R4462">
        <v>0.99522837376713402</v>
      </c>
      <c r="S4462" t="s">
        <v>11108</v>
      </c>
      <c r="T4462" t="s">
        <v>13290</v>
      </c>
      <c r="U4462" t="s">
        <v>13290</v>
      </c>
      <c r="V4462" t="s">
        <v>13290</v>
      </c>
      <c r="W4462" t="s">
        <v>17704</v>
      </c>
      <c r="X4462">
        <v>12</v>
      </c>
      <c r="Y4462" t="s">
        <v>24192</v>
      </c>
      <c r="Z4462" t="s">
        <v>30792</v>
      </c>
      <c r="AA4462">
        <v>0.40687215252612258</v>
      </c>
      <c r="AB4462" t="str">
        <f>HYPERLINK("Melting_Curves/meltCurve_Q8IWW6_2_ARHGAP12.pdf", "Melting_Curves/meltCurve_Q8IWW6_2_ARHGAP12.pdf")</f>
        <v>Melting_Curves/meltCurve_Q8IWW6_2_ARHGAP12.pdf</v>
      </c>
    </row>
    <row r="4463" spans="1:28" x14ac:dyDescent="0.25">
      <c r="A4463" t="s">
        <v>4467</v>
      </c>
      <c r="B4463">
        <v>0.99252571173614901</v>
      </c>
      <c r="C4463">
        <v>0.96508395744118902</v>
      </c>
      <c r="D4463">
        <v>0.90636545065023399</v>
      </c>
      <c r="E4463">
        <v>0.80607440400183294</v>
      </c>
      <c r="F4463">
        <v>0.33050524527779901</v>
      </c>
      <c r="G4463">
        <v>0.161237264664812</v>
      </c>
      <c r="H4463">
        <v>0.101102376875861</v>
      </c>
      <c r="I4463">
        <v>0.13244819210570599</v>
      </c>
      <c r="J4463">
        <v>0.19782602207990799</v>
      </c>
      <c r="K4463">
        <v>0.19027459691955501</v>
      </c>
      <c r="L4463">
        <v>1784.13090718273</v>
      </c>
      <c r="M4463">
        <v>34.839207115094702</v>
      </c>
      <c r="N4463">
        <v>51.742568812241103</v>
      </c>
      <c r="O4463">
        <v>51.042590644684097</v>
      </c>
      <c r="P4463">
        <v>-0.14494554517854599</v>
      </c>
      <c r="Q4463">
        <v>0.15056970821465401</v>
      </c>
      <c r="R4463">
        <v>0.98909071246329705</v>
      </c>
      <c r="S4463" t="s">
        <v>11109</v>
      </c>
      <c r="T4463" t="s">
        <v>13290</v>
      </c>
      <c r="U4463" t="s">
        <v>13290</v>
      </c>
      <c r="V4463" t="s">
        <v>13290</v>
      </c>
      <c r="W4463" t="s">
        <v>17705</v>
      </c>
      <c r="X4463">
        <v>1</v>
      </c>
      <c r="Y4463" t="s">
        <v>24193</v>
      </c>
      <c r="Z4463" t="s">
        <v>30793</v>
      </c>
      <c r="AA4463">
        <v>0.47195589596513382</v>
      </c>
      <c r="AB4463" t="str">
        <f>HYPERLINK("Melting_Curves/meltCurve_Q8IWX5_SGPP2.pdf", "Melting_Curves/meltCurve_Q8IWX5_SGPP2.pdf")</f>
        <v>Melting_Curves/meltCurve_Q8IWX5_SGPP2.pdf</v>
      </c>
    </row>
    <row r="4464" spans="1:28" x14ac:dyDescent="0.25">
      <c r="A4464" t="s">
        <v>4468</v>
      </c>
      <c r="B4464">
        <v>0.99252571173614901</v>
      </c>
      <c r="C4464">
        <v>0.70133161785313503</v>
      </c>
      <c r="D4464">
        <v>0.30762446433767998</v>
      </c>
      <c r="E4464">
        <v>0.22937501391757201</v>
      </c>
      <c r="F4464">
        <v>0.15882771528367601</v>
      </c>
      <c r="G4464">
        <v>0.10196254213030501</v>
      </c>
      <c r="H4464">
        <v>8.5887991102003999E-2</v>
      </c>
      <c r="I4464">
        <v>9.9751569166279599E-2</v>
      </c>
      <c r="J4464">
        <v>0.13153169167663001</v>
      </c>
      <c r="K4464">
        <v>0.148599106780021</v>
      </c>
      <c r="L4464">
        <v>1236.12634182133</v>
      </c>
      <c r="M4464">
        <v>28.1120054971807</v>
      </c>
      <c r="N4464">
        <v>44.439346374800898</v>
      </c>
      <c r="O4464">
        <v>43.750774305750703</v>
      </c>
      <c r="P4464">
        <v>-0.14006100748374201</v>
      </c>
      <c r="Q4464">
        <v>0.12809837775880301</v>
      </c>
      <c r="R4464">
        <v>0.98685765768419098</v>
      </c>
      <c r="S4464" t="s">
        <v>11110</v>
      </c>
      <c r="T4464" t="s">
        <v>13290</v>
      </c>
      <c r="U4464" t="s">
        <v>13290</v>
      </c>
      <c r="V4464" t="s">
        <v>13290</v>
      </c>
      <c r="W4464" t="s">
        <v>17706</v>
      </c>
      <c r="X4464">
        <v>22</v>
      </c>
      <c r="Y4464" t="s">
        <v>24194</v>
      </c>
      <c r="Z4464" t="s">
        <v>30794</v>
      </c>
      <c r="AA4464">
        <v>0.25104163397705209</v>
      </c>
      <c r="AB4464" t="str">
        <f>HYPERLINK("Melting_Curves/meltCurve_Q8IWZ3_6_ANKHD1.pdf", "Melting_Curves/meltCurve_Q8IWZ3_6_ANKHD1.pdf")</f>
        <v>Melting_Curves/meltCurve_Q8IWZ3_6_ANKHD1.pdf</v>
      </c>
    </row>
    <row r="4465" spans="1:28" x14ac:dyDescent="0.25">
      <c r="A4465" t="s">
        <v>4469</v>
      </c>
      <c r="B4465">
        <v>0.99252571173614901</v>
      </c>
      <c r="C4465">
        <v>0.90578471336020805</v>
      </c>
      <c r="D4465">
        <v>0.68960213407000803</v>
      </c>
      <c r="E4465">
        <v>0.41995166335049</v>
      </c>
      <c r="F4465">
        <v>0.25535521124800598</v>
      </c>
      <c r="G4465">
        <v>0.16709230869995401</v>
      </c>
      <c r="H4465">
        <v>0.13653624432980599</v>
      </c>
      <c r="I4465">
        <v>0.158677690984494</v>
      </c>
      <c r="J4465">
        <v>0.20542769198840899</v>
      </c>
      <c r="K4465">
        <v>0.22572870455570401</v>
      </c>
      <c r="L4465">
        <v>964.59661309965304</v>
      </c>
      <c r="M4465">
        <v>20.404013553772302</v>
      </c>
      <c r="N4465">
        <v>48.281073220216399</v>
      </c>
      <c r="O4465">
        <v>46.827776179488403</v>
      </c>
      <c r="P4465">
        <v>-9.0067680969018293E-2</v>
      </c>
      <c r="Q4465">
        <v>0.173193578242966</v>
      </c>
      <c r="R4465">
        <v>0.99208135940744502</v>
      </c>
      <c r="S4465" t="s">
        <v>11111</v>
      </c>
      <c r="T4465" t="s">
        <v>13290</v>
      </c>
      <c r="U4465" t="s">
        <v>13290</v>
      </c>
      <c r="V4465" t="s">
        <v>13290</v>
      </c>
      <c r="W4465" t="s">
        <v>17707</v>
      </c>
      <c r="X4465">
        <v>13</v>
      </c>
      <c r="Y4465" t="s">
        <v>24195</v>
      </c>
      <c r="Z4465" t="s">
        <v>30795</v>
      </c>
      <c r="AA4465">
        <v>0.38515839805338969</v>
      </c>
      <c r="AB4465" t="str">
        <f>HYPERLINK("Melting_Curves/meltCurve_Q8IWZ8_SUGP1.pdf", "Melting_Curves/meltCurve_Q8IWZ8_SUGP1.pdf")</f>
        <v>Melting_Curves/meltCurve_Q8IWZ8_SUGP1.pdf</v>
      </c>
    </row>
    <row r="4466" spans="1:28" x14ac:dyDescent="0.25">
      <c r="A4466" t="s">
        <v>4470</v>
      </c>
      <c r="B4466">
        <v>0.99252571173614901</v>
      </c>
      <c r="C4466">
        <v>0.99052724266833803</v>
      </c>
      <c r="D4466">
        <v>0.80960569858044096</v>
      </c>
      <c r="E4466">
        <v>0.403865052580763</v>
      </c>
      <c r="F4466">
        <v>0.13202204833923101</v>
      </c>
      <c r="G4466">
        <v>6.7731381256973894E-2</v>
      </c>
      <c r="H4466">
        <v>5.3487238344596198E-2</v>
      </c>
      <c r="I4466">
        <v>3.9714315452535703E-2</v>
      </c>
      <c r="J4466">
        <v>4.2167596136647598E-2</v>
      </c>
      <c r="K4466">
        <v>4.9970519954245701E-2</v>
      </c>
      <c r="L4466">
        <v>1255.8397071766699</v>
      </c>
      <c r="M4466">
        <v>25.846467786235198</v>
      </c>
      <c r="N4466">
        <v>48.762856865169901</v>
      </c>
      <c r="O4466">
        <v>48.300383856500702</v>
      </c>
      <c r="P4466">
        <v>-0.12787489063024299</v>
      </c>
      <c r="Q4466">
        <v>4.4150443451284098E-2</v>
      </c>
      <c r="R4466">
        <v>0.99956714179249595</v>
      </c>
      <c r="S4466" t="s">
        <v>11112</v>
      </c>
      <c r="T4466" t="s">
        <v>13290</v>
      </c>
      <c r="U4466" t="s">
        <v>13290</v>
      </c>
      <c r="V4466" t="s">
        <v>13290</v>
      </c>
      <c r="W4466" t="s">
        <v>17708</v>
      </c>
      <c r="X4466">
        <v>1</v>
      </c>
      <c r="Y4466" t="s">
        <v>24196</v>
      </c>
      <c r="Z4466" t="s">
        <v>30796</v>
      </c>
      <c r="AA4466">
        <v>0.32567855294150672</v>
      </c>
      <c r="AB4466" t="str">
        <f>HYPERLINK("Melting_Curves/meltCurve_Q8IX04_6_UEVLD.pdf", "Melting_Curves/meltCurve_Q8IX04_6_UEVLD.pdf")</f>
        <v>Melting_Curves/meltCurve_Q8IX04_6_UEVLD.pdf</v>
      </c>
    </row>
    <row r="4467" spans="1:28" x14ac:dyDescent="0.25">
      <c r="A4467" t="s">
        <v>4471</v>
      </c>
      <c r="B4467">
        <v>0.99252571173614901</v>
      </c>
      <c r="C4467">
        <v>0.903903784515808</v>
      </c>
      <c r="D4467">
        <v>1.0332418953129201</v>
      </c>
      <c r="E4467">
        <v>0.61168965893555705</v>
      </c>
      <c r="F4467">
        <v>0.176953777795305</v>
      </c>
      <c r="G4467">
        <v>0.11528009576579799</v>
      </c>
      <c r="H4467">
        <v>8.9681508351324601E-2</v>
      </c>
      <c r="I4467">
        <v>0.105088568607777</v>
      </c>
      <c r="J4467">
        <v>0.13634744974285401</v>
      </c>
      <c r="K4467">
        <v>0.133344305447581</v>
      </c>
      <c r="L4467">
        <v>2448.7437637091498</v>
      </c>
      <c r="M4467">
        <v>49.103213964986303</v>
      </c>
      <c r="N4467">
        <v>50.146294089712498</v>
      </c>
      <c r="O4467">
        <v>49.786821490047899</v>
      </c>
      <c r="P4467">
        <v>-0.21728142489649099</v>
      </c>
      <c r="Q4467">
        <v>0.118775411502689</v>
      </c>
      <c r="R4467">
        <v>0.99100569386425696</v>
      </c>
      <c r="S4467" t="s">
        <v>11113</v>
      </c>
      <c r="T4467" t="s">
        <v>13290</v>
      </c>
      <c r="U4467" t="s">
        <v>13290</v>
      </c>
      <c r="V4467" t="s">
        <v>13290</v>
      </c>
      <c r="W4467" t="s">
        <v>17709</v>
      </c>
      <c r="X4467">
        <v>25</v>
      </c>
      <c r="Y4467" t="s">
        <v>24197</v>
      </c>
      <c r="Z4467" t="s">
        <v>30797</v>
      </c>
      <c r="AA4467">
        <v>0.41068865810682809</v>
      </c>
      <c r="AB4467" t="str">
        <f>HYPERLINK("Melting_Curves/meltCurve_Q8IX12_2_CCAR1.pdf", "Melting_Curves/meltCurve_Q8IX12_2_CCAR1.pdf")</f>
        <v>Melting_Curves/meltCurve_Q8IX12_2_CCAR1.pdf</v>
      </c>
    </row>
    <row r="4468" spans="1:28" x14ac:dyDescent="0.25">
      <c r="A4468" t="s">
        <v>4472</v>
      </c>
      <c r="B4468">
        <v>0.99252571173614901</v>
      </c>
      <c r="C4468">
        <v>0.92727768057488602</v>
      </c>
      <c r="D4468">
        <v>1.00875541417412</v>
      </c>
      <c r="E4468">
        <v>0.74969492933019499</v>
      </c>
      <c r="F4468">
        <v>0.52743826462935095</v>
      </c>
      <c r="G4468">
        <v>0.376419933351888</v>
      </c>
      <c r="H4468">
        <v>0.189263968326393</v>
      </c>
      <c r="I4468">
        <v>0.13829040113430299</v>
      </c>
      <c r="J4468">
        <v>0.16359615483162901</v>
      </c>
      <c r="K4468">
        <v>0.16279749162989601</v>
      </c>
      <c r="L4468">
        <v>897.48654961966804</v>
      </c>
      <c r="M4468">
        <v>16.995008634570301</v>
      </c>
      <c r="N4468">
        <v>53.760409116755802</v>
      </c>
      <c r="O4468">
        <v>52.093923764241197</v>
      </c>
      <c r="P4468">
        <v>-7.09698419216689E-2</v>
      </c>
      <c r="Q4468">
        <v>0.129892967577073</v>
      </c>
      <c r="R4468">
        <v>0.98842873054166402</v>
      </c>
      <c r="S4468" t="s">
        <v>11114</v>
      </c>
      <c r="T4468" t="s">
        <v>13290</v>
      </c>
      <c r="U4468" t="s">
        <v>13290</v>
      </c>
      <c r="V4468" t="s">
        <v>13290</v>
      </c>
      <c r="W4468" t="s">
        <v>17710</v>
      </c>
      <c r="X4468">
        <v>11</v>
      </c>
      <c r="Y4468" t="s">
        <v>24198</v>
      </c>
      <c r="Z4468" t="s">
        <v>30798</v>
      </c>
      <c r="AA4468">
        <v>0.51706122293135293</v>
      </c>
      <c r="AB4468" t="str">
        <f>HYPERLINK("Melting_Curves/meltCurve_Q8IX18_3_DHX40.pdf", "Melting_Curves/meltCurve_Q8IX18_3_DHX40.pdf")</f>
        <v>Melting_Curves/meltCurve_Q8IX18_3_DHX40.pdf</v>
      </c>
    </row>
    <row r="4469" spans="1:28" x14ac:dyDescent="0.25">
      <c r="A4469" t="s">
        <v>4473</v>
      </c>
      <c r="B4469">
        <v>0.99252571173614901</v>
      </c>
      <c r="C4469">
        <v>0.84494372544785401</v>
      </c>
      <c r="D4469">
        <v>0.47315861329443398</v>
      </c>
      <c r="E4469">
        <v>0.33124910968435201</v>
      </c>
      <c r="F4469">
        <v>0.179531220353086</v>
      </c>
      <c r="G4469">
        <v>9.0246549223380296E-2</v>
      </c>
      <c r="H4469">
        <v>8.7751348183532502E-2</v>
      </c>
      <c r="I4469">
        <v>0.16481082482698101</v>
      </c>
      <c r="J4469">
        <v>0.32560898760817503</v>
      </c>
      <c r="K4469">
        <v>0.45105830679041597</v>
      </c>
      <c r="L4469">
        <v>1286.5734580108301</v>
      </c>
      <c r="M4469">
        <v>28.623934237879201</v>
      </c>
      <c r="N4469">
        <v>45.8911865410033</v>
      </c>
      <c r="O4469">
        <v>44.729790383431201</v>
      </c>
      <c r="P4469">
        <v>-0.12439478667237</v>
      </c>
      <c r="Q4469">
        <v>0.22245338128304401</v>
      </c>
      <c r="R4469">
        <v>0.87373368272188101</v>
      </c>
      <c r="S4469" t="s">
        <v>11115</v>
      </c>
      <c r="T4469" t="s">
        <v>13290</v>
      </c>
      <c r="U4469" t="s">
        <v>13290</v>
      </c>
      <c r="V4469" t="s">
        <v>13290</v>
      </c>
      <c r="W4469" t="s">
        <v>17711</v>
      </c>
      <c r="X4469">
        <v>3</v>
      </c>
      <c r="Y4469" t="s">
        <v>24199</v>
      </c>
      <c r="Z4469" t="s">
        <v>30799</v>
      </c>
      <c r="AA4469">
        <v>0.35630745877550318</v>
      </c>
      <c r="AB4469" t="str">
        <f>HYPERLINK("Melting_Curves/meltCurve_Q8IX90_SKA3.pdf", "Melting_Curves/meltCurve_Q8IX90_SKA3.pdf")</f>
        <v>Melting_Curves/meltCurve_Q8IX90_SKA3.pdf</v>
      </c>
    </row>
    <row r="4470" spans="1:28" x14ac:dyDescent="0.25">
      <c r="A4470" t="s">
        <v>4474</v>
      </c>
      <c r="B4470">
        <v>0.99252571173614901</v>
      </c>
      <c r="C4470">
        <v>0.96553526257479805</v>
      </c>
      <c r="D4470">
        <v>0.97124668248369395</v>
      </c>
      <c r="E4470">
        <v>0.87061786125110496</v>
      </c>
      <c r="F4470">
        <v>0.25534977699352901</v>
      </c>
      <c r="G4470">
        <v>0.12759890729690801</v>
      </c>
      <c r="H4470">
        <v>0.101805580107976</v>
      </c>
      <c r="I4470">
        <v>0.120868549116246</v>
      </c>
      <c r="J4470">
        <v>0.17720307129090301</v>
      </c>
      <c r="K4470">
        <v>0.14241333627040301</v>
      </c>
      <c r="L4470">
        <v>2600.2403033917299</v>
      </c>
      <c r="M4470">
        <v>50.688702624405799</v>
      </c>
      <c r="N4470">
        <v>51.612538595418599</v>
      </c>
      <c r="O4470">
        <v>51.2185663506963</v>
      </c>
      <c r="P4470">
        <v>-0.21455831159101399</v>
      </c>
      <c r="Q4470">
        <v>0.132796090961319</v>
      </c>
      <c r="R4470">
        <v>0.99659970294766498</v>
      </c>
      <c r="S4470" t="s">
        <v>11116</v>
      </c>
      <c r="T4470" t="s">
        <v>13290</v>
      </c>
      <c r="U4470" t="s">
        <v>13290</v>
      </c>
      <c r="V4470" t="s">
        <v>13290</v>
      </c>
      <c r="W4470" t="s">
        <v>17712</v>
      </c>
      <c r="X4470">
        <v>25</v>
      </c>
      <c r="Y4470" t="s">
        <v>24200</v>
      </c>
      <c r="Z4470" t="s">
        <v>30800</v>
      </c>
      <c r="AA4470">
        <v>0.46130047240224159</v>
      </c>
      <c r="AB4470" t="str">
        <f>HYPERLINK("Melting_Curves/meltCurve_Q8IXB1_DNAJC10.pdf", "Melting_Curves/meltCurve_Q8IXB1_DNAJC10.pdf")</f>
        <v>Melting_Curves/meltCurve_Q8IXB1_DNAJC10.pdf</v>
      </c>
    </row>
    <row r="4471" spans="1:28" x14ac:dyDescent="0.25">
      <c r="A4471" t="s">
        <v>4475</v>
      </c>
      <c r="B4471">
        <v>0.99252571173614901</v>
      </c>
      <c r="C4471">
        <v>0.79974037619646299</v>
      </c>
      <c r="D4471">
        <v>0.67477527247549196</v>
      </c>
      <c r="E4471">
        <v>0.443209572917241</v>
      </c>
      <c r="F4471">
        <v>0.145040723721644</v>
      </c>
      <c r="G4471">
        <v>9.4167807757957495E-2</v>
      </c>
      <c r="H4471">
        <v>7.5969782531914595E-2</v>
      </c>
      <c r="I4471">
        <v>8.2819790155371997E-2</v>
      </c>
      <c r="J4471">
        <v>9.10902122049113E-2</v>
      </c>
      <c r="K4471">
        <v>9.5995803035341998E-2</v>
      </c>
      <c r="L4471">
        <v>777.01516567567796</v>
      </c>
      <c r="M4471">
        <v>16.3177671393235</v>
      </c>
      <c r="N4471">
        <v>48.007570547633897</v>
      </c>
      <c r="O4471">
        <v>46.919821720097701</v>
      </c>
      <c r="P4471">
        <v>-8.1555919222119896E-2</v>
      </c>
      <c r="Q4471">
        <v>6.2050371091426602E-2</v>
      </c>
      <c r="R4471">
        <v>0.98627412081663102</v>
      </c>
      <c r="S4471" t="s">
        <v>11117</v>
      </c>
      <c r="T4471" t="s">
        <v>13290</v>
      </c>
      <c r="U4471" t="s">
        <v>13290</v>
      </c>
      <c r="V4471" t="s">
        <v>13290</v>
      </c>
      <c r="W4471" t="s">
        <v>17713</v>
      </c>
      <c r="X4471">
        <v>9</v>
      </c>
      <c r="Y4471" t="s">
        <v>24201</v>
      </c>
      <c r="Z4471" t="s">
        <v>30801</v>
      </c>
      <c r="AA4471">
        <v>0.32092977802222039</v>
      </c>
      <c r="AB4471" t="str">
        <f>HYPERLINK("Melting_Curves/meltCurve_Q8IXI1_RHOT2.pdf", "Melting_Curves/meltCurve_Q8IXI1_RHOT2.pdf")</f>
        <v>Melting_Curves/meltCurve_Q8IXI1_RHOT2.pdf</v>
      </c>
    </row>
    <row r="4472" spans="1:28" x14ac:dyDescent="0.25">
      <c r="A4472" t="s">
        <v>4476</v>
      </c>
      <c r="B4472">
        <v>0.99252571173614901</v>
      </c>
      <c r="C4472">
        <v>0.92231229195730902</v>
      </c>
      <c r="D4472">
        <v>0.920453800196259</v>
      </c>
      <c r="E4472">
        <v>0.87470512363780095</v>
      </c>
      <c r="F4472">
        <v>0.48686458684552097</v>
      </c>
      <c r="G4472">
        <v>0.19283960126219099</v>
      </c>
      <c r="H4472">
        <v>0.12546082902745501</v>
      </c>
      <c r="I4472">
        <v>0.14165769155656399</v>
      </c>
      <c r="J4472">
        <v>0.167712053796743</v>
      </c>
      <c r="K4472">
        <v>0.19849144624436299</v>
      </c>
      <c r="L4472">
        <v>1660.60484478903</v>
      </c>
      <c r="M4472">
        <v>31.709003377957799</v>
      </c>
      <c r="N4472">
        <v>52.9717179923679</v>
      </c>
      <c r="O4472">
        <v>52.163165238478697</v>
      </c>
      <c r="P4472">
        <v>-0.12899305668515601</v>
      </c>
      <c r="Q4472">
        <v>0.151199947875684</v>
      </c>
      <c r="R4472">
        <v>0.98813329675336403</v>
      </c>
      <c r="S4472" t="s">
        <v>11118</v>
      </c>
      <c r="T4472" t="s">
        <v>13290</v>
      </c>
      <c r="U4472" t="s">
        <v>13290</v>
      </c>
      <c r="V4472" t="s">
        <v>13290</v>
      </c>
      <c r="W4472" t="s">
        <v>17714</v>
      </c>
      <c r="X4472">
        <v>4</v>
      </c>
      <c r="Y4472" t="s">
        <v>24202</v>
      </c>
      <c r="Z4472" t="s">
        <v>30802</v>
      </c>
      <c r="AA4472">
        <v>0.50607968168878514</v>
      </c>
      <c r="AB4472" t="str">
        <f>HYPERLINK("Melting_Curves/meltCurve_Q8IXI2_4_RHOT1.pdf", "Melting_Curves/meltCurve_Q8IXI2_4_RHOT1.pdf")</f>
        <v>Melting_Curves/meltCurve_Q8IXI2_4_RHOT1.pdf</v>
      </c>
    </row>
    <row r="4473" spans="1:28" x14ac:dyDescent="0.25">
      <c r="A4473" t="s">
        <v>4477</v>
      </c>
      <c r="B4473">
        <v>0.99252571173614901</v>
      </c>
      <c r="C4473">
        <v>1.02903203491521</v>
      </c>
      <c r="D4473">
        <v>0.94692975493194398</v>
      </c>
      <c r="E4473">
        <v>0.65047018557259795</v>
      </c>
      <c r="F4473">
        <v>0.66610847664999195</v>
      </c>
      <c r="G4473">
        <v>0.56428497445275705</v>
      </c>
      <c r="H4473">
        <v>0.33456345865036902</v>
      </c>
      <c r="I4473">
        <v>0.40727704282171401</v>
      </c>
      <c r="J4473">
        <v>0.66092249308259698</v>
      </c>
      <c r="K4473">
        <v>0.909261318321682</v>
      </c>
      <c r="L4473">
        <v>2183.4114506554602</v>
      </c>
      <c r="M4473">
        <v>45.604525517288103</v>
      </c>
      <c r="O4473">
        <v>47.785291617841303</v>
      </c>
      <c r="P4473">
        <v>-9.8184937244258599E-2</v>
      </c>
      <c r="Q4473">
        <v>0.58848030867391798</v>
      </c>
      <c r="R4473">
        <v>0.60549419113173097</v>
      </c>
      <c r="S4473" t="s">
        <v>11119</v>
      </c>
      <c r="T4473" t="s">
        <v>13290</v>
      </c>
      <c r="U4473" t="s">
        <v>13290</v>
      </c>
      <c r="V4473" t="s">
        <v>13290</v>
      </c>
      <c r="W4473" t="s">
        <v>17715</v>
      </c>
      <c r="X4473">
        <v>4</v>
      </c>
      <c r="Y4473" t="s">
        <v>24203</v>
      </c>
      <c r="Z4473" t="s">
        <v>30803</v>
      </c>
      <c r="AA4473">
        <v>0.69757981699360883</v>
      </c>
      <c r="AB4473" t="str">
        <f>HYPERLINK("Melting_Curves/meltCurve_Q8IXM2_2_BAP18.pdf", "Melting_Curves/meltCurve_Q8IXM2_2_BAP18.pdf")</f>
        <v>Melting_Curves/meltCurve_Q8IXM2_2_BAP18.pdf</v>
      </c>
    </row>
    <row r="4474" spans="1:28" x14ac:dyDescent="0.25">
      <c r="A4474" t="s">
        <v>4478</v>
      </c>
      <c r="B4474">
        <v>0.99252571173614901</v>
      </c>
      <c r="C4474">
        <v>1.0642856546594599</v>
      </c>
      <c r="D4474">
        <v>1.0385653481930499</v>
      </c>
      <c r="E4474">
        <v>1.0512398159151699</v>
      </c>
      <c r="F4474">
        <v>0.93606517832428004</v>
      </c>
      <c r="G4474">
        <v>0.85111910892431597</v>
      </c>
      <c r="H4474">
        <v>0.90110915322742902</v>
      </c>
      <c r="I4474">
        <v>1.24951338820112</v>
      </c>
      <c r="J4474">
        <v>1.8948150204721901</v>
      </c>
      <c r="K4474">
        <v>2.0191527502284199</v>
      </c>
      <c r="L4474">
        <v>15000</v>
      </c>
      <c r="M4474">
        <v>234.37134479536601</v>
      </c>
      <c r="O4474">
        <v>63.9963381464826</v>
      </c>
      <c r="P4474">
        <v>0.45778272636752798</v>
      </c>
      <c r="Q4474">
        <v>1.5</v>
      </c>
      <c r="R4474">
        <v>0.696275340746913</v>
      </c>
      <c r="S4474" t="s">
        <v>11120</v>
      </c>
      <c r="T4474" t="s">
        <v>13290</v>
      </c>
      <c r="U4474" t="s">
        <v>13290</v>
      </c>
      <c r="V4474" t="s">
        <v>13290</v>
      </c>
      <c r="W4474" t="s">
        <v>17716</v>
      </c>
      <c r="X4474">
        <v>24</v>
      </c>
      <c r="Y4474" t="s">
        <v>24204</v>
      </c>
      <c r="Z4474" t="s">
        <v>30804</v>
      </c>
      <c r="AA4474">
        <v>1.0999194625370301</v>
      </c>
      <c r="AB4474" t="str">
        <f>HYPERLINK("Melting_Curves/meltCurve_Q8IXQ4_KIAA1704.pdf", "Melting_Curves/meltCurve_Q8IXQ4_KIAA1704.pdf")</f>
        <v>Melting_Curves/meltCurve_Q8IXQ4_KIAA1704.pdf</v>
      </c>
    </row>
    <row r="4475" spans="1:28" x14ac:dyDescent="0.25">
      <c r="A4475" t="s">
        <v>4479</v>
      </c>
      <c r="B4475">
        <v>0.99252571173614901</v>
      </c>
      <c r="C4475">
        <v>0.90630409175584203</v>
      </c>
      <c r="D4475">
        <v>0.80284137746262096</v>
      </c>
      <c r="E4475">
        <v>0.36656067139697701</v>
      </c>
      <c r="F4475">
        <v>0.126196670146729</v>
      </c>
      <c r="G4475">
        <v>7.1481996268425704E-2</v>
      </c>
      <c r="H4475">
        <v>9.1531456115730603E-2</v>
      </c>
      <c r="I4475">
        <v>9.3744402128361298E-2</v>
      </c>
      <c r="J4475">
        <v>7.4862366184124493E-2</v>
      </c>
      <c r="K4475">
        <v>0.15090645993667401</v>
      </c>
      <c r="L4475">
        <v>1312.6294537986801</v>
      </c>
      <c r="M4475">
        <v>27.334545811532301</v>
      </c>
      <c r="N4475">
        <v>48.372191423784997</v>
      </c>
      <c r="O4475">
        <v>47.7661105475553</v>
      </c>
      <c r="P4475">
        <v>-0.130186900659787</v>
      </c>
      <c r="Q4475">
        <v>9.0021744460198699E-2</v>
      </c>
      <c r="R4475">
        <v>0.99280596148495603</v>
      </c>
      <c r="S4475" t="s">
        <v>11121</v>
      </c>
      <c r="T4475" t="s">
        <v>13290</v>
      </c>
      <c r="U4475" t="s">
        <v>13290</v>
      </c>
      <c r="V4475" t="s">
        <v>13290</v>
      </c>
      <c r="W4475" t="s">
        <v>17717</v>
      </c>
      <c r="X4475">
        <v>2</v>
      </c>
      <c r="Y4475" t="s">
        <v>24205</v>
      </c>
      <c r="Z4475" t="s">
        <v>30805</v>
      </c>
      <c r="AA4475">
        <v>0.33997511154539278</v>
      </c>
      <c r="AB4475" t="str">
        <f>HYPERLINK("Melting_Curves/meltCurve_Q8IXW5_2_RPAP2.pdf", "Melting_Curves/meltCurve_Q8IXW5_2_RPAP2.pdf")</f>
        <v>Melting_Curves/meltCurve_Q8IXW5_2_RPAP2.pdf</v>
      </c>
    </row>
    <row r="4476" spans="1:28" x14ac:dyDescent="0.25">
      <c r="A4476" t="s">
        <v>4480</v>
      </c>
      <c r="B4476">
        <v>0.99252571173614901</v>
      </c>
      <c r="C4476">
        <v>0.86946775491094797</v>
      </c>
      <c r="D4476">
        <v>0.93940159511490295</v>
      </c>
      <c r="E4476">
        <v>0.69256452056415396</v>
      </c>
      <c r="F4476">
        <v>0.24720509500498</v>
      </c>
      <c r="G4476">
        <v>0.125793083206095</v>
      </c>
      <c r="H4476">
        <v>7.3924880056157799E-2</v>
      </c>
      <c r="I4476">
        <v>3.2357242374563201E-2</v>
      </c>
      <c r="J4476">
        <v>3.8950934125275199E-2</v>
      </c>
      <c r="K4476">
        <v>1.4197155282623299E-2</v>
      </c>
      <c r="L4476">
        <v>1267.92895438343</v>
      </c>
      <c r="M4476">
        <v>24.911438851523499</v>
      </c>
      <c r="N4476">
        <v>51.044326105603702</v>
      </c>
      <c r="O4476">
        <v>50.572884737269199</v>
      </c>
      <c r="P4476">
        <v>-0.11888902863857601</v>
      </c>
      <c r="Q4476">
        <v>3.4583548375688798E-2</v>
      </c>
      <c r="R4476">
        <v>0.98852132827656602</v>
      </c>
      <c r="S4476" t="s">
        <v>11122</v>
      </c>
      <c r="T4476" t="s">
        <v>13290</v>
      </c>
      <c r="U4476" t="s">
        <v>13290</v>
      </c>
      <c r="V4476" t="s">
        <v>13290</v>
      </c>
      <c r="W4476" t="s">
        <v>17718</v>
      </c>
      <c r="X4476">
        <v>4</v>
      </c>
      <c r="Y4476" t="s">
        <v>24206</v>
      </c>
      <c r="Z4476" t="s">
        <v>30806</v>
      </c>
      <c r="AA4476">
        <v>0.3940427097783557</v>
      </c>
      <c r="AB4476" t="str">
        <f>HYPERLINK("Melting_Curves/meltCurve_Q8IY17_5_PNPLA6.pdf", "Melting_Curves/meltCurve_Q8IY17_5_PNPLA6.pdf")</f>
        <v>Melting_Curves/meltCurve_Q8IY17_5_PNPLA6.pdf</v>
      </c>
    </row>
    <row r="4477" spans="1:28" x14ac:dyDescent="0.25">
      <c r="A4477" t="s">
        <v>4481</v>
      </c>
      <c r="B4477">
        <v>0.99252571173614901</v>
      </c>
      <c r="C4477">
        <v>0.91445157757067297</v>
      </c>
      <c r="D4477">
        <v>1.1091506573118901</v>
      </c>
      <c r="E4477">
        <v>0.96170157454248095</v>
      </c>
      <c r="F4477">
        <v>0.27127915312670198</v>
      </c>
      <c r="G4477">
        <v>0.17263438427747399</v>
      </c>
      <c r="H4477">
        <v>0.112472713356582</v>
      </c>
      <c r="I4477">
        <v>9.4680566491657001E-2</v>
      </c>
      <c r="J4477">
        <v>8.98527420647285E-2</v>
      </c>
      <c r="K4477">
        <v>9.9874876813046604E-2</v>
      </c>
      <c r="L4477">
        <v>3309.9512521740498</v>
      </c>
      <c r="M4477">
        <v>63.720573754069797</v>
      </c>
      <c r="N4477">
        <v>52.153731447691399</v>
      </c>
      <c r="O4477">
        <v>51.8936919187312</v>
      </c>
      <c r="P4477">
        <v>-0.272394177893926</v>
      </c>
      <c r="Q4477">
        <v>0.11265488689758101</v>
      </c>
      <c r="R4477">
        <v>0.986915601025247</v>
      </c>
      <c r="S4477" t="s">
        <v>11123</v>
      </c>
      <c r="T4477" t="s">
        <v>13290</v>
      </c>
      <c r="U4477" t="s">
        <v>13290</v>
      </c>
      <c r="V4477" t="s">
        <v>13290</v>
      </c>
      <c r="W4477" t="s">
        <v>17719</v>
      </c>
      <c r="X4477">
        <v>6</v>
      </c>
      <c r="Y4477" t="s">
        <v>24207</v>
      </c>
      <c r="Z4477" t="s">
        <v>30807</v>
      </c>
      <c r="AA4477">
        <v>0.46720881687686622</v>
      </c>
      <c r="AB4477" t="str">
        <f>HYPERLINK("Melting_Curves/meltCurve_Q8IY18_SMC5.pdf", "Melting_Curves/meltCurve_Q8IY18_SMC5.pdf")</f>
        <v>Melting_Curves/meltCurve_Q8IY18_SMC5.pdf</v>
      </c>
    </row>
    <row r="4478" spans="1:28" x14ac:dyDescent="0.25">
      <c r="A4478" t="s">
        <v>4482</v>
      </c>
      <c r="B4478">
        <v>0.99252571173614901</v>
      </c>
      <c r="C4478">
        <v>0.76653231780806896</v>
      </c>
      <c r="D4478">
        <v>0.30790465553676299</v>
      </c>
      <c r="E4478">
        <v>0.189691056575716</v>
      </c>
      <c r="F4478">
        <v>0.1146604604835</v>
      </c>
      <c r="G4478">
        <v>7.2946968336807999E-2</v>
      </c>
      <c r="H4478">
        <v>5.69335118145778E-2</v>
      </c>
      <c r="I4478">
        <v>4.9161357523386899E-2</v>
      </c>
      <c r="J4478">
        <v>4.9135881906508402E-2</v>
      </c>
      <c r="K4478">
        <v>5.3552631460002401E-2</v>
      </c>
      <c r="L4478">
        <v>1238.0505399700701</v>
      </c>
      <c r="M4478">
        <v>27.8128017863854</v>
      </c>
      <c r="N4478">
        <v>44.761260498143898</v>
      </c>
      <c r="O4478">
        <v>44.285479754717997</v>
      </c>
      <c r="P4478">
        <v>-0.14581695686667401</v>
      </c>
      <c r="Q4478">
        <v>7.1288524553156096E-2</v>
      </c>
      <c r="R4478">
        <v>0.99095761420928796</v>
      </c>
      <c r="S4478" t="s">
        <v>11124</v>
      </c>
      <c r="T4478" t="s">
        <v>13290</v>
      </c>
      <c r="U4478" t="s">
        <v>13290</v>
      </c>
      <c r="V4478" t="s">
        <v>13290</v>
      </c>
      <c r="W4478" t="s">
        <v>17720</v>
      </c>
      <c r="X4478">
        <v>12</v>
      </c>
      <c r="Y4478" t="s">
        <v>24208</v>
      </c>
      <c r="Z4478" t="s">
        <v>30808</v>
      </c>
      <c r="AA4478">
        <v>0.21857992833361981</v>
      </c>
      <c r="AB4478" t="str">
        <f>HYPERLINK("Melting_Curves/meltCurve_Q8IY22_CMIP.pdf", "Melting_Curves/meltCurve_Q8IY22_CMIP.pdf")</f>
        <v>Melting_Curves/meltCurve_Q8IY22_CMIP.pdf</v>
      </c>
    </row>
    <row r="4479" spans="1:28" x14ac:dyDescent="0.25">
      <c r="A4479" t="s">
        <v>4483</v>
      </c>
      <c r="B4479">
        <v>0.99252571173614901</v>
      </c>
      <c r="C4479">
        <v>1.13557097869573</v>
      </c>
      <c r="D4479">
        <v>0.89880039102890597</v>
      </c>
      <c r="E4479">
        <v>0.85585235514763802</v>
      </c>
      <c r="F4479">
        <v>0.26786899245152002</v>
      </c>
      <c r="G4479">
        <v>0.175807949150905</v>
      </c>
      <c r="H4479">
        <v>0.132945900663924</v>
      </c>
      <c r="I4479">
        <v>0.15717061349109099</v>
      </c>
      <c r="J4479">
        <v>0.21716426083811799</v>
      </c>
      <c r="K4479">
        <v>0.23831351695075001</v>
      </c>
      <c r="L4479">
        <v>2662.36897098089</v>
      </c>
      <c r="M4479">
        <v>52.170376745488198</v>
      </c>
      <c r="N4479">
        <v>51.482227291840402</v>
      </c>
      <c r="O4479">
        <v>50.957381929091902</v>
      </c>
      <c r="P4479">
        <v>-0.209084648353599</v>
      </c>
      <c r="Q4479">
        <v>0.18310740872283801</v>
      </c>
      <c r="R4479">
        <v>0.97605262973805396</v>
      </c>
      <c r="S4479" t="s">
        <v>11125</v>
      </c>
      <c r="T4479" t="s">
        <v>13290</v>
      </c>
      <c r="U4479" t="s">
        <v>13290</v>
      </c>
      <c r="V4479" t="s">
        <v>13290</v>
      </c>
      <c r="W4479" t="s">
        <v>17721</v>
      </c>
      <c r="X4479">
        <v>3</v>
      </c>
      <c r="Y4479" t="s">
        <v>24209</v>
      </c>
      <c r="Z4479" t="s">
        <v>30809</v>
      </c>
      <c r="AA4479">
        <v>0.48519966922954261</v>
      </c>
      <c r="AB4479" t="str">
        <f>HYPERLINK("Melting_Curves/meltCurve_Q8IY33_MICALL2.pdf", "Melting_Curves/meltCurve_Q8IY33_MICALL2.pdf")</f>
        <v>Melting_Curves/meltCurve_Q8IY33_MICALL2.pdf</v>
      </c>
    </row>
    <row r="4480" spans="1:28" x14ac:dyDescent="0.25">
      <c r="A4480" t="s">
        <v>4484</v>
      </c>
      <c r="B4480">
        <v>0.99252571173614901</v>
      </c>
      <c r="C4480">
        <v>0.86897173992035603</v>
      </c>
      <c r="D4480">
        <v>0.59401329588346496</v>
      </c>
      <c r="E4480">
        <v>0.16832207300661201</v>
      </c>
      <c r="F4480">
        <v>0.13970236007717099</v>
      </c>
      <c r="G4480">
        <v>9.8331143433669194E-2</v>
      </c>
      <c r="H4480">
        <v>8.5664672561911404E-2</v>
      </c>
      <c r="I4480">
        <v>8.5523593053682706E-2</v>
      </c>
      <c r="J4480">
        <v>0.12380260884635599</v>
      </c>
      <c r="K4480">
        <v>7.5743872591652606E-2</v>
      </c>
      <c r="L4480">
        <v>1289.70617368283</v>
      </c>
      <c r="M4480">
        <v>27.9457500446861</v>
      </c>
      <c r="N4480">
        <v>46.491348949498203</v>
      </c>
      <c r="O4480">
        <v>45.915973547170097</v>
      </c>
      <c r="P4480">
        <v>-0.13805856645244999</v>
      </c>
      <c r="Q4480">
        <v>9.2665087143167194E-2</v>
      </c>
      <c r="R4480">
        <v>0.99533317482296502</v>
      </c>
      <c r="S4480" t="s">
        <v>11126</v>
      </c>
      <c r="T4480" t="s">
        <v>13290</v>
      </c>
      <c r="U4480" t="s">
        <v>13290</v>
      </c>
      <c r="V4480" t="s">
        <v>13290</v>
      </c>
      <c r="W4480" t="s">
        <v>17722</v>
      </c>
      <c r="X4480">
        <v>2</v>
      </c>
      <c r="Y4480" t="s">
        <v>24210</v>
      </c>
      <c r="Z4480" t="s">
        <v>30810</v>
      </c>
      <c r="AA4480">
        <v>0.28513654144958661</v>
      </c>
      <c r="AB4480" t="str">
        <f>HYPERLINK("Melting_Curves/meltCurve_Q8IY37_DHX37.pdf", "Melting_Curves/meltCurve_Q8IY37_DHX37.pdf")</f>
        <v>Melting_Curves/meltCurve_Q8IY37_DHX37.pdf</v>
      </c>
    </row>
    <row r="4481" spans="1:28" x14ac:dyDescent="0.25">
      <c r="A4481" t="s">
        <v>4485</v>
      </c>
      <c r="B4481">
        <v>0.99252571173614901</v>
      </c>
      <c r="C4481">
        <v>0.93358441944591397</v>
      </c>
      <c r="D4481">
        <v>0.98308901660030501</v>
      </c>
      <c r="E4481">
        <v>0.85022013553568598</v>
      </c>
      <c r="F4481">
        <v>0.44235411944994901</v>
      </c>
      <c r="G4481">
        <v>0.123796803590563</v>
      </c>
      <c r="H4481">
        <v>8.4274591879158603E-2</v>
      </c>
      <c r="I4481">
        <v>7.3628183038722206E-2</v>
      </c>
      <c r="J4481">
        <v>7.5292920050439693E-2</v>
      </c>
      <c r="K4481">
        <v>5.8740314853398999E-2</v>
      </c>
      <c r="L4481">
        <v>1587.36780272341</v>
      </c>
      <c r="M4481">
        <v>30.280621787241</v>
      </c>
      <c r="N4481">
        <v>52.661110896636998</v>
      </c>
      <c r="O4481">
        <v>52.194864331132102</v>
      </c>
      <c r="P4481">
        <v>-0.135718546081354</v>
      </c>
      <c r="Q4481">
        <v>6.4250850823052597E-2</v>
      </c>
      <c r="R4481">
        <v>0.99679817151726202</v>
      </c>
      <c r="S4481" t="s">
        <v>11127</v>
      </c>
      <c r="T4481" t="s">
        <v>13290</v>
      </c>
      <c r="U4481" t="s">
        <v>13290</v>
      </c>
      <c r="V4481" t="s">
        <v>13290</v>
      </c>
      <c r="W4481" t="s">
        <v>17723</v>
      </c>
      <c r="X4481">
        <v>5</v>
      </c>
      <c r="Y4481" t="s">
        <v>24211</v>
      </c>
      <c r="Z4481" t="s">
        <v>30811</v>
      </c>
      <c r="AA4481">
        <v>0.45761831222345972</v>
      </c>
      <c r="AB4481" t="str">
        <f>HYPERLINK("Melting_Curves/meltCurve_Q8IY47_KBTBD2.pdf", "Melting_Curves/meltCurve_Q8IY47_KBTBD2.pdf")</f>
        <v>Melting_Curves/meltCurve_Q8IY47_KBTBD2.pdf</v>
      </c>
    </row>
    <row r="4482" spans="1:28" x14ac:dyDescent="0.25">
      <c r="A4482" t="s">
        <v>4486</v>
      </c>
      <c r="B4482">
        <v>0.99252571173614901</v>
      </c>
      <c r="C4482">
        <v>1.16337271748822</v>
      </c>
      <c r="D4482">
        <v>1.09403632743557</v>
      </c>
      <c r="E4482">
        <v>0.74039453603288596</v>
      </c>
      <c r="F4482">
        <v>0.19308821692704201</v>
      </c>
      <c r="G4482">
        <v>0.112404889308813</v>
      </c>
      <c r="H4482">
        <v>7.6486730849054205E-2</v>
      </c>
      <c r="I4482">
        <v>8.9573247692195199E-2</v>
      </c>
      <c r="J4482">
        <v>0.12286397469584</v>
      </c>
      <c r="K4482">
        <v>0.177831069268164</v>
      </c>
      <c r="L4482">
        <v>2571.2453446913</v>
      </c>
      <c r="M4482">
        <v>50.921867282972201</v>
      </c>
      <c r="N4482">
        <v>50.760953124772101</v>
      </c>
      <c r="O4482">
        <v>50.416240986823901</v>
      </c>
      <c r="P4482">
        <v>-0.22283904967121601</v>
      </c>
      <c r="Q4482">
        <v>0.117495180194085</v>
      </c>
      <c r="R4482">
        <v>0.97753429705964701</v>
      </c>
      <c r="S4482" t="s">
        <v>11128</v>
      </c>
      <c r="T4482" t="s">
        <v>13290</v>
      </c>
      <c r="U4482" t="s">
        <v>13290</v>
      </c>
      <c r="V4482" t="s">
        <v>13290</v>
      </c>
      <c r="W4482" t="s">
        <v>17724</v>
      </c>
      <c r="X4482">
        <v>1</v>
      </c>
      <c r="Y4482" t="s">
        <v>24212</v>
      </c>
      <c r="Z4482" t="s">
        <v>30812</v>
      </c>
      <c r="AA4482">
        <v>0.42808808020337358</v>
      </c>
      <c r="AB4482" t="str">
        <f>HYPERLINK("Melting_Curves/meltCurve_Q8IY50_2_SLC35F3.pdf", "Melting_Curves/meltCurve_Q8IY50_2_SLC35F3.pdf")</f>
        <v>Melting_Curves/meltCurve_Q8IY50_2_SLC35F3.pdf</v>
      </c>
    </row>
    <row r="4483" spans="1:28" x14ac:dyDescent="0.25">
      <c r="A4483" t="s">
        <v>4487</v>
      </c>
      <c r="B4483">
        <v>0.99252571173614901</v>
      </c>
      <c r="C4483">
        <v>1.02360529017708</v>
      </c>
      <c r="D4483">
        <v>0.84586507066947003</v>
      </c>
      <c r="E4483">
        <v>0.83602326564233997</v>
      </c>
      <c r="F4483">
        <v>0.63163282202195004</v>
      </c>
      <c r="G4483">
        <v>0.45673514898100298</v>
      </c>
      <c r="H4483">
        <v>0.35305655510258699</v>
      </c>
      <c r="I4483">
        <v>0.36034507419973599</v>
      </c>
      <c r="J4483">
        <v>0.55832790481004302</v>
      </c>
      <c r="K4483">
        <v>0.51192865326678905</v>
      </c>
      <c r="L4483">
        <v>1083.4220131551399</v>
      </c>
      <c r="M4483">
        <v>21.251636569059102</v>
      </c>
      <c r="N4483">
        <v>56.4941586731698</v>
      </c>
      <c r="O4483">
        <v>50.535668845961197</v>
      </c>
      <c r="P4483">
        <v>-5.9173736460128502E-2</v>
      </c>
      <c r="Q4483">
        <v>0.437161877175892</v>
      </c>
      <c r="R4483">
        <v>0.90810823809480701</v>
      </c>
      <c r="S4483" t="s">
        <v>11129</v>
      </c>
      <c r="T4483" t="s">
        <v>13290</v>
      </c>
      <c r="U4483" t="s">
        <v>13290</v>
      </c>
      <c r="V4483" t="s">
        <v>13290</v>
      </c>
      <c r="W4483" t="s">
        <v>17725</v>
      </c>
      <c r="X4483">
        <v>2</v>
      </c>
      <c r="Y4483" t="s">
        <v>24213</v>
      </c>
      <c r="Z4483" t="s">
        <v>30813</v>
      </c>
      <c r="AA4483">
        <v>0.65013919359044448</v>
      </c>
      <c r="AB4483" t="str">
        <f>HYPERLINK("Melting_Curves/meltCurve_Q8IY81_FTSJ3.pdf", "Melting_Curves/meltCurve_Q8IY81_FTSJ3.pdf")</f>
        <v>Melting_Curves/meltCurve_Q8IY81_FTSJ3.pdf</v>
      </c>
    </row>
    <row r="4484" spans="1:28" x14ac:dyDescent="0.25">
      <c r="A4484" t="s">
        <v>4488</v>
      </c>
      <c r="B4484">
        <v>0.99252571173614901</v>
      </c>
      <c r="C4484">
        <v>0.78845165362292102</v>
      </c>
      <c r="D4484">
        <v>0.64035933860104799</v>
      </c>
      <c r="E4484">
        <v>0.44636071509382302</v>
      </c>
      <c r="F4484">
        <v>0.32293022078080902</v>
      </c>
      <c r="G4484">
        <v>0.18385982342598101</v>
      </c>
      <c r="H4484">
        <v>0.21547137868910499</v>
      </c>
      <c r="I4484">
        <v>0.108485949439434</v>
      </c>
      <c r="J4484">
        <v>9.5881219025111306E-2</v>
      </c>
      <c r="K4484">
        <v>5.1960733090096897E-2</v>
      </c>
      <c r="L4484">
        <v>548.63953403655796</v>
      </c>
      <c r="M4484">
        <v>11.380775830941101</v>
      </c>
      <c r="N4484">
        <v>48.792485218080799</v>
      </c>
      <c r="O4484">
        <v>46.791130440698602</v>
      </c>
      <c r="P4484">
        <v>-5.6945535779490103E-2</v>
      </c>
      <c r="Q4484">
        <v>6.3769117914274698E-2</v>
      </c>
      <c r="R4484">
        <v>0.98495707832635904</v>
      </c>
      <c r="S4484" t="s">
        <v>11130</v>
      </c>
      <c r="T4484" t="s">
        <v>13290</v>
      </c>
      <c r="U4484" t="s">
        <v>13290</v>
      </c>
      <c r="V4484" t="s">
        <v>13290</v>
      </c>
      <c r="W4484" t="s">
        <v>17726</v>
      </c>
      <c r="X4484">
        <v>1</v>
      </c>
      <c r="Y4484" t="s">
        <v>24214</v>
      </c>
      <c r="Z4484" t="s">
        <v>30814</v>
      </c>
      <c r="AA4484">
        <v>0.35949790371006279</v>
      </c>
      <c r="AB4484" t="str">
        <f>HYPERLINK("Melting_Curves/meltCurve_Q8IY92_2_SLX4.pdf", "Melting_Curves/meltCurve_Q8IY92_2_SLX4.pdf")</f>
        <v>Melting_Curves/meltCurve_Q8IY92_2_SLX4.pdf</v>
      </c>
    </row>
    <row r="4485" spans="1:28" x14ac:dyDescent="0.25">
      <c r="A4485" t="s">
        <v>4489</v>
      </c>
      <c r="B4485">
        <v>0.99252571173614901</v>
      </c>
      <c r="C4485">
        <v>0.931852585357971</v>
      </c>
      <c r="D4485">
        <v>0.81336510839278797</v>
      </c>
      <c r="E4485">
        <v>0.68946755693731898</v>
      </c>
      <c r="F4485">
        <v>0.58318839956738699</v>
      </c>
      <c r="G4485">
        <v>0.41056286286392901</v>
      </c>
      <c r="H4485">
        <v>0.24919331726333099</v>
      </c>
      <c r="I4485">
        <v>0.236639654029007</v>
      </c>
      <c r="J4485">
        <v>0.29072811984661401</v>
      </c>
      <c r="K4485">
        <v>0.18441721019148499</v>
      </c>
      <c r="L4485">
        <v>563.26997202464702</v>
      </c>
      <c r="M4485">
        <v>10.758888716872899</v>
      </c>
      <c r="N4485">
        <v>54.156309079473502</v>
      </c>
      <c r="O4485">
        <v>50.642492233848301</v>
      </c>
      <c r="P4485">
        <v>-4.51358337814637E-2</v>
      </c>
      <c r="Q4485">
        <v>0.15048763547675101</v>
      </c>
      <c r="R4485">
        <v>0.98577450472427297</v>
      </c>
      <c r="S4485" t="s">
        <v>11131</v>
      </c>
      <c r="T4485" t="s">
        <v>13290</v>
      </c>
      <c r="U4485" t="s">
        <v>13290</v>
      </c>
      <c r="V4485" t="s">
        <v>13290</v>
      </c>
      <c r="W4485" t="s">
        <v>17727</v>
      </c>
      <c r="X4485">
        <v>5</v>
      </c>
      <c r="Y4485" t="s">
        <v>24215</v>
      </c>
      <c r="Z4485" t="s">
        <v>30815</v>
      </c>
      <c r="AA4485">
        <v>0.52912792827617072</v>
      </c>
      <c r="AB4485" t="str">
        <f>HYPERLINK("Melting_Curves/meltCurve_Q8IY95_2_TMEM192.pdf", "Melting_Curves/meltCurve_Q8IY95_2_TMEM192.pdf")</f>
        <v>Melting_Curves/meltCurve_Q8IY95_2_TMEM192.pdf</v>
      </c>
    </row>
    <row r="4486" spans="1:28" x14ac:dyDescent="0.25">
      <c r="A4486" t="s">
        <v>4490</v>
      </c>
      <c r="B4486">
        <v>0.99252571173614901</v>
      </c>
      <c r="C4486">
        <v>1.03251771898099</v>
      </c>
      <c r="D4486">
        <v>0.87114909264781204</v>
      </c>
      <c r="E4486">
        <v>0.93765078978307703</v>
      </c>
      <c r="F4486">
        <v>0.74645850318964302</v>
      </c>
      <c r="G4486">
        <v>0.69476718489983602</v>
      </c>
      <c r="H4486">
        <v>0.55765170653840301</v>
      </c>
      <c r="I4486">
        <v>0.53890509512423201</v>
      </c>
      <c r="J4486">
        <v>0.36819778047162899</v>
      </c>
      <c r="K4486">
        <v>0.17254994120159001</v>
      </c>
      <c r="L4486">
        <v>530.52181410716196</v>
      </c>
      <c r="M4486">
        <v>8.5243144237138804</v>
      </c>
      <c r="N4486">
        <v>62.236298110310997</v>
      </c>
      <c r="O4486">
        <v>59.094783395356899</v>
      </c>
      <c r="P4486">
        <v>-3.60941893544484E-2</v>
      </c>
      <c r="Q4486">
        <v>0</v>
      </c>
      <c r="R4486">
        <v>0.949129598211645</v>
      </c>
      <c r="S4486" t="s">
        <v>11132</v>
      </c>
      <c r="T4486" t="s">
        <v>13290</v>
      </c>
      <c r="U4486" t="s">
        <v>13290</v>
      </c>
      <c r="V4486" t="s">
        <v>13290</v>
      </c>
      <c r="W4486" t="s">
        <v>17728</v>
      </c>
      <c r="X4486">
        <v>2</v>
      </c>
      <c r="Y4486" t="s">
        <v>24216</v>
      </c>
      <c r="Z4486" t="s">
        <v>30816</v>
      </c>
      <c r="AA4486">
        <v>0.70660893363991351</v>
      </c>
      <c r="AB4486" t="str">
        <f>HYPERLINK("Melting_Curves/meltCurve_Q8IYB1_MB21D2.pdf", "Melting_Curves/meltCurve_Q8IYB1_MB21D2.pdf")</f>
        <v>Melting_Curves/meltCurve_Q8IYB1_MB21D2.pdf</v>
      </c>
    </row>
    <row r="4487" spans="1:28" x14ac:dyDescent="0.25">
      <c r="A4487" t="s">
        <v>4491</v>
      </c>
      <c r="B4487">
        <v>0.99252571173614901</v>
      </c>
      <c r="C4487">
        <v>1.0892463311418401</v>
      </c>
      <c r="D4487">
        <v>0.97949038587816994</v>
      </c>
      <c r="E4487">
        <v>0.77602331538147495</v>
      </c>
      <c r="F4487">
        <v>0.36287270645881597</v>
      </c>
      <c r="G4487">
        <v>0.13490515990393401</v>
      </c>
      <c r="H4487">
        <v>8.5690937544501702E-2</v>
      </c>
      <c r="I4487">
        <v>8.7949298174812299E-2</v>
      </c>
      <c r="J4487">
        <v>0.128863553188964</v>
      </c>
      <c r="K4487">
        <v>0.101302219062197</v>
      </c>
      <c r="L4487">
        <v>1547.7943437270901</v>
      </c>
      <c r="M4487">
        <v>30.032635674588199</v>
      </c>
      <c r="N4487">
        <v>51.906364604168097</v>
      </c>
      <c r="O4487">
        <v>51.310185944049898</v>
      </c>
      <c r="P4487">
        <v>-0.13225416784116201</v>
      </c>
      <c r="Q4487">
        <v>9.6190730575368297E-2</v>
      </c>
      <c r="R4487">
        <v>0.99379753074688504</v>
      </c>
      <c r="S4487" t="s">
        <v>11133</v>
      </c>
      <c r="T4487" t="s">
        <v>13290</v>
      </c>
      <c r="U4487" t="s">
        <v>13290</v>
      </c>
      <c r="V4487" t="s">
        <v>13290</v>
      </c>
      <c r="W4487" t="s">
        <v>17729</v>
      </c>
      <c r="X4487">
        <v>12</v>
      </c>
      <c r="Y4487" t="s">
        <v>24217</v>
      </c>
      <c r="Z4487" t="s">
        <v>30817</v>
      </c>
      <c r="AA4487">
        <v>0.44948815500451977</v>
      </c>
      <c r="AB4487" t="str">
        <f>HYPERLINK("Melting_Curves/meltCurve_Q8IYB5_3_SMAP1.pdf", "Melting_Curves/meltCurve_Q8IYB5_3_SMAP1.pdf")</f>
        <v>Melting_Curves/meltCurve_Q8IYB5_3_SMAP1.pdf</v>
      </c>
    </row>
    <row r="4488" spans="1:28" x14ac:dyDescent="0.25">
      <c r="A4488" t="s">
        <v>4492</v>
      </c>
      <c r="B4488">
        <v>0.99252571173614901</v>
      </c>
      <c r="C4488">
        <v>1.0042012117525201</v>
      </c>
      <c r="D4488">
        <v>0.81903499414023995</v>
      </c>
      <c r="E4488">
        <v>0.57694967639384498</v>
      </c>
      <c r="F4488">
        <v>0.25597330022442899</v>
      </c>
      <c r="G4488">
        <v>0.15046915087613399</v>
      </c>
      <c r="H4488">
        <v>0.101443418855361</v>
      </c>
      <c r="I4488">
        <v>9.9882330245194606E-2</v>
      </c>
      <c r="J4488">
        <v>0.103192190563557</v>
      </c>
      <c r="K4488">
        <v>9.0695464576451404E-2</v>
      </c>
      <c r="L4488">
        <v>1036.9312914335501</v>
      </c>
      <c r="M4488">
        <v>20.873383029837001</v>
      </c>
      <c r="N4488">
        <v>50.147989271858002</v>
      </c>
      <c r="O4488">
        <v>49.227996831582701</v>
      </c>
      <c r="P4488">
        <v>-9.6574483251880006E-2</v>
      </c>
      <c r="Q4488">
        <v>8.8976214125763897E-2</v>
      </c>
      <c r="R4488">
        <v>0.99727713258664796</v>
      </c>
      <c r="S4488" t="s">
        <v>11134</v>
      </c>
      <c r="T4488" t="s">
        <v>13290</v>
      </c>
      <c r="U4488" t="s">
        <v>13290</v>
      </c>
      <c r="V4488" t="s">
        <v>13290</v>
      </c>
      <c r="W4488" t="s">
        <v>17730</v>
      </c>
      <c r="X4488">
        <v>16</v>
      </c>
      <c r="Y4488" t="s">
        <v>24218</v>
      </c>
      <c r="Z4488" t="s">
        <v>30818</v>
      </c>
      <c r="AA4488">
        <v>0.39451640010130301</v>
      </c>
      <c r="AB4488" t="str">
        <f>HYPERLINK("Melting_Curves/meltCurve_Q8IYB7_DIS3L2.pdf", "Melting_Curves/meltCurve_Q8IYB7_DIS3L2.pdf")</f>
        <v>Melting_Curves/meltCurve_Q8IYB7_DIS3L2.pdf</v>
      </c>
    </row>
    <row r="4489" spans="1:28" x14ac:dyDescent="0.25">
      <c r="A4489" t="s">
        <v>4493</v>
      </c>
      <c r="B4489">
        <v>0.99252571173614901</v>
      </c>
      <c r="C4489">
        <v>0.97368317623682599</v>
      </c>
      <c r="D4489">
        <v>0.94200244371646302</v>
      </c>
      <c r="E4489">
        <v>0.85379021360250695</v>
      </c>
      <c r="F4489">
        <v>0.55294639428957504</v>
      </c>
      <c r="G4489">
        <v>0.16105235630869399</v>
      </c>
      <c r="H4489">
        <v>6.7085388944392102E-2</v>
      </c>
      <c r="I4489">
        <v>6.07677444790371E-2</v>
      </c>
      <c r="J4489">
        <v>6.7124382200832E-2</v>
      </c>
      <c r="K4489">
        <v>7.2075850039950304E-2</v>
      </c>
      <c r="L4489">
        <v>1430.1336118103</v>
      </c>
      <c r="M4489">
        <v>26.9065609894777</v>
      </c>
      <c r="N4489">
        <v>53.367350986028796</v>
      </c>
      <c r="O4489">
        <v>52.860871788186401</v>
      </c>
      <c r="P4489">
        <v>-0.12070247136068001</v>
      </c>
      <c r="Q4489">
        <v>5.1477116350153299E-2</v>
      </c>
      <c r="R4489">
        <v>0.99623942418415601</v>
      </c>
      <c r="S4489" t="s">
        <v>11135</v>
      </c>
      <c r="T4489" t="s">
        <v>13290</v>
      </c>
      <c r="U4489" t="s">
        <v>13290</v>
      </c>
      <c r="V4489" t="s">
        <v>13290</v>
      </c>
      <c r="W4489" t="s">
        <v>17731</v>
      </c>
      <c r="X4489">
        <v>17</v>
      </c>
      <c r="Y4489" t="s">
        <v>24219</v>
      </c>
      <c r="Z4489" t="s">
        <v>30819</v>
      </c>
      <c r="AA4489">
        <v>0.47491306058847221</v>
      </c>
      <c r="AB4489" t="str">
        <f>HYPERLINK("Melting_Curves/meltCurve_Q8IYB8_SUPV3L1.pdf", "Melting_Curves/meltCurve_Q8IYB8_SUPV3L1.pdf")</f>
        <v>Melting_Curves/meltCurve_Q8IYB8_SUPV3L1.pdf</v>
      </c>
    </row>
    <row r="4490" spans="1:28" x14ac:dyDescent="0.25">
      <c r="A4490" t="s">
        <v>4494</v>
      </c>
      <c r="B4490">
        <v>0.99252571173614901</v>
      </c>
      <c r="C4490">
        <v>0.99849808136378904</v>
      </c>
      <c r="D4490">
        <v>0.91766383660279804</v>
      </c>
      <c r="E4490">
        <v>0.72083095810382602</v>
      </c>
      <c r="F4490">
        <v>0.78539714311199704</v>
      </c>
      <c r="G4490">
        <v>0.64216355001815295</v>
      </c>
      <c r="H4490">
        <v>0.55078358655165005</v>
      </c>
      <c r="I4490">
        <v>0.61752611673830604</v>
      </c>
      <c r="J4490">
        <v>0.71797873822705205</v>
      </c>
      <c r="K4490">
        <v>0.66557198987546595</v>
      </c>
      <c r="L4490">
        <v>1005.89739052686</v>
      </c>
      <c r="M4490">
        <v>20.847194741764799</v>
      </c>
      <c r="O4490">
        <v>47.813575022313103</v>
      </c>
      <c r="P4490">
        <v>-3.8649456270593699E-2</v>
      </c>
      <c r="Q4490">
        <v>0.64543572211114297</v>
      </c>
      <c r="R4490">
        <v>0.871262009830436</v>
      </c>
      <c r="S4490" t="s">
        <v>11136</v>
      </c>
      <c r="T4490" t="s">
        <v>13290</v>
      </c>
      <c r="U4490" t="s">
        <v>13290</v>
      </c>
      <c r="V4490" t="s">
        <v>13290</v>
      </c>
      <c r="W4490" t="s">
        <v>17732</v>
      </c>
      <c r="X4490">
        <v>1</v>
      </c>
      <c r="Y4490" t="s">
        <v>24220</v>
      </c>
      <c r="Z4490" t="s">
        <v>30820</v>
      </c>
      <c r="AA4490">
        <v>0.74754859926760631</v>
      </c>
      <c r="AB4490" t="str">
        <f>HYPERLINK("Melting_Curves/meltCurve_Q8IYE0_2_CCDC146.pdf", "Melting_Curves/meltCurve_Q8IYE0_2_CCDC146.pdf")</f>
        <v>Melting_Curves/meltCurve_Q8IYE0_2_CCDC146.pdf</v>
      </c>
    </row>
    <row r="4491" spans="1:28" x14ac:dyDescent="0.25">
      <c r="A4491" t="s">
        <v>4495</v>
      </c>
      <c r="B4491">
        <v>0.99252571173614901</v>
      </c>
      <c r="C4491">
        <v>1.04123797952272</v>
      </c>
      <c r="D4491">
        <v>0.89557630288499102</v>
      </c>
      <c r="E4491">
        <v>0.87671736283945501</v>
      </c>
      <c r="F4491">
        <v>0.58930878237571405</v>
      </c>
      <c r="G4491">
        <v>0.455775092830844</v>
      </c>
      <c r="H4491">
        <v>0.48823508697553503</v>
      </c>
      <c r="I4491">
        <v>0.75006755997873198</v>
      </c>
      <c r="J4491">
        <v>1.0494537824496899</v>
      </c>
      <c r="K4491">
        <v>1.2707726988627299</v>
      </c>
      <c r="L4491">
        <v>1707.22694741689</v>
      </c>
      <c r="M4491">
        <v>36.470010841664497</v>
      </c>
      <c r="O4491">
        <v>46.671727359929498</v>
      </c>
      <c r="P4491">
        <v>-4.3582458889507202E-2</v>
      </c>
      <c r="Q4491">
        <v>0.77690575599553002</v>
      </c>
      <c r="R4491">
        <v>0.13958599975644601</v>
      </c>
      <c r="S4491" t="s">
        <v>11137</v>
      </c>
      <c r="T4491" t="s">
        <v>13290</v>
      </c>
      <c r="U4491" t="s">
        <v>13290</v>
      </c>
      <c r="V4491" t="s">
        <v>13290</v>
      </c>
      <c r="W4491" t="s">
        <v>17733</v>
      </c>
      <c r="X4491">
        <v>3</v>
      </c>
      <c r="Y4491" t="s">
        <v>24221</v>
      </c>
      <c r="Z4491" t="s">
        <v>30821</v>
      </c>
      <c r="AA4491">
        <v>0.82844500481785166</v>
      </c>
      <c r="AB4491" t="str">
        <f>HYPERLINK("Melting_Curves/meltCurve_Q8IYH5_4_ZZZ3.pdf", "Melting_Curves/meltCurve_Q8IYH5_4_ZZZ3.pdf")</f>
        <v>Melting_Curves/meltCurve_Q8IYH5_4_ZZZ3.pdf</v>
      </c>
    </row>
    <row r="4492" spans="1:28" x14ac:dyDescent="0.25">
      <c r="A4492" t="s">
        <v>4496</v>
      </c>
      <c r="B4492">
        <v>0.99252571173614901</v>
      </c>
      <c r="C4492">
        <v>0.85403380550768304</v>
      </c>
      <c r="D4492">
        <v>0.73089052242053798</v>
      </c>
      <c r="E4492">
        <v>0.25130116389781898</v>
      </c>
      <c r="F4492">
        <v>0.119874177060044</v>
      </c>
      <c r="G4492">
        <v>8.5438777140871405E-2</v>
      </c>
      <c r="H4492">
        <v>5.9510580730271698E-2</v>
      </c>
      <c r="I4492">
        <v>5.2676441811697998E-2</v>
      </c>
      <c r="J4492">
        <v>4.1703088950170497E-2</v>
      </c>
      <c r="K4492">
        <v>4.0417204711859403E-2</v>
      </c>
      <c r="L4492">
        <v>1127.0048220209501</v>
      </c>
      <c r="M4492">
        <v>23.815689113192601</v>
      </c>
      <c r="N4492">
        <v>47.527306030785297</v>
      </c>
      <c r="O4492">
        <v>46.992088404478402</v>
      </c>
      <c r="P4492">
        <v>-0.120507601099581</v>
      </c>
      <c r="Q4492">
        <v>4.8893947152279897E-2</v>
      </c>
      <c r="R4492">
        <v>0.99276855574495204</v>
      </c>
      <c r="S4492" t="s">
        <v>11138</v>
      </c>
      <c r="T4492" t="s">
        <v>13290</v>
      </c>
      <c r="U4492" t="s">
        <v>13290</v>
      </c>
      <c r="V4492" t="s">
        <v>13290</v>
      </c>
      <c r="W4492" t="s">
        <v>17734</v>
      </c>
      <c r="X4492">
        <v>11</v>
      </c>
      <c r="Y4492" t="s">
        <v>24222</v>
      </c>
      <c r="Z4492" t="s">
        <v>30822</v>
      </c>
      <c r="AA4492">
        <v>0.29041664496988723</v>
      </c>
      <c r="AB4492" t="str">
        <f>HYPERLINK("Melting_Curves/meltCurve_Q8IYI6_EXOC8.pdf", "Melting_Curves/meltCurve_Q8IYI6_EXOC8.pdf")</f>
        <v>Melting_Curves/meltCurve_Q8IYI6_EXOC8.pdf</v>
      </c>
    </row>
    <row r="4493" spans="1:28" x14ac:dyDescent="0.25">
      <c r="A4493" t="s">
        <v>4497</v>
      </c>
      <c r="B4493">
        <v>0.99252571173614901</v>
      </c>
      <c r="C4493">
        <v>1.16034922638775</v>
      </c>
      <c r="D4493">
        <v>1.0399734715575599</v>
      </c>
      <c r="E4493">
        <v>1.17418390797564</v>
      </c>
      <c r="F4493">
        <v>1.05287306506832</v>
      </c>
      <c r="G4493">
        <v>0.97313107769948004</v>
      </c>
      <c r="H4493">
        <v>1.1469743113403701</v>
      </c>
      <c r="I4493">
        <v>1.38886689662112</v>
      </c>
      <c r="J4493">
        <v>2.3093449042298402</v>
      </c>
      <c r="K4493">
        <v>2.8337818080702601</v>
      </c>
      <c r="L4493">
        <v>4480.0803382106096</v>
      </c>
      <c r="M4493">
        <v>72.688778149868796</v>
      </c>
      <c r="O4493">
        <v>61.587126129767597</v>
      </c>
      <c r="P4493">
        <v>0.14753243974602201</v>
      </c>
      <c r="Q4493">
        <v>1.5</v>
      </c>
      <c r="R4493">
        <v>0.31451550514477999</v>
      </c>
      <c r="S4493" t="s">
        <v>11139</v>
      </c>
      <c r="T4493" t="s">
        <v>13290</v>
      </c>
      <c r="U4493" t="s">
        <v>13290</v>
      </c>
      <c r="V4493" t="s">
        <v>13290</v>
      </c>
      <c r="W4493" t="s">
        <v>17735</v>
      </c>
      <c r="X4493">
        <v>8</v>
      </c>
      <c r="Y4493" t="s">
        <v>24223</v>
      </c>
      <c r="Z4493" t="s">
        <v>30823</v>
      </c>
      <c r="AA4493">
        <v>1.1387997653018891</v>
      </c>
      <c r="AB4493" t="str">
        <f>HYPERLINK("Melting_Curves/meltCurve_Q8IYL3_C1orf174.pdf", "Melting_Curves/meltCurve_Q8IYL3_C1orf174.pdf")</f>
        <v>Melting_Curves/meltCurve_Q8IYL3_C1orf174.pdf</v>
      </c>
    </row>
    <row r="4494" spans="1:28" x14ac:dyDescent="0.25">
      <c r="A4494" t="s">
        <v>4498</v>
      </c>
      <c r="B4494">
        <v>0.99252571173614901</v>
      </c>
      <c r="C4494">
        <v>1.0107317763935</v>
      </c>
      <c r="D4494">
        <v>0.94210741496437</v>
      </c>
      <c r="E4494">
        <v>0.74892710275503105</v>
      </c>
      <c r="F4494">
        <v>0.43181211727846802</v>
      </c>
      <c r="G4494">
        <v>0.30335186571081901</v>
      </c>
      <c r="H4494">
        <v>0.20367254967996201</v>
      </c>
      <c r="I4494">
        <v>0.15518918394128201</v>
      </c>
      <c r="J4494">
        <v>0.13750426591977299</v>
      </c>
      <c r="K4494">
        <v>0.11269791855609</v>
      </c>
      <c r="L4494">
        <v>980.644309667622</v>
      </c>
      <c r="M4494">
        <v>18.903250045090601</v>
      </c>
      <c r="N4494">
        <v>52.724301917775698</v>
      </c>
      <c r="O4494">
        <v>51.306910408279897</v>
      </c>
      <c r="P4494">
        <v>-8.0046925438768998E-2</v>
      </c>
      <c r="Q4494">
        <v>0.13098674501102001</v>
      </c>
      <c r="R4494">
        <v>0.99678861838180699</v>
      </c>
      <c r="S4494" t="s">
        <v>11140</v>
      </c>
      <c r="T4494" t="s">
        <v>13290</v>
      </c>
      <c r="U4494" t="s">
        <v>13290</v>
      </c>
      <c r="V4494" t="s">
        <v>13290</v>
      </c>
      <c r="W4494" t="s">
        <v>17736</v>
      </c>
      <c r="X4494">
        <v>21</v>
      </c>
      <c r="Y4494" t="s">
        <v>24224</v>
      </c>
      <c r="Z4494" t="s">
        <v>30824</v>
      </c>
      <c r="AA4494">
        <v>0.48833289297616628</v>
      </c>
      <c r="AB4494" t="str">
        <f>HYPERLINK("Melting_Curves/meltCurve_Q8IYQ7_THNSL1.pdf", "Melting_Curves/meltCurve_Q8IYQ7_THNSL1.pdf")</f>
        <v>Melting_Curves/meltCurve_Q8IYQ7_THNSL1.pdf</v>
      </c>
    </row>
    <row r="4495" spans="1:28" x14ac:dyDescent="0.25">
      <c r="A4495" t="s">
        <v>4499</v>
      </c>
      <c r="B4495">
        <v>0.99252571173614901</v>
      </c>
      <c r="C4495">
        <v>0.91586070104239303</v>
      </c>
      <c r="D4495">
        <v>0.77451134818725398</v>
      </c>
      <c r="E4495">
        <v>0.58163943011522901</v>
      </c>
      <c r="F4495">
        <v>0.34245683509292502</v>
      </c>
      <c r="G4495">
        <v>0.17586191066172999</v>
      </c>
      <c r="H4495">
        <v>0.11568091750734601</v>
      </c>
      <c r="I4495">
        <v>0.12261905621449599</v>
      </c>
      <c r="J4495">
        <v>0.14131933196757901</v>
      </c>
      <c r="K4495">
        <v>0.13417770661579201</v>
      </c>
      <c r="L4495">
        <v>787.35122660736499</v>
      </c>
      <c r="M4495">
        <v>15.871834990208701</v>
      </c>
      <c r="N4495">
        <v>50.333850399934903</v>
      </c>
      <c r="O4495">
        <v>48.839372451887598</v>
      </c>
      <c r="P4495">
        <v>-7.29284455670101E-2</v>
      </c>
      <c r="Q4495">
        <v>0.102437441794722</v>
      </c>
      <c r="R4495">
        <v>0.99532411751787797</v>
      </c>
      <c r="S4495" t="s">
        <v>11141</v>
      </c>
      <c r="T4495" t="s">
        <v>13290</v>
      </c>
      <c r="U4495" t="s">
        <v>13290</v>
      </c>
      <c r="V4495" t="s">
        <v>13290</v>
      </c>
      <c r="W4495" t="s">
        <v>17737</v>
      </c>
      <c r="X4495">
        <v>13</v>
      </c>
      <c r="Y4495" t="s">
        <v>24225</v>
      </c>
      <c r="Z4495" t="s">
        <v>30825</v>
      </c>
      <c r="AA4495">
        <v>0.40940617206755853</v>
      </c>
      <c r="AB4495" t="str">
        <f>HYPERLINK("Melting_Curves/meltCurve_Q8IYS1_PM20D2.pdf", "Melting_Curves/meltCurve_Q8IYS1_PM20D2.pdf")</f>
        <v>Melting_Curves/meltCurve_Q8IYS1_PM20D2.pdf</v>
      </c>
    </row>
    <row r="4496" spans="1:28" x14ac:dyDescent="0.25">
      <c r="A4496" t="s">
        <v>4500</v>
      </c>
      <c r="B4496">
        <v>0.99252571173614901</v>
      </c>
      <c r="C4496">
        <v>0.88336115288305905</v>
      </c>
      <c r="D4496">
        <v>0.83750499548298696</v>
      </c>
      <c r="E4496">
        <v>0.65878755789432597</v>
      </c>
      <c r="F4496">
        <v>0.567406714814083</v>
      </c>
      <c r="G4496">
        <v>0.35406793140471099</v>
      </c>
      <c r="H4496">
        <v>0.25952463864237801</v>
      </c>
      <c r="I4496">
        <v>0.27754716342810598</v>
      </c>
      <c r="J4496">
        <v>0.29977632911240798</v>
      </c>
      <c r="K4496">
        <v>0.19916479916107199</v>
      </c>
      <c r="L4496">
        <v>587.92101113076899</v>
      </c>
      <c r="M4496">
        <v>11.468116565700599</v>
      </c>
      <c r="N4496">
        <v>53.504440021646303</v>
      </c>
      <c r="O4496">
        <v>49.781189074131397</v>
      </c>
      <c r="P4496">
        <v>-4.66309516143118E-2</v>
      </c>
      <c r="Q4496">
        <v>0.19056370082186799</v>
      </c>
      <c r="R4496">
        <v>0.98326080357079104</v>
      </c>
      <c r="S4496" t="s">
        <v>11142</v>
      </c>
      <c r="T4496" t="s">
        <v>13290</v>
      </c>
      <c r="U4496" t="s">
        <v>13290</v>
      </c>
      <c r="V4496" t="s">
        <v>13290</v>
      </c>
      <c r="W4496" t="s">
        <v>17738</v>
      </c>
      <c r="X4496">
        <v>6</v>
      </c>
      <c r="Y4496" t="s">
        <v>24226</v>
      </c>
      <c r="Z4496" t="s">
        <v>30826</v>
      </c>
      <c r="AA4496">
        <v>0.52216069022335498</v>
      </c>
      <c r="AB4496" t="str">
        <f>HYPERLINK("Melting_Curves/meltCurve_Q8IYS2_KIAA2013.pdf", "Melting_Curves/meltCurve_Q8IYS2_KIAA2013.pdf")</f>
        <v>Melting_Curves/meltCurve_Q8IYS2_KIAA2013.pdf</v>
      </c>
    </row>
    <row r="4497" spans="1:28" x14ac:dyDescent="0.25">
      <c r="A4497" t="s">
        <v>4501</v>
      </c>
      <c r="B4497">
        <v>0.99252571173614901</v>
      </c>
      <c r="C4497">
        <v>0.96936917534162004</v>
      </c>
      <c r="D4497">
        <v>0.59525648856789803</v>
      </c>
      <c r="E4497">
        <v>0.35570957135660503</v>
      </c>
      <c r="F4497">
        <v>0.127681108759332</v>
      </c>
      <c r="G4497">
        <v>5.5384588002164302E-2</v>
      </c>
      <c r="H4497">
        <v>3.56164194977747E-2</v>
      </c>
      <c r="I4497">
        <v>4.2880549827642701E-2</v>
      </c>
      <c r="J4497">
        <v>4.39741535724818E-2</v>
      </c>
      <c r="K4497">
        <v>3.8172889651548102E-2</v>
      </c>
      <c r="L4497">
        <v>968.64677175015595</v>
      </c>
      <c r="M4497">
        <v>20.4402913034873</v>
      </c>
      <c r="N4497">
        <v>47.5627277129473</v>
      </c>
      <c r="O4497">
        <v>46.942500063576702</v>
      </c>
      <c r="P4497">
        <v>-0.10494748740335801</v>
      </c>
      <c r="Q4497">
        <v>3.59529734974538E-2</v>
      </c>
      <c r="R4497">
        <v>0.99132520708276595</v>
      </c>
      <c r="S4497" t="s">
        <v>11143</v>
      </c>
      <c r="T4497" t="s">
        <v>13290</v>
      </c>
      <c r="U4497" t="s">
        <v>13290</v>
      </c>
      <c r="V4497" t="s">
        <v>13290</v>
      </c>
      <c r="W4497" t="s">
        <v>17739</v>
      </c>
      <c r="X4497">
        <v>5</v>
      </c>
      <c r="Y4497" t="s">
        <v>24227</v>
      </c>
      <c r="Z4497" t="s">
        <v>30827</v>
      </c>
      <c r="AA4497">
        <v>0.28667414318213091</v>
      </c>
      <c r="AB4497" t="str">
        <f>HYPERLINK("Melting_Curves/meltCurve_Q8IYU8_MICU2.pdf", "Melting_Curves/meltCurve_Q8IYU8_MICU2.pdf")</f>
        <v>Melting_Curves/meltCurve_Q8IYU8_MICU2.pdf</v>
      </c>
    </row>
    <row r="4498" spans="1:28" x14ac:dyDescent="0.25">
      <c r="A4498" t="s">
        <v>4502</v>
      </c>
      <c r="B4498">
        <v>0.99252571173614901</v>
      </c>
      <c r="C4498">
        <v>1.0172476247136899</v>
      </c>
      <c r="D4498">
        <v>0.824299465667791</v>
      </c>
      <c r="E4498">
        <v>0.61198983381279204</v>
      </c>
      <c r="F4498">
        <v>0.39731080177838801</v>
      </c>
      <c r="G4498">
        <v>0.24456110699063799</v>
      </c>
      <c r="H4498">
        <v>0.18688162401614999</v>
      </c>
      <c r="I4498">
        <v>0.19805928882616</v>
      </c>
      <c r="J4498">
        <v>0.286050043634833</v>
      </c>
      <c r="K4498">
        <v>0.23816681166901499</v>
      </c>
      <c r="L4498">
        <v>1004.36345395194</v>
      </c>
      <c r="M4498">
        <v>20.284526391863899</v>
      </c>
      <c r="N4498">
        <v>50.955372431537597</v>
      </c>
      <c r="O4498">
        <v>49.040075573909498</v>
      </c>
      <c r="P4498">
        <v>-8.08331682872475E-2</v>
      </c>
      <c r="Q4498">
        <v>0.21833157484558499</v>
      </c>
      <c r="R4498">
        <v>0.98698657701394099</v>
      </c>
      <c r="S4498" t="s">
        <v>11144</v>
      </c>
      <c r="T4498" t="s">
        <v>13290</v>
      </c>
      <c r="U4498" t="s">
        <v>13290</v>
      </c>
      <c r="V4498" t="s">
        <v>13290</v>
      </c>
      <c r="W4498" t="s">
        <v>17740</v>
      </c>
      <c r="X4498">
        <v>4</v>
      </c>
      <c r="Y4498" t="s">
        <v>24228</v>
      </c>
      <c r="Z4498" t="s">
        <v>30828</v>
      </c>
      <c r="AA4498">
        <v>0.47682331484200963</v>
      </c>
      <c r="AB4498" t="str">
        <f>HYPERLINK("Melting_Curves/meltCurve_Q8IYW5_RNF168.pdf", "Melting_Curves/meltCurve_Q8IYW5_RNF168.pdf")</f>
        <v>Melting_Curves/meltCurve_Q8IYW5_RNF168.pdf</v>
      </c>
    </row>
    <row r="4499" spans="1:28" x14ac:dyDescent="0.25">
      <c r="A4499" t="s">
        <v>4503</v>
      </c>
      <c r="B4499">
        <v>0.99252571173614901</v>
      </c>
      <c r="C4499">
        <v>1.0344868249113099</v>
      </c>
      <c r="D4499">
        <v>0.87538558954019496</v>
      </c>
      <c r="E4499">
        <v>0.69916773293266299</v>
      </c>
      <c r="F4499">
        <v>0.19218690601469701</v>
      </c>
      <c r="G4499">
        <v>0.108777733403102</v>
      </c>
      <c r="H4499">
        <v>7.4769962118580793E-2</v>
      </c>
      <c r="I4499">
        <v>7.6621413791224502E-2</v>
      </c>
      <c r="J4499">
        <v>7.0909576022541596E-2</v>
      </c>
      <c r="K4499">
        <v>6.4428250671223902E-2</v>
      </c>
      <c r="L4499">
        <v>1609.33121646687</v>
      </c>
      <c r="M4499">
        <v>31.859730903968501</v>
      </c>
      <c r="N4499">
        <v>50.748894721703003</v>
      </c>
      <c r="O4499">
        <v>50.315265193138799</v>
      </c>
      <c r="P4499">
        <v>-0.14740730821425599</v>
      </c>
      <c r="Q4499">
        <v>6.8818382162032093E-2</v>
      </c>
      <c r="R4499">
        <v>0.99318787894983696</v>
      </c>
      <c r="S4499" t="s">
        <v>11145</v>
      </c>
      <c r="T4499" t="s">
        <v>13290</v>
      </c>
      <c r="U4499" t="s">
        <v>13290</v>
      </c>
      <c r="V4499" t="s">
        <v>13290</v>
      </c>
      <c r="W4499" t="s">
        <v>17741</v>
      </c>
      <c r="X4499">
        <v>5</v>
      </c>
      <c r="Y4499" t="s">
        <v>24229</v>
      </c>
      <c r="Z4499" t="s">
        <v>30829</v>
      </c>
      <c r="AA4499">
        <v>0.40028139045547251</v>
      </c>
      <c r="AB4499" t="str">
        <f>HYPERLINK("Melting_Curves/meltCurve_Q8IZ07_ANKRD13A.pdf", "Melting_Curves/meltCurve_Q8IZ07_ANKRD13A.pdf")</f>
        <v>Melting_Curves/meltCurve_Q8IZ07_ANKRD13A.pdf</v>
      </c>
    </row>
    <row r="4500" spans="1:28" x14ac:dyDescent="0.25">
      <c r="A4500" t="s">
        <v>4504</v>
      </c>
      <c r="B4500">
        <v>0.99252571173614901</v>
      </c>
      <c r="C4500">
        <v>1.0408106583082699</v>
      </c>
      <c r="D4500">
        <v>0.96378470087485602</v>
      </c>
      <c r="E4500">
        <v>0.97633062902203305</v>
      </c>
      <c r="F4500">
        <v>0.87703446608088598</v>
      </c>
      <c r="G4500">
        <v>0.68553238096639302</v>
      </c>
      <c r="H4500">
        <v>0.712549503540302</v>
      </c>
      <c r="I4500">
        <v>0.98253805716095599</v>
      </c>
      <c r="J4500">
        <v>1.3287978090674699</v>
      </c>
      <c r="K4500">
        <v>1.2804063446358001</v>
      </c>
      <c r="L4500">
        <v>15000</v>
      </c>
      <c r="M4500">
        <v>229.096732617013</v>
      </c>
      <c r="O4500">
        <v>65.469536810125703</v>
      </c>
      <c r="P4500">
        <v>0.26690437370366699</v>
      </c>
      <c r="Q4500">
        <v>1.30509567700026</v>
      </c>
      <c r="R4500">
        <v>0.47540934763928799</v>
      </c>
      <c r="S4500" t="s">
        <v>11146</v>
      </c>
      <c r="T4500" t="s">
        <v>13290</v>
      </c>
      <c r="U4500" t="s">
        <v>13290</v>
      </c>
      <c r="V4500" t="s">
        <v>13290</v>
      </c>
      <c r="W4500" t="s">
        <v>17742</v>
      </c>
      <c r="X4500">
        <v>19</v>
      </c>
      <c r="Y4500" t="s">
        <v>24230</v>
      </c>
      <c r="Z4500" t="s">
        <v>30830</v>
      </c>
      <c r="AA4500">
        <v>1.045981670012069</v>
      </c>
      <c r="AB4500" t="str">
        <f>HYPERLINK("Melting_Curves/meltCurve_Q8IZ21_3_PHACTR4.pdf", "Melting_Curves/meltCurve_Q8IZ21_3_PHACTR4.pdf")</f>
        <v>Melting_Curves/meltCurve_Q8IZ21_3_PHACTR4.pdf</v>
      </c>
    </row>
    <row r="4501" spans="1:28" x14ac:dyDescent="0.25">
      <c r="A4501" t="s">
        <v>4505</v>
      </c>
      <c r="B4501">
        <v>0.99252571173614901</v>
      </c>
      <c r="C4501">
        <v>0.623421759174282</v>
      </c>
      <c r="D4501">
        <v>0.38877203190266701</v>
      </c>
      <c r="E4501">
        <v>0.21971662938487799</v>
      </c>
      <c r="F4501">
        <v>0.14163853932600701</v>
      </c>
      <c r="G4501">
        <v>9.7941154930524896E-2</v>
      </c>
      <c r="H4501">
        <v>0.103995616298396</v>
      </c>
      <c r="I4501">
        <v>0.120068044843946</v>
      </c>
      <c r="J4501">
        <v>0.169658462583923</v>
      </c>
      <c r="K4501">
        <v>0.22487298267759101</v>
      </c>
      <c r="L4501">
        <v>1033.31734797801</v>
      </c>
      <c r="M4501">
        <v>23.577141775612901</v>
      </c>
      <c r="N4501">
        <v>44.4743242136161</v>
      </c>
      <c r="O4501">
        <v>43.515430288548799</v>
      </c>
      <c r="P4501">
        <v>-0.115783440308363</v>
      </c>
      <c r="Q4501">
        <v>0.145225939456821</v>
      </c>
      <c r="R4501">
        <v>0.97046953978273798</v>
      </c>
      <c r="S4501" t="s">
        <v>11147</v>
      </c>
      <c r="T4501" t="s">
        <v>13290</v>
      </c>
      <c r="U4501" t="s">
        <v>13290</v>
      </c>
      <c r="V4501" t="s">
        <v>13290</v>
      </c>
      <c r="W4501" t="s">
        <v>17743</v>
      </c>
      <c r="X4501">
        <v>1</v>
      </c>
      <c r="Y4501" t="s">
        <v>24231</v>
      </c>
      <c r="Z4501" t="s">
        <v>30831</v>
      </c>
      <c r="AA4501">
        <v>0.26591444654864088</v>
      </c>
      <c r="AB4501" t="str">
        <f>HYPERLINK("Melting_Curves/meltCurve_Q8IZ40_RCOR2.pdf", "Melting_Curves/meltCurve_Q8IZ40_RCOR2.pdf")</f>
        <v>Melting_Curves/meltCurve_Q8IZ40_RCOR2.pdf</v>
      </c>
    </row>
    <row r="4502" spans="1:28" x14ac:dyDescent="0.25">
      <c r="A4502" t="s">
        <v>4506</v>
      </c>
      <c r="B4502">
        <v>0.99252571173614901</v>
      </c>
      <c r="C4502">
        <v>0.89667329617556102</v>
      </c>
      <c r="D4502">
        <v>0.79753132757726697</v>
      </c>
      <c r="E4502">
        <v>0.75939422373819099</v>
      </c>
      <c r="F4502">
        <v>0.66465320645149695</v>
      </c>
      <c r="G4502">
        <v>0.580376220445458</v>
      </c>
      <c r="H4502">
        <v>0.50548862012663698</v>
      </c>
      <c r="I4502">
        <v>0.56888475244861503</v>
      </c>
      <c r="J4502">
        <v>0.237103302792881</v>
      </c>
      <c r="K4502">
        <v>0.11584248945668001</v>
      </c>
      <c r="L4502">
        <v>384.22932042021898</v>
      </c>
      <c r="M4502">
        <v>6.4961518930190199</v>
      </c>
      <c r="N4502">
        <v>59.147225922768897</v>
      </c>
      <c r="O4502">
        <v>54.291460527340099</v>
      </c>
      <c r="P4502">
        <v>-2.9986135226609398E-2</v>
      </c>
      <c r="Q4502">
        <v>0</v>
      </c>
      <c r="R4502">
        <v>0.89106073439059696</v>
      </c>
      <c r="S4502" t="s">
        <v>11148</v>
      </c>
      <c r="T4502" t="s">
        <v>13290</v>
      </c>
      <c r="U4502" t="s">
        <v>13290</v>
      </c>
      <c r="V4502" t="s">
        <v>13290</v>
      </c>
      <c r="W4502" t="s">
        <v>17744</v>
      </c>
      <c r="X4502">
        <v>2</v>
      </c>
      <c r="Y4502" t="s">
        <v>24232</v>
      </c>
      <c r="Z4502" t="s">
        <v>30832</v>
      </c>
      <c r="AA4502">
        <v>0.6201941266259543</v>
      </c>
      <c r="AB4502" t="str">
        <f>HYPERLINK("Melting_Curves/meltCurve_Q8IZ41_RASEF.pdf", "Melting_Curves/meltCurve_Q8IZ41_RASEF.pdf")</f>
        <v>Melting_Curves/meltCurve_Q8IZ41_RASEF.pdf</v>
      </c>
    </row>
    <row r="4503" spans="1:28" x14ac:dyDescent="0.25">
      <c r="A4503" t="s">
        <v>4507</v>
      </c>
      <c r="B4503">
        <v>0.99252571173614901</v>
      </c>
      <c r="C4503">
        <v>0.92147694620364895</v>
      </c>
      <c r="D4503">
        <v>0.84271936274758996</v>
      </c>
      <c r="E4503">
        <v>0.78357368284400197</v>
      </c>
      <c r="F4503">
        <v>0.40027496538591301</v>
      </c>
      <c r="G4503">
        <v>0.16230169452597501</v>
      </c>
      <c r="H4503">
        <v>0.177436509972103</v>
      </c>
      <c r="I4503">
        <v>0.172413244073675</v>
      </c>
      <c r="J4503">
        <v>0.22194583275272101</v>
      </c>
      <c r="K4503">
        <v>8.8359592244221297E-2</v>
      </c>
      <c r="L4503">
        <v>1151.3107496254599</v>
      </c>
      <c r="M4503">
        <v>22.467356946155299</v>
      </c>
      <c r="N4503">
        <v>52.019187762495797</v>
      </c>
      <c r="O4503">
        <v>50.842935792242699</v>
      </c>
      <c r="P4503">
        <v>-9.4755043076311093E-2</v>
      </c>
      <c r="Q4503">
        <v>0.14230679212001299</v>
      </c>
      <c r="R4503">
        <v>0.97398834632563902</v>
      </c>
      <c r="S4503" t="s">
        <v>11149</v>
      </c>
      <c r="T4503" t="s">
        <v>13290</v>
      </c>
      <c r="U4503" t="s">
        <v>13290</v>
      </c>
      <c r="V4503" t="s">
        <v>13290</v>
      </c>
      <c r="W4503" t="s">
        <v>17745</v>
      </c>
      <c r="X4503">
        <v>2</v>
      </c>
      <c r="Y4503" t="s">
        <v>24233</v>
      </c>
      <c r="Z4503" t="s">
        <v>30833</v>
      </c>
      <c r="AA4503">
        <v>0.4733171360206111</v>
      </c>
      <c r="AB4503" t="str">
        <f>HYPERLINK("Melting_Curves/meltCurve_Q8IZ52_CHPF.pdf", "Melting_Curves/meltCurve_Q8IZ52_CHPF.pdf")</f>
        <v>Melting_Curves/meltCurve_Q8IZ52_CHPF.pdf</v>
      </c>
    </row>
    <row r="4504" spans="1:28" x14ac:dyDescent="0.25">
      <c r="A4504" t="s">
        <v>4508</v>
      </c>
      <c r="B4504">
        <v>0.99252571173614901</v>
      </c>
      <c r="C4504">
        <v>0.90205698068260598</v>
      </c>
      <c r="D4504">
        <v>0.83118230447399599</v>
      </c>
      <c r="E4504">
        <v>0.97590023484228094</v>
      </c>
      <c r="F4504">
        <v>0.55780027802754395</v>
      </c>
      <c r="G4504">
        <v>0.28259266483365097</v>
      </c>
      <c r="H4504">
        <v>0.12760327701082699</v>
      </c>
      <c r="I4504">
        <v>0.13113870832813801</v>
      </c>
      <c r="J4504">
        <v>0.13365565602430199</v>
      </c>
      <c r="K4504">
        <v>0.10667833779125301</v>
      </c>
      <c r="L4504">
        <v>1507.8789886459799</v>
      </c>
      <c r="M4504">
        <v>28.219945841630601</v>
      </c>
      <c r="N4504">
        <v>53.947908836992902</v>
      </c>
      <c r="O4504">
        <v>53.166949272665398</v>
      </c>
      <c r="P4504">
        <v>-0.117032447597263</v>
      </c>
      <c r="Q4504">
        <v>0.118041589345367</v>
      </c>
      <c r="R4504">
        <v>0.96944934598252597</v>
      </c>
      <c r="S4504" t="s">
        <v>11150</v>
      </c>
      <c r="T4504" t="s">
        <v>13290</v>
      </c>
      <c r="U4504" t="s">
        <v>13290</v>
      </c>
      <c r="V4504" t="s">
        <v>13290</v>
      </c>
      <c r="W4504" t="s">
        <v>17746</v>
      </c>
      <c r="X4504">
        <v>6</v>
      </c>
      <c r="Y4504" t="s">
        <v>24234</v>
      </c>
      <c r="Z4504" t="s">
        <v>30834</v>
      </c>
      <c r="AA4504">
        <v>0.51943179738598677</v>
      </c>
      <c r="AB4504" t="str">
        <f>HYPERLINK("Melting_Curves/meltCurve_Q8IZ68_MTX2.pdf", "Melting_Curves/meltCurve_Q8IZ68_MTX2.pdf")</f>
        <v>Melting_Curves/meltCurve_Q8IZ68_MTX2.pdf</v>
      </c>
    </row>
    <row r="4505" spans="1:28" x14ac:dyDescent="0.25">
      <c r="A4505" t="s">
        <v>4509</v>
      </c>
      <c r="B4505">
        <v>0.99252571173614901</v>
      </c>
      <c r="C4505">
        <v>1.04757854231042</v>
      </c>
      <c r="D4505">
        <v>0.92634591110084197</v>
      </c>
      <c r="E4505">
        <v>0.80208405362967405</v>
      </c>
      <c r="F4505">
        <v>0.53642086043114301</v>
      </c>
      <c r="G4505">
        <v>0.175913184556308</v>
      </c>
      <c r="H4505">
        <v>6.9780939394715899E-2</v>
      </c>
      <c r="I4505">
        <v>6.16563901881318E-2</v>
      </c>
      <c r="J4505">
        <v>5.7799225896873897E-2</v>
      </c>
      <c r="K4505">
        <v>5.15668397323212E-2</v>
      </c>
      <c r="L4505">
        <v>1178.5345404464299</v>
      </c>
      <c r="M4505">
        <v>22.250815515809801</v>
      </c>
      <c r="N4505">
        <v>53.144049489535803</v>
      </c>
      <c r="O4505">
        <v>52.543655477873102</v>
      </c>
      <c r="P4505">
        <v>-0.102065819476583</v>
      </c>
      <c r="Q4505">
        <v>3.5937035243778899E-2</v>
      </c>
      <c r="R4505">
        <v>0.99478773429224099</v>
      </c>
      <c r="S4505" t="s">
        <v>11151</v>
      </c>
      <c r="T4505" t="s">
        <v>13290</v>
      </c>
      <c r="U4505" t="s">
        <v>13290</v>
      </c>
      <c r="V4505" t="s">
        <v>13290</v>
      </c>
      <c r="W4505" t="s">
        <v>17747</v>
      </c>
      <c r="X4505">
        <v>10</v>
      </c>
      <c r="Y4505" t="s">
        <v>24235</v>
      </c>
      <c r="Z4505" t="s">
        <v>30835</v>
      </c>
      <c r="AA4505">
        <v>0.46359963811179311</v>
      </c>
      <c r="AB4505" t="str">
        <f>HYPERLINK("Melting_Curves/meltCurve_Q8IZ73_RPUSD2.pdf", "Melting_Curves/meltCurve_Q8IZ73_RPUSD2.pdf")</f>
        <v>Melting_Curves/meltCurve_Q8IZ73_RPUSD2.pdf</v>
      </c>
    </row>
    <row r="4506" spans="1:28" x14ac:dyDescent="0.25">
      <c r="A4506" t="s">
        <v>4510</v>
      </c>
      <c r="B4506">
        <v>0.99252571173614901</v>
      </c>
      <c r="C4506">
        <v>0.97781935820250698</v>
      </c>
      <c r="D4506">
        <v>0.90866814755369796</v>
      </c>
      <c r="E4506">
        <v>0.81352166797853098</v>
      </c>
      <c r="F4506">
        <v>0.39671692457819002</v>
      </c>
      <c r="G4506">
        <v>0.13873535242472801</v>
      </c>
      <c r="H4506">
        <v>9.9351253457030206E-2</v>
      </c>
      <c r="I4506">
        <v>9.4688641774172605E-2</v>
      </c>
      <c r="J4506">
        <v>0.11792190397277599</v>
      </c>
      <c r="K4506">
        <v>0.103575516826461</v>
      </c>
      <c r="L4506">
        <v>1460.6167502371</v>
      </c>
      <c r="M4506">
        <v>28.182737164696601</v>
      </c>
      <c r="N4506">
        <v>52.213719280439904</v>
      </c>
      <c r="O4506">
        <v>51.567815876562896</v>
      </c>
      <c r="P4506">
        <v>-0.123750174636845</v>
      </c>
      <c r="Q4506">
        <v>9.4272151856180694E-2</v>
      </c>
      <c r="R4506">
        <v>0.99568784437240299</v>
      </c>
      <c r="S4506" t="s">
        <v>11152</v>
      </c>
      <c r="T4506" t="s">
        <v>13290</v>
      </c>
      <c r="U4506" t="s">
        <v>13290</v>
      </c>
      <c r="V4506" t="s">
        <v>13290</v>
      </c>
      <c r="W4506" t="s">
        <v>17748</v>
      </c>
      <c r="X4506">
        <v>12</v>
      </c>
      <c r="Y4506" t="s">
        <v>24236</v>
      </c>
      <c r="Z4506" t="s">
        <v>30836</v>
      </c>
      <c r="AA4506">
        <v>0.45786079119059209</v>
      </c>
      <c r="AB4506" t="str">
        <f>HYPERLINK("Melting_Curves/meltCurve_Q8IZ81_ELMOD2.pdf", "Melting_Curves/meltCurve_Q8IZ81_ELMOD2.pdf")</f>
        <v>Melting_Curves/meltCurve_Q8IZ81_ELMOD2.pdf</v>
      </c>
    </row>
    <row r="4507" spans="1:28" x14ac:dyDescent="0.25">
      <c r="A4507" t="s">
        <v>4511</v>
      </c>
      <c r="B4507">
        <v>0.99252571173614901</v>
      </c>
      <c r="C4507">
        <v>0.95123322542391897</v>
      </c>
      <c r="D4507">
        <v>1.1098763656086199</v>
      </c>
      <c r="E4507">
        <v>1.1586136901447699</v>
      </c>
      <c r="F4507">
        <v>1.03212132246201</v>
      </c>
      <c r="G4507">
        <v>0.80397891709775404</v>
      </c>
      <c r="H4507">
        <v>0.87570739700182398</v>
      </c>
      <c r="I4507">
        <v>1.1111714044085601</v>
      </c>
      <c r="J4507">
        <v>1.0089568157651101</v>
      </c>
      <c r="K4507">
        <v>0.48832218672081701</v>
      </c>
      <c r="L4507">
        <v>15000</v>
      </c>
      <c r="M4507">
        <v>214.33241958885</v>
      </c>
      <c r="N4507">
        <v>69.984747887429094</v>
      </c>
      <c r="O4507">
        <v>69.978654676629901</v>
      </c>
      <c r="P4507">
        <v>-0.76570643284227002</v>
      </c>
      <c r="Q4507">
        <v>0</v>
      </c>
      <c r="R4507">
        <v>0.691582931382829</v>
      </c>
      <c r="S4507" t="s">
        <v>11153</v>
      </c>
      <c r="T4507" t="s">
        <v>13290</v>
      </c>
      <c r="U4507" t="s">
        <v>13290</v>
      </c>
      <c r="V4507" t="s">
        <v>13290</v>
      </c>
      <c r="W4507" t="s">
        <v>17749</v>
      </c>
      <c r="X4507">
        <v>3</v>
      </c>
      <c r="Y4507" t="s">
        <v>24237</v>
      </c>
      <c r="Z4507" t="s">
        <v>30837</v>
      </c>
      <c r="AA4507">
        <v>0.99228076430806011</v>
      </c>
      <c r="AB4507" t="str">
        <f>HYPERLINK("Melting_Curves/meltCurve_Q8IZ83_ALDH16A1.pdf", "Melting_Curves/meltCurve_Q8IZ83_ALDH16A1.pdf")</f>
        <v>Melting_Curves/meltCurve_Q8IZ83_ALDH16A1.pdf</v>
      </c>
    </row>
    <row r="4508" spans="1:28" x14ac:dyDescent="0.25">
      <c r="A4508" t="s">
        <v>4512</v>
      </c>
      <c r="B4508">
        <v>0.99252571173614901</v>
      </c>
      <c r="C4508">
        <v>0.88127063680142004</v>
      </c>
      <c r="D4508">
        <v>0.90366241388698398</v>
      </c>
      <c r="E4508">
        <v>0.77103420048834004</v>
      </c>
      <c r="F4508">
        <v>0.81619014428525105</v>
      </c>
      <c r="G4508">
        <v>0.45715273288092201</v>
      </c>
      <c r="H4508">
        <v>5.71723826250847E-2</v>
      </c>
      <c r="I4508">
        <v>4.1877381951199603E-2</v>
      </c>
      <c r="J4508">
        <v>4.7645181160686799E-2</v>
      </c>
      <c r="K4508">
        <v>4.3489252528461302E-2</v>
      </c>
      <c r="L4508">
        <v>1190.8966300059799</v>
      </c>
      <c r="M4508">
        <v>21.307065996697499</v>
      </c>
      <c r="N4508">
        <v>55.892098417336598</v>
      </c>
      <c r="O4508">
        <v>55.406760211126802</v>
      </c>
      <c r="P4508">
        <v>-9.6141727327032495E-2</v>
      </c>
      <c r="Q4508">
        <v>0</v>
      </c>
      <c r="R4508">
        <v>0.95718030196995996</v>
      </c>
      <c r="S4508" t="s">
        <v>11154</v>
      </c>
      <c r="T4508" t="s">
        <v>13290</v>
      </c>
      <c r="U4508" t="s">
        <v>13290</v>
      </c>
      <c r="V4508" t="s">
        <v>13290</v>
      </c>
      <c r="W4508" t="s">
        <v>17750</v>
      </c>
      <c r="X4508">
        <v>1</v>
      </c>
      <c r="Y4508" t="s">
        <v>24238</v>
      </c>
      <c r="Z4508" t="s">
        <v>30838</v>
      </c>
      <c r="AA4508">
        <v>0.54155944007071144</v>
      </c>
      <c r="AB4508" t="str">
        <f>HYPERLINK("Melting_Curves/meltCurve_Q8IZF0_NALCN.pdf", "Melting_Curves/meltCurve_Q8IZF0_NALCN.pdf")</f>
        <v>Melting_Curves/meltCurve_Q8IZF0_NALCN.pdf</v>
      </c>
    </row>
    <row r="4509" spans="1:28" x14ac:dyDescent="0.25">
      <c r="A4509" t="s">
        <v>4513</v>
      </c>
      <c r="B4509">
        <v>0.99252571173614901</v>
      </c>
      <c r="C4509">
        <v>0.87070662112122998</v>
      </c>
      <c r="D4509">
        <v>0.72315988865327097</v>
      </c>
      <c r="E4509">
        <v>0.243075162652889</v>
      </c>
      <c r="F4509">
        <v>0.19614652684641101</v>
      </c>
      <c r="G4509">
        <v>0.131584217278256</v>
      </c>
      <c r="H4509">
        <v>0.107908808274862</v>
      </c>
      <c r="I4509">
        <v>0.109333677716767</v>
      </c>
      <c r="J4509">
        <v>7.7413907923278902E-2</v>
      </c>
      <c r="K4509">
        <v>5.8833532195470599E-2</v>
      </c>
      <c r="L4509">
        <v>1153.5892145621201</v>
      </c>
      <c r="M4509">
        <v>24.496450684995001</v>
      </c>
      <c r="N4509">
        <v>47.505927008143502</v>
      </c>
      <c r="O4509">
        <v>46.781646607065198</v>
      </c>
      <c r="P4509">
        <v>-0.118332502206933</v>
      </c>
      <c r="Q4509">
        <v>9.6080168062632199E-2</v>
      </c>
      <c r="R4509">
        <v>0.98888004982821698</v>
      </c>
      <c r="S4509" t="s">
        <v>11155</v>
      </c>
      <c r="T4509" t="s">
        <v>13290</v>
      </c>
      <c r="U4509" t="s">
        <v>13290</v>
      </c>
      <c r="V4509" t="s">
        <v>13290</v>
      </c>
      <c r="W4509" t="s">
        <v>17751</v>
      </c>
      <c r="X4509">
        <v>6</v>
      </c>
      <c r="Y4509" t="s">
        <v>24239</v>
      </c>
      <c r="Z4509" t="s">
        <v>30839</v>
      </c>
      <c r="AA4509">
        <v>0.31819511807737022</v>
      </c>
      <c r="AB4509" t="str">
        <f>HYPERLINK("Melting_Curves/meltCurve_Q8IZH2_2_XRN1.pdf", "Melting_Curves/meltCurve_Q8IZH2_2_XRN1.pdf")</f>
        <v>Melting_Curves/meltCurve_Q8IZH2_2_XRN1.pdf</v>
      </c>
    </row>
    <row r="4510" spans="1:28" x14ac:dyDescent="0.25">
      <c r="A4510" t="s">
        <v>4514</v>
      </c>
      <c r="B4510">
        <v>0.99252571173614901</v>
      </c>
      <c r="C4510">
        <v>0.94708506061476905</v>
      </c>
      <c r="D4510">
        <v>0.81956697810213597</v>
      </c>
      <c r="E4510">
        <v>0.80816139873117998</v>
      </c>
      <c r="F4510">
        <v>0.49001416842039702</v>
      </c>
      <c r="G4510">
        <v>0.35481812627723402</v>
      </c>
      <c r="H4510">
        <v>0.37296493368432199</v>
      </c>
      <c r="I4510">
        <v>0.48539004963462001</v>
      </c>
      <c r="J4510">
        <v>0.75931014695603405</v>
      </c>
      <c r="K4510">
        <v>0.88957863323032405</v>
      </c>
      <c r="L4510">
        <v>1174.42194080387</v>
      </c>
      <c r="M4510">
        <v>24.642779629108901</v>
      </c>
      <c r="O4510">
        <v>47.347358043191299</v>
      </c>
      <c r="P4510">
        <v>-5.6523064390118102E-2</v>
      </c>
      <c r="Q4510">
        <v>0.56560443766953805</v>
      </c>
      <c r="R4510">
        <v>0.49847449497477597</v>
      </c>
      <c r="S4510" t="s">
        <v>11156</v>
      </c>
      <c r="T4510" t="s">
        <v>13290</v>
      </c>
      <c r="U4510" t="s">
        <v>13290</v>
      </c>
      <c r="V4510" t="s">
        <v>13290</v>
      </c>
      <c r="W4510" t="s">
        <v>17752</v>
      </c>
      <c r="X4510">
        <v>7</v>
      </c>
      <c r="Y4510" t="s">
        <v>24240</v>
      </c>
      <c r="Z4510" t="s">
        <v>30840</v>
      </c>
      <c r="AA4510">
        <v>0.68045539058677917</v>
      </c>
      <c r="AB4510" t="str">
        <f>HYPERLINK("Melting_Curves/meltCurve_Q8IZL2_MAML2.pdf", "Melting_Curves/meltCurve_Q8IZL2_MAML2.pdf")</f>
        <v>Melting_Curves/meltCurve_Q8IZL2_MAML2.pdf</v>
      </c>
    </row>
    <row r="4511" spans="1:28" x14ac:dyDescent="0.25">
      <c r="A4511" t="s">
        <v>4515</v>
      </c>
      <c r="B4511">
        <v>0.99252571173614901</v>
      </c>
      <c r="C4511">
        <v>1.1112992112518201</v>
      </c>
      <c r="D4511">
        <v>1.00274659382919</v>
      </c>
      <c r="E4511">
        <v>0.92873213894234496</v>
      </c>
      <c r="F4511">
        <v>0.69834348284598202</v>
      </c>
      <c r="G4511">
        <v>0.45591015957160902</v>
      </c>
      <c r="H4511">
        <v>0.34066692755315697</v>
      </c>
      <c r="I4511">
        <v>0.40136866076863897</v>
      </c>
      <c r="J4511">
        <v>0.53907152363744304</v>
      </c>
      <c r="K4511">
        <v>0.52385503113117704</v>
      </c>
      <c r="L4511">
        <v>2108.4787325639199</v>
      </c>
      <c r="M4511">
        <v>39.931621372336998</v>
      </c>
      <c r="N4511">
        <v>55.944747730391498</v>
      </c>
      <c r="O4511">
        <v>52.6703249929054</v>
      </c>
      <c r="P4511">
        <v>-0.104826371922402</v>
      </c>
      <c r="Q4511">
        <v>0.44693179224995999</v>
      </c>
      <c r="R4511">
        <v>0.94180950795044405</v>
      </c>
      <c r="S4511" t="s">
        <v>11157</v>
      </c>
      <c r="T4511" t="s">
        <v>13290</v>
      </c>
      <c r="U4511" t="s">
        <v>13290</v>
      </c>
      <c r="V4511" t="s">
        <v>13290</v>
      </c>
      <c r="W4511" t="s">
        <v>17753</v>
      </c>
      <c r="X4511">
        <v>5</v>
      </c>
      <c r="Y4511" t="s">
        <v>24241</v>
      </c>
      <c r="Z4511" t="s">
        <v>30841</v>
      </c>
      <c r="AA4511">
        <v>0.6849723971944468</v>
      </c>
      <c r="AB4511" t="str">
        <f>HYPERLINK("Melting_Curves/meltCurve_Q8IZQ5_SELH.pdf", "Melting_Curves/meltCurve_Q8IZQ5_SELH.pdf")</f>
        <v>Melting_Curves/meltCurve_Q8IZQ5_SELH.pdf</v>
      </c>
    </row>
    <row r="4512" spans="1:28" x14ac:dyDescent="0.25">
      <c r="A4512" t="s">
        <v>4516</v>
      </c>
      <c r="B4512">
        <v>0.99252571173614901</v>
      </c>
      <c r="C4512">
        <v>1.0039578629174699</v>
      </c>
      <c r="D4512">
        <v>0.907495912196988</v>
      </c>
      <c r="E4512">
        <v>1.0191695599395101</v>
      </c>
      <c r="F4512">
        <v>0.72005136799810798</v>
      </c>
      <c r="G4512">
        <v>0.60570258037339297</v>
      </c>
      <c r="H4512">
        <v>0.61885177477484898</v>
      </c>
      <c r="I4512">
        <v>1.01793790622668</v>
      </c>
      <c r="J4512">
        <v>1.5817580017815001</v>
      </c>
      <c r="K4512">
        <v>1.4337402747935499</v>
      </c>
      <c r="L4512">
        <v>15000</v>
      </c>
      <c r="M4512">
        <v>231.14657104403301</v>
      </c>
      <c r="O4512">
        <v>64.889024753332706</v>
      </c>
      <c r="P4512">
        <v>0.44527280998077001</v>
      </c>
      <c r="Q4512">
        <v>1.5</v>
      </c>
      <c r="R4512">
        <v>0.56322152899459699</v>
      </c>
      <c r="S4512" t="s">
        <v>11158</v>
      </c>
      <c r="T4512" t="s">
        <v>13290</v>
      </c>
      <c r="U4512" t="s">
        <v>13290</v>
      </c>
      <c r="V4512" t="s">
        <v>13290</v>
      </c>
      <c r="W4512" t="s">
        <v>17754</v>
      </c>
      <c r="X4512">
        <v>4</v>
      </c>
      <c r="Y4512" t="s">
        <v>24242</v>
      </c>
      <c r="Z4512" t="s">
        <v>30842</v>
      </c>
      <c r="AA4512">
        <v>1.0850352303279061</v>
      </c>
      <c r="AB4512" t="str">
        <f>HYPERLINK("Melting_Curves/meltCurve_Q8IZR5_2_CMTM4.pdf", "Melting_Curves/meltCurve_Q8IZR5_2_CMTM4.pdf")</f>
        <v>Melting_Curves/meltCurve_Q8IZR5_2_CMTM4.pdf</v>
      </c>
    </row>
    <row r="4513" spans="1:28" x14ac:dyDescent="0.25">
      <c r="A4513" t="s">
        <v>4517</v>
      </c>
      <c r="B4513">
        <v>0.99252571173614901</v>
      </c>
      <c r="C4513">
        <v>1.03569780051076</v>
      </c>
      <c r="D4513">
        <v>0.92427055841723005</v>
      </c>
      <c r="E4513">
        <v>0.77362124803342303</v>
      </c>
      <c r="F4513">
        <v>0.40946136508826197</v>
      </c>
      <c r="G4513">
        <v>0.17643216538437401</v>
      </c>
      <c r="H4513">
        <v>9.6366563442235501E-2</v>
      </c>
      <c r="I4513">
        <v>0.100340590420967</v>
      </c>
      <c r="J4513">
        <v>0.105815337195399</v>
      </c>
      <c r="K4513">
        <v>7.8984001103918997E-2</v>
      </c>
      <c r="L4513">
        <v>1240.3342082157301</v>
      </c>
      <c r="M4513">
        <v>23.9313096285881</v>
      </c>
      <c r="N4513">
        <v>52.2308994428994</v>
      </c>
      <c r="O4513">
        <v>51.471102816420199</v>
      </c>
      <c r="P4513">
        <v>-0.106462691505436</v>
      </c>
      <c r="Q4513">
        <v>8.4101286212195495E-2</v>
      </c>
      <c r="R4513">
        <v>0.99762767646839801</v>
      </c>
      <c r="S4513" t="s">
        <v>11159</v>
      </c>
      <c r="T4513" t="s">
        <v>13290</v>
      </c>
      <c r="U4513" t="s">
        <v>13290</v>
      </c>
      <c r="V4513" t="s">
        <v>13290</v>
      </c>
      <c r="W4513" t="s">
        <v>17755</v>
      </c>
      <c r="X4513">
        <v>5</v>
      </c>
      <c r="Y4513" t="s">
        <v>24243</v>
      </c>
      <c r="Z4513" t="s">
        <v>30843</v>
      </c>
      <c r="AA4513">
        <v>0.45431664656980147</v>
      </c>
      <c r="AB4513" t="str">
        <f>HYPERLINK("Melting_Curves/meltCurve_Q8IZV5_RDH10.pdf", "Melting_Curves/meltCurve_Q8IZV5_RDH10.pdf")</f>
        <v>Melting_Curves/meltCurve_Q8IZV5_RDH10.pdf</v>
      </c>
    </row>
    <row r="4514" spans="1:28" x14ac:dyDescent="0.25">
      <c r="A4514" t="s">
        <v>4518</v>
      </c>
      <c r="B4514">
        <v>0.99252571173614901</v>
      </c>
      <c r="C4514">
        <v>0.62118553454453995</v>
      </c>
      <c r="D4514">
        <v>0.349090602819841</v>
      </c>
      <c r="E4514">
        <v>0.21566345203539899</v>
      </c>
      <c r="F4514">
        <v>0.13995749680612099</v>
      </c>
      <c r="G4514">
        <v>8.7103409260728404E-2</v>
      </c>
      <c r="H4514">
        <v>7.9394713729930497E-2</v>
      </c>
      <c r="I4514">
        <v>0.10261826977142301</v>
      </c>
      <c r="J4514">
        <v>0.145277173751516</v>
      </c>
      <c r="K4514">
        <v>0.162184054306967</v>
      </c>
      <c r="L4514">
        <v>1051.6086402633</v>
      </c>
      <c r="M4514">
        <v>24.013939478656599</v>
      </c>
      <c r="N4514">
        <v>44.314125747583198</v>
      </c>
      <c r="O4514">
        <v>43.491327098660499</v>
      </c>
      <c r="P4514">
        <v>-0.121020152638644</v>
      </c>
      <c r="Q4514">
        <v>0.123302362602386</v>
      </c>
      <c r="R4514">
        <v>0.97997628178711604</v>
      </c>
      <c r="S4514" t="s">
        <v>11160</v>
      </c>
      <c r="T4514" t="s">
        <v>13290</v>
      </c>
      <c r="U4514" t="s">
        <v>13290</v>
      </c>
      <c r="V4514" t="s">
        <v>13290</v>
      </c>
      <c r="W4514" t="s">
        <v>17756</v>
      </c>
      <c r="X4514">
        <v>7</v>
      </c>
      <c r="Y4514" t="s">
        <v>24244</v>
      </c>
      <c r="Z4514" t="s">
        <v>30844</v>
      </c>
      <c r="AA4514">
        <v>0.24561220356233041</v>
      </c>
      <c r="AB4514" t="str">
        <f>HYPERLINK("Melting_Curves/meltCurve_Q8IZW8_TNS4.pdf", "Melting_Curves/meltCurve_Q8IZW8_TNS4.pdf")</f>
        <v>Melting_Curves/meltCurve_Q8IZW8_TNS4.pdf</v>
      </c>
    </row>
    <row r="4515" spans="1:28" x14ac:dyDescent="0.25">
      <c r="A4515" t="s">
        <v>4519</v>
      </c>
      <c r="B4515">
        <v>0.99252571173614901</v>
      </c>
      <c r="C4515">
        <v>1.0822337769811501</v>
      </c>
      <c r="D4515">
        <v>1.03497257795623</v>
      </c>
      <c r="E4515">
        <v>0.940019944302666</v>
      </c>
      <c r="F4515">
        <v>0.81018650617860999</v>
      </c>
      <c r="G4515">
        <v>0.65669482567402004</v>
      </c>
      <c r="H4515">
        <v>0.66841999263723395</v>
      </c>
      <c r="I4515">
        <v>0.71336793069540305</v>
      </c>
      <c r="J4515">
        <v>1.15864733923123</v>
      </c>
      <c r="K4515">
        <v>1.28388108416074</v>
      </c>
      <c r="L4515">
        <v>15000</v>
      </c>
      <c r="M4515">
        <v>223.78278666050099</v>
      </c>
      <c r="O4515">
        <v>67.023925349342804</v>
      </c>
      <c r="P4515">
        <v>0.23698441654166599</v>
      </c>
      <c r="Q4515">
        <v>1.28391150866795</v>
      </c>
      <c r="R4515">
        <v>0.148394466292599</v>
      </c>
      <c r="S4515" t="s">
        <v>11161</v>
      </c>
      <c r="T4515" t="s">
        <v>13290</v>
      </c>
      <c r="U4515" t="s">
        <v>13290</v>
      </c>
      <c r="V4515" t="s">
        <v>13290</v>
      </c>
      <c r="W4515" t="s">
        <v>17757</v>
      </c>
      <c r="X4515">
        <v>3</v>
      </c>
      <c r="Y4515" t="s">
        <v>24245</v>
      </c>
      <c r="Z4515" t="s">
        <v>30845</v>
      </c>
      <c r="AA4515">
        <v>1.0280725638278509</v>
      </c>
      <c r="AB4515" t="str">
        <f>HYPERLINK("Melting_Curves/meltCurve_Q8N0T1_C8orf59.pdf", "Melting_Curves/meltCurve_Q8N0T1_C8orf59.pdf")</f>
        <v>Melting_Curves/meltCurve_Q8N0T1_C8orf59.pdf</v>
      </c>
    </row>
    <row r="4516" spans="1:28" x14ac:dyDescent="0.25">
      <c r="A4516" t="s">
        <v>4520</v>
      </c>
      <c r="B4516">
        <v>0.99252571173614901</v>
      </c>
      <c r="C4516">
        <v>1.0313972734416199</v>
      </c>
      <c r="D4516">
        <v>0.899966289461403</v>
      </c>
      <c r="E4516">
        <v>0.81019597364643203</v>
      </c>
      <c r="F4516">
        <v>0.90327947274079201</v>
      </c>
      <c r="G4516">
        <v>0.79661617359102299</v>
      </c>
      <c r="H4516">
        <v>0.28471135086464899</v>
      </c>
      <c r="I4516">
        <v>0.12812023899409</v>
      </c>
      <c r="J4516">
        <v>5.7648480269692499E-2</v>
      </c>
      <c r="K4516">
        <v>4.8820398174165898E-2</v>
      </c>
      <c r="L4516">
        <v>1725.2552015220399</v>
      </c>
      <c r="M4516">
        <v>29.288171591380099</v>
      </c>
      <c r="N4516">
        <v>59.0471713886079</v>
      </c>
      <c r="O4516">
        <v>58.633640863741597</v>
      </c>
      <c r="P4516">
        <v>-0.120662206040379</v>
      </c>
      <c r="Q4516">
        <v>3.3765059259244903E-2</v>
      </c>
      <c r="R4516">
        <v>0.96643625091916696</v>
      </c>
      <c r="S4516" t="s">
        <v>11162</v>
      </c>
      <c r="T4516" t="s">
        <v>13290</v>
      </c>
      <c r="U4516" t="s">
        <v>13290</v>
      </c>
      <c r="V4516" t="s">
        <v>13290</v>
      </c>
      <c r="W4516" t="s">
        <v>17758</v>
      </c>
      <c r="X4516">
        <v>3</v>
      </c>
      <c r="Y4516" t="s">
        <v>24246</v>
      </c>
      <c r="Z4516" t="s">
        <v>30846</v>
      </c>
      <c r="AA4516">
        <v>0.649131675693845</v>
      </c>
      <c r="AB4516" t="str">
        <f>HYPERLINK("Melting_Curves/meltCurve_Q8N0U4_FAM185A.pdf", "Melting_Curves/meltCurve_Q8N0U4_FAM185A.pdf")</f>
        <v>Melting_Curves/meltCurve_Q8N0U4_FAM185A.pdf</v>
      </c>
    </row>
    <row r="4517" spans="1:28" x14ac:dyDescent="0.25">
      <c r="A4517" t="s">
        <v>4521</v>
      </c>
      <c r="B4517">
        <v>0.99252571173614901</v>
      </c>
      <c r="C4517">
        <v>0.90854239841625395</v>
      </c>
      <c r="D4517">
        <v>0.88171501432114896</v>
      </c>
      <c r="E4517">
        <v>0.81896562317806099</v>
      </c>
      <c r="F4517">
        <v>0.63168557653749002</v>
      </c>
      <c r="G4517">
        <v>0.47567578403331401</v>
      </c>
      <c r="H4517">
        <v>0.44024589227531602</v>
      </c>
      <c r="I4517">
        <v>0.60704819280830502</v>
      </c>
      <c r="J4517">
        <v>0.87710239389632505</v>
      </c>
      <c r="K4517">
        <v>0.94268295401577895</v>
      </c>
      <c r="L4517">
        <v>1125.1023366442</v>
      </c>
      <c r="M4517">
        <v>23.8278565292538</v>
      </c>
      <c r="O4517">
        <v>46.88913839045</v>
      </c>
      <c r="P4517">
        <v>-4.2332953866147903E-2</v>
      </c>
      <c r="Q4517">
        <v>0.66678942740205605</v>
      </c>
      <c r="R4517">
        <v>0.37687112934953598</v>
      </c>
      <c r="S4517" t="s">
        <v>11163</v>
      </c>
      <c r="T4517" t="s">
        <v>13290</v>
      </c>
      <c r="U4517" t="s">
        <v>13290</v>
      </c>
      <c r="V4517" t="s">
        <v>13290</v>
      </c>
      <c r="W4517" t="s">
        <v>17759</v>
      </c>
      <c r="X4517">
        <v>2</v>
      </c>
      <c r="Y4517" t="s">
        <v>24247</v>
      </c>
      <c r="Z4517" t="s">
        <v>30847</v>
      </c>
      <c r="AA4517">
        <v>0.75025183455552413</v>
      </c>
      <c r="AB4517" t="str">
        <f>HYPERLINK("Melting_Curves/meltCurve_Q8N0U8_VKORC1L1.pdf", "Melting_Curves/meltCurve_Q8N0U8_VKORC1L1.pdf")</f>
        <v>Melting_Curves/meltCurve_Q8N0U8_VKORC1L1.pdf</v>
      </c>
    </row>
    <row r="4518" spans="1:28" x14ac:dyDescent="0.25">
      <c r="A4518" t="s">
        <v>4522</v>
      </c>
      <c r="B4518">
        <v>0.99252571173614901</v>
      </c>
      <c r="C4518">
        <v>0.72028296761600097</v>
      </c>
      <c r="D4518">
        <v>1.28834802848713</v>
      </c>
      <c r="E4518">
        <v>1.3578613070122201</v>
      </c>
      <c r="F4518">
        <v>1.4284382581616699</v>
      </c>
      <c r="G4518">
        <v>0.998182300153035</v>
      </c>
      <c r="H4518">
        <v>0.60235944056699797</v>
      </c>
      <c r="I4518">
        <v>0.161816459742332</v>
      </c>
      <c r="J4518">
        <v>0.106265761698818</v>
      </c>
      <c r="K4518">
        <v>0.118658792651943</v>
      </c>
      <c r="L4518">
        <v>3868.64675822052</v>
      </c>
      <c r="M4518">
        <v>63.416240569318902</v>
      </c>
      <c r="N4518">
        <v>61.252044176226597</v>
      </c>
      <c r="O4518">
        <v>60.9434633870301</v>
      </c>
      <c r="P4518">
        <v>-0.23068873293374201</v>
      </c>
      <c r="Q4518">
        <v>0.11322617807166301</v>
      </c>
      <c r="R4518">
        <v>0.80393164720250898</v>
      </c>
      <c r="S4518" t="s">
        <v>11164</v>
      </c>
      <c r="T4518" t="s">
        <v>13290</v>
      </c>
      <c r="U4518" t="s">
        <v>13290</v>
      </c>
      <c r="V4518" t="s">
        <v>13290</v>
      </c>
      <c r="W4518" t="s">
        <v>17760</v>
      </c>
      <c r="X4518">
        <v>4</v>
      </c>
      <c r="Y4518" t="s">
        <v>24248</v>
      </c>
      <c r="Z4518" t="s">
        <v>30848</v>
      </c>
      <c r="AA4518">
        <v>0.73555622233856055</v>
      </c>
      <c r="AB4518" t="str">
        <f>HYPERLINK("Melting_Curves/meltCurve_Q8N0W3_FUK.pdf", "Melting_Curves/meltCurve_Q8N0W3_FUK.pdf")</f>
        <v>Melting_Curves/meltCurve_Q8N0W3_FUK.pdf</v>
      </c>
    </row>
    <row r="4519" spans="1:28" x14ac:dyDescent="0.25">
      <c r="A4519" t="s">
        <v>4523</v>
      </c>
      <c r="B4519">
        <v>0.99252571173614901</v>
      </c>
      <c r="C4519">
        <v>1.0446136490317599</v>
      </c>
      <c r="D4519">
        <v>1.0065760498933001</v>
      </c>
      <c r="E4519">
        <v>0.99577127580338698</v>
      </c>
      <c r="F4519">
        <v>0.90601724213607704</v>
      </c>
      <c r="G4519">
        <v>0.62620627310796995</v>
      </c>
      <c r="H4519">
        <v>0.26630116662400299</v>
      </c>
      <c r="I4519">
        <v>0.12531959983383401</v>
      </c>
      <c r="J4519">
        <v>0.13070349325418401</v>
      </c>
      <c r="K4519">
        <v>0.120070252840369</v>
      </c>
      <c r="L4519">
        <v>1632.5287531174499</v>
      </c>
      <c r="M4519">
        <v>28.42627196726</v>
      </c>
      <c r="N4519">
        <v>57.9153727500535</v>
      </c>
      <c r="O4519">
        <v>57.148313182143397</v>
      </c>
      <c r="P4519">
        <v>-0.11118024799215501</v>
      </c>
      <c r="Q4519">
        <v>0.10593800134562401</v>
      </c>
      <c r="R4519">
        <v>0.99795629220976501</v>
      </c>
      <c r="S4519" t="s">
        <v>11165</v>
      </c>
      <c r="T4519" t="s">
        <v>13290</v>
      </c>
      <c r="U4519" t="s">
        <v>13290</v>
      </c>
      <c r="V4519" t="s">
        <v>13290</v>
      </c>
      <c r="W4519" t="s">
        <v>17761</v>
      </c>
      <c r="X4519">
        <v>19</v>
      </c>
      <c r="Y4519" t="s">
        <v>24249</v>
      </c>
      <c r="Z4519" t="s">
        <v>30849</v>
      </c>
      <c r="AA4519">
        <v>0.63189378129297635</v>
      </c>
      <c r="AB4519" t="str">
        <f>HYPERLINK("Melting_Curves/meltCurve_Q8N0X4_CLYBL.pdf", "Melting_Curves/meltCurve_Q8N0X4_CLYBL.pdf")</f>
        <v>Melting_Curves/meltCurve_Q8N0X4_CLYBL.pdf</v>
      </c>
    </row>
    <row r="4520" spans="1:28" x14ac:dyDescent="0.25">
      <c r="A4520" t="s">
        <v>4524</v>
      </c>
      <c r="B4520">
        <v>0.99252571173614901</v>
      </c>
      <c r="C4520">
        <v>0.98124879407027699</v>
      </c>
      <c r="D4520">
        <v>0.59697967044174305</v>
      </c>
      <c r="E4520">
        <v>0.28024293071211398</v>
      </c>
      <c r="F4520">
        <v>0.19529991063476301</v>
      </c>
      <c r="G4520">
        <v>0.136127792976836</v>
      </c>
      <c r="H4520">
        <v>0.118748175997896</v>
      </c>
      <c r="I4520">
        <v>0.14993320287266501</v>
      </c>
      <c r="J4520">
        <v>0.12473647279837199</v>
      </c>
      <c r="K4520">
        <v>0.104585123374787</v>
      </c>
      <c r="L4520">
        <v>1319.4472299014701</v>
      </c>
      <c r="M4520">
        <v>28.393396087456502</v>
      </c>
      <c r="N4520">
        <v>46.989750317333097</v>
      </c>
      <c r="O4520">
        <v>46.241535484422599</v>
      </c>
      <c r="P4520">
        <v>-0.13282761293253401</v>
      </c>
      <c r="Q4520">
        <v>0.134713867862576</v>
      </c>
      <c r="R4520">
        <v>0.99338933184097999</v>
      </c>
      <c r="S4520" t="s">
        <v>11166</v>
      </c>
      <c r="T4520" t="s">
        <v>13290</v>
      </c>
      <c r="U4520" t="s">
        <v>13290</v>
      </c>
      <c r="V4520" t="s">
        <v>13290</v>
      </c>
      <c r="W4520" t="s">
        <v>17762</v>
      </c>
      <c r="X4520">
        <v>4</v>
      </c>
      <c r="Y4520" t="s">
        <v>24250</v>
      </c>
      <c r="Z4520" t="s">
        <v>30850</v>
      </c>
      <c r="AA4520">
        <v>0.32722474707597682</v>
      </c>
      <c r="AB4520" t="str">
        <f>HYPERLINK("Melting_Curves/meltCurve_Q8N0Z6_TTC5.pdf", "Melting_Curves/meltCurve_Q8N0Z6_TTC5.pdf")</f>
        <v>Melting_Curves/meltCurve_Q8N0Z6_TTC5.pdf</v>
      </c>
    </row>
    <row r="4521" spans="1:28" x14ac:dyDescent="0.25">
      <c r="A4521" t="s">
        <v>4525</v>
      </c>
      <c r="B4521">
        <v>0.99252571173614901</v>
      </c>
      <c r="C4521">
        <v>1.0124811634327799</v>
      </c>
      <c r="D4521">
        <v>0.77180083227664698</v>
      </c>
      <c r="E4521">
        <v>0.81833331919654795</v>
      </c>
      <c r="F4521">
        <v>0.74086593647450905</v>
      </c>
      <c r="G4521">
        <v>0.464372105490923</v>
      </c>
      <c r="H4521">
        <v>0.31855301770195799</v>
      </c>
      <c r="I4521">
        <v>0.34073472962072199</v>
      </c>
      <c r="J4521">
        <v>0.21592464742359299</v>
      </c>
      <c r="K4521">
        <v>0</v>
      </c>
      <c r="L4521">
        <v>562.94690605139795</v>
      </c>
      <c r="M4521">
        <v>9.8994041172718603</v>
      </c>
      <c r="N4521">
        <v>56.866748057582697</v>
      </c>
      <c r="O4521">
        <v>54.692094760628898</v>
      </c>
      <c r="P4521">
        <v>-4.5273493008378497E-2</v>
      </c>
      <c r="Q4521">
        <v>0</v>
      </c>
      <c r="R4521">
        <v>0.94619181682275899</v>
      </c>
      <c r="S4521" t="s">
        <v>11167</v>
      </c>
      <c r="T4521" t="s">
        <v>13290</v>
      </c>
      <c r="U4521" t="s">
        <v>13290</v>
      </c>
      <c r="V4521" t="s">
        <v>13290</v>
      </c>
      <c r="W4521" t="s">
        <v>17763</v>
      </c>
      <c r="X4521">
        <v>2</v>
      </c>
      <c r="Y4521" t="s">
        <v>24251</v>
      </c>
      <c r="Z4521" t="s">
        <v>30851</v>
      </c>
      <c r="AA4521">
        <v>0.57867214186896276</v>
      </c>
      <c r="AB4521" t="str">
        <f>HYPERLINK("Melting_Curves/meltCurve_Q8N0Z8_PUSL1.pdf", "Melting_Curves/meltCurve_Q8N0Z8_PUSL1.pdf")</f>
        <v>Melting_Curves/meltCurve_Q8N0Z8_PUSL1.pdf</v>
      </c>
    </row>
    <row r="4522" spans="1:28" x14ac:dyDescent="0.25">
      <c r="A4522" t="s">
        <v>4526</v>
      </c>
      <c r="B4522">
        <v>0.99252571173614901</v>
      </c>
      <c r="C4522">
        <v>0.95825431809539097</v>
      </c>
      <c r="D4522">
        <v>0.86226725878947597</v>
      </c>
      <c r="E4522">
        <v>0.74956170058791505</v>
      </c>
      <c r="F4522">
        <v>0.76862884582589297</v>
      </c>
      <c r="G4522">
        <v>0.67709928385585505</v>
      </c>
      <c r="H4522">
        <v>0.577778871804149</v>
      </c>
      <c r="I4522">
        <v>0.80734771452813303</v>
      </c>
      <c r="J4522">
        <v>1.2030732723501101</v>
      </c>
      <c r="K4522">
        <v>1.0146305892887599</v>
      </c>
      <c r="L4522">
        <v>1965.275378975</v>
      </c>
      <c r="M4522">
        <v>44.588324969559402</v>
      </c>
      <c r="O4522">
        <v>43.987626535299398</v>
      </c>
      <c r="P4522">
        <v>-4.3246592950408003E-2</v>
      </c>
      <c r="Q4522">
        <v>0.82934435077914503</v>
      </c>
      <c r="R4522">
        <v>0.11103114660060399</v>
      </c>
      <c r="S4522" t="s">
        <v>11168</v>
      </c>
      <c r="T4522" t="s">
        <v>13290</v>
      </c>
      <c r="U4522" t="s">
        <v>13290</v>
      </c>
      <c r="V4522" t="s">
        <v>13290</v>
      </c>
      <c r="W4522" t="s">
        <v>17764</v>
      </c>
      <c r="X4522">
        <v>4</v>
      </c>
      <c r="Y4522" t="s">
        <v>24252</v>
      </c>
      <c r="Z4522" t="s">
        <v>30852</v>
      </c>
      <c r="AA4522">
        <v>0.85299574439851444</v>
      </c>
      <c r="AB4522" t="str">
        <f>HYPERLINK("Melting_Curves/meltCurve_Q8N0Z9_2_VSIG10.pdf", "Melting_Curves/meltCurve_Q8N0Z9_2_VSIG10.pdf")</f>
        <v>Melting_Curves/meltCurve_Q8N0Z9_2_VSIG10.pdf</v>
      </c>
    </row>
    <row r="4523" spans="1:28" x14ac:dyDescent="0.25">
      <c r="A4523" t="s">
        <v>4527</v>
      </c>
      <c r="B4523">
        <v>0.99252571173614901</v>
      </c>
      <c r="C4523">
        <v>1.03331468614193</v>
      </c>
      <c r="D4523">
        <v>0.91955459593778999</v>
      </c>
      <c r="E4523">
        <v>0.72190720841233802</v>
      </c>
      <c r="F4523">
        <v>0.28371653792576002</v>
      </c>
      <c r="G4523">
        <v>0.172289882524645</v>
      </c>
      <c r="H4523">
        <v>0.1230396037449</v>
      </c>
      <c r="I4523">
        <v>0.153500465907808</v>
      </c>
      <c r="J4523">
        <v>0.16185499663064501</v>
      </c>
      <c r="K4523">
        <v>0.16840911012353699</v>
      </c>
      <c r="L4523">
        <v>1635.08687910193</v>
      </c>
      <c r="M4523">
        <v>32.318149206933199</v>
      </c>
      <c r="N4523">
        <v>51.153207248625201</v>
      </c>
      <c r="O4523">
        <v>50.400940228640998</v>
      </c>
      <c r="P4523">
        <v>-0.13643046526813099</v>
      </c>
      <c r="Q4523">
        <v>0.14893784718816999</v>
      </c>
      <c r="R4523">
        <v>0.99611901574945405</v>
      </c>
      <c r="S4523" t="s">
        <v>11169</v>
      </c>
      <c r="T4523" t="s">
        <v>13290</v>
      </c>
      <c r="U4523" t="s">
        <v>13290</v>
      </c>
      <c r="V4523" t="s">
        <v>13290</v>
      </c>
      <c r="W4523" t="s">
        <v>17765</v>
      </c>
      <c r="X4523">
        <v>8</v>
      </c>
      <c r="Y4523" t="s">
        <v>24253</v>
      </c>
      <c r="Z4523" t="s">
        <v>30853</v>
      </c>
      <c r="AA4523">
        <v>0.45403647330617508</v>
      </c>
      <c r="AB4523" t="str">
        <f>HYPERLINK("Melting_Curves/meltCurve_Q8N108_17_MIER1.pdf", "Melting_Curves/meltCurve_Q8N108_17_MIER1.pdf")</f>
        <v>Melting_Curves/meltCurve_Q8N108_17_MIER1.pdf</v>
      </c>
    </row>
    <row r="4524" spans="1:28" x14ac:dyDescent="0.25">
      <c r="A4524" t="s">
        <v>4528</v>
      </c>
      <c r="B4524">
        <v>0.99252571173614901</v>
      </c>
      <c r="C4524">
        <v>0.93168670962627598</v>
      </c>
      <c r="D4524">
        <v>1.00173814965806</v>
      </c>
      <c r="E4524">
        <v>0.605371629991862</v>
      </c>
      <c r="F4524">
        <v>0.20799256010570599</v>
      </c>
      <c r="G4524">
        <v>0.12489490047910599</v>
      </c>
      <c r="H4524">
        <v>8.6528481527824594E-2</v>
      </c>
      <c r="I4524">
        <v>8.2808467453898194E-2</v>
      </c>
      <c r="J4524">
        <v>8.9232034713289499E-2</v>
      </c>
      <c r="K4524">
        <v>9.8584121520583004E-2</v>
      </c>
      <c r="L4524">
        <v>1748.09148017496</v>
      </c>
      <c r="M4524">
        <v>34.9301131090605</v>
      </c>
      <c r="N4524">
        <v>50.347397874448298</v>
      </c>
      <c r="O4524">
        <v>49.882225803627001</v>
      </c>
      <c r="P4524">
        <v>-0.15851767632562</v>
      </c>
      <c r="Q4524">
        <v>9.45135622479783E-2</v>
      </c>
      <c r="R4524">
        <v>0.99545127926641597</v>
      </c>
      <c r="S4524" t="s">
        <v>11170</v>
      </c>
      <c r="T4524" t="s">
        <v>13290</v>
      </c>
      <c r="U4524" t="s">
        <v>13290</v>
      </c>
      <c r="V4524" t="s">
        <v>13290</v>
      </c>
      <c r="W4524" t="s">
        <v>17766</v>
      </c>
      <c r="X4524">
        <v>12</v>
      </c>
      <c r="Y4524" t="s">
        <v>24254</v>
      </c>
      <c r="Z4524" t="s">
        <v>30854</v>
      </c>
      <c r="AA4524">
        <v>0.40183265809864471</v>
      </c>
      <c r="AB4524" t="str">
        <f>HYPERLINK("Melting_Curves/meltCurve_Q8N122_RPTOR.pdf", "Melting_Curves/meltCurve_Q8N122_RPTOR.pdf")</f>
        <v>Melting_Curves/meltCurve_Q8N122_RPTOR.pdf</v>
      </c>
    </row>
    <row r="4525" spans="1:28" x14ac:dyDescent="0.25">
      <c r="A4525" t="s">
        <v>4529</v>
      </c>
      <c r="B4525">
        <v>0.99252571173614901</v>
      </c>
      <c r="C4525">
        <v>1.08670564140528</v>
      </c>
      <c r="D4525">
        <v>0.983007852274139</v>
      </c>
      <c r="E4525">
        <v>0.89256665934827895</v>
      </c>
      <c r="F4525">
        <v>0.657849232549232</v>
      </c>
      <c r="G4525">
        <v>0.46430248246386502</v>
      </c>
      <c r="H4525">
        <v>0.40017268663539901</v>
      </c>
      <c r="I4525">
        <v>0.60257327774953195</v>
      </c>
      <c r="J4525">
        <v>0.89468116216656701</v>
      </c>
      <c r="K4525">
        <v>0.93657512687816002</v>
      </c>
      <c r="L4525">
        <v>12438.442914756</v>
      </c>
      <c r="M4525">
        <v>250</v>
      </c>
      <c r="O4525">
        <v>49.7505877589672</v>
      </c>
      <c r="P4525">
        <v>-0.42793591276854698</v>
      </c>
      <c r="Q4525">
        <v>0.65935898954229999</v>
      </c>
      <c r="R4525">
        <v>0.52193882327600305</v>
      </c>
      <c r="S4525" t="s">
        <v>11171</v>
      </c>
      <c r="T4525" t="s">
        <v>13290</v>
      </c>
      <c r="U4525" t="s">
        <v>13290</v>
      </c>
      <c r="V4525" t="s">
        <v>13290</v>
      </c>
      <c r="W4525" t="s">
        <v>17767</v>
      </c>
      <c r="X4525">
        <v>10</v>
      </c>
      <c r="Y4525" t="s">
        <v>24255</v>
      </c>
      <c r="Z4525" t="s">
        <v>30855</v>
      </c>
      <c r="AA4525">
        <v>0.77013988778253151</v>
      </c>
      <c r="AB4525" t="str">
        <f>HYPERLINK("Melting_Curves/meltCurve_Q8N129_CNPY4.pdf", "Melting_Curves/meltCurve_Q8N129_CNPY4.pdf")</f>
        <v>Melting_Curves/meltCurve_Q8N129_CNPY4.pdf</v>
      </c>
    </row>
    <row r="4526" spans="1:28" x14ac:dyDescent="0.25">
      <c r="A4526" t="s">
        <v>4530</v>
      </c>
      <c r="B4526">
        <v>0.99252571173614901</v>
      </c>
      <c r="C4526">
        <v>0.66550542816914404</v>
      </c>
      <c r="D4526">
        <v>0.76100827336687304</v>
      </c>
      <c r="E4526">
        <v>0.36137854344072501</v>
      </c>
      <c r="F4526">
        <v>0.274567976872861</v>
      </c>
      <c r="G4526">
        <v>0.15318019592191101</v>
      </c>
      <c r="H4526">
        <v>0.133578108827685</v>
      </c>
      <c r="I4526">
        <v>0.114144445320232</v>
      </c>
      <c r="J4526">
        <v>0.16184792845950499</v>
      </c>
      <c r="K4526">
        <v>0.16124018106156501</v>
      </c>
      <c r="L4526">
        <v>655.70744403638105</v>
      </c>
      <c r="M4526">
        <v>13.932825747803101</v>
      </c>
      <c r="N4526">
        <v>47.971645205272502</v>
      </c>
      <c r="O4526">
        <v>46.124362475960801</v>
      </c>
      <c r="P4526">
        <v>-6.6760362594891501E-2</v>
      </c>
      <c r="Q4526">
        <v>0.116083396318125</v>
      </c>
      <c r="R4526">
        <v>0.94216289137070597</v>
      </c>
      <c r="S4526" t="s">
        <v>11172</v>
      </c>
      <c r="T4526" t="s">
        <v>13290</v>
      </c>
      <c r="U4526" t="s">
        <v>13290</v>
      </c>
      <c r="V4526" t="s">
        <v>13290</v>
      </c>
      <c r="W4526" t="s">
        <v>17768</v>
      </c>
      <c r="X4526">
        <v>14</v>
      </c>
      <c r="Y4526" t="s">
        <v>24256</v>
      </c>
      <c r="Z4526" t="s">
        <v>30856</v>
      </c>
      <c r="AA4526">
        <v>0.35193122641713059</v>
      </c>
      <c r="AB4526" t="str">
        <f>HYPERLINK("Melting_Curves/meltCurve_Q8N163_KIAA1967.pdf", "Melting_Curves/meltCurve_Q8N163_KIAA1967.pdf")</f>
        <v>Melting_Curves/meltCurve_Q8N163_KIAA1967.pdf</v>
      </c>
    </row>
    <row r="4527" spans="1:28" x14ac:dyDescent="0.25">
      <c r="A4527" t="s">
        <v>4531</v>
      </c>
      <c r="B4527">
        <v>0.99252571173614901</v>
      </c>
      <c r="C4527">
        <v>0.97586191181836301</v>
      </c>
      <c r="D4527">
        <v>0.89453644927451703</v>
      </c>
      <c r="E4527">
        <v>0.76348025564433397</v>
      </c>
      <c r="F4527">
        <v>0.66543518048179495</v>
      </c>
      <c r="G4527">
        <v>0.58485080553847002</v>
      </c>
      <c r="H4527">
        <v>0.49773501551812799</v>
      </c>
      <c r="I4527">
        <v>0.65966118817354102</v>
      </c>
      <c r="J4527">
        <v>1.1937550824959999</v>
      </c>
      <c r="K4527">
        <v>1.1496676373221499</v>
      </c>
      <c r="L4527">
        <v>5831.6358971980699</v>
      </c>
      <c r="M4527">
        <v>126.763044390096</v>
      </c>
      <c r="O4527">
        <v>45.9927594313748</v>
      </c>
      <c r="P4527">
        <v>-0.146216408738572</v>
      </c>
      <c r="Q4527">
        <v>0.78779622883307898</v>
      </c>
      <c r="R4527">
        <v>0.122069681178432</v>
      </c>
      <c r="S4527" t="s">
        <v>11173</v>
      </c>
      <c r="T4527" t="s">
        <v>13290</v>
      </c>
      <c r="U4527" t="s">
        <v>13290</v>
      </c>
      <c r="V4527" t="s">
        <v>13290</v>
      </c>
      <c r="W4527" t="s">
        <v>17769</v>
      </c>
      <c r="X4527">
        <v>20</v>
      </c>
      <c r="Y4527" t="s">
        <v>24257</v>
      </c>
      <c r="Z4527" t="s">
        <v>30857</v>
      </c>
      <c r="AA4527">
        <v>0.8303335643232016</v>
      </c>
      <c r="AB4527" t="str">
        <f>HYPERLINK("Melting_Curves/meltCurve_Q8N183_NDUFAF2.pdf", "Melting_Curves/meltCurve_Q8N183_NDUFAF2.pdf")</f>
        <v>Melting_Curves/meltCurve_Q8N183_NDUFAF2.pdf</v>
      </c>
    </row>
    <row r="4528" spans="1:28" x14ac:dyDescent="0.25">
      <c r="A4528" t="s">
        <v>4532</v>
      </c>
      <c r="B4528">
        <v>0.99252571173614901</v>
      </c>
      <c r="C4528">
        <v>0.861472822208737</v>
      </c>
      <c r="D4528">
        <v>0.95700657582693105</v>
      </c>
      <c r="E4528">
        <v>0.51433652631863003</v>
      </c>
      <c r="F4528">
        <v>0.28307631831860902</v>
      </c>
      <c r="G4528">
        <v>0.188575607255526</v>
      </c>
      <c r="H4528">
        <v>0.155977321590168</v>
      </c>
      <c r="I4528">
        <v>0.159150762195784</v>
      </c>
      <c r="J4528">
        <v>0.14881982118241999</v>
      </c>
      <c r="K4528">
        <v>0.10996465145195</v>
      </c>
      <c r="L4528">
        <v>1276.67149771042</v>
      </c>
      <c r="M4528">
        <v>25.856659826467499</v>
      </c>
      <c r="N4528">
        <v>50.044476166312201</v>
      </c>
      <c r="O4528">
        <v>49.082465641845701</v>
      </c>
      <c r="P4528">
        <v>-0.11244429011436601</v>
      </c>
      <c r="Q4528">
        <v>0.14621953617810801</v>
      </c>
      <c r="R4528">
        <v>0.98096012719912995</v>
      </c>
      <c r="S4528" t="s">
        <v>11174</v>
      </c>
      <c r="T4528" t="s">
        <v>13290</v>
      </c>
      <c r="U4528" t="s">
        <v>13290</v>
      </c>
      <c r="V4528" t="s">
        <v>13290</v>
      </c>
      <c r="W4528" t="s">
        <v>17770</v>
      </c>
      <c r="X4528">
        <v>6</v>
      </c>
      <c r="Y4528" t="s">
        <v>24258</v>
      </c>
      <c r="Z4528" t="s">
        <v>30858</v>
      </c>
      <c r="AA4528">
        <v>0.42010712672008471</v>
      </c>
      <c r="AB4528" t="str">
        <f>HYPERLINK("Melting_Curves/meltCurve_Q8N1B4_VPS52.pdf", "Melting_Curves/meltCurve_Q8N1B4_VPS52.pdf")</f>
        <v>Melting_Curves/meltCurve_Q8N1B4_VPS52.pdf</v>
      </c>
    </row>
    <row r="4529" spans="1:28" x14ac:dyDescent="0.25">
      <c r="A4529" t="s">
        <v>4533</v>
      </c>
      <c r="B4529">
        <v>0.99252571173614901</v>
      </c>
      <c r="C4529">
        <v>0.73972220538079103</v>
      </c>
      <c r="D4529">
        <v>0.60019357859698597</v>
      </c>
      <c r="E4529">
        <v>0.45193444514664999</v>
      </c>
      <c r="F4529">
        <v>0.16201091134034601</v>
      </c>
      <c r="G4529">
        <v>9.2089639367740603E-2</v>
      </c>
      <c r="H4529">
        <v>7.0105147381428895E-2</v>
      </c>
      <c r="I4529">
        <v>7.9146177005778001E-2</v>
      </c>
      <c r="J4529">
        <v>8.8098487231619393E-2</v>
      </c>
      <c r="K4529">
        <v>9.1671735112810807E-2</v>
      </c>
      <c r="L4529">
        <v>661.15283407689697</v>
      </c>
      <c r="M4529">
        <v>14.0262769713131</v>
      </c>
      <c r="N4529">
        <v>47.511315850363303</v>
      </c>
      <c r="O4529">
        <v>46.209616465136598</v>
      </c>
      <c r="P4529">
        <v>-7.1921280066608098E-2</v>
      </c>
      <c r="Q4529">
        <v>5.2344910553955501E-2</v>
      </c>
      <c r="R4529">
        <v>0.97836992467675299</v>
      </c>
      <c r="S4529" t="s">
        <v>11175</v>
      </c>
      <c r="T4529" t="s">
        <v>13290</v>
      </c>
      <c r="U4529" t="s">
        <v>13290</v>
      </c>
      <c r="V4529" t="s">
        <v>13290</v>
      </c>
      <c r="W4529" t="s">
        <v>17771</v>
      </c>
      <c r="X4529">
        <v>25</v>
      </c>
      <c r="Y4529" t="s">
        <v>24259</v>
      </c>
      <c r="Z4529" t="s">
        <v>30859</v>
      </c>
      <c r="AA4529">
        <v>0.30702254108984112</v>
      </c>
      <c r="AB4529" t="str">
        <f>HYPERLINK("Melting_Curves/meltCurve_Q8N1F7_NUP93.pdf", "Melting_Curves/meltCurve_Q8N1F7_NUP93.pdf")</f>
        <v>Melting_Curves/meltCurve_Q8N1F7_NUP93.pdf</v>
      </c>
    </row>
    <row r="4530" spans="1:28" x14ac:dyDescent="0.25">
      <c r="A4530" t="s">
        <v>4534</v>
      </c>
      <c r="B4530">
        <v>0.99252571173614901</v>
      </c>
      <c r="C4530">
        <v>0.94997905987270104</v>
      </c>
      <c r="D4530">
        <v>0.87145238890097898</v>
      </c>
      <c r="E4530">
        <v>0.58349324372443501</v>
      </c>
      <c r="F4530">
        <v>0.18522673138072299</v>
      </c>
      <c r="G4530">
        <v>0.122046295240653</v>
      </c>
      <c r="H4530">
        <v>8.7945930973377398E-2</v>
      </c>
      <c r="I4530">
        <v>8.7556381631459901E-2</v>
      </c>
      <c r="J4530">
        <v>9.3939686609259498E-2</v>
      </c>
      <c r="K4530">
        <v>9.3441272189093205E-2</v>
      </c>
      <c r="L4530">
        <v>1297.5781999979599</v>
      </c>
      <c r="M4530">
        <v>26.117393965732099</v>
      </c>
      <c r="N4530">
        <v>50.034749155945597</v>
      </c>
      <c r="O4530">
        <v>49.394020773317898</v>
      </c>
      <c r="P4530">
        <v>-0.121090596567306</v>
      </c>
      <c r="Q4530">
        <v>8.3969607961936102E-2</v>
      </c>
      <c r="R4530">
        <v>0.99672582028897705</v>
      </c>
      <c r="S4530" t="s">
        <v>11176</v>
      </c>
      <c r="T4530" t="s">
        <v>13290</v>
      </c>
      <c r="U4530" t="s">
        <v>13290</v>
      </c>
      <c r="V4530" t="s">
        <v>13290</v>
      </c>
      <c r="W4530" t="s">
        <v>17772</v>
      </c>
      <c r="X4530">
        <v>33</v>
      </c>
      <c r="Y4530" t="s">
        <v>24260</v>
      </c>
      <c r="Z4530" t="s">
        <v>30860</v>
      </c>
      <c r="AA4530">
        <v>0.38708883875178801</v>
      </c>
      <c r="AB4530" t="str">
        <f>HYPERLINK("Melting_Curves/meltCurve_Q8N1G2_FTSJD2.pdf", "Melting_Curves/meltCurve_Q8N1G2_FTSJD2.pdf")</f>
        <v>Melting_Curves/meltCurve_Q8N1G2_FTSJD2.pdf</v>
      </c>
    </row>
    <row r="4531" spans="1:28" x14ac:dyDescent="0.25">
      <c r="A4531" t="s">
        <v>4535</v>
      </c>
      <c r="B4531">
        <v>0.99252571173614901</v>
      </c>
      <c r="C4531">
        <v>1.04285307704944</v>
      </c>
      <c r="D4531">
        <v>0.91888029345547395</v>
      </c>
      <c r="E4531">
        <v>0.73404660745874895</v>
      </c>
      <c r="F4531">
        <v>0.39741923718377897</v>
      </c>
      <c r="G4531">
        <v>0.14338092433092101</v>
      </c>
      <c r="H4531">
        <v>6.04184940267486E-2</v>
      </c>
      <c r="I4531">
        <v>6.0643456731985498E-2</v>
      </c>
      <c r="J4531">
        <v>7.4197452152524004E-2</v>
      </c>
      <c r="K4531">
        <v>7.4699322636590695E-2</v>
      </c>
      <c r="L4531">
        <v>1181.88077398066</v>
      </c>
      <c r="M4531">
        <v>22.867272821784599</v>
      </c>
      <c r="N4531">
        <v>51.944883980268898</v>
      </c>
      <c r="O4531">
        <v>51.293987761490499</v>
      </c>
      <c r="P4531">
        <v>-0.105416238245424</v>
      </c>
      <c r="Q4531">
        <v>5.4173936242518698E-2</v>
      </c>
      <c r="R4531">
        <v>0.99673100593631403</v>
      </c>
      <c r="S4531" t="s">
        <v>11177</v>
      </c>
      <c r="T4531" t="s">
        <v>13290</v>
      </c>
      <c r="U4531" t="s">
        <v>13290</v>
      </c>
      <c r="V4531" t="s">
        <v>13290</v>
      </c>
      <c r="W4531" t="s">
        <v>17773</v>
      </c>
      <c r="X4531">
        <v>29</v>
      </c>
      <c r="Y4531" t="s">
        <v>24261</v>
      </c>
      <c r="Z4531" t="s">
        <v>30861</v>
      </c>
      <c r="AA4531">
        <v>0.43276743101589621</v>
      </c>
      <c r="AB4531" t="str">
        <f>HYPERLINK("Melting_Curves/meltCurve_Q8N1G4_LRRC47.pdf", "Melting_Curves/meltCurve_Q8N1G4_LRRC47.pdf")</f>
        <v>Melting_Curves/meltCurve_Q8N1G4_LRRC47.pdf</v>
      </c>
    </row>
    <row r="4532" spans="1:28" x14ac:dyDescent="0.25">
      <c r="A4532" t="s">
        <v>4536</v>
      </c>
      <c r="B4532">
        <v>0.99252571173614901</v>
      </c>
      <c r="C4532">
        <v>0.85792952707394099</v>
      </c>
      <c r="D4532">
        <v>0.52170834255221399</v>
      </c>
      <c r="E4532">
        <v>0.24536276752831601</v>
      </c>
      <c r="F4532">
        <v>0.168810750506102</v>
      </c>
      <c r="G4532">
        <v>9.8462361102527804E-2</v>
      </c>
      <c r="H4532">
        <v>7.0889661813157104E-2</v>
      </c>
      <c r="I4532">
        <v>7.4192318566003196E-2</v>
      </c>
      <c r="J4532">
        <v>7.1725645300279695E-2</v>
      </c>
      <c r="K4532">
        <v>6.3323644115998404E-2</v>
      </c>
      <c r="L4532">
        <v>985.86290459351096</v>
      </c>
      <c r="M4532">
        <v>21.404562272992202</v>
      </c>
      <c r="N4532">
        <v>46.424562913626801</v>
      </c>
      <c r="O4532">
        <v>45.662170033738597</v>
      </c>
      <c r="P4532">
        <v>-0.10809373060364701</v>
      </c>
      <c r="Q4532">
        <v>7.7641139783450802E-2</v>
      </c>
      <c r="R4532">
        <v>0.99659740779462003</v>
      </c>
      <c r="S4532" t="s">
        <v>11178</v>
      </c>
      <c r="T4532" t="s">
        <v>13290</v>
      </c>
      <c r="U4532" t="s">
        <v>13290</v>
      </c>
      <c r="V4532" t="s">
        <v>13290</v>
      </c>
      <c r="W4532" t="s">
        <v>17774</v>
      </c>
      <c r="X4532">
        <v>15</v>
      </c>
      <c r="Y4532" t="s">
        <v>24262</v>
      </c>
      <c r="Z4532" t="s">
        <v>30862</v>
      </c>
      <c r="AA4532">
        <v>0.27606511818797169</v>
      </c>
      <c r="AB4532" t="str">
        <f>HYPERLINK("Melting_Curves/meltCurve_Q8N1K5_THEMIS.pdf", "Melting_Curves/meltCurve_Q8N1K5_THEMIS.pdf")</f>
        <v>Melting_Curves/meltCurve_Q8N1K5_THEMIS.pdf</v>
      </c>
    </row>
    <row r="4533" spans="1:28" x14ac:dyDescent="0.25">
      <c r="A4533" t="s">
        <v>4537</v>
      </c>
      <c r="B4533">
        <v>0.99252571173614901</v>
      </c>
      <c r="C4533">
        <v>0.80916675838508401</v>
      </c>
      <c r="D4533">
        <v>0.78547461951930897</v>
      </c>
      <c r="E4533">
        <v>0.50964153868204698</v>
      </c>
      <c r="F4533">
        <v>0.388637576675739</v>
      </c>
      <c r="G4533">
        <v>0.20105431622631001</v>
      </c>
      <c r="H4533">
        <v>0.151607823779359</v>
      </c>
      <c r="I4533">
        <v>0.116721303729107</v>
      </c>
      <c r="J4533">
        <v>0.12966060667217</v>
      </c>
      <c r="K4533">
        <v>5.2552708024963E-2</v>
      </c>
      <c r="L4533">
        <v>581.76502779711097</v>
      </c>
      <c r="M4533">
        <v>11.671113214490401</v>
      </c>
      <c r="N4533">
        <v>50.280148037285301</v>
      </c>
      <c r="O4533">
        <v>48.450644875223503</v>
      </c>
      <c r="P4533">
        <v>-5.73541579907728E-2</v>
      </c>
      <c r="Q4533">
        <v>4.7871445561328801E-2</v>
      </c>
      <c r="R4533">
        <v>0.987434494384964</v>
      </c>
      <c r="S4533" t="s">
        <v>11179</v>
      </c>
      <c r="T4533" t="s">
        <v>13290</v>
      </c>
      <c r="U4533" t="s">
        <v>13290</v>
      </c>
      <c r="V4533" t="s">
        <v>13290</v>
      </c>
      <c r="W4533" t="s">
        <v>17775</v>
      </c>
      <c r="X4533">
        <v>1</v>
      </c>
      <c r="Y4533" t="s">
        <v>24263</v>
      </c>
      <c r="Z4533" t="s">
        <v>30863</v>
      </c>
      <c r="AA4533">
        <v>0.39511518267200851</v>
      </c>
      <c r="AB4533" t="str">
        <f>HYPERLINK("Melting_Curves/meltCurve_Q8N2A8_PLD6.pdf", "Melting_Curves/meltCurve_Q8N2A8_PLD6.pdf")</f>
        <v>Melting_Curves/meltCurve_Q8N2A8_PLD6.pdf</v>
      </c>
    </row>
    <row r="4534" spans="1:28" x14ac:dyDescent="0.25">
      <c r="A4534" t="s">
        <v>4538</v>
      </c>
      <c r="B4534">
        <v>0.99252571173614901</v>
      </c>
      <c r="C4534">
        <v>0.85290817033493505</v>
      </c>
      <c r="D4534">
        <v>0.70771068765593703</v>
      </c>
      <c r="E4534">
        <v>0.28942513574744899</v>
      </c>
      <c r="F4534">
        <v>0.13178328917010701</v>
      </c>
      <c r="G4534">
        <v>7.18189151527482E-2</v>
      </c>
      <c r="H4534">
        <v>5.5914456317142001E-2</v>
      </c>
      <c r="I4534">
        <v>6.1051467653564402E-2</v>
      </c>
      <c r="J4534">
        <v>7.2078509074231703E-2</v>
      </c>
      <c r="K4534">
        <v>6.7435264617894397E-2</v>
      </c>
      <c r="L4534">
        <v>1033.6357258570899</v>
      </c>
      <c r="M4534">
        <v>21.854017396910798</v>
      </c>
      <c r="N4534">
        <v>47.560716357782503</v>
      </c>
      <c r="O4534">
        <v>46.906602395695103</v>
      </c>
      <c r="P4534">
        <v>-0.10983967239234201</v>
      </c>
      <c r="Q4534">
        <v>5.69994228871884E-2</v>
      </c>
      <c r="R4534">
        <v>0.99557181187697497</v>
      </c>
      <c r="S4534" t="s">
        <v>11180</v>
      </c>
      <c r="T4534" t="s">
        <v>13290</v>
      </c>
      <c r="U4534" t="s">
        <v>13290</v>
      </c>
      <c r="V4534" t="s">
        <v>13290</v>
      </c>
      <c r="W4534" t="s">
        <v>17776</v>
      </c>
      <c r="X4534">
        <v>6</v>
      </c>
      <c r="Y4534" t="s">
        <v>24264</v>
      </c>
      <c r="Z4534" t="s">
        <v>30864</v>
      </c>
      <c r="AA4534">
        <v>0.29762315546642409</v>
      </c>
      <c r="AB4534" t="str">
        <f>HYPERLINK("Melting_Curves/meltCurve_Q8N2F6_3_ARMC10.pdf", "Melting_Curves/meltCurve_Q8N2F6_3_ARMC10.pdf")</f>
        <v>Melting_Curves/meltCurve_Q8N2F6_3_ARMC10.pdf</v>
      </c>
    </row>
    <row r="4535" spans="1:28" x14ac:dyDescent="0.25">
      <c r="A4535" t="s">
        <v>4539</v>
      </c>
      <c r="B4535">
        <v>0.99252571173614901</v>
      </c>
      <c r="C4535">
        <v>0.98583162114214995</v>
      </c>
      <c r="D4535">
        <v>0.94527349009750905</v>
      </c>
      <c r="E4535">
        <v>0.88171852367357795</v>
      </c>
      <c r="F4535">
        <v>0.48075879402112398</v>
      </c>
      <c r="G4535">
        <v>0.245741222571287</v>
      </c>
      <c r="H4535">
        <v>0.13311996762306799</v>
      </c>
      <c r="I4535">
        <v>0.11926538466816</v>
      </c>
      <c r="J4535">
        <v>0.11884426813337901</v>
      </c>
      <c r="K4535">
        <v>0.12343130373160301</v>
      </c>
      <c r="L4535">
        <v>1419.51845474733</v>
      </c>
      <c r="M4535">
        <v>26.9609723279912</v>
      </c>
      <c r="N4535">
        <v>53.180860073772202</v>
      </c>
      <c r="O4535">
        <v>52.363764669385198</v>
      </c>
      <c r="P4535">
        <v>-0.113555686820484</v>
      </c>
      <c r="Q4535">
        <v>0.117814652736825</v>
      </c>
      <c r="R4535">
        <v>0.99799276940869697</v>
      </c>
      <c r="S4535" t="s">
        <v>11181</v>
      </c>
      <c r="T4535" t="s">
        <v>13290</v>
      </c>
      <c r="U4535" t="s">
        <v>13290</v>
      </c>
      <c r="V4535" t="s">
        <v>13290</v>
      </c>
      <c r="W4535" t="s">
        <v>17777</v>
      </c>
      <c r="X4535">
        <v>8</v>
      </c>
      <c r="Y4535" t="s">
        <v>24265</v>
      </c>
      <c r="Z4535" t="s">
        <v>30865</v>
      </c>
      <c r="AA4535">
        <v>0.49683913648816758</v>
      </c>
      <c r="AB4535" t="str">
        <f>HYPERLINK("Melting_Curves/meltCurve_Q8N2G8_3_GHDC.pdf", "Melting_Curves/meltCurve_Q8N2G8_3_GHDC.pdf")</f>
        <v>Melting_Curves/meltCurve_Q8N2G8_3_GHDC.pdf</v>
      </c>
    </row>
    <row r="4536" spans="1:28" x14ac:dyDescent="0.25">
      <c r="A4536" t="s">
        <v>4540</v>
      </c>
      <c r="B4536">
        <v>0.99252571173614901</v>
      </c>
      <c r="C4536">
        <v>0.92251542217985305</v>
      </c>
      <c r="D4536">
        <v>0.39288329169155101</v>
      </c>
      <c r="E4536">
        <v>0.65117156910797203</v>
      </c>
      <c r="F4536">
        <v>0.18598443858312599</v>
      </c>
      <c r="G4536">
        <v>9.4887222378250202E-2</v>
      </c>
      <c r="H4536">
        <v>6.5199101123118997E-2</v>
      </c>
      <c r="I4536">
        <v>7.8407451465841202E-2</v>
      </c>
      <c r="J4536">
        <v>9.3245176631927704E-2</v>
      </c>
      <c r="K4536">
        <v>6.8146272108503603E-2</v>
      </c>
      <c r="L4536">
        <v>622.26914048030403</v>
      </c>
      <c r="M4536">
        <v>12.9922686786326</v>
      </c>
      <c r="N4536">
        <v>48.191740416813701</v>
      </c>
      <c r="O4536">
        <v>46.8032542357073</v>
      </c>
      <c r="P4536">
        <v>-6.6745351283544099E-2</v>
      </c>
      <c r="Q4536">
        <v>3.83984046638104E-2</v>
      </c>
      <c r="R4536">
        <v>0.88444012846640796</v>
      </c>
      <c r="S4536" t="s">
        <v>11182</v>
      </c>
      <c r="T4536" t="s">
        <v>13290</v>
      </c>
      <c r="U4536" t="s">
        <v>13290</v>
      </c>
      <c r="V4536" t="s">
        <v>13290</v>
      </c>
      <c r="W4536" t="s">
        <v>17778</v>
      </c>
      <c r="X4536">
        <v>18</v>
      </c>
      <c r="Y4536" t="s">
        <v>24266</v>
      </c>
      <c r="Z4536" t="s">
        <v>30866</v>
      </c>
      <c r="AA4536">
        <v>0.32427077415959188</v>
      </c>
      <c r="AB4536" t="str">
        <f>HYPERLINK("Melting_Curves/meltCurve_Q8N2K0_ABHD12.pdf", "Melting_Curves/meltCurve_Q8N2K0_ABHD12.pdf")</f>
        <v>Melting_Curves/meltCurve_Q8N2K0_ABHD12.pdf</v>
      </c>
    </row>
    <row r="4537" spans="1:28" x14ac:dyDescent="0.25">
      <c r="A4537" t="s">
        <v>4541</v>
      </c>
      <c r="B4537">
        <v>0.99252571173614901</v>
      </c>
      <c r="C4537">
        <v>1.1445423293624499</v>
      </c>
      <c r="D4537">
        <v>1.11084434845411</v>
      </c>
      <c r="E4537">
        <v>0.97246651983643595</v>
      </c>
      <c r="F4537">
        <v>0.28343269159991102</v>
      </c>
      <c r="G4537">
        <v>0.16026899611225301</v>
      </c>
      <c r="H4537">
        <v>0.129213757145618</v>
      </c>
      <c r="I4537">
        <v>0.13729351265461801</v>
      </c>
      <c r="J4537">
        <v>0.18634209457376699</v>
      </c>
      <c r="K4537">
        <v>0.22211805035196699</v>
      </c>
      <c r="L4537">
        <v>3836.4173696349699</v>
      </c>
      <c r="M4537">
        <v>73.931756370299397</v>
      </c>
      <c r="N4537">
        <v>52.1778107441164</v>
      </c>
      <c r="O4537">
        <v>51.853385653401403</v>
      </c>
      <c r="P4537">
        <v>-0.29698536676137399</v>
      </c>
      <c r="Q4537">
        <v>0.16681543378911101</v>
      </c>
      <c r="R4537">
        <v>0.97889552849917505</v>
      </c>
      <c r="S4537" t="s">
        <v>11183</v>
      </c>
      <c r="T4537" t="s">
        <v>13290</v>
      </c>
      <c r="U4537" t="s">
        <v>13290</v>
      </c>
      <c r="V4537" t="s">
        <v>13290</v>
      </c>
      <c r="W4537" t="s">
        <v>17779</v>
      </c>
      <c r="X4537">
        <v>5</v>
      </c>
      <c r="Y4537" t="s">
        <v>24267</v>
      </c>
      <c r="Z4537" t="s">
        <v>30867</v>
      </c>
      <c r="AA4537">
        <v>0.4979408929179111</v>
      </c>
      <c r="AB4537" t="str">
        <f>HYPERLINK("Melting_Curves/meltCurve_Q8N2Z9_APITD1.pdf", "Melting_Curves/meltCurve_Q8N2Z9_APITD1.pdf")</f>
        <v>Melting_Curves/meltCurve_Q8N2Z9_APITD1.pdf</v>
      </c>
    </row>
    <row r="4538" spans="1:28" x14ac:dyDescent="0.25">
      <c r="A4538" t="s">
        <v>4542</v>
      </c>
      <c r="B4538">
        <v>0.99252571173614901</v>
      </c>
      <c r="C4538">
        <v>1.02074646433964</v>
      </c>
      <c r="D4538">
        <v>0.67118277256525805</v>
      </c>
      <c r="E4538">
        <v>0.45775990460031502</v>
      </c>
      <c r="F4538">
        <v>0.40781341539666499</v>
      </c>
      <c r="G4538">
        <v>0.394521144780142</v>
      </c>
      <c r="H4538">
        <v>0.39767274571121097</v>
      </c>
      <c r="I4538">
        <v>0.467035042281709</v>
      </c>
      <c r="J4538">
        <v>0.75745258896836498</v>
      </c>
      <c r="K4538">
        <v>0.79770065228940901</v>
      </c>
      <c r="L4538">
        <v>11462.4870527982</v>
      </c>
      <c r="M4538">
        <v>250</v>
      </c>
      <c r="O4538">
        <v>45.847022126306001</v>
      </c>
      <c r="P4538">
        <v>-0.64656892356472095</v>
      </c>
      <c r="Q4538">
        <v>0.525707927252973</v>
      </c>
      <c r="R4538">
        <v>0.66273446337615405</v>
      </c>
      <c r="S4538" t="s">
        <v>11184</v>
      </c>
      <c r="T4538" t="s">
        <v>13290</v>
      </c>
      <c r="U4538" t="s">
        <v>13290</v>
      </c>
      <c r="V4538" t="s">
        <v>13290</v>
      </c>
      <c r="W4538" t="s">
        <v>17780</v>
      </c>
      <c r="X4538">
        <v>1</v>
      </c>
      <c r="Y4538" t="s">
        <v>24268</v>
      </c>
      <c r="Z4538" t="s">
        <v>30868</v>
      </c>
      <c r="AA4538">
        <v>0.61823222703137615</v>
      </c>
      <c r="AB4538" t="str">
        <f>HYPERLINK("Melting_Curves/meltCurve_Q8N300_CCDC23.pdf", "Melting_Curves/meltCurve_Q8N300_CCDC23.pdf")</f>
        <v>Melting_Curves/meltCurve_Q8N300_CCDC23.pdf</v>
      </c>
    </row>
    <row r="4539" spans="1:28" x14ac:dyDescent="0.25">
      <c r="A4539" t="s">
        <v>4543</v>
      </c>
      <c r="B4539">
        <v>0.99252571173614901</v>
      </c>
      <c r="C4539">
        <v>1.0551039693239199</v>
      </c>
      <c r="D4539">
        <v>0.97708146293012399</v>
      </c>
      <c r="E4539">
        <v>0.85947820280593301</v>
      </c>
      <c r="F4539">
        <v>0.74594911334168001</v>
      </c>
      <c r="G4539">
        <v>0.32689777515012802</v>
      </c>
      <c r="H4539">
        <v>0.10285501452467601</v>
      </c>
      <c r="I4539">
        <v>0.100833567790128</v>
      </c>
      <c r="J4539">
        <v>9.6918182299140607E-2</v>
      </c>
      <c r="K4539">
        <v>9.5588412597851696E-2</v>
      </c>
      <c r="L4539">
        <v>1427.65154019598</v>
      </c>
      <c r="M4539">
        <v>26.0763629949227</v>
      </c>
      <c r="N4539">
        <v>55.097831700242502</v>
      </c>
      <c r="O4539">
        <v>54.429922024631701</v>
      </c>
      <c r="P4539">
        <v>-0.110654951808595</v>
      </c>
      <c r="Q4539">
        <v>7.61175947963251E-2</v>
      </c>
      <c r="R4539">
        <v>0.99149509711671002</v>
      </c>
      <c r="S4539" t="s">
        <v>11185</v>
      </c>
      <c r="T4539" t="s">
        <v>13290</v>
      </c>
      <c r="U4539" t="s">
        <v>13290</v>
      </c>
      <c r="V4539" t="s">
        <v>13290</v>
      </c>
      <c r="W4539" t="s">
        <v>17781</v>
      </c>
      <c r="X4539">
        <v>21</v>
      </c>
      <c r="Y4539" t="s">
        <v>24269</v>
      </c>
      <c r="Z4539" t="s">
        <v>30869</v>
      </c>
      <c r="AA4539">
        <v>0.5382572968822229</v>
      </c>
      <c r="AB4539" t="str">
        <f>HYPERLINK("Melting_Curves/meltCurve_Q8N335_GPD1L.pdf", "Melting_Curves/meltCurve_Q8N335_GPD1L.pdf")</f>
        <v>Melting_Curves/meltCurve_Q8N335_GPD1L.pdf</v>
      </c>
    </row>
    <row r="4540" spans="1:28" x14ac:dyDescent="0.25">
      <c r="A4540" t="s">
        <v>4544</v>
      </c>
      <c r="B4540">
        <v>0.99252571173614901</v>
      </c>
      <c r="C4540">
        <v>0.96933467384077099</v>
      </c>
      <c r="D4540">
        <v>0.90278435163223303</v>
      </c>
      <c r="E4540">
        <v>0.79882947952793204</v>
      </c>
      <c r="F4540">
        <v>0.63287022054700903</v>
      </c>
      <c r="G4540">
        <v>0.41427361362187398</v>
      </c>
      <c r="H4540">
        <v>0.42062408387289602</v>
      </c>
      <c r="I4540">
        <v>0.43726588546575501</v>
      </c>
      <c r="J4540">
        <v>0.70431028374412097</v>
      </c>
      <c r="K4540">
        <v>0.60468091764079301</v>
      </c>
      <c r="L4540">
        <v>1317.45030114369</v>
      </c>
      <c r="M4540">
        <v>26.413879295246801</v>
      </c>
      <c r="O4540">
        <v>49.5939486491732</v>
      </c>
      <c r="P4540">
        <v>-6.3995879184604296E-2</v>
      </c>
      <c r="Q4540">
        <v>0.519377846421606</v>
      </c>
      <c r="R4540">
        <v>0.82437820599095701</v>
      </c>
      <c r="S4540" t="s">
        <v>11186</v>
      </c>
      <c r="T4540" t="s">
        <v>13290</v>
      </c>
      <c r="U4540" t="s">
        <v>13290</v>
      </c>
      <c r="V4540" t="s">
        <v>13290</v>
      </c>
      <c r="W4540" t="s">
        <v>17782</v>
      </c>
      <c r="X4540">
        <v>5</v>
      </c>
      <c r="Y4540" t="s">
        <v>24270</v>
      </c>
      <c r="Z4540" t="s">
        <v>30870</v>
      </c>
      <c r="AA4540">
        <v>0.68145715086522474</v>
      </c>
      <c r="AB4540" t="str">
        <f>HYPERLINK("Melting_Curves/meltCurve_Q8N350_DOS.pdf", "Melting_Curves/meltCurve_Q8N350_DOS.pdf")</f>
        <v>Melting_Curves/meltCurve_Q8N350_DOS.pdf</v>
      </c>
    </row>
    <row r="4541" spans="1:28" x14ac:dyDescent="0.25">
      <c r="A4541" t="s">
        <v>4545</v>
      </c>
      <c r="B4541">
        <v>0.99252571173614901</v>
      </c>
      <c r="C4541">
        <v>1.0960500054454401</v>
      </c>
      <c r="D4541">
        <v>0.78935210280716495</v>
      </c>
      <c r="E4541">
        <v>0.30852397505985601</v>
      </c>
      <c r="F4541">
        <v>0.13382601556788101</v>
      </c>
      <c r="G4541">
        <v>8.4871886151368106E-2</v>
      </c>
      <c r="H4541">
        <v>8.3362341207571702E-2</v>
      </c>
      <c r="I4541">
        <v>9.13372517215056E-2</v>
      </c>
      <c r="J4541">
        <v>0.133686675261976</v>
      </c>
      <c r="K4541">
        <v>0.128529275730392</v>
      </c>
      <c r="L4541">
        <v>1677.88516010637</v>
      </c>
      <c r="M4541">
        <v>35.136063943543903</v>
      </c>
      <c r="N4541">
        <v>48.079053868753398</v>
      </c>
      <c r="O4541">
        <v>47.600034709239999</v>
      </c>
      <c r="P4541">
        <v>-0.16502540827875001</v>
      </c>
      <c r="Q4541">
        <v>0.10574070328190199</v>
      </c>
      <c r="R4541">
        <v>0.98927802710443602</v>
      </c>
      <c r="S4541" t="s">
        <v>11187</v>
      </c>
      <c r="T4541" t="s">
        <v>13290</v>
      </c>
      <c r="U4541" t="s">
        <v>13290</v>
      </c>
      <c r="V4541" t="s">
        <v>13290</v>
      </c>
      <c r="W4541" t="s">
        <v>17783</v>
      </c>
      <c r="X4541">
        <v>6</v>
      </c>
      <c r="Y4541" t="s">
        <v>24271</v>
      </c>
      <c r="Z4541" t="s">
        <v>30871</v>
      </c>
      <c r="AA4541">
        <v>0.34074034363198452</v>
      </c>
      <c r="AB4541" t="str">
        <f>HYPERLINK("Melting_Curves/meltCurve_Q8N392_2_ARHGAP18.pdf", "Melting_Curves/meltCurve_Q8N392_2_ARHGAP18.pdf")</f>
        <v>Melting_Curves/meltCurve_Q8N392_2_ARHGAP18.pdf</v>
      </c>
    </row>
    <row r="4542" spans="1:28" x14ac:dyDescent="0.25">
      <c r="A4542" t="s">
        <v>4546</v>
      </c>
      <c r="B4542">
        <v>0.99252571173614901</v>
      </c>
      <c r="C4542">
        <v>0.80605327010897099</v>
      </c>
      <c r="D4542">
        <v>0.66998460933646298</v>
      </c>
      <c r="E4542">
        <v>0.53178056554933095</v>
      </c>
      <c r="F4542">
        <v>0.22702760669284799</v>
      </c>
      <c r="G4542">
        <v>0.13154429626827599</v>
      </c>
      <c r="H4542">
        <v>9.0793241291663704E-2</v>
      </c>
      <c r="I4542">
        <v>9.7772346135602595E-2</v>
      </c>
      <c r="J4542">
        <v>9.4370783475902706E-2</v>
      </c>
      <c r="K4542">
        <v>8.45636842026629E-2</v>
      </c>
      <c r="L4542">
        <v>660.80896825579202</v>
      </c>
      <c r="M4542">
        <v>13.650293555028201</v>
      </c>
      <c r="N4542">
        <v>48.8228636417521</v>
      </c>
      <c r="O4542">
        <v>47.406360664791102</v>
      </c>
      <c r="P4542">
        <v>-6.8070567148143094E-2</v>
      </c>
      <c r="Q4542">
        <v>5.4523901394285298E-2</v>
      </c>
      <c r="R4542">
        <v>0.98539202453408004</v>
      </c>
      <c r="S4542" t="s">
        <v>11188</v>
      </c>
      <c r="T4542" t="s">
        <v>13290</v>
      </c>
      <c r="U4542" t="s">
        <v>13290</v>
      </c>
      <c r="V4542" t="s">
        <v>13290</v>
      </c>
      <c r="W4542" t="s">
        <v>17784</v>
      </c>
      <c r="X4542">
        <v>8</v>
      </c>
      <c r="Y4542" t="s">
        <v>24272</v>
      </c>
      <c r="Z4542" t="s">
        <v>30872</v>
      </c>
      <c r="AA4542">
        <v>0.34814856385414861</v>
      </c>
      <c r="AB4542" t="str">
        <f>HYPERLINK("Melting_Curves/meltCurve_Q8N398_2_VWA5B2.pdf", "Melting_Curves/meltCurve_Q8N398_2_VWA5B2.pdf")</f>
        <v>Melting_Curves/meltCurve_Q8N398_2_VWA5B2.pdf</v>
      </c>
    </row>
    <row r="4543" spans="1:28" x14ac:dyDescent="0.25">
      <c r="A4543" t="s">
        <v>4547</v>
      </c>
      <c r="B4543">
        <v>0.99252571173614901</v>
      </c>
      <c r="C4543">
        <v>0.65657769309866898</v>
      </c>
      <c r="D4543">
        <v>0.71325146772522396</v>
      </c>
      <c r="E4543">
        <v>0.216179786630217</v>
      </c>
      <c r="F4543">
        <v>0.10736501142343401</v>
      </c>
      <c r="G4543">
        <v>5.08142841570417E-2</v>
      </c>
      <c r="H4543">
        <v>3.16297072282644E-2</v>
      </c>
      <c r="I4543">
        <v>5.4153691655368E-2</v>
      </c>
      <c r="J4543">
        <v>4.8069512359271503E-2</v>
      </c>
      <c r="K4543">
        <v>8.3841905237330303E-2</v>
      </c>
      <c r="L4543">
        <v>796.78113703169799</v>
      </c>
      <c r="M4543">
        <v>17.131551013357001</v>
      </c>
      <c r="N4543">
        <v>46.694531776668299</v>
      </c>
      <c r="O4543">
        <v>45.889732471261198</v>
      </c>
      <c r="P4543">
        <v>-9.0273847672673393E-2</v>
      </c>
      <c r="Q4543">
        <v>3.28036186585847E-2</v>
      </c>
      <c r="R4543">
        <v>0.948051071778516</v>
      </c>
      <c r="S4543" t="s">
        <v>11189</v>
      </c>
      <c r="T4543" t="s">
        <v>13290</v>
      </c>
      <c r="U4543" t="s">
        <v>13290</v>
      </c>
      <c r="V4543" t="s">
        <v>13290</v>
      </c>
      <c r="W4543" t="s">
        <v>17785</v>
      </c>
      <c r="X4543">
        <v>2</v>
      </c>
      <c r="Y4543" t="s">
        <v>24273</v>
      </c>
      <c r="Z4543" t="s">
        <v>30873</v>
      </c>
      <c r="AA4543">
        <v>0.26311143510421769</v>
      </c>
      <c r="AB4543" t="str">
        <f>HYPERLINK("Melting_Curves/meltCurve_Q8N3C0_ASCC3.pdf", "Melting_Curves/meltCurve_Q8N3C0_ASCC3.pdf")</f>
        <v>Melting_Curves/meltCurve_Q8N3C0_ASCC3.pdf</v>
      </c>
    </row>
    <row r="4544" spans="1:28" x14ac:dyDescent="0.25">
      <c r="A4544" t="s">
        <v>4548</v>
      </c>
      <c r="B4544">
        <v>0.99252571173614901</v>
      </c>
      <c r="C4544">
        <v>1.02151209025428</v>
      </c>
      <c r="D4544">
        <v>1.14876545029807</v>
      </c>
      <c r="E4544">
        <v>1.05857115516073</v>
      </c>
      <c r="F4544">
        <v>0.39270388989461402</v>
      </c>
      <c r="G4544">
        <v>0.20115073038716799</v>
      </c>
      <c r="H4544">
        <v>0.14068024142688901</v>
      </c>
      <c r="I4544">
        <v>0.13862990525257299</v>
      </c>
      <c r="J4544">
        <v>0.13607132020983501</v>
      </c>
      <c r="K4544">
        <v>0.118745894964259</v>
      </c>
      <c r="L4544">
        <v>11740.6578092168</v>
      </c>
      <c r="M4544">
        <v>221.59417129110901</v>
      </c>
      <c r="N4544">
        <v>53.066110579588702</v>
      </c>
      <c r="O4544">
        <v>52.978386325274599</v>
      </c>
      <c r="P4544">
        <v>-0.89190864566902905</v>
      </c>
      <c r="Q4544">
        <v>0.14705553581961001</v>
      </c>
      <c r="R4544">
        <v>0.98396624112651498</v>
      </c>
      <c r="S4544" t="s">
        <v>11190</v>
      </c>
      <c r="T4544" t="s">
        <v>13290</v>
      </c>
      <c r="U4544" t="s">
        <v>13290</v>
      </c>
      <c r="V4544" t="s">
        <v>13290</v>
      </c>
      <c r="W4544" t="s">
        <v>17786</v>
      </c>
      <c r="X4544">
        <v>5</v>
      </c>
      <c r="Y4544" t="s">
        <v>24274</v>
      </c>
      <c r="Z4544" t="s">
        <v>30874</v>
      </c>
      <c r="AA4544">
        <v>0.5162739314004654</v>
      </c>
      <c r="AB4544" t="str">
        <f>HYPERLINK("Melting_Curves/meltCurve_Q8N3D4_EHBP1L1.pdf", "Melting_Curves/meltCurve_Q8N3D4_EHBP1L1.pdf")</f>
        <v>Melting_Curves/meltCurve_Q8N3D4_EHBP1L1.pdf</v>
      </c>
    </row>
    <row r="4545" spans="1:28" x14ac:dyDescent="0.25">
      <c r="A4545" t="s">
        <v>4549</v>
      </c>
      <c r="B4545">
        <v>0.99252571173614901</v>
      </c>
      <c r="C4545">
        <v>1.0248687795843801</v>
      </c>
      <c r="D4545">
        <v>0.86927969551363904</v>
      </c>
      <c r="E4545">
        <v>0.461586375276962</v>
      </c>
      <c r="F4545">
        <v>0.20771262491051801</v>
      </c>
      <c r="G4545">
        <v>0.11460170411638</v>
      </c>
      <c r="H4545">
        <v>8.2765598777918503E-2</v>
      </c>
      <c r="I4545">
        <v>9.2880282295090905E-2</v>
      </c>
      <c r="J4545">
        <v>0.164919601705632</v>
      </c>
      <c r="K4545">
        <v>0.189362355688003</v>
      </c>
      <c r="L4545">
        <v>1470.4533171323301</v>
      </c>
      <c r="M4545">
        <v>30.131443690594001</v>
      </c>
      <c r="N4545">
        <v>49.2859638632155</v>
      </c>
      <c r="O4545">
        <v>48.587858058845796</v>
      </c>
      <c r="P4545">
        <v>-0.135157746734996</v>
      </c>
      <c r="Q4545">
        <v>0.12822203820516301</v>
      </c>
      <c r="R4545">
        <v>0.99191996865429299</v>
      </c>
      <c r="S4545" t="s">
        <v>11191</v>
      </c>
      <c r="T4545" t="s">
        <v>13290</v>
      </c>
      <c r="U4545" t="s">
        <v>13290</v>
      </c>
      <c r="V4545" t="s">
        <v>13290</v>
      </c>
      <c r="W4545" t="s">
        <v>17787</v>
      </c>
      <c r="X4545">
        <v>9</v>
      </c>
      <c r="Y4545" t="s">
        <v>24275</v>
      </c>
      <c r="Z4545" t="s">
        <v>30875</v>
      </c>
      <c r="AA4545">
        <v>0.38922874078662301</v>
      </c>
      <c r="AB4545" t="str">
        <f>HYPERLINK("Melting_Curves/meltCurve_Q8N3F8_MICALL1.pdf", "Melting_Curves/meltCurve_Q8N3F8_MICALL1.pdf")</f>
        <v>Melting_Curves/meltCurve_Q8N3F8_MICALL1.pdf</v>
      </c>
    </row>
    <row r="4546" spans="1:28" x14ac:dyDescent="0.25">
      <c r="A4546" t="s">
        <v>4550</v>
      </c>
      <c r="B4546">
        <v>0.99252571173614901</v>
      </c>
      <c r="C4546">
        <v>0.91113739347356104</v>
      </c>
      <c r="D4546">
        <v>0.66225431994279005</v>
      </c>
      <c r="E4546">
        <v>0.55961556687709102</v>
      </c>
      <c r="F4546">
        <v>0.34223768389077402</v>
      </c>
      <c r="G4546">
        <v>0.20191309141365599</v>
      </c>
      <c r="H4546">
        <v>0.19176038806644199</v>
      </c>
      <c r="I4546">
        <v>0.222579218341318</v>
      </c>
      <c r="J4546">
        <v>0.33293391050043702</v>
      </c>
      <c r="K4546">
        <v>0.31562339769539999</v>
      </c>
      <c r="L4546">
        <v>837.22626207121402</v>
      </c>
      <c r="M4546">
        <v>17.668142515282302</v>
      </c>
      <c r="N4546">
        <v>49.289075451747401</v>
      </c>
      <c r="O4546">
        <v>46.791653065004901</v>
      </c>
      <c r="P4546">
        <v>-7.1064328971147894E-2</v>
      </c>
      <c r="Q4546">
        <v>0.24722323106684699</v>
      </c>
      <c r="R4546">
        <v>0.95647652375135905</v>
      </c>
      <c r="S4546" t="s">
        <v>11192</v>
      </c>
      <c r="T4546" t="s">
        <v>13290</v>
      </c>
      <c r="U4546" t="s">
        <v>13290</v>
      </c>
      <c r="V4546" t="s">
        <v>13290</v>
      </c>
      <c r="W4546" t="s">
        <v>17788</v>
      </c>
      <c r="X4546">
        <v>1</v>
      </c>
      <c r="Y4546" t="s">
        <v>24276</v>
      </c>
      <c r="Z4546" t="s">
        <v>30876</v>
      </c>
      <c r="AA4546">
        <v>0.44676596429116949</v>
      </c>
      <c r="AB4546" t="str">
        <f>HYPERLINK("Melting_Curves/meltCurve_Q8N3R9_2_MPP5.pdf", "Melting_Curves/meltCurve_Q8N3R9_2_MPP5.pdf")</f>
        <v>Melting_Curves/meltCurve_Q8N3R9_2_MPP5.pdf</v>
      </c>
    </row>
    <row r="4547" spans="1:28" x14ac:dyDescent="0.25">
      <c r="A4547" t="s">
        <v>4551</v>
      </c>
      <c r="B4547">
        <v>0.99252571173614901</v>
      </c>
      <c r="C4547">
        <v>0.972892893521909</v>
      </c>
      <c r="D4547">
        <v>0.94739328003472301</v>
      </c>
      <c r="E4547">
        <v>1.04326912019158</v>
      </c>
      <c r="F4547">
        <v>0.87019429728492403</v>
      </c>
      <c r="G4547">
        <v>0.65888421591971003</v>
      </c>
      <c r="H4547">
        <v>0.57911492637293305</v>
      </c>
      <c r="I4547">
        <v>0.73830817441072505</v>
      </c>
      <c r="J4547">
        <v>0.98073383705466699</v>
      </c>
      <c r="K4547">
        <v>1.0676455331608099</v>
      </c>
      <c r="L4547">
        <v>13263.413990638501</v>
      </c>
      <c r="M4547">
        <v>250</v>
      </c>
      <c r="O4547">
        <v>53.050260778190697</v>
      </c>
      <c r="P4547">
        <v>-0.22980878803188201</v>
      </c>
      <c r="Q4547">
        <v>0.80493734170517295</v>
      </c>
      <c r="R4547">
        <v>0.29188289493066899</v>
      </c>
      <c r="S4547" t="s">
        <v>11193</v>
      </c>
      <c r="T4547" t="s">
        <v>13290</v>
      </c>
      <c r="U4547" t="s">
        <v>13290</v>
      </c>
      <c r="V4547" t="s">
        <v>13290</v>
      </c>
      <c r="W4547" t="s">
        <v>17789</v>
      </c>
      <c r="X4547">
        <v>17</v>
      </c>
      <c r="Y4547" t="s">
        <v>24277</v>
      </c>
      <c r="Z4547" t="s">
        <v>30877</v>
      </c>
      <c r="AA4547">
        <v>0.88983153141631355</v>
      </c>
      <c r="AB4547" t="str">
        <f>HYPERLINK("Melting_Curves/meltCurve_Q8N3X1_FNBP4.pdf", "Melting_Curves/meltCurve_Q8N3X1_FNBP4.pdf")</f>
        <v>Melting_Curves/meltCurve_Q8N3X1_FNBP4.pdf</v>
      </c>
    </row>
    <row r="4548" spans="1:28" x14ac:dyDescent="0.25">
      <c r="A4548" t="s">
        <v>4552</v>
      </c>
      <c r="B4548">
        <v>0.99252571173614901</v>
      </c>
      <c r="C4548">
        <v>0.96439095485762705</v>
      </c>
      <c r="D4548">
        <v>0.779505379358437</v>
      </c>
      <c r="E4548">
        <v>0.49877028332159301</v>
      </c>
      <c r="F4548">
        <v>0.204154774918584</v>
      </c>
      <c r="G4548">
        <v>0.12969696473364001</v>
      </c>
      <c r="H4548">
        <v>8.1398082177419201E-2</v>
      </c>
      <c r="I4548">
        <v>8.2704605885927998E-2</v>
      </c>
      <c r="J4548">
        <v>0.111630522851874</v>
      </c>
      <c r="K4548">
        <v>0.102068975737827</v>
      </c>
      <c r="L4548">
        <v>1026.0912841146101</v>
      </c>
      <c r="M4548">
        <v>21.004234037215301</v>
      </c>
      <c r="N4548">
        <v>49.294521007061398</v>
      </c>
      <c r="O4548">
        <v>48.415301897155501</v>
      </c>
      <c r="P4548">
        <v>-9.9135326018765305E-2</v>
      </c>
      <c r="Q4548">
        <v>8.5986625411085593E-2</v>
      </c>
      <c r="R4548">
        <v>0.99759551200194996</v>
      </c>
      <c r="S4548" t="s">
        <v>11194</v>
      </c>
      <c r="T4548" t="s">
        <v>13290</v>
      </c>
      <c r="U4548" t="s">
        <v>13290</v>
      </c>
      <c r="V4548" t="s">
        <v>13290</v>
      </c>
      <c r="W4548" t="s">
        <v>17790</v>
      </c>
      <c r="X4548">
        <v>5</v>
      </c>
      <c r="Y4548" t="s">
        <v>24278</v>
      </c>
      <c r="Z4548" t="s">
        <v>30878</v>
      </c>
      <c r="AA4548">
        <v>0.36726673243747948</v>
      </c>
      <c r="AB4548" t="str">
        <f>HYPERLINK("Melting_Curves/meltCurve_Q8N442_GUF1.pdf", "Melting_Curves/meltCurve_Q8N442_GUF1.pdf")</f>
        <v>Melting_Curves/meltCurve_Q8N442_GUF1.pdf</v>
      </c>
    </row>
    <row r="4549" spans="1:28" x14ac:dyDescent="0.25">
      <c r="A4549" t="s">
        <v>4553</v>
      </c>
      <c r="B4549">
        <v>0.99252571173614901</v>
      </c>
      <c r="C4549">
        <v>0.99725985287887997</v>
      </c>
      <c r="D4549">
        <v>1.0008384209485901</v>
      </c>
      <c r="E4549">
        <v>0.94709512005354302</v>
      </c>
      <c r="F4549">
        <v>0.84207636796419305</v>
      </c>
      <c r="G4549">
        <v>0.54435695329626199</v>
      </c>
      <c r="H4549">
        <v>0.42569709667471201</v>
      </c>
      <c r="I4549">
        <v>0.19374919805763599</v>
      </c>
      <c r="J4549">
        <v>0.122243752111555</v>
      </c>
      <c r="K4549">
        <v>0.111088671379775</v>
      </c>
      <c r="L4549">
        <v>908.95324700887295</v>
      </c>
      <c r="M4549">
        <v>15.6357590439617</v>
      </c>
      <c r="N4549">
        <v>58.399957627933198</v>
      </c>
      <c r="O4549">
        <v>57.206986564175097</v>
      </c>
      <c r="P4549">
        <v>-6.5978567514513697E-2</v>
      </c>
      <c r="Q4549">
        <v>3.44924090539886E-2</v>
      </c>
      <c r="R4549">
        <v>0.99200212407021304</v>
      </c>
      <c r="S4549" t="s">
        <v>11195</v>
      </c>
      <c r="T4549" t="s">
        <v>13290</v>
      </c>
      <c r="U4549" t="s">
        <v>13290</v>
      </c>
      <c r="V4549" t="s">
        <v>13290</v>
      </c>
      <c r="W4549" t="s">
        <v>17791</v>
      </c>
      <c r="X4549">
        <v>7</v>
      </c>
      <c r="Y4549" t="s">
        <v>24279</v>
      </c>
      <c r="Z4549" t="s">
        <v>30879</v>
      </c>
      <c r="AA4549">
        <v>0.63060545500089449</v>
      </c>
      <c r="AB4549" t="str">
        <f>HYPERLINK("Melting_Curves/meltCurve_Q8N465_D2HGDH.pdf", "Melting_Curves/meltCurve_Q8N465_D2HGDH.pdf")</f>
        <v>Melting_Curves/meltCurve_Q8N465_D2HGDH.pdf</v>
      </c>
    </row>
    <row r="4550" spans="1:28" x14ac:dyDescent="0.25">
      <c r="A4550" t="s">
        <v>4554</v>
      </c>
      <c r="B4550">
        <v>0.99252571173614901</v>
      </c>
      <c r="C4550">
        <v>1.1030198862804801</v>
      </c>
      <c r="D4550">
        <v>0.92472250393590105</v>
      </c>
      <c r="E4550">
        <v>0.82657931907375903</v>
      </c>
      <c r="F4550">
        <v>0.58669571657726105</v>
      </c>
      <c r="G4550">
        <v>0.48186440732084501</v>
      </c>
      <c r="H4550">
        <v>0.48986598989071301</v>
      </c>
      <c r="I4550">
        <v>0.67033151920298595</v>
      </c>
      <c r="J4550">
        <v>0.99959763225135101</v>
      </c>
      <c r="K4550">
        <v>1.16335990403867</v>
      </c>
      <c r="L4550">
        <v>1979.3776220792299</v>
      </c>
      <c r="M4550">
        <v>41.386323367358401</v>
      </c>
      <c r="O4550">
        <v>47.715594982535897</v>
      </c>
      <c r="P4550">
        <v>-5.7130162939324901E-2</v>
      </c>
      <c r="Q4550">
        <v>0.736531822001258</v>
      </c>
      <c r="R4550">
        <v>0.26583650081677301</v>
      </c>
      <c r="S4550" t="s">
        <v>11196</v>
      </c>
      <c r="T4550" t="s">
        <v>13290</v>
      </c>
      <c r="U4550" t="s">
        <v>13290</v>
      </c>
      <c r="V4550" t="s">
        <v>13290</v>
      </c>
      <c r="W4550" t="s">
        <v>17792</v>
      </c>
      <c r="X4550">
        <v>7</v>
      </c>
      <c r="Y4550" t="s">
        <v>24280</v>
      </c>
      <c r="Z4550" t="s">
        <v>30880</v>
      </c>
      <c r="AA4550">
        <v>0.80608480053730058</v>
      </c>
      <c r="AB4550" t="str">
        <f>HYPERLINK("Melting_Curves/meltCurve_Q8N488_RYBP.pdf", "Melting_Curves/meltCurve_Q8N488_RYBP.pdf")</f>
        <v>Melting_Curves/meltCurve_Q8N488_RYBP.pdf</v>
      </c>
    </row>
    <row r="4551" spans="1:28" x14ac:dyDescent="0.25">
      <c r="A4551" t="s">
        <v>4555</v>
      </c>
      <c r="B4551">
        <v>0.99252571173614901</v>
      </c>
      <c r="C4551">
        <v>1.0025197465083899</v>
      </c>
      <c r="D4551">
        <v>1.0828129698748701</v>
      </c>
      <c r="E4551">
        <v>1.44331402807895</v>
      </c>
      <c r="F4551">
        <v>0.68151634026514396</v>
      </c>
      <c r="G4551">
        <v>0.45425478368806899</v>
      </c>
      <c r="H4551">
        <v>0.43355531676315201</v>
      </c>
      <c r="I4551">
        <v>0.52361312175011698</v>
      </c>
      <c r="J4551">
        <v>0.77108817000862195</v>
      </c>
      <c r="K4551">
        <v>0.719208448858764</v>
      </c>
      <c r="L4551">
        <v>13238.9932095476</v>
      </c>
      <c r="M4551">
        <v>250</v>
      </c>
      <c r="O4551">
        <v>52.952584471910797</v>
      </c>
      <c r="P4551">
        <v>-0.49532054583260199</v>
      </c>
      <c r="Q4551">
        <v>0.58034395547249695</v>
      </c>
      <c r="R4551">
        <v>0.67501591997645605</v>
      </c>
      <c r="S4551" t="s">
        <v>11197</v>
      </c>
      <c r="T4551" t="s">
        <v>13290</v>
      </c>
      <c r="U4551" t="s">
        <v>13290</v>
      </c>
      <c r="V4551" t="s">
        <v>13290</v>
      </c>
      <c r="W4551" t="s">
        <v>17793</v>
      </c>
      <c r="X4551">
        <v>3</v>
      </c>
      <c r="Y4551" t="s">
        <v>24281</v>
      </c>
      <c r="Z4551" t="s">
        <v>30881</v>
      </c>
      <c r="AA4551">
        <v>0.7616180341504557</v>
      </c>
      <c r="AB4551" t="str">
        <f>HYPERLINK("Melting_Curves/meltCurve_Q8N490_2_PNKD.pdf", "Melting_Curves/meltCurve_Q8N490_2_PNKD.pdf")</f>
        <v>Melting_Curves/meltCurve_Q8N490_2_PNKD.pdf</v>
      </c>
    </row>
    <row r="4552" spans="1:28" x14ac:dyDescent="0.25">
      <c r="A4552" t="s">
        <v>4556</v>
      </c>
      <c r="B4552">
        <v>0.99252571173614901</v>
      </c>
      <c r="C4552">
        <v>0.98506536142943402</v>
      </c>
      <c r="D4552">
        <v>0.90949664144229503</v>
      </c>
      <c r="E4552">
        <v>0.866579914913437</v>
      </c>
      <c r="F4552">
        <v>0.547221735682905</v>
      </c>
      <c r="G4552">
        <v>0.36576161695945703</v>
      </c>
      <c r="H4552">
        <v>0.21162697681713999</v>
      </c>
      <c r="I4552">
        <v>0.18324322749052299</v>
      </c>
      <c r="J4552">
        <v>0.20259731690056701</v>
      </c>
      <c r="K4552">
        <v>0.14745342977762099</v>
      </c>
      <c r="L4552">
        <v>1009.44496097363</v>
      </c>
      <c r="M4552">
        <v>19.000458741033601</v>
      </c>
      <c r="N4552">
        <v>54.198428581774003</v>
      </c>
      <c r="O4552">
        <v>52.5494001040855</v>
      </c>
      <c r="P4552">
        <v>-7.6248398342148194E-2</v>
      </c>
      <c r="Q4552">
        <v>0.156515507090211</v>
      </c>
      <c r="R4552">
        <v>0.99450574026428695</v>
      </c>
      <c r="S4552" t="s">
        <v>11198</v>
      </c>
      <c r="T4552" t="s">
        <v>13290</v>
      </c>
      <c r="U4552" t="s">
        <v>13290</v>
      </c>
      <c r="V4552" t="s">
        <v>13290</v>
      </c>
      <c r="W4552" t="s">
        <v>17794</v>
      </c>
      <c r="X4552">
        <v>3</v>
      </c>
      <c r="Y4552" t="s">
        <v>24281</v>
      </c>
      <c r="Z4552" t="s">
        <v>30882</v>
      </c>
      <c r="AA4552">
        <v>0.53823121749169867</v>
      </c>
      <c r="AB4552" t="str">
        <f>HYPERLINK("Melting_Curves/meltCurve_Q8N490_4_PNKD.pdf", "Melting_Curves/meltCurve_Q8N490_4_PNKD.pdf")</f>
        <v>Melting_Curves/meltCurve_Q8N490_4_PNKD.pdf</v>
      </c>
    </row>
    <row r="4553" spans="1:28" x14ac:dyDescent="0.25">
      <c r="A4553" t="s">
        <v>4557</v>
      </c>
      <c r="B4553">
        <v>0.99252571173614901</v>
      </c>
      <c r="C4553">
        <v>0.95383040397797403</v>
      </c>
      <c r="D4553">
        <v>0.88334966488511601</v>
      </c>
      <c r="E4553">
        <v>0.61334350269376903</v>
      </c>
      <c r="F4553">
        <v>0.180407444035946</v>
      </c>
      <c r="G4553">
        <v>8.9644064664294698E-2</v>
      </c>
      <c r="H4553">
        <v>5.8072528051960698E-2</v>
      </c>
      <c r="I4553">
        <v>5.5327325031492298E-2</v>
      </c>
      <c r="J4553">
        <v>5.0667793553713897E-2</v>
      </c>
      <c r="K4553">
        <v>4.7368792355770802E-2</v>
      </c>
      <c r="L4553">
        <v>1330.3991737578499</v>
      </c>
      <c r="M4553">
        <v>26.5691256718865</v>
      </c>
      <c r="N4553">
        <v>50.257464957628301</v>
      </c>
      <c r="O4553">
        <v>49.792042214518801</v>
      </c>
      <c r="P4553">
        <v>-0.12720836650720399</v>
      </c>
      <c r="Q4553">
        <v>4.6427390168297902E-2</v>
      </c>
      <c r="R4553">
        <v>0.99720380527198205</v>
      </c>
      <c r="S4553" t="s">
        <v>11199</v>
      </c>
      <c r="T4553" t="s">
        <v>13290</v>
      </c>
      <c r="U4553" t="s">
        <v>13290</v>
      </c>
      <c r="V4553" t="s">
        <v>13290</v>
      </c>
      <c r="W4553" t="s">
        <v>17795</v>
      </c>
      <c r="X4553">
        <v>6</v>
      </c>
      <c r="Y4553" t="s">
        <v>24282</v>
      </c>
      <c r="Z4553" t="s">
        <v>30883</v>
      </c>
      <c r="AA4553">
        <v>0.37415543418286812</v>
      </c>
      <c r="AB4553" t="str">
        <f>HYPERLINK("Melting_Curves/meltCurve_Q8N4C8_2_MINK1.pdf", "Melting_Curves/meltCurve_Q8N4C8_2_MINK1.pdf")</f>
        <v>Melting_Curves/meltCurve_Q8N4C8_2_MINK1.pdf</v>
      </c>
    </row>
    <row r="4554" spans="1:28" x14ac:dyDescent="0.25">
      <c r="A4554" t="s">
        <v>4558</v>
      </c>
      <c r="B4554">
        <v>0.99252571173614901</v>
      </c>
      <c r="C4554">
        <v>1.0543666567538901</v>
      </c>
      <c r="D4554">
        <v>1.0317609138730699</v>
      </c>
      <c r="E4554">
        <v>0.78151128016791205</v>
      </c>
      <c r="F4554">
        <v>0.92182540515515199</v>
      </c>
      <c r="G4554">
        <v>0.92173683250739202</v>
      </c>
      <c r="H4554">
        <v>1.34351676888454</v>
      </c>
      <c r="I4554">
        <v>2.2499645976037002</v>
      </c>
      <c r="J4554">
        <v>3.76430379710491</v>
      </c>
      <c r="K4554">
        <v>4.2243413345680203</v>
      </c>
      <c r="L4554">
        <v>15000</v>
      </c>
      <c r="M4554">
        <v>247.496878104481</v>
      </c>
      <c r="O4554">
        <v>60.602885838804397</v>
      </c>
      <c r="P4554">
        <v>0.51048920417896204</v>
      </c>
      <c r="Q4554">
        <v>1.5</v>
      </c>
      <c r="R4554">
        <v>8.9696314853977804E-2</v>
      </c>
      <c r="S4554" t="s">
        <v>11200</v>
      </c>
      <c r="T4554" t="s">
        <v>13290</v>
      </c>
      <c r="U4554" t="s">
        <v>13290</v>
      </c>
      <c r="V4554" t="s">
        <v>13290</v>
      </c>
      <c r="W4554" t="s">
        <v>17796</v>
      </c>
      <c r="X4554">
        <v>7</v>
      </c>
      <c r="Y4554" t="s">
        <v>24283</v>
      </c>
      <c r="Z4554" t="s">
        <v>30884</v>
      </c>
      <c r="AA4554">
        <v>1.156498651833618</v>
      </c>
      <c r="AB4554" t="str">
        <f>HYPERLINK("Melting_Curves/meltCurve_Q8N4H5_TOMM5.pdf", "Melting_Curves/meltCurve_Q8N4H5_TOMM5.pdf")</f>
        <v>Melting_Curves/meltCurve_Q8N4H5_TOMM5.pdf</v>
      </c>
    </row>
    <row r="4555" spans="1:28" x14ac:dyDescent="0.25">
      <c r="A4555" t="s">
        <v>4559</v>
      </c>
      <c r="B4555">
        <v>0.99252571173614901</v>
      </c>
      <c r="C4555">
        <v>1.0742808029508299</v>
      </c>
      <c r="D4555">
        <v>0.99390974014464295</v>
      </c>
      <c r="E4555">
        <v>0.93648302899552305</v>
      </c>
      <c r="F4555">
        <v>0.77706587926520199</v>
      </c>
      <c r="G4555">
        <v>0.66948201040775002</v>
      </c>
      <c r="H4555">
        <v>0.53708269942222597</v>
      </c>
      <c r="I4555">
        <v>0.133280738778256</v>
      </c>
      <c r="J4555">
        <v>0.12641938684120399</v>
      </c>
      <c r="K4555">
        <v>0.100222228514957</v>
      </c>
      <c r="L4555">
        <v>895.85084145327698</v>
      </c>
      <c r="M4555">
        <v>15.1047786585551</v>
      </c>
      <c r="N4555">
        <v>59.309101203711798</v>
      </c>
      <c r="O4555">
        <v>58.298690182239802</v>
      </c>
      <c r="P4555">
        <v>-6.47796013464121E-2</v>
      </c>
      <c r="Q4555">
        <v>0</v>
      </c>
      <c r="R4555">
        <v>0.96928955053478305</v>
      </c>
      <c r="S4555" t="s">
        <v>11201</v>
      </c>
      <c r="T4555" t="s">
        <v>13290</v>
      </c>
      <c r="U4555" t="s">
        <v>13290</v>
      </c>
      <c r="V4555" t="s">
        <v>13290</v>
      </c>
      <c r="W4555" t="s">
        <v>17797</v>
      </c>
      <c r="X4555">
        <v>5</v>
      </c>
      <c r="Y4555" t="s">
        <v>24284</v>
      </c>
      <c r="Z4555" t="s">
        <v>30885</v>
      </c>
      <c r="AA4555">
        <v>0.65312928320298191</v>
      </c>
      <c r="AB4555" t="str">
        <f>HYPERLINK("Melting_Curves/meltCurve_Q8N4P3_HDDC3.pdf", "Melting_Curves/meltCurve_Q8N4P3_HDDC3.pdf")</f>
        <v>Melting_Curves/meltCurve_Q8N4P3_HDDC3.pdf</v>
      </c>
    </row>
    <row r="4556" spans="1:28" x14ac:dyDescent="0.25">
      <c r="A4556" t="s">
        <v>4560</v>
      </c>
      <c r="B4556">
        <v>0.99252571173614901</v>
      </c>
      <c r="C4556">
        <v>1.0611865863490499</v>
      </c>
      <c r="D4556">
        <v>1.0226560969343299</v>
      </c>
      <c r="E4556">
        <v>0.893247953208682</v>
      </c>
      <c r="F4556">
        <v>0.59638260161443502</v>
      </c>
      <c r="G4556">
        <v>0.452878945537183</v>
      </c>
      <c r="H4556">
        <v>0.25079381575162502</v>
      </c>
      <c r="I4556">
        <v>0.124623004337188</v>
      </c>
      <c r="J4556">
        <v>0.12915680649673</v>
      </c>
      <c r="K4556">
        <v>0.118368037802652</v>
      </c>
      <c r="L4556">
        <v>956.80601280260601</v>
      </c>
      <c r="M4556">
        <v>17.472118850508501</v>
      </c>
      <c r="N4556">
        <v>55.418189543636601</v>
      </c>
      <c r="O4556">
        <v>54.0596199842823</v>
      </c>
      <c r="P4556">
        <v>-7.3252941959714296E-2</v>
      </c>
      <c r="Q4556">
        <v>9.3457046592206106E-2</v>
      </c>
      <c r="R4556">
        <v>0.98900903452310696</v>
      </c>
      <c r="S4556" t="s">
        <v>11202</v>
      </c>
      <c r="T4556" t="s">
        <v>13290</v>
      </c>
      <c r="U4556" t="s">
        <v>13290</v>
      </c>
      <c r="V4556" t="s">
        <v>13290</v>
      </c>
      <c r="W4556" t="s">
        <v>17798</v>
      </c>
      <c r="X4556">
        <v>9</v>
      </c>
      <c r="Y4556" t="s">
        <v>24285</v>
      </c>
      <c r="Z4556" t="s">
        <v>30886</v>
      </c>
      <c r="AA4556">
        <v>0.55427232422334261</v>
      </c>
      <c r="AB4556" t="str">
        <f>HYPERLINK("Melting_Curves/meltCurve_Q8N4Q0_ZADH2.pdf", "Melting_Curves/meltCurve_Q8N4Q0_ZADH2.pdf")</f>
        <v>Melting_Curves/meltCurve_Q8N4Q0_ZADH2.pdf</v>
      </c>
    </row>
    <row r="4557" spans="1:28" x14ac:dyDescent="0.25">
      <c r="A4557" t="s">
        <v>4561</v>
      </c>
      <c r="B4557">
        <v>0.99252571173614901</v>
      </c>
      <c r="C4557">
        <v>1.0681727819545099</v>
      </c>
      <c r="D4557">
        <v>0.95328249180445701</v>
      </c>
      <c r="E4557">
        <v>0.86932259698198999</v>
      </c>
      <c r="F4557">
        <v>0.82076287243133705</v>
      </c>
      <c r="G4557">
        <v>0.52566756334793496</v>
      </c>
      <c r="H4557">
        <v>0.53513628718061901</v>
      </c>
      <c r="I4557">
        <v>0.89530034886697696</v>
      </c>
      <c r="J4557">
        <v>1.7687560540345699</v>
      </c>
      <c r="K4557">
        <v>1.54730068765555</v>
      </c>
      <c r="L4557">
        <v>15000</v>
      </c>
      <c r="M4557">
        <v>229.42263184625699</v>
      </c>
      <c r="O4557">
        <v>65.376554322368193</v>
      </c>
      <c r="P4557">
        <v>0.43865619916016302</v>
      </c>
      <c r="Q4557">
        <v>1.5</v>
      </c>
      <c r="R4557">
        <v>0.58236428477355295</v>
      </c>
      <c r="S4557" t="s">
        <v>11203</v>
      </c>
      <c r="T4557" t="s">
        <v>13290</v>
      </c>
      <c r="U4557" t="s">
        <v>13290</v>
      </c>
      <c r="V4557" t="s">
        <v>13290</v>
      </c>
      <c r="W4557" t="s">
        <v>17799</v>
      </c>
      <c r="X4557">
        <v>4</v>
      </c>
      <c r="Y4557" t="s">
        <v>24286</v>
      </c>
      <c r="Z4557" t="s">
        <v>30887</v>
      </c>
      <c r="AA4557">
        <v>1.076906568937396</v>
      </c>
      <c r="AB4557" t="str">
        <f>HYPERLINK("Melting_Curves/meltCurve_Q8N4Q1_CHCHD4.pdf", "Melting_Curves/meltCurve_Q8N4Q1_CHCHD4.pdf")</f>
        <v>Melting_Curves/meltCurve_Q8N4Q1_CHCHD4.pdf</v>
      </c>
    </row>
    <row r="4558" spans="1:28" x14ac:dyDescent="0.25">
      <c r="A4558" t="s">
        <v>4562</v>
      </c>
      <c r="B4558">
        <v>0.99252571173614901</v>
      </c>
      <c r="C4558">
        <v>1.0316247252590101</v>
      </c>
      <c r="D4558">
        <v>1.0359044029678</v>
      </c>
      <c r="E4558">
        <v>1.0350190179057901</v>
      </c>
      <c r="F4558">
        <v>1.0439139508991699</v>
      </c>
      <c r="G4558">
        <v>0.83195289274400797</v>
      </c>
      <c r="H4558">
        <v>0.75622295083616098</v>
      </c>
      <c r="I4558">
        <v>0.78945072343859801</v>
      </c>
      <c r="J4558">
        <v>0.70512338451620904</v>
      </c>
      <c r="K4558">
        <v>0.56129093059547697</v>
      </c>
      <c r="L4558">
        <v>768.65502854769704</v>
      </c>
      <c r="M4558">
        <v>11.966350186519</v>
      </c>
      <c r="O4558">
        <v>62.5196688099673</v>
      </c>
      <c r="P4558">
        <v>-2.60479768216282E-2</v>
      </c>
      <c r="Q4558">
        <v>0.45576923220413201</v>
      </c>
      <c r="R4558">
        <v>0.89296474434569595</v>
      </c>
      <c r="S4558" t="s">
        <v>11204</v>
      </c>
      <c r="T4558" t="s">
        <v>13290</v>
      </c>
      <c r="U4558" t="s">
        <v>13290</v>
      </c>
      <c r="V4558" t="s">
        <v>13290</v>
      </c>
      <c r="W4558" t="s">
        <v>17800</v>
      </c>
      <c r="X4558">
        <v>7</v>
      </c>
      <c r="Y4558" t="s">
        <v>24287</v>
      </c>
      <c r="Z4558" t="s">
        <v>30888</v>
      </c>
      <c r="AA4558">
        <v>0.8781186968007193</v>
      </c>
      <c r="AB4558" t="str">
        <f>HYPERLINK("Melting_Curves/meltCurve_Q8N4T8_CBR4.pdf", "Melting_Curves/meltCurve_Q8N4T8_CBR4.pdf")</f>
        <v>Melting_Curves/meltCurve_Q8N4T8_CBR4.pdf</v>
      </c>
    </row>
    <row r="4559" spans="1:28" x14ac:dyDescent="0.25">
      <c r="A4559" t="s">
        <v>4563</v>
      </c>
      <c r="B4559">
        <v>0.99252571173614901</v>
      </c>
      <c r="C4559">
        <v>1.0941483933993701</v>
      </c>
      <c r="D4559">
        <v>0.900806812837599</v>
      </c>
      <c r="E4559">
        <v>0.82125763665033502</v>
      </c>
      <c r="F4559">
        <v>0.66191932629434003</v>
      </c>
      <c r="G4559">
        <v>0.46187921331899501</v>
      </c>
      <c r="H4559">
        <v>0.27866898271068102</v>
      </c>
      <c r="I4559">
        <v>0.29531095023609299</v>
      </c>
      <c r="J4559">
        <v>0.35724822010292101</v>
      </c>
      <c r="K4559">
        <v>0.37103097663429402</v>
      </c>
      <c r="L4559">
        <v>1024.3689902999199</v>
      </c>
      <c r="M4559">
        <v>19.4333744369446</v>
      </c>
      <c r="N4559">
        <v>55.498501637587303</v>
      </c>
      <c r="O4559">
        <v>52.1631977284462</v>
      </c>
      <c r="P4559">
        <v>-6.4122737532726098E-2</v>
      </c>
      <c r="Q4559">
        <v>0.31155032941486099</v>
      </c>
      <c r="R4559">
        <v>0.96710849382159703</v>
      </c>
      <c r="S4559" t="s">
        <v>11205</v>
      </c>
      <c r="T4559" t="s">
        <v>13290</v>
      </c>
      <c r="U4559" t="s">
        <v>13290</v>
      </c>
      <c r="V4559" t="s">
        <v>13290</v>
      </c>
      <c r="W4559" t="s">
        <v>17801</v>
      </c>
      <c r="X4559">
        <v>2</v>
      </c>
      <c r="Y4559" t="s">
        <v>24288</v>
      </c>
      <c r="Z4559" t="s">
        <v>30889</v>
      </c>
      <c r="AA4559">
        <v>0.61323660665089696</v>
      </c>
      <c r="AB4559" t="str">
        <f>HYPERLINK("Melting_Curves/meltCurve_Q8N4V1_MMGT1.pdf", "Melting_Curves/meltCurve_Q8N4V1_MMGT1.pdf")</f>
        <v>Melting_Curves/meltCurve_Q8N4V1_MMGT1.pdf</v>
      </c>
    </row>
    <row r="4560" spans="1:28" x14ac:dyDescent="0.25">
      <c r="A4560" t="s">
        <v>4564</v>
      </c>
      <c r="B4560">
        <v>0.99252571173614901</v>
      </c>
      <c r="C4560">
        <v>1.0590988510108901</v>
      </c>
      <c r="D4560">
        <v>0.98193152527691396</v>
      </c>
      <c r="E4560">
        <v>1.06403415633361</v>
      </c>
      <c r="F4560">
        <v>0.79691357302695298</v>
      </c>
      <c r="G4560">
        <v>0.53787632267521102</v>
      </c>
      <c r="H4560">
        <v>0.43247027393188697</v>
      </c>
      <c r="I4560">
        <v>0.43184468223344602</v>
      </c>
      <c r="J4560">
        <v>0.51451450689840195</v>
      </c>
      <c r="K4560">
        <v>0.53637829120180203</v>
      </c>
      <c r="L4560">
        <v>2786.8733608042098</v>
      </c>
      <c r="M4560">
        <v>51.877808740768501</v>
      </c>
      <c r="N4560">
        <v>57.5191310070174</v>
      </c>
      <c r="O4560">
        <v>53.640294286114603</v>
      </c>
      <c r="P4560">
        <v>-0.12482169266780101</v>
      </c>
      <c r="Q4560">
        <v>0.48375083011313202</v>
      </c>
      <c r="R4560">
        <v>0.97132381111560395</v>
      </c>
      <c r="S4560" t="s">
        <v>11206</v>
      </c>
      <c r="T4560" t="s">
        <v>13290</v>
      </c>
      <c r="U4560" t="s">
        <v>13290</v>
      </c>
      <c r="V4560" t="s">
        <v>13290</v>
      </c>
      <c r="W4560" t="s">
        <v>17802</v>
      </c>
      <c r="X4560">
        <v>2</v>
      </c>
      <c r="Y4560" t="s">
        <v>24289</v>
      </c>
      <c r="Z4560" t="s">
        <v>30890</v>
      </c>
      <c r="AA4560">
        <v>0.72098366070072983</v>
      </c>
      <c r="AB4560" t="str">
        <f>HYPERLINK("Melting_Curves/meltCurve_Q8N567_ZCCHC9.pdf", "Melting_Curves/meltCurve_Q8N567_ZCCHC9.pdf")</f>
        <v>Melting_Curves/meltCurve_Q8N567_ZCCHC9.pdf</v>
      </c>
    </row>
    <row r="4561" spans="1:28" x14ac:dyDescent="0.25">
      <c r="A4561" t="s">
        <v>4565</v>
      </c>
      <c r="B4561">
        <v>0.99252571173614901</v>
      </c>
      <c r="C4561">
        <v>1.0846104889847901</v>
      </c>
      <c r="D4561">
        <v>0.91305131447596599</v>
      </c>
      <c r="E4561">
        <v>0.82189588731626695</v>
      </c>
      <c r="F4561">
        <v>0.54596356140859104</v>
      </c>
      <c r="G4561">
        <v>0.16258622186300201</v>
      </c>
      <c r="H4561">
        <v>9.2036556377404002E-2</v>
      </c>
      <c r="I4561">
        <v>9.5703137596653901E-2</v>
      </c>
      <c r="J4561">
        <v>0.13340014270984299</v>
      </c>
      <c r="K4561">
        <v>0.127356464144672</v>
      </c>
      <c r="L4561">
        <v>1377.1815521552501</v>
      </c>
      <c r="M4561">
        <v>26.121467302903898</v>
      </c>
      <c r="N4561">
        <v>53.155896258751298</v>
      </c>
      <c r="O4561">
        <v>52.416132319488298</v>
      </c>
      <c r="P4561">
        <v>-0.112631742269217</v>
      </c>
      <c r="Q4561">
        <v>9.5969148072417798E-2</v>
      </c>
      <c r="R4561">
        <v>0.98622596231893001</v>
      </c>
      <c r="S4561" t="s">
        <v>11207</v>
      </c>
      <c r="T4561" t="s">
        <v>13290</v>
      </c>
      <c r="U4561" t="s">
        <v>13290</v>
      </c>
      <c r="V4561" t="s">
        <v>13290</v>
      </c>
      <c r="W4561" t="s">
        <v>17803</v>
      </c>
      <c r="X4561">
        <v>13</v>
      </c>
      <c r="Y4561" t="s">
        <v>24290</v>
      </c>
      <c r="Z4561" t="s">
        <v>30891</v>
      </c>
      <c r="AA4561">
        <v>0.48698576284140033</v>
      </c>
      <c r="AB4561" t="str">
        <f>HYPERLINK("Melting_Curves/meltCurve_Q8N573_2_OXR1.pdf", "Melting_Curves/meltCurve_Q8N573_2_OXR1.pdf")</f>
        <v>Melting_Curves/meltCurve_Q8N573_2_OXR1.pdf</v>
      </c>
    </row>
    <row r="4562" spans="1:28" x14ac:dyDescent="0.25">
      <c r="A4562" t="s">
        <v>4566</v>
      </c>
      <c r="B4562">
        <v>0.99252571173614901</v>
      </c>
      <c r="C4562">
        <v>1.09364093297679</v>
      </c>
      <c r="D4562">
        <v>1.02400849837161</v>
      </c>
      <c r="E4562">
        <v>0.80679194602176696</v>
      </c>
      <c r="F4562">
        <v>0.37077577709079002</v>
      </c>
      <c r="G4562">
        <v>0.15150961333847901</v>
      </c>
      <c r="H4562">
        <v>0.12177614448192001</v>
      </c>
      <c r="I4562">
        <v>4.8758541765685601E-2</v>
      </c>
      <c r="J4562">
        <v>6.5029594740185007E-2</v>
      </c>
      <c r="K4562">
        <v>7.3211697580305005E-2</v>
      </c>
      <c r="L4562">
        <v>1557.8527095766401</v>
      </c>
      <c r="M4562">
        <v>30.020466288900899</v>
      </c>
      <c r="N4562">
        <v>52.176270838277901</v>
      </c>
      <c r="O4562">
        <v>51.664389755376298</v>
      </c>
      <c r="P4562">
        <v>-0.134345489610285</v>
      </c>
      <c r="Q4562">
        <v>7.5186563416222693E-2</v>
      </c>
      <c r="R4562">
        <v>0.99255097667700998</v>
      </c>
      <c r="S4562" t="s">
        <v>11208</v>
      </c>
      <c r="T4562" t="s">
        <v>13290</v>
      </c>
      <c r="U4562" t="s">
        <v>13290</v>
      </c>
      <c r="V4562" t="s">
        <v>13290</v>
      </c>
      <c r="W4562" t="s">
        <v>17804</v>
      </c>
      <c r="X4562">
        <v>6</v>
      </c>
      <c r="Y4562" t="s">
        <v>24291</v>
      </c>
      <c r="Z4562" t="s">
        <v>30892</v>
      </c>
      <c r="AA4562">
        <v>0.44770516762796958</v>
      </c>
      <c r="AB4562" t="str">
        <f>HYPERLINK("Melting_Curves/meltCurve_Q8N584_TTC39C.pdf", "Melting_Curves/meltCurve_Q8N584_TTC39C.pdf")</f>
        <v>Melting_Curves/meltCurve_Q8N584_TTC39C.pdf</v>
      </c>
    </row>
    <row r="4563" spans="1:28" x14ac:dyDescent="0.25">
      <c r="A4563" t="s">
        <v>4567</v>
      </c>
      <c r="B4563">
        <v>0.99252571173614901</v>
      </c>
      <c r="C4563">
        <v>0.93154393659966594</v>
      </c>
      <c r="D4563">
        <v>0.570944175923769</v>
      </c>
      <c r="E4563">
        <v>0.198730016316083</v>
      </c>
      <c r="F4563">
        <v>0.13626871478858399</v>
      </c>
      <c r="G4563">
        <v>8.5512632007294198E-2</v>
      </c>
      <c r="H4563">
        <v>6.1635657904578603E-2</v>
      </c>
      <c r="I4563">
        <v>5.2496309339010401E-2</v>
      </c>
      <c r="J4563">
        <v>5.8014222235516798E-2</v>
      </c>
      <c r="K4563">
        <v>6.3529557507175594E-2</v>
      </c>
      <c r="L4563">
        <v>1286.4026984898901</v>
      </c>
      <c r="M4563">
        <v>27.757427021054699</v>
      </c>
      <c r="N4563">
        <v>46.597391391684603</v>
      </c>
      <c r="O4563">
        <v>46.105915796565803</v>
      </c>
      <c r="P4563">
        <v>-0.13998452629199701</v>
      </c>
      <c r="Q4563">
        <v>6.9934451404394804E-2</v>
      </c>
      <c r="R4563">
        <v>0.99760657345386905</v>
      </c>
      <c r="S4563" t="s">
        <v>11209</v>
      </c>
      <c r="T4563" t="s">
        <v>13290</v>
      </c>
      <c r="U4563" t="s">
        <v>13290</v>
      </c>
      <c r="V4563" t="s">
        <v>13290</v>
      </c>
      <c r="W4563" t="s">
        <v>17805</v>
      </c>
      <c r="X4563">
        <v>5</v>
      </c>
      <c r="Y4563" t="s">
        <v>24292</v>
      </c>
      <c r="Z4563" t="s">
        <v>30893</v>
      </c>
      <c r="AA4563">
        <v>0.27330724910754262</v>
      </c>
      <c r="AB4563" t="str">
        <f>HYPERLINK("Melting_Curves/meltCurve_Q8N5C6_SRBD1.pdf", "Melting_Curves/meltCurve_Q8N5C6_SRBD1.pdf")</f>
        <v>Melting_Curves/meltCurve_Q8N5C6_SRBD1.pdf</v>
      </c>
    </row>
    <row r="4564" spans="1:28" x14ac:dyDescent="0.25">
      <c r="A4564" t="s">
        <v>4568</v>
      </c>
      <c r="B4564">
        <v>0.99252571173614901</v>
      </c>
      <c r="C4564">
        <v>0.95216259306679696</v>
      </c>
      <c r="D4564">
        <v>0.83203712528108598</v>
      </c>
      <c r="E4564">
        <v>0.74563468139317901</v>
      </c>
      <c r="F4564">
        <v>0.47149898583574701</v>
      </c>
      <c r="G4564">
        <v>0.27480188975742997</v>
      </c>
      <c r="H4564">
        <v>0.18198378062485099</v>
      </c>
      <c r="I4564">
        <v>0.155989856170799</v>
      </c>
      <c r="J4564">
        <v>0.22917637258720799</v>
      </c>
      <c r="K4564">
        <v>0.28333863832130102</v>
      </c>
      <c r="L4564">
        <v>922.65580785332099</v>
      </c>
      <c r="M4564">
        <v>18.078657552230201</v>
      </c>
      <c r="N4564">
        <v>52.445476007727301</v>
      </c>
      <c r="O4564">
        <v>50.423488017167898</v>
      </c>
      <c r="P4564">
        <v>-7.2386989069274807E-2</v>
      </c>
      <c r="Q4564">
        <v>0.19245611169398699</v>
      </c>
      <c r="R4564">
        <v>0.97765088402337297</v>
      </c>
      <c r="S4564" t="s">
        <v>11210</v>
      </c>
      <c r="T4564" t="s">
        <v>13290</v>
      </c>
      <c r="U4564" t="s">
        <v>13290</v>
      </c>
      <c r="V4564" t="s">
        <v>13290</v>
      </c>
      <c r="W4564" t="s">
        <v>17806</v>
      </c>
      <c r="X4564">
        <v>3</v>
      </c>
      <c r="Y4564" t="s">
        <v>24293</v>
      </c>
      <c r="Z4564" t="s">
        <v>30894</v>
      </c>
      <c r="AA4564">
        <v>0.50300933233781575</v>
      </c>
      <c r="AB4564" t="str">
        <f>HYPERLINK("Melting_Curves/meltCurve_Q8N5F7_NKAP.pdf", "Melting_Curves/meltCurve_Q8N5F7_NKAP.pdf")</f>
        <v>Melting_Curves/meltCurve_Q8N5F7_NKAP.pdf</v>
      </c>
    </row>
    <row r="4565" spans="1:28" x14ac:dyDescent="0.25">
      <c r="A4565" t="s">
        <v>4569</v>
      </c>
      <c r="B4565">
        <v>0.99252571173614901</v>
      </c>
      <c r="C4565">
        <v>0.90812732828499798</v>
      </c>
      <c r="D4565">
        <v>0.86848149749676395</v>
      </c>
      <c r="E4565">
        <v>0.86557932424785899</v>
      </c>
      <c r="F4565">
        <v>0.69029940958432501</v>
      </c>
      <c r="G4565">
        <v>0.55340830563423205</v>
      </c>
      <c r="H4565">
        <v>0.52605547335922198</v>
      </c>
      <c r="I4565">
        <v>0.673303488271635</v>
      </c>
      <c r="J4565">
        <v>0.92898602320961199</v>
      </c>
      <c r="K4565">
        <v>0.79167628549325297</v>
      </c>
      <c r="L4565">
        <v>895.86266245495096</v>
      </c>
      <c r="M4565">
        <v>19.108442794725502</v>
      </c>
      <c r="O4565">
        <v>46.3786644268258</v>
      </c>
      <c r="P4565">
        <v>-3.1171986394836902E-2</v>
      </c>
      <c r="Q4565">
        <v>0.697378009339361</v>
      </c>
      <c r="R4565">
        <v>0.45036988598163502</v>
      </c>
      <c r="S4565" t="s">
        <v>11211</v>
      </c>
      <c r="T4565" t="s">
        <v>13290</v>
      </c>
      <c r="U4565" t="s">
        <v>13290</v>
      </c>
      <c r="V4565" t="s">
        <v>13290</v>
      </c>
      <c r="W4565" t="s">
        <v>17807</v>
      </c>
      <c r="X4565">
        <v>4</v>
      </c>
      <c r="Y4565" t="s">
        <v>24294</v>
      </c>
      <c r="Z4565" t="s">
        <v>30895</v>
      </c>
      <c r="AA4565">
        <v>0.77173546352473277</v>
      </c>
      <c r="AB4565" t="str">
        <f>HYPERLINK("Melting_Curves/meltCurve_Q8N5G0_2_SMIM20.pdf", "Melting_Curves/meltCurve_Q8N5G0_2_SMIM20.pdf")</f>
        <v>Melting_Curves/meltCurve_Q8N5G0_2_SMIM20.pdf</v>
      </c>
    </row>
    <row r="4566" spans="1:28" x14ac:dyDescent="0.25">
      <c r="A4566" t="s">
        <v>4570</v>
      </c>
      <c r="B4566">
        <v>0.99252571173614901</v>
      </c>
      <c r="C4566">
        <v>0.89988427207791599</v>
      </c>
      <c r="D4566">
        <v>1.02511179150145</v>
      </c>
      <c r="E4566">
        <v>0.95176964018189003</v>
      </c>
      <c r="F4566">
        <v>0.57389035352075202</v>
      </c>
      <c r="G4566">
        <v>0.29795304988127902</v>
      </c>
      <c r="H4566">
        <v>0.19095973741785</v>
      </c>
      <c r="I4566">
        <v>0.25069211781481299</v>
      </c>
      <c r="J4566">
        <v>0.35899002266615598</v>
      </c>
      <c r="K4566">
        <v>0.45597464427606399</v>
      </c>
      <c r="L4566">
        <v>2699.32880429024</v>
      </c>
      <c r="M4566">
        <v>51.251626831312301</v>
      </c>
      <c r="N4566">
        <v>53.672109361469502</v>
      </c>
      <c r="O4566">
        <v>52.588167350506602</v>
      </c>
      <c r="P4566">
        <v>-0.16853042000034499</v>
      </c>
      <c r="Q4566">
        <v>0.30829922221723499</v>
      </c>
      <c r="R4566">
        <v>0.94691802015563797</v>
      </c>
      <c r="S4566" t="s">
        <v>11212</v>
      </c>
      <c r="T4566" t="s">
        <v>13290</v>
      </c>
      <c r="U4566" t="s">
        <v>13290</v>
      </c>
      <c r="V4566" t="s">
        <v>13290</v>
      </c>
      <c r="W4566" t="s">
        <v>17808</v>
      </c>
      <c r="X4566">
        <v>3</v>
      </c>
      <c r="Y4566" t="s">
        <v>24295</v>
      </c>
      <c r="Z4566" t="s">
        <v>30896</v>
      </c>
      <c r="AA4566">
        <v>0.60191394751565552</v>
      </c>
      <c r="AB4566" t="str">
        <f>HYPERLINK("Melting_Curves/meltCurve_Q8N5G2_TMEM57.pdf", "Melting_Curves/meltCurve_Q8N5G2_TMEM57.pdf")</f>
        <v>Melting_Curves/meltCurve_Q8N5G2_TMEM57.pdf</v>
      </c>
    </row>
    <row r="4567" spans="1:28" x14ac:dyDescent="0.25">
      <c r="A4567" t="s">
        <v>4571</v>
      </c>
      <c r="B4567">
        <v>0.99252571173614901</v>
      </c>
      <c r="C4567">
        <v>1.09406006675698</v>
      </c>
      <c r="D4567">
        <v>0.94376876480352201</v>
      </c>
      <c r="E4567">
        <v>0.77400233244956096</v>
      </c>
      <c r="F4567">
        <v>0.29701971467697103</v>
      </c>
      <c r="G4567">
        <v>8.5815016074362496E-2</v>
      </c>
      <c r="H4567">
        <v>4.9529560371061598E-2</v>
      </c>
      <c r="I4567">
        <v>4.6345971353503899E-2</v>
      </c>
      <c r="J4567">
        <v>4.7560836690685497E-2</v>
      </c>
      <c r="K4567">
        <v>5.5875067070674599E-2</v>
      </c>
      <c r="L4567">
        <v>1601.77011942382</v>
      </c>
      <c r="M4567">
        <v>31.145284089216201</v>
      </c>
      <c r="N4567">
        <v>51.587739524635801</v>
      </c>
      <c r="O4567">
        <v>51.218351668243002</v>
      </c>
      <c r="P4567">
        <v>-0.14507614761700599</v>
      </c>
      <c r="Q4567">
        <v>4.5695723120565197E-2</v>
      </c>
      <c r="R4567">
        <v>0.99431840795603399</v>
      </c>
      <c r="S4567" t="s">
        <v>11213</v>
      </c>
      <c r="T4567" t="s">
        <v>13290</v>
      </c>
      <c r="U4567" t="s">
        <v>13290</v>
      </c>
      <c r="V4567" t="s">
        <v>13290</v>
      </c>
      <c r="W4567" t="s">
        <v>17809</v>
      </c>
      <c r="X4567">
        <v>4</v>
      </c>
      <c r="Y4567" t="s">
        <v>24296</v>
      </c>
      <c r="Z4567" t="s">
        <v>30897</v>
      </c>
      <c r="AA4567">
        <v>0.41485976266343311</v>
      </c>
      <c r="AB4567" t="str">
        <f>HYPERLINK("Melting_Curves/meltCurve_Q8N5I2_ARRDC1.pdf", "Melting_Curves/meltCurve_Q8N5I2_ARRDC1.pdf")</f>
        <v>Melting_Curves/meltCurve_Q8N5I2_ARRDC1.pdf</v>
      </c>
    </row>
    <row r="4568" spans="1:28" x14ac:dyDescent="0.25">
      <c r="A4568" t="s">
        <v>4572</v>
      </c>
      <c r="B4568">
        <v>0.99252571173614901</v>
      </c>
      <c r="C4568">
        <v>1.02472595784538</v>
      </c>
      <c r="D4568">
        <v>0.91912580942019495</v>
      </c>
      <c r="E4568">
        <v>0.96159105686732704</v>
      </c>
      <c r="F4568">
        <v>0.79036104040406696</v>
      </c>
      <c r="G4568">
        <v>0.68770998722735899</v>
      </c>
      <c r="H4568">
        <v>0.74106592131580695</v>
      </c>
      <c r="I4568">
        <v>0.92739897686284001</v>
      </c>
      <c r="J4568">
        <v>1.2959527453164299</v>
      </c>
      <c r="K4568">
        <v>1.4984552639939701</v>
      </c>
      <c r="L4568">
        <v>15000</v>
      </c>
      <c r="M4568">
        <v>223.92614449389799</v>
      </c>
      <c r="O4568">
        <v>66.981041154748397</v>
      </c>
      <c r="P4568">
        <v>0.41662958989353599</v>
      </c>
      <c r="Q4568">
        <v>1.4984907619501699</v>
      </c>
      <c r="R4568">
        <v>0.59980851193456997</v>
      </c>
      <c r="S4568" t="s">
        <v>11214</v>
      </c>
      <c r="T4568" t="s">
        <v>13290</v>
      </c>
      <c r="U4568" t="s">
        <v>13290</v>
      </c>
      <c r="V4568" t="s">
        <v>13290</v>
      </c>
      <c r="W4568" t="s">
        <v>17810</v>
      </c>
      <c r="X4568">
        <v>9</v>
      </c>
      <c r="Y4568" t="s">
        <v>24297</v>
      </c>
      <c r="Z4568" t="s">
        <v>30898</v>
      </c>
      <c r="AA4568">
        <v>1.0500028330469131</v>
      </c>
      <c r="AB4568" t="str">
        <f>HYPERLINK("Melting_Curves/meltCurve_Q8N5I9_C12orf45.pdf", "Melting_Curves/meltCurve_Q8N5I9_C12orf45.pdf")</f>
        <v>Melting_Curves/meltCurve_Q8N5I9_C12orf45.pdf</v>
      </c>
    </row>
    <row r="4569" spans="1:28" x14ac:dyDescent="0.25">
      <c r="A4569" t="s">
        <v>4573</v>
      </c>
      <c r="B4569">
        <v>0.99252571173614901</v>
      </c>
      <c r="C4569">
        <v>0.77698244010854101</v>
      </c>
      <c r="D4569">
        <v>0.77205130717295101</v>
      </c>
      <c r="E4569">
        <v>0.55051834179034698</v>
      </c>
      <c r="F4569">
        <v>0.51727891257349801</v>
      </c>
      <c r="G4569">
        <v>0.35789548809636701</v>
      </c>
      <c r="H4569">
        <v>0.28262382369367101</v>
      </c>
      <c r="I4569">
        <v>0.27375890341494302</v>
      </c>
      <c r="J4569">
        <v>0.32924695060876202</v>
      </c>
      <c r="K4569">
        <v>0.254310016852832</v>
      </c>
      <c r="L4569">
        <v>512.79788508687898</v>
      </c>
      <c r="M4569">
        <v>10.5168510083586</v>
      </c>
      <c r="N4569">
        <v>51.898778866625399</v>
      </c>
      <c r="O4569">
        <v>47.095684790384297</v>
      </c>
      <c r="P4569">
        <v>-4.2706480017991003E-2</v>
      </c>
      <c r="Q4569">
        <v>0.23532855375664</v>
      </c>
      <c r="R4569">
        <v>0.96600942437795101</v>
      </c>
      <c r="S4569" t="s">
        <v>11215</v>
      </c>
      <c r="T4569" t="s">
        <v>13290</v>
      </c>
      <c r="U4569" t="s">
        <v>13290</v>
      </c>
      <c r="V4569" t="s">
        <v>13290</v>
      </c>
      <c r="W4569" t="s">
        <v>17811</v>
      </c>
      <c r="X4569">
        <v>8</v>
      </c>
      <c r="Y4569" t="s">
        <v>24298</v>
      </c>
      <c r="Z4569" t="s">
        <v>30899</v>
      </c>
      <c r="AA4569">
        <v>0.49393087197707569</v>
      </c>
      <c r="AB4569" t="str">
        <f>HYPERLINK("Melting_Curves/meltCurve_Q8N5K1_CISD2.pdf", "Melting_Curves/meltCurve_Q8N5K1_CISD2.pdf")</f>
        <v>Melting_Curves/meltCurve_Q8N5K1_CISD2.pdf</v>
      </c>
    </row>
    <row r="4570" spans="1:28" x14ac:dyDescent="0.25">
      <c r="A4570" t="s">
        <v>4574</v>
      </c>
      <c r="B4570">
        <v>0.99252571173614901</v>
      </c>
      <c r="C4570">
        <v>0.857985396058071</v>
      </c>
      <c r="D4570">
        <v>0.89625858314117501</v>
      </c>
      <c r="E4570">
        <v>0.68581800073482202</v>
      </c>
      <c r="F4570">
        <v>0.56941299634495002</v>
      </c>
      <c r="G4570">
        <v>0.324137451651479</v>
      </c>
      <c r="H4570">
        <v>0.16989594373450301</v>
      </c>
      <c r="I4570">
        <v>0.19084005845155999</v>
      </c>
      <c r="J4570">
        <v>6.0041507414690297E-2</v>
      </c>
      <c r="K4570">
        <v>0.12614148193077901</v>
      </c>
      <c r="L4570">
        <v>604.11435533458405</v>
      </c>
      <c r="M4570">
        <v>11.336042828119201</v>
      </c>
      <c r="N4570">
        <v>53.507136387804898</v>
      </c>
      <c r="O4570">
        <v>51.713885677993602</v>
      </c>
      <c r="P4570">
        <v>-5.35939943949056E-2</v>
      </c>
      <c r="Q4570">
        <v>2.23320958217753E-2</v>
      </c>
      <c r="R4570">
        <v>0.98228050769628705</v>
      </c>
      <c r="S4570" t="s">
        <v>11216</v>
      </c>
      <c r="T4570" t="s">
        <v>13290</v>
      </c>
      <c r="U4570" t="s">
        <v>13290</v>
      </c>
      <c r="V4570" t="s">
        <v>13290</v>
      </c>
      <c r="W4570" t="s">
        <v>17812</v>
      </c>
      <c r="X4570">
        <v>1</v>
      </c>
      <c r="Y4570" t="s">
        <v>24299</v>
      </c>
      <c r="Z4570" t="s">
        <v>30900</v>
      </c>
      <c r="AA4570">
        <v>0.48431557520311069</v>
      </c>
      <c r="AB4570" t="str">
        <f>HYPERLINK("Melting_Curves/meltCurve_Q8N5L8_RPP25L.pdf", "Melting_Curves/meltCurve_Q8N5L8_RPP25L.pdf")</f>
        <v>Melting_Curves/meltCurve_Q8N5L8_RPP25L.pdf</v>
      </c>
    </row>
    <row r="4571" spans="1:28" x14ac:dyDescent="0.25">
      <c r="A4571" t="s">
        <v>4575</v>
      </c>
      <c r="B4571">
        <v>0.99252571173614901</v>
      </c>
      <c r="C4571">
        <v>0.99260062137633698</v>
      </c>
      <c r="D4571">
        <v>0.95890908874803404</v>
      </c>
      <c r="E4571">
        <v>0.91596651068878998</v>
      </c>
      <c r="F4571">
        <v>0.89816346986905704</v>
      </c>
      <c r="G4571">
        <v>0.67248630557010602</v>
      </c>
      <c r="H4571">
        <v>0.42064751462474798</v>
      </c>
      <c r="I4571">
        <v>0.250004394812051</v>
      </c>
      <c r="J4571">
        <v>0.185934328236734</v>
      </c>
      <c r="K4571">
        <v>0.18856678920050701</v>
      </c>
      <c r="L4571">
        <v>1078.4690544815701</v>
      </c>
      <c r="M4571">
        <v>18.475151538768401</v>
      </c>
      <c r="N4571">
        <v>59.316154302614798</v>
      </c>
      <c r="O4571">
        <v>57.703023386124499</v>
      </c>
      <c r="P4571">
        <v>-6.9869327020069594E-2</v>
      </c>
      <c r="Q4571">
        <v>0.12715370996039199</v>
      </c>
      <c r="R4571">
        <v>0.99476175580175796</v>
      </c>
      <c r="S4571" t="s">
        <v>11217</v>
      </c>
      <c r="T4571" t="s">
        <v>13290</v>
      </c>
      <c r="U4571" t="s">
        <v>13290</v>
      </c>
      <c r="V4571" t="s">
        <v>13290</v>
      </c>
      <c r="W4571" t="s">
        <v>17813</v>
      </c>
      <c r="X4571">
        <v>9</v>
      </c>
      <c r="Y4571" t="s">
        <v>24300</v>
      </c>
      <c r="Z4571" t="s">
        <v>30901</v>
      </c>
      <c r="AA4571">
        <v>0.67184513099157395</v>
      </c>
      <c r="AB4571" t="str">
        <f>HYPERLINK("Melting_Curves/meltCurve_Q8N5M1_ATPAF2.pdf", "Melting_Curves/meltCurve_Q8N5M1_ATPAF2.pdf")</f>
        <v>Melting_Curves/meltCurve_Q8N5M1_ATPAF2.pdf</v>
      </c>
    </row>
    <row r="4572" spans="1:28" x14ac:dyDescent="0.25">
      <c r="A4572" t="s">
        <v>4576</v>
      </c>
      <c r="B4572">
        <v>0.99252571173614901</v>
      </c>
      <c r="C4572">
        <v>1.4178596345888901</v>
      </c>
      <c r="D4572">
        <v>1.0711202955283501</v>
      </c>
      <c r="E4572">
        <v>1.43339420165897</v>
      </c>
      <c r="F4572">
        <v>0.78156151846671496</v>
      </c>
      <c r="G4572">
        <v>0.56488858248742901</v>
      </c>
      <c r="H4572">
        <v>0.44697211059743802</v>
      </c>
      <c r="I4572">
        <v>0.79720239104416002</v>
      </c>
      <c r="J4572">
        <v>0.78186140886066102</v>
      </c>
      <c r="K4572">
        <v>0.48017425606504999</v>
      </c>
      <c r="L4572">
        <v>13285.8240090935</v>
      </c>
      <c r="M4572">
        <v>250</v>
      </c>
      <c r="O4572">
        <v>53.139905880133398</v>
      </c>
      <c r="P4572">
        <v>-0.45373190928493801</v>
      </c>
      <c r="Q4572">
        <v>0.61421974234710597</v>
      </c>
      <c r="R4572">
        <v>0.57268464419335496</v>
      </c>
      <c r="S4572" t="s">
        <v>11218</v>
      </c>
      <c r="T4572" t="s">
        <v>13290</v>
      </c>
      <c r="U4572" t="s">
        <v>13290</v>
      </c>
      <c r="V4572" t="s">
        <v>13290</v>
      </c>
      <c r="W4572" t="s">
        <v>17814</v>
      </c>
      <c r="X4572">
        <v>2</v>
      </c>
      <c r="Y4572" t="s">
        <v>24301</v>
      </c>
      <c r="Z4572" t="s">
        <v>30902</v>
      </c>
      <c r="AA4572">
        <v>0.78326986010715527</v>
      </c>
      <c r="AB4572" t="str">
        <f>HYPERLINK("Melting_Curves/meltCurve_Q8N5M9_JAGN1.pdf", "Melting_Curves/meltCurve_Q8N5M9_JAGN1.pdf")</f>
        <v>Melting_Curves/meltCurve_Q8N5M9_JAGN1.pdf</v>
      </c>
    </row>
    <row r="4573" spans="1:28" x14ac:dyDescent="0.25">
      <c r="A4573" t="s">
        <v>4577</v>
      </c>
      <c r="B4573">
        <v>0.99252571173614901</v>
      </c>
      <c r="C4573">
        <v>1.01614732442211</v>
      </c>
      <c r="D4573">
        <v>0.916099795072576</v>
      </c>
      <c r="E4573">
        <v>0.82703789584825804</v>
      </c>
      <c r="F4573">
        <v>0.87900175975116601</v>
      </c>
      <c r="G4573">
        <v>0.85068927609520695</v>
      </c>
      <c r="H4573">
        <v>0.77091900504394195</v>
      </c>
      <c r="I4573">
        <v>0.66542635011395701</v>
      </c>
      <c r="J4573">
        <v>0.88938720847199804</v>
      </c>
      <c r="K4573">
        <v>0.87800690438784701</v>
      </c>
      <c r="L4573">
        <v>11504.823529617899</v>
      </c>
      <c r="M4573">
        <v>250</v>
      </c>
      <c r="O4573">
        <v>46.016349015771603</v>
      </c>
      <c r="P4573">
        <v>-0.240506834336468</v>
      </c>
      <c r="Q4573">
        <v>0.82292405666926105</v>
      </c>
      <c r="R4573">
        <v>0.57784464714926798</v>
      </c>
      <c r="S4573" t="s">
        <v>11219</v>
      </c>
      <c r="T4573" t="s">
        <v>13290</v>
      </c>
      <c r="U4573" t="s">
        <v>13290</v>
      </c>
      <c r="V4573" t="s">
        <v>13290</v>
      </c>
      <c r="W4573" t="s">
        <v>17815</v>
      </c>
      <c r="X4573">
        <v>8</v>
      </c>
      <c r="Y4573" t="s">
        <v>24302</v>
      </c>
      <c r="Z4573" t="s">
        <v>30903</v>
      </c>
      <c r="AA4573">
        <v>0.8584674306864587</v>
      </c>
      <c r="AB4573" t="str">
        <f>HYPERLINK("Melting_Curves/meltCurve_Q8N5N7_MRPL50.pdf", "Melting_Curves/meltCurve_Q8N5N7_MRPL50.pdf")</f>
        <v>Melting_Curves/meltCurve_Q8N5N7_MRPL50.pdf</v>
      </c>
    </row>
    <row r="4574" spans="1:28" x14ac:dyDescent="0.25">
      <c r="A4574" t="s">
        <v>4578</v>
      </c>
      <c r="B4574">
        <v>0.99252571173614901</v>
      </c>
      <c r="C4574">
        <v>1.04467913725659</v>
      </c>
      <c r="D4574">
        <v>0.80739542134354703</v>
      </c>
      <c r="E4574">
        <v>0.62440706672010604</v>
      </c>
      <c r="F4574">
        <v>0.529713988225191</v>
      </c>
      <c r="G4574">
        <v>0.188755168461779</v>
      </c>
      <c r="H4574">
        <v>0.11143267799960201</v>
      </c>
      <c r="I4574">
        <v>0.13421538287207099</v>
      </c>
      <c r="J4574">
        <v>0.124393563499118</v>
      </c>
      <c r="K4574">
        <v>0.11716470995305001</v>
      </c>
      <c r="L4574">
        <v>782.72594496866998</v>
      </c>
      <c r="M4574">
        <v>15.233815981119101</v>
      </c>
      <c r="N4574">
        <v>51.978284631683998</v>
      </c>
      <c r="O4574">
        <v>50.519835023400702</v>
      </c>
      <c r="P4574">
        <v>-6.9337311846857E-2</v>
      </c>
      <c r="Q4574">
        <v>8.0315398684953798E-2</v>
      </c>
      <c r="R4574">
        <v>0.97572139661678003</v>
      </c>
      <c r="S4574" t="s">
        <v>11220</v>
      </c>
      <c r="T4574" t="s">
        <v>13290</v>
      </c>
      <c r="U4574" t="s">
        <v>13290</v>
      </c>
      <c r="V4574" t="s">
        <v>13290</v>
      </c>
      <c r="W4574" t="s">
        <v>17816</v>
      </c>
      <c r="X4574">
        <v>2</v>
      </c>
      <c r="Y4574" t="s">
        <v>24303</v>
      </c>
      <c r="Z4574" t="s">
        <v>30904</v>
      </c>
      <c r="AA4574">
        <v>0.44968209170692208</v>
      </c>
      <c r="AB4574" t="str">
        <f>HYPERLINK("Melting_Curves/meltCurve_Q8N5X7_2_EIF4E3.pdf", "Melting_Curves/meltCurve_Q8N5X7_2_EIF4E3.pdf")</f>
        <v>Melting_Curves/meltCurve_Q8N5X7_2_EIF4E3.pdf</v>
      </c>
    </row>
    <row r="4575" spans="1:28" x14ac:dyDescent="0.25">
      <c r="A4575" t="s">
        <v>4579</v>
      </c>
      <c r="B4575">
        <v>0.99252571173614901</v>
      </c>
      <c r="C4575">
        <v>0.93988803423602896</v>
      </c>
      <c r="D4575">
        <v>0.87762977282358601</v>
      </c>
      <c r="E4575">
        <v>0.70703558623395202</v>
      </c>
      <c r="F4575">
        <v>0.47948690102377201</v>
      </c>
      <c r="G4575">
        <v>0.22599214937516199</v>
      </c>
      <c r="H4575">
        <v>0.11197409720745601</v>
      </c>
      <c r="I4575">
        <v>0.11930530774530899</v>
      </c>
      <c r="J4575">
        <v>0.12710208135835799</v>
      </c>
      <c r="K4575">
        <v>0.12869990872177001</v>
      </c>
      <c r="L4575">
        <v>872.349318824443</v>
      </c>
      <c r="M4575">
        <v>16.860343335152599</v>
      </c>
      <c r="N4575">
        <v>52.346382313036003</v>
      </c>
      <c r="O4575">
        <v>51.028304770413101</v>
      </c>
      <c r="P4575">
        <v>-7.5276857910843598E-2</v>
      </c>
      <c r="Q4575">
        <v>8.8748035897547595E-2</v>
      </c>
      <c r="R4575">
        <v>0.99427519915275497</v>
      </c>
      <c r="S4575" t="s">
        <v>11221</v>
      </c>
      <c r="T4575" t="s">
        <v>13290</v>
      </c>
      <c r="U4575" t="s">
        <v>13290</v>
      </c>
      <c r="V4575" t="s">
        <v>13290</v>
      </c>
      <c r="W4575" t="s">
        <v>17817</v>
      </c>
      <c r="X4575">
        <v>3</v>
      </c>
      <c r="Y4575" t="s">
        <v>24304</v>
      </c>
      <c r="Z4575" t="s">
        <v>30905</v>
      </c>
      <c r="AA4575">
        <v>0.46235280384642707</v>
      </c>
      <c r="AB4575" t="str">
        <f>HYPERLINK("Melting_Curves/meltCurve_Q8N5Y8_PARP16.pdf", "Melting_Curves/meltCurve_Q8N5Y8_PARP16.pdf")</f>
        <v>Melting_Curves/meltCurve_Q8N5Y8_PARP16.pdf</v>
      </c>
    </row>
    <row r="4576" spans="1:28" x14ac:dyDescent="0.25">
      <c r="A4576" t="s">
        <v>4580</v>
      </c>
      <c r="B4576">
        <v>0.99252571173614901</v>
      </c>
      <c r="C4576">
        <v>0.92244576806590295</v>
      </c>
      <c r="D4576">
        <v>0.918491068650374</v>
      </c>
      <c r="E4576">
        <v>0.78409411619479896</v>
      </c>
      <c r="F4576">
        <v>0.71760428932710096</v>
      </c>
      <c r="G4576">
        <v>0.37171486532749998</v>
      </c>
      <c r="H4576">
        <v>0.243394120868766</v>
      </c>
      <c r="I4576">
        <v>0.26146711455890698</v>
      </c>
      <c r="J4576">
        <v>0.357295975111524</v>
      </c>
      <c r="K4576">
        <v>0.30872103612475899</v>
      </c>
      <c r="L4576">
        <v>982.25477434981406</v>
      </c>
      <c r="M4576">
        <v>18.581908868161801</v>
      </c>
      <c r="N4576">
        <v>55.125510777073302</v>
      </c>
      <c r="O4576">
        <v>52.260014284026603</v>
      </c>
      <c r="P4576">
        <v>-6.5164052998918601E-2</v>
      </c>
      <c r="Q4576">
        <v>0.26695889217484198</v>
      </c>
      <c r="R4576">
        <v>0.95542374334187996</v>
      </c>
      <c r="S4576" t="s">
        <v>11222</v>
      </c>
      <c r="T4576" t="s">
        <v>13290</v>
      </c>
      <c r="U4576" t="s">
        <v>13290</v>
      </c>
      <c r="V4576" t="s">
        <v>13290</v>
      </c>
      <c r="W4576" t="s">
        <v>17818</v>
      </c>
      <c r="X4576">
        <v>2</v>
      </c>
      <c r="Y4576" t="s">
        <v>24305</v>
      </c>
      <c r="Z4576" t="s">
        <v>30906</v>
      </c>
      <c r="AA4576">
        <v>0.59263378786148124</v>
      </c>
      <c r="AB4576" t="str">
        <f>HYPERLINK("Melting_Curves/meltCurve_Q8N5Z5_2_KCTD17.pdf", "Melting_Curves/meltCurve_Q8N5Z5_2_KCTD17.pdf")</f>
        <v>Melting_Curves/meltCurve_Q8N5Z5_2_KCTD17.pdf</v>
      </c>
    </row>
    <row r="4577" spans="1:28" x14ac:dyDescent="0.25">
      <c r="A4577" t="s">
        <v>4581</v>
      </c>
      <c r="B4577">
        <v>0.99252571173614901</v>
      </c>
      <c r="C4577">
        <v>0.92406377120368699</v>
      </c>
      <c r="D4577">
        <v>0.95318311271309197</v>
      </c>
      <c r="E4577">
        <v>0.87791332649248799</v>
      </c>
      <c r="F4577">
        <v>0.52752066379904905</v>
      </c>
      <c r="G4577">
        <v>0.21262687456343199</v>
      </c>
      <c r="H4577">
        <v>8.52509644360816E-2</v>
      </c>
      <c r="I4577">
        <v>8.0959520140960806E-2</v>
      </c>
      <c r="J4577">
        <v>9.6142636946659005E-2</v>
      </c>
      <c r="K4577">
        <v>0.103459662021447</v>
      </c>
      <c r="L4577">
        <v>1427.9844329134501</v>
      </c>
      <c r="M4577">
        <v>26.9241200101422</v>
      </c>
      <c r="N4577">
        <v>53.3901575938253</v>
      </c>
      <c r="O4577">
        <v>52.747373155693502</v>
      </c>
      <c r="P4577">
        <v>-0.11721107235158799</v>
      </c>
      <c r="Q4577">
        <v>8.1490611762390405E-2</v>
      </c>
      <c r="R4577">
        <v>0.99479367436164501</v>
      </c>
      <c r="S4577" t="s">
        <v>11223</v>
      </c>
      <c r="T4577" t="s">
        <v>13290</v>
      </c>
      <c r="U4577" t="s">
        <v>13290</v>
      </c>
      <c r="V4577" t="s">
        <v>13290</v>
      </c>
      <c r="W4577" t="s">
        <v>17819</v>
      </c>
      <c r="X4577">
        <v>17</v>
      </c>
      <c r="Y4577" t="s">
        <v>24306</v>
      </c>
      <c r="Z4577" t="s">
        <v>30907</v>
      </c>
      <c r="AA4577">
        <v>0.4880050683279451</v>
      </c>
      <c r="AB4577" t="str">
        <f>HYPERLINK("Melting_Curves/meltCurve_Q8N684_2_CPSF7.pdf", "Melting_Curves/meltCurve_Q8N684_2_CPSF7.pdf")</f>
        <v>Melting_Curves/meltCurve_Q8N684_2_CPSF7.pdf</v>
      </c>
    </row>
    <row r="4578" spans="1:28" x14ac:dyDescent="0.25">
      <c r="A4578" t="s">
        <v>4582</v>
      </c>
      <c r="B4578">
        <v>0.99252571173614901</v>
      </c>
      <c r="C4578">
        <v>0.96518609623598295</v>
      </c>
      <c r="D4578">
        <v>0.92716036555307202</v>
      </c>
      <c r="E4578">
        <v>0.88488260710209998</v>
      </c>
      <c r="F4578">
        <v>0.77971247162944401</v>
      </c>
      <c r="G4578">
        <v>0.575410619127941</v>
      </c>
      <c r="H4578">
        <v>0.57437979908345405</v>
      </c>
      <c r="I4578">
        <v>0.74719560814065</v>
      </c>
      <c r="J4578">
        <v>1.01403760422933</v>
      </c>
      <c r="K4578">
        <v>0.79962269910488104</v>
      </c>
      <c r="L4578">
        <v>1433.5045173389401</v>
      </c>
      <c r="M4578">
        <v>29.218731290002701</v>
      </c>
      <c r="O4578">
        <v>48.833039478541899</v>
      </c>
      <c r="P4578">
        <v>-3.7987847991976499E-2</v>
      </c>
      <c r="Q4578">
        <v>0.746046537915104</v>
      </c>
      <c r="R4578">
        <v>0.39930527612377098</v>
      </c>
      <c r="S4578" t="s">
        <v>11224</v>
      </c>
      <c r="T4578" t="s">
        <v>13290</v>
      </c>
      <c r="U4578" t="s">
        <v>13290</v>
      </c>
      <c r="V4578" t="s">
        <v>13290</v>
      </c>
      <c r="W4578" t="s">
        <v>17820</v>
      </c>
      <c r="X4578">
        <v>5</v>
      </c>
      <c r="Y4578" t="s">
        <v>24307</v>
      </c>
      <c r="Z4578" t="s">
        <v>30908</v>
      </c>
      <c r="AA4578">
        <v>0.82438430562348408</v>
      </c>
      <c r="AB4578" t="str">
        <f>HYPERLINK("Melting_Curves/meltCurve_Q8N697_SLC15A4.pdf", "Melting_Curves/meltCurve_Q8N697_SLC15A4.pdf")</f>
        <v>Melting_Curves/meltCurve_Q8N697_SLC15A4.pdf</v>
      </c>
    </row>
    <row r="4579" spans="1:28" x14ac:dyDescent="0.25">
      <c r="A4579" t="s">
        <v>4583</v>
      </c>
      <c r="B4579">
        <v>0.99252571173614901</v>
      </c>
      <c r="C4579">
        <v>1.01966520618556</v>
      </c>
      <c r="D4579">
        <v>0.85319064531461297</v>
      </c>
      <c r="E4579">
        <v>0.50232699073627296</v>
      </c>
      <c r="F4579">
        <v>0.159438391425095</v>
      </c>
      <c r="G4579">
        <v>9.6946926332104305E-2</v>
      </c>
      <c r="H4579">
        <v>7.6032598535706999E-2</v>
      </c>
      <c r="I4579">
        <v>8.0463943244904898E-2</v>
      </c>
      <c r="J4579">
        <v>8.0738526585645301E-2</v>
      </c>
      <c r="K4579">
        <v>7.1787099106873697E-2</v>
      </c>
      <c r="L4579">
        <v>1339.8443870921401</v>
      </c>
      <c r="M4579">
        <v>27.234201904511998</v>
      </c>
      <c r="N4579">
        <v>49.483299392428599</v>
      </c>
      <c r="O4579">
        <v>48.934172191191898</v>
      </c>
      <c r="P4579">
        <v>-0.12900039840098099</v>
      </c>
      <c r="Q4579">
        <v>7.2861958895594006E-2</v>
      </c>
      <c r="R4579">
        <v>0.998184674125009</v>
      </c>
      <c r="S4579" t="s">
        <v>11225</v>
      </c>
      <c r="T4579" t="s">
        <v>13290</v>
      </c>
      <c r="U4579" t="s">
        <v>13290</v>
      </c>
      <c r="V4579" t="s">
        <v>13290</v>
      </c>
      <c r="W4579" t="s">
        <v>17821</v>
      </c>
      <c r="X4579">
        <v>20</v>
      </c>
      <c r="Y4579" t="s">
        <v>20487</v>
      </c>
      <c r="Z4579" t="s">
        <v>30909</v>
      </c>
      <c r="AA4579">
        <v>0.36399829637531772</v>
      </c>
      <c r="AB4579" t="str">
        <f>HYPERLINK("Melting_Curves/meltCurve_Q8N6H7_ARFGAP2.pdf", "Melting_Curves/meltCurve_Q8N6H7_ARFGAP2.pdf")</f>
        <v>Melting_Curves/meltCurve_Q8N6H7_ARFGAP2.pdf</v>
      </c>
    </row>
    <row r="4580" spans="1:28" x14ac:dyDescent="0.25">
      <c r="A4580" t="s">
        <v>4584</v>
      </c>
      <c r="B4580">
        <v>0.99252571173614901</v>
      </c>
      <c r="C4580">
        <v>1.0499109297381199</v>
      </c>
      <c r="D4580">
        <v>0.57097342961716802</v>
      </c>
      <c r="E4580">
        <v>0.22528680755486399</v>
      </c>
      <c r="F4580">
        <v>0.143547987781043</v>
      </c>
      <c r="G4580">
        <v>9.7959238857403597E-2</v>
      </c>
      <c r="H4580">
        <v>7.6833772481013904E-2</v>
      </c>
      <c r="I4580">
        <v>9.3463943040370007E-2</v>
      </c>
      <c r="J4580">
        <v>9.1755882539432607E-2</v>
      </c>
      <c r="K4580">
        <v>9.3222168282306395E-2</v>
      </c>
      <c r="L4580">
        <v>1766.4680474894001</v>
      </c>
      <c r="M4580">
        <v>38.172167300784601</v>
      </c>
      <c r="N4580">
        <v>46.564458023558302</v>
      </c>
      <c r="O4580">
        <v>46.1498789813662</v>
      </c>
      <c r="P4580">
        <v>-0.18503339401625499</v>
      </c>
      <c r="Q4580">
        <v>0.105186002938954</v>
      </c>
      <c r="R4580">
        <v>0.98880062185916096</v>
      </c>
      <c r="S4580" t="s">
        <v>11226</v>
      </c>
      <c r="T4580" t="s">
        <v>13290</v>
      </c>
      <c r="U4580" t="s">
        <v>13290</v>
      </c>
      <c r="V4580" t="s">
        <v>13290</v>
      </c>
      <c r="W4580" t="s">
        <v>17822</v>
      </c>
      <c r="X4580">
        <v>11</v>
      </c>
      <c r="Y4580" t="s">
        <v>24308</v>
      </c>
      <c r="Z4580" t="s">
        <v>30910</v>
      </c>
      <c r="AA4580">
        <v>0.29560224377612632</v>
      </c>
      <c r="AB4580" t="str">
        <f>HYPERLINK("Melting_Curves/meltCurve_Q8N6M0_OTUD6B.pdf", "Melting_Curves/meltCurve_Q8N6M0_OTUD6B.pdf")</f>
        <v>Melting_Curves/meltCurve_Q8N6M0_OTUD6B.pdf</v>
      </c>
    </row>
    <row r="4581" spans="1:28" x14ac:dyDescent="0.25">
      <c r="A4581" t="s">
        <v>4585</v>
      </c>
      <c r="B4581">
        <v>0.99252571173614901</v>
      </c>
      <c r="C4581">
        <v>1.07578034759674</v>
      </c>
      <c r="D4581">
        <v>0.90830501126519403</v>
      </c>
      <c r="E4581">
        <v>0.85438563658006195</v>
      </c>
      <c r="F4581">
        <v>0.82715840876971103</v>
      </c>
      <c r="G4581">
        <v>0.79759080613621003</v>
      </c>
      <c r="H4581">
        <v>0.86898754962082903</v>
      </c>
      <c r="I4581">
        <v>1.13959367066727</v>
      </c>
      <c r="J4581">
        <v>1.6226708702236601</v>
      </c>
      <c r="K4581">
        <v>1.7410209693749601</v>
      </c>
      <c r="L4581">
        <v>15000</v>
      </c>
      <c r="M4581">
        <v>233.42680292839799</v>
      </c>
      <c r="O4581">
        <v>64.255247647386994</v>
      </c>
      <c r="P4581">
        <v>0.45410060179163703</v>
      </c>
      <c r="Q4581">
        <v>1.5</v>
      </c>
      <c r="R4581">
        <v>0.80560836507544598</v>
      </c>
      <c r="S4581" t="s">
        <v>11227</v>
      </c>
      <c r="T4581" t="s">
        <v>13290</v>
      </c>
      <c r="U4581" t="s">
        <v>13290</v>
      </c>
      <c r="V4581" t="s">
        <v>13290</v>
      </c>
      <c r="W4581" t="s">
        <v>17823</v>
      </c>
      <c r="X4581">
        <v>7</v>
      </c>
      <c r="Y4581" t="s">
        <v>24309</v>
      </c>
      <c r="Z4581" t="s">
        <v>30911</v>
      </c>
      <c r="AA4581">
        <v>1.095602439555885</v>
      </c>
      <c r="AB4581" t="str">
        <f>HYPERLINK("Melting_Curves/meltCurve_Q8N6N3_2_C1orf52.pdf", "Melting_Curves/meltCurve_Q8N6N3_2_C1orf52.pdf")</f>
        <v>Melting_Curves/meltCurve_Q8N6N3_2_C1orf52.pdf</v>
      </c>
    </row>
    <row r="4582" spans="1:28" x14ac:dyDescent="0.25">
      <c r="A4582" t="s">
        <v>4586</v>
      </c>
      <c r="B4582">
        <v>0.99252571173614901</v>
      </c>
      <c r="C4582">
        <v>1.0872836871774001</v>
      </c>
      <c r="D4582">
        <v>0.89555247474095501</v>
      </c>
      <c r="E4582">
        <v>0.54715271044298197</v>
      </c>
      <c r="F4582">
        <v>0.32967889251798599</v>
      </c>
      <c r="G4582">
        <v>0.28466743095056601</v>
      </c>
      <c r="H4582">
        <v>0.27277683790551499</v>
      </c>
      <c r="I4582">
        <v>0.35552568433287601</v>
      </c>
      <c r="J4582">
        <v>0.52257381600015496</v>
      </c>
      <c r="K4582">
        <v>0.51975432949797795</v>
      </c>
      <c r="L4582">
        <v>1955.0676211095299</v>
      </c>
      <c r="M4582">
        <v>40.593412441517202</v>
      </c>
      <c r="N4582">
        <v>49.926285493832196</v>
      </c>
      <c r="O4582">
        <v>48.045749397415101</v>
      </c>
      <c r="P4582">
        <v>-0.130776412213644</v>
      </c>
      <c r="Q4582">
        <v>0.38086127051541901</v>
      </c>
      <c r="R4582">
        <v>0.90986717249834903</v>
      </c>
      <c r="S4582" t="s">
        <v>11228</v>
      </c>
      <c r="T4582" t="s">
        <v>13290</v>
      </c>
      <c r="U4582" t="s">
        <v>13290</v>
      </c>
      <c r="V4582" t="s">
        <v>13290</v>
      </c>
      <c r="W4582" t="s">
        <v>17824</v>
      </c>
      <c r="X4582">
        <v>6</v>
      </c>
      <c r="Y4582" t="s">
        <v>24310</v>
      </c>
      <c r="Z4582" t="s">
        <v>30912</v>
      </c>
      <c r="AA4582">
        <v>0.55131753471186717</v>
      </c>
      <c r="AB4582" t="str">
        <f>HYPERLINK("Melting_Curves/meltCurve_Q8N6N7_ACBD7.pdf", "Melting_Curves/meltCurve_Q8N6N7_ACBD7.pdf")</f>
        <v>Melting_Curves/meltCurve_Q8N6N7_ACBD7.pdf</v>
      </c>
    </row>
    <row r="4583" spans="1:28" x14ac:dyDescent="0.25">
      <c r="A4583" t="s">
        <v>4587</v>
      </c>
      <c r="B4583">
        <v>0.99252571173614901</v>
      </c>
      <c r="C4583">
        <v>1.05573174758542</v>
      </c>
      <c r="D4583">
        <v>0.96830018979631505</v>
      </c>
      <c r="E4583">
        <v>0.86933123820678004</v>
      </c>
      <c r="F4583">
        <v>0.79472859942761498</v>
      </c>
      <c r="G4583">
        <v>0.530473560982472</v>
      </c>
      <c r="H4583">
        <v>0.15623358124720499</v>
      </c>
      <c r="I4583">
        <v>0.109789154735351</v>
      </c>
      <c r="J4583">
        <v>0.126612608554767</v>
      </c>
      <c r="K4583">
        <v>0.11742176082102999</v>
      </c>
      <c r="L4583">
        <v>1238.65058608147</v>
      </c>
      <c r="M4583">
        <v>22.0603559391459</v>
      </c>
      <c r="N4583">
        <v>56.576559067893299</v>
      </c>
      <c r="O4583">
        <v>55.693007927269001</v>
      </c>
      <c r="P4583">
        <v>-9.1413433940753797E-2</v>
      </c>
      <c r="Q4583">
        <v>7.6900757766948297E-2</v>
      </c>
      <c r="R4583">
        <v>0.98692495687924398</v>
      </c>
      <c r="S4583" t="s">
        <v>11229</v>
      </c>
      <c r="T4583" t="s">
        <v>13290</v>
      </c>
      <c r="U4583" t="s">
        <v>13290</v>
      </c>
      <c r="V4583" t="s">
        <v>13290</v>
      </c>
      <c r="W4583" t="s">
        <v>17825</v>
      </c>
      <c r="X4583">
        <v>4</v>
      </c>
      <c r="Y4583" t="s">
        <v>24311</v>
      </c>
      <c r="Z4583" t="s">
        <v>30913</v>
      </c>
      <c r="AA4583">
        <v>0.58407163512372806</v>
      </c>
      <c r="AB4583" t="str">
        <f>HYPERLINK("Melting_Curves/meltCurve_Q8N6Q8_METTL25.pdf", "Melting_Curves/meltCurve_Q8N6Q8_METTL25.pdf")</f>
        <v>Melting_Curves/meltCurve_Q8N6Q8_METTL25.pdf</v>
      </c>
    </row>
    <row r="4584" spans="1:28" x14ac:dyDescent="0.25">
      <c r="A4584" t="s">
        <v>4588</v>
      </c>
      <c r="B4584">
        <v>0.99252571173614901</v>
      </c>
      <c r="C4584">
        <v>1.0052258768383699</v>
      </c>
      <c r="D4584">
        <v>1.0182717033114701</v>
      </c>
      <c r="E4584">
        <v>0.91843861187809905</v>
      </c>
      <c r="F4584">
        <v>1.08675577634667</v>
      </c>
      <c r="G4584">
        <v>0.24328052627999899</v>
      </c>
      <c r="H4584">
        <v>0.236268601656038</v>
      </c>
      <c r="I4584">
        <v>0.23420830023841799</v>
      </c>
      <c r="J4584">
        <v>0.19086959727803099</v>
      </c>
      <c r="K4584">
        <v>0.190630246728934</v>
      </c>
      <c r="L4584">
        <v>14017.209140084</v>
      </c>
      <c r="M4584">
        <v>250</v>
      </c>
      <c r="N4584">
        <v>56.1935939529697</v>
      </c>
      <c r="O4584">
        <v>56.065243929939598</v>
      </c>
      <c r="P4584">
        <v>-0.87733338185274301</v>
      </c>
      <c r="Q4584">
        <v>0.212993375330011</v>
      </c>
      <c r="R4584">
        <v>0.98936347353798904</v>
      </c>
      <c r="S4584" t="s">
        <v>11230</v>
      </c>
      <c r="T4584" t="s">
        <v>13290</v>
      </c>
      <c r="U4584" t="s">
        <v>13290</v>
      </c>
      <c r="V4584" t="s">
        <v>13290</v>
      </c>
      <c r="W4584" t="s">
        <v>17826</v>
      </c>
      <c r="X4584">
        <v>1</v>
      </c>
      <c r="Y4584" t="s">
        <v>24312</v>
      </c>
      <c r="Z4584" t="s">
        <v>30914</v>
      </c>
      <c r="AA4584">
        <v>0.6346135108552734</v>
      </c>
      <c r="AB4584" t="str">
        <f>HYPERLINK("Melting_Curves/meltCurve_Q8N6S4_2_ANKRD13C.pdf", "Melting_Curves/meltCurve_Q8N6S4_2_ANKRD13C.pdf")</f>
        <v>Melting_Curves/meltCurve_Q8N6S4_2_ANKRD13C.pdf</v>
      </c>
    </row>
    <row r="4585" spans="1:28" x14ac:dyDescent="0.25">
      <c r="A4585" t="s">
        <v>4589</v>
      </c>
      <c r="B4585">
        <v>0.99252571173614901</v>
      </c>
      <c r="C4585">
        <v>1.0264963655361301</v>
      </c>
      <c r="D4585">
        <v>0.86841568030097704</v>
      </c>
      <c r="E4585">
        <v>0.43916088716707902</v>
      </c>
      <c r="F4585">
        <v>0.20109988281723201</v>
      </c>
      <c r="G4585">
        <v>0.128526231749755</v>
      </c>
      <c r="H4585">
        <v>9.6982088770374703E-2</v>
      </c>
      <c r="I4585">
        <v>0.103792528524737</v>
      </c>
      <c r="J4585">
        <v>0.124339573174299</v>
      </c>
      <c r="K4585">
        <v>0.13154214279846599</v>
      </c>
      <c r="L4585">
        <v>1455.5315695572899</v>
      </c>
      <c r="M4585">
        <v>29.868054360346299</v>
      </c>
      <c r="N4585">
        <v>49.168644430656201</v>
      </c>
      <c r="O4585">
        <v>48.515172252620403</v>
      </c>
      <c r="P4585">
        <v>-0.13598440882891999</v>
      </c>
      <c r="Q4585">
        <v>0.11647911973856501</v>
      </c>
      <c r="R4585">
        <v>0.99781001330654995</v>
      </c>
      <c r="S4585" t="s">
        <v>11231</v>
      </c>
      <c r="T4585" t="s">
        <v>13290</v>
      </c>
      <c r="U4585" t="s">
        <v>13290</v>
      </c>
      <c r="V4585" t="s">
        <v>13290</v>
      </c>
      <c r="W4585" t="s">
        <v>17827</v>
      </c>
      <c r="X4585">
        <v>11</v>
      </c>
      <c r="Y4585" t="s">
        <v>24313</v>
      </c>
      <c r="Z4585" t="s">
        <v>30915</v>
      </c>
      <c r="AA4585">
        <v>0.37905443262087152</v>
      </c>
      <c r="AB4585" t="str">
        <f>HYPERLINK("Melting_Curves/meltCurve_Q8N6T3_ARFGAP1.pdf", "Melting_Curves/meltCurve_Q8N6T3_ARFGAP1.pdf")</f>
        <v>Melting_Curves/meltCurve_Q8N6T3_ARFGAP1.pdf</v>
      </c>
    </row>
    <row r="4586" spans="1:28" x14ac:dyDescent="0.25">
      <c r="A4586" t="s">
        <v>4590</v>
      </c>
      <c r="B4586">
        <v>0.99252571173614901</v>
      </c>
      <c r="C4586">
        <v>1.1095316169601399</v>
      </c>
      <c r="D4586">
        <v>0.91304098483621499</v>
      </c>
      <c r="E4586">
        <v>0.91470313958937299</v>
      </c>
      <c r="F4586">
        <v>0.695343398567279</v>
      </c>
      <c r="G4586">
        <v>0.48621272027124701</v>
      </c>
      <c r="H4586">
        <v>0.60031256916569598</v>
      </c>
      <c r="I4586">
        <v>0.69193020109291703</v>
      </c>
      <c r="J4586">
        <v>1.0495710712517901</v>
      </c>
      <c r="K4586">
        <v>1.3809073463058501</v>
      </c>
      <c r="L4586">
        <v>1763.6627941151401</v>
      </c>
      <c r="M4586">
        <v>37.353439551806801</v>
      </c>
      <c r="O4586">
        <v>47.080824602066301</v>
      </c>
      <c r="P4586">
        <v>-3.4670476611739401E-2</v>
      </c>
      <c r="Q4586">
        <v>0.82520376104284698</v>
      </c>
      <c r="R4586">
        <v>0.109394297279255</v>
      </c>
      <c r="S4586" t="s">
        <v>11232</v>
      </c>
      <c r="T4586" t="s">
        <v>13290</v>
      </c>
      <c r="U4586" t="s">
        <v>13290</v>
      </c>
      <c r="V4586" t="s">
        <v>13290</v>
      </c>
      <c r="W4586" t="s">
        <v>17828</v>
      </c>
      <c r="X4586">
        <v>3</v>
      </c>
      <c r="Y4586" t="s">
        <v>24314</v>
      </c>
      <c r="Z4586" t="s">
        <v>30916</v>
      </c>
      <c r="AA4586">
        <v>0.86790652691016346</v>
      </c>
      <c r="AB4586" t="str">
        <f>HYPERLINK("Melting_Curves/meltCurve_Q8N729_NPW.pdf", "Melting_Curves/meltCurve_Q8N729_NPW.pdf")</f>
        <v>Melting_Curves/meltCurve_Q8N729_NPW.pdf</v>
      </c>
    </row>
    <row r="4587" spans="1:28" x14ac:dyDescent="0.25">
      <c r="A4587" t="s">
        <v>4591</v>
      </c>
      <c r="B4587">
        <v>0.99252571173614901</v>
      </c>
      <c r="C4587">
        <v>1.03574385378953</v>
      </c>
      <c r="D4587">
        <v>0.89931384075898202</v>
      </c>
      <c r="E4587">
        <v>0.74505105501556301</v>
      </c>
      <c r="F4587">
        <v>0.382763352655422</v>
      </c>
      <c r="G4587">
        <v>0.188011521095098</v>
      </c>
      <c r="H4587">
        <v>0.19341303283981301</v>
      </c>
      <c r="I4587">
        <v>0.30867059396186403</v>
      </c>
      <c r="J4587">
        <v>0.56187192726142099</v>
      </c>
      <c r="K4587">
        <v>0.54723107588067599</v>
      </c>
      <c r="L4587">
        <v>2363.2375165211802</v>
      </c>
      <c r="M4587">
        <v>47.2974181703702</v>
      </c>
      <c r="N4587">
        <v>51.333464868757801</v>
      </c>
      <c r="O4587">
        <v>49.876394334777302</v>
      </c>
      <c r="P4587">
        <v>-0.15214530636214399</v>
      </c>
      <c r="Q4587">
        <v>0.35823554668902402</v>
      </c>
      <c r="R4587">
        <v>0.84171124952103205</v>
      </c>
      <c r="S4587" t="s">
        <v>11233</v>
      </c>
      <c r="T4587" t="s">
        <v>13290</v>
      </c>
      <c r="U4587" t="s">
        <v>13290</v>
      </c>
      <c r="V4587" t="s">
        <v>13290</v>
      </c>
      <c r="W4587" t="s">
        <v>17829</v>
      </c>
      <c r="X4587">
        <v>5</v>
      </c>
      <c r="Y4587" t="s">
        <v>24315</v>
      </c>
      <c r="Z4587" t="s">
        <v>30917</v>
      </c>
      <c r="AA4587">
        <v>0.57300006804685444</v>
      </c>
      <c r="AB4587" t="str">
        <f>HYPERLINK("Melting_Curves/meltCurve_Q8N749_TOM1L1.pdf", "Melting_Curves/meltCurve_Q8N749_TOM1L1.pdf")</f>
        <v>Melting_Curves/meltCurve_Q8N749_TOM1L1.pdf</v>
      </c>
    </row>
    <row r="4588" spans="1:28" x14ac:dyDescent="0.25">
      <c r="A4588" t="s">
        <v>4592</v>
      </c>
      <c r="B4588">
        <v>0.99252571173614901</v>
      </c>
      <c r="C4588">
        <v>0.66147557555829095</v>
      </c>
      <c r="D4588">
        <v>0.82467787746191801</v>
      </c>
      <c r="E4588">
        <v>0.80937520772252303</v>
      </c>
      <c r="F4588">
        <v>0.52880434347674998</v>
      </c>
      <c r="G4588">
        <v>0.21444311073583799</v>
      </c>
      <c r="H4588">
        <v>0.111727474787379</v>
      </c>
      <c r="I4588">
        <v>9.88862275948129E-2</v>
      </c>
      <c r="J4588">
        <v>0.104711353602097</v>
      </c>
      <c r="K4588">
        <v>7.3092890080620199E-2</v>
      </c>
      <c r="L4588">
        <v>602.07447536912196</v>
      </c>
      <c r="M4588">
        <v>11.437038722217199</v>
      </c>
      <c r="N4588">
        <v>52.642510158729102</v>
      </c>
      <c r="O4588">
        <v>51.110218570616297</v>
      </c>
      <c r="P4588">
        <v>-5.5959236744254001E-2</v>
      </c>
      <c r="Q4588">
        <v>0</v>
      </c>
      <c r="R4588">
        <v>0.90619984478487903</v>
      </c>
      <c r="S4588" t="s">
        <v>11234</v>
      </c>
      <c r="T4588" t="s">
        <v>13290</v>
      </c>
      <c r="U4588" t="s">
        <v>13290</v>
      </c>
      <c r="V4588" t="s">
        <v>13290</v>
      </c>
      <c r="W4588" t="s">
        <v>17830</v>
      </c>
      <c r="X4588">
        <v>17</v>
      </c>
      <c r="Y4588" t="s">
        <v>24316</v>
      </c>
      <c r="Z4588" t="s">
        <v>30918</v>
      </c>
      <c r="AA4588">
        <v>0.45233378687458459</v>
      </c>
      <c r="AB4588" t="str">
        <f>HYPERLINK("Melting_Curves/meltCurve_Q8N766_3_EMC1.pdf", "Melting_Curves/meltCurve_Q8N766_3_EMC1.pdf")</f>
        <v>Melting_Curves/meltCurve_Q8N766_3_EMC1.pdf</v>
      </c>
    </row>
    <row r="4589" spans="1:28" x14ac:dyDescent="0.25">
      <c r="A4589" t="s">
        <v>4593</v>
      </c>
      <c r="B4589">
        <v>0.99252571173614901</v>
      </c>
      <c r="C4589">
        <v>1.04013110899195</v>
      </c>
      <c r="D4589">
        <v>0.90587436847258296</v>
      </c>
      <c r="E4589">
        <v>0.59615824363967695</v>
      </c>
      <c r="F4589">
        <v>0.230051779878475</v>
      </c>
      <c r="G4589">
        <v>0.14548134966026599</v>
      </c>
      <c r="H4589">
        <v>0.107459030347373</v>
      </c>
      <c r="I4589">
        <v>0.10308239070424299</v>
      </c>
      <c r="J4589">
        <v>0.117072142243594</v>
      </c>
      <c r="K4589">
        <v>0.12143401289625599</v>
      </c>
      <c r="L4589">
        <v>1423.9475257850099</v>
      </c>
      <c r="M4589">
        <v>28.559559143583499</v>
      </c>
      <c r="N4589">
        <v>50.3018575999657</v>
      </c>
      <c r="O4589">
        <v>49.616353010121202</v>
      </c>
      <c r="P4589">
        <v>-0.12790291008510499</v>
      </c>
      <c r="Q4589">
        <v>0.111187320325391</v>
      </c>
      <c r="R4589">
        <v>0.99775288017970898</v>
      </c>
      <c r="S4589" t="s">
        <v>11235</v>
      </c>
      <c r="T4589" t="s">
        <v>13290</v>
      </c>
      <c r="U4589" t="s">
        <v>13290</v>
      </c>
      <c r="V4589" t="s">
        <v>13290</v>
      </c>
      <c r="W4589" t="s">
        <v>17831</v>
      </c>
      <c r="X4589">
        <v>19</v>
      </c>
      <c r="Y4589" t="s">
        <v>24317</v>
      </c>
      <c r="Z4589" t="s">
        <v>30919</v>
      </c>
      <c r="AA4589">
        <v>0.40933725693616541</v>
      </c>
      <c r="AB4589" t="str">
        <f>HYPERLINK("Melting_Curves/meltCurve_Q8N806_UBR7.pdf", "Melting_Curves/meltCurve_Q8N806_UBR7.pdf")</f>
        <v>Melting_Curves/meltCurve_Q8N806_UBR7.pdf</v>
      </c>
    </row>
    <row r="4590" spans="1:28" x14ac:dyDescent="0.25">
      <c r="A4590" t="s">
        <v>4594</v>
      </c>
      <c r="B4590">
        <v>0.99252571173614901</v>
      </c>
      <c r="C4590">
        <v>0.87302897147448499</v>
      </c>
      <c r="D4590">
        <v>0.80854382208657505</v>
      </c>
      <c r="E4590">
        <v>0.58296695949593003</v>
      </c>
      <c r="F4590">
        <v>0.39892356421376801</v>
      </c>
      <c r="G4590">
        <v>0.30488644005878401</v>
      </c>
      <c r="H4590">
        <v>0.235484681101819</v>
      </c>
      <c r="I4590">
        <v>0.31924580970042898</v>
      </c>
      <c r="J4590">
        <v>0.52738088272277095</v>
      </c>
      <c r="K4590">
        <v>0.51202724258676702</v>
      </c>
      <c r="L4590">
        <v>1045.4571705804001</v>
      </c>
      <c r="M4590">
        <v>22.043220976878199</v>
      </c>
      <c r="N4590">
        <v>50.617372377897603</v>
      </c>
      <c r="O4590">
        <v>47.042437143811298</v>
      </c>
      <c r="P4590">
        <v>-7.3176405117973298E-2</v>
      </c>
      <c r="Q4590">
        <v>0.37535061037089201</v>
      </c>
      <c r="R4590">
        <v>0.86661287138405096</v>
      </c>
      <c r="S4590" t="s">
        <v>11236</v>
      </c>
      <c r="T4590" t="s">
        <v>13290</v>
      </c>
      <c r="U4590" t="s">
        <v>13290</v>
      </c>
      <c r="V4590" t="s">
        <v>13290</v>
      </c>
      <c r="W4590" t="s">
        <v>17832</v>
      </c>
      <c r="X4590">
        <v>2</v>
      </c>
      <c r="Y4590" t="s">
        <v>24318</v>
      </c>
      <c r="Z4590" t="s">
        <v>30920</v>
      </c>
      <c r="AA4590">
        <v>0.5372930982647065</v>
      </c>
      <c r="AB4590" t="str">
        <f>HYPERLINK("Melting_Curves/meltCurve_Q8N8J7_C4orf32.pdf", "Melting_Curves/meltCurve_Q8N8J7_C4orf32.pdf")</f>
        <v>Melting_Curves/meltCurve_Q8N8J7_C4orf32.pdf</v>
      </c>
    </row>
    <row r="4591" spans="1:28" x14ac:dyDescent="0.25">
      <c r="A4591" t="s">
        <v>4595</v>
      </c>
      <c r="B4591">
        <v>0.99252571173614901</v>
      </c>
      <c r="C4591">
        <v>1.10509861737023</v>
      </c>
      <c r="D4591">
        <v>0.81742272638762004</v>
      </c>
      <c r="E4591">
        <v>0.38193080293190501</v>
      </c>
      <c r="F4591">
        <v>0.228277070219504</v>
      </c>
      <c r="G4591">
        <v>0.145588757454993</v>
      </c>
      <c r="H4591">
        <v>0.114577086123306</v>
      </c>
      <c r="I4591">
        <v>0.13357953703457001</v>
      </c>
      <c r="J4591">
        <v>0.15502628557800299</v>
      </c>
      <c r="K4591">
        <v>0.149330988656142</v>
      </c>
      <c r="L4591">
        <v>1523.63591140928</v>
      </c>
      <c r="M4591">
        <v>31.653842848374399</v>
      </c>
      <c r="N4591">
        <v>48.661763400611001</v>
      </c>
      <c r="O4591">
        <v>47.943439138044802</v>
      </c>
      <c r="P4591">
        <v>-0.14108979210410799</v>
      </c>
      <c r="Q4591">
        <v>0.14521701200290499</v>
      </c>
      <c r="R4591">
        <v>0.98646180893352098</v>
      </c>
      <c r="S4591" t="s">
        <v>11237</v>
      </c>
      <c r="T4591" t="s">
        <v>13290</v>
      </c>
      <c r="U4591" t="s">
        <v>13290</v>
      </c>
      <c r="V4591" t="s">
        <v>13290</v>
      </c>
      <c r="W4591" t="s">
        <v>17833</v>
      </c>
      <c r="X4591">
        <v>7</v>
      </c>
      <c r="Y4591" t="s">
        <v>24319</v>
      </c>
      <c r="Z4591" t="s">
        <v>30921</v>
      </c>
      <c r="AA4591">
        <v>0.38159369832757373</v>
      </c>
      <c r="AB4591" t="str">
        <f>HYPERLINK("Melting_Curves/meltCurve_Q8N8N7_PTGR2.pdf", "Melting_Curves/meltCurve_Q8N8N7_PTGR2.pdf")</f>
        <v>Melting_Curves/meltCurve_Q8N8N7_PTGR2.pdf</v>
      </c>
    </row>
    <row r="4592" spans="1:28" x14ac:dyDescent="0.25">
      <c r="A4592" t="s">
        <v>4596</v>
      </c>
      <c r="B4592">
        <v>0.99252571173614901</v>
      </c>
      <c r="C4592">
        <v>0.91592019123808799</v>
      </c>
      <c r="D4592">
        <v>0.90230863730424204</v>
      </c>
      <c r="E4592">
        <v>0.99686082332469905</v>
      </c>
      <c r="F4592">
        <v>0.79777963550924502</v>
      </c>
      <c r="G4592">
        <v>0.248710572460177</v>
      </c>
      <c r="H4592">
        <v>0.13484283409501999</v>
      </c>
      <c r="I4592">
        <v>0.14936798027176099</v>
      </c>
      <c r="J4592">
        <v>0.188182296336906</v>
      </c>
      <c r="K4592">
        <v>0.17003096510676499</v>
      </c>
      <c r="L4592">
        <v>2793.91285728714</v>
      </c>
      <c r="M4592">
        <v>51.363829103542102</v>
      </c>
      <c r="N4592">
        <v>54.806684216521198</v>
      </c>
      <c r="O4592">
        <v>54.312304287552898</v>
      </c>
      <c r="P4592">
        <v>-0.19855375013490101</v>
      </c>
      <c r="Q4592">
        <v>0.16019486233775301</v>
      </c>
      <c r="R4592">
        <v>0.98690152309541701</v>
      </c>
      <c r="S4592" t="s">
        <v>11238</v>
      </c>
      <c r="T4592" t="s">
        <v>13290</v>
      </c>
      <c r="U4592" t="s">
        <v>13290</v>
      </c>
      <c r="V4592" t="s">
        <v>13290</v>
      </c>
      <c r="W4592" t="s">
        <v>17834</v>
      </c>
      <c r="X4592">
        <v>1</v>
      </c>
      <c r="Y4592" t="s">
        <v>24320</v>
      </c>
      <c r="Z4592" t="s">
        <v>30922</v>
      </c>
      <c r="AA4592">
        <v>0.56505733132893043</v>
      </c>
      <c r="AB4592" t="str">
        <f>HYPERLINK("Melting_Curves/meltCurve_Q8N8R3_SLC25A29.pdf", "Melting_Curves/meltCurve_Q8N8R3_SLC25A29.pdf")</f>
        <v>Melting_Curves/meltCurve_Q8N8R3_SLC25A29.pdf</v>
      </c>
    </row>
    <row r="4593" spans="1:28" x14ac:dyDescent="0.25">
      <c r="A4593" t="s">
        <v>4597</v>
      </c>
      <c r="B4593">
        <v>0.99252571173614901</v>
      </c>
      <c r="C4593">
        <v>1.0860880999240099</v>
      </c>
      <c r="D4593">
        <v>0.95592576499619497</v>
      </c>
      <c r="E4593">
        <v>0.78506330680018399</v>
      </c>
      <c r="F4593">
        <v>0.57999814249942705</v>
      </c>
      <c r="G4593">
        <v>0.216515492037749</v>
      </c>
      <c r="H4593">
        <v>0.12196951674801799</v>
      </c>
      <c r="I4593">
        <v>0.13819350211104101</v>
      </c>
      <c r="J4593">
        <v>0.121425860613197</v>
      </c>
      <c r="K4593">
        <v>0.105444938923294</v>
      </c>
      <c r="L4593">
        <v>1171.5139699051599</v>
      </c>
      <c r="M4593">
        <v>22.1399411529856</v>
      </c>
      <c r="N4593">
        <v>53.442833346522903</v>
      </c>
      <c r="O4593">
        <v>52.488044810569001</v>
      </c>
      <c r="P4593">
        <v>-9.5081743992989104E-2</v>
      </c>
      <c r="Q4593">
        <v>9.8363367880542896E-2</v>
      </c>
      <c r="R4593">
        <v>0.98868512801136799</v>
      </c>
      <c r="S4593" t="s">
        <v>11239</v>
      </c>
      <c r="T4593" t="s">
        <v>13290</v>
      </c>
      <c r="U4593" t="s">
        <v>13290</v>
      </c>
      <c r="V4593" t="s">
        <v>13290</v>
      </c>
      <c r="W4593" t="s">
        <v>17835</v>
      </c>
      <c r="X4593">
        <v>6</v>
      </c>
      <c r="Y4593" t="s">
        <v>24321</v>
      </c>
      <c r="Z4593" t="s">
        <v>30923</v>
      </c>
      <c r="AA4593">
        <v>0.49686784422347802</v>
      </c>
      <c r="AB4593" t="str">
        <f>HYPERLINK("Melting_Curves/meltCurve_Q8N8R5_C2orf69.pdf", "Melting_Curves/meltCurve_Q8N8R5_C2orf69.pdf")</f>
        <v>Melting_Curves/meltCurve_Q8N8R5_C2orf69.pdf</v>
      </c>
    </row>
    <row r="4594" spans="1:28" x14ac:dyDescent="0.25">
      <c r="A4594" t="s">
        <v>4598</v>
      </c>
      <c r="B4594">
        <v>0.99252571173614901</v>
      </c>
      <c r="C4594">
        <v>0.82720708554925504</v>
      </c>
      <c r="D4594">
        <v>0.40232457188434001</v>
      </c>
      <c r="E4594">
        <v>0.12558281775237301</v>
      </c>
      <c r="F4594">
        <v>7.5779556655295205E-2</v>
      </c>
      <c r="G4594">
        <v>3.2588758592468903E-2</v>
      </c>
      <c r="H4594">
        <v>1.62598432113337E-2</v>
      </c>
      <c r="I4594">
        <v>1.8589202212692502E-2</v>
      </c>
      <c r="J4594">
        <v>0</v>
      </c>
      <c r="K4594">
        <v>1.0571533213974299E-2</v>
      </c>
      <c r="L4594">
        <v>1196.13215032475</v>
      </c>
      <c r="M4594">
        <v>26.393855610618999</v>
      </c>
      <c r="N4594">
        <v>45.396119562820097</v>
      </c>
      <c r="O4594">
        <v>45.060830307292299</v>
      </c>
      <c r="P4594">
        <v>-0.143209229026771</v>
      </c>
      <c r="Q4594">
        <v>2.2036455822254501E-2</v>
      </c>
      <c r="R4594">
        <v>0.99774195094014295</v>
      </c>
      <c r="S4594" t="s">
        <v>11240</v>
      </c>
      <c r="T4594" t="s">
        <v>13290</v>
      </c>
      <c r="U4594" t="s">
        <v>13290</v>
      </c>
      <c r="V4594" t="s">
        <v>13290</v>
      </c>
      <c r="W4594" t="s">
        <v>17836</v>
      </c>
      <c r="X4594">
        <v>2</v>
      </c>
      <c r="Y4594" t="s">
        <v>24322</v>
      </c>
      <c r="Z4594" t="s">
        <v>30924</v>
      </c>
      <c r="AA4594">
        <v>0.20373018570997001</v>
      </c>
      <c r="AB4594" t="str">
        <f>HYPERLINK("Melting_Curves/meltCurve_Q8N8R7_ARL14EP.pdf", "Melting_Curves/meltCurve_Q8N8R7_ARL14EP.pdf")</f>
        <v>Melting_Curves/meltCurve_Q8N8R7_ARL14EP.pdf</v>
      </c>
    </row>
    <row r="4595" spans="1:28" x14ac:dyDescent="0.25">
      <c r="A4595" t="s">
        <v>4599</v>
      </c>
      <c r="B4595">
        <v>0.99252571173614901</v>
      </c>
      <c r="C4595">
        <v>0.91333275770134803</v>
      </c>
      <c r="D4595">
        <v>0.959716167936152</v>
      </c>
      <c r="E4595">
        <v>0.73442035669445604</v>
      </c>
      <c r="F4595">
        <v>0.46636365426582299</v>
      </c>
      <c r="G4595">
        <v>0.28576903792629499</v>
      </c>
      <c r="H4595">
        <v>0.192498392340399</v>
      </c>
      <c r="I4595">
        <v>0.168712634420391</v>
      </c>
      <c r="J4595">
        <v>0.190287617788441</v>
      </c>
      <c r="K4595">
        <v>0.181414100768479</v>
      </c>
      <c r="L4595">
        <v>1022.5461991316899</v>
      </c>
      <c r="M4595">
        <v>19.820358065276601</v>
      </c>
      <c r="N4595">
        <v>52.670187539429001</v>
      </c>
      <c r="O4595">
        <v>51.0741446077718</v>
      </c>
      <c r="P4595">
        <v>-8.08262408450975E-2</v>
      </c>
      <c r="Q4595">
        <v>0.16691880311752499</v>
      </c>
      <c r="R4595">
        <v>0.99394523028889303</v>
      </c>
      <c r="S4595" t="s">
        <v>11241</v>
      </c>
      <c r="T4595" t="s">
        <v>13290</v>
      </c>
      <c r="U4595" t="s">
        <v>13290</v>
      </c>
      <c r="V4595" t="s">
        <v>13290</v>
      </c>
      <c r="W4595" t="s">
        <v>17837</v>
      </c>
      <c r="X4595">
        <v>25</v>
      </c>
      <c r="Y4595" t="s">
        <v>24323</v>
      </c>
      <c r="Z4595" t="s">
        <v>30925</v>
      </c>
      <c r="AA4595">
        <v>0.50052264280879</v>
      </c>
      <c r="AB4595" t="str">
        <f>HYPERLINK("Melting_Curves/meltCurve_Q8N8S7_ENAH.pdf", "Melting_Curves/meltCurve_Q8N8S7_ENAH.pdf")</f>
        <v>Melting_Curves/meltCurve_Q8N8S7_ENAH.pdf</v>
      </c>
    </row>
    <row r="4596" spans="1:28" x14ac:dyDescent="0.25">
      <c r="A4596" t="s">
        <v>4600</v>
      </c>
      <c r="B4596">
        <v>0.99252571173614901</v>
      </c>
      <c r="C4596">
        <v>0.93983951011586997</v>
      </c>
      <c r="D4596">
        <v>0.94892115106858599</v>
      </c>
      <c r="E4596">
        <v>1.1605045087913901</v>
      </c>
      <c r="F4596">
        <v>1.3224992317476501</v>
      </c>
      <c r="G4596">
        <v>0.80091697215546798</v>
      </c>
      <c r="H4596">
        <v>0.497555231416001</v>
      </c>
      <c r="I4596">
        <v>0.45459218757952702</v>
      </c>
      <c r="J4596">
        <v>0.50333857868035503</v>
      </c>
      <c r="K4596">
        <v>0.56783688303961299</v>
      </c>
      <c r="L4596">
        <v>14222.353418812099</v>
      </c>
      <c r="M4596">
        <v>250</v>
      </c>
      <c r="O4596">
        <v>56.885773360443203</v>
      </c>
      <c r="P4596">
        <v>-0.542940338354715</v>
      </c>
      <c r="Q4596">
        <v>0.50583070600579405</v>
      </c>
      <c r="R4596">
        <v>0.82838333701417899</v>
      </c>
      <c r="S4596" t="s">
        <v>11242</v>
      </c>
      <c r="T4596" t="s">
        <v>13290</v>
      </c>
      <c r="U4596" t="s">
        <v>13290</v>
      </c>
      <c r="V4596" t="s">
        <v>13290</v>
      </c>
      <c r="W4596" t="s">
        <v>17838</v>
      </c>
      <c r="X4596">
        <v>5</v>
      </c>
      <c r="Y4596" t="s">
        <v>24324</v>
      </c>
      <c r="Z4596" t="s">
        <v>30926</v>
      </c>
      <c r="AA4596">
        <v>0.78408769828148761</v>
      </c>
      <c r="AB4596" t="str">
        <f>HYPERLINK("Melting_Curves/meltCurve_Q8N954_GPATCH11.pdf", "Melting_Curves/meltCurve_Q8N954_GPATCH11.pdf")</f>
        <v>Melting_Curves/meltCurve_Q8N954_GPATCH11.pdf</v>
      </c>
    </row>
    <row r="4597" spans="1:28" x14ac:dyDescent="0.25">
      <c r="A4597" t="s">
        <v>4601</v>
      </c>
      <c r="B4597">
        <v>0.99252571173614901</v>
      </c>
      <c r="C4597">
        <v>1.06818245172389</v>
      </c>
      <c r="D4597">
        <v>0.93969538853274404</v>
      </c>
      <c r="E4597">
        <v>0.760290228023909</v>
      </c>
      <c r="F4597">
        <v>0.73267401856463299</v>
      </c>
      <c r="G4597">
        <v>0.57037615656784901</v>
      </c>
      <c r="H4597">
        <v>0.34437935778922801</v>
      </c>
      <c r="I4597">
        <v>0.14453693333345299</v>
      </c>
      <c r="J4597">
        <v>0.12496143246373601</v>
      </c>
      <c r="K4597">
        <v>0.105954391314746</v>
      </c>
      <c r="L4597">
        <v>694.73962912849595</v>
      </c>
      <c r="M4597">
        <v>12.1687120144164</v>
      </c>
      <c r="N4597">
        <v>57.092285990072398</v>
      </c>
      <c r="O4597">
        <v>55.616074640470501</v>
      </c>
      <c r="P4597">
        <v>-5.4712100254027597E-2</v>
      </c>
      <c r="Q4597">
        <v>0</v>
      </c>
      <c r="R4597">
        <v>0.97887340291215796</v>
      </c>
      <c r="S4597" t="s">
        <v>11243</v>
      </c>
      <c r="T4597" t="s">
        <v>13290</v>
      </c>
      <c r="U4597" t="s">
        <v>13290</v>
      </c>
      <c r="V4597" t="s">
        <v>13290</v>
      </c>
      <c r="W4597" t="s">
        <v>17839</v>
      </c>
      <c r="X4597">
        <v>8</v>
      </c>
      <c r="Y4597" t="s">
        <v>24325</v>
      </c>
      <c r="Z4597" t="s">
        <v>30927</v>
      </c>
      <c r="AA4597">
        <v>0.58623336520169267</v>
      </c>
      <c r="AB4597" t="str">
        <f>HYPERLINK("Melting_Curves/meltCurve_Q8N999_C12orf29.pdf", "Melting_Curves/meltCurve_Q8N999_C12orf29.pdf")</f>
        <v>Melting_Curves/meltCurve_Q8N999_C12orf29.pdf</v>
      </c>
    </row>
    <row r="4598" spans="1:28" x14ac:dyDescent="0.25">
      <c r="A4598" t="s">
        <v>4602</v>
      </c>
      <c r="B4598">
        <v>0.99252571173614901</v>
      </c>
      <c r="C4598">
        <v>0.77356357091080896</v>
      </c>
      <c r="D4598">
        <v>0.344814210646466</v>
      </c>
      <c r="E4598">
        <v>0.19799570440792499</v>
      </c>
      <c r="F4598">
        <v>0.17292747299832101</v>
      </c>
      <c r="G4598">
        <v>0.120389878786463</v>
      </c>
      <c r="H4598">
        <v>0.121162453434714</v>
      </c>
      <c r="I4598">
        <v>0.12807184877062899</v>
      </c>
      <c r="J4598">
        <v>0.15397698122015999</v>
      </c>
      <c r="K4598">
        <v>0.17056865307833499</v>
      </c>
      <c r="L4598">
        <v>1395.8547111191899</v>
      </c>
      <c r="M4598">
        <v>31.504504836627302</v>
      </c>
      <c r="N4598">
        <v>44.799883796794198</v>
      </c>
      <c r="O4598">
        <v>44.129143052653397</v>
      </c>
      <c r="P4598">
        <v>-0.152318272615422</v>
      </c>
      <c r="Q4598">
        <v>0.14658062164316099</v>
      </c>
      <c r="R4598">
        <v>0.99557531501177898</v>
      </c>
      <c r="S4598" t="s">
        <v>11244</v>
      </c>
      <c r="T4598" t="s">
        <v>13290</v>
      </c>
      <c r="U4598" t="s">
        <v>13290</v>
      </c>
      <c r="V4598" t="s">
        <v>13290</v>
      </c>
      <c r="W4598" t="s">
        <v>17840</v>
      </c>
      <c r="X4598">
        <v>1</v>
      </c>
      <c r="Y4598" t="s">
        <v>24326</v>
      </c>
      <c r="Z4598" t="s">
        <v>30928</v>
      </c>
      <c r="AA4598">
        <v>0.27434764199627298</v>
      </c>
      <c r="AB4598" t="str">
        <f>HYPERLINK("Melting_Curves/meltCurve_Q8N9B5_2_JMY.pdf", "Melting_Curves/meltCurve_Q8N9B5_2_JMY.pdf")</f>
        <v>Melting_Curves/meltCurve_Q8N9B5_2_JMY.pdf</v>
      </c>
    </row>
    <row r="4599" spans="1:28" x14ac:dyDescent="0.25">
      <c r="A4599" t="s">
        <v>4603</v>
      </c>
      <c r="B4599">
        <v>0.99252571173614901</v>
      </c>
      <c r="C4599">
        <v>0.91762632642525299</v>
      </c>
      <c r="D4599">
        <v>0.78971589484635396</v>
      </c>
      <c r="E4599">
        <v>0.45069799203696997</v>
      </c>
      <c r="F4599">
        <v>0.18068614737508401</v>
      </c>
      <c r="G4599">
        <v>9.0778184810356197E-2</v>
      </c>
      <c r="H4599">
        <v>0.113504936605413</v>
      </c>
      <c r="I4599">
        <v>8.3172778161458197E-2</v>
      </c>
      <c r="J4599">
        <v>6.2604997399676496E-2</v>
      </c>
      <c r="K4599">
        <v>5.4941462185119902E-2</v>
      </c>
      <c r="L4599">
        <v>1020.05385561368</v>
      </c>
      <c r="M4599">
        <v>20.975380546895899</v>
      </c>
      <c r="N4599">
        <v>48.960843461549999</v>
      </c>
      <c r="O4599">
        <v>48.195468553911603</v>
      </c>
      <c r="P4599">
        <v>-0.101637577875081</v>
      </c>
      <c r="Q4599">
        <v>6.5888234609587995E-2</v>
      </c>
      <c r="R4599">
        <v>0.99762576952979098</v>
      </c>
      <c r="S4599" t="s">
        <v>11245</v>
      </c>
      <c r="T4599" t="s">
        <v>13290</v>
      </c>
      <c r="U4599" t="s">
        <v>13290</v>
      </c>
      <c r="V4599" t="s">
        <v>13290</v>
      </c>
      <c r="W4599" t="s">
        <v>17841</v>
      </c>
      <c r="X4599">
        <v>9</v>
      </c>
      <c r="Y4599" t="s">
        <v>24327</v>
      </c>
      <c r="Z4599" t="s">
        <v>30929</v>
      </c>
      <c r="AA4599">
        <v>0.34653717145244861</v>
      </c>
      <c r="AB4599" t="str">
        <f>HYPERLINK("Melting_Curves/meltCurve_Q8N9F7_GDPD1.pdf", "Melting_Curves/meltCurve_Q8N9F7_GDPD1.pdf")</f>
        <v>Melting_Curves/meltCurve_Q8N9F7_GDPD1.pdf</v>
      </c>
    </row>
    <row r="4600" spans="1:28" x14ac:dyDescent="0.25">
      <c r="A4600" t="s">
        <v>4604</v>
      </c>
      <c r="B4600">
        <v>0.99252571173614901</v>
      </c>
      <c r="C4600">
        <v>0.88052050677666005</v>
      </c>
      <c r="D4600">
        <v>0.41953600210066899</v>
      </c>
      <c r="E4600">
        <v>0.28786062055063399</v>
      </c>
      <c r="F4600">
        <v>0.402790064801477</v>
      </c>
      <c r="G4600">
        <v>0.120718069628048</v>
      </c>
      <c r="H4600">
        <v>9.8103323582917498E-2</v>
      </c>
      <c r="I4600">
        <v>0.13212715637799499</v>
      </c>
      <c r="J4600">
        <v>0.13840969484360299</v>
      </c>
      <c r="K4600">
        <v>0.11087706296361299</v>
      </c>
      <c r="L4600">
        <v>1019.1467574144</v>
      </c>
      <c r="M4600">
        <v>22.4837886675944</v>
      </c>
      <c r="N4600">
        <v>46.097449529809197</v>
      </c>
      <c r="O4600">
        <v>44.974078588474697</v>
      </c>
      <c r="P4600">
        <v>-0.105431342726151</v>
      </c>
      <c r="Q4600">
        <v>0.15644483953664701</v>
      </c>
      <c r="R4600">
        <v>0.92786466016692803</v>
      </c>
      <c r="S4600" t="s">
        <v>11246</v>
      </c>
      <c r="T4600" t="s">
        <v>13290</v>
      </c>
      <c r="U4600" t="s">
        <v>13290</v>
      </c>
      <c r="V4600" t="s">
        <v>13290</v>
      </c>
      <c r="W4600" t="s">
        <v>17842</v>
      </c>
      <c r="X4600">
        <v>1</v>
      </c>
      <c r="Y4600" t="s">
        <v>24328</v>
      </c>
      <c r="Z4600" t="s">
        <v>30930</v>
      </c>
      <c r="AA4600">
        <v>0.31674387530694509</v>
      </c>
      <c r="AB4600" t="str">
        <f>HYPERLINK("Melting_Curves/meltCurve_Q8N9I9_DTX3.pdf", "Melting_Curves/meltCurve_Q8N9I9_DTX3.pdf")</f>
        <v>Melting_Curves/meltCurve_Q8N9I9_DTX3.pdf</v>
      </c>
    </row>
    <row r="4601" spans="1:28" x14ac:dyDescent="0.25">
      <c r="A4601" t="s">
        <v>4605</v>
      </c>
      <c r="B4601">
        <v>0.99252571173614901</v>
      </c>
      <c r="C4601">
        <v>0.90069096872796806</v>
      </c>
      <c r="D4601">
        <v>0.82609314888581897</v>
      </c>
      <c r="E4601">
        <v>0.35772221103733798</v>
      </c>
      <c r="F4601">
        <v>0.154582104768864</v>
      </c>
      <c r="G4601">
        <v>9.9070618130402202E-2</v>
      </c>
      <c r="H4601">
        <v>8.4984816099991103E-2</v>
      </c>
      <c r="I4601">
        <v>0.105335377550974</v>
      </c>
      <c r="J4601">
        <v>0.11938561215928099</v>
      </c>
      <c r="K4601">
        <v>0.135839247083341</v>
      </c>
      <c r="L4601">
        <v>1376.8962003501999</v>
      </c>
      <c r="M4601">
        <v>28.661825321183201</v>
      </c>
      <c r="N4601">
        <v>48.439125407039597</v>
      </c>
      <c r="O4601">
        <v>47.807350700926499</v>
      </c>
      <c r="P4601">
        <v>-0.134097341850691</v>
      </c>
      <c r="Q4601">
        <v>0.105320351080725</v>
      </c>
      <c r="R4601">
        <v>0.994031628953575</v>
      </c>
      <c r="S4601" t="s">
        <v>11247</v>
      </c>
      <c r="T4601" t="s">
        <v>13290</v>
      </c>
      <c r="U4601" t="s">
        <v>13290</v>
      </c>
      <c r="V4601" t="s">
        <v>13290</v>
      </c>
      <c r="W4601" t="s">
        <v>17843</v>
      </c>
      <c r="X4601">
        <v>4</v>
      </c>
      <c r="Y4601" t="s">
        <v>24329</v>
      </c>
      <c r="Z4601" t="s">
        <v>30931</v>
      </c>
      <c r="AA4601">
        <v>0.35100204950293068</v>
      </c>
      <c r="AB4601" t="str">
        <f>HYPERLINK("Melting_Curves/meltCurve_Q8N9M5_TMEM102.pdf", "Melting_Curves/meltCurve_Q8N9M5_TMEM102.pdf")</f>
        <v>Melting_Curves/meltCurve_Q8N9M5_TMEM102.pdf</v>
      </c>
    </row>
    <row r="4602" spans="1:28" x14ac:dyDescent="0.25">
      <c r="A4602" t="s">
        <v>4606</v>
      </c>
      <c r="B4602">
        <v>0.99252571173614901</v>
      </c>
      <c r="C4602">
        <v>1.0310105883874801</v>
      </c>
      <c r="D4602">
        <v>0.97790507087696998</v>
      </c>
      <c r="E4602">
        <v>0.87590858907181901</v>
      </c>
      <c r="F4602">
        <v>0.51018167401333403</v>
      </c>
      <c r="G4602">
        <v>0.16716815794637399</v>
      </c>
      <c r="H4602">
        <v>7.2572216442460896E-2</v>
      </c>
      <c r="I4602">
        <v>4.70323580869801E-2</v>
      </c>
      <c r="J4602">
        <v>5.0172576334292701E-2</v>
      </c>
      <c r="K4602">
        <v>5.70108620098125E-2</v>
      </c>
      <c r="L4602">
        <v>1495.9765252920299</v>
      </c>
      <c r="M4602">
        <v>28.202480889373501</v>
      </c>
      <c r="N4602">
        <v>53.228833069558398</v>
      </c>
      <c r="O4602">
        <v>52.779601013577299</v>
      </c>
      <c r="P4602">
        <v>-0.12736081378691699</v>
      </c>
      <c r="Q4602">
        <v>4.6609155118740399E-2</v>
      </c>
      <c r="R4602">
        <v>0.99918320254202198</v>
      </c>
      <c r="S4602" t="s">
        <v>11248</v>
      </c>
      <c r="T4602" t="s">
        <v>13290</v>
      </c>
      <c r="U4602" t="s">
        <v>13290</v>
      </c>
      <c r="V4602" t="s">
        <v>13290</v>
      </c>
      <c r="W4602" t="s">
        <v>17844</v>
      </c>
      <c r="X4602">
        <v>8</v>
      </c>
      <c r="Y4602" t="s">
        <v>24330</v>
      </c>
      <c r="Z4602" t="s">
        <v>30932</v>
      </c>
      <c r="AA4602">
        <v>0.46812557971878188</v>
      </c>
      <c r="AB4602" t="str">
        <f>HYPERLINK("Melting_Curves/meltCurve_Q8N9N7_LRRC57.pdf", "Melting_Curves/meltCurve_Q8N9N7_LRRC57.pdf")</f>
        <v>Melting_Curves/meltCurve_Q8N9N7_LRRC57.pdf</v>
      </c>
    </row>
    <row r="4603" spans="1:28" x14ac:dyDescent="0.25">
      <c r="A4603" t="s">
        <v>4607</v>
      </c>
      <c r="B4603">
        <v>0.99252571173614901</v>
      </c>
      <c r="C4603">
        <v>1.1621206810915099</v>
      </c>
      <c r="D4603">
        <v>1.14149136057877</v>
      </c>
      <c r="E4603">
        <v>0.94480101381050197</v>
      </c>
      <c r="F4603">
        <v>0.46851716686077199</v>
      </c>
      <c r="G4603">
        <v>0.293930027762482</v>
      </c>
      <c r="H4603">
        <v>0.21888082431539299</v>
      </c>
      <c r="I4603">
        <v>0.15940600399336399</v>
      </c>
      <c r="J4603">
        <v>0.102879286453243</v>
      </c>
      <c r="K4603">
        <v>9.8705184280250893E-2</v>
      </c>
      <c r="L4603">
        <v>1805.9995491931099</v>
      </c>
      <c r="M4603">
        <v>34.268562533675002</v>
      </c>
      <c r="N4603">
        <v>53.274590016429499</v>
      </c>
      <c r="O4603">
        <v>52.522859097647803</v>
      </c>
      <c r="P4603">
        <v>-0.13796198234058299</v>
      </c>
      <c r="Q4603">
        <v>0.15419514542957599</v>
      </c>
      <c r="R4603">
        <v>0.96396917465653997</v>
      </c>
      <c r="S4603" t="s">
        <v>11249</v>
      </c>
      <c r="T4603" t="s">
        <v>13290</v>
      </c>
      <c r="U4603" t="s">
        <v>13290</v>
      </c>
      <c r="V4603" t="s">
        <v>13290</v>
      </c>
      <c r="W4603" t="s">
        <v>17845</v>
      </c>
      <c r="X4603">
        <v>1</v>
      </c>
      <c r="Y4603" t="s">
        <v>24331</v>
      </c>
      <c r="Z4603" t="s">
        <v>30933</v>
      </c>
      <c r="AA4603">
        <v>0.51648647923092439</v>
      </c>
      <c r="AB4603" t="str">
        <f>HYPERLINK("Melting_Curves/meltCurve_Q8N9R8_SCAI.pdf", "Melting_Curves/meltCurve_Q8N9R8_SCAI.pdf")</f>
        <v>Melting_Curves/meltCurve_Q8N9R8_SCAI.pdf</v>
      </c>
    </row>
    <row r="4604" spans="1:28" x14ac:dyDescent="0.25">
      <c r="A4604" t="s">
        <v>4608</v>
      </c>
      <c r="B4604">
        <v>0.99252571173614901</v>
      </c>
      <c r="C4604">
        <v>1.03554758702163</v>
      </c>
      <c r="D4604">
        <v>0.93246782438812004</v>
      </c>
      <c r="E4604">
        <v>0.769276777863659</v>
      </c>
      <c r="F4604">
        <v>0.96282395260295595</v>
      </c>
      <c r="G4604">
        <v>0.84856067719064598</v>
      </c>
      <c r="H4604">
        <v>0.84672319556003295</v>
      </c>
      <c r="I4604">
        <v>0.96001319205595703</v>
      </c>
      <c r="J4604">
        <v>1.2586813594897801</v>
      </c>
      <c r="K4604">
        <v>1.24204318563178</v>
      </c>
      <c r="L4604">
        <v>15000</v>
      </c>
      <c r="M4604">
        <v>228.23128792686799</v>
      </c>
      <c r="O4604">
        <v>65.717756847285401</v>
      </c>
      <c r="P4604">
        <v>0.21829445946654599</v>
      </c>
      <c r="Q4604">
        <v>1.2514260390816201</v>
      </c>
      <c r="R4604">
        <v>0.53073208898618995</v>
      </c>
      <c r="S4604" t="s">
        <v>11250</v>
      </c>
      <c r="T4604" t="s">
        <v>13290</v>
      </c>
      <c r="U4604" t="s">
        <v>13290</v>
      </c>
      <c r="V4604" t="s">
        <v>13290</v>
      </c>
      <c r="W4604" t="s">
        <v>17846</v>
      </c>
      <c r="X4604">
        <v>1</v>
      </c>
      <c r="Y4604" t="s">
        <v>24332</v>
      </c>
      <c r="Z4604" t="s">
        <v>30934</v>
      </c>
      <c r="AA4604">
        <v>1.0358118273057579</v>
      </c>
      <c r="AB4604" t="str">
        <f>HYPERLINK("Melting_Curves/meltCurve_Q8N9T8_KRI1.pdf", "Melting_Curves/meltCurve_Q8N9T8_KRI1.pdf")</f>
        <v>Melting_Curves/meltCurve_Q8N9T8_KRI1.pdf</v>
      </c>
    </row>
    <row r="4605" spans="1:28" x14ac:dyDescent="0.25">
      <c r="A4605" t="s">
        <v>4609</v>
      </c>
      <c r="B4605">
        <v>0.99252571173614901</v>
      </c>
      <c r="C4605">
        <v>1.0218357999330201</v>
      </c>
      <c r="D4605">
        <v>0.976165742940029</v>
      </c>
      <c r="E4605">
        <v>0.79771324342205197</v>
      </c>
      <c r="F4605">
        <v>0.59874774005848796</v>
      </c>
      <c r="G4605">
        <v>0.44888639819234499</v>
      </c>
      <c r="H4605">
        <v>0.34449167398123598</v>
      </c>
      <c r="I4605">
        <v>0.28085388348132501</v>
      </c>
      <c r="J4605">
        <v>0.33425065276536797</v>
      </c>
      <c r="K4605">
        <v>0.20702595347224401</v>
      </c>
      <c r="L4605">
        <v>875.68272216327603</v>
      </c>
      <c r="M4605">
        <v>16.539474744861799</v>
      </c>
      <c r="N4605">
        <v>55.303498138549003</v>
      </c>
      <c r="O4605">
        <v>52.189187426733703</v>
      </c>
      <c r="P4605">
        <v>-5.9185263477931203E-2</v>
      </c>
      <c r="Q4605">
        <v>0.25303113705699698</v>
      </c>
      <c r="R4605">
        <v>0.98876688630849596</v>
      </c>
      <c r="S4605" t="s">
        <v>11251</v>
      </c>
      <c r="T4605" t="s">
        <v>13290</v>
      </c>
      <c r="U4605" t="s">
        <v>13290</v>
      </c>
      <c r="V4605" t="s">
        <v>13290</v>
      </c>
      <c r="W4605" t="s">
        <v>17847</v>
      </c>
      <c r="X4605">
        <v>7</v>
      </c>
      <c r="Y4605" t="s">
        <v>24333</v>
      </c>
      <c r="Z4605" t="s">
        <v>30935</v>
      </c>
      <c r="AA4605">
        <v>0.58932126719894262</v>
      </c>
      <c r="AB4605" t="str">
        <f>HYPERLINK("Melting_Curves/meltCurve_Q8N9V3_WDSUB1.pdf", "Melting_Curves/meltCurve_Q8N9V3_WDSUB1.pdf")</f>
        <v>Melting_Curves/meltCurve_Q8N9V3_WDSUB1.pdf</v>
      </c>
    </row>
    <row r="4606" spans="1:28" x14ac:dyDescent="0.25">
      <c r="A4606" t="s">
        <v>4610</v>
      </c>
      <c r="B4606">
        <v>0.99252571173614901</v>
      </c>
      <c r="C4606">
        <v>1.0003609192329499</v>
      </c>
      <c r="D4606">
        <v>0.89878169737039004</v>
      </c>
      <c r="E4606">
        <v>0.76989272214182503</v>
      </c>
      <c r="F4606">
        <v>0.403278714713241</v>
      </c>
      <c r="G4606">
        <v>0.26176771967383899</v>
      </c>
      <c r="H4606">
        <v>0.15619616763463501</v>
      </c>
      <c r="I4606">
        <v>0.15204684039427799</v>
      </c>
      <c r="J4606">
        <v>0.11712962398414301</v>
      </c>
      <c r="K4606">
        <v>0.12508162854437699</v>
      </c>
      <c r="L4606">
        <v>1062.6415300313399</v>
      </c>
      <c r="M4606">
        <v>20.574229080138</v>
      </c>
      <c r="N4606">
        <v>52.366104413950801</v>
      </c>
      <c r="O4606">
        <v>51.168649409126999</v>
      </c>
      <c r="P4606">
        <v>-8.8185805716147495E-2</v>
      </c>
      <c r="Q4606">
        <v>0.122743996173674</v>
      </c>
      <c r="R4606">
        <v>0.996705449470352</v>
      </c>
      <c r="S4606" t="s">
        <v>11252</v>
      </c>
      <c r="T4606" t="s">
        <v>13290</v>
      </c>
      <c r="U4606" t="s">
        <v>13290</v>
      </c>
      <c r="V4606" t="s">
        <v>13290</v>
      </c>
      <c r="W4606" t="s">
        <v>17848</v>
      </c>
      <c r="X4606">
        <v>6</v>
      </c>
      <c r="Y4606" t="s">
        <v>24334</v>
      </c>
      <c r="Z4606" t="s">
        <v>30936</v>
      </c>
      <c r="AA4606">
        <v>0.47492920252869869</v>
      </c>
      <c r="AB4606" t="str">
        <f>HYPERLINK("Melting_Curves/meltCurve_Q8NAF0_ZNF579.pdf", "Melting_Curves/meltCurve_Q8NAF0_ZNF579.pdf")</f>
        <v>Melting_Curves/meltCurve_Q8NAF0_ZNF579.pdf</v>
      </c>
    </row>
    <row r="4607" spans="1:28" x14ac:dyDescent="0.25">
      <c r="A4607" t="s">
        <v>4611</v>
      </c>
      <c r="B4607">
        <v>0.99252571173614901</v>
      </c>
      <c r="C4607">
        <v>1.02065344382908</v>
      </c>
      <c r="D4607">
        <v>0.82043387243969201</v>
      </c>
      <c r="E4607">
        <v>0.44743137561945301</v>
      </c>
      <c r="F4607">
        <v>0.191589055456024</v>
      </c>
      <c r="G4607">
        <v>0.126811855716564</v>
      </c>
      <c r="H4607">
        <v>9.6124770538309798E-2</v>
      </c>
      <c r="I4607">
        <v>7.0913997968999901E-2</v>
      </c>
      <c r="J4607">
        <v>8.2153627934794596E-2</v>
      </c>
      <c r="K4607">
        <v>8.0396697047825802E-2</v>
      </c>
      <c r="L4607">
        <v>1214.0127411312999</v>
      </c>
      <c r="M4607">
        <v>24.8866992540556</v>
      </c>
      <c r="N4607">
        <v>49.145618427890497</v>
      </c>
      <c r="O4607">
        <v>48.4699035165306</v>
      </c>
      <c r="P4607">
        <v>-0.117558661146551</v>
      </c>
      <c r="Q4607">
        <v>8.4173111829122405E-2</v>
      </c>
      <c r="R4607">
        <v>0.99772915979444798</v>
      </c>
      <c r="S4607" t="s">
        <v>11253</v>
      </c>
      <c r="T4607" t="s">
        <v>13290</v>
      </c>
      <c r="U4607" t="s">
        <v>13290</v>
      </c>
      <c r="V4607" t="s">
        <v>13290</v>
      </c>
      <c r="W4607" t="s">
        <v>17849</v>
      </c>
      <c r="X4607">
        <v>5</v>
      </c>
      <c r="Y4607" t="s">
        <v>24335</v>
      </c>
      <c r="Z4607" t="s">
        <v>30937</v>
      </c>
      <c r="AA4607">
        <v>0.3604356856994072</v>
      </c>
      <c r="AB4607" t="str">
        <f>HYPERLINK("Melting_Curves/meltCurve_Q8NAV1_PRPF38A.pdf", "Melting_Curves/meltCurve_Q8NAV1_PRPF38A.pdf")</f>
        <v>Melting_Curves/meltCurve_Q8NAV1_PRPF38A.pdf</v>
      </c>
    </row>
    <row r="4608" spans="1:28" x14ac:dyDescent="0.25">
      <c r="A4608" t="s">
        <v>4612</v>
      </c>
      <c r="B4608">
        <v>0.99252571173614901</v>
      </c>
      <c r="C4608">
        <v>0.95911695595983504</v>
      </c>
      <c r="D4608">
        <v>0.81480424468294999</v>
      </c>
      <c r="E4608">
        <v>0.66044191041856504</v>
      </c>
      <c r="F4608">
        <v>0.30929295267344697</v>
      </c>
      <c r="G4608">
        <v>0.20133093231298901</v>
      </c>
      <c r="H4608">
        <v>0.138471628339702</v>
      </c>
      <c r="I4608">
        <v>0.15125729623293299</v>
      </c>
      <c r="J4608">
        <v>0.22162832081688899</v>
      </c>
      <c r="K4608">
        <v>0.216277387881744</v>
      </c>
      <c r="L4608">
        <v>1046.7231931177</v>
      </c>
      <c r="M4608">
        <v>21.029914207603198</v>
      </c>
      <c r="N4608">
        <v>50.760960094050702</v>
      </c>
      <c r="O4608">
        <v>49.329544475511902</v>
      </c>
      <c r="P4608">
        <v>-8.86824604710965E-2</v>
      </c>
      <c r="Q4608">
        <v>0.16793767522384601</v>
      </c>
      <c r="R4608">
        <v>0.98513531974538304</v>
      </c>
      <c r="S4608" t="s">
        <v>11254</v>
      </c>
      <c r="T4608" t="s">
        <v>13290</v>
      </c>
      <c r="U4608" t="s">
        <v>13290</v>
      </c>
      <c r="V4608" t="s">
        <v>13290</v>
      </c>
      <c r="W4608" t="s">
        <v>17850</v>
      </c>
      <c r="X4608">
        <v>4</v>
      </c>
      <c r="Y4608" t="s">
        <v>24336</v>
      </c>
      <c r="Z4608" t="s">
        <v>30938</v>
      </c>
      <c r="AA4608">
        <v>0.44949586866643332</v>
      </c>
      <c r="AB4608" t="str">
        <f>HYPERLINK("Melting_Curves/meltCurve_Q8NAX2_C1orf172.pdf", "Melting_Curves/meltCurve_Q8NAX2_C1orf172.pdf")</f>
        <v>Melting_Curves/meltCurve_Q8NAX2_C1orf172.pdf</v>
      </c>
    </row>
    <row r="4609" spans="1:28" x14ac:dyDescent="0.25">
      <c r="A4609" t="s">
        <v>4613</v>
      </c>
      <c r="B4609">
        <v>0.99252571173614901</v>
      </c>
      <c r="C4609">
        <v>1.0359500496286</v>
      </c>
      <c r="D4609">
        <v>0.94566665962373098</v>
      </c>
      <c r="E4609">
        <v>0.88084517285450603</v>
      </c>
      <c r="F4609">
        <v>0.471156648965873</v>
      </c>
      <c r="G4609">
        <v>0.35902272311481598</v>
      </c>
      <c r="H4609">
        <v>0.293036640830175</v>
      </c>
      <c r="I4609">
        <v>0.22916569355170999</v>
      </c>
      <c r="J4609">
        <v>0.27991621057617599</v>
      </c>
      <c r="K4609">
        <v>0.308752678692921</v>
      </c>
      <c r="L4609">
        <v>1710.5304833776599</v>
      </c>
      <c r="M4609">
        <v>33.046829120861901</v>
      </c>
      <c r="N4609">
        <v>53.0997183237996</v>
      </c>
      <c r="O4609">
        <v>51.572370575363301</v>
      </c>
      <c r="P4609">
        <v>-0.114911153439758</v>
      </c>
      <c r="Q4609">
        <v>0.28268890312426598</v>
      </c>
      <c r="R4609">
        <v>0.99098851033676905</v>
      </c>
      <c r="S4609" t="s">
        <v>11255</v>
      </c>
      <c r="T4609" t="s">
        <v>13290</v>
      </c>
      <c r="U4609" t="s">
        <v>13290</v>
      </c>
      <c r="V4609" t="s">
        <v>13290</v>
      </c>
      <c r="W4609" t="s">
        <v>17851</v>
      </c>
      <c r="X4609">
        <v>4</v>
      </c>
      <c r="Y4609" t="s">
        <v>24337</v>
      </c>
      <c r="Z4609" t="s">
        <v>30939</v>
      </c>
      <c r="AA4609">
        <v>0.56765860260422396</v>
      </c>
      <c r="AB4609" t="str">
        <f>HYPERLINK("Melting_Curves/meltCurve_Q8NB15_2_ZNF511.pdf", "Melting_Curves/meltCurve_Q8NB15_2_ZNF511.pdf")</f>
        <v>Melting_Curves/meltCurve_Q8NB15_2_ZNF511.pdf</v>
      </c>
    </row>
    <row r="4610" spans="1:28" x14ac:dyDescent="0.25">
      <c r="A4610" t="s">
        <v>4614</v>
      </c>
      <c r="B4610">
        <v>0.99252571173614901</v>
      </c>
      <c r="C4610">
        <v>1.00234972148955</v>
      </c>
      <c r="D4610">
        <v>0.91470206619572603</v>
      </c>
      <c r="E4610">
        <v>0.60678458907337696</v>
      </c>
      <c r="F4610">
        <v>0.211626959174818</v>
      </c>
      <c r="G4610">
        <v>0.124501847655708</v>
      </c>
      <c r="H4610">
        <v>8.4496910799664898E-2</v>
      </c>
      <c r="I4610">
        <v>8.7484684312270203E-2</v>
      </c>
      <c r="J4610">
        <v>0.10634374476925899</v>
      </c>
      <c r="K4610">
        <v>9.5088614448930103E-2</v>
      </c>
      <c r="L4610">
        <v>1462.93266144892</v>
      </c>
      <c r="M4610">
        <v>29.270270496160801</v>
      </c>
      <c r="N4610">
        <v>50.3276674900223</v>
      </c>
      <c r="O4610">
        <v>49.748610030454401</v>
      </c>
      <c r="P4610">
        <v>-0.13363398703045101</v>
      </c>
      <c r="Q4610">
        <v>9.1493615304993198E-2</v>
      </c>
      <c r="R4610">
        <v>0.99922820430312698</v>
      </c>
      <c r="S4610" t="s">
        <v>11256</v>
      </c>
      <c r="T4610" t="s">
        <v>13290</v>
      </c>
      <c r="U4610" t="s">
        <v>13290</v>
      </c>
      <c r="V4610" t="s">
        <v>13290</v>
      </c>
      <c r="W4610" t="s">
        <v>17852</v>
      </c>
      <c r="X4610">
        <v>16</v>
      </c>
      <c r="Y4610" t="s">
        <v>24338</v>
      </c>
      <c r="Z4610" t="s">
        <v>30940</v>
      </c>
      <c r="AA4610">
        <v>0.3996326065276759</v>
      </c>
      <c r="AB4610" t="str">
        <f>HYPERLINK("Melting_Curves/meltCurve_Q8NB16_MLKL.pdf", "Melting_Curves/meltCurve_Q8NB16_MLKL.pdf")</f>
        <v>Melting_Curves/meltCurve_Q8NB16_MLKL.pdf</v>
      </c>
    </row>
    <row r="4611" spans="1:28" x14ac:dyDescent="0.25">
      <c r="A4611" t="s">
        <v>4615</v>
      </c>
      <c r="B4611">
        <v>0.99252571173614901</v>
      </c>
      <c r="C4611">
        <v>1.0328754109935501</v>
      </c>
      <c r="D4611">
        <v>1.0414414759991699</v>
      </c>
      <c r="E4611">
        <v>1.02194387891488</v>
      </c>
      <c r="F4611">
        <v>0.909529302465937</v>
      </c>
      <c r="G4611">
        <v>0.746465410811601</v>
      </c>
      <c r="H4611">
        <v>0.54056708659874197</v>
      </c>
      <c r="I4611">
        <v>0.402934389748621</v>
      </c>
      <c r="J4611">
        <v>0.37788543599999802</v>
      </c>
      <c r="K4611">
        <v>0.32371339865599302</v>
      </c>
      <c r="L4611">
        <v>1195.46447743979</v>
      </c>
      <c r="M4611">
        <v>20.4536482290119</v>
      </c>
      <c r="N4611">
        <v>61.420581665717101</v>
      </c>
      <c r="O4611">
        <v>57.897402856109103</v>
      </c>
      <c r="P4611">
        <v>-6.0568505518136903E-2</v>
      </c>
      <c r="Q4611">
        <v>0.31422410957850699</v>
      </c>
      <c r="R4611">
        <v>0.99304103630641505</v>
      </c>
      <c r="S4611" t="s">
        <v>11257</v>
      </c>
      <c r="T4611" t="s">
        <v>13290</v>
      </c>
      <c r="U4611" t="s">
        <v>13290</v>
      </c>
      <c r="V4611" t="s">
        <v>13290</v>
      </c>
      <c r="W4611" t="s">
        <v>17853</v>
      </c>
      <c r="X4611">
        <v>8</v>
      </c>
      <c r="Y4611" t="s">
        <v>24339</v>
      </c>
      <c r="Z4611" t="s">
        <v>30941</v>
      </c>
      <c r="AA4611">
        <v>0.74319426587332937</v>
      </c>
      <c r="AB4611" t="str">
        <f>HYPERLINK("Melting_Curves/meltCurve_Q8NB37_PDDC1.pdf", "Melting_Curves/meltCurve_Q8NB37_PDDC1.pdf")</f>
        <v>Melting_Curves/meltCurve_Q8NB37_PDDC1.pdf</v>
      </c>
    </row>
    <row r="4612" spans="1:28" x14ac:dyDescent="0.25">
      <c r="A4612" t="s">
        <v>4616</v>
      </c>
      <c r="B4612">
        <v>0.99252571173614901</v>
      </c>
      <c r="C4612">
        <v>0.91517157488855005</v>
      </c>
      <c r="D4612">
        <v>0.82558299333156304</v>
      </c>
      <c r="E4612">
        <v>0.58624828810946294</v>
      </c>
      <c r="F4612">
        <v>0.32230416286798103</v>
      </c>
      <c r="G4612">
        <v>0.27259988344747199</v>
      </c>
      <c r="H4612">
        <v>0.27277527607044</v>
      </c>
      <c r="I4612">
        <v>0.45030202578676898</v>
      </c>
      <c r="J4612">
        <v>0.59610969117591195</v>
      </c>
      <c r="K4612">
        <v>0.51079007252923503</v>
      </c>
      <c r="L4612">
        <v>1383.8540074692501</v>
      </c>
      <c r="M4612">
        <v>29.1776007652965</v>
      </c>
      <c r="N4612">
        <v>50.3114144038937</v>
      </c>
      <c r="O4612">
        <v>47.207528523203301</v>
      </c>
      <c r="P4612">
        <v>-9.1776800017420501E-2</v>
      </c>
      <c r="Q4612">
        <v>0.406047896528343</v>
      </c>
      <c r="R4612">
        <v>0.83254237437530398</v>
      </c>
      <c r="S4612" t="s">
        <v>11258</v>
      </c>
      <c r="T4612" t="s">
        <v>13290</v>
      </c>
      <c r="U4612" t="s">
        <v>13290</v>
      </c>
      <c r="V4612" t="s">
        <v>13290</v>
      </c>
      <c r="W4612" t="s">
        <v>17854</v>
      </c>
      <c r="X4612">
        <v>3</v>
      </c>
      <c r="Y4612" t="s">
        <v>24340</v>
      </c>
      <c r="Z4612" t="s">
        <v>30942</v>
      </c>
      <c r="AA4612">
        <v>0.55690247015848982</v>
      </c>
      <c r="AB4612" t="str">
        <f>HYPERLINK("Melting_Curves/meltCurve_Q8NB46_ANKRD52.pdf", "Melting_Curves/meltCurve_Q8NB46_ANKRD52.pdf")</f>
        <v>Melting_Curves/meltCurve_Q8NB46_ANKRD52.pdf</v>
      </c>
    </row>
    <row r="4613" spans="1:28" x14ac:dyDescent="0.25">
      <c r="A4613" t="s">
        <v>4617</v>
      </c>
      <c r="B4613">
        <v>0.99252571173614901</v>
      </c>
      <c r="C4613">
        <v>0.91559146900394195</v>
      </c>
      <c r="D4613">
        <v>0.84630307252658499</v>
      </c>
      <c r="E4613">
        <v>0.77346385330855905</v>
      </c>
      <c r="F4613">
        <v>0.60419073902952303</v>
      </c>
      <c r="G4613">
        <v>0.27161135673173897</v>
      </c>
      <c r="H4613">
        <v>0.16087772875388501</v>
      </c>
      <c r="I4613">
        <v>0.17834065813967401</v>
      </c>
      <c r="J4613">
        <v>0.21730967747962801</v>
      </c>
      <c r="K4613">
        <v>0.197096013189687</v>
      </c>
      <c r="L4613">
        <v>853.88208453084098</v>
      </c>
      <c r="M4613">
        <v>16.293710977904801</v>
      </c>
      <c r="N4613">
        <v>53.5542220380229</v>
      </c>
      <c r="O4613">
        <v>51.635311482931797</v>
      </c>
      <c r="P4613">
        <v>-6.7260227326938093E-2</v>
      </c>
      <c r="Q4613">
        <v>0.14746267343507699</v>
      </c>
      <c r="R4613">
        <v>0.973063881888799</v>
      </c>
      <c r="S4613" t="s">
        <v>11259</v>
      </c>
      <c r="T4613" t="s">
        <v>13290</v>
      </c>
      <c r="U4613" t="s">
        <v>13290</v>
      </c>
      <c r="V4613" t="s">
        <v>13290</v>
      </c>
      <c r="W4613" t="s">
        <v>17855</v>
      </c>
      <c r="X4613">
        <v>6</v>
      </c>
      <c r="Y4613" t="s">
        <v>24341</v>
      </c>
      <c r="Z4613" t="s">
        <v>30943</v>
      </c>
      <c r="AA4613">
        <v>0.51656862813898186</v>
      </c>
      <c r="AB4613" t="str">
        <f>HYPERLINK("Melting_Curves/meltCurve_Q8NB49_2_ATP11C.pdf", "Melting_Curves/meltCurve_Q8NB49_2_ATP11C.pdf")</f>
        <v>Melting_Curves/meltCurve_Q8NB49_2_ATP11C.pdf</v>
      </c>
    </row>
    <row r="4614" spans="1:28" x14ac:dyDescent="0.25">
      <c r="A4614" t="s">
        <v>4618</v>
      </c>
      <c r="B4614">
        <v>0.99252571173614901</v>
      </c>
      <c r="C4614">
        <v>0.92879689605411497</v>
      </c>
      <c r="D4614">
        <v>1.03715976765887</v>
      </c>
      <c r="E4614">
        <v>1.20814017965526</v>
      </c>
      <c r="F4614">
        <v>1.2999124651904099</v>
      </c>
      <c r="G4614">
        <v>0.69177638645038897</v>
      </c>
      <c r="H4614">
        <v>0.15635598547400001</v>
      </c>
      <c r="I4614">
        <v>0.15488476859626199</v>
      </c>
      <c r="J4614">
        <v>0.17847920598512701</v>
      </c>
      <c r="K4614">
        <v>0.181846873061103</v>
      </c>
      <c r="L4614">
        <v>14230.129346444601</v>
      </c>
      <c r="M4614">
        <v>250</v>
      </c>
      <c r="N4614">
        <v>57.013825877682301</v>
      </c>
      <c r="O4614">
        <v>56.9168774394849</v>
      </c>
      <c r="P4614">
        <v>-0.91373199788739101</v>
      </c>
      <c r="Q4614">
        <v>0.16789168462242199</v>
      </c>
      <c r="R4614">
        <v>0.92980853336734104</v>
      </c>
      <c r="S4614" t="s">
        <v>11260</v>
      </c>
      <c r="T4614" t="s">
        <v>13290</v>
      </c>
      <c r="U4614" t="s">
        <v>13290</v>
      </c>
      <c r="V4614" t="s">
        <v>13290</v>
      </c>
      <c r="W4614" t="s">
        <v>17856</v>
      </c>
      <c r="X4614">
        <v>10</v>
      </c>
      <c r="Y4614" t="s">
        <v>24342</v>
      </c>
      <c r="Z4614" t="s">
        <v>30944</v>
      </c>
      <c r="AA4614">
        <v>0.6372982483413967</v>
      </c>
      <c r="AB4614" t="str">
        <f>HYPERLINK("Melting_Curves/meltCurve_Q8NB90_SPATA5.pdf", "Melting_Curves/meltCurve_Q8NB90_SPATA5.pdf")</f>
        <v>Melting_Curves/meltCurve_Q8NB90_SPATA5.pdf</v>
      </c>
    </row>
    <row r="4615" spans="1:28" x14ac:dyDescent="0.25">
      <c r="A4615" t="s">
        <v>4619</v>
      </c>
      <c r="B4615">
        <v>0.99252571173614901</v>
      </c>
      <c r="C4615">
        <v>1.0380523375236299</v>
      </c>
      <c r="D4615">
        <v>0.88208626436742799</v>
      </c>
      <c r="E4615">
        <v>0.610622959789345</v>
      </c>
      <c r="F4615">
        <v>0.168005695259897</v>
      </c>
      <c r="G4615">
        <v>9.3033848239559305E-2</v>
      </c>
      <c r="H4615">
        <v>6.1292720260085497E-2</v>
      </c>
      <c r="I4615">
        <v>6.7889152823345997E-2</v>
      </c>
      <c r="J4615">
        <v>6.6780184385160896E-2</v>
      </c>
      <c r="K4615">
        <v>6.7463511872559306E-2</v>
      </c>
      <c r="L4615">
        <v>1482.0144155692501</v>
      </c>
      <c r="M4615">
        <v>29.647270156474502</v>
      </c>
      <c r="N4615">
        <v>50.210566712954197</v>
      </c>
      <c r="O4615">
        <v>49.762447749325297</v>
      </c>
      <c r="P4615">
        <v>-0.139782613431752</v>
      </c>
      <c r="Q4615">
        <v>6.1515281420083397E-2</v>
      </c>
      <c r="R4615">
        <v>0.99615648727844497</v>
      </c>
      <c r="S4615" t="s">
        <v>11261</v>
      </c>
      <c r="T4615" t="s">
        <v>13290</v>
      </c>
      <c r="U4615" t="s">
        <v>13290</v>
      </c>
      <c r="V4615" t="s">
        <v>13290</v>
      </c>
      <c r="W4615" t="s">
        <v>17857</v>
      </c>
      <c r="X4615">
        <v>12</v>
      </c>
      <c r="Y4615" t="s">
        <v>24343</v>
      </c>
      <c r="Z4615" t="s">
        <v>30945</v>
      </c>
      <c r="AA4615">
        <v>0.37991932710121462</v>
      </c>
      <c r="AB4615" t="str">
        <f>HYPERLINK("Melting_Curves/meltCurve_Q8NBF2_NHLRC2.pdf", "Melting_Curves/meltCurve_Q8NBF2_NHLRC2.pdf")</f>
        <v>Melting_Curves/meltCurve_Q8NBF2_NHLRC2.pdf</v>
      </c>
    </row>
    <row r="4616" spans="1:28" x14ac:dyDescent="0.25">
      <c r="A4616" t="s">
        <v>4620</v>
      </c>
      <c r="B4616">
        <v>0.99252571173614901</v>
      </c>
      <c r="C4616">
        <v>1.0620322697109299</v>
      </c>
      <c r="D4616">
        <v>0.93606575962121696</v>
      </c>
      <c r="E4616">
        <v>0.76160077928992298</v>
      </c>
      <c r="F4616">
        <v>0.45230201972469603</v>
      </c>
      <c r="G4616">
        <v>0.13785273310682999</v>
      </c>
      <c r="H4616">
        <v>4.8946613719047002E-2</v>
      </c>
      <c r="I4616">
        <v>4.9530439928945298E-2</v>
      </c>
      <c r="J4616">
        <v>6.2480171640535098E-2</v>
      </c>
      <c r="K4616">
        <v>6.1396236089876703E-2</v>
      </c>
      <c r="L4616">
        <v>1210.9715030044199</v>
      </c>
      <c r="M4616">
        <v>23.191986452060402</v>
      </c>
      <c r="N4616">
        <v>52.3996276074676</v>
      </c>
      <c r="O4616">
        <v>51.831527195048899</v>
      </c>
      <c r="P4616">
        <v>-0.10747784835556901</v>
      </c>
      <c r="Q4616">
        <v>3.92131244420688E-2</v>
      </c>
      <c r="R4616">
        <v>0.99474520900986096</v>
      </c>
      <c r="S4616" t="s">
        <v>11262</v>
      </c>
      <c r="T4616" t="s">
        <v>13290</v>
      </c>
      <c r="U4616" t="s">
        <v>13290</v>
      </c>
      <c r="V4616" t="s">
        <v>13290</v>
      </c>
      <c r="W4616" t="s">
        <v>17858</v>
      </c>
      <c r="X4616">
        <v>7</v>
      </c>
      <c r="Y4616" t="s">
        <v>24344</v>
      </c>
      <c r="Z4616" t="s">
        <v>30946</v>
      </c>
      <c r="AA4616">
        <v>0.44054971550185218</v>
      </c>
      <c r="AB4616" t="str">
        <f>HYPERLINK("Melting_Curves/meltCurve_Q8NBF6_AVL9.pdf", "Melting_Curves/meltCurve_Q8NBF6_AVL9.pdf")</f>
        <v>Melting_Curves/meltCurve_Q8NBF6_AVL9.pdf</v>
      </c>
    </row>
    <row r="4617" spans="1:28" x14ac:dyDescent="0.25">
      <c r="A4617" t="s">
        <v>4621</v>
      </c>
      <c r="B4617">
        <v>0.99252571173614901</v>
      </c>
      <c r="C4617">
        <v>0.99756435466606996</v>
      </c>
      <c r="D4617">
        <v>0.92833024647773599</v>
      </c>
      <c r="E4617">
        <v>0.84723900113941797</v>
      </c>
      <c r="F4617">
        <v>0.47676725026171402</v>
      </c>
      <c r="G4617">
        <v>0.251338239841224</v>
      </c>
      <c r="H4617">
        <v>0.145858324066205</v>
      </c>
      <c r="I4617">
        <v>0.14104315147309199</v>
      </c>
      <c r="J4617">
        <v>0.16947079828116099</v>
      </c>
      <c r="K4617">
        <v>0.16757439530945201</v>
      </c>
      <c r="L4617">
        <v>1361.30704744902</v>
      </c>
      <c r="M4617">
        <v>26.036761767161899</v>
      </c>
      <c r="N4617">
        <v>53.0057650367999</v>
      </c>
      <c r="O4617">
        <v>51.978538977103597</v>
      </c>
      <c r="P4617">
        <v>-0.10654007483389701</v>
      </c>
      <c r="Q4617">
        <v>0.149243824064756</v>
      </c>
      <c r="R4617">
        <v>0.99691989589904795</v>
      </c>
      <c r="S4617" t="s">
        <v>11263</v>
      </c>
      <c r="T4617" t="s">
        <v>13290</v>
      </c>
      <c r="U4617" t="s">
        <v>13290</v>
      </c>
      <c r="V4617" t="s">
        <v>13290</v>
      </c>
      <c r="W4617" t="s">
        <v>17859</v>
      </c>
      <c r="X4617">
        <v>8</v>
      </c>
      <c r="Y4617" t="s">
        <v>24345</v>
      </c>
      <c r="Z4617" t="s">
        <v>30947</v>
      </c>
      <c r="AA4617">
        <v>0.50480382230692489</v>
      </c>
      <c r="AB4617" t="str">
        <f>HYPERLINK("Melting_Curves/meltCurve_Q8NBI6_XXYLT1.pdf", "Melting_Curves/meltCurve_Q8NBI6_XXYLT1.pdf")</f>
        <v>Melting_Curves/meltCurve_Q8NBI6_XXYLT1.pdf</v>
      </c>
    </row>
    <row r="4618" spans="1:28" x14ac:dyDescent="0.25">
      <c r="A4618" t="s">
        <v>4622</v>
      </c>
      <c r="B4618">
        <v>0.99252571173614901</v>
      </c>
      <c r="C4618">
        <v>0.91806116622126899</v>
      </c>
      <c r="D4618">
        <v>0.91869013094021301</v>
      </c>
      <c r="E4618">
        <v>0.95821591128061501</v>
      </c>
      <c r="F4618">
        <v>0.60003713431032202</v>
      </c>
      <c r="G4618">
        <v>0.40586998322433798</v>
      </c>
      <c r="H4618">
        <v>0.39115287149905298</v>
      </c>
      <c r="I4618">
        <v>0.56020123668663002</v>
      </c>
      <c r="J4618">
        <v>0.897562138094396</v>
      </c>
      <c r="K4618">
        <v>0.94081084799775905</v>
      </c>
      <c r="L4618">
        <v>12501.8378674217</v>
      </c>
      <c r="M4618">
        <v>250</v>
      </c>
      <c r="O4618">
        <v>50.0041513471092</v>
      </c>
      <c r="P4618">
        <v>-0.45920476506942398</v>
      </c>
      <c r="Q4618">
        <v>0.63260568740032397</v>
      </c>
      <c r="R4618">
        <v>0.43574174393451498</v>
      </c>
      <c r="S4618" t="s">
        <v>11264</v>
      </c>
      <c r="T4618" t="s">
        <v>13290</v>
      </c>
      <c r="U4618" t="s">
        <v>13290</v>
      </c>
      <c r="V4618" t="s">
        <v>13290</v>
      </c>
      <c r="W4618" t="s">
        <v>17860</v>
      </c>
      <c r="X4618">
        <v>7</v>
      </c>
      <c r="Y4618" t="s">
        <v>24346</v>
      </c>
      <c r="Z4618" t="s">
        <v>30948</v>
      </c>
      <c r="AA4618">
        <v>0.75519273117700658</v>
      </c>
      <c r="AB4618" t="str">
        <f>HYPERLINK("Melting_Curves/meltCurve_Q8NBJ4_2_GOLM1.pdf", "Melting_Curves/meltCurve_Q8NBJ4_2_GOLM1.pdf")</f>
        <v>Melting_Curves/meltCurve_Q8NBJ4_2_GOLM1.pdf</v>
      </c>
    </row>
    <row r="4619" spans="1:28" x14ac:dyDescent="0.25">
      <c r="A4619" t="s">
        <v>4623</v>
      </c>
      <c r="B4619">
        <v>0.99252571173614901</v>
      </c>
      <c r="C4619">
        <v>0.90191984056041197</v>
      </c>
      <c r="D4619">
        <v>1.0498435224878999</v>
      </c>
      <c r="E4619">
        <v>0.89266772874133604</v>
      </c>
      <c r="F4619">
        <v>0.38854843726486399</v>
      </c>
      <c r="G4619">
        <v>0.24106174084753301</v>
      </c>
      <c r="H4619">
        <v>0.199233666999489</v>
      </c>
      <c r="I4619">
        <v>0.22285372549462201</v>
      </c>
      <c r="J4619">
        <v>0.31542158110582902</v>
      </c>
      <c r="K4619">
        <v>0.263477320084194</v>
      </c>
      <c r="L4619">
        <v>2452.9863555489901</v>
      </c>
      <c r="M4619">
        <v>47.608525827000499</v>
      </c>
      <c r="N4619">
        <v>52.2725549442873</v>
      </c>
      <c r="O4619">
        <v>51.433436138348597</v>
      </c>
      <c r="P4619">
        <v>-0.17422507197897899</v>
      </c>
      <c r="Q4619">
        <v>0.24711091853379699</v>
      </c>
      <c r="R4619">
        <v>0.98253324579146895</v>
      </c>
      <c r="S4619" t="s">
        <v>11265</v>
      </c>
      <c r="T4619" t="s">
        <v>13290</v>
      </c>
      <c r="U4619" t="s">
        <v>13290</v>
      </c>
      <c r="V4619" t="s">
        <v>13290</v>
      </c>
      <c r="W4619" t="s">
        <v>17861</v>
      </c>
      <c r="X4619">
        <v>11</v>
      </c>
      <c r="Y4619" t="s">
        <v>24347</v>
      </c>
      <c r="Z4619" t="s">
        <v>30949</v>
      </c>
      <c r="AA4619">
        <v>0.53821145645451518</v>
      </c>
      <c r="AB4619" t="str">
        <f>HYPERLINK("Melting_Curves/meltCurve_Q8NBJ5_COLGALT1.pdf", "Melting_Curves/meltCurve_Q8NBJ5_COLGALT1.pdf")</f>
        <v>Melting_Curves/meltCurve_Q8NBJ5_COLGALT1.pdf</v>
      </c>
    </row>
    <row r="4620" spans="1:28" x14ac:dyDescent="0.25">
      <c r="A4620" t="s">
        <v>4624</v>
      </c>
      <c r="B4620">
        <v>0.99252571173614901</v>
      </c>
      <c r="C4620">
        <v>1.06481673252833</v>
      </c>
      <c r="D4620">
        <v>0.93996511857843501</v>
      </c>
      <c r="E4620">
        <v>0.80454357894397399</v>
      </c>
      <c r="F4620">
        <v>0.68000345014929098</v>
      </c>
      <c r="G4620">
        <v>0.25375803377095402</v>
      </c>
      <c r="H4620">
        <v>0.20457005460757899</v>
      </c>
      <c r="I4620">
        <v>0.20548407341049801</v>
      </c>
      <c r="J4620">
        <v>0.25002068088232499</v>
      </c>
      <c r="K4620">
        <v>0.18188757723931001</v>
      </c>
      <c r="L4620">
        <v>1270.01801408861</v>
      </c>
      <c r="M4620">
        <v>23.883692812051301</v>
      </c>
      <c r="N4620">
        <v>54.241626397993599</v>
      </c>
      <c r="O4620">
        <v>52.806534225701498</v>
      </c>
      <c r="P4620">
        <v>-9.1886180098210896E-2</v>
      </c>
      <c r="Q4620">
        <v>0.187376504322847</v>
      </c>
      <c r="R4620">
        <v>0.97642291952895199</v>
      </c>
      <c r="S4620" t="s">
        <v>11266</v>
      </c>
      <c r="T4620" t="s">
        <v>13290</v>
      </c>
      <c r="U4620" t="s">
        <v>13290</v>
      </c>
      <c r="V4620" t="s">
        <v>13290</v>
      </c>
      <c r="W4620" t="s">
        <v>17862</v>
      </c>
      <c r="X4620">
        <v>4</v>
      </c>
      <c r="Y4620" t="s">
        <v>24348</v>
      </c>
      <c r="Z4620" t="s">
        <v>30950</v>
      </c>
      <c r="AA4620">
        <v>0.55240941649198139</v>
      </c>
      <c r="AB4620" t="str">
        <f>HYPERLINK("Melting_Curves/meltCurve_Q8NBK3_4_SUMF1.pdf", "Melting_Curves/meltCurve_Q8NBK3_4_SUMF1.pdf")</f>
        <v>Melting_Curves/meltCurve_Q8NBK3_4_SUMF1.pdf</v>
      </c>
    </row>
    <row r="4621" spans="1:28" x14ac:dyDescent="0.25">
      <c r="A4621" t="s">
        <v>4625</v>
      </c>
      <c r="B4621">
        <v>0.99252571173614901</v>
      </c>
      <c r="C4621">
        <v>1.0064647403986799</v>
      </c>
      <c r="D4621">
        <v>0.85134427115347</v>
      </c>
      <c r="E4621">
        <v>0.71389745849125197</v>
      </c>
      <c r="F4621">
        <v>0.50041714421397798</v>
      </c>
      <c r="G4621">
        <v>0.36446794200610799</v>
      </c>
      <c r="H4621">
        <v>0.27557815113091999</v>
      </c>
      <c r="I4621">
        <v>0.318200737110862</v>
      </c>
      <c r="J4621">
        <v>0.154649635291293</v>
      </c>
      <c r="K4621">
        <v>0.147896660992832</v>
      </c>
      <c r="L4621">
        <v>675.18033045140498</v>
      </c>
      <c r="M4621">
        <v>12.963651086039</v>
      </c>
      <c r="N4621">
        <v>53.620097674568697</v>
      </c>
      <c r="O4621">
        <v>50.889961812356198</v>
      </c>
      <c r="P4621">
        <v>-5.38087317796236E-2</v>
      </c>
      <c r="Q4621">
        <v>0.15522708668931101</v>
      </c>
      <c r="R4621">
        <v>0.98383610725659099</v>
      </c>
      <c r="S4621" t="s">
        <v>11267</v>
      </c>
      <c r="T4621" t="s">
        <v>13290</v>
      </c>
      <c r="U4621" t="s">
        <v>13290</v>
      </c>
      <c r="V4621" t="s">
        <v>13290</v>
      </c>
      <c r="W4621" t="s">
        <v>17863</v>
      </c>
      <c r="X4621">
        <v>3</v>
      </c>
      <c r="Y4621" t="s">
        <v>24349</v>
      </c>
      <c r="Z4621" t="s">
        <v>30951</v>
      </c>
      <c r="AA4621">
        <v>0.51868928624067423</v>
      </c>
      <c r="AB4621" t="str">
        <f>HYPERLINK("Melting_Curves/meltCurve_Q8NBM4_2_UBAC2.pdf", "Melting_Curves/meltCurve_Q8NBM4_2_UBAC2.pdf")</f>
        <v>Melting_Curves/meltCurve_Q8NBM4_2_UBAC2.pdf</v>
      </c>
    </row>
    <row r="4622" spans="1:28" x14ac:dyDescent="0.25">
      <c r="A4622" t="s">
        <v>4626</v>
      </c>
      <c r="B4622">
        <v>0.99252571173614901</v>
      </c>
      <c r="C4622">
        <v>1.03254154318557</v>
      </c>
      <c r="D4622">
        <v>0.94730365644038905</v>
      </c>
      <c r="E4622">
        <v>0.85232037888849299</v>
      </c>
      <c r="F4622">
        <v>0.74264470198316102</v>
      </c>
      <c r="G4622">
        <v>0.64934942418487096</v>
      </c>
      <c r="H4622">
        <v>0.387690923953463</v>
      </c>
      <c r="I4622">
        <v>0.116010537301451</v>
      </c>
      <c r="J4622">
        <v>0.11630428166911499</v>
      </c>
      <c r="K4622">
        <v>9.2254082746915295E-2</v>
      </c>
      <c r="L4622">
        <v>815.24791734731502</v>
      </c>
      <c r="M4622">
        <v>14.0555329349503</v>
      </c>
      <c r="N4622">
        <v>58.001921546818302</v>
      </c>
      <c r="O4622">
        <v>56.8656944901904</v>
      </c>
      <c r="P4622">
        <v>-6.18007240689947E-2</v>
      </c>
      <c r="Q4622">
        <v>0</v>
      </c>
      <c r="R4622">
        <v>0.98122257251431899</v>
      </c>
      <c r="S4622" t="s">
        <v>11268</v>
      </c>
      <c r="T4622" t="s">
        <v>13290</v>
      </c>
      <c r="U4622" t="s">
        <v>13290</v>
      </c>
      <c r="V4622" t="s">
        <v>13290</v>
      </c>
      <c r="W4622" t="s">
        <v>17864</v>
      </c>
      <c r="X4622">
        <v>8</v>
      </c>
      <c r="Y4622" t="s">
        <v>24350</v>
      </c>
      <c r="Z4622" t="s">
        <v>30952</v>
      </c>
      <c r="AA4622">
        <v>0.61354612602974679</v>
      </c>
      <c r="AB4622" t="str">
        <f>HYPERLINK("Melting_Curves/meltCurve_Q8NBM8_PCYOX1L.pdf", "Melting_Curves/meltCurve_Q8NBM8_PCYOX1L.pdf")</f>
        <v>Melting_Curves/meltCurve_Q8NBM8_PCYOX1L.pdf</v>
      </c>
    </row>
    <row r="4623" spans="1:28" x14ac:dyDescent="0.25">
      <c r="A4623" t="s">
        <v>4627</v>
      </c>
      <c r="B4623">
        <v>0.99252571173614901</v>
      </c>
      <c r="C4623">
        <v>0.85810796669339096</v>
      </c>
      <c r="D4623">
        <v>0.85728706625597595</v>
      </c>
      <c r="E4623">
        <v>0.74771864962170198</v>
      </c>
      <c r="F4623">
        <v>0.62582637268043395</v>
      </c>
      <c r="G4623">
        <v>0.55750410784091997</v>
      </c>
      <c r="H4623">
        <v>0.390357950784257</v>
      </c>
      <c r="I4623">
        <v>0.349366499690629</v>
      </c>
      <c r="J4623">
        <v>0.40874437422421001</v>
      </c>
      <c r="K4623">
        <v>0.25176734520521099</v>
      </c>
      <c r="L4623">
        <v>410.27508957996503</v>
      </c>
      <c r="M4623">
        <v>7.4310185422030299</v>
      </c>
      <c r="N4623">
        <v>57.899825358786799</v>
      </c>
      <c r="O4623">
        <v>51.636131864288899</v>
      </c>
      <c r="P4623">
        <v>-3.07738129463308E-2</v>
      </c>
      <c r="Q4623">
        <v>0.145915192437922</v>
      </c>
      <c r="R4623">
        <v>0.97194467342814095</v>
      </c>
      <c r="S4623" t="s">
        <v>11269</v>
      </c>
      <c r="T4623" t="s">
        <v>13290</v>
      </c>
      <c r="U4623" t="s">
        <v>13290</v>
      </c>
      <c r="V4623" t="s">
        <v>13290</v>
      </c>
      <c r="W4623" t="s">
        <v>17865</v>
      </c>
      <c r="X4623">
        <v>6</v>
      </c>
      <c r="Y4623" t="s">
        <v>24351</v>
      </c>
      <c r="Z4623" t="s">
        <v>30953</v>
      </c>
      <c r="AA4623">
        <v>0.60070715811319753</v>
      </c>
      <c r="AB4623" t="str">
        <f>HYPERLINK("Melting_Curves/meltCurve_Q8NBN3_TMEM87A.pdf", "Melting_Curves/meltCurve_Q8NBN3_TMEM87A.pdf")</f>
        <v>Melting_Curves/meltCurve_Q8NBN3_TMEM87A.pdf</v>
      </c>
    </row>
    <row r="4624" spans="1:28" x14ac:dyDescent="0.25">
      <c r="A4624" t="s">
        <v>4628</v>
      </c>
      <c r="B4624">
        <v>0.99252571173614901</v>
      </c>
      <c r="C4624">
        <v>0.96196687754169696</v>
      </c>
      <c r="D4624">
        <v>0.85187136700785204</v>
      </c>
      <c r="E4624">
        <v>0.47242654832234798</v>
      </c>
      <c r="F4624">
        <v>0.15353447868933001</v>
      </c>
      <c r="G4624">
        <v>8.8224810904713097E-2</v>
      </c>
      <c r="H4624">
        <v>7.0816936291857494E-2</v>
      </c>
      <c r="I4624">
        <v>7.1349202094941999E-2</v>
      </c>
      <c r="J4624">
        <v>8.2356157763439602E-2</v>
      </c>
      <c r="K4624">
        <v>8.8479409973983597E-2</v>
      </c>
      <c r="L4624">
        <v>1307.4167465554999</v>
      </c>
      <c r="M4624">
        <v>26.6959286894309</v>
      </c>
      <c r="N4624">
        <v>49.262130002978701</v>
      </c>
      <c r="O4624">
        <v>48.7020590457632</v>
      </c>
      <c r="P4624">
        <v>-0.12714546622144801</v>
      </c>
      <c r="Q4624">
        <v>7.2190933314088698E-2</v>
      </c>
      <c r="R4624">
        <v>0.99906974403997695</v>
      </c>
      <c r="S4624" t="s">
        <v>11270</v>
      </c>
      <c r="T4624" t="s">
        <v>13290</v>
      </c>
      <c r="U4624" t="s">
        <v>13290</v>
      </c>
      <c r="V4624" t="s">
        <v>13290</v>
      </c>
      <c r="W4624" t="s">
        <v>17866</v>
      </c>
      <c r="X4624">
        <v>12</v>
      </c>
      <c r="Y4624" t="s">
        <v>24352</v>
      </c>
      <c r="Z4624" t="s">
        <v>30954</v>
      </c>
      <c r="AA4624">
        <v>0.35692172588832438</v>
      </c>
      <c r="AB4624" t="str">
        <f>HYPERLINK("Melting_Curves/meltCurve_Q8NBN7_RDH13.pdf", "Melting_Curves/meltCurve_Q8NBN7_RDH13.pdf")</f>
        <v>Melting_Curves/meltCurve_Q8NBN7_RDH13.pdf</v>
      </c>
    </row>
    <row r="4625" spans="1:28" x14ac:dyDescent="0.25">
      <c r="A4625" t="s">
        <v>4629</v>
      </c>
      <c r="B4625">
        <v>0.99252571173614901</v>
      </c>
      <c r="C4625">
        <v>0.98024700660225395</v>
      </c>
      <c r="D4625">
        <v>0.89470682000828405</v>
      </c>
      <c r="E4625">
        <v>0.64959373170673895</v>
      </c>
      <c r="F4625">
        <v>0.719520026260971</v>
      </c>
      <c r="G4625">
        <v>0.27568572880268299</v>
      </c>
      <c r="H4625">
        <v>0.2028921161752</v>
      </c>
      <c r="I4625">
        <v>0.19697268171475299</v>
      </c>
      <c r="J4625">
        <v>0.26072632816239</v>
      </c>
      <c r="K4625">
        <v>0.21220410536414699</v>
      </c>
      <c r="L4625">
        <v>768.12987340267705</v>
      </c>
      <c r="M4625">
        <v>14.647961938197099</v>
      </c>
      <c r="N4625">
        <v>53.937808947405898</v>
      </c>
      <c r="O4625">
        <v>51.491092123580501</v>
      </c>
      <c r="P4625">
        <v>-5.9237695249071097E-2</v>
      </c>
      <c r="Q4625">
        <v>0.16715363286984</v>
      </c>
      <c r="R4625">
        <v>0.94294594021677203</v>
      </c>
      <c r="S4625" t="s">
        <v>11271</v>
      </c>
      <c r="T4625" t="s">
        <v>13290</v>
      </c>
      <c r="U4625" t="s">
        <v>13290</v>
      </c>
      <c r="V4625" t="s">
        <v>13290</v>
      </c>
      <c r="W4625" t="s">
        <v>17867</v>
      </c>
      <c r="X4625">
        <v>7</v>
      </c>
      <c r="Y4625" t="s">
        <v>24353</v>
      </c>
      <c r="Z4625" t="s">
        <v>30955</v>
      </c>
      <c r="AA4625">
        <v>0.53146065977270329</v>
      </c>
      <c r="AB4625" t="str">
        <f>HYPERLINK("Melting_Curves/meltCurve_Q8NBP7_PCSK9.pdf", "Melting_Curves/meltCurve_Q8NBP7_PCSK9.pdf")</f>
        <v>Melting_Curves/meltCurve_Q8NBP7_PCSK9.pdf</v>
      </c>
    </row>
    <row r="4626" spans="1:28" x14ac:dyDescent="0.25">
      <c r="A4626" t="s">
        <v>4630</v>
      </c>
      <c r="B4626">
        <v>0.99252571173614901</v>
      </c>
      <c r="C4626">
        <v>0.88438964792222496</v>
      </c>
      <c r="D4626">
        <v>0.78288579685112503</v>
      </c>
      <c r="E4626">
        <v>0.62438165505269705</v>
      </c>
      <c r="F4626">
        <v>0.334971593426164</v>
      </c>
      <c r="G4626">
        <v>0.22352008360734299</v>
      </c>
      <c r="H4626">
        <v>0.135280583354354</v>
      </c>
      <c r="I4626">
        <v>9.6027966594912695E-2</v>
      </c>
      <c r="J4626">
        <v>9.3596876879512902E-2</v>
      </c>
      <c r="K4626">
        <v>9.4622026512746094E-2</v>
      </c>
      <c r="L4626">
        <v>689.13408543793901</v>
      </c>
      <c r="M4626">
        <v>13.688521169614001</v>
      </c>
      <c r="N4626">
        <v>50.811673126823003</v>
      </c>
      <c r="O4626">
        <v>49.305958791890703</v>
      </c>
      <c r="P4626">
        <v>-6.5306947860460096E-2</v>
      </c>
      <c r="Q4626">
        <v>5.9195227612052898E-2</v>
      </c>
      <c r="R4626">
        <v>0.99544259860648399</v>
      </c>
      <c r="S4626" t="s">
        <v>11272</v>
      </c>
      <c r="T4626" t="s">
        <v>13290</v>
      </c>
      <c r="U4626" t="s">
        <v>13290</v>
      </c>
      <c r="V4626" t="s">
        <v>13290</v>
      </c>
      <c r="W4626" t="s">
        <v>17868</v>
      </c>
      <c r="X4626">
        <v>6</v>
      </c>
      <c r="Y4626" t="s">
        <v>24354</v>
      </c>
      <c r="Z4626" t="s">
        <v>30956</v>
      </c>
      <c r="AA4626">
        <v>0.40948628919234609</v>
      </c>
      <c r="AB4626" t="str">
        <f>HYPERLINK("Melting_Curves/meltCurve_Q8NBU5_ATAD1.pdf", "Melting_Curves/meltCurve_Q8NBU5_ATAD1.pdf")</f>
        <v>Melting_Curves/meltCurve_Q8NBU5_ATAD1.pdf</v>
      </c>
    </row>
    <row r="4627" spans="1:28" x14ac:dyDescent="0.25">
      <c r="A4627" t="s">
        <v>4631</v>
      </c>
      <c r="B4627">
        <v>0.99252571173614901</v>
      </c>
      <c r="C4627">
        <v>0.95239752517586096</v>
      </c>
      <c r="D4627">
        <v>0.91639279409998797</v>
      </c>
      <c r="E4627">
        <v>0.78572988840666003</v>
      </c>
      <c r="F4627">
        <v>0.34129529193377101</v>
      </c>
      <c r="G4627">
        <v>0.143269957719937</v>
      </c>
      <c r="H4627">
        <v>8.0569756407491006E-2</v>
      </c>
      <c r="I4627">
        <v>7.5299231211467602E-2</v>
      </c>
      <c r="J4627">
        <v>7.6804948065284304E-2</v>
      </c>
      <c r="K4627">
        <v>6.1531665761523399E-2</v>
      </c>
      <c r="L4627">
        <v>1376.8339933027401</v>
      </c>
      <c r="M4627">
        <v>26.689074018293901</v>
      </c>
      <c r="N4627">
        <v>51.866726187694603</v>
      </c>
      <c r="O4627">
        <v>51.300931862798201</v>
      </c>
      <c r="P4627">
        <v>-0.121372158092674</v>
      </c>
      <c r="Q4627">
        <v>6.6818418671276594E-2</v>
      </c>
      <c r="R4627">
        <v>0.99666615787034696</v>
      </c>
      <c r="S4627" t="s">
        <v>11273</v>
      </c>
      <c r="T4627" t="s">
        <v>13290</v>
      </c>
      <c r="U4627" t="s">
        <v>13290</v>
      </c>
      <c r="V4627" t="s">
        <v>13290</v>
      </c>
      <c r="W4627" t="s">
        <v>17869</v>
      </c>
      <c r="X4627">
        <v>18</v>
      </c>
      <c r="Y4627" t="s">
        <v>24355</v>
      </c>
      <c r="Z4627" t="s">
        <v>30957</v>
      </c>
      <c r="AA4627">
        <v>0.43473927548453351</v>
      </c>
      <c r="AB4627" t="str">
        <f>HYPERLINK("Melting_Curves/meltCurve_Q8NBX0_SCCPDH.pdf", "Melting_Curves/meltCurve_Q8NBX0_SCCPDH.pdf")</f>
        <v>Melting_Curves/meltCurve_Q8NBX0_SCCPDH.pdf</v>
      </c>
    </row>
    <row r="4628" spans="1:28" x14ac:dyDescent="0.25">
      <c r="A4628" t="s">
        <v>4632</v>
      </c>
      <c r="B4628">
        <v>0.99252571173614901</v>
      </c>
      <c r="C4628">
        <v>1.1061852904521099</v>
      </c>
      <c r="D4628">
        <v>0.50854340734554204</v>
      </c>
      <c r="E4628">
        <v>0.54078535033453601</v>
      </c>
      <c r="F4628">
        <v>0.13572613188730601</v>
      </c>
      <c r="G4628">
        <v>6.9684220734048202E-2</v>
      </c>
      <c r="H4628">
        <v>5.0249884027827298E-2</v>
      </c>
      <c r="I4628">
        <v>4.9456471085521897E-2</v>
      </c>
      <c r="J4628">
        <v>5.8310242684881698E-2</v>
      </c>
      <c r="K4628">
        <v>5.87086126363515E-2</v>
      </c>
      <c r="L4628">
        <v>879.69204449578899</v>
      </c>
      <c r="M4628">
        <v>18.258276921552199</v>
      </c>
      <c r="N4628">
        <v>48.398528935257801</v>
      </c>
      <c r="O4628">
        <v>47.613642675266497</v>
      </c>
      <c r="P4628">
        <v>-9.2085889736786095E-2</v>
      </c>
      <c r="Q4628">
        <v>3.9484359718400398E-2</v>
      </c>
      <c r="R4628">
        <v>0.92989324334239998</v>
      </c>
      <c r="S4628" t="s">
        <v>11274</v>
      </c>
      <c r="T4628" t="s">
        <v>13290</v>
      </c>
      <c r="U4628" t="s">
        <v>13290</v>
      </c>
      <c r="V4628" t="s">
        <v>13290</v>
      </c>
      <c r="W4628" t="s">
        <v>17870</v>
      </c>
      <c r="X4628">
        <v>21</v>
      </c>
      <c r="Y4628" t="s">
        <v>24356</v>
      </c>
      <c r="Z4628" t="s">
        <v>30958</v>
      </c>
      <c r="AA4628">
        <v>0.3178586623285139</v>
      </c>
      <c r="AB4628" t="str">
        <f>HYPERLINK("Melting_Curves/meltCurve_Q8NBY1_MST4.pdf", "Melting_Curves/meltCurve_Q8NBY1_MST4.pdf")</f>
        <v>Melting_Curves/meltCurve_Q8NBY1_MST4.pdf</v>
      </c>
    </row>
    <row r="4629" spans="1:28" x14ac:dyDescent="0.25">
      <c r="A4629" t="s">
        <v>4633</v>
      </c>
      <c r="B4629">
        <v>0.99252571173614901</v>
      </c>
      <c r="C4629">
        <v>1.01939468560394</v>
      </c>
      <c r="D4629">
        <v>0.89832161500391805</v>
      </c>
      <c r="E4629">
        <v>0.852152982976916</v>
      </c>
      <c r="F4629">
        <v>0.88438825907360596</v>
      </c>
      <c r="G4629">
        <v>0.99433273743641903</v>
      </c>
      <c r="H4629">
        <v>1.20796949413403</v>
      </c>
      <c r="I4629">
        <v>1.7276309089234101</v>
      </c>
      <c r="J4629">
        <v>2.62359801473225</v>
      </c>
      <c r="K4629">
        <v>2.88201337606858</v>
      </c>
      <c r="L4629">
        <v>15000</v>
      </c>
      <c r="M4629">
        <v>246.371107030361</v>
      </c>
      <c r="O4629">
        <v>60.879730043971698</v>
      </c>
      <c r="P4629">
        <v>0.50585601819668402</v>
      </c>
      <c r="Q4629">
        <v>1.5</v>
      </c>
      <c r="R4629">
        <v>0.36254750116145201</v>
      </c>
      <c r="S4629" t="s">
        <v>11275</v>
      </c>
      <c r="T4629" t="s">
        <v>13290</v>
      </c>
      <c r="U4629" t="s">
        <v>13290</v>
      </c>
      <c r="V4629" t="s">
        <v>13290</v>
      </c>
      <c r="W4629" t="s">
        <v>17871</v>
      </c>
      <c r="X4629">
        <v>32</v>
      </c>
      <c r="Y4629" t="s">
        <v>24357</v>
      </c>
      <c r="Z4629" t="s">
        <v>30959</v>
      </c>
      <c r="AA4629">
        <v>1.1518822786397569</v>
      </c>
      <c r="AB4629" t="str">
        <f>HYPERLINK("Melting_Curves/meltCurve_Q8NC51_SERBP1.pdf", "Melting_Curves/meltCurve_Q8NC51_SERBP1.pdf")</f>
        <v>Melting_Curves/meltCurve_Q8NC51_SERBP1.pdf</v>
      </c>
    </row>
    <row r="4630" spans="1:28" x14ac:dyDescent="0.25">
      <c r="A4630" t="s">
        <v>4634</v>
      </c>
      <c r="B4630">
        <v>0.99252571173614901</v>
      </c>
      <c r="C4630">
        <v>0.88233205579037499</v>
      </c>
      <c r="D4630">
        <v>0.836770516626547</v>
      </c>
      <c r="E4630">
        <v>0.67778399473405404</v>
      </c>
      <c r="F4630">
        <v>0.72014850190123902</v>
      </c>
      <c r="G4630">
        <v>0.57946903509662595</v>
      </c>
      <c r="H4630">
        <v>0.51205374638034096</v>
      </c>
      <c r="I4630">
        <v>0.67858921143286799</v>
      </c>
      <c r="J4630">
        <v>1.10516744480667</v>
      </c>
      <c r="K4630">
        <v>1.05285794433068</v>
      </c>
      <c r="L4630">
        <v>1356.7419271753799</v>
      </c>
      <c r="M4630">
        <v>31.380815423617101</v>
      </c>
      <c r="O4630">
        <v>43.060326424859397</v>
      </c>
      <c r="P4630">
        <v>-4.2865948073208503E-2</v>
      </c>
      <c r="Q4630">
        <v>0.76472103969496497</v>
      </c>
      <c r="R4630">
        <v>0.142888706968264</v>
      </c>
      <c r="S4630" t="s">
        <v>11276</v>
      </c>
      <c r="T4630" t="s">
        <v>13290</v>
      </c>
      <c r="U4630" t="s">
        <v>13290</v>
      </c>
      <c r="V4630" t="s">
        <v>13290</v>
      </c>
      <c r="W4630" t="s">
        <v>17872</v>
      </c>
      <c r="X4630">
        <v>2</v>
      </c>
      <c r="Y4630" t="s">
        <v>24358</v>
      </c>
      <c r="Z4630" t="s">
        <v>30960</v>
      </c>
      <c r="AA4630">
        <v>0.79190377876145712</v>
      </c>
      <c r="AB4630" t="str">
        <f>HYPERLINK("Melting_Curves/meltCurve_Q8NC54_KCT2.pdf", "Melting_Curves/meltCurve_Q8NC54_KCT2.pdf")</f>
        <v>Melting_Curves/meltCurve_Q8NC54_KCT2.pdf</v>
      </c>
    </row>
    <row r="4631" spans="1:28" x14ac:dyDescent="0.25">
      <c r="A4631" t="s">
        <v>4635</v>
      </c>
      <c r="B4631">
        <v>0.99252571173614901</v>
      </c>
      <c r="C4631">
        <v>0.94931293166414299</v>
      </c>
      <c r="D4631">
        <v>0.988539401820138</v>
      </c>
      <c r="E4631">
        <v>0.71630720262342495</v>
      </c>
      <c r="F4631">
        <v>0.31713330345183399</v>
      </c>
      <c r="G4631">
        <v>0.20126884040021001</v>
      </c>
      <c r="H4631">
        <v>0.14874835965490099</v>
      </c>
      <c r="I4631">
        <v>0.16419978917338601</v>
      </c>
      <c r="J4631">
        <v>0.224672794782249</v>
      </c>
      <c r="K4631">
        <v>0.232444270456654</v>
      </c>
      <c r="L4631">
        <v>1758.7750496031599</v>
      </c>
      <c r="M4631">
        <v>34.8206093846212</v>
      </c>
      <c r="N4631">
        <v>51.219325242008601</v>
      </c>
      <c r="O4631">
        <v>50.343887236725699</v>
      </c>
      <c r="P4631">
        <v>-0.13982204825789499</v>
      </c>
      <c r="Q4631">
        <v>0.191380181758561</v>
      </c>
      <c r="R4631">
        <v>0.99325243235468996</v>
      </c>
      <c r="S4631" t="s">
        <v>11277</v>
      </c>
      <c r="T4631" t="s">
        <v>13290</v>
      </c>
      <c r="U4631" t="s">
        <v>13290</v>
      </c>
      <c r="V4631" t="s">
        <v>13290</v>
      </c>
      <c r="W4631" t="s">
        <v>17873</v>
      </c>
      <c r="X4631">
        <v>12</v>
      </c>
      <c r="Y4631" t="s">
        <v>24359</v>
      </c>
      <c r="Z4631" t="s">
        <v>30961</v>
      </c>
      <c r="AA4631">
        <v>0.47839061342593753</v>
      </c>
      <c r="AB4631" t="str">
        <f>HYPERLINK("Melting_Curves/meltCurve_Q8NC56_LEMD2.pdf", "Melting_Curves/meltCurve_Q8NC56_LEMD2.pdf")</f>
        <v>Melting_Curves/meltCurve_Q8NC56_LEMD2.pdf</v>
      </c>
    </row>
    <row r="4632" spans="1:28" x14ac:dyDescent="0.25">
      <c r="A4632" t="s">
        <v>4636</v>
      </c>
      <c r="B4632">
        <v>0.99252571173614901</v>
      </c>
      <c r="C4632">
        <v>1.0346626081633701</v>
      </c>
      <c r="D4632">
        <v>0.88626711076577103</v>
      </c>
      <c r="E4632">
        <v>0.67603895439901995</v>
      </c>
      <c r="F4632">
        <v>0.28788566171650598</v>
      </c>
      <c r="G4632">
        <v>0.171971072000521</v>
      </c>
      <c r="H4632">
        <v>0.128469316044763</v>
      </c>
      <c r="I4632">
        <v>0.152944550001821</v>
      </c>
      <c r="J4632">
        <v>0.20338298414686001</v>
      </c>
      <c r="K4632">
        <v>0.16925101877978899</v>
      </c>
      <c r="L4632">
        <v>1417.4437291628301</v>
      </c>
      <c r="M4632">
        <v>28.223698857788602</v>
      </c>
      <c r="N4632">
        <v>50.898938856509901</v>
      </c>
      <c r="O4632">
        <v>49.9716623707643</v>
      </c>
      <c r="P4632">
        <v>-0.11909808589295</v>
      </c>
      <c r="Q4632">
        <v>0.15652734954824801</v>
      </c>
      <c r="R4632">
        <v>0.99293922998647899</v>
      </c>
      <c r="S4632" t="s">
        <v>11278</v>
      </c>
      <c r="T4632" t="s">
        <v>13290</v>
      </c>
      <c r="U4632" t="s">
        <v>13290</v>
      </c>
      <c r="V4632" t="s">
        <v>13290</v>
      </c>
      <c r="W4632" t="s">
        <v>17874</v>
      </c>
      <c r="X4632">
        <v>4</v>
      </c>
      <c r="Y4632" t="s">
        <v>24360</v>
      </c>
      <c r="Z4632" t="s">
        <v>30962</v>
      </c>
      <c r="AA4632">
        <v>0.44984165938930248</v>
      </c>
      <c r="AB4632" t="str">
        <f>HYPERLINK("Melting_Curves/meltCurve_Q8NC60_NOA1.pdf", "Melting_Curves/meltCurve_Q8NC60_NOA1.pdf")</f>
        <v>Melting_Curves/meltCurve_Q8NC60_NOA1.pdf</v>
      </c>
    </row>
    <row r="4633" spans="1:28" x14ac:dyDescent="0.25">
      <c r="A4633" t="s">
        <v>4637</v>
      </c>
      <c r="B4633">
        <v>0.99252571173614901</v>
      </c>
      <c r="C4633">
        <v>0.99429008267330199</v>
      </c>
      <c r="D4633">
        <v>0.93837641542428696</v>
      </c>
      <c r="E4633">
        <v>0.70278833893929404</v>
      </c>
      <c r="F4633">
        <v>0.34639748075263799</v>
      </c>
      <c r="G4633">
        <v>0.135941700176304</v>
      </c>
      <c r="H4633">
        <v>8.8838604776415503E-2</v>
      </c>
      <c r="I4633">
        <v>0.10141466379023099</v>
      </c>
      <c r="J4633">
        <v>0.111632140830037</v>
      </c>
      <c r="K4633">
        <v>9.6086926745378401E-2</v>
      </c>
      <c r="L4633">
        <v>1284.1363199780701</v>
      </c>
      <c r="M4633">
        <v>25.1528171082075</v>
      </c>
      <c r="N4633">
        <v>51.462994729054202</v>
      </c>
      <c r="O4633">
        <v>50.733957728088001</v>
      </c>
      <c r="P4633">
        <v>-0.11270226025723799</v>
      </c>
      <c r="Q4633">
        <v>9.0717111374629206E-2</v>
      </c>
      <c r="R4633">
        <v>0.99902770431278798</v>
      </c>
      <c r="S4633" t="s">
        <v>11279</v>
      </c>
      <c r="T4633" t="s">
        <v>13290</v>
      </c>
      <c r="U4633" t="s">
        <v>13290</v>
      </c>
      <c r="V4633" t="s">
        <v>13290</v>
      </c>
      <c r="W4633" t="s">
        <v>17875</v>
      </c>
      <c r="X4633">
        <v>7</v>
      </c>
      <c r="Y4633" t="s">
        <v>24361</v>
      </c>
      <c r="Z4633" t="s">
        <v>30963</v>
      </c>
      <c r="AA4633">
        <v>0.43386004952444562</v>
      </c>
      <c r="AB4633" t="str">
        <f>HYPERLINK("Melting_Curves/meltCurve_Q8NC96_NECAP1.pdf", "Melting_Curves/meltCurve_Q8NC96_NECAP1.pdf")</f>
        <v>Melting_Curves/meltCurve_Q8NC96_NECAP1.pdf</v>
      </c>
    </row>
    <row r="4634" spans="1:28" x14ac:dyDescent="0.25">
      <c r="A4634" t="s">
        <v>4638</v>
      </c>
      <c r="B4634">
        <v>0.99252571173614901</v>
      </c>
      <c r="C4634">
        <v>0.89730158447233599</v>
      </c>
      <c r="D4634">
        <v>1.0070021848400199</v>
      </c>
      <c r="E4634">
        <v>0.76704416720597501</v>
      </c>
      <c r="F4634">
        <v>0.23043371445771699</v>
      </c>
      <c r="G4634">
        <v>0.15331131107481</v>
      </c>
      <c r="H4634">
        <v>0.10128886999418001</v>
      </c>
      <c r="I4634">
        <v>0.106552539574403</v>
      </c>
      <c r="J4634">
        <v>0.14795585472137299</v>
      </c>
      <c r="K4634">
        <v>0.153267273692549</v>
      </c>
      <c r="L4634">
        <v>2232.3865070511802</v>
      </c>
      <c r="M4634">
        <v>43.997248614427797</v>
      </c>
      <c r="N4634">
        <v>51.090759391486799</v>
      </c>
      <c r="O4634">
        <v>50.634741838755303</v>
      </c>
      <c r="P4634">
        <v>-0.188859062321767</v>
      </c>
      <c r="Q4634">
        <v>0.13059867329084199</v>
      </c>
      <c r="R4634">
        <v>0.99087475629781496</v>
      </c>
      <c r="S4634" t="s">
        <v>11280</v>
      </c>
      <c r="T4634" t="s">
        <v>13290</v>
      </c>
      <c r="U4634" t="s">
        <v>13290</v>
      </c>
      <c r="V4634" t="s">
        <v>13290</v>
      </c>
      <c r="W4634" t="s">
        <v>17876</v>
      </c>
      <c r="X4634">
        <v>10</v>
      </c>
      <c r="Y4634" t="s">
        <v>24362</v>
      </c>
      <c r="Z4634" t="s">
        <v>30964</v>
      </c>
      <c r="AA4634">
        <v>0.44433895817653318</v>
      </c>
      <c r="AB4634" t="str">
        <f>HYPERLINK("Melting_Curves/meltCurve_Q8NCA5_2_FAM98A.pdf", "Melting_Curves/meltCurve_Q8NCA5_2_FAM98A.pdf")</f>
        <v>Melting_Curves/meltCurve_Q8NCA5_2_FAM98A.pdf</v>
      </c>
    </row>
    <row r="4635" spans="1:28" x14ac:dyDescent="0.25">
      <c r="A4635" t="s">
        <v>4639</v>
      </c>
      <c r="B4635">
        <v>0.99252571173614901</v>
      </c>
      <c r="C4635">
        <v>1.06931027485124</v>
      </c>
      <c r="D4635">
        <v>0.99544995585930895</v>
      </c>
      <c r="E4635">
        <v>0.94845523517830499</v>
      </c>
      <c r="F4635">
        <v>0.83386410583178305</v>
      </c>
      <c r="G4635">
        <v>0.66712063583581005</v>
      </c>
      <c r="H4635">
        <v>0.60520201917046301</v>
      </c>
      <c r="I4635">
        <v>0.64708714304061199</v>
      </c>
      <c r="J4635">
        <v>0.83161611357189102</v>
      </c>
      <c r="K4635">
        <v>0.76870676178280395</v>
      </c>
      <c r="L4635">
        <v>2338.6854732417601</v>
      </c>
      <c r="M4635">
        <v>44.432516529537999</v>
      </c>
      <c r="O4635">
        <v>52.528284954842299</v>
      </c>
      <c r="P4635">
        <v>-6.2681924273148198E-2</v>
      </c>
      <c r="Q4635">
        <v>0.70358930421895005</v>
      </c>
      <c r="R4635">
        <v>0.82361909039070802</v>
      </c>
      <c r="S4635" t="s">
        <v>11281</v>
      </c>
      <c r="T4635" t="s">
        <v>13290</v>
      </c>
      <c r="U4635" t="s">
        <v>13290</v>
      </c>
      <c r="V4635" t="s">
        <v>13290</v>
      </c>
      <c r="W4635" t="s">
        <v>17877</v>
      </c>
      <c r="X4635">
        <v>6</v>
      </c>
      <c r="Y4635" t="s">
        <v>24363</v>
      </c>
      <c r="Z4635" t="s">
        <v>30965</v>
      </c>
      <c r="AA4635">
        <v>0.82929556593662523</v>
      </c>
      <c r="AB4635" t="str">
        <f>HYPERLINK("Melting_Curves/meltCurve_Q8NCC3_PLA2G15.pdf", "Melting_Curves/meltCurve_Q8NCC3_PLA2G15.pdf")</f>
        <v>Melting_Curves/meltCurve_Q8NCC3_PLA2G15.pdf</v>
      </c>
    </row>
    <row r="4636" spans="1:28" x14ac:dyDescent="0.25">
      <c r="A4636" t="s">
        <v>4640</v>
      </c>
      <c r="B4636">
        <v>0.99252571173614901</v>
      </c>
      <c r="C4636">
        <v>0.91037198873031999</v>
      </c>
      <c r="D4636">
        <v>1.1180929237413</v>
      </c>
      <c r="E4636">
        <v>0.79628439706176501</v>
      </c>
      <c r="F4636">
        <v>0.24047873654489199</v>
      </c>
      <c r="G4636">
        <v>0.138758828930901</v>
      </c>
      <c r="H4636">
        <v>7.8591664581548107E-2</v>
      </c>
      <c r="I4636">
        <v>9.3387430525328302E-2</v>
      </c>
      <c r="J4636">
        <v>0.118146614352011</v>
      </c>
      <c r="K4636">
        <v>0.118879371936325</v>
      </c>
      <c r="L4636">
        <v>2262.7054147347399</v>
      </c>
      <c r="M4636">
        <v>44.331206308767499</v>
      </c>
      <c r="N4636">
        <v>51.322865834036001</v>
      </c>
      <c r="O4636">
        <v>50.937381430031699</v>
      </c>
      <c r="P4636">
        <v>-0.19406134789571899</v>
      </c>
      <c r="Q4636">
        <v>0.108080820064598</v>
      </c>
      <c r="R4636">
        <v>0.98491240370184296</v>
      </c>
      <c r="S4636" t="s">
        <v>11282</v>
      </c>
      <c r="T4636" t="s">
        <v>13290</v>
      </c>
      <c r="U4636" t="s">
        <v>13290</v>
      </c>
      <c r="V4636" t="s">
        <v>13290</v>
      </c>
      <c r="W4636" t="s">
        <v>17878</v>
      </c>
      <c r="X4636">
        <v>3</v>
      </c>
      <c r="Y4636" t="s">
        <v>24364</v>
      </c>
      <c r="Z4636" t="s">
        <v>30966</v>
      </c>
      <c r="AA4636">
        <v>0.43889245108362002</v>
      </c>
      <c r="AB4636" t="str">
        <f>HYPERLINK("Melting_Curves/meltCurve_Q8NCE0_4_TSEN2.pdf", "Melting_Curves/meltCurve_Q8NCE0_4_TSEN2.pdf")</f>
        <v>Melting_Curves/meltCurve_Q8NCE0_4_TSEN2.pdf</v>
      </c>
    </row>
    <row r="4637" spans="1:28" x14ac:dyDescent="0.25">
      <c r="A4637" t="s">
        <v>4641</v>
      </c>
      <c r="B4637">
        <v>0.99252571173614901</v>
      </c>
      <c r="C4637">
        <v>1.0068730798423799</v>
      </c>
      <c r="D4637">
        <v>0.88434155762928901</v>
      </c>
      <c r="E4637">
        <v>0.66048679109664099</v>
      </c>
      <c r="F4637">
        <v>0.21426765082728499</v>
      </c>
      <c r="G4637">
        <v>0.11236136700622699</v>
      </c>
      <c r="H4637">
        <v>7.1276598352269793E-2</v>
      </c>
      <c r="I4637">
        <v>6.5803541418856706E-2</v>
      </c>
      <c r="J4637">
        <v>7.6038350135177304E-2</v>
      </c>
      <c r="K4637">
        <v>6.6357110833920402E-2</v>
      </c>
      <c r="L4637">
        <v>1385.56997619103</v>
      </c>
      <c r="M4637">
        <v>27.506378411427502</v>
      </c>
      <c r="N4637">
        <v>50.629629785562003</v>
      </c>
      <c r="O4637">
        <v>50.108697391294498</v>
      </c>
      <c r="P4637">
        <v>-0.12829453688727299</v>
      </c>
      <c r="Q4637">
        <v>6.5145958011713107E-2</v>
      </c>
      <c r="R4637">
        <v>0.99701859228435596</v>
      </c>
      <c r="S4637" t="s">
        <v>11283</v>
      </c>
      <c r="T4637" t="s">
        <v>13290</v>
      </c>
      <c r="U4637" t="s">
        <v>13290</v>
      </c>
      <c r="V4637" t="s">
        <v>13290</v>
      </c>
      <c r="W4637" t="s">
        <v>17879</v>
      </c>
      <c r="X4637">
        <v>8</v>
      </c>
      <c r="Y4637" t="s">
        <v>24365</v>
      </c>
      <c r="Z4637" t="s">
        <v>30967</v>
      </c>
      <c r="AA4637">
        <v>0.39530495627986301</v>
      </c>
      <c r="AB4637" t="str">
        <f>HYPERLINK("Melting_Curves/meltCurve_Q8NCE2_MTMR14.pdf", "Melting_Curves/meltCurve_Q8NCE2_MTMR14.pdf")</f>
        <v>Melting_Curves/meltCurve_Q8NCE2_MTMR14.pdf</v>
      </c>
    </row>
    <row r="4638" spans="1:28" x14ac:dyDescent="0.25">
      <c r="A4638" t="s">
        <v>4642</v>
      </c>
      <c r="B4638">
        <v>0.99252571173614901</v>
      </c>
      <c r="C4638">
        <v>1.0367210397818001</v>
      </c>
      <c r="D4638">
        <v>0.85990726530317896</v>
      </c>
      <c r="E4638">
        <v>0.52575903624688503</v>
      </c>
      <c r="F4638">
        <v>0.261109201808497</v>
      </c>
      <c r="G4638">
        <v>0.15913190358222701</v>
      </c>
      <c r="H4638">
        <v>0.115538224385107</v>
      </c>
      <c r="I4638">
        <v>0.117364529921519</v>
      </c>
      <c r="J4638">
        <v>0.161351813483217</v>
      </c>
      <c r="K4638">
        <v>0.189013653143115</v>
      </c>
      <c r="L4638">
        <v>1279.44386194963</v>
      </c>
      <c r="M4638">
        <v>26.016999561830399</v>
      </c>
      <c r="N4638">
        <v>49.826248217117303</v>
      </c>
      <c r="O4638">
        <v>48.889446628162297</v>
      </c>
      <c r="P4638">
        <v>-0.113921222571051</v>
      </c>
      <c r="Q4638">
        <v>0.14371654003475601</v>
      </c>
      <c r="R4638">
        <v>0.99391585759598</v>
      </c>
      <c r="S4638" t="s">
        <v>11284</v>
      </c>
      <c r="T4638" t="s">
        <v>13290</v>
      </c>
      <c r="U4638" t="s">
        <v>13290</v>
      </c>
      <c r="V4638" t="s">
        <v>13290</v>
      </c>
      <c r="W4638" t="s">
        <v>17880</v>
      </c>
      <c r="X4638">
        <v>6</v>
      </c>
      <c r="Y4638" t="s">
        <v>24366</v>
      </c>
      <c r="Z4638" t="s">
        <v>30968</v>
      </c>
      <c r="AA4638">
        <v>0.41266060705019092</v>
      </c>
      <c r="AB4638" t="str">
        <f>HYPERLINK("Melting_Curves/meltCurve_Q8NCF5_NFATC2IP.pdf", "Melting_Curves/meltCurve_Q8NCF5_NFATC2IP.pdf")</f>
        <v>Melting_Curves/meltCurve_Q8NCF5_NFATC2IP.pdf</v>
      </c>
    </row>
    <row r="4639" spans="1:28" x14ac:dyDescent="0.25">
      <c r="A4639" t="s">
        <v>4643</v>
      </c>
      <c r="B4639">
        <v>0.99252571173614901</v>
      </c>
      <c r="C4639">
        <v>1.0372804453136499</v>
      </c>
      <c r="D4639">
        <v>1.0088848737952401</v>
      </c>
      <c r="E4639">
        <v>0.93646299046185399</v>
      </c>
      <c r="F4639">
        <v>0.78325346942052398</v>
      </c>
      <c r="G4639">
        <v>0.36065252802728698</v>
      </c>
      <c r="H4639">
        <v>0.109462826718229</v>
      </c>
      <c r="I4639">
        <v>9.3677557982904794E-2</v>
      </c>
      <c r="J4639">
        <v>0.105452925082531</v>
      </c>
      <c r="K4639">
        <v>0.11788881219674301</v>
      </c>
      <c r="L4639">
        <v>1725.8829997232201</v>
      </c>
      <c r="M4639">
        <v>31.305229908962499</v>
      </c>
      <c r="N4639">
        <v>55.495443196771397</v>
      </c>
      <c r="O4639">
        <v>54.907319306904299</v>
      </c>
      <c r="P4639">
        <v>-0.129288463623253</v>
      </c>
      <c r="Q4639">
        <v>9.2951059515448006E-2</v>
      </c>
      <c r="R4639">
        <v>0.99719723365491597</v>
      </c>
      <c r="S4639" t="s">
        <v>11285</v>
      </c>
      <c r="T4639" t="s">
        <v>13290</v>
      </c>
      <c r="U4639" t="s">
        <v>13290</v>
      </c>
      <c r="V4639" t="s">
        <v>13290</v>
      </c>
      <c r="W4639" t="s">
        <v>17881</v>
      </c>
      <c r="X4639">
        <v>7</v>
      </c>
      <c r="Y4639" t="s">
        <v>24367</v>
      </c>
      <c r="Z4639" t="s">
        <v>30969</v>
      </c>
      <c r="AA4639">
        <v>0.55598689033531967</v>
      </c>
      <c r="AB4639" t="str">
        <f>HYPERLINK("Melting_Curves/meltCurve_Q8NCG7_DAGLB.pdf", "Melting_Curves/meltCurve_Q8NCG7_DAGLB.pdf")</f>
        <v>Melting_Curves/meltCurve_Q8NCG7_DAGLB.pdf</v>
      </c>
    </row>
    <row r="4640" spans="1:28" x14ac:dyDescent="0.25">
      <c r="A4640" t="s">
        <v>4644</v>
      </c>
      <c r="B4640">
        <v>0.99252571173614901</v>
      </c>
      <c r="C4640">
        <v>0.85708888304848097</v>
      </c>
      <c r="D4640">
        <v>0.89415247799201303</v>
      </c>
      <c r="E4640">
        <v>0.79161774539157503</v>
      </c>
      <c r="F4640">
        <v>0.26855719279401602</v>
      </c>
      <c r="G4640">
        <v>0.142458361158116</v>
      </c>
      <c r="H4640">
        <v>0.110591025898241</v>
      </c>
      <c r="I4640">
        <v>0.102128307075619</v>
      </c>
      <c r="J4640">
        <v>9.8328019016666296E-2</v>
      </c>
      <c r="K4640">
        <v>9.5869953995240204E-2</v>
      </c>
      <c r="L4640">
        <v>1731.3635996794301</v>
      </c>
      <c r="M4640">
        <v>33.867838546322901</v>
      </c>
      <c r="N4640">
        <v>51.461975935098302</v>
      </c>
      <c r="O4640">
        <v>50.9439301473382</v>
      </c>
      <c r="P4640">
        <v>-0.14950581061281101</v>
      </c>
      <c r="Q4640">
        <v>0.10045837196023399</v>
      </c>
      <c r="R4640">
        <v>0.97920317437620097</v>
      </c>
      <c r="S4640" t="s">
        <v>11286</v>
      </c>
      <c r="T4640" t="s">
        <v>13290</v>
      </c>
      <c r="U4640" t="s">
        <v>13290</v>
      </c>
      <c r="V4640" t="s">
        <v>13290</v>
      </c>
      <c r="W4640" t="s">
        <v>17882</v>
      </c>
      <c r="X4640">
        <v>2</v>
      </c>
      <c r="Y4640" t="s">
        <v>24368</v>
      </c>
      <c r="Z4640" t="s">
        <v>30970</v>
      </c>
      <c r="AA4640">
        <v>0.43836671400847549</v>
      </c>
      <c r="AB4640" t="str">
        <f>HYPERLINK("Melting_Curves/meltCurve_Q8NCH0_CHST14.pdf", "Melting_Curves/meltCurve_Q8NCH0_CHST14.pdf")</f>
        <v>Melting_Curves/meltCurve_Q8NCH0_CHST14.pdf</v>
      </c>
    </row>
    <row r="4641" spans="1:28" x14ac:dyDescent="0.25">
      <c r="A4641" t="s">
        <v>4645</v>
      </c>
      <c r="B4641">
        <v>0.99252571173614901</v>
      </c>
      <c r="C4641">
        <v>0.93096200574083399</v>
      </c>
      <c r="D4641">
        <v>0.92642882942928695</v>
      </c>
      <c r="E4641">
        <v>0.87051761080361101</v>
      </c>
      <c r="F4641">
        <v>0.224652416163859</v>
      </c>
      <c r="G4641">
        <v>9.3381406363283403E-2</v>
      </c>
      <c r="H4641">
        <v>5.6080441343527E-2</v>
      </c>
      <c r="I4641">
        <v>6.2575612333111597E-2</v>
      </c>
      <c r="J4641">
        <v>7.8391827704981099E-2</v>
      </c>
      <c r="K4641">
        <v>8.4119739196269597E-2</v>
      </c>
      <c r="L4641">
        <v>2474.3184702265698</v>
      </c>
      <c r="M4641">
        <v>48.110512159988701</v>
      </c>
      <c r="N4641">
        <v>51.597506982143301</v>
      </c>
      <c r="O4641">
        <v>51.341269417937603</v>
      </c>
      <c r="P4641">
        <v>-0.217321023533873</v>
      </c>
      <c r="Q4641">
        <v>7.2341935016460093E-2</v>
      </c>
      <c r="R4641">
        <v>0.99376095297739198</v>
      </c>
      <c r="S4641" t="s">
        <v>11287</v>
      </c>
      <c r="T4641" t="s">
        <v>13290</v>
      </c>
      <c r="U4641" t="s">
        <v>13290</v>
      </c>
      <c r="V4641" t="s">
        <v>13290</v>
      </c>
      <c r="W4641" t="s">
        <v>17883</v>
      </c>
      <c r="X4641">
        <v>5</v>
      </c>
      <c r="Y4641" t="s">
        <v>24369</v>
      </c>
      <c r="Z4641" t="s">
        <v>30971</v>
      </c>
      <c r="AA4641">
        <v>0.42805022616371469</v>
      </c>
      <c r="AB4641" t="str">
        <f>HYPERLINK("Melting_Curves/meltCurve_Q8NCL4_GALNT6.pdf", "Melting_Curves/meltCurve_Q8NCL4_GALNT6.pdf")</f>
        <v>Melting_Curves/meltCurve_Q8NCL4_GALNT6.pdf</v>
      </c>
    </row>
    <row r="4642" spans="1:28" x14ac:dyDescent="0.25">
      <c r="A4642" t="s">
        <v>4646</v>
      </c>
      <c r="B4642">
        <v>0.99252571173614901</v>
      </c>
      <c r="C4642">
        <v>1.0247181520222499</v>
      </c>
      <c r="D4642">
        <v>0.86844066801878095</v>
      </c>
      <c r="E4642">
        <v>0.75146158576397104</v>
      </c>
      <c r="F4642">
        <v>0.41491053467307398</v>
      </c>
      <c r="G4642">
        <v>0.27247587071242702</v>
      </c>
      <c r="H4642">
        <v>0.454186755698754</v>
      </c>
      <c r="I4642">
        <v>0.37874001431456999</v>
      </c>
      <c r="J4642">
        <v>0.56494220886453805</v>
      </c>
      <c r="K4642">
        <v>0.69390339441614901</v>
      </c>
      <c r="L4642">
        <v>1937.69684703184</v>
      </c>
      <c r="M4642">
        <v>39.234181097158597</v>
      </c>
      <c r="N4642">
        <v>52.835933877550801</v>
      </c>
      <c r="O4642">
        <v>49.260193065170498</v>
      </c>
      <c r="P4642">
        <v>-0.10725253907476801</v>
      </c>
      <c r="Q4642">
        <v>0.46136059460947698</v>
      </c>
      <c r="R4642">
        <v>0.798427963106766</v>
      </c>
      <c r="S4642" t="s">
        <v>11288</v>
      </c>
      <c r="T4642" t="s">
        <v>13290</v>
      </c>
      <c r="U4642" t="s">
        <v>13290</v>
      </c>
      <c r="V4642" t="s">
        <v>13290</v>
      </c>
      <c r="W4642" t="s">
        <v>17884</v>
      </c>
      <c r="X4642">
        <v>5</v>
      </c>
      <c r="Y4642" t="s">
        <v>24370</v>
      </c>
      <c r="Z4642" t="s">
        <v>30972</v>
      </c>
      <c r="AA4642">
        <v>0.63183190516945542</v>
      </c>
      <c r="AB4642" t="str">
        <f>HYPERLINK("Melting_Curves/meltCurve_Q8NCN4_RNF169.pdf", "Melting_Curves/meltCurve_Q8NCN4_RNF169.pdf")</f>
        <v>Melting_Curves/meltCurve_Q8NCN4_RNF169.pdf</v>
      </c>
    </row>
    <row r="4643" spans="1:28" x14ac:dyDescent="0.25">
      <c r="A4643" t="s">
        <v>4647</v>
      </c>
      <c r="B4643">
        <v>0.99252571173614901</v>
      </c>
      <c r="C4643">
        <v>0.97730805113616004</v>
      </c>
      <c r="D4643">
        <v>1.06867502699479</v>
      </c>
      <c r="E4643">
        <v>1.05964527034597</v>
      </c>
      <c r="F4643">
        <v>0.95181989817146695</v>
      </c>
      <c r="G4643">
        <v>0.25617305762186399</v>
      </c>
      <c r="H4643">
        <v>0.13401015630993099</v>
      </c>
      <c r="I4643">
        <v>0.16821276125183399</v>
      </c>
      <c r="J4643">
        <v>0.20977945042648599</v>
      </c>
      <c r="K4643">
        <v>0.12145674852631801</v>
      </c>
      <c r="L4643">
        <v>4080.4567767664598</v>
      </c>
      <c r="M4643">
        <v>73.874915900866696</v>
      </c>
      <c r="N4643">
        <v>55.520702111346502</v>
      </c>
      <c r="O4643">
        <v>55.194238382122499</v>
      </c>
      <c r="P4643">
        <v>-0.28165640814645199</v>
      </c>
      <c r="Q4643">
        <v>0.158263237900335</v>
      </c>
      <c r="R4643">
        <v>0.99223872646766498</v>
      </c>
      <c r="S4643" t="s">
        <v>11289</v>
      </c>
      <c r="T4643" t="s">
        <v>13290</v>
      </c>
      <c r="U4643" t="s">
        <v>13290</v>
      </c>
      <c r="V4643" t="s">
        <v>13290</v>
      </c>
      <c r="W4643" t="s">
        <v>17885</v>
      </c>
      <c r="X4643">
        <v>15</v>
      </c>
      <c r="Y4643" t="s">
        <v>24371</v>
      </c>
      <c r="Z4643" t="s">
        <v>30973</v>
      </c>
      <c r="AA4643">
        <v>0.58665262885202918</v>
      </c>
      <c r="AB4643" t="str">
        <f>HYPERLINK("Melting_Curves/meltCurve_Q8NCN5_PDPR.pdf", "Melting_Curves/meltCurve_Q8NCN5_PDPR.pdf")</f>
        <v>Melting_Curves/meltCurve_Q8NCN5_PDPR.pdf</v>
      </c>
    </row>
    <row r="4644" spans="1:28" x14ac:dyDescent="0.25">
      <c r="A4644" t="s">
        <v>4648</v>
      </c>
      <c r="B4644">
        <v>0.99252571173614901</v>
      </c>
      <c r="C4644">
        <v>1.03865706717472</v>
      </c>
      <c r="D4644">
        <v>0.94157109850595599</v>
      </c>
      <c r="E4644">
        <v>0.84765434630187597</v>
      </c>
      <c r="F4644">
        <v>0.80313532542177002</v>
      </c>
      <c r="G4644">
        <v>0.76669798098483699</v>
      </c>
      <c r="H4644">
        <v>0.69763488515424299</v>
      </c>
      <c r="I4644">
        <v>0.79622521883877495</v>
      </c>
      <c r="J4644">
        <v>0.61468797078387405</v>
      </c>
      <c r="K4644">
        <v>0.23236490537028101</v>
      </c>
      <c r="L4644">
        <v>471.37740340782</v>
      </c>
      <c r="M4644">
        <v>6.94356552026189</v>
      </c>
      <c r="N4644">
        <v>67.886938200839396</v>
      </c>
      <c r="O4644">
        <v>62.927399617192599</v>
      </c>
      <c r="P4644">
        <v>-2.7638302935642001E-2</v>
      </c>
      <c r="Q4644">
        <v>0</v>
      </c>
      <c r="R4644">
        <v>0.77372780402352004</v>
      </c>
      <c r="S4644" t="s">
        <v>11290</v>
      </c>
      <c r="T4644" t="s">
        <v>13290</v>
      </c>
      <c r="U4644" t="s">
        <v>13290</v>
      </c>
      <c r="V4644" t="s">
        <v>13290</v>
      </c>
      <c r="W4644" t="s">
        <v>17886</v>
      </c>
      <c r="X4644">
        <v>15</v>
      </c>
      <c r="Y4644" t="s">
        <v>24372</v>
      </c>
      <c r="Z4644" t="s">
        <v>30974</v>
      </c>
      <c r="AA4644">
        <v>0.79155689075778612</v>
      </c>
      <c r="AB4644" t="str">
        <f>HYPERLINK("Melting_Curves/meltCurve_Q8NCW5_APOA1BP.pdf", "Melting_Curves/meltCurve_Q8NCW5_APOA1BP.pdf")</f>
        <v>Melting_Curves/meltCurve_Q8NCW5_APOA1BP.pdf</v>
      </c>
    </row>
    <row r="4645" spans="1:28" x14ac:dyDescent="0.25">
      <c r="A4645" t="s">
        <v>4649</v>
      </c>
      <c r="B4645">
        <v>0.99252571173614901</v>
      </c>
      <c r="C4645">
        <v>0.83076665533683802</v>
      </c>
      <c r="D4645">
        <v>0.74625586558759804</v>
      </c>
      <c r="E4645">
        <v>0.34783539154232401</v>
      </c>
      <c r="F4645">
        <v>0.22338275331542001</v>
      </c>
      <c r="G4645">
        <v>0.131179407639817</v>
      </c>
      <c r="H4645">
        <v>9.5531818965668105E-2</v>
      </c>
      <c r="I4645">
        <v>9.4660966303474606E-2</v>
      </c>
      <c r="J4645">
        <v>0.123380498510402</v>
      </c>
      <c r="K4645">
        <v>0.13722585397779799</v>
      </c>
      <c r="L4645">
        <v>916.132369588919</v>
      </c>
      <c r="M4645">
        <v>19.2785318201175</v>
      </c>
      <c r="N4645">
        <v>48.109891094368798</v>
      </c>
      <c r="O4645">
        <v>47.018379814920401</v>
      </c>
      <c r="P4645">
        <v>-9.1732949209635095E-2</v>
      </c>
      <c r="Q4645">
        <v>0.10512385214544499</v>
      </c>
      <c r="R4645">
        <v>0.98929796215465104</v>
      </c>
      <c r="S4645" t="s">
        <v>11291</v>
      </c>
      <c r="T4645" t="s">
        <v>13290</v>
      </c>
      <c r="U4645" t="s">
        <v>13290</v>
      </c>
      <c r="V4645" t="s">
        <v>13290</v>
      </c>
      <c r="W4645" t="s">
        <v>17887</v>
      </c>
      <c r="X4645">
        <v>6</v>
      </c>
      <c r="Y4645" t="s">
        <v>24373</v>
      </c>
      <c r="Z4645" t="s">
        <v>30975</v>
      </c>
      <c r="AA4645">
        <v>0.34339605840379589</v>
      </c>
      <c r="AB4645" t="str">
        <f>HYPERLINK("Melting_Curves/meltCurve_Q8ND04_SMG8.pdf", "Melting_Curves/meltCurve_Q8ND04_SMG8.pdf")</f>
        <v>Melting_Curves/meltCurve_Q8ND04_SMG8.pdf</v>
      </c>
    </row>
    <row r="4646" spans="1:28" x14ac:dyDescent="0.25">
      <c r="A4646" t="s">
        <v>4650</v>
      </c>
      <c r="B4646">
        <v>0.99252571173614901</v>
      </c>
      <c r="C4646">
        <v>1.0413238001377001</v>
      </c>
      <c r="D4646">
        <v>0.73200052713330599</v>
      </c>
      <c r="E4646">
        <v>0.352698437137553</v>
      </c>
      <c r="F4646">
        <v>0.16428580699327899</v>
      </c>
      <c r="G4646">
        <v>0.104335392954061</v>
      </c>
      <c r="H4646">
        <v>8.5126491169933302E-2</v>
      </c>
      <c r="I4646">
        <v>0.106853166800865</v>
      </c>
      <c r="J4646">
        <v>0.15102449083721201</v>
      </c>
      <c r="K4646">
        <v>0.163210486260815</v>
      </c>
      <c r="L4646">
        <v>1370.82581939786</v>
      </c>
      <c r="M4646">
        <v>28.794576603743199</v>
      </c>
      <c r="N4646">
        <v>48.075284713743997</v>
      </c>
      <c r="O4646">
        <v>47.379240422891002</v>
      </c>
      <c r="P4646">
        <v>-0.133360439670933</v>
      </c>
      <c r="Q4646">
        <v>0.122269730606184</v>
      </c>
      <c r="R4646">
        <v>0.99060967446269099</v>
      </c>
      <c r="S4646" t="s">
        <v>11292</v>
      </c>
      <c r="T4646" t="s">
        <v>13290</v>
      </c>
      <c r="U4646" t="s">
        <v>13290</v>
      </c>
      <c r="V4646" t="s">
        <v>13290</v>
      </c>
      <c r="W4646" t="s">
        <v>17888</v>
      </c>
      <c r="X4646">
        <v>17</v>
      </c>
      <c r="Y4646" t="s">
        <v>24374</v>
      </c>
      <c r="Z4646" t="s">
        <v>30976</v>
      </c>
      <c r="AA4646">
        <v>0.35058113078620912</v>
      </c>
      <c r="AB4646" t="str">
        <f>HYPERLINK("Melting_Curves/meltCurve_Q8ND24_RNF214.pdf", "Melting_Curves/meltCurve_Q8ND24_RNF214.pdf")</f>
        <v>Melting_Curves/meltCurve_Q8ND24_RNF214.pdf</v>
      </c>
    </row>
    <row r="4647" spans="1:28" x14ac:dyDescent="0.25">
      <c r="A4647" t="s">
        <v>4651</v>
      </c>
      <c r="B4647">
        <v>0.99252571173614901</v>
      </c>
      <c r="C4647">
        <v>1.04818857392182</v>
      </c>
      <c r="D4647">
        <v>1.0012847880052</v>
      </c>
      <c r="E4647">
        <v>0.88000278822453804</v>
      </c>
      <c r="F4647">
        <v>0.33582890550012201</v>
      </c>
      <c r="G4647">
        <v>0.17131826035171899</v>
      </c>
      <c r="H4647">
        <v>0.129450785970608</v>
      </c>
      <c r="I4647">
        <v>0.129386773196836</v>
      </c>
      <c r="J4647">
        <v>0.16108616262706299</v>
      </c>
      <c r="K4647">
        <v>0.16482208269895701</v>
      </c>
      <c r="L4647">
        <v>2246.4900488633798</v>
      </c>
      <c r="M4647">
        <v>43.482432515184001</v>
      </c>
      <c r="N4647">
        <v>52.083013710853201</v>
      </c>
      <c r="O4647">
        <v>51.555398069535897</v>
      </c>
      <c r="P4647">
        <v>-0.179752313846998</v>
      </c>
      <c r="Q4647">
        <v>0.14750048332007201</v>
      </c>
      <c r="R4647">
        <v>0.99767487673309396</v>
      </c>
      <c r="S4647" t="s">
        <v>11293</v>
      </c>
      <c r="T4647" t="s">
        <v>13290</v>
      </c>
      <c r="U4647" t="s">
        <v>13290</v>
      </c>
      <c r="V4647" t="s">
        <v>13290</v>
      </c>
      <c r="W4647" t="s">
        <v>17889</v>
      </c>
      <c r="X4647">
        <v>11</v>
      </c>
      <c r="Y4647" t="s">
        <v>24375</v>
      </c>
      <c r="Z4647" t="s">
        <v>30977</v>
      </c>
      <c r="AA4647">
        <v>0.4815340674298394</v>
      </c>
      <c r="AB4647" t="str">
        <f>HYPERLINK("Melting_Curves/meltCurve_Q8ND56_2_LSM14A.pdf", "Melting_Curves/meltCurve_Q8ND56_2_LSM14A.pdf")</f>
        <v>Melting_Curves/meltCurve_Q8ND56_2_LSM14A.pdf</v>
      </c>
    </row>
    <row r="4648" spans="1:28" x14ac:dyDescent="0.25">
      <c r="A4648" t="s">
        <v>4652</v>
      </c>
      <c r="B4648">
        <v>0.99252571173614901</v>
      </c>
      <c r="C4648">
        <v>0.671928900232866</v>
      </c>
      <c r="D4648">
        <v>6.6758654256621294E-2</v>
      </c>
      <c r="E4648">
        <v>0.40593078870914201</v>
      </c>
      <c r="F4648">
        <v>0.136652248996978</v>
      </c>
      <c r="G4648">
        <v>8.12337768890906E-2</v>
      </c>
      <c r="H4648">
        <v>7.1457948213082795E-2</v>
      </c>
      <c r="I4648">
        <v>7.2030592405500402E-2</v>
      </c>
      <c r="J4648">
        <v>9.6657087380658299E-2</v>
      </c>
      <c r="K4648">
        <v>0.118096092126267</v>
      </c>
      <c r="L4648">
        <v>10746.444360924301</v>
      </c>
      <c r="M4648">
        <v>250</v>
      </c>
      <c r="N4648">
        <v>43.038129956784303</v>
      </c>
      <c r="O4648">
        <v>42.983026597852501</v>
      </c>
      <c r="P4648">
        <v>-1.2634316484499</v>
      </c>
      <c r="Q4648">
        <v>0.131102141787209</v>
      </c>
      <c r="R4648">
        <v>0.902373233972109</v>
      </c>
      <c r="S4648" t="s">
        <v>11294</v>
      </c>
      <c r="T4648" t="s">
        <v>13290</v>
      </c>
      <c r="U4648" t="s">
        <v>13290</v>
      </c>
      <c r="V4648" t="s">
        <v>13290</v>
      </c>
      <c r="W4648" t="s">
        <v>17890</v>
      </c>
      <c r="X4648">
        <v>4</v>
      </c>
      <c r="Y4648" t="s">
        <v>24376</v>
      </c>
      <c r="Z4648" t="s">
        <v>30978</v>
      </c>
      <c r="AA4648">
        <v>0.2176455451258566</v>
      </c>
      <c r="AB4648" t="str">
        <f>HYPERLINK("Melting_Curves/meltCurve_Q8ND76_CCNY.pdf", "Melting_Curves/meltCurve_Q8ND76_CCNY.pdf")</f>
        <v>Melting_Curves/meltCurve_Q8ND76_CCNY.pdf</v>
      </c>
    </row>
    <row r="4649" spans="1:28" x14ac:dyDescent="0.25">
      <c r="A4649" t="s">
        <v>4653</v>
      </c>
      <c r="B4649">
        <v>0.99252571173614901</v>
      </c>
      <c r="C4649">
        <v>1.03726250589286</v>
      </c>
      <c r="D4649">
        <v>0.82013388927219899</v>
      </c>
      <c r="E4649">
        <v>0.73845165023090098</v>
      </c>
      <c r="F4649">
        <v>0.71727039422115002</v>
      </c>
      <c r="G4649">
        <v>0.52827136820185805</v>
      </c>
      <c r="H4649">
        <v>0.46124108774301797</v>
      </c>
      <c r="I4649">
        <v>0.50238379966325297</v>
      </c>
      <c r="J4649">
        <v>0.81855409896064402</v>
      </c>
      <c r="K4649">
        <v>0.88823429321775105</v>
      </c>
      <c r="L4649">
        <v>1346.68164395951</v>
      </c>
      <c r="M4649">
        <v>28.897395455759298</v>
      </c>
      <c r="O4649">
        <v>46.380718386619897</v>
      </c>
      <c r="P4649">
        <v>-5.3956173345927602E-2</v>
      </c>
      <c r="Q4649">
        <v>0.65360100795628395</v>
      </c>
      <c r="R4649">
        <v>0.539442608405867</v>
      </c>
      <c r="S4649" t="s">
        <v>11295</v>
      </c>
      <c r="T4649" t="s">
        <v>13290</v>
      </c>
      <c r="U4649" t="s">
        <v>13290</v>
      </c>
      <c r="V4649" t="s">
        <v>13290</v>
      </c>
      <c r="W4649" t="s">
        <v>17891</v>
      </c>
      <c r="X4649">
        <v>1</v>
      </c>
      <c r="Y4649" t="s">
        <v>24377</v>
      </c>
      <c r="Z4649" t="s">
        <v>30979</v>
      </c>
      <c r="AA4649">
        <v>0.73209691603318561</v>
      </c>
      <c r="AB4649" t="str">
        <f>HYPERLINK("Melting_Curves/meltCurve_Q8NDC0_MAPK1IP1L.pdf", "Melting_Curves/meltCurve_Q8NDC0_MAPK1IP1L.pdf")</f>
        <v>Melting_Curves/meltCurve_Q8NDC0_MAPK1IP1L.pdf</v>
      </c>
    </row>
    <row r="4650" spans="1:28" x14ac:dyDescent="0.25">
      <c r="A4650" t="s">
        <v>4654</v>
      </c>
      <c r="B4650">
        <v>0.99252571173614901</v>
      </c>
      <c r="C4650">
        <v>1.27082334652147</v>
      </c>
      <c r="D4650">
        <v>1.1933649415705401</v>
      </c>
      <c r="E4650">
        <v>1.3200078603199901</v>
      </c>
      <c r="F4650">
        <v>1.03597096762029</v>
      </c>
      <c r="G4650">
        <v>0.89038329028629604</v>
      </c>
      <c r="H4650">
        <v>0.69558769088567896</v>
      </c>
      <c r="I4650">
        <v>0.76035264124593205</v>
      </c>
      <c r="J4650">
        <v>1.13468748973818</v>
      </c>
      <c r="K4650">
        <v>1.28213984382174</v>
      </c>
      <c r="L4650">
        <v>10282.7550294597</v>
      </c>
      <c r="M4650">
        <v>250</v>
      </c>
      <c r="O4650">
        <v>41.128388012157899</v>
      </c>
      <c r="P4650">
        <v>9.8490191130579899E-2</v>
      </c>
      <c r="Q4650">
        <v>1.0648118846526899</v>
      </c>
      <c r="R4650">
        <v>1.05291710720825E-2</v>
      </c>
      <c r="S4650" t="s">
        <v>11296</v>
      </c>
      <c r="T4650" t="s">
        <v>13290</v>
      </c>
      <c r="U4650" t="s">
        <v>13290</v>
      </c>
      <c r="V4650" t="s">
        <v>13290</v>
      </c>
      <c r="W4650" t="s">
        <v>17892</v>
      </c>
      <c r="X4650">
        <v>8</v>
      </c>
      <c r="Y4650" t="s">
        <v>24378</v>
      </c>
      <c r="Z4650" t="s">
        <v>30980</v>
      </c>
      <c r="AA4650">
        <v>1.062363470925572</v>
      </c>
      <c r="AB4650" t="str">
        <f>HYPERLINK("Melting_Curves/meltCurve_Q8NDD1_2_C1orf131.pdf", "Melting_Curves/meltCurve_Q8NDD1_2_C1orf131.pdf")</f>
        <v>Melting_Curves/meltCurve_Q8NDD1_2_C1orf131.pdf</v>
      </c>
    </row>
    <row r="4651" spans="1:28" x14ac:dyDescent="0.25">
      <c r="A4651" t="s">
        <v>4655</v>
      </c>
      <c r="B4651">
        <v>0.99252571173614901</v>
      </c>
      <c r="C4651">
        <v>1.1629370112717501</v>
      </c>
      <c r="D4651">
        <v>1.0816309156474899</v>
      </c>
      <c r="E4651">
        <v>1.0719980588954501</v>
      </c>
      <c r="F4651">
        <v>0.72199377948238497</v>
      </c>
      <c r="G4651">
        <v>0.60318266008529597</v>
      </c>
      <c r="H4651">
        <v>0.57845701207878197</v>
      </c>
      <c r="I4651">
        <v>0.73066106847616297</v>
      </c>
      <c r="J4651">
        <v>1.06138545861883</v>
      </c>
      <c r="K4651">
        <v>1.1753486714073</v>
      </c>
      <c r="L4651">
        <v>4348.4950556964504</v>
      </c>
      <c r="M4651">
        <v>84.797999463574499</v>
      </c>
      <c r="O4651">
        <v>51.252133136992398</v>
      </c>
      <c r="P4651">
        <v>-7.76125057973404E-2</v>
      </c>
      <c r="Q4651">
        <v>0.81236321234139597</v>
      </c>
      <c r="R4651">
        <v>0.28945719016556698</v>
      </c>
      <c r="S4651" t="s">
        <v>11297</v>
      </c>
      <c r="T4651" t="s">
        <v>13290</v>
      </c>
      <c r="U4651" t="s">
        <v>13290</v>
      </c>
      <c r="V4651" t="s">
        <v>13290</v>
      </c>
      <c r="W4651" t="s">
        <v>17893</v>
      </c>
      <c r="X4651">
        <v>8</v>
      </c>
      <c r="Y4651" t="s">
        <v>24378</v>
      </c>
      <c r="Z4651" t="s">
        <v>30981</v>
      </c>
      <c r="AA4651">
        <v>0.88306562734241145</v>
      </c>
      <c r="AB4651" t="str">
        <f>HYPERLINK("Melting_Curves/meltCurve_Q8NDD1_3_C1orf131.pdf", "Melting_Curves/meltCurve_Q8NDD1_3_C1orf131.pdf")</f>
        <v>Melting_Curves/meltCurve_Q8NDD1_3_C1orf131.pdf</v>
      </c>
    </row>
    <row r="4652" spans="1:28" x14ac:dyDescent="0.25">
      <c r="A4652" t="s">
        <v>4656</v>
      </c>
      <c r="B4652">
        <v>0.99252571173614901</v>
      </c>
      <c r="C4652">
        <v>0.96198978203510999</v>
      </c>
      <c r="D4652">
        <v>1.07252375950572</v>
      </c>
      <c r="E4652">
        <v>1.1256742803306199</v>
      </c>
      <c r="F4652">
        <v>1.02225043340003</v>
      </c>
      <c r="G4652">
        <v>0.86661086312911795</v>
      </c>
      <c r="H4652">
        <v>1.0476489742577499</v>
      </c>
      <c r="I4652">
        <v>1.3695994548117101</v>
      </c>
      <c r="J4652">
        <v>1.6948658584143499</v>
      </c>
      <c r="K4652">
        <v>1.29283845394826</v>
      </c>
      <c r="L4652">
        <v>5233.9241254185599</v>
      </c>
      <c r="M4652">
        <v>83.059474137981695</v>
      </c>
      <c r="O4652">
        <v>62.977673072685299</v>
      </c>
      <c r="P4652">
        <v>0.161567073775816</v>
      </c>
      <c r="Q4652">
        <v>1.4900159701820801</v>
      </c>
      <c r="R4652">
        <v>0.77045183863559596</v>
      </c>
      <c r="S4652" t="s">
        <v>11298</v>
      </c>
      <c r="T4652" t="s">
        <v>13290</v>
      </c>
      <c r="U4652" t="s">
        <v>13290</v>
      </c>
      <c r="V4652" t="s">
        <v>13290</v>
      </c>
      <c r="W4652" t="s">
        <v>17894</v>
      </c>
      <c r="X4652">
        <v>10</v>
      </c>
      <c r="Y4652" t="s">
        <v>24379</v>
      </c>
      <c r="Z4652" t="s">
        <v>30982</v>
      </c>
      <c r="AA4652">
        <v>1.113617684564755</v>
      </c>
      <c r="AB4652" t="str">
        <f>HYPERLINK("Melting_Curves/meltCurve_Q8NDH3_NPEPL1.pdf", "Melting_Curves/meltCurve_Q8NDH3_NPEPL1.pdf")</f>
        <v>Melting_Curves/meltCurve_Q8NDH3_NPEPL1.pdf</v>
      </c>
    </row>
    <row r="4653" spans="1:28" x14ac:dyDescent="0.25">
      <c r="A4653" t="s">
        <v>4657</v>
      </c>
      <c r="B4653">
        <v>0.99252571173614901</v>
      </c>
      <c r="C4653">
        <v>1.1339836822985101</v>
      </c>
      <c r="D4653">
        <v>0.81060437844900202</v>
      </c>
      <c r="E4653">
        <v>0.67809981964718302</v>
      </c>
      <c r="F4653">
        <v>0.38562509162393199</v>
      </c>
      <c r="G4653">
        <v>0.211162507375529</v>
      </c>
      <c r="H4653">
        <v>0.16028014835524501</v>
      </c>
      <c r="I4653">
        <v>0.20525392649184701</v>
      </c>
      <c r="J4653">
        <v>0.35637434702224102</v>
      </c>
      <c r="K4653">
        <v>0.19171451624479799</v>
      </c>
      <c r="L4653">
        <v>1166.2982398310301</v>
      </c>
      <c r="M4653">
        <v>23.327572575573399</v>
      </c>
      <c r="N4653">
        <v>51.2422579177885</v>
      </c>
      <c r="O4653">
        <v>49.633490503278203</v>
      </c>
      <c r="P4653">
        <v>-9.2072235014983295E-2</v>
      </c>
      <c r="Q4653">
        <v>0.21641473617190299</v>
      </c>
      <c r="R4653">
        <v>0.94880147464986997</v>
      </c>
      <c r="S4653" t="s">
        <v>11299</v>
      </c>
      <c r="T4653" t="s">
        <v>13290</v>
      </c>
      <c r="U4653" t="s">
        <v>13290</v>
      </c>
      <c r="V4653" t="s">
        <v>13290</v>
      </c>
      <c r="W4653" t="s">
        <v>17895</v>
      </c>
      <c r="X4653">
        <v>3</v>
      </c>
      <c r="Y4653" t="s">
        <v>24380</v>
      </c>
      <c r="Z4653" t="s">
        <v>30983</v>
      </c>
      <c r="AA4653">
        <v>0.48556617137856839</v>
      </c>
      <c r="AB4653" t="str">
        <f>HYPERLINK("Melting_Curves/meltCurve_Q8NDT2_RBM15B.pdf", "Melting_Curves/meltCurve_Q8NDT2_RBM15B.pdf")</f>
        <v>Melting_Curves/meltCurve_Q8NDT2_RBM15B.pdf</v>
      </c>
    </row>
    <row r="4654" spans="1:28" x14ac:dyDescent="0.25">
      <c r="A4654" t="s">
        <v>4658</v>
      </c>
      <c r="B4654">
        <v>0.99252571173614901</v>
      </c>
      <c r="C4654">
        <v>0.88020885573626995</v>
      </c>
      <c r="D4654">
        <v>0.82541595101008602</v>
      </c>
      <c r="E4654">
        <v>0.73123003399474196</v>
      </c>
      <c r="F4654">
        <v>0.25798371586176</v>
      </c>
      <c r="G4654">
        <v>0.108339586479285</v>
      </c>
      <c r="H4654">
        <v>7.6817848319740895E-2</v>
      </c>
      <c r="I4654">
        <v>7.4733572047956803E-2</v>
      </c>
      <c r="J4654">
        <v>9.7274545665001003E-2</v>
      </c>
      <c r="K4654">
        <v>9.3781524067687902E-2</v>
      </c>
      <c r="L4654">
        <v>1174.29409864524</v>
      </c>
      <c r="M4654">
        <v>23.171161667076898</v>
      </c>
      <c r="N4654">
        <v>51.000779718395897</v>
      </c>
      <c r="O4654">
        <v>50.3061913837983</v>
      </c>
      <c r="P4654">
        <v>-0.10732453947149501</v>
      </c>
      <c r="Q4654">
        <v>6.7981285754111706E-2</v>
      </c>
      <c r="R4654">
        <v>0.97737237191933202</v>
      </c>
      <c r="S4654" t="s">
        <v>11300</v>
      </c>
      <c r="T4654" t="s">
        <v>13290</v>
      </c>
      <c r="U4654" t="s">
        <v>13290</v>
      </c>
      <c r="V4654" t="s">
        <v>13290</v>
      </c>
      <c r="W4654" t="s">
        <v>17896</v>
      </c>
      <c r="X4654">
        <v>9</v>
      </c>
      <c r="Y4654" t="s">
        <v>24381</v>
      </c>
      <c r="Z4654" t="s">
        <v>30984</v>
      </c>
      <c r="AA4654">
        <v>0.40949813177059119</v>
      </c>
      <c r="AB4654" t="str">
        <f>HYPERLINK("Melting_Curves/meltCurve_Q8NDZ4_C3orf58.pdf", "Melting_Curves/meltCurve_Q8NDZ4_C3orf58.pdf")</f>
        <v>Melting_Curves/meltCurve_Q8NDZ4_C3orf58.pdf</v>
      </c>
    </row>
    <row r="4655" spans="1:28" x14ac:dyDescent="0.25">
      <c r="A4655" t="s">
        <v>4659</v>
      </c>
      <c r="B4655">
        <v>0.99252571173614901</v>
      </c>
      <c r="C4655">
        <v>0.89549948249507005</v>
      </c>
      <c r="D4655">
        <v>0.920915964474607</v>
      </c>
      <c r="E4655">
        <v>0.79333255205902797</v>
      </c>
      <c r="F4655">
        <v>0.39987254881673701</v>
      </c>
      <c r="G4655">
        <v>0.19700505302920701</v>
      </c>
      <c r="H4655">
        <v>0.140381243097291</v>
      </c>
      <c r="I4655">
        <v>0.165667368325187</v>
      </c>
      <c r="J4655">
        <v>0.14394397830936001</v>
      </c>
      <c r="K4655">
        <v>0.14663261144956799</v>
      </c>
      <c r="L4655">
        <v>1338.0888713967199</v>
      </c>
      <c r="M4655">
        <v>25.965195506125202</v>
      </c>
      <c r="N4655">
        <v>52.194284374355</v>
      </c>
      <c r="O4655">
        <v>51.231199812502602</v>
      </c>
      <c r="P4655">
        <v>-0.108968518252845</v>
      </c>
      <c r="Q4655">
        <v>0.13999938534168899</v>
      </c>
      <c r="R4655">
        <v>0.98939656938859</v>
      </c>
      <c r="S4655" t="s">
        <v>11301</v>
      </c>
      <c r="T4655" t="s">
        <v>13290</v>
      </c>
      <c r="U4655" t="s">
        <v>13290</v>
      </c>
      <c r="V4655" t="s">
        <v>13290</v>
      </c>
      <c r="W4655" t="s">
        <v>17897</v>
      </c>
      <c r="X4655">
        <v>5</v>
      </c>
      <c r="Y4655" t="s">
        <v>24382</v>
      </c>
      <c r="Z4655" t="s">
        <v>30985</v>
      </c>
      <c r="AA4655">
        <v>0.47789634312705398</v>
      </c>
      <c r="AB4655" t="str">
        <f>HYPERLINK("Melting_Curves/meltCurve_Q8NE01_2_CNNM3.pdf", "Melting_Curves/meltCurve_Q8NE01_2_CNNM3.pdf")</f>
        <v>Melting_Curves/meltCurve_Q8NE01_2_CNNM3.pdf</v>
      </c>
    </row>
    <row r="4656" spans="1:28" x14ac:dyDescent="0.25">
      <c r="A4656" t="s">
        <v>4660</v>
      </c>
      <c r="B4656">
        <v>0.99252571173614901</v>
      </c>
      <c r="C4656">
        <v>1.0012541908729999</v>
      </c>
      <c r="D4656">
        <v>0.89516045275758005</v>
      </c>
      <c r="E4656">
        <v>0.65268756814639795</v>
      </c>
      <c r="F4656">
        <v>0.27826892939000197</v>
      </c>
      <c r="G4656">
        <v>0.19908826185689599</v>
      </c>
      <c r="H4656">
        <v>0.128462041198388</v>
      </c>
      <c r="I4656">
        <v>0.105447861852061</v>
      </c>
      <c r="J4656">
        <v>0.100335112356037</v>
      </c>
      <c r="K4656">
        <v>8.4792496660449496E-2</v>
      </c>
      <c r="L4656">
        <v>1157.75694113913</v>
      </c>
      <c r="M4656">
        <v>22.9613418786764</v>
      </c>
      <c r="N4656">
        <v>50.922883294347599</v>
      </c>
      <c r="O4656">
        <v>50.044228112149902</v>
      </c>
      <c r="P4656">
        <v>-0.10311287844285801</v>
      </c>
      <c r="Q4656">
        <v>0.10107917778310301</v>
      </c>
      <c r="R4656">
        <v>0.997534540468616</v>
      </c>
      <c r="S4656" t="s">
        <v>11302</v>
      </c>
      <c r="T4656" t="s">
        <v>13290</v>
      </c>
      <c r="U4656" t="s">
        <v>13290</v>
      </c>
      <c r="V4656" t="s">
        <v>13290</v>
      </c>
      <c r="W4656" t="s">
        <v>17898</v>
      </c>
      <c r="X4656">
        <v>22</v>
      </c>
      <c r="Y4656" t="s">
        <v>24383</v>
      </c>
      <c r="Z4656" t="s">
        <v>30986</v>
      </c>
      <c r="AA4656">
        <v>0.42291651106585509</v>
      </c>
      <c r="AB4656" t="str">
        <f>HYPERLINK("Melting_Curves/meltCurve_Q8NE62_CHDH.pdf", "Melting_Curves/meltCurve_Q8NE62_CHDH.pdf")</f>
        <v>Melting_Curves/meltCurve_Q8NE62_CHDH.pdf</v>
      </c>
    </row>
    <row r="4657" spans="1:28" x14ac:dyDescent="0.25">
      <c r="A4657" t="s">
        <v>4661</v>
      </c>
      <c r="B4657">
        <v>0.99252571173614901</v>
      </c>
      <c r="C4657">
        <v>1.0270987383463299</v>
      </c>
      <c r="D4657">
        <v>0.89826751848491504</v>
      </c>
      <c r="E4657">
        <v>0.79778594453505003</v>
      </c>
      <c r="F4657">
        <v>0.47045833968599599</v>
      </c>
      <c r="G4657">
        <v>0.142308865303586</v>
      </c>
      <c r="H4657">
        <v>9.5685213702480398E-2</v>
      </c>
      <c r="I4657">
        <v>9.6750735009905997E-2</v>
      </c>
      <c r="J4657">
        <v>0.10183498065075</v>
      </c>
      <c r="K4657">
        <v>9.8709070141944202E-2</v>
      </c>
      <c r="L4657">
        <v>1272.7644401345201</v>
      </c>
      <c r="M4657">
        <v>24.384853375159999</v>
      </c>
      <c r="N4657">
        <v>52.574695343790999</v>
      </c>
      <c r="O4657">
        <v>51.847650156594597</v>
      </c>
      <c r="P4657">
        <v>-0.108085349440888</v>
      </c>
      <c r="Q4657">
        <v>8.0759164837451297E-2</v>
      </c>
      <c r="R4657">
        <v>0.99334963223290995</v>
      </c>
      <c r="S4657" t="s">
        <v>11303</v>
      </c>
      <c r="T4657" t="s">
        <v>13290</v>
      </c>
      <c r="U4657" t="s">
        <v>13290</v>
      </c>
      <c r="V4657" t="s">
        <v>13290</v>
      </c>
      <c r="W4657" t="s">
        <v>17899</v>
      </c>
      <c r="X4657">
        <v>51</v>
      </c>
      <c r="Y4657" t="s">
        <v>24384</v>
      </c>
      <c r="Z4657" t="s">
        <v>30987</v>
      </c>
      <c r="AA4657">
        <v>0.4632439769670722</v>
      </c>
      <c r="AB4657" t="str">
        <f>HYPERLINK("Melting_Curves/meltCurve_Q8NE71_ABCF1.pdf", "Melting_Curves/meltCurve_Q8NE71_ABCF1.pdf")</f>
        <v>Melting_Curves/meltCurve_Q8NE71_ABCF1.pdf</v>
      </c>
    </row>
    <row r="4658" spans="1:28" x14ac:dyDescent="0.25">
      <c r="A4658" t="s">
        <v>4662</v>
      </c>
      <c r="B4658">
        <v>0.99252571173614901</v>
      </c>
      <c r="C4658">
        <v>0.90951522489441405</v>
      </c>
      <c r="D4658">
        <v>0.90336964194082703</v>
      </c>
      <c r="E4658">
        <v>0.783070703963059</v>
      </c>
      <c r="F4658">
        <v>0.45925479525442903</v>
      </c>
      <c r="G4658">
        <v>0.18509007531536101</v>
      </c>
      <c r="H4658">
        <v>0.10279927182917099</v>
      </c>
      <c r="I4658">
        <v>0.100497283991521</v>
      </c>
      <c r="J4658">
        <v>0.112977444803672</v>
      </c>
      <c r="K4658">
        <v>0.11351387029721401</v>
      </c>
      <c r="L4658">
        <v>1118.18068732391</v>
      </c>
      <c r="M4658">
        <v>21.482000659763202</v>
      </c>
      <c r="N4658">
        <v>52.521196725789203</v>
      </c>
      <c r="O4658">
        <v>51.607213619635402</v>
      </c>
      <c r="P4658">
        <v>-9.4981225747825804E-2</v>
      </c>
      <c r="Q4658">
        <v>8.7311037900521596E-2</v>
      </c>
      <c r="R4658">
        <v>0.99125949934142499</v>
      </c>
      <c r="S4658" t="s">
        <v>11304</v>
      </c>
      <c r="T4658" t="s">
        <v>13290</v>
      </c>
      <c r="U4658" t="s">
        <v>13290</v>
      </c>
      <c r="V4658" t="s">
        <v>13290</v>
      </c>
      <c r="W4658" t="s">
        <v>17900</v>
      </c>
      <c r="X4658">
        <v>3</v>
      </c>
      <c r="Y4658" t="s">
        <v>24385</v>
      </c>
      <c r="Z4658" t="s">
        <v>30988</v>
      </c>
      <c r="AA4658">
        <v>0.46506009915945379</v>
      </c>
      <c r="AB4658" t="str">
        <f>HYPERLINK("Melting_Curves/meltCurve_Q8NE86_3_MCU.pdf", "Melting_Curves/meltCurve_Q8NE86_3_MCU.pdf")</f>
        <v>Melting_Curves/meltCurve_Q8NE86_3_MCU.pdf</v>
      </c>
    </row>
    <row r="4659" spans="1:28" x14ac:dyDescent="0.25">
      <c r="A4659" t="s">
        <v>4663</v>
      </c>
      <c r="B4659">
        <v>0.99252571173614901</v>
      </c>
      <c r="C4659">
        <v>0.86685637933496895</v>
      </c>
      <c r="D4659">
        <v>0.51010974828310696</v>
      </c>
      <c r="E4659">
        <v>0.208662919380424</v>
      </c>
      <c r="F4659">
        <v>0.14650087270095</v>
      </c>
      <c r="G4659">
        <v>8.5153737249913694E-2</v>
      </c>
      <c r="H4659">
        <v>6.7860003662934806E-2</v>
      </c>
      <c r="I4659">
        <v>7.58396763206899E-2</v>
      </c>
      <c r="J4659">
        <v>6.9859281936747605E-2</v>
      </c>
      <c r="K4659">
        <v>7.3655389721602404E-2</v>
      </c>
      <c r="L4659">
        <v>1117.5013070740099</v>
      </c>
      <c r="M4659">
        <v>24.362037405561299</v>
      </c>
      <c r="N4659">
        <v>46.195213532502997</v>
      </c>
      <c r="O4659">
        <v>45.564878830612699</v>
      </c>
      <c r="P4659">
        <v>-0.123153048848584</v>
      </c>
      <c r="Q4659">
        <v>7.8669763850687302E-2</v>
      </c>
      <c r="R4659">
        <v>0.99799103862389804</v>
      </c>
      <c r="S4659" t="s">
        <v>11305</v>
      </c>
      <c r="T4659" t="s">
        <v>13290</v>
      </c>
      <c r="U4659" t="s">
        <v>13290</v>
      </c>
      <c r="V4659" t="s">
        <v>13290</v>
      </c>
      <c r="W4659" t="s">
        <v>17901</v>
      </c>
      <c r="X4659">
        <v>4</v>
      </c>
      <c r="Y4659" t="s">
        <v>24386</v>
      </c>
      <c r="Z4659" t="s">
        <v>30989</v>
      </c>
      <c r="AA4659">
        <v>0.26806296237076388</v>
      </c>
      <c r="AB4659" t="str">
        <f>HYPERLINK("Melting_Curves/meltCurve_Q8NEC7_GSTCD.pdf", "Melting_Curves/meltCurve_Q8NEC7_GSTCD.pdf")</f>
        <v>Melting_Curves/meltCurve_Q8NEC7_GSTCD.pdf</v>
      </c>
    </row>
    <row r="4660" spans="1:28" x14ac:dyDescent="0.25">
      <c r="A4660" t="s">
        <v>4664</v>
      </c>
      <c r="B4660">
        <v>0.99252571173614901</v>
      </c>
      <c r="C4660">
        <v>0.88800317546126795</v>
      </c>
      <c r="D4660">
        <v>0.87203960037791795</v>
      </c>
      <c r="E4660">
        <v>0.85197898551464901</v>
      </c>
      <c r="F4660">
        <v>0.23194670985865501</v>
      </c>
      <c r="G4660">
        <v>0.14948447403544701</v>
      </c>
      <c r="H4660">
        <v>9.6282117865362601E-2</v>
      </c>
      <c r="I4660">
        <v>0.11041807307872301</v>
      </c>
      <c r="J4660">
        <v>0.13039458251046199</v>
      </c>
      <c r="K4660">
        <v>0.14063836849573</v>
      </c>
      <c r="L4660">
        <v>2491.2880795463502</v>
      </c>
      <c r="M4660">
        <v>48.702257014087799</v>
      </c>
      <c r="N4660">
        <v>51.451275246940497</v>
      </c>
      <c r="O4660">
        <v>51.067418103133797</v>
      </c>
      <c r="P4660">
        <v>-0.20913697648658</v>
      </c>
      <c r="Q4660">
        <v>0.122827069923185</v>
      </c>
      <c r="R4660">
        <v>0.97874545209679098</v>
      </c>
      <c r="S4660" t="s">
        <v>11306</v>
      </c>
      <c r="T4660" t="s">
        <v>13290</v>
      </c>
      <c r="U4660" t="s">
        <v>13290</v>
      </c>
      <c r="V4660" t="s">
        <v>13290</v>
      </c>
      <c r="W4660" t="s">
        <v>17902</v>
      </c>
      <c r="X4660">
        <v>5</v>
      </c>
      <c r="Y4660" t="s">
        <v>24387</v>
      </c>
      <c r="Z4660" t="s">
        <v>30990</v>
      </c>
      <c r="AA4660">
        <v>0.45103032501162432</v>
      </c>
      <c r="AB4660" t="str">
        <f>HYPERLINK("Melting_Curves/meltCurve_Q8NEG4_FAM83F.pdf", "Melting_Curves/meltCurve_Q8NEG4_FAM83F.pdf")</f>
        <v>Melting_Curves/meltCurve_Q8NEG4_FAM83F.pdf</v>
      </c>
    </row>
    <row r="4661" spans="1:28" x14ac:dyDescent="0.25">
      <c r="A4661" t="s">
        <v>4665</v>
      </c>
      <c r="B4661">
        <v>0.99252571173614901</v>
      </c>
      <c r="C4661">
        <v>1.05384027026087</v>
      </c>
      <c r="D4661">
        <v>0.93869530854043004</v>
      </c>
      <c r="E4661">
        <v>0.73891339156462998</v>
      </c>
      <c r="F4661">
        <v>0.27037356306289501</v>
      </c>
      <c r="G4661">
        <v>0.14425266444527199</v>
      </c>
      <c r="H4661">
        <v>7.1866963833634098E-2</v>
      </c>
      <c r="I4661">
        <v>9.5780093112648707E-2</v>
      </c>
      <c r="J4661">
        <v>5.6904298242081999E-2</v>
      </c>
      <c r="K4661">
        <v>0.22441639219009499</v>
      </c>
      <c r="L4661">
        <v>1706.39794237773</v>
      </c>
      <c r="M4661">
        <v>33.568085441292503</v>
      </c>
      <c r="N4661">
        <v>51.2213757099871</v>
      </c>
      <c r="O4661">
        <v>50.654549932536497</v>
      </c>
      <c r="P4661">
        <v>-0.147097942572565</v>
      </c>
      <c r="Q4661">
        <v>0.112115170844023</v>
      </c>
      <c r="R4661">
        <v>0.98578927694219398</v>
      </c>
      <c r="S4661" t="s">
        <v>11307</v>
      </c>
      <c r="T4661" t="s">
        <v>13290</v>
      </c>
      <c r="U4661" t="s">
        <v>13290</v>
      </c>
      <c r="V4661" t="s">
        <v>13290</v>
      </c>
      <c r="W4661" t="s">
        <v>17903</v>
      </c>
      <c r="X4661">
        <v>1</v>
      </c>
      <c r="Y4661" t="s">
        <v>24388</v>
      </c>
      <c r="Z4661" t="s">
        <v>30991</v>
      </c>
      <c r="AA4661">
        <v>0.43719958599876252</v>
      </c>
      <c r="AB4661" t="str">
        <f>HYPERLINK("Melting_Curves/meltCurve_Q8NEG7_DENND6B.pdf", "Melting_Curves/meltCurve_Q8NEG7_DENND6B.pdf")</f>
        <v>Melting_Curves/meltCurve_Q8NEG7_DENND6B.pdf</v>
      </c>
    </row>
    <row r="4662" spans="1:28" x14ac:dyDescent="0.25">
      <c r="A4662" t="s">
        <v>4666</v>
      </c>
      <c r="B4662">
        <v>0.99252571173614901</v>
      </c>
      <c r="C4662">
        <v>1.06095884443808</v>
      </c>
      <c r="D4662">
        <v>0.92231491057000603</v>
      </c>
      <c r="E4662">
        <v>1.04658614076679</v>
      </c>
      <c r="F4662">
        <v>0.83217963892486302</v>
      </c>
      <c r="G4662">
        <v>0.68799259056986495</v>
      </c>
      <c r="H4662">
        <v>0.71061405757368301</v>
      </c>
      <c r="I4662">
        <v>1.0775052770410201</v>
      </c>
      <c r="J4662">
        <v>1.91903572291346</v>
      </c>
      <c r="K4662">
        <v>1.95695528256172</v>
      </c>
      <c r="L4662">
        <v>15000</v>
      </c>
      <c r="M4662">
        <v>232.68436854161001</v>
      </c>
      <c r="O4662">
        <v>64.460248162929702</v>
      </c>
      <c r="P4662">
        <v>0.45121679387483099</v>
      </c>
      <c r="Q4662">
        <v>1.5</v>
      </c>
      <c r="R4662">
        <v>0.67118915698261306</v>
      </c>
      <c r="S4662" t="s">
        <v>11308</v>
      </c>
      <c r="T4662" t="s">
        <v>13290</v>
      </c>
      <c r="U4662" t="s">
        <v>13290</v>
      </c>
      <c r="V4662" t="s">
        <v>13290</v>
      </c>
      <c r="W4662" t="s">
        <v>17904</v>
      </c>
      <c r="X4662">
        <v>3</v>
      </c>
      <c r="Y4662" t="s">
        <v>24389</v>
      </c>
      <c r="Z4662" t="s">
        <v>30992</v>
      </c>
      <c r="AA4662">
        <v>1.092184541575117</v>
      </c>
      <c r="AB4662" t="str">
        <f>HYPERLINK("Melting_Curves/meltCurve_Q8NEL9_2_DDHD1.pdf", "Melting_Curves/meltCurve_Q8NEL9_2_DDHD1.pdf")</f>
        <v>Melting_Curves/meltCurve_Q8NEL9_2_DDHD1.pdf</v>
      </c>
    </row>
    <row r="4663" spans="1:28" x14ac:dyDescent="0.25">
      <c r="A4663" t="s">
        <v>4667</v>
      </c>
      <c r="B4663">
        <v>0.99252571173614901</v>
      </c>
      <c r="C4663">
        <v>0.94854723385066997</v>
      </c>
      <c r="D4663">
        <v>0.92970614152926401</v>
      </c>
      <c r="E4663">
        <v>0.804828546371681</v>
      </c>
      <c r="F4663">
        <v>0.32748465877188399</v>
      </c>
      <c r="G4663">
        <v>0.18386073200111799</v>
      </c>
      <c r="H4663">
        <v>0.24915257075112199</v>
      </c>
      <c r="I4663">
        <v>0.130667037235771</v>
      </c>
      <c r="J4663">
        <v>0.18220165669742999</v>
      </c>
      <c r="K4663">
        <v>0.14445260840556501</v>
      </c>
      <c r="L4663">
        <v>1825.49692080413</v>
      </c>
      <c r="M4663">
        <v>35.713070898476801</v>
      </c>
      <c r="N4663">
        <v>51.725984925390499</v>
      </c>
      <c r="O4663">
        <v>50.9561783920715</v>
      </c>
      <c r="P4663">
        <v>-0.145089794460001</v>
      </c>
      <c r="Q4663">
        <v>0.17193376761079901</v>
      </c>
      <c r="R4663">
        <v>0.98892319131358897</v>
      </c>
      <c r="S4663" t="s">
        <v>11309</v>
      </c>
      <c r="T4663" t="s">
        <v>13290</v>
      </c>
      <c r="U4663" t="s">
        <v>13290</v>
      </c>
      <c r="V4663" t="s">
        <v>13290</v>
      </c>
      <c r="W4663" t="s">
        <v>17905</v>
      </c>
      <c r="X4663">
        <v>2</v>
      </c>
      <c r="Y4663" t="s">
        <v>24390</v>
      </c>
      <c r="Z4663" t="s">
        <v>30993</v>
      </c>
      <c r="AA4663">
        <v>0.48242595378874931</v>
      </c>
      <c r="AB4663" t="str">
        <f>HYPERLINK("Melting_Curves/meltCurve_Q8NEN9_PDZD8.pdf", "Melting_Curves/meltCurve_Q8NEN9_PDZD8.pdf")</f>
        <v>Melting_Curves/meltCurve_Q8NEN9_PDZD8.pdf</v>
      </c>
    </row>
    <row r="4664" spans="1:28" x14ac:dyDescent="0.25">
      <c r="A4664" t="s">
        <v>4668</v>
      </c>
      <c r="B4664">
        <v>0.99252571173614901</v>
      </c>
      <c r="C4664">
        <v>0.88971943304672396</v>
      </c>
      <c r="D4664">
        <v>0.43841565898822399</v>
      </c>
      <c r="E4664">
        <v>0.200062081866269</v>
      </c>
      <c r="F4664">
        <v>0.136834162672099</v>
      </c>
      <c r="G4664">
        <v>8.0604050344598097E-2</v>
      </c>
      <c r="H4664">
        <v>7.3501085593690493E-2</v>
      </c>
      <c r="I4664">
        <v>6.96008001825381E-2</v>
      </c>
      <c r="J4664">
        <v>7.3252875982229501E-2</v>
      </c>
      <c r="K4664">
        <v>8.2828749398552198E-2</v>
      </c>
      <c r="L4664">
        <v>1320.0319709422799</v>
      </c>
      <c r="M4664">
        <v>29.034970209996999</v>
      </c>
      <c r="N4664">
        <v>45.764935012491001</v>
      </c>
      <c r="O4664">
        <v>45.249497671038299</v>
      </c>
      <c r="P4664">
        <v>-0.14645591553367801</v>
      </c>
      <c r="Q4664">
        <v>8.7030958218290697E-2</v>
      </c>
      <c r="R4664">
        <v>0.99537344224727098</v>
      </c>
      <c r="S4664" t="s">
        <v>11310</v>
      </c>
      <c r="T4664" t="s">
        <v>13290</v>
      </c>
      <c r="U4664" t="s">
        <v>13290</v>
      </c>
      <c r="V4664" t="s">
        <v>13290</v>
      </c>
      <c r="W4664" t="s">
        <v>17906</v>
      </c>
      <c r="X4664">
        <v>10</v>
      </c>
      <c r="Y4664" t="s">
        <v>24391</v>
      </c>
      <c r="Z4664" t="s">
        <v>30994</v>
      </c>
      <c r="AA4664">
        <v>0.25943871098691967</v>
      </c>
      <c r="AB4664" t="str">
        <f>HYPERLINK("Melting_Curves/meltCurve_Q8NEU8_2_APPL2.pdf", "Melting_Curves/meltCurve_Q8NEU8_2_APPL2.pdf")</f>
        <v>Melting_Curves/meltCurve_Q8NEU8_2_APPL2.pdf</v>
      </c>
    </row>
    <row r="4665" spans="1:28" x14ac:dyDescent="0.25">
      <c r="A4665" t="s">
        <v>4669</v>
      </c>
      <c r="B4665">
        <v>0.99252571173614901</v>
      </c>
      <c r="C4665">
        <v>1.0610995533638301</v>
      </c>
      <c r="D4665">
        <v>0.96589102545502603</v>
      </c>
      <c r="E4665">
        <v>0.92648823804340696</v>
      </c>
      <c r="F4665">
        <v>0.76624024666611401</v>
      </c>
      <c r="G4665">
        <v>0.41444249749371798</v>
      </c>
      <c r="H4665">
        <v>0.13750434896442201</v>
      </c>
      <c r="I4665">
        <v>9.2802398490817603E-2</v>
      </c>
      <c r="J4665">
        <v>8.9844445474757104E-2</v>
      </c>
      <c r="K4665">
        <v>8.6588743169740301E-2</v>
      </c>
      <c r="L4665">
        <v>1382.1878185807</v>
      </c>
      <c r="M4665">
        <v>24.915645909229099</v>
      </c>
      <c r="N4665">
        <v>55.802646735538502</v>
      </c>
      <c r="O4665">
        <v>55.121015528439301</v>
      </c>
      <c r="P4665">
        <v>-0.10530932430736201</v>
      </c>
      <c r="Q4665">
        <v>6.8106796558523197E-2</v>
      </c>
      <c r="R4665">
        <v>0.99601072563412396</v>
      </c>
      <c r="S4665" t="s">
        <v>11311</v>
      </c>
      <c r="T4665" t="s">
        <v>13290</v>
      </c>
      <c r="U4665" t="s">
        <v>13290</v>
      </c>
      <c r="V4665" t="s">
        <v>13290</v>
      </c>
      <c r="W4665" t="s">
        <v>17907</v>
      </c>
      <c r="X4665">
        <v>12</v>
      </c>
      <c r="Y4665" t="s">
        <v>24392</v>
      </c>
      <c r="Z4665" t="s">
        <v>30995</v>
      </c>
      <c r="AA4665">
        <v>0.5574480493984687</v>
      </c>
      <c r="AB4665" t="str">
        <f>HYPERLINK("Melting_Curves/meltCurve_Q8NEZ5_FBXO22.pdf", "Melting_Curves/meltCurve_Q8NEZ5_FBXO22.pdf")</f>
        <v>Melting_Curves/meltCurve_Q8NEZ5_FBXO22.pdf</v>
      </c>
    </row>
    <row r="4666" spans="1:28" x14ac:dyDescent="0.25">
      <c r="A4666" t="s">
        <v>4670</v>
      </c>
      <c r="B4666">
        <v>0.99252571173614901</v>
      </c>
      <c r="C4666">
        <v>0.89579365986602</v>
      </c>
      <c r="D4666">
        <v>0.87737599569839397</v>
      </c>
      <c r="E4666">
        <v>0.78112609926554899</v>
      </c>
      <c r="F4666">
        <v>0.29486795458196502</v>
      </c>
      <c r="G4666">
        <v>0.10848238017159299</v>
      </c>
      <c r="H4666">
        <v>6.6301986548839897E-2</v>
      </c>
      <c r="I4666">
        <v>7.5169507268591104E-2</v>
      </c>
      <c r="J4666">
        <v>4.2499567748674798E-2</v>
      </c>
      <c r="K4666">
        <v>3.8797364432415299E-2</v>
      </c>
      <c r="L4666">
        <v>1385.63442078756</v>
      </c>
      <c r="M4666">
        <v>26.968067374724999</v>
      </c>
      <c r="N4666">
        <v>51.568466188379702</v>
      </c>
      <c r="O4666">
        <v>51.100532518098198</v>
      </c>
      <c r="P4666">
        <v>-0.12576375957441899</v>
      </c>
      <c r="Q4666">
        <v>4.6793968543467498E-2</v>
      </c>
      <c r="R4666">
        <v>0.98691521132904902</v>
      </c>
      <c r="S4666" t="s">
        <v>11312</v>
      </c>
      <c r="T4666" t="s">
        <v>13290</v>
      </c>
      <c r="U4666" t="s">
        <v>13290</v>
      </c>
      <c r="V4666" t="s">
        <v>13290</v>
      </c>
      <c r="W4666" t="s">
        <v>17908</v>
      </c>
      <c r="X4666">
        <v>5</v>
      </c>
      <c r="Y4666" t="s">
        <v>24393</v>
      </c>
      <c r="Z4666" t="s">
        <v>30996</v>
      </c>
      <c r="AA4666">
        <v>0.41584599283513929</v>
      </c>
      <c r="AB4666" t="str">
        <f>HYPERLINK("Melting_Curves/meltCurve_Q8NF37_LPCAT1.pdf", "Melting_Curves/meltCurve_Q8NF37_LPCAT1.pdf")</f>
        <v>Melting_Curves/meltCurve_Q8NF37_LPCAT1.pdf</v>
      </c>
    </row>
    <row r="4667" spans="1:28" x14ac:dyDescent="0.25">
      <c r="A4667" t="s">
        <v>4671</v>
      </c>
      <c r="B4667">
        <v>0.99252571173614901</v>
      </c>
      <c r="C4667">
        <v>1.0532310497678701</v>
      </c>
      <c r="D4667">
        <v>0.93352050550521604</v>
      </c>
      <c r="E4667">
        <v>1.0176064659291999</v>
      </c>
      <c r="F4667">
        <v>0.85763835340796002</v>
      </c>
      <c r="G4667">
        <v>0.69224123890999001</v>
      </c>
      <c r="H4667">
        <v>0.69706511665589799</v>
      </c>
      <c r="I4667">
        <v>1.02501643357234</v>
      </c>
      <c r="J4667">
        <v>1.50018677361427</v>
      </c>
      <c r="K4667">
        <v>1.60567004635333</v>
      </c>
      <c r="L4667">
        <v>15000</v>
      </c>
      <c r="M4667">
        <v>231.431318988361</v>
      </c>
      <c r="O4667">
        <v>64.809207799718607</v>
      </c>
      <c r="P4667">
        <v>0.44637046090180799</v>
      </c>
      <c r="Q4667">
        <v>1.5</v>
      </c>
      <c r="R4667">
        <v>0.72427531185675298</v>
      </c>
      <c r="S4667" t="s">
        <v>11313</v>
      </c>
      <c r="T4667" t="s">
        <v>13290</v>
      </c>
      <c r="U4667" t="s">
        <v>13290</v>
      </c>
      <c r="V4667" t="s">
        <v>13290</v>
      </c>
      <c r="W4667" t="s">
        <v>17909</v>
      </c>
      <c r="X4667">
        <v>69</v>
      </c>
      <c r="Y4667" t="s">
        <v>24394</v>
      </c>
      <c r="Z4667" t="s">
        <v>30997</v>
      </c>
      <c r="AA4667">
        <v>1.086366209172491</v>
      </c>
      <c r="AB4667" t="str">
        <f>HYPERLINK("Melting_Curves/meltCurve_Q8NFC6_BOD1L1.pdf", "Melting_Curves/meltCurve_Q8NFC6_BOD1L1.pdf")</f>
        <v>Melting_Curves/meltCurve_Q8NFC6_BOD1L1.pdf</v>
      </c>
    </row>
    <row r="4668" spans="1:28" x14ac:dyDescent="0.25">
      <c r="A4668" t="s">
        <v>4672</v>
      </c>
      <c r="B4668">
        <v>0.99252571173614901</v>
      </c>
      <c r="C4668">
        <v>1.02611913741616</v>
      </c>
      <c r="D4668">
        <v>0.95329947244401303</v>
      </c>
      <c r="E4668">
        <v>0.72450169590178803</v>
      </c>
      <c r="F4668">
        <v>0.39869284625351797</v>
      </c>
      <c r="G4668">
        <v>0.22977415425338599</v>
      </c>
      <c r="H4668">
        <v>0.19469442149882701</v>
      </c>
      <c r="I4668">
        <v>0.15943669732948401</v>
      </c>
      <c r="J4668">
        <v>0.12630069843991101</v>
      </c>
      <c r="K4668">
        <v>0.10483640254009099</v>
      </c>
      <c r="L4668">
        <v>1153.98670502287</v>
      </c>
      <c r="M4668">
        <v>22.4780621559389</v>
      </c>
      <c r="N4668">
        <v>52.0698787780385</v>
      </c>
      <c r="O4668">
        <v>50.937225004594502</v>
      </c>
      <c r="P4668">
        <v>-9.5387311588830001E-2</v>
      </c>
      <c r="Q4668">
        <v>0.13539456486419599</v>
      </c>
      <c r="R4668">
        <v>0.99690171842797903</v>
      </c>
      <c r="S4668" t="s">
        <v>11314</v>
      </c>
      <c r="T4668" t="s">
        <v>13290</v>
      </c>
      <c r="U4668" t="s">
        <v>13290</v>
      </c>
      <c r="V4668" t="s">
        <v>13290</v>
      </c>
      <c r="W4668" t="s">
        <v>17910</v>
      </c>
      <c r="X4668">
        <v>10</v>
      </c>
      <c r="Y4668" t="s">
        <v>24395</v>
      </c>
      <c r="Z4668" t="s">
        <v>30998</v>
      </c>
      <c r="AA4668">
        <v>0.4717962801390525</v>
      </c>
      <c r="AB4668" t="str">
        <f>HYPERLINK("Melting_Curves/meltCurve_Q8NFF5_2_FLAD1.pdf", "Melting_Curves/meltCurve_Q8NFF5_2_FLAD1.pdf")</f>
        <v>Melting_Curves/meltCurve_Q8NFF5_2_FLAD1.pdf</v>
      </c>
    </row>
    <row r="4669" spans="1:28" x14ac:dyDescent="0.25">
      <c r="A4669" t="s">
        <v>4673</v>
      </c>
      <c r="B4669">
        <v>0.99252571173614901</v>
      </c>
      <c r="C4669">
        <v>0.99531300232755504</v>
      </c>
      <c r="D4669">
        <v>0.93137716323123398</v>
      </c>
      <c r="E4669">
        <v>0.85850527526277198</v>
      </c>
      <c r="F4669">
        <v>0.90506406310950205</v>
      </c>
      <c r="G4669">
        <v>0.94445243199226503</v>
      </c>
      <c r="H4669">
        <v>0.73384638790532397</v>
      </c>
      <c r="I4669">
        <v>0.28210566812362597</v>
      </c>
      <c r="J4669">
        <v>0.18289129282296501</v>
      </c>
      <c r="K4669">
        <v>0.30485905283362302</v>
      </c>
      <c r="L4669">
        <v>4244.5467977341696</v>
      </c>
      <c r="M4669">
        <v>69.209048000111196</v>
      </c>
      <c r="N4669">
        <v>61.9241235146633</v>
      </c>
      <c r="O4669">
        <v>61.278227596058002</v>
      </c>
      <c r="P4669">
        <v>-0.21380162780807299</v>
      </c>
      <c r="Q4669">
        <v>0.24279381870196201</v>
      </c>
      <c r="R4669">
        <v>0.95347269083758401</v>
      </c>
      <c r="S4669" t="s">
        <v>11315</v>
      </c>
      <c r="T4669" t="s">
        <v>13290</v>
      </c>
      <c r="U4669" t="s">
        <v>13290</v>
      </c>
      <c r="V4669" t="s">
        <v>13290</v>
      </c>
      <c r="W4669" t="s">
        <v>17911</v>
      </c>
      <c r="X4669">
        <v>7</v>
      </c>
      <c r="Y4669" t="s">
        <v>24396</v>
      </c>
      <c r="Z4669" t="s">
        <v>30999</v>
      </c>
      <c r="AA4669">
        <v>0.78221190569827925</v>
      </c>
      <c r="AB4669" t="str">
        <f>HYPERLINK("Melting_Curves/meltCurve_Q8NFH3_NUP43.pdf", "Melting_Curves/meltCurve_Q8NFH3_NUP43.pdf")</f>
        <v>Melting_Curves/meltCurve_Q8NFH3_NUP43.pdf</v>
      </c>
    </row>
    <row r="4670" spans="1:28" x14ac:dyDescent="0.25">
      <c r="A4670" t="s">
        <v>4674</v>
      </c>
      <c r="B4670">
        <v>0.99252571173614901</v>
      </c>
      <c r="C4670">
        <v>1.00068714291519</v>
      </c>
      <c r="D4670">
        <v>0.963467235466127</v>
      </c>
      <c r="E4670">
        <v>0.78902157578994203</v>
      </c>
      <c r="F4670">
        <v>0.79932240651822095</v>
      </c>
      <c r="G4670">
        <v>0.72638372758914005</v>
      </c>
      <c r="H4670">
        <v>0.30679974222707401</v>
      </c>
      <c r="I4670">
        <v>0.12744615431197601</v>
      </c>
      <c r="J4670">
        <v>0.12856712586926</v>
      </c>
      <c r="K4670">
        <v>0.137384938962719</v>
      </c>
      <c r="L4670">
        <v>861.87314029949903</v>
      </c>
      <c r="M4670">
        <v>14.777584971187199</v>
      </c>
      <c r="N4670">
        <v>58.323003748045302</v>
      </c>
      <c r="O4670">
        <v>57.286212044637097</v>
      </c>
      <c r="P4670">
        <v>-6.4497055025960301E-2</v>
      </c>
      <c r="Q4670">
        <v>0</v>
      </c>
      <c r="R4670">
        <v>0.96106125952576105</v>
      </c>
      <c r="S4670" t="s">
        <v>11316</v>
      </c>
      <c r="T4670" t="s">
        <v>13290</v>
      </c>
      <c r="U4670" t="s">
        <v>13290</v>
      </c>
      <c r="V4670" t="s">
        <v>13290</v>
      </c>
      <c r="W4670" t="s">
        <v>17912</v>
      </c>
      <c r="X4670">
        <v>10</v>
      </c>
      <c r="Y4670" t="s">
        <v>24397</v>
      </c>
      <c r="Z4670" t="s">
        <v>31000</v>
      </c>
      <c r="AA4670">
        <v>0.62330796163089885</v>
      </c>
      <c r="AB4670" t="str">
        <f>HYPERLINK("Melting_Curves/meltCurve_Q8NFH4_NUP37.pdf", "Melting_Curves/meltCurve_Q8NFH4_NUP37.pdf")</f>
        <v>Melting_Curves/meltCurve_Q8NFH4_NUP37.pdf</v>
      </c>
    </row>
    <row r="4671" spans="1:28" x14ac:dyDescent="0.25">
      <c r="A4671" t="s">
        <v>4675</v>
      </c>
      <c r="B4671">
        <v>0.99252571173614901</v>
      </c>
      <c r="C4671">
        <v>1.0176102769794</v>
      </c>
      <c r="D4671">
        <v>0.95980955876013097</v>
      </c>
      <c r="E4671">
        <v>0.89193587277142194</v>
      </c>
      <c r="F4671">
        <v>0.54717305182062503</v>
      </c>
      <c r="G4671">
        <v>0.23130774031645199</v>
      </c>
      <c r="H4671">
        <v>0.10991670408262599</v>
      </c>
      <c r="I4671">
        <v>9.4269837489115396E-2</v>
      </c>
      <c r="J4671">
        <v>9.1663693408814001E-2</v>
      </c>
      <c r="K4671">
        <v>6.8698936975290503E-2</v>
      </c>
      <c r="L4671">
        <v>1393.5151789771201</v>
      </c>
      <c r="M4671">
        <v>26.1503107048323</v>
      </c>
      <c r="N4671">
        <v>53.6367040800464</v>
      </c>
      <c r="O4671">
        <v>52.979968295424698</v>
      </c>
      <c r="P4671">
        <v>-0.113769225032936</v>
      </c>
      <c r="Q4671">
        <v>7.8034338057584002E-2</v>
      </c>
      <c r="R4671">
        <v>0.99914072307707902</v>
      </c>
      <c r="S4671" t="s">
        <v>11317</v>
      </c>
      <c r="T4671" t="s">
        <v>13290</v>
      </c>
      <c r="U4671" t="s">
        <v>13290</v>
      </c>
      <c r="V4671" t="s">
        <v>13290</v>
      </c>
      <c r="W4671" t="s">
        <v>17913</v>
      </c>
      <c r="X4671">
        <v>6</v>
      </c>
      <c r="Y4671" t="s">
        <v>24398</v>
      </c>
      <c r="Z4671" t="s">
        <v>31001</v>
      </c>
      <c r="AA4671">
        <v>0.49424057404313559</v>
      </c>
      <c r="AB4671" t="str">
        <f>HYPERLINK("Melting_Curves/meltCurve_Q8NFI3_ENGASE.pdf", "Melting_Curves/meltCurve_Q8NFI3_ENGASE.pdf")</f>
        <v>Melting_Curves/meltCurve_Q8NFI3_ENGASE.pdf</v>
      </c>
    </row>
    <row r="4672" spans="1:28" x14ac:dyDescent="0.25">
      <c r="A4672" t="s">
        <v>4676</v>
      </c>
      <c r="B4672">
        <v>0.99252571173614901</v>
      </c>
      <c r="C4672">
        <v>0.92971569576857704</v>
      </c>
      <c r="D4672">
        <v>0.80921126939018895</v>
      </c>
      <c r="E4672">
        <v>0.53382778828742505</v>
      </c>
      <c r="F4672">
        <v>0.39012651763782003</v>
      </c>
      <c r="G4672">
        <v>0.22453460844527701</v>
      </c>
      <c r="H4672">
        <v>0.186797992699021</v>
      </c>
      <c r="I4672">
        <v>0.19397079286286401</v>
      </c>
      <c r="J4672">
        <v>0.19983788513544001</v>
      </c>
      <c r="K4672">
        <v>0.173915087772956</v>
      </c>
      <c r="L4672">
        <v>826.50364179111898</v>
      </c>
      <c r="M4672">
        <v>16.8152175733746</v>
      </c>
      <c r="N4672">
        <v>50.418339016096702</v>
      </c>
      <c r="O4672">
        <v>48.472753913843903</v>
      </c>
      <c r="P4672">
        <v>-7.1792981850049495E-2</v>
      </c>
      <c r="Q4672">
        <v>0.17223113715135399</v>
      </c>
      <c r="R4672">
        <v>0.99657553888389405</v>
      </c>
      <c r="S4672" t="s">
        <v>11318</v>
      </c>
      <c r="T4672" t="s">
        <v>13290</v>
      </c>
      <c r="U4672" t="s">
        <v>13290</v>
      </c>
      <c r="V4672" t="s">
        <v>13290</v>
      </c>
      <c r="W4672" t="s">
        <v>17914</v>
      </c>
      <c r="X4672">
        <v>3</v>
      </c>
      <c r="Y4672" t="s">
        <v>24399</v>
      </c>
      <c r="Z4672" t="s">
        <v>31002</v>
      </c>
      <c r="AA4672">
        <v>0.44110055892014061</v>
      </c>
      <c r="AB4672" t="str">
        <f>HYPERLINK("Melting_Curves/meltCurve_Q8NFM7_4_IL17RD.pdf", "Melting_Curves/meltCurve_Q8NFM7_4_IL17RD.pdf")</f>
        <v>Melting_Curves/meltCurve_Q8NFM7_4_IL17RD.pdf</v>
      </c>
    </row>
    <row r="4673" spans="1:28" x14ac:dyDescent="0.25">
      <c r="A4673" t="s">
        <v>4677</v>
      </c>
      <c r="B4673">
        <v>0.99252571173614901</v>
      </c>
      <c r="C4673">
        <v>0.92302562359050899</v>
      </c>
      <c r="D4673">
        <v>0.85241745832323801</v>
      </c>
      <c r="E4673">
        <v>0.72071540078539797</v>
      </c>
      <c r="F4673">
        <v>0.20948046894029701</v>
      </c>
      <c r="G4673">
        <v>0.109246271538328</v>
      </c>
      <c r="H4673">
        <v>9.4835188788657904E-2</v>
      </c>
      <c r="I4673">
        <v>0.101914350140483</v>
      </c>
      <c r="J4673">
        <v>0.15596233348107499</v>
      </c>
      <c r="K4673">
        <v>0.13088007963089801</v>
      </c>
      <c r="L4673">
        <v>1716.0493240962801</v>
      </c>
      <c r="M4673">
        <v>34.0083814289668</v>
      </c>
      <c r="N4673">
        <v>50.832376374686397</v>
      </c>
      <c r="O4673">
        <v>50.286087128618298</v>
      </c>
      <c r="P4673">
        <v>-0.15041514733364</v>
      </c>
      <c r="Q4673">
        <v>0.110365314861227</v>
      </c>
      <c r="R4673">
        <v>0.98167989896279695</v>
      </c>
      <c r="S4673" t="s">
        <v>11319</v>
      </c>
      <c r="T4673" t="s">
        <v>13290</v>
      </c>
      <c r="U4673" t="s">
        <v>13290</v>
      </c>
      <c r="V4673" t="s">
        <v>13290</v>
      </c>
      <c r="W4673" t="s">
        <v>17915</v>
      </c>
      <c r="X4673">
        <v>5</v>
      </c>
      <c r="Y4673" t="s">
        <v>24400</v>
      </c>
      <c r="Z4673" t="s">
        <v>31003</v>
      </c>
      <c r="AA4673">
        <v>0.42484474917432108</v>
      </c>
      <c r="AB4673" t="str">
        <f>HYPERLINK("Melting_Curves/meltCurve_Q8NFQ8_TOR1AIP2.pdf", "Melting_Curves/meltCurve_Q8NFQ8_TOR1AIP2.pdf")</f>
        <v>Melting_Curves/meltCurve_Q8NFQ8_TOR1AIP2.pdf</v>
      </c>
    </row>
    <row r="4674" spans="1:28" x14ac:dyDescent="0.25">
      <c r="A4674" t="s">
        <v>4678</v>
      </c>
      <c r="B4674">
        <v>0.99252571173614901</v>
      </c>
      <c r="C4674">
        <v>1.13730901904133</v>
      </c>
      <c r="D4674">
        <v>1.02240213840794</v>
      </c>
      <c r="E4674">
        <v>0.78449500606016198</v>
      </c>
      <c r="F4674">
        <v>0.59547715857154604</v>
      </c>
      <c r="G4674">
        <v>0.409172340344026</v>
      </c>
      <c r="H4674">
        <v>0.32027516653324201</v>
      </c>
      <c r="I4674">
        <v>0.31856202882076201</v>
      </c>
      <c r="J4674">
        <v>0.44004931780231499</v>
      </c>
      <c r="K4674">
        <v>0.430727925012093</v>
      </c>
      <c r="L4674">
        <v>1382.56466444691</v>
      </c>
      <c r="M4674">
        <v>26.899013544437398</v>
      </c>
      <c r="N4674">
        <v>54.211011764754701</v>
      </c>
      <c r="O4674">
        <v>51.116790817867503</v>
      </c>
      <c r="P4674">
        <v>-8.2070942871583702E-2</v>
      </c>
      <c r="Q4674">
        <v>0.37616138075161898</v>
      </c>
      <c r="R4674">
        <v>0.9539826730191</v>
      </c>
      <c r="S4674" t="s">
        <v>11320</v>
      </c>
      <c r="T4674" t="s">
        <v>13290</v>
      </c>
      <c r="U4674" t="s">
        <v>13290</v>
      </c>
      <c r="V4674" t="s">
        <v>13290</v>
      </c>
      <c r="W4674" t="s">
        <v>17916</v>
      </c>
      <c r="X4674">
        <v>7</v>
      </c>
      <c r="Y4674" t="s">
        <v>24401</v>
      </c>
      <c r="Z4674" t="s">
        <v>31004</v>
      </c>
      <c r="AA4674">
        <v>0.61808812276010083</v>
      </c>
      <c r="AB4674" t="str">
        <f>HYPERLINK("Melting_Curves/meltCurve_Q8NFU3_TSTD1.pdf", "Melting_Curves/meltCurve_Q8NFU3_TSTD1.pdf")</f>
        <v>Melting_Curves/meltCurve_Q8NFU3_TSTD1.pdf</v>
      </c>
    </row>
    <row r="4675" spans="1:28" x14ac:dyDescent="0.25">
      <c r="A4675" t="s">
        <v>4679</v>
      </c>
      <c r="B4675">
        <v>0.99252571173614901</v>
      </c>
      <c r="C4675">
        <v>1.0860150222631599</v>
      </c>
      <c r="D4675">
        <v>0.99719714354076905</v>
      </c>
      <c r="E4675">
        <v>0.89225436952108705</v>
      </c>
      <c r="F4675">
        <v>0.47005394370944398</v>
      </c>
      <c r="G4675">
        <v>0.34528805281264702</v>
      </c>
      <c r="H4675">
        <v>0.29992592381896799</v>
      </c>
      <c r="I4675">
        <v>0.35319890484811001</v>
      </c>
      <c r="J4675">
        <v>0.42470159418315001</v>
      </c>
      <c r="K4675">
        <v>0.42174396771172301</v>
      </c>
      <c r="L4675">
        <v>2435.6259265703202</v>
      </c>
      <c r="M4675">
        <v>47.496079660004199</v>
      </c>
      <c r="N4675">
        <v>52.764319447088504</v>
      </c>
      <c r="O4675">
        <v>51.189928580592898</v>
      </c>
      <c r="P4675">
        <v>-0.14648282846701099</v>
      </c>
      <c r="Q4675">
        <v>0.36850075424735002</v>
      </c>
      <c r="R4675">
        <v>0.97899054680531095</v>
      </c>
      <c r="S4675" t="s">
        <v>11321</v>
      </c>
      <c r="T4675" t="s">
        <v>13290</v>
      </c>
      <c r="U4675" t="s">
        <v>13290</v>
      </c>
      <c r="V4675" t="s">
        <v>13290</v>
      </c>
      <c r="W4675" t="s">
        <v>17917</v>
      </c>
      <c r="X4675">
        <v>7</v>
      </c>
      <c r="Y4675" t="s">
        <v>24401</v>
      </c>
      <c r="Z4675" t="s">
        <v>31005</v>
      </c>
      <c r="AA4675">
        <v>0.60754030935901426</v>
      </c>
      <c r="AB4675" t="str">
        <f>HYPERLINK("Melting_Curves/meltCurve_Q8NFU3_4_TSTD1.pdf", "Melting_Curves/meltCurve_Q8NFU3_4_TSTD1.pdf")</f>
        <v>Melting_Curves/meltCurve_Q8NFU3_4_TSTD1.pdf</v>
      </c>
    </row>
    <row r="4676" spans="1:28" x14ac:dyDescent="0.25">
      <c r="A4676" t="s">
        <v>4680</v>
      </c>
      <c r="B4676">
        <v>0.99252571173614901</v>
      </c>
      <c r="C4676">
        <v>1.0853159861528801</v>
      </c>
      <c r="D4676">
        <v>0.853282562458198</v>
      </c>
      <c r="E4676">
        <v>0.46525297087650702</v>
      </c>
      <c r="F4676">
        <v>0.12590410824033599</v>
      </c>
      <c r="G4676">
        <v>8.3812712607516202E-2</v>
      </c>
      <c r="H4676">
        <v>6.2196010970018201E-2</v>
      </c>
      <c r="I4676">
        <v>6.1647729880934199E-2</v>
      </c>
      <c r="J4676">
        <v>5.2620243318639598E-2</v>
      </c>
      <c r="K4676">
        <v>5.1156462673151E-2</v>
      </c>
      <c r="L4676">
        <v>1458.0663229269001</v>
      </c>
      <c r="M4676">
        <v>29.720479776430199</v>
      </c>
      <c r="N4676">
        <v>49.257393678324902</v>
      </c>
      <c r="O4676">
        <v>48.8388086274052</v>
      </c>
      <c r="P4676">
        <v>-0.14356761573450799</v>
      </c>
      <c r="Q4676">
        <v>5.63241734885968E-2</v>
      </c>
      <c r="R4676">
        <v>0.99322753676189002</v>
      </c>
      <c r="S4676" t="s">
        <v>11322</v>
      </c>
      <c r="T4676" t="s">
        <v>13290</v>
      </c>
      <c r="U4676" t="s">
        <v>13290</v>
      </c>
      <c r="V4676" t="s">
        <v>13290</v>
      </c>
      <c r="W4676" t="s">
        <v>17918</v>
      </c>
      <c r="X4676">
        <v>10</v>
      </c>
      <c r="Y4676" t="s">
        <v>24402</v>
      </c>
      <c r="Z4676" t="s">
        <v>31006</v>
      </c>
      <c r="AA4676">
        <v>0.34715649723163949</v>
      </c>
      <c r="AB4676" t="str">
        <f>HYPERLINK("Melting_Curves/meltCurve_Q8NFV4_ABHD11.pdf", "Melting_Curves/meltCurve_Q8NFV4_ABHD11.pdf")</f>
        <v>Melting_Curves/meltCurve_Q8NFV4_ABHD11.pdf</v>
      </c>
    </row>
    <row r="4677" spans="1:28" x14ac:dyDescent="0.25">
      <c r="A4677" t="s">
        <v>4681</v>
      </c>
      <c r="B4677">
        <v>0.99252571173614901</v>
      </c>
      <c r="C4677">
        <v>0.88608372710425398</v>
      </c>
      <c r="D4677">
        <v>1.0528714799119101</v>
      </c>
      <c r="E4677">
        <v>0.96651622559989003</v>
      </c>
      <c r="F4677">
        <v>0.125514574497255</v>
      </c>
      <c r="G4677">
        <v>7.7623977780759496E-2</v>
      </c>
      <c r="H4677">
        <v>4.6679894738781702E-2</v>
      </c>
      <c r="I4677">
        <v>5.7272830962106398E-2</v>
      </c>
      <c r="J4677">
        <v>8.3201999123690196E-2</v>
      </c>
      <c r="K4677">
        <v>8.2853188123285598E-2</v>
      </c>
      <c r="L4677">
        <v>4424.2438025250103</v>
      </c>
      <c r="M4677">
        <v>85.908829555697196</v>
      </c>
      <c r="N4677">
        <v>51.589121136675097</v>
      </c>
      <c r="O4677">
        <v>51.471400612733099</v>
      </c>
      <c r="P4677">
        <v>-0.38828355612522097</v>
      </c>
      <c r="Q4677">
        <v>6.9455463796950806E-2</v>
      </c>
      <c r="R4677">
        <v>0.99128839581911699</v>
      </c>
      <c r="S4677" t="s">
        <v>11323</v>
      </c>
      <c r="T4677" t="s">
        <v>13290</v>
      </c>
      <c r="U4677" t="s">
        <v>13290</v>
      </c>
      <c r="V4677" t="s">
        <v>13290</v>
      </c>
      <c r="W4677" t="s">
        <v>17919</v>
      </c>
      <c r="X4677">
        <v>7</v>
      </c>
      <c r="Y4677" t="s">
        <v>24403</v>
      </c>
      <c r="Z4677" t="s">
        <v>31007</v>
      </c>
      <c r="AA4677">
        <v>0.42685561158196811</v>
      </c>
      <c r="AB4677" t="str">
        <f>HYPERLINK("Melting_Curves/meltCurve_Q8NFW8_CMAS.pdf", "Melting_Curves/meltCurve_Q8NFW8_CMAS.pdf")</f>
        <v>Melting_Curves/meltCurve_Q8NFW8_CMAS.pdf</v>
      </c>
    </row>
    <row r="4678" spans="1:28" x14ac:dyDescent="0.25">
      <c r="A4678" t="s">
        <v>4682</v>
      </c>
      <c r="B4678">
        <v>0.99252571173614901</v>
      </c>
      <c r="C4678">
        <v>1.0377182795904201</v>
      </c>
      <c r="D4678">
        <v>0.78612511543351205</v>
      </c>
      <c r="E4678">
        <v>0.42951253129920902</v>
      </c>
      <c r="F4678">
        <v>0.1125893386309</v>
      </c>
      <c r="G4678">
        <v>6.5601427510936006E-2</v>
      </c>
      <c r="H4678">
        <v>5.3758883501291002E-2</v>
      </c>
      <c r="I4678">
        <v>5.6871870843108199E-2</v>
      </c>
      <c r="J4678">
        <v>5.84190545585484E-2</v>
      </c>
      <c r="K4678">
        <v>5.5534283685759099E-2</v>
      </c>
      <c r="L4678">
        <v>1276.1612209605801</v>
      </c>
      <c r="M4678">
        <v>26.2561221672545</v>
      </c>
      <c r="N4678">
        <v>48.799723437901598</v>
      </c>
      <c r="O4678">
        <v>48.325003512596098</v>
      </c>
      <c r="P4678">
        <v>-0.1290549474488</v>
      </c>
      <c r="Q4678">
        <v>4.9895839584124503E-2</v>
      </c>
      <c r="R4678">
        <v>0.99525800009549104</v>
      </c>
      <c r="S4678" t="s">
        <v>11324</v>
      </c>
      <c r="T4678" t="s">
        <v>13290</v>
      </c>
      <c r="U4678" t="s">
        <v>13290</v>
      </c>
      <c r="V4678" t="s">
        <v>13290</v>
      </c>
      <c r="W4678" t="s">
        <v>17920</v>
      </c>
      <c r="X4678">
        <v>11</v>
      </c>
      <c r="Y4678" t="s">
        <v>24404</v>
      </c>
      <c r="Z4678" t="s">
        <v>31008</v>
      </c>
      <c r="AA4678">
        <v>0.32998315954447682</v>
      </c>
      <c r="AB4678" t="str">
        <f>HYPERLINK("Melting_Curves/meltCurve_Q8NFX7_2_STXBP6.pdf", "Melting_Curves/meltCurve_Q8NFX7_2_STXBP6.pdf")</f>
        <v>Melting_Curves/meltCurve_Q8NFX7_2_STXBP6.pdf</v>
      </c>
    </row>
    <row r="4679" spans="1:28" x14ac:dyDescent="0.25">
      <c r="A4679" t="s">
        <v>4683</v>
      </c>
      <c r="B4679">
        <v>0.99252571173614901</v>
      </c>
      <c r="C4679">
        <v>1.0032061022681</v>
      </c>
      <c r="D4679">
        <v>0.95193710105224305</v>
      </c>
      <c r="E4679">
        <v>0.77227521909863095</v>
      </c>
      <c r="F4679">
        <v>0.325106020426011</v>
      </c>
      <c r="G4679">
        <v>0.198736924513989</v>
      </c>
      <c r="H4679">
        <v>0.148762646250021</v>
      </c>
      <c r="I4679">
        <v>0.13134885843435801</v>
      </c>
      <c r="J4679">
        <v>0.133955132342643</v>
      </c>
      <c r="K4679">
        <v>0.136138095339772</v>
      </c>
      <c r="L4679">
        <v>1578.7129404435</v>
      </c>
      <c r="M4679">
        <v>30.868760568426801</v>
      </c>
      <c r="N4679">
        <v>51.686064257341997</v>
      </c>
      <c r="O4679">
        <v>50.929542389727096</v>
      </c>
      <c r="P4679">
        <v>-0.13053276764378</v>
      </c>
      <c r="Q4679">
        <v>0.13855494039062599</v>
      </c>
      <c r="R4679">
        <v>0.99895921255261899</v>
      </c>
      <c r="S4679" t="s">
        <v>11325</v>
      </c>
      <c r="T4679" t="s">
        <v>13290</v>
      </c>
      <c r="U4679" t="s">
        <v>13290</v>
      </c>
      <c r="V4679" t="s">
        <v>13290</v>
      </c>
      <c r="W4679" t="s">
        <v>17921</v>
      </c>
      <c r="X4679">
        <v>4</v>
      </c>
      <c r="Y4679" t="s">
        <v>24405</v>
      </c>
      <c r="Z4679" t="s">
        <v>31009</v>
      </c>
      <c r="AA4679">
        <v>0.46364424350419547</v>
      </c>
      <c r="AB4679" t="str">
        <f>HYPERLINK("Melting_Curves/meltCurve_Q8NG68_TTL.pdf", "Melting_Curves/meltCurve_Q8NG68_TTL.pdf")</f>
        <v>Melting_Curves/meltCurve_Q8NG68_TTL.pdf</v>
      </c>
    </row>
    <row r="4680" spans="1:28" x14ac:dyDescent="0.25">
      <c r="A4680" t="s">
        <v>4684</v>
      </c>
      <c r="B4680">
        <v>0.99252571173614901</v>
      </c>
      <c r="C4680">
        <v>0.98448840865896003</v>
      </c>
      <c r="D4680">
        <v>0.90547854231111502</v>
      </c>
      <c r="E4680">
        <v>0.79045343485182595</v>
      </c>
      <c r="F4680">
        <v>0.69824981103421702</v>
      </c>
      <c r="G4680">
        <v>0.47089076889237902</v>
      </c>
      <c r="H4680">
        <v>0.44952057753882602</v>
      </c>
      <c r="I4680">
        <v>0.32566366511017503</v>
      </c>
      <c r="J4680">
        <v>0.32626439213230402</v>
      </c>
      <c r="K4680">
        <v>0.305773742837259</v>
      </c>
      <c r="L4680">
        <v>654.29347267247897</v>
      </c>
      <c r="M4680">
        <v>12.148595885706101</v>
      </c>
      <c r="N4680">
        <v>57.317286938305998</v>
      </c>
      <c r="O4680">
        <v>52.460553746428303</v>
      </c>
      <c r="P4680">
        <v>-4.2860600247595797E-2</v>
      </c>
      <c r="Q4680">
        <v>0.25984067288387802</v>
      </c>
      <c r="R4680">
        <v>0.99005490749243097</v>
      </c>
      <c r="S4680" t="s">
        <v>11326</v>
      </c>
      <c r="T4680" t="s">
        <v>13290</v>
      </c>
      <c r="U4680" t="s">
        <v>13290</v>
      </c>
      <c r="V4680" t="s">
        <v>13290</v>
      </c>
      <c r="W4680" t="s">
        <v>17922</v>
      </c>
      <c r="X4680">
        <v>1</v>
      </c>
      <c r="Y4680" t="s">
        <v>24406</v>
      </c>
      <c r="Z4680" t="s">
        <v>31010</v>
      </c>
      <c r="AA4680">
        <v>0.62109499842443405</v>
      </c>
      <c r="AB4680" t="str">
        <f>HYPERLINK("Melting_Curves/meltCurve_Q8NGG4_OR8H1.pdf", "Melting_Curves/meltCurve_Q8NGG4_OR8H1.pdf")</f>
        <v>Melting_Curves/meltCurve_Q8NGG4_OR8H1.pdf</v>
      </c>
    </row>
    <row r="4681" spans="1:28" x14ac:dyDescent="0.25">
      <c r="A4681" t="s">
        <v>4685</v>
      </c>
      <c r="B4681">
        <v>0.99252571173614901</v>
      </c>
      <c r="C4681">
        <v>0.95967002402422297</v>
      </c>
      <c r="D4681">
        <v>0.95450805612854905</v>
      </c>
      <c r="E4681">
        <v>0.94076132191184003</v>
      </c>
      <c r="F4681">
        <v>0.86447530672897999</v>
      </c>
      <c r="G4681">
        <v>0.724863165542872</v>
      </c>
      <c r="H4681">
        <v>0.64490047137815598</v>
      </c>
      <c r="I4681">
        <v>0.83651671627259006</v>
      </c>
      <c r="J4681">
        <v>1.4745941883692699</v>
      </c>
      <c r="K4681">
        <v>1.37256940048031</v>
      </c>
      <c r="L4681">
        <v>15000</v>
      </c>
      <c r="M4681">
        <v>228.389856539855</v>
      </c>
      <c r="O4681">
        <v>65.672132056845797</v>
      </c>
      <c r="P4681">
        <v>0.369360369432154</v>
      </c>
      <c r="Q4681">
        <v>1.42482945608092</v>
      </c>
      <c r="R4681">
        <v>0.57556308919316801</v>
      </c>
      <c r="S4681" t="s">
        <v>11327</v>
      </c>
      <c r="T4681" t="s">
        <v>13290</v>
      </c>
      <c r="U4681" t="s">
        <v>13290</v>
      </c>
      <c r="V4681" t="s">
        <v>13290</v>
      </c>
      <c r="W4681" t="s">
        <v>17923</v>
      </c>
      <c r="X4681">
        <v>3</v>
      </c>
      <c r="Y4681" t="s">
        <v>24407</v>
      </c>
      <c r="Z4681" t="s">
        <v>31011</v>
      </c>
      <c r="AA4681">
        <v>1.061156811393249</v>
      </c>
      <c r="AB4681" t="str">
        <f>HYPERLINK("Melting_Curves/meltCurve_Q8NHG7_SVIP.pdf", "Melting_Curves/meltCurve_Q8NHG7_SVIP.pdf")</f>
        <v>Melting_Curves/meltCurve_Q8NHG7_SVIP.pdf</v>
      </c>
    </row>
    <row r="4682" spans="1:28" x14ac:dyDescent="0.25">
      <c r="A4682" t="s">
        <v>4686</v>
      </c>
      <c r="B4682">
        <v>0.99252571173614901</v>
      </c>
      <c r="C4682">
        <v>0.96365646945197603</v>
      </c>
      <c r="D4682">
        <v>0.88811787830108402</v>
      </c>
      <c r="E4682">
        <v>0.83197390362014401</v>
      </c>
      <c r="F4682">
        <v>0.632931680813695</v>
      </c>
      <c r="G4682">
        <v>0.44046993281868002</v>
      </c>
      <c r="H4682">
        <v>0.36675002611540702</v>
      </c>
      <c r="I4682">
        <v>0.38694464359881597</v>
      </c>
      <c r="J4682">
        <v>0.365326793360153</v>
      </c>
      <c r="K4682">
        <v>0.29701068174754802</v>
      </c>
      <c r="L4682">
        <v>815.82969471231002</v>
      </c>
      <c r="M4682">
        <v>15.5563356980511</v>
      </c>
      <c r="N4682">
        <v>56.000081952625997</v>
      </c>
      <c r="O4682">
        <v>51.599874071735499</v>
      </c>
      <c r="P4682">
        <v>-5.1720876700216599E-2</v>
      </c>
      <c r="Q4682">
        <v>0.31383404222175598</v>
      </c>
      <c r="R4682">
        <v>0.98902187276446696</v>
      </c>
      <c r="S4682" t="s">
        <v>11328</v>
      </c>
      <c r="T4682" t="s">
        <v>13290</v>
      </c>
      <c r="U4682" t="s">
        <v>13290</v>
      </c>
      <c r="V4682" t="s">
        <v>13290</v>
      </c>
      <c r="W4682" t="s">
        <v>17924</v>
      </c>
      <c r="X4682">
        <v>2</v>
      </c>
      <c r="Y4682" t="s">
        <v>24408</v>
      </c>
      <c r="Z4682" t="s">
        <v>31012</v>
      </c>
      <c r="AA4682">
        <v>0.61274469039595647</v>
      </c>
      <c r="AB4682" t="str">
        <f>HYPERLINK("Melting_Curves/meltCurve_Q8NHG8_ZNRF2.pdf", "Melting_Curves/meltCurve_Q8NHG8_ZNRF2.pdf")</f>
        <v>Melting_Curves/meltCurve_Q8NHG8_ZNRF2.pdf</v>
      </c>
    </row>
    <row r="4683" spans="1:28" x14ac:dyDescent="0.25">
      <c r="A4683" t="s">
        <v>4687</v>
      </c>
      <c r="B4683">
        <v>0.99252571173614901</v>
      </c>
      <c r="C4683">
        <v>0.95133376919427604</v>
      </c>
      <c r="D4683">
        <v>0.88509283747372802</v>
      </c>
      <c r="E4683">
        <v>0.84493198528135205</v>
      </c>
      <c r="F4683">
        <v>0.20945762555942199</v>
      </c>
      <c r="G4683">
        <v>7.7807645651239293E-2</v>
      </c>
      <c r="H4683">
        <v>4.9778870474236903E-2</v>
      </c>
      <c r="I4683">
        <v>5.0784349854761102E-2</v>
      </c>
      <c r="J4683">
        <v>5.6852224819061797E-2</v>
      </c>
      <c r="K4683">
        <v>5.2908142979490598E-2</v>
      </c>
      <c r="L4683">
        <v>2290.9121831863599</v>
      </c>
      <c r="M4683">
        <v>44.635297367600799</v>
      </c>
      <c r="N4683">
        <v>51.456698860626503</v>
      </c>
      <c r="O4683">
        <v>51.222427864135398</v>
      </c>
      <c r="P4683">
        <v>-0.20610197796333701</v>
      </c>
      <c r="Q4683">
        <v>5.3930064837284297E-2</v>
      </c>
      <c r="R4683">
        <v>0.99137422693169497</v>
      </c>
      <c r="S4683" t="s">
        <v>11329</v>
      </c>
      <c r="T4683" t="s">
        <v>13290</v>
      </c>
      <c r="U4683" t="s">
        <v>13290</v>
      </c>
      <c r="V4683" t="s">
        <v>13290</v>
      </c>
      <c r="W4683" t="s">
        <v>17925</v>
      </c>
      <c r="X4683">
        <v>21</v>
      </c>
      <c r="Y4683" t="s">
        <v>24409</v>
      </c>
      <c r="Z4683" t="s">
        <v>31013</v>
      </c>
      <c r="AA4683">
        <v>0.41376652412791282</v>
      </c>
      <c r="AB4683" t="str">
        <f>HYPERLINK("Melting_Curves/meltCurve_Q8NHH9_ATL2.pdf", "Melting_Curves/meltCurve_Q8NHH9_ATL2.pdf")</f>
        <v>Melting_Curves/meltCurve_Q8NHH9_ATL2.pdf</v>
      </c>
    </row>
    <row r="4684" spans="1:28" x14ac:dyDescent="0.25">
      <c r="A4684" t="s">
        <v>4688</v>
      </c>
      <c r="B4684">
        <v>0.99252571173614901</v>
      </c>
      <c r="C4684">
        <v>1.03691220945315</v>
      </c>
      <c r="D4684">
        <v>0.94117770713412297</v>
      </c>
      <c r="E4684">
        <v>0.70981615112491603</v>
      </c>
      <c r="F4684">
        <v>0.72879394538626296</v>
      </c>
      <c r="G4684">
        <v>0.63012180820420405</v>
      </c>
      <c r="H4684">
        <v>0.61034224522394398</v>
      </c>
      <c r="I4684">
        <v>0.74179046338879995</v>
      </c>
      <c r="J4684">
        <v>0.97634770945810501</v>
      </c>
      <c r="K4684">
        <v>1.1370734064750001</v>
      </c>
      <c r="L4684">
        <v>11543.234331691399</v>
      </c>
      <c r="M4684">
        <v>250</v>
      </c>
      <c r="O4684">
        <v>46.169962501242203</v>
      </c>
      <c r="P4684">
        <v>-0.28344681590752202</v>
      </c>
      <c r="Q4684">
        <v>0.79061224684991904</v>
      </c>
      <c r="R4684">
        <v>0.27673390346788901</v>
      </c>
      <c r="S4684" t="s">
        <v>11330</v>
      </c>
      <c r="T4684" t="s">
        <v>13290</v>
      </c>
      <c r="U4684" t="s">
        <v>13290</v>
      </c>
      <c r="V4684" t="s">
        <v>13290</v>
      </c>
      <c r="W4684" t="s">
        <v>17926</v>
      </c>
      <c r="X4684">
        <v>2</v>
      </c>
      <c r="Y4684" t="s">
        <v>24410</v>
      </c>
      <c r="Z4684" t="s">
        <v>31014</v>
      </c>
      <c r="AA4684">
        <v>0.83371379669591827</v>
      </c>
      <c r="AB4684" t="str">
        <f>HYPERLINK("Melting_Curves/meltCurve_Q8NHM4_TRY6.pdf", "Melting_Curves/meltCurve_Q8NHM4_TRY6.pdf")</f>
        <v>Melting_Curves/meltCurve_Q8NHM4_TRY6.pdf</v>
      </c>
    </row>
    <row r="4685" spans="1:28" x14ac:dyDescent="0.25">
      <c r="A4685" t="s">
        <v>4689</v>
      </c>
      <c r="B4685">
        <v>0.99252571173614901</v>
      </c>
      <c r="C4685">
        <v>0.82802424722434098</v>
      </c>
      <c r="D4685">
        <v>0.97475103668738605</v>
      </c>
      <c r="E4685">
        <v>0.48668510522543201</v>
      </c>
      <c r="F4685">
        <v>0.19220240713645101</v>
      </c>
      <c r="G4685">
        <v>0.10476854538708399</v>
      </c>
      <c r="H4685">
        <v>9.1666657793519901E-2</v>
      </c>
      <c r="I4685">
        <v>0.102970962461509</v>
      </c>
      <c r="J4685">
        <v>3.1607295089548001E-2</v>
      </c>
      <c r="K4685">
        <v>4.3738771822336799E-2</v>
      </c>
      <c r="L4685">
        <v>1478.5585949825399</v>
      </c>
      <c r="M4685">
        <v>29.912954916064201</v>
      </c>
      <c r="N4685">
        <v>49.687327971017098</v>
      </c>
      <c r="O4685">
        <v>49.209372711390401</v>
      </c>
      <c r="P4685">
        <v>-0.14101356322926101</v>
      </c>
      <c r="Q4685">
        <v>7.2088559613701197E-2</v>
      </c>
      <c r="R4685">
        <v>0.97545656985532803</v>
      </c>
      <c r="S4685" t="s">
        <v>11331</v>
      </c>
      <c r="T4685" t="s">
        <v>13290</v>
      </c>
      <c r="U4685" t="s">
        <v>13290</v>
      </c>
      <c r="V4685" t="s">
        <v>13290</v>
      </c>
      <c r="W4685" t="s">
        <v>17927</v>
      </c>
      <c r="X4685">
        <v>2</v>
      </c>
      <c r="Y4685" t="s">
        <v>24411</v>
      </c>
      <c r="Z4685" t="s">
        <v>31015</v>
      </c>
      <c r="AA4685">
        <v>0.36944335952161322</v>
      </c>
      <c r="AB4685" t="str">
        <f>HYPERLINK("Melting_Curves/meltCurve_Q8NHM5_4_KDM2B.pdf", "Melting_Curves/meltCurve_Q8NHM5_4_KDM2B.pdf")</f>
        <v>Melting_Curves/meltCurve_Q8NHM5_4_KDM2B.pdf</v>
      </c>
    </row>
    <row r="4686" spans="1:28" x14ac:dyDescent="0.25">
      <c r="A4686" t="s">
        <v>4690</v>
      </c>
      <c r="B4686">
        <v>0.99252571173614901</v>
      </c>
      <c r="C4686">
        <v>1.03891050124495</v>
      </c>
      <c r="D4686">
        <v>1.02756976132735</v>
      </c>
      <c r="E4686">
        <v>0.86374428513310897</v>
      </c>
      <c r="F4686">
        <v>0.84570366862887703</v>
      </c>
      <c r="G4686">
        <v>0.70900130576762999</v>
      </c>
      <c r="H4686">
        <v>0.57692081725741795</v>
      </c>
      <c r="I4686">
        <v>0.40802129165336998</v>
      </c>
      <c r="J4686">
        <v>0.25142733192912098</v>
      </c>
      <c r="K4686">
        <v>0.17346214319742301</v>
      </c>
      <c r="L4686">
        <v>701.10052043095698</v>
      </c>
      <c r="M4686">
        <v>11.4040122856977</v>
      </c>
      <c r="N4686">
        <v>61.478408056379998</v>
      </c>
      <c r="O4686">
        <v>59.6790621589194</v>
      </c>
      <c r="P4686">
        <v>-4.7786276635830197E-2</v>
      </c>
      <c r="Q4686">
        <v>0</v>
      </c>
      <c r="R4686">
        <v>0.98489144627127201</v>
      </c>
      <c r="S4686" t="s">
        <v>11332</v>
      </c>
      <c r="T4686" t="s">
        <v>13290</v>
      </c>
      <c r="U4686" t="s">
        <v>13290</v>
      </c>
      <c r="V4686" t="s">
        <v>13290</v>
      </c>
      <c r="W4686" t="s">
        <v>17928</v>
      </c>
      <c r="X4686">
        <v>15</v>
      </c>
      <c r="Y4686" t="s">
        <v>24412</v>
      </c>
      <c r="Z4686" t="s">
        <v>31016</v>
      </c>
      <c r="AA4686">
        <v>0.70630494895542939</v>
      </c>
      <c r="AB4686" t="str">
        <f>HYPERLINK("Melting_Curves/meltCurve_Q8NHP8_PLBD2.pdf", "Melting_Curves/meltCurve_Q8NHP8_PLBD2.pdf")</f>
        <v>Melting_Curves/meltCurve_Q8NHP8_PLBD2.pdf</v>
      </c>
    </row>
    <row r="4687" spans="1:28" x14ac:dyDescent="0.25">
      <c r="A4687" t="s">
        <v>4691</v>
      </c>
      <c r="B4687">
        <v>0.99252571173614901</v>
      </c>
      <c r="C4687">
        <v>1.1220276583547</v>
      </c>
      <c r="D4687">
        <v>1.1550231161501301</v>
      </c>
      <c r="E4687">
        <v>1.35273380923457</v>
      </c>
      <c r="F4687">
        <v>1.1370021742646299</v>
      </c>
      <c r="G4687">
        <v>1.0554745341513301</v>
      </c>
      <c r="H4687">
        <v>0.99554190068217896</v>
      </c>
      <c r="I4687">
        <v>1.09203322889871</v>
      </c>
      <c r="J4687">
        <v>0.288231500305065</v>
      </c>
      <c r="K4687">
        <v>9.9371551769591004E-2</v>
      </c>
      <c r="L4687">
        <v>15000</v>
      </c>
      <c r="M4687">
        <v>224.87315630927301</v>
      </c>
      <c r="N4687">
        <v>66.770025068139304</v>
      </c>
      <c r="O4687">
        <v>66.6990038416576</v>
      </c>
      <c r="P4687">
        <v>-0.75914974160149096</v>
      </c>
      <c r="Q4687">
        <v>9.9322908772700794E-2</v>
      </c>
      <c r="R4687">
        <v>0.86739198657668404</v>
      </c>
      <c r="S4687" t="s">
        <v>11333</v>
      </c>
      <c r="T4687" t="s">
        <v>13290</v>
      </c>
      <c r="U4687" t="s">
        <v>13290</v>
      </c>
      <c r="V4687" t="s">
        <v>13290</v>
      </c>
      <c r="W4687" t="s">
        <v>17929</v>
      </c>
      <c r="X4687">
        <v>1</v>
      </c>
      <c r="Y4687" t="s">
        <v>24413</v>
      </c>
      <c r="Z4687" t="s">
        <v>31017</v>
      </c>
      <c r="AA4687">
        <v>0.90118382576230582</v>
      </c>
      <c r="AB4687" t="str">
        <f>HYPERLINK("Melting_Curves/meltCurve_Q8NHV1_GIMAP7.pdf", "Melting_Curves/meltCurve_Q8NHV1_GIMAP7.pdf")</f>
        <v>Melting_Curves/meltCurve_Q8NHV1_GIMAP7.pdf</v>
      </c>
    </row>
    <row r="4688" spans="1:28" x14ac:dyDescent="0.25">
      <c r="A4688" t="s">
        <v>4692</v>
      </c>
      <c r="B4688">
        <v>0.99252571173614901</v>
      </c>
      <c r="C4688">
        <v>0.94574853922527902</v>
      </c>
      <c r="D4688">
        <v>0.94041045333750495</v>
      </c>
      <c r="E4688">
        <v>0.81125628903964897</v>
      </c>
      <c r="F4688">
        <v>0.51486868661326701</v>
      </c>
      <c r="G4688">
        <v>0.29182128418145298</v>
      </c>
      <c r="H4688">
        <v>0.15768838580170799</v>
      </c>
      <c r="I4688">
        <v>0.149772462088226</v>
      </c>
      <c r="J4688">
        <v>0.15240158285769001</v>
      </c>
      <c r="K4688">
        <v>0.12592238003006001</v>
      </c>
      <c r="L4688">
        <v>1047.4064374950401</v>
      </c>
      <c r="M4688">
        <v>19.895475036386401</v>
      </c>
      <c r="N4688">
        <v>53.4001400646181</v>
      </c>
      <c r="O4688">
        <v>52.122249502473103</v>
      </c>
      <c r="P4688">
        <v>-8.37351786909422E-2</v>
      </c>
      <c r="Q4688">
        <v>0.12255006800125801</v>
      </c>
      <c r="R4688">
        <v>0.99753471555420603</v>
      </c>
      <c r="S4688" t="s">
        <v>11334</v>
      </c>
      <c r="T4688" t="s">
        <v>13290</v>
      </c>
      <c r="U4688" t="s">
        <v>13290</v>
      </c>
      <c r="V4688" t="s">
        <v>13290</v>
      </c>
      <c r="W4688" t="s">
        <v>17930</v>
      </c>
      <c r="X4688">
        <v>11</v>
      </c>
      <c r="Y4688" t="s">
        <v>24414</v>
      </c>
      <c r="Z4688" t="s">
        <v>31018</v>
      </c>
      <c r="AA4688">
        <v>0.50462013549840357</v>
      </c>
      <c r="AB4688" t="str">
        <f>HYPERLINK("Melting_Curves/meltCurve_Q8NHV4_NEDD1.pdf", "Melting_Curves/meltCurve_Q8NHV4_NEDD1.pdf")</f>
        <v>Melting_Curves/meltCurve_Q8NHV4_NEDD1.pdf</v>
      </c>
    </row>
    <row r="4689" spans="1:28" x14ac:dyDescent="0.25">
      <c r="A4689" t="s">
        <v>4693</v>
      </c>
      <c r="B4689">
        <v>0.99252571173614901</v>
      </c>
      <c r="C4689">
        <v>1.04323058233456</v>
      </c>
      <c r="D4689">
        <v>0.93731033402450803</v>
      </c>
      <c r="E4689">
        <v>0.77275639792154804</v>
      </c>
      <c r="F4689">
        <v>0.735910282993675</v>
      </c>
      <c r="G4689">
        <v>0.76442736042090897</v>
      </c>
      <c r="H4689">
        <v>0.908792342082275</v>
      </c>
      <c r="I4689">
        <v>1.1501265100373601</v>
      </c>
      <c r="J4689">
        <v>1.7893341036904999</v>
      </c>
      <c r="K4689">
        <v>2.0968263826506099</v>
      </c>
      <c r="L4689">
        <v>15000</v>
      </c>
      <c r="M4689">
        <v>233.529504434535</v>
      </c>
      <c r="O4689">
        <v>64.226995102561304</v>
      </c>
      <c r="P4689">
        <v>0.45450024445932402</v>
      </c>
      <c r="Q4689">
        <v>1.5</v>
      </c>
      <c r="R4689">
        <v>0.66751301036248301</v>
      </c>
      <c r="S4689" t="s">
        <v>11335</v>
      </c>
      <c r="T4689" t="s">
        <v>13290</v>
      </c>
      <c r="U4689" t="s">
        <v>13290</v>
      </c>
      <c r="V4689" t="s">
        <v>13290</v>
      </c>
      <c r="W4689" t="s">
        <v>17931</v>
      </c>
      <c r="X4689">
        <v>2</v>
      </c>
      <c r="Y4689" t="s">
        <v>24415</v>
      </c>
      <c r="Z4689" t="s">
        <v>31019</v>
      </c>
      <c r="AA4689">
        <v>1.0960735285911789</v>
      </c>
      <c r="AB4689" t="str">
        <f>HYPERLINK("Melting_Curves/meltCurve_Q8NHZ8_CDC26.pdf", "Melting_Curves/meltCurve_Q8NHZ8_CDC26.pdf")</f>
        <v>Melting_Curves/meltCurve_Q8NHZ8_CDC26.pdf</v>
      </c>
    </row>
    <row r="4690" spans="1:28" x14ac:dyDescent="0.25">
      <c r="A4690" t="s">
        <v>4694</v>
      </c>
      <c r="B4690">
        <v>0.99252571173614901</v>
      </c>
      <c r="C4690">
        <v>1.15301010343271</v>
      </c>
      <c r="D4690">
        <v>0.86451915687594205</v>
      </c>
      <c r="E4690">
        <v>0.7293175650232</v>
      </c>
      <c r="F4690">
        <v>0.40422966731142801</v>
      </c>
      <c r="G4690">
        <v>0.187678822589599</v>
      </c>
      <c r="H4690">
        <v>0.13665298107756399</v>
      </c>
      <c r="I4690">
        <v>0.12906333735421399</v>
      </c>
      <c r="J4690">
        <v>0.164780391206024</v>
      </c>
      <c r="K4690">
        <v>0.161759521333321</v>
      </c>
      <c r="L4690">
        <v>1196.38792744735</v>
      </c>
      <c r="M4690">
        <v>23.388097833899</v>
      </c>
      <c r="N4690">
        <v>51.863546644192198</v>
      </c>
      <c r="O4690">
        <v>50.784152994040497</v>
      </c>
      <c r="P4690">
        <v>-9.9367637563289396E-2</v>
      </c>
      <c r="Q4690">
        <v>0.13696076843310501</v>
      </c>
      <c r="R4690">
        <v>0.975789791553894</v>
      </c>
      <c r="S4690" t="s">
        <v>11336</v>
      </c>
      <c r="T4690" t="s">
        <v>13290</v>
      </c>
      <c r="U4690" t="s">
        <v>13290</v>
      </c>
      <c r="V4690" t="s">
        <v>13290</v>
      </c>
      <c r="W4690" t="s">
        <v>17932</v>
      </c>
      <c r="X4690">
        <v>3</v>
      </c>
      <c r="Y4690" t="s">
        <v>24416</v>
      </c>
      <c r="Z4690" t="s">
        <v>31020</v>
      </c>
      <c r="AA4690">
        <v>0.46672383527428529</v>
      </c>
      <c r="AB4690" t="str">
        <f>HYPERLINK("Melting_Curves/meltCurve_Q8NI08_2_NCOA7.pdf", "Melting_Curves/meltCurve_Q8NI08_2_NCOA7.pdf")</f>
        <v>Melting_Curves/meltCurve_Q8NI08_2_NCOA7.pdf</v>
      </c>
    </row>
    <row r="4691" spans="1:28" x14ac:dyDescent="0.25">
      <c r="A4691" t="s">
        <v>4695</v>
      </c>
      <c r="B4691">
        <v>0.99252571173614901</v>
      </c>
      <c r="C4691">
        <v>1.0281640513639301</v>
      </c>
      <c r="D4691">
        <v>0.88830730037639405</v>
      </c>
      <c r="E4691">
        <v>0.67029365793140006</v>
      </c>
      <c r="F4691">
        <v>0.64620141998785596</v>
      </c>
      <c r="G4691">
        <v>0.54353422450651101</v>
      </c>
      <c r="H4691">
        <v>0.512923160325224</v>
      </c>
      <c r="I4691">
        <v>0.62613439807211402</v>
      </c>
      <c r="J4691">
        <v>0.97707197760595998</v>
      </c>
      <c r="K4691">
        <v>1.01861595331986</v>
      </c>
      <c r="L4691">
        <v>11520.594579840799</v>
      </c>
      <c r="M4691">
        <v>250</v>
      </c>
      <c r="O4691">
        <v>46.079429599718203</v>
      </c>
      <c r="P4691">
        <v>-0.38854206334152303</v>
      </c>
      <c r="Q4691">
        <v>0.71353925540221097</v>
      </c>
      <c r="R4691">
        <v>0.37426796391620698</v>
      </c>
      <c r="S4691" t="s">
        <v>11337</v>
      </c>
      <c r="T4691" t="s">
        <v>13290</v>
      </c>
      <c r="U4691" t="s">
        <v>13290</v>
      </c>
      <c r="V4691" t="s">
        <v>13290</v>
      </c>
      <c r="W4691" t="s">
        <v>17933</v>
      </c>
      <c r="X4691">
        <v>2</v>
      </c>
      <c r="Y4691" t="s">
        <v>24417</v>
      </c>
      <c r="Z4691" t="s">
        <v>31021</v>
      </c>
      <c r="AA4691">
        <v>0.77164117666377507</v>
      </c>
      <c r="AB4691" t="str">
        <f>HYPERLINK("Melting_Curves/meltCurve_Q8NI22_2_MCFD2.pdf", "Melting_Curves/meltCurve_Q8NI22_2_MCFD2.pdf")</f>
        <v>Melting_Curves/meltCurve_Q8NI22_2_MCFD2.pdf</v>
      </c>
    </row>
    <row r="4692" spans="1:28" x14ac:dyDescent="0.25">
      <c r="A4692" t="s">
        <v>4696</v>
      </c>
      <c r="B4692">
        <v>0.99252571173614901</v>
      </c>
      <c r="C4692">
        <v>0.94140782381889199</v>
      </c>
      <c r="D4692">
        <v>0.973414423167827</v>
      </c>
      <c r="E4692">
        <v>0.80151716743978496</v>
      </c>
      <c r="F4692">
        <v>0.53791895950436797</v>
      </c>
      <c r="G4692">
        <v>0.30401117338763001</v>
      </c>
      <c r="H4692">
        <v>0.27368872126232402</v>
      </c>
      <c r="I4692">
        <v>0.32309343661385698</v>
      </c>
      <c r="J4692">
        <v>0.52816705999486901</v>
      </c>
      <c r="K4692">
        <v>0.46192764075486098</v>
      </c>
      <c r="L4692">
        <v>1674.6801800769599</v>
      </c>
      <c r="M4692">
        <v>32.9243470710583</v>
      </c>
      <c r="N4692">
        <v>53.167969625662202</v>
      </c>
      <c r="O4692">
        <v>50.677952808255</v>
      </c>
      <c r="P4692">
        <v>-0.10071389306358999</v>
      </c>
      <c r="Q4692">
        <v>0.37991778678135502</v>
      </c>
      <c r="R4692">
        <v>0.92242765713564001</v>
      </c>
      <c r="S4692" t="s">
        <v>11338</v>
      </c>
      <c r="T4692" t="s">
        <v>13290</v>
      </c>
      <c r="U4692" t="s">
        <v>13290</v>
      </c>
      <c r="V4692" t="s">
        <v>13290</v>
      </c>
      <c r="W4692" t="s">
        <v>17934</v>
      </c>
      <c r="X4692">
        <v>9</v>
      </c>
      <c r="Y4692" t="s">
        <v>24418</v>
      </c>
      <c r="Z4692" t="s">
        <v>31022</v>
      </c>
      <c r="AA4692">
        <v>0.60770729175417226</v>
      </c>
      <c r="AB4692" t="str">
        <f>HYPERLINK("Melting_Curves/meltCurve_Q8NI27_THOC2.pdf", "Melting_Curves/meltCurve_Q8NI27_THOC2.pdf")</f>
        <v>Melting_Curves/meltCurve_Q8NI27_THOC2.pdf</v>
      </c>
    </row>
    <row r="4693" spans="1:28" x14ac:dyDescent="0.25">
      <c r="A4693" t="s">
        <v>4697</v>
      </c>
      <c r="B4693">
        <v>0.99252571173614901</v>
      </c>
      <c r="C4693">
        <v>0.87384137003692597</v>
      </c>
      <c r="D4693">
        <v>0.53368223744652299</v>
      </c>
      <c r="E4693">
        <v>0.36031235683836899</v>
      </c>
      <c r="F4693">
        <v>0.24216438246392</v>
      </c>
      <c r="G4693">
        <v>0.13410652057873501</v>
      </c>
      <c r="H4693">
        <v>0.11091454377763101</v>
      </c>
      <c r="I4693">
        <v>0.11880563814402501</v>
      </c>
      <c r="J4693">
        <v>0.155544750100438</v>
      </c>
      <c r="K4693">
        <v>0.120423877858432</v>
      </c>
      <c r="L4693">
        <v>855.98513308844599</v>
      </c>
      <c r="M4693">
        <v>18.4679240156952</v>
      </c>
      <c r="N4693">
        <v>47.097183985607302</v>
      </c>
      <c r="O4693">
        <v>45.816653573180702</v>
      </c>
      <c r="P4693">
        <v>-8.7975966835276795E-2</v>
      </c>
      <c r="Q4693">
        <v>0.12700904368031099</v>
      </c>
      <c r="R4693">
        <v>0.98869154914711099</v>
      </c>
      <c r="S4693" t="s">
        <v>11339</v>
      </c>
      <c r="T4693" t="s">
        <v>13290</v>
      </c>
      <c r="U4693" t="s">
        <v>13290</v>
      </c>
      <c r="V4693" t="s">
        <v>13290</v>
      </c>
      <c r="W4693" t="s">
        <v>17935</v>
      </c>
      <c r="X4693">
        <v>10</v>
      </c>
      <c r="Y4693" t="s">
        <v>24419</v>
      </c>
      <c r="Z4693" t="s">
        <v>31023</v>
      </c>
      <c r="AA4693">
        <v>0.32757462817756122</v>
      </c>
      <c r="AB4693" t="str">
        <f>HYPERLINK("Melting_Curves/meltCurve_Q8NI35_INADL.pdf", "Melting_Curves/meltCurve_Q8NI35_INADL.pdf")</f>
        <v>Melting_Curves/meltCurve_Q8NI35_INADL.pdf</v>
      </c>
    </row>
    <row r="4694" spans="1:28" x14ac:dyDescent="0.25">
      <c r="A4694" t="s">
        <v>4698</v>
      </c>
      <c r="B4694">
        <v>0.99252571173614901</v>
      </c>
      <c r="C4694">
        <v>1.0874643606463501</v>
      </c>
      <c r="D4694">
        <v>1.44414128074813</v>
      </c>
      <c r="E4694">
        <v>1.0258847724051099</v>
      </c>
      <c r="F4694">
        <v>0.27009866642863201</v>
      </c>
      <c r="G4694">
        <v>0.121744656993547</v>
      </c>
      <c r="H4694">
        <v>7.6066119405529806E-2</v>
      </c>
      <c r="I4694">
        <v>8.0802164567488996E-2</v>
      </c>
      <c r="J4694">
        <v>7.5285363178613798E-2</v>
      </c>
      <c r="K4694">
        <v>6.4542551728214104E-2</v>
      </c>
      <c r="L4694">
        <v>13227.384234962199</v>
      </c>
      <c r="M4694">
        <v>250</v>
      </c>
      <c r="N4694">
        <v>52.948315822699101</v>
      </c>
      <c r="O4694">
        <v>52.906162915102897</v>
      </c>
      <c r="P4694">
        <v>-1.0824731858804899</v>
      </c>
      <c r="Q4694">
        <v>8.3688161755526902E-2</v>
      </c>
      <c r="R4694">
        <v>0.92229041204522799</v>
      </c>
      <c r="S4694" t="s">
        <v>11340</v>
      </c>
      <c r="T4694" t="s">
        <v>13290</v>
      </c>
      <c r="U4694" t="s">
        <v>13290</v>
      </c>
      <c r="V4694" t="s">
        <v>13290</v>
      </c>
      <c r="W4694" t="s">
        <v>17936</v>
      </c>
      <c r="X4694">
        <v>12</v>
      </c>
      <c r="Y4694" t="s">
        <v>24420</v>
      </c>
      <c r="Z4694" t="s">
        <v>31024</v>
      </c>
      <c r="AA4694">
        <v>0.47807863041176663</v>
      </c>
      <c r="AB4694" t="str">
        <f>HYPERLINK("Melting_Curves/meltCurve_Q8NI36_WDR36.pdf", "Melting_Curves/meltCurve_Q8NI36_WDR36.pdf")</f>
        <v>Melting_Curves/meltCurve_Q8NI36_WDR36.pdf</v>
      </c>
    </row>
    <row r="4695" spans="1:28" x14ac:dyDescent="0.25">
      <c r="A4695" t="s">
        <v>4699</v>
      </c>
      <c r="B4695">
        <v>0.99252571173614901</v>
      </c>
      <c r="C4695">
        <v>1.0480237741679901</v>
      </c>
      <c r="D4695">
        <v>0.87928888317644205</v>
      </c>
      <c r="E4695">
        <v>0.66757198166257004</v>
      </c>
      <c r="F4695">
        <v>0.26564086915312801</v>
      </c>
      <c r="G4695">
        <v>0.130639340574845</v>
      </c>
      <c r="H4695">
        <v>9.1691040006590105E-2</v>
      </c>
      <c r="I4695">
        <v>9.08565403265576E-2</v>
      </c>
      <c r="J4695">
        <v>0.11752235954722</v>
      </c>
      <c r="K4695">
        <v>0.139278418275328</v>
      </c>
      <c r="L4695">
        <v>1356.2677453301201</v>
      </c>
      <c r="M4695">
        <v>26.9249320066073</v>
      </c>
      <c r="N4695">
        <v>50.806844239547701</v>
      </c>
      <c r="O4695">
        <v>50.096788372059997</v>
      </c>
      <c r="P4695">
        <v>-0.120544039702788</v>
      </c>
      <c r="Q4695">
        <v>0.10286745746142099</v>
      </c>
      <c r="R4695">
        <v>0.99373800669399204</v>
      </c>
      <c r="S4695" t="s">
        <v>11341</v>
      </c>
      <c r="T4695" t="s">
        <v>13290</v>
      </c>
      <c r="U4695" t="s">
        <v>13290</v>
      </c>
      <c r="V4695" t="s">
        <v>13290</v>
      </c>
      <c r="W4695" t="s">
        <v>17937</v>
      </c>
      <c r="X4695">
        <v>8</v>
      </c>
      <c r="Y4695" t="s">
        <v>24421</v>
      </c>
      <c r="Z4695" t="s">
        <v>31025</v>
      </c>
      <c r="AA4695">
        <v>0.41998110274236738</v>
      </c>
      <c r="AB4695" t="str">
        <f>HYPERLINK("Melting_Curves/meltCurve_Q8NI37_PPTC7.pdf", "Melting_Curves/meltCurve_Q8NI37_PPTC7.pdf")</f>
        <v>Melting_Curves/meltCurve_Q8NI37_PPTC7.pdf</v>
      </c>
    </row>
    <row r="4696" spans="1:28" x14ac:dyDescent="0.25">
      <c r="A4696" t="s">
        <v>4700</v>
      </c>
      <c r="B4696">
        <v>0.99252571173614901</v>
      </c>
      <c r="C4696">
        <v>1.0409986267242699</v>
      </c>
      <c r="D4696">
        <v>0.92177462635838203</v>
      </c>
      <c r="E4696">
        <v>0.68933846793543097</v>
      </c>
      <c r="F4696">
        <v>0.351128884408556</v>
      </c>
      <c r="G4696">
        <v>0.241998410775846</v>
      </c>
      <c r="H4696">
        <v>0.19059697332036399</v>
      </c>
      <c r="I4696">
        <v>0.175095493465112</v>
      </c>
      <c r="J4696">
        <v>0.19151997371444099</v>
      </c>
      <c r="K4696">
        <v>0.15374935357622499</v>
      </c>
      <c r="L4696">
        <v>1258.77236635383</v>
      </c>
      <c r="M4696">
        <v>24.898948132516601</v>
      </c>
      <c r="N4696">
        <v>51.4471801178113</v>
      </c>
      <c r="O4696">
        <v>50.232522656729998</v>
      </c>
      <c r="P4696">
        <v>-0.102198348771863</v>
      </c>
      <c r="Q4696">
        <v>0.17528874602217301</v>
      </c>
      <c r="R4696">
        <v>0.996879738543061</v>
      </c>
      <c r="S4696" t="s">
        <v>11342</v>
      </c>
      <c r="T4696" t="s">
        <v>13290</v>
      </c>
      <c r="U4696" t="s">
        <v>13290</v>
      </c>
      <c r="V4696" t="s">
        <v>13290</v>
      </c>
      <c r="W4696" t="s">
        <v>17938</v>
      </c>
      <c r="X4696">
        <v>17</v>
      </c>
      <c r="Y4696" t="s">
        <v>24422</v>
      </c>
      <c r="Z4696" t="s">
        <v>31026</v>
      </c>
      <c r="AA4696">
        <v>0.47293056162977692</v>
      </c>
      <c r="AB4696" t="str">
        <f>HYPERLINK("Melting_Curves/meltCurve_Q8NI60_ADCK3.pdf", "Melting_Curves/meltCurve_Q8NI60_ADCK3.pdf")</f>
        <v>Melting_Curves/meltCurve_Q8NI60_ADCK3.pdf</v>
      </c>
    </row>
    <row r="4697" spans="1:28" x14ac:dyDescent="0.25">
      <c r="A4697" t="s">
        <v>4701</v>
      </c>
      <c r="B4697">
        <v>0.99252571173614901</v>
      </c>
      <c r="C4697">
        <v>1.10717770451691</v>
      </c>
      <c r="D4697">
        <v>1.0139866414741101</v>
      </c>
      <c r="E4697">
        <v>0.92639116647739705</v>
      </c>
      <c r="F4697">
        <v>0.85456885318393405</v>
      </c>
      <c r="G4697">
        <v>0.60942493671873998</v>
      </c>
      <c r="H4697">
        <v>0.374949765900988</v>
      </c>
      <c r="I4697">
        <v>0.27298413972782998</v>
      </c>
      <c r="J4697">
        <v>0.316437964729265</v>
      </c>
      <c r="K4697">
        <v>0.31269674761159399</v>
      </c>
      <c r="L4697">
        <v>1364.27001015065</v>
      </c>
      <c r="M4697">
        <v>24.2860181043248</v>
      </c>
      <c r="N4697">
        <v>58.182880549677002</v>
      </c>
      <c r="O4697">
        <v>55.798401731791699</v>
      </c>
      <c r="P4697">
        <v>-7.7940135944478697E-2</v>
      </c>
      <c r="Q4697">
        <v>0.28372459004533801</v>
      </c>
      <c r="R4697">
        <v>0.98292088584137205</v>
      </c>
      <c r="S4697" t="s">
        <v>11343</v>
      </c>
      <c r="T4697" t="s">
        <v>13290</v>
      </c>
      <c r="U4697" t="s">
        <v>13290</v>
      </c>
      <c r="V4697" t="s">
        <v>13290</v>
      </c>
      <c r="W4697" t="s">
        <v>17939</v>
      </c>
      <c r="X4697">
        <v>8</v>
      </c>
      <c r="Y4697" t="s">
        <v>24423</v>
      </c>
      <c r="Z4697" t="s">
        <v>31027</v>
      </c>
      <c r="AA4697">
        <v>0.67679528474304029</v>
      </c>
      <c r="AB4697" t="str">
        <f>HYPERLINK("Melting_Curves/meltCurve_Q8TA86_RP9.pdf", "Melting_Curves/meltCurve_Q8TA86_RP9.pdf")</f>
        <v>Melting_Curves/meltCurve_Q8TA86_RP9.pdf</v>
      </c>
    </row>
    <row r="4698" spans="1:28" x14ac:dyDescent="0.25">
      <c r="A4698" t="s">
        <v>4702</v>
      </c>
      <c r="B4698">
        <v>0.99252571173614901</v>
      </c>
      <c r="C4698">
        <v>1.0411323472156799</v>
      </c>
      <c r="D4698">
        <v>0.65737912474385296</v>
      </c>
      <c r="E4698">
        <v>0.249218046973369</v>
      </c>
      <c r="F4698">
        <v>0.155326286638344</v>
      </c>
      <c r="G4698">
        <v>8.2119639118608395E-2</v>
      </c>
      <c r="H4698">
        <v>6.0050926488466598E-2</v>
      </c>
      <c r="I4698">
        <v>5.6957420984457802E-2</v>
      </c>
      <c r="J4698">
        <v>6.8352735430967398E-2</v>
      </c>
      <c r="K4698">
        <v>6.8764916564956105E-2</v>
      </c>
      <c r="L4698">
        <v>1417.24921671939</v>
      </c>
      <c r="M4698">
        <v>30.1241488469092</v>
      </c>
      <c r="N4698">
        <v>47.307429037674702</v>
      </c>
      <c r="O4698">
        <v>46.841079599710199</v>
      </c>
      <c r="P4698">
        <v>-0.148492593367854</v>
      </c>
      <c r="Q4698">
        <v>7.6420869505826994E-2</v>
      </c>
      <c r="R4698">
        <v>0.99122116378738601</v>
      </c>
      <c r="S4698" t="s">
        <v>11344</v>
      </c>
      <c r="T4698" t="s">
        <v>13290</v>
      </c>
      <c r="U4698" t="s">
        <v>13290</v>
      </c>
      <c r="V4698" t="s">
        <v>13290</v>
      </c>
      <c r="W4698" t="s">
        <v>17940</v>
      </c>
      <c r="X4698">
        <v>8</v>
      </c>
      <c r="Y4698" t="s">
        <v>24424</v>
      </c>
      <c r="Z4698" t="s">
        <v>31028</v>
      </c>
      <c r="AA4698">
        <v>0.29885851086934351</v>
      </c>
      <c r="AB4698" t="str">
        <f>HYPERLINK("Melting_Curves/meltCurve_Q8TAA5_GRPEL2.pdf", "Melting_Curves/meltCurve_Q8TAA5_GRPEL2.pdf")</f>
        <v>Melting_Curves/meltCurve_Q8TAA5_GRPEL2.pdf</v>
      </c>
    </row>
    <row r="4699" spans="1:28" x14ac:dyDescent="0.25">
      <c r="A4699" t="s">
        <v>4703</v>
      </c>
      <c r="B4699">
        <v>0.99252571173614901</v>
      </c>
      <c r="C4699">
        <v>0.98238561735756202</v>
      </c>
      <c r="D4699">
        <v>0.718670378433381</v>
      </c>
      <c r="E4699">
        <v>0.70362823448144496</v>
      </c>
      <c r="F4699">
        <v>0.48309737364858801</v>
      </c>
      <c r="G4699">
        <v>0.33732662612576197</v>
      </c>
      <c r="H4699">
        <v>0.30760996297313697</v>
      </c>
      <c r="I4699">
        <v>0.34291633716917702</v>
      </c>
      <c r="J4699">
        <v>0.24455816974024999</v>
      </c>
      <c r="K4699">
        <v>0.180071575572822</v>
      </c>
      <c r="L4699">
        <v>601.64463921481899</v>
      </c>
      <c r="M4699">
        <v>11.894337748583</v>
      </c>
      <c r="N4699">
        <v>52.938223122595602</v>
      </c>
      <c r="O4699">
        <v>49.216213773145</v>
      </c>
      <c r="P4699">
        <v>-4.80151820159367E-2</v>
      </c>
      <c r="Q4699">
        <v>0.20549187790513501</v>
      </c>
      <c r="R4699">
        <v>0.96619273771845904</v>
      </c>
      <c r="S4699" t="s">
        <v>11345</v>
      </c>
      <c r="T4699" t="s">
        <v>13290</v>
      </c>
      <c r="U4699" t="s">
        <v>13290</v>
      </c>
      <c r="V4699" t="s">
        <v>13290</v>
      </c>
      <c r="W4699" t="s">
        <v>17941</v>
      </c>
      <c r="X4699">
        <v>4</v>
      </c>
      <c r="Y4699" t="s">
        <v>24425</v>
      </c>
      <c r="Z4699" t="s">
        <v>31029</v>
      </c>
      <c r="AA4699">
        <v>0.51267580137146185</v>
      </c>
      <c r="AB4699" t="str">
        <f>HYPERLINK("Melting_Curves/meltCurve_Q8TAD8_SNIP1.pdf", "Melting_Curves/meltCurve_Q8TAD8_SNIP1.pdf")</f>
        <v>Melting_Curves/meltCurve_Q8TAD8_SNIP1.pdf</v>
      </c>
    </row>
    <row r="4700" spans="1:28" x14ac:dyDescent="0.25">
      <c r="A4700" t="s">
        <v>4704</v>
      </c>
      <c r="B4700">
        <v>0.99252571173614901</v>
      </c>
      <c r="C4700">
        <v>1.0477786465527099</v>
      </c>
      <c r="D4700">
        <v>0.91684256897337202</v>
      </c>
      <c r="E4700">
        <v>0.69143445071057197</v>
      </c>
      <c r="F4700">
        <v>0.68833237222778298</v>
      </c>
      <c r="G4700">
        <v>0.52505125832267097</v>
      </c>
      <c r="H4700">
        <v>0.40032413319059101</v>
      </c>
      <c r="I4700">
        <v>0.41805360037246903</v>
      </c>
      <c r="J4700">
        <v>0.49307592608545497</v>
      </c>
      <c r="K4700">
        <v>0.53001891901856901</v>
      </c>
      <c r="L4700">
        <v>903.43270477131898</v>
      </c>
      <c r="M4700">
        <v>17.995831781378602</v>
      </c>
      <c r="N4700">
        <v>58.460144160575702</v>
      </c>
      <c r="O4700">
        <v>49.594737858891499</v>
      </c>
      <c r="P4700">
        <v>-4.8929613810159499E-2</v>
      </c>
      <c r="Q4700">
        <v>0.46064594395409098</v>
      </c>
      <c r="R4700">
        <v>0.93856817563495398</v>
      </c>
      <c r="S4700" t="s">
        <v>11346</v>
      </c>
      <c r="T4700" t="s">
        <v>13290</v>
      </c>
      <c r="U4700" t="s">
        <v>13290</v>
      </c>
      <c r="V4700" t="s">
        <v>13290</v>
      </c>
      <c r="W4700" t="s">
        <v>17942</v>
      </c>
      <c r="X4700">
        <v>3</v>
      </c>
      <c r="Y4700" t="s">
        <v>24426</v>
      </c>
      <c r="Z4700" t="s">
        <v>31030</v>
      </c>
      <c r="AA4700">
        <v>0.65324641983151044</v>
      </c>
      <c r="AB4700" t="str">
        <f>HYPERLINK("Melting_Curves/meltCurve_Q8TAE6_PPP1R14C.pdf", "Melting_Curves/meltCurve_Q8TAE6_PPP1R14C.pdf")</f>
        <v>Melting_Curves/meltCurve_Q8TAE6_PPP1R14C.pdf</v>
      </c>
    </row>
    <row r="4701" spans="1:28" x14ac:dyDescent="0.25">
      <c r="A4701" t="s">
        <v>4705</v>
      </c>
      <c r="B4701">
        <v>0.99252571173614901</v>
      </c>
      <c r="C4701">
        <v>1.02304213965754</v>
      </c>
      <c r="D4701">
        <v>0.97327600468608999</v>
      </c>
      <c r="E4701">
        <v>0.90958947949285196</v>
      </c>
      <c r="F4701">
        <v>1.0413932443799501</v>
      </c>
      <c r="G4701">
        <v>0.93188850546222901</v>
      </c>
      <c r="H4701">
        <v>0.66742227971472501</v>
      </c>
      <c r="I4701">
        <v>0.70535013165998905</v>
      </c>
      <c r="J4701">
        <v>1.2106981080073</v>
      </c>
      <c r="K4701">
        <v>1.6856482066355001</v>
      </c>
      <c r="L4701">
        <v>15000</v>
      </c>
      <c r="M4701">
        <v>223.23057159082899</v>
      </c>
      <c r="O4701">
        <v>67.189701062556097</v>
      </c>
      <c r="P4701">
        <v>0.41529906653535398</v>
      </c>
      <c r="Q4701">
        <v>1.5</v>
      </c>
      <c r="R4701">
        <v>0.65864508354847995</v>
      </c>
      <c r="S4701" t="s">
        <v>11347</v>
      </c>
      <c r="T4701" t="s">
        <v>13290</v>
      </c>
      <c r="U4701" t="s">
        <v>13290</v>
      </c>
      <c r="V4701" t="s">
        <v>13290</v>
      </c>
      <c r="W4701" t="s">
        <v>17943</v>
      </c>
      <c r="X4701">
        <v>6</v>
      </c>
      <c r="Y4701" t="s">
        <v>24427</v>
      </c>
      <c r="Z4701" t="s">
        <v>31031</v>
      </c>
      <c r="AA4701">
        <v>1.046675136607226</v>
      </c>
      <c r="AB4701" t="str">
        <f>HYPERLINK("Melting_Curves/meltCurve_Q8TAE8_GADD45GIP1.pdf", "Melting_Curves/meltCurve_Q8TAE8_GADD45GIP1.pdf")</f>
        <v>Melting_Curves/meltCurve_Q8TAE8_GADD45GIP1.pdf</v>
      </c>
    </row>
    <row r="4702" spans="1:28" x14ac:dyDescent="0.25">
      <c r="A4702" t="s">
        <v>4706</v>
      </c>
      <c r="B4702">
        <v>0.99252571173614901</v>
      </c>
      <c r="C4702">
        <v>0.96569818703105403</v>
      </c>
      <c r="D4702">
        <v>0.97327253438296402</v>
      </c>
      <c r="E4702">
        <v>0.873095268252704</v>
      </c>
      <c r="F4702">
        <v>0.89490932774734699</v>
      </c>
      <c r="G4702">
        <v>0.77111565185006703</v>
      </c>
      <c r="H4702">
        <v>0.27107245810421698</v>
      </c>
      <c r="I4702">
        <v>9.9871634750630101E-2</v>
      </c>
      <c r="J4702">
        <v>9.1062100624110104E-2</v>
      </c>
      <c r="K4702">
        <v>0.10033324610552501</v>
      </c>
      <c r="L4702">
        <v>1903.76052769122</v>
      </c>
      <c r="M4702">
        <v>32.560364035492697</v>
      </c>
      <c r="N4702">
        <v>58.754753738616998</v>
      </c>
      <c r="O4702">
        <v>58.249429323290997</v>
      </c>
      <c r="P4702">
        <v>-0.12950124318002401</v>
      </c>
      <c r="Q4702">
        <v>7.3310382245614703E-2</v>
      </c>
      <c r="R4702">
        <v>0.98364317422234404</v>
      </c>
      <c r="S4702" t="s">
        <v>11348</v>
      </c>
      <c r="T4702" t="s">
        <v>13290</v>
      </c>
      <c r="U4702" t="s">
        <v>13290</v>
      </c>
      <c r="V4702" t="s">
        <v>13290</v>
      </c>
      <c r="W4702" t="s">
        <v>17944</v>
      </c>
      <c r="X4702">
        <v>25</v>
      </c>
      <c r="Y4702" t="s">
        <v>24428</v>
      </c>
      <c r="Z4702" t="s">
        <v>31032</v>
      </c>
      <c r="AA4702">
        <v>0.64907802228232259</v>
      </c>
      <c r="AB4702" t="str">
        <f>HYPERLINK("Melting_Curves/meltCurve_Q8TAF3_WDR48.pdf", "Melting_Curves/meltCurve_Q8TAF3_WDR48.pdf")</f>
        <v>Melting_Curves/meltCurve_Q8TAF3_WDR48.pdf</v>
      </c>
    </row>
    <row r="4703" spans="1:28" x14ac:dyDescent="0.25">
      <c r="A4703" t="s">
        <v>4707</v>
      </c>
      <c r="B4703">
        <v>0.99252571173614901</v>
      </c>
      <c r="C4703">
        <v>1.0456327502653799</v>
      </c>
      <c r="D4703">
        <v>0.87675144104818603</v>
      </c>
      <c r="E4703">
        <v>0.82019349576807699</v>
      </c>
      <c r="F4703">
        <v>0.68231526987743996</v>
      </c>
      <c r="G4703">
        <v>0.53807069040275501</v>
      </c>
      <c r="H4703">
        <v>0.43376067808204</v>
      </c>
      <c r="I4703">
        <v>0.53429691826540004</v>
      </c>
      <c r="J4703">
        <v>0.91536320649758296</v>
      </c>
      <c r="K4703">
        <v>0.92625430998765101</v>
      </c>
      <c r="L4703">
        <v>1338.00255460841</v>
      </c>
      <c r="M4703">
        <v>27.808664864070501</v>
      </c>
      <c r="O4703">
        <v>47.867843993848403</v>
      </c>
      <c r="P4703">
        <v>-4.7673556511400497E-2</v>
      </c>
      <c r="Q4703">
        <v>0.67175550998989297</v>
      </c>
      <c r="R4703">
        <v>0.45089968878754599</v>
      </c>
      <c r="S4703" t="s">
        <v>11349</v>
      </c>
      <c r="T4703" t="s">
        <v>13290</v>
      </c>
      <c r="U4703" t="s">
        <v>13290</v>
      </c>
      <c r="V4703" t="s">
        <v>13290</v>
      </c>
      <c r="W4703" t="s">
        <v>17945</v>
      </c>
      <c r="X4703">
        <v>4</v>
      </c>
      <c r="Y4703" t="s">
        <v>24429</v>
      </c>
      <c r="Z4703" t="s">
        <v>31033</v>
      </c>
      <c r="AA4703">
        <v>0.76285877883064879</v>
      </c>
      <c r="AB4703" t="str">
        <f>HYPERLINK("Melting_Curves/meltCurve_Q8TAM6_ERMN.pdf", "Melting_Curves/meltCurve_Q8TAM6_ERMN.pdf")</f>
        <v>Melting_Curves/meltCurve_Q8TAM6_ERMN.pdf</v>
      </c>
    </row>
    <row r="4704" spans="1:28" x14ac:dyDescent="0.25">
      <c r="A4704" t="s">
        <v>4708</v>
      </c>
      <c r="B4704">
        <v>0.99252571173614901</v>
      </c>
      <c r="C4704">
        <v>1.0156341207680499</v>
      </c>
      <c r="D4704">
        <v>0.95438633619042801</v>
      </c>
      <c r="E4704">
        <v>0.97887915439061701</v>
      </c>
      <c r="F4704">
        <v>0.56025851060577003</v>
      </c>
      <c r="G4704">
        <v>0.39126954008467602</v>
      </c>
      <c r="H4704">
        <v>0.27544218901102202</v>
      </c>
      <c r="I4704">
        <v>0.220003487040799</v>
      </c>
      <c r="J4704">
        <v>0.189149388835501</v>
      </c>
      <c r="K4704">
        <v>0.16376310914886799</v>
      </c>
      <c r="L4704">
        <v>1321.11857305798</v>
      </c>
      <c r="M4704">
        <v>24.707228387577999</v>
      </c>
      <c r="N4704">
        <v>54.596247825922198</v>
      </c>
      <c r="O4704">
        <v>53.124340563451902</v>
      </c>
      <c r="P4704">
        <v>-9.3072754215830694E-2</v>
      </c>
      <c r="Q4704">
        <v>0.19952834288368201</v>
      </c>
      <c r="R4704">
        <v>0.98658214978269199</v>
      </c>
      <c r="S4704" t="s">
        <v>11350</v>
      </c>
      <c r="T4704" t="s">
        <v>13290</v>
      </c>
      <c r="U4704" t="s">
        <v>13290</v>
      </c>
      <c r="V4704" t="s">
        <v>13290</v>
      </c>
      <c r="W4704" t="s">
        <v>17946</v>
      </c>
      <c r="X4704">
        <v>2</v>
      </c>
      <c r="Y4704" t="s">
        <v>24430</v>
      </c>
      <c r="Z4704" t="s">
        <v>31034</v>
      </c>
      <c r="AA4704">
        <v>0.56651929694535208</v>
      </c>
      <c r="AB4704" t="str">
        <f>HYPERLINK("Melting_Curves/meltCurve_Q8TAP6_CEP76.pdf", "Melting_Curves/meltCurve_Q8TAP6_CEP76.pdf")</f>
        <v>Melting_Curves/meltCurve_Q8TAP6_CEP76.pdf</v>
      </c>
    </row>
    <row r="4705" spans="1:28" x14ac:dyDescent="0.25">
      <c r="A4705" t="s">
        <v>4709</v>
      </c>
      <c r="B4705">
        <v>0.99252571173614901</v>
      </c>
      <c r="C4705">
        <v>0.84851268281508796</v>
      </c>
      <c r="D4705">
        <v>0.728967355591702</v>
      </c>
      <c r="E4705">
        <v>0.40175630533581902</v>
      </c>
      <c r="F4705">
        <v>0.232168166008937</v>
      </c>
      <c r="G4705">
        <v>0.17088915674313901</v>
      </c>
      <c r="H4705">
        <v>0.15021787788909399</v>
      </c>
      <c r="I4705">
        <v>0.15753661588845899</v>
      </c>
      <c r="J4705">
        <v>0.19912052181433401</v>
      </c>
      <c r="K4705">
        <v>0.199943870083022</v>
      </c>
      <c r="L4705">
        <v>944.02420482743003</v>
      </c>
      <c r="M4705">
        <v>19.961790869380099</v>
      </c>
      <c r="N4705">
        <v>48.259616036923099</v>
      </c>
      <c r="O4705">
        <v>46.824623407399102</v>
      </c>
      <c r="P4705">
        <v>-8.8997093948530503E-2</v>
      </c>
      <c r="Q4705">
        <v>0.16498098524795299</v>
      </c>
      <c r="R4705">
        <v>0.99153464986914297</v>
      </c>
      <c r="S4705" t="s">
        <v>11351</v>
      </c>
      <c r="T4705" t="s">
        <v>13290</v>
      </c>
      <c r="U4705" t="s">
        <v>13290</v>
      </c>
      <c r="V4705" t="s">
        <v>13290</v>
      </c>
      <c r="W4705" t="s">
        <v>17947</v>
      </c>
      <c r="X4705">
        <v>19</v>
      </c>
      <c r="Y4705" t="s">
        <v>24431</v>
      </c>
      <c r="Z4705" t="s">
        <v>31035</v>
      </c>
      <c r="AA4705">
        <v>0.38007823188309858</v>
      </c>
      <c r="AB4705" t="str">
        <f>HYPERLINK("Melting_Curves/meltCurve_Q8TAQ2_SMARCC2.pdf", "Melting_Curves/meltCurve_Q8TAQ2_SMARCC2.pdf")</f>
        <v>Melting_Curves/meltCurve_Q8TAQ2_SMARCC2.pdf</v>
      </c>
    </row>
    <row r="4706" spans="1:28" x14ac:dyDescent="0.25">
      <c r="A4706" t="s">
        <v>4710</v>
      </c>
      <c r="B4706">
        <v>0.99252571173614901</v>
      </c>
      <c r="C4706">
        <v>1.0791695590800401</v>
      </c>
      <c r="D4706">
        <v>1.1058422309974401</v>
      </c>
      <c r="E4706">
        <v>1.02158787152471</v>
      </c>
      <c r="F4706">
        <v>0.64390660385428</v>
      </c>
      <c r="G4706">
        <v>0.36494235791929402</v>
      </c>
      <c r="H4706">
        <v>0.26177761239512798</v>
      </c>
      <c r="I4706">
        <v>0.31385499897036001</v>
      </c>
      <c r="J4706">
        <v>0.52811054854004702</v>
      </c>
      <c r="K4706">
        <v>0.55322778850277599</v>
      </c>
      <c r="S4706" t="s">
        <v>11352</v>
      </c>
      <c r="T4706" t="s">
        <v>13290</v>
      </c>
      <c r="U4706" t="s">
        <v>13291</v>
      </c>
      <c r="V4706" t="s">
        <v>13290</v>
      </c>
      <c r="W4706" t="s">
        <v>17948</v>
      </c>
      <c r="X4706">
        <v>1</v>
      </c>
      <c r="Y4706" t="s">
        <v>24432</v>
      </c>
      <c r="Z4706" t="s">
        <v>31036</v>
      </c>
      <c r="AB4706" t="str">
        <f>HYPERLINK("Melting_Curves/meltCurve_Q8TAT2_FGFBP3.pdf", "Melting_Curves/meltCurve_Q8TAT2_FGFBP3.pdf")</f>
        <v>Melting_Curves/meltCurve_Q8TAT2_FGFBP3.pdf</v>
      </c>
    </row>
    <row r="4707" spans="1:28" x14ac:dyDescent="0.25">
      <c r="A4707" t="s">
        <v>4711</v>
      </c>
      <c r="B4707">
        <v>0.99252571173614901</v>
      </c>
      <c r="C4707">
        <v>1.04903471430116</v>
      </c>
      <c r="D4707">
        <v>0.58569553954146802</v>
      </c>
      <c r="E4707">
        <v>0.76051135722502206</v>
      </c>
      <c r="F4707">
        <v>0.30191749202014201</v>
      </c>
      <c r="G4707">
        <v>0.103241198917399</v>
      </c>
      <c r="H4707">
        <v>6.7768267424961601E-2</v>
      </c>
      <c r="I4707">
        <v>7.2708964576992705E-2</v>
      </c>
      <c r="J4707">
        <v>7.4227571517179597E-2</v>
      </c>
      <c r="K4707">
        <v>7.1131442672082795E-2</v>
      </c>
      <c r="L4707">
        <v>764.35274959293201</v>
      </c>
      <c r="M4707">
        <v>15.1456829888676</v>
      </c>
      <c r="N4707">
        <v>50.643553628296402</v>
      </c>
      <c r="O4707">
        <v>49.611446512568399</v>
      </c>
      <c r="P4707">
        <v>-7.4362935169992303E-2</v>
      </c>
      <c r="Q4707">
        <v>2.57569905721E-2</v>
      </c>
      <c r="R4707">
        <v>0.92545434522071801</v>
      </c>
      <c r="S4707" t="s">
        <v>11353</v>
      </c>
      <c r="T4707" t="s">
        <v>13290</v>
      </c>
      <c r="U4707" t="s">
        <v>13290</v>
      </c>
      <c r="V4707" t="s">
        <v>13290</v>
      </c>
      <c r="W4707" t="s">
        <v>17949</v>
      </c>
      <c r="X4707">
        <v>22</v>
      </c>
      <c r="Y4707" t="s">
        <v>24433</v>
      </c>
      <c r="Z4707" t="s">
        <v>31037</v>
      </c>
      <c r="AA4707">
        <v>0.38817325420849103</v>
      </c>
      <c r="AB4707" t="str">
        <f>HYPERLINK("Melting_Curves/meltCurve_Q8TAT6_NPLOC4.pdf", "Melting_Curves/meltCurve_Q8TAT6_NPLOC4.pdf")</f>
        <v>Melting_Curves/meltCurve_Q8TAT6_NPLOC4.pdf</v>
      </c>
    </row>
    <row r="4708" spans="1:28" x14ac:dyDescent="0.25">
      <c r="A4708" t="s">
        <v>4712</v>
      </c>
      <c r="B4708">
        <v>0.99252571173614901</v>
      </c>
      <c r="C4708">
        <v>1.1252431807501999</v>
      </c>
      <c r="D4708">
        <v>1.0437351433405699</v>
      </c>
      <c r="E4708">
        <v>0.84684121667339196</v>
      </c>
      <c r="F4708">
        <v>0.24321029602184899</v>
      </c>
      <c r="G4708">
        <v>0.104285617110248</v>
      </c>
      <c r="H4708">
        <v>6.8268649396750702E-2</v>
      </c>
      <c r="I4708">
        <v>7.8425687326830695E-2</v>
      </c>
      <c r="J4708">
        <v>9.8917410623447596E-2</v>
      </c>
      <c r="K4708">
        <v>9.3477457867775199E-2</v>
      </c>
      <c r="L4708">
        <v>2356.6956048095099</v>
      </c>
      <c r="M4708">
        <v>45.883092819653598</v>
      </c>
      <c r="N4708">
        <v>51.576326827571897</v>
      </c>
      <c r="O4708">
        <v>51.265757481564997</v>
      </c>
      <c r="P4708">
        <v>-0.20441821486439599</v>
      </c>
      <c r="Q4708">
        <v>8.6404719362086504E-2</v>
      </c>
      <c r="R4708">
        <v>0.99039124651773502</v>
      </c>
      <c r="S4708" t="s">
        <v>11354</v>
      </c>
      <c r="T4708" t="s">
        <v>13290</v>
      </c>
      <c r="U4708" t="s">
        <v>13290</v>
      </c>
      <c r="V4708" t="s">
        <v>13290</v>
      </c>
      <c r="W4708" t="s">
        <v>17950</v>
      </c>
      <c r="X4708">
        <v>2</v>
      </c>
      <c r="Y4708" t="s">
        <v>24434</v>
      </c>
      <c r="Z4708" t="s">
        <v>31038</v>
      </c>
      <c r="AA4708">
        <v>0.43490599896332471</v>
      </c>
      <c r="AB4708" t="str">
        <f>HYPERLINK("Melting_Curves/meltCurve_Q8TAV0_2_FAM76A.pdf", "Melting_Curves/meltCurve_Q8TAV0_2_FAM76A.pdf")</f>
        <v>Melting_Curves/meltCurve_Q8TAV0_2_FAM76A.pdf</v>
      </c>
    </row>
    <row r="4709" spans="1:28" x14ac:dyDescent="0.25">
      <c r="A4709" t="s">
        <v>4713</v>
      </c>
      <c r="B4709">
        <v>0.99252571173614901</v>
      </c>
      <c r="C4709">
        <v>1.1233391534759001</v>
      </c>
      <c r="D4709">
        <v>0.96493538600096396</v>
      </c>
      <c r="E4709">
        <v>0.76546753215056695</v>
      </c>
      <c r="F4709">
        <v>0.14189473108967801</v>
      </c>
      <c r="G4709">
        <v>7.1532230099778799E-2</v>
      </c>
      <c r="H4709">
        <v>5.3393440282106498E-2</v>
      </c>
      <c r="I4709">
        <v>6.41378753878631E-2</v>
      </c>
      <c r="J4709">
        <v>7.5397428429787597E-2</v>
      </c>
      <c r="K4709">
        <v>8.6693602147485102E-2</v>
      </c>
      <c r="L4709">
        <v>2577.38123293131</v>
      </c>
      <c r="M4709">
        <v>50.884580364401501</v>
      </c>
      <c r="N4709">
        <v>50.8000428176193</v>
      </c>
      <c r="O4709">
        <v>50.573451916298303</v>
      </c>
      <c r="P4709">
        <v>-0.234152193291496</v>
      </c>
      <c r="Q4709">
        <v>6.9118436535731603E-2</v>
      </c>
      <c r="R4709">
        <v>0.99127557998382898</v>
      </c>
      <c r="S4709" t="s">
        <v>11355</v>
      </c>
      <c r="T4709" t="s">
        <v>13290</v>
      </c>
      <c r="U4709" t="s">
        <v>13290</v>
      </c>
      <c r="V4709" t="s">
        <v>13290</v>
      </c>
      <c r="W4709" t="s">
        <v>17951</v>
      </c>
      <c r="X4709">
        <v>2</v>
      </c>
      <c r="Y4709" t="s">
        <v>24435</v>
      </c>
      <c r="Z4709" t="s">
        <v>31039</v>
      </c>
      <c r="AA4709">
        <v>0.40163622571517771</v>
      </c>
      <c r="AB4709" t="str">
        <f>HYPERLINK("Melting_Curves/meltCurve_Q8TB03_CXorf38.pdf", "Melting_Curves/meltCurve_Q8TB03_CXorf38.pdf")</f>
        <v>Melting_Curves/meltCurve_Q8TB03_CXorf38.pdf</v>
      </c>
    </row>
    <row r="4710" spans="1:28" x14ac:dyDescent="0.25">
      <c r="A4710" t="s">
        <v>4714</v>
      </c>
      <c r="B4710">
        <v>0.99252571173614901</v>
      </c>
      <c r="C4710">
        <v>0.94333181766535001</v>
      </c>
      <c r="D4710">
        <v>0.88804580579038395</v>
      </c>
      <c r="E4710">
        <v>0.84133012144828101</v>
      </c>
      <c r="F4710">
        <v>0.63037955020838699</v>
      </c>
      <c r="G4710">
        <v>0.32795730121772398</v>
      </c>
      <c r="H4710">
        <v>0.116170056976883</v>
      </c>
      <c r="I4710">
        <v>0.113011604488007</v>
      </c>
      <c r="J4710">
        <v>0.10614252851108601</v>
      </c>
      <c r="K4710">
        <v>0.103301647123139</v>
      </c>
      <c r="L4710">
        <v>985.04514578478097</v>
      </c>
      <c r="M4710">
        <v>18.255613763584201</v>
      </c>
      <c r="N4710">
        <v>54.3686413572905</v>
      </c>
      <c r="O4710">
        <v>53.323513257182199</v>
      </c>
      <c r="P4710">
        <v>-8.0086979757388405E-2</v>
      </c>
      <c r="Q4710">
        <v>6.4327317785791302E-2</v>
      </c>
      <c r="R4710">
        <v>0.99037087865548001</v>
      </c>
      <c r="S4710" t="s">
        <v>11356</v>
      </c>
      <c r="T4710" t="s">
        <v>13290</v>
      </c>
      <c r="U4710" t="s">
        <v>13290</v>
      </c>
      <c r="V4710" t="s">
        <v>13290</v>
      </c>
      <c r="W4710" t="s">
        <v>17952</v>
      </c>
      <c r="X4710">
        <v>13</v>
      </c>
      <c r="Y4710" t="s">
        <v>24436</v>
      </c>
      <c r="Z4710" t="s">
        <v>31040</v>
      </c>
      <c r="AA4710">
        <v>0.51435401896584154</v>
      </c>
      <c r="AB4710" t="str">
        <f>HYPERLINK("Melting_Curves/meltCurve_Q8TB36_GDAP1.pdf", "Melting_Curves/meltCurve_Q8TB36_GDAP1.pdf")</f>
        <v>Melting_Curves/meltCurve_Q8TB36_GDAP1.pdf</v>
      </c>
    </row>
    <row r="4711" spans="1:28" x14ac:dyDescent="0.25">
      <c r="A4711" t="s">
        <v>4715</v>
      </c>
      <c r="B4711">
        <v>0.99252571173614901</v>
      </c>
      <c r="C4711">
        <v>1.0167077094393</v>
      </c>
      <c r="D4711">
        <v>0.91236031759566205</v>
      </c>
      <c r="E4711">
        <v>0.880968950073864</v>
      </c>
      <c r="F4711">
        <v>0.64438884299119603</v>
      </c>
      <c r="G4711">
        <v>0.27955372566168402</v>
      </c>
      <c r="H4711">
        <v>9.5772512744891902E-2</v>
      </c>
      <c r="I4711">
        <v>7.4894711813978498E-2</v>
      </c>
      <c r="J4711">
        <v>6.7519507613969104E-2</v>
      </c>
      <c r="K4711">
        <v>6.4665118785428202E-2</v>
      </c>
      <c r="L4711">
        <v>1242.5349327865499</v>
      </c>
      <c r="M4711">
        <v>22.948574438707102</v>
      </c>
      <c r="N4711">
        <v>54.379321388089302</v>
      </c>
      <c r="O4711">
        <v>53.738206616962401</v>
      </c>
      <c r="P4711">
        <v>-0.101723031470824</v>
      </c>
      <c r="Q4711">
        <v>4.7207079622898503E-2</v>
      </c>
      <c r="R4711">
        <v>0.99550347328845701</v>
      </c>
      <c r="S4711" t="s">
        <v>11357</v>
      </c>
      <c r="T4711" t="s">
        <v>13290</v>
      </c>
      <c r="U4711" t="s">
        <v>13290</v>
      </c>
      <c r="V4711" t="s">
        <v>13290</v>
      </c>
      <c r="W4711" t="s">
        <v>17953</v>
      </c>
      <c r="X4711">
        <v>1</v>
      </c>
      <c r="Y4711" t="s">
        <v>24437</v>
      </c>
      <c r="Z4711" t="s">
        <v>31041</v>
      </c>
      <c r="AA4711">
        <v>0.5066961696890554</v>
      </c>
      <c r="AB4711" t="str">
        <f>HYPERLINK("Melting_Curves/meltCurve_Q8TB37_NUBPL.pdf", "Melting_Curves/meltCurve_Q8TB37_NUBPL.pdf")</f>
        <v>Melting_Curves/meltCurve_Q8TB37_NUBPL.pdf</v>
      </c>
    </row>
    <row r="4712" spans="1:28" x14ac:dyDescent="0.25">
      <c r="A4712" t="s">
        <v>4716</v>
      </c>
      <c r="B4712">
        <v>0.99252571173614901</v>
      </c>
      <c r="C4712">
        <v>0.81794670783712797</v>
      </c>
      <c r="D4712">
        <v>0.77732222899381798</v>
      </c>
      <c r="E4712">
        <v>0.41517050904297198</v>
      </c>
      <c r="F4712">
        <v>0.178516447457477</v>
      </c>
      <c r="G4712">
        <v>0.11513505849974801</v>
      </c>
      <c r="H4712">
        <v>5.6783734264889502E-2</v>
      </c>
      <c r="I4712">
        <v>7.1914023508976202E-2</v>
      </c>
      <c r="J4712">
        <v>7.2293099854286197E-2</v>
      </c>
      <c r="K4712">
        <v>6.5843106247543304E-2</v>
      </c>
      <c r="L4712">
        <v>860.10119300844497</v>
      </c>
      <c r="M4712">
        <v>17.815512563825799</v>
      </c>
      <c r="N4712">
        <v>48.578337164023402</v>
      </c>
      <c r="O4712">
        <v>47.682260537225297</v>
      </c>
      <c r="P4712">
        <v>-8.8544432192865896E-2</v>
      </c>
      <c r="Q4712">
        <v>5.2111078979894497E-2</v>
      </c>
      <c r="R4712">
        <v>0.98952510428523299</v>
      </c>
      <c r="S4712" t="s">
        <v>11358</v>
      </c>
      <c r="T4712" t="s">
        <v>13290</v>
      </c>
      <c r="U4712" t="s">
        <v>13290</v>
      </c>
      <c r="V4712" t="s">
        <v>13290</v>
      </c>
      <c r="W4712" t="s">
        <v>17954</v>
      </c>
      <c r="X4712">
        <v>1</v>
      </c>
      <c r="Y4712" t="s">
        <v>24438</v>
      </c>
      <c r="Z4712" t="s">
        <v>31042</v>
      </c>
      <c r="AA4712">
        <v>0.33071580438795289</v>
      </c>
      <c r="AB4712" t="str">
        <f>HYPERLINK("Melting_Curves/meltCurve_Q8TB52_FBXO30.pdf", "Melting_Curves/meltCurve_Q8TB52_FBXO30.pdf")</f>
        <v>Melting_Curves/meltCurve_Q8TB52_FBXO30.pdf</v>
      </c>
    </row>
    <row r="4713" spans="1:28" x14ac:dyDescent="0.25">
      <c r="A4713" t="s">
        <v>4717</v>
      </c>
      <c r="B4713">
        <v>0.99252571173614901</v>
      </c>
      <c r="C4713">
        <v>0.83032655832068403</v>
      </c>
      <c r="D4713">
        <v>0.81164525216699901</v>
      </c>
      <c r="E4713">
        <v>0.62601833842768195</v>
      </c>
      <c r="F4713">
        <v>0.56837212255455805</v>
      </c>
      <c r="G4713">
        <v>0.399626696106612</v>
      </c>
      <c r="H4713">
        <v>0.26826182594257902</v>
      </c>
      <c r="I4713">
        <v>0.15564253239289799</v>
      </c>
      <c r="J4713">
        <v>9.2086130396947602E-2</v>
      </c>
      <c r="K4713">
        <v>7.4553944370192804E-2</v>
      </c>
      <c r="L4713">
        <v>482.34426992982401</v>
      </c>
      <c r="M4713">
        <v>9.03209162394743</v>
      </c>
      <c r="N4713">
        <v>53.403384824041197</v>
      </c>
      <c r="O4713">
        <v>50.980542864336002</v>
      </c>
      <c r="P4713">
        <v>-4.4323573352985701E-2</v>
      </c>
      <c r="Q4713">
        <v>0</v>
      </c>
      <c r="R4713">
        <v>0.98318549582203796</v>
      </c>
      <c r="S4713" t="s">
        <v>11359</v>
      </c>
      <c r="T4713" t="s">
        <v>13290</v>
      </c>
      <c r="U4713" t="s">
        <v>13290</v>
      </c>
      <c r="V4713" t="s">
        <v>13290</v>
      </c>
      <c r="W4713" t="s">
        <v>17955</v>
      </c>
      <c r="X4713">
        <v>7</v>
      </c>
      <c r="Y4713" t="s">
        <v>24439</v>
      </c>
      <c r="Z4713" t="s">
        <v>31043</v>
      </c>
      <c r="AA4713">
        <v>0.48202803095557512</v>
      </c>
      <c r="AB4713" t="str">
        <f>HYPERLINK("Melting_Curves/meltCurve_Q8TB61_3_SLC35B2.pdf", "Melting_Curves/meltCurve_Q8TB61_3_SLC35B2.pdf")</f>
        <v>Melting_Curves/meltCurve_Q8TB61_3_SLC35B2.pdf</v>
      </c>
    </row>
    <row r="4714" spans="1:28" x14ac:dyDescent="0.25">
      <c r="A4714" t="s">
        <v>4718</v>
      </c>
      <c r="B4714">
        <v>0.99252571173614901</v>
      </c>
      <c r="C4714">
        <v>0.99977107287483902</v>
      </c>
      <c r="D4714">
        <v>0.93505794337588999</v>
      </c>
      <c r="E4714">
        <v>0.91361772366133798</v>
      </c>
      <c r="F4714">
        <v>0.50671058625105003</v>
      </c>
      <c r="G4714">
        <v>0.29027459680962697</v>
      </c>
      <c r="H4714">
        <v>0.23729751564864199</v>
      </c>
      <c r="I4714">
        <v>0.25594606787548702</v>
      </c>
      <c r="J4714">
        <v>0.38298697289431899</v>
      </c>
      <c r="K4714">
        <v>0.40571349620317299</v>
      </c>
      <c r="L4714">
        <v>2217.0083511010398</v>
      </c>
      <c r="M4714">
        <v>42.677391882965999</v>
      </c>
      <c r="N4714">
        <v>53.167644480606903</v>
      </c>
      <c r="O4714">
        <v>51.834423759071797</v>
      </c>
      <c r="P4714">
        <v>-0.141584873590967</v>
      </c>
      <c r="Q4714">
        <v>0.31214579574012502</v>
      </c>
      <c r="R4714">
        <v>0.970548752531735</v>
      </c>
      <c r="S4714" t="s">
        <v>11360</v>
      </c>
      <c r="T4714" t="s">
        <v>13290</v>
      </c>
      <c r="U4714" t="s">
        <v>13290</v>
      </c>
      <c r="V4714" t="s">
        <v>13290</v>
      </c>
      <c r="W4714" t="s">
        <v>17956</v>
      </c>
      <c r="X4714">
        <v>8</v>
      </c>
      <c r="Y4714" t="s">
        <v>24440</v>
      </c>
      <c r="Z4714" t="s">
        <v>31044</v>
      </c>
      <c r="AA4714">
        <v>0.58826410187101574</v>
      </c>
      <c r="AB4714" t="str">
        <f>HYPERLINK("Melting_Curves/meltCurve_Q8TB72_3_PUM2.pdf", "Melting_Curves/meltCurve_Q8TB72_3_PUM2.pdf")</f>
        <v>Melting_Curves/meltCurve_Q8TB72_3_PUM2.pdf</v>
      </c>
    </row>
    <row r="4715" spans="1:28" x14ac:dyDescent="0.25">
      <c r="A4715" t="s">
        <v>4719</v>
      </c>
      <c r="B4715">
        <v>0.99252571173614901</v>
      </c>
      <c r="C4715">
        <v>0.968075621016667</v>
      </c>
      <c r="D4715">
        <v>0.90242614274882504</v>
      </c>
      <c r="E4715">
        <v>0.78333195036603798</v>
      </c>
      <c r="F4715">
        <v>0.44179518755195002</v>
      </c>
      <c r="G4715">
        <v>0.23486120150322801</v>
      </c>
      <c r="H4715">
        <v>0.15947873508834501</v>
      </c>
      <c r="I4715">
        <v>0.19378069550955401</v>
      </c>
      <c r="J4715">
        <v>0.301177601136287</v>
      </c>
      <c r="K4715">
        <v>0.27513935905815801</v>
      </c>
      <c r="L4715">
        <v>1397.58006490612</v>
      </c>
      <c r="M4715">
        <v>27.313375991995599</v>
      </c>
      <c r="N4715">
        <v>52.302140555206698</v>
      </c>
      <c r="O4715">
        <v>50.8964119809851</v>
      </c>
      <c r="P4715">
        <v>-0.10418858360354601</v>
      </c>
      <c r="Q4715">
        <v>0.22341714679067701</v>
      </c>
      <c r="R4715">
        <v>0.97975520882223499</v>
      </c>
      <c r="S4715" t="s">
        <v>11361</v>
      </c>
      <c r="T4715" t="s">
        <v>13290</v>
      </c>
      <c r="U4715" t="s">
        <v>13290</v>
      </c>
      <c r="V4715" t="s">
        <v>13290</v>
      </c>
      <c r="W4715" t="s">
        <v>17957</v>
      </c>
      <c r="X4715">
        <v>22</v>
      </c>
      <c r="Y4715" t="s">
        <v>24441</v>
      </c>
      <c r="Z4715" t="s">
        <v>31045</v>
      </c>
      <c r="AA4715">
        <v>0.51842432349019796</v>
      </c>
      <c r="AB4715" t="str">
        <f>HYPERLINK("Melting_Curves/meltCurve_Q8TBA6_2_GOLGA5.pdf", "Melting_Curves/meltCurve_Q8TBA6_2_GOLGA5.pdf")</f>
        <v>Melting_Curves/meltCurve_Q8TBA6_2_GOLGA5.pdf</v>
      </c>
    </row>
    <row r="4716" spans="1:28" x14ac:dyDescent="0.25">
      <c r="A4716" t="s">
        <v>4720</v>
      </c>
      <c r="B4716">
        <v>0.99252571173614901</v>
      </c>
      <c r="C4716">
        <v>0.92915423890053495</v>
      </c>
      <c r="D4716">
        <v>0.71326333956071797</v>
      </c>
      <c r="E4716">
        <v>0.54392188719086898</v>
      </c>
      <c r="F4716">
        <v>0.27993944528637099</v>
      </c>
      <c r="G4716">
        <v>0.193751104244936</v>
      </c>
      <c r="H4716">
        <v>0.14972070575923599</v>
      </c>
      <c r="I4716">
        <v>0.16466485858142699</v>
      </c>
      <c r="J4716">
        <v>0.216487604759282</v>
      </c>
      <c r="K4716">
        <v>0.18383903859800599</v>
      </c>
      <c r="L4716">
        <v>853.22181129912406</v>
      </c>
      <c r="M4716">
        <v>17.653835815029499</v>
      </c>
      <c r="N4716">
        <v>49.4377292742194</v>
      </c>
      <c r="O4716">
        <v>47.723332021506003</v>
      </c>
      <c r="P4716">
        <v>-7.7385215354976902E-2</v>
      </c>
      <c r="Q4716">
        <v>0.163267888981247</v>
      </c>
      <c r="R4716">
        <v>0.98965239574637398</v>
      </c>
      <c r="S4716" t="s">
        <v>11362</v>
      </c>
      <c r="T4716" t="s">
        <v>13290</v>
      </c>
      <c r="U4716" t="s">
        <v>13290</v>
      </c>
      <c r="V4716" t="s">
        <v>13290</v>
      </c>
      <c r="W4716" t="s">
        <v>17958</v>
      </c>
      <c r="X4716">
        <v>2</v>
      </c>
      <c r="Y4716" t="s">
        <v>24442</v>
      </c>
      <c r="Z4716" t="s">
        <v>31046</v>
      </c>
      <c r="AA4716">
        <v>0.41092653706128179</v>
      </c>
      <c r="AB4716" t="str">
        <f>HYPERLINK("Melting_Curves/meltCurve_Q8TBB1_LNX1.pdf", "Melting_Curves/meltCurve_Q8TBB1_LNX1.pdf")</f>
        <v>Melting_Curves/meltCurve_Q8TBB1_LNX1.pdf</v>
      </c>
    </row>
    <row r="4717" spans="1:28" x14ac:dyDescent="0.25">
      <c r="A4717" t="s">
        <v>4721</v>
      </c>
      <c r="B4717">
        <v>0.99252571173614901</v>
      </c>
      <c r="C4717">
        <v>1.0494904905348701</v>
      </c>
      <c r="D4717">
        <v>0.91758165886844101</v>
      </c>
      <c r="E4717">
        <v>0.71224439495441605</v>
      </c>
      <c r="F4717">
        <v>0.440095028922107</v>
      </c>
      <c r="G4717">
        <v>0.32690034497875298</v>
      </c>
      <c r="H4717">
        <v>0.13676201500110399</v>
      </c>
      <c r="I4717">
        <v>7.3945960936052296E-2</v>
      </c>
      <c r="J4717">
        <v>8.0677538359217801E-2</v>
      </c>
      <c r="K4717">
        <v>8.1154150914477405E-2</v>
      </c>
      <c r="L4717">
        <v>842.78586627469394</v>
      </c>
      <c r="M4717">
        <v>16.079799590459899</v>
      </c>
      <c r="N4717">
        <v>52.790711896003103</v>
      </c>
      <c r="O4717">
        <v>51.622173923703699</v>
      </c>
      <c r="P4717">
        <v>-7.3643630521246006E-2</v>
      </c>
      <c r="Q4717">
        <v>5.4378283124670697E-2</v>
      </c>
      <c r="R4717">
        <v>0.99193353350449898</v>
      </c>
      <c r="S4717" t="s">
        <v>11363</v>
      </c>
      <c r="T4717" t="s">
        <v>13290</v>
      </c>
      <c r="U4717" t="s">
        <v>13290</v>
      </c>
      <c r="V4717" t="s">
        <v>13290</v>
      </c>
      <c r="W4717" t="s">
        <v>17959</v>
      </c>
      <c r="X4717">
        <v>7</v>
      </c>
      <c r="Y4717" t="s">
        <v>24443</v>
      </c>
      <c r="Z4717" t="s">
        <v>31047</v>
      </c>
      <c r="AA4717">
        <v>0.46438667137899631</v>
      </c>
      <c r="AB4717" t="str">
        <f>HYPERLINK("Melting_Curves/meltCurve_Q8TBB5_3_KLHDC4.pdf", "Melting_Curves/meltCurve_Q8TBB5_3_KLHDC4.pdf")</f>
        <v>Melting_Curves/meltCurve_Q8TBB5_3_KLHDC4.pdf</v>
      </c>
    </row>
    <row r="4718" spans="1:28" x14ac:dyDescent="0.25">
      <c r="A4718" t="s">
        <v>4722</v>
      </c>
      <c r="B4718">
        <v>0.99252571173614901</v>
      </c>
      <c r="C4718">
        <v>0.99713832501889499</v>
      </c>
      <c r="D4718">
        <v>0.96811976730379701</v>
      </c>
      <c r="E4718">
        <v>0.64311488094945002</v>
      </c>
      <c r="F4718">
        <v>0.224544257011079</v>
      </c>
      <c r="G4718">
        <v>0.140151051322572</v>
      </c>
      <c r="H4718">
        <v>9.8731285248804396E-2</v>
      </c>
      <c r="I4718">
        <v>9.7512722893567993E-2</v>
      </c>
      <c r="J4718">
        <v>0.114825362363124</v>
      </c>
      <c r="K4718">
        <v>0.14779155653244999</v>
      </c>
      <c r="L4718">
        <v>1740.04079341842</v>
      </c>
      <c r="M4718">
        <v>34.684862334965501</v>
      </c>
      <c r="N4718">
        <v>50.552912851806802</v>
      </c>
      <c r="O4718">
        <v>50.001277962062701</v>
      </c>
      <c r="P4718">
        <v>-0.15325662624043401</v>
      </c>
      <c r="Q4718">
        <v>0.116271776137803</v>
      </c>
      <c r="R4718">
        <v>0.99872882775528304</v>
      </c>
      <c r="S4718" t="s">
        <v>11364</v>
      </c>
      <c r="T4718" t="s">
        <v>13290</v>
      </c>
      <c r="U4718" t="s">
        <v>13290</v>
      </c>
      <c r="V4718" t="s">
        <v>13290</v>
      </c>
      <c r="W4718" t="s">
        <v>17960</v>
      </c>
      <c r="X4718">
        <v>18</v>
      </c>
      <c r="Y4718" t="s">
        <v>24444</v>
      </c>
      <c r="Z4718" t="s">
        <v>31048</v>
      </c>
      <c r="AA4718">
        <v>0.41985966057776009</v>
      </c>
      <c r="AB4718" t="str">
        <f>HYPERLINK("Melting_Curves/meltCurve_Q8TBC4_UBA3.pdf", "Melting_Curves/meltCurve_Q8TBC4_UBA3.pdf")</f>
        <v>Melting_Curves/meltCurve_Q8TBC4_UBA3.pdf</v>
      </c>
    </row>
    <row r="4719" spans="1:28" x14ac:dyDescent="0.25">
      <c r="A4719" t="s">
        <v>4723</v>
      </c>
      <c r="B4719">
        <v>0.99252571173614901</v>
      </c>
      <c r="C4719">
        <v>1.10430770494643</v>
      </c>
      <c r="D4719">
        <v>0.97033862086813605</v>
      </c>
      <c r="E4719">
        <v>0.83077223588212001</v>
      </c>
      <c r="F4719">
        <v>0.37604372613341602</v>
      </c>
      <c r="G4719">
        <v>0.19477242335192099</v>
      </c>
      <c r="H4719">
        <v>0.138883027505974</v>
      </c>
      <c r="I4719">
        <v>0.133697393143864</v>
      </c>
      <c r="J4719">
        <v>0.17150498600976399</v>
      </c>
      <c r="K4719">
        <v>0.14883295514734299</v>
      </c>
      <c r="L4719">
        <v>1740.05270923171</v>
      </c>
      <c r="M4719">
        <v>33.701834735058597</v>
      </c>
      <c r="N4719">
        <v>52.175138145179702</v>
      </c>
      <c r="O4719">
        <v>51.450050726340599</v>
      </c>
      <c r="P4719">
        <v>-0.13948696561127699</v>
      </c>
      <c r="Q4719">
        <v>0.14822685259767901</v>
      </c>
      <c r="R4719">
        <v>0.99192525980870605</v>
      </c>
      <c r="S4719" t="s">
        <v>11365</v>
      </c>
      <c r="T4719" t="s">
        <v>13290</v>
      </c>
      <c r="U4719" t="s">
        <v>13290</v>
      </c>
      <c r="V4719" t="s">
        <v>13290</v>
      </c>
      <c r="W4719" t="s">
        <v>17961</v>
      </c>
      <c r="X4719">
        <v>9</v>
      </c>
      <c r="Y4719" t="s">
        <v>24445</v>
      </c>
      <c r="Z4719" t="s">
        <v>31049</v>
      </c>
      <c r="AA4719">
        <v>0.48274161093823909</v>
      </c>
      <c r="AB4719" t="str">
        <f>HYPERLINK("Melting_Curves/meltCurve_Q8TBE9_NANP.pdf", "Melting_Curves/meltCurve_Q8TBE9_NANP.pdf")</f>
        <v>Melting_Curves/meltCurve_Q8TBE9_NANP.pdf</v>
      </c>
    </row>
    <row r="4720" spans="1:28" x14ac:dyDescent="0.25">
      <c r="A4720" t="s">
        <v>4724</v>
      </c>
      <c r="B4720">
        <v>0.99252571173614901</v>
      </c>
      <c r="C4720">
        <v>1.09739706646263</v>
      </c>
      <c r="D4720">
        <v>0.96178963634755499</v>
      </c>
      <c r="E4720">
        <v>0.78665428215369304</v>
      </c>
      <c r="F4720">
        <v>0.69037607398137701</v>
      </c>
      <c r="G4720">
        <v>0.46819983770166801</v>
      </c>
      <c r="H4720">
        <v>0.239670779266656</v>
      </c>
      <c r="I4720">
        <v>0.13176750668720999</v>
      </c>
      <c r="J4720">
        <v>0.18776604965462601</v>
      </c>
      <c r="K4720">
        <v>0.13670361493995101</v>
      </c>
      <c r="L4720">
        <v>844.303296270803</v>
      </c>
      <c r="M4720">
        <v>15.3520946693634</v>
      </c>
      <c r="N4720">
        <v>55.745998018081004</v>
      </c>
      <c r="O4720">
        <v>54.088171569288697</v>
      </c>
      <c r="P4720">
        <v>-6.4343551645140301E-2</v>
      </c>
      <c r="Q4720">
        <v>9.3308470781126696E-2</v>
      </c>
      <c r="R4720">
        <v>0.98179738953717199</v>
      </c>
      <c r="S4720" t="s">
        <v>11366</v>
      </c>
      <c r="T4720" t="s">
        <v>13290</v>
      </c>
      <c r="U4720" t="s">
        <v>13290</v>
      </c>
      <c r="V4720" t="s">
        <v>13290</v>
      </c>
      <c r="W4720" t="s">
        <v>17962</v>
      </c>
      <c r="X4720">
        <v>5</v>
      </c>
      <c r="Y4720" t="s">
        <v>24446</v>
      </c>
      <c r="Z4720" t="s">
        <v>31050</v>
      </c>
      <c r="AA4720">
        <v>0.56358692316176373</v>
      </c>
      <c r="AB4720" t="str">
        <f>HYPERLINK("Melting_Curves/meltCurve_Q8TBF2_FAM213B.pdf", "Melting_Curves/meltCurve_Q8TBF2_FAM213B.pdf")</f>
        <v>Melting_Curves/meltCurve_Q8TBF2_FAM213B.pdf</v>
      </c>
    </row>
    <row r="4721" spans="1:28" x14ac:dyDescent="0.25">
      <c r="A4721" t="s">
        <v>4725</v>
      </c>
      <c r="B4721">
        <v>0.99252571173614901</v>
      </c>
      <c r="C4721">
        <v>1.2948757399281401</v>
      </c>
      <c r="D4721">
        <v>1.3022779768838699</v>
      </c>
      <c r="E4721">
        <v>3.86388723003496</v>
      </c>
      <c r="F4721">
        <v>1.4909211373290101</v>
      </c>
      <c r="G4721">
        <v>1.60035398502021</v>
      </c>
      <c r="H4721">
        <v>1.6561866137732999</v>
      </c>
      <c r="I4721">
        <v>3.52648429040915</v>
      </c>
      <c r="J4721">
        <v>4.6074949384695802</v>
      </c>
      <c r="K4721">
        <v>4.5983330483672598</v>
      </c>
      <c r="L4721">
        <v>2198.3077981583701</v>
      </c>
      <c r="M4721">
        <v>51.4987440217703</v>
      </c>
      <c r="O4721">
        <v>42.622409788170899</v>
      </c>
      <c r="P4721">
        <v>0.151032002360346</v>
      </c>
      <c r="Q4721">
        <v>1.5</v>
      </c>
      <c r="R4721">
        <v>-0.49162082087833597</v>
      </c>
      <c r="S4721" t="s">
        <v>11367</v>
      </c>
      <c r="T4721" t="s">
        <v>13290</v>
      </c>
      <c r="U4721" t="s">
        <v>13290</v>
      </c>
      <c r="V4721" t="s">
        <v>13290</v>
      </c>
      <c r="W4721" t="s">
        <v>17963</v>
      </c>
      <c r="X4721">
        <v>1</v>
      </c>
      <c r="Y4721" t="s">
        <v>24447</v>
      </c>
      <c r="Z4721" t="s">
        <v>31051</v>
      </c>
      <c r="AA4721">
        <v>1.4539729659574541</v>
      </c>
      <c r="AB4721" t="str">
        <f>HYPERLINK("Melting_Curves/meltCurve_Q8TBK2_2_SETD6.pdf", "Melting_Curves/meltCurve_Q8TBK2_2_SETD6.pdf")</f>
        <v>Melting_Curves/meltCurve_Q8TBK2_2_SETD6.pdf</v>
      </c>
    </row>
    <row r="4722" spans="1:28" x14ac:dyDescent="0.25">
      <c r="A4722" t="s">
        <v>4726</v>
      </c>
      <c r="B4722">
        <v>0.99252571173614901</v>
      </c>
      <c r="C4722">
        <v>0.84179298615305598</v>
      </c>
      <c r="D4722">
        <v>0.74479635543937495</v>
      </c>
      <c r="E4722">
        <v>0.64942250661339396</v>
      </c>
      <c r="F4722">
        <v>0.63165407025523701</v>
      </c>
      <c r="G4722">
        <v>0.36786450899761503</v>
      </c>
      <c r="H4722">
        <v>0.29124075826632201</v>
      </c>
      <c r="I4722">
        <v>0.369840099391824</v>
      </c>
      <c r="J4722">
        <v>0.43789454636983399</v>
      </c>
      <c r="K4722">
        <v>0.32088511865804498</v>
      </c>
      <c r="L4722">
        <v>522.46785514182397</v>
      </c>
      <c r="M4722">
        <v>10.617841369373201</v>
      </c>
      <c r="N4722">
        <v>54.073853122030698</v>
      </c>
      <c r="O4722">
        <v>47.557415711332503</v>
      </c>
      <c r="P4722">
        <v>-3.8654425216007697E-2</v>
      </c>
      <c r="Q4722">
        <v>0.30773339222969198</v>
      </c>
      <c r="R4722">
        <v>0.92389583964436695</v>
      </c>
      <c r="S4722" t="s">
        <v>11368</v>
      </c>
      <c r="T4722" t="s">
        <v>13290</v>
      </c>
      <c r="U4722" t="s">
        <v>13290</v>
      </c>
      <c r="V4722" t="s">
        <v>13290</v>
      </c>
      <c r="W4722" t="s">
        <v>17964</v>
      </c>
      <c r="X4722">
        <v>1</v>
      </c>
      <c r="Y4722" t="s">
        <v>24448</v>
      </c>
      <c r="Z4722" t="s">
        <v>31052</v>
      </c>
      <c r="AA4722">
        <v>0.55067878053728003</v>
      </c>
      <c r="AB4722" t="str">
        <f>HYPERLINK("Melting_Curves/meltCurve_Q8TBR7_1_FAM57A.pdf", "Melting_Curves/meltCurve_Q8TBR7_1_FAM57A.pdf")</f>
        <v>Melting_Curves/meltCurve_Q8TBR7_1_FAM57A.pdf</v>
      </c>
    </row>
    <row r="4723" spans="1:28" x14ac:dyDescent="0.25">
      <c r="A4723" t="s">
        <v>4727</v>
      </c>
      <c r="B4723">
        <v>0.99252571173614901</v>
      </c>
      <c r="C4723">
        <v>0.99540929435754899</v>
      </c>
      <c r="D4723">
        <v>0.80970309769066795</v>
      </c>
      <c r="E4723">
        <v>0.38853881550008001</v>
      </c>
      <c r="F4723">
        <v>0.181858968123563</v>
      </c>
      <c r="G4723">
        <v>0.109490601184451</v>
      </c>
      <c r="H4723">
        <v>8.3895553789865795E-2</v>
      </c>
      <c r="I4723">
        <v>8.8619045848359307E-2</v>
      </c>
      <c r="J4723">
        <v>8.2389546803719793E-2</v>
      </c>
      <c r="K4723">
        <v>7.9240280126338297E-2</v>
      </c>
      <c r="L4723">
        <v>1272.5605931611001</v>
      </c>
      <c r="M4723">
        <v>26.315643674950799</v>
      </c>
      <c r="N4723">
        <v>48.708004128211797</v>
      </c>
      <c r="O4723">
        <v>48.080917236038701</v>
      </c>
      <c r="P4723">
        <v>-0.12503068728695901</v>
      </c>
      <c r="Q4723">
        <v>8.6243332216007898E-2</v>
      </c>
      <c r="R4723">
        <v>0.99905971994562603</v>
      </c>
      <c r="S4723" t="s">
        <v>11369</v>
      </c>
      <c r="T4723" t="s">
        <v>13290</v>
      </c>
      <c r="U4723" t="s">
        <v>13290</v>
      </c>
      <c r="V4723" t="s">
        <v>13290</v>
      </c>
      <c r="W4723" t="s">
        <v>17965</v>
      </c>
      <c r="X4723">
        <v>18</v>
      </c>
      <c r="Y4723" t="s">
        <v>24449</v>
      </c>
      <c r="Z4723" t="s">
        <v>31053</v>
      </c>
      <c r="AA4723">
        <v>0.34805506131010622</v>
      </c>
      <c r="AB4723" t="str">
        <f>HYPERLINK("Melting_Curves/meltCurve_Q8TBX8_PIP4K2C.pdf", "Melting_Curves/meltCurve_Q8TBX8_PIP4K2C.pdf")</f>
        <v>Melting_Curves/meltCurve_Q8TBX8_PIP4K2C.pdf</v>
      </c>
    </row>
    <row r="4724" spans="1:28" x14ac:dyDescent="0.25">
      <c r="A4724" t="s">
        <v>4728</v>
      </c>
      <c r="B4724">
        <v>0.99252571173614901</v>
      </c>
      <c r="C4724">
        <v>1.0803618322541699</v>
      </c>
      <c r="D4724">
        <v>0.98295957002476297</v>
      </c>
      <c r="E4724">
        <v>0.98872009707278596</v>
      </c>
      <c r="F4724">
        <v>0.24113827076661901</v>
      </c>
      <c r="G4724">
        <v>0.118220497127943</v>
      </c>
      <c r="H4724">
        <v>0.101281327118824</v>
      </c>
      <c r="I4724">
        <v>9.7906851467038106E-2</v>
      </c>
      <c r="J4724">
        <v>0.131297675259165</v>
      </c>
      <c r="K4724">
        <v>0.13712890573268199</v>
      </c>
      <c r="L4724">
        <v>4510.5156529976302</v>
      </c>
      <c r="M4724">
        <v>86.594746344544106</v>
      </c>
      <c r="N4724">
        <v>52.248528114854203</v>
      </c>
      <c r="O4724">
        <v>52.059875942217403</v>
      </c>
      <c r="P4724">
        <v>-0.36717551816149702</v>
      </c>
      <c r="Q4724">
        <v>0.117031417906921</v>
      </c>
      <c r="R4724">
        <v>0.99566392032893902</v>
      </c>
      <c r="S4724" t="s">
        <v>11370</v>
      </c>
      <c r="T4724" t="s">
        <v>13290</v>
      </c>
      <c r="U4724" t="s">
        <v>13290</v>
      </c>
      <c r="V4724" t="s">
        <v>13290</v>
      </c>
      <c r="W4724" t="s">
        <v>17966</v>
      </c>
      <c r="X4724">
        <v>3</v>
      </c>
      <c r="Y4724" t="s">
        <v>24450</v>
      </c>
      <c r="Z4724" t="s">
        <v>31054</v>
      </c>
      <c r="AA4724">
        <v>0.47347202756129031</v>
      </c>
      <c r="AB4724" t="str">
        <f>HYPERLINK("Melting_Curves/meltCurve_Q8TBZ6_TRMT10A.pdf", "Melting_Curves/meltCurve_Q8TBZ6_TRMT10A.pdf")</f>
        <v>Melting_Curves/meltCurve_Q8TBZ6_TRMT10A.pdf</v>
      </c>
    </row>
    <row r="4725" spans="1:28" x14ac:dyDescent="0.25">
      <c r="A4725" t="s">
        <v>4729</v>
      </c>
      <c r="B4725">
        <v>0.99252571173614901</v>
      </c>
      <c r="C4725">
        <v>0.961867893749348</v>
      </c>
      <c r="D4725">
        <v>0.73503082180872004</v>
      </c>
      <c r="E4725">
        <v>0.32217187090935601</v>
      </c>
      <c r="F4725">
        <v>0.155847884505743</v>
      </c>
      <c r="G4725">
        <v>8.0028295873493999E-2</v>
      </c>
      <c r="H4725">
        <v>5.4945319008067303E-2</v>
      </c>
      <c r="I4725">
        <v>5.2648854588563498E-2</v>
      </c>
      <c r="J4725">
        <v>6.2330073325049501E-2</v>
      </c>
      <c r="K4725">
        <v>5.7786977893608503E-2</v>
      </c>
      <c r="L4725">
        <v>1166.67552837895</v>
      </c>
      <c r="M4725">
        <v>24.413885142138099</v>
      </c>
      <c r="N4725">
        <v>48.035081148481602</v>
      </c>
      <c r="O4725">
        <v>47.470218217421603</v>
      </c>
      <c r="P4725">
        <v>-0.120971834639302</v>
      </c>
      <c r="Q4725">
        <v>5.9146141211472499E-2</v>
      </c>
      <c r="R4725">
        <v>0.99917137637506703</v>
      </c>
      <c r="S4725" t="s">
        <v>11371</v>
      </c>
      <c r="T4725" t="s">
        <v>13290</v>
      </c>
      <c r="U4725" t="s">
        <v>13290</v>
      </c>
      <c r="V4725" t="s">
        <v>13290</v>
      </c>
      <c r="W4725" t="s">
        <v>17967</v>
      </c>
      <c r="X4725">
        <v>11</v>
      </c>
      <c r="Y4725" t="s">
        <v>24451</v>
      </c>
      <c r="Z4725" t="s">
        <v>31055</v>
      </c>
      <c r="AA4725">
        <v>0.31212830981618039</v>
      </c>
      <c r="AB4725" t="str">
        <f>HYPERLINK("Melting_Curves/meltCurve_Q8TC07_2_TBC1D15.pdf", "Melting_Curves/meltCurve_Q8TC07_2_TBC1D15.pdf")</f>
        <v>Melting_Curves/meltCurve_Q8TC07_2_TBC1D15.pdf</v>
      </c>
    </row>
    <row r="4726" spans="1:28" x14ac:dyDescent="0.25">
      <c r="A4726" t="s">
        <v>4730</v>
      </c>
      <c r="B4726">
        <v>0.99252571173614901</v>
      </c>
      <c r="C4726">
        <v>0.97091756721723799</v>
      </c>
      <c r="D4726">
        <v>0.80926729184643098</v>
      </c>
      <c r="E4726">
        <v>0.31259913260718197</v>
      </c>
      <c r="F4726">
        <v>0.134281600144396</v>
      </c>
      <c r="G4726">
        <v>6.9788824504464705E-2</v>
      </c>
      <c r="H4726">
        <v>4.8595543757986297E-2</v>
      </c>
      <c r="I4726">
        <v>5.3569510860629603E-2</v>
      </c>
      <c r="J4726">
        <v>5.9786041997778698E-2</v>
      </c>
      <c r="K4726">
        <v>5.3019803795513201E-2</v>
      </c>
      <c r="L4726">
        <v>1424.0918903171701</v>
      </c>
      <c r="M4726">
        <v>29.638409145832</v>
      </c>
      <c r="N4726">
        <v>48.249157007722701</v>
      </c>
      <c r="O4726">
        <v>47.831735988902103</v>
      </c>
      <c r="P4726">
        <v>-0.145944020951595</v>
      </c>
      <c r="Q4726">
        <v>5.78839278371222E-2</v>
      </c>
      <c r="R4726">
        <v>0.999260778593134</v>
      </c>
      <c r="S4726" t="s">
        <v>11372</v>
      </c>
      <c r="T4726" t="s">
        <v>13290</v>
      </c>
      <c r="U4726" t="s">
        <v>13290</v>
      </c>
      <c r="V4726" t="s">
        <v>13290</v>
      </c>
      <c r="W4726" t="s">
        <v>17968</v>
      </c>
      <c r="X4726">
        <v>10</v>
      </c>
      <c r="Y4726" t="s">
        <v>24452</v>
      </c>
      <c r="Z4726" t="s">
        <v>31056</v>
      </c>
      <c r="AA4726">
        <v>0.31646756194564329</v>
      </c>
      <c r="AB4726" t="str">
        <f>HYPERLINK("Melting_Curves/meltCurve_Q8TC12_RDH11.pdf", "Melting_Curves/meltCurve_Q8TC12_RDH11.pdf")</f>
        <v>Melting_Curves/meltCurve_Q8TC12_RDH11.pdf</v>
      </c>
    </row>
    <row r="4727" spans="1:28" x14ac:dyDescent="0.25">
      <c r="A4727" t="s">
        <v>4731</v>
      </c>
      <c r="B4727">
        <v>0.99252571173614901</v>
      </c>
      <c r="C4727">
        <v>1.0673911603432999</v>
      </c>
      <c r="D4727">
        <v>0.99138682472417805</v>
      </c>
      <c r="E4727">
        <v>0.78300393521594602</v>
      </c>
      <c r="F4727">
        <v>0.733528134763206</v>
      </c>
      <c r="G4727">
        <v>0.20243218576684999</v>
      </c>
      <c r="H4727">
        <v>0.101685153160289</v>
      </c>
      <c r="I4727">
        <v>9.1429228539355506E-2</v>
      </c>
      <c r="J4727">
        <v>9.8817601199024899E-2</v>
      </c>
      <c r="K4727">
        <v>8.6113579684375496E-2</v>
      </c>
      <c r="L4727">
        <v>1488.4723010781399</v>
      </c>
      <c r="M4727">
        <v>27.515706976279201</v>
      </c>
      <c r="N4727">
        <v>54.403277558169002</v>
      </c>
      <c r="O4727">
        <v>53.812078336270801</v>
      </c>
      <c r="P4727">
        <v>-0.118616045873047</v>
      </c>
      <c r="Q4727">
        <v>7.2105927314774998E-2</v>
      </c>
      <c r="R4727">
        <v>0.97635402553853501</v>
      </c>
      <c r="S4727" t="s">
        <v>11373</v>
      </c>
      <c r="T4727" t="s">
        <v>13290</v>
      </c>
      <c r="U4727" t="s">
        <v>13290</v>
      </c>
      <c r="V4727" t="s">
        <v>13290</v>
      </c>
      <c r="W4727" t="s">
        <v>17969</v>
      </c>
      <c r="X4727">
        <v>10</v>
      </c>
      <c r="Y4727" t="s">
        <v>24453</v>
      </c>
      <c r="Z4727" t="s">
        <v>31057</v>
      </c>
      <c r="AA4727">
        <v>0.51526606834488564</v>
      </c>
      <c r="AB4727" t="str">
        <f>HYPERLINK("Melting_Curves/meltCurve_Q8TCA0_LRRC20.pdf", "Melting_Curves/meltCurve_Q8TCA0_LRRC20.pdf")</f>
        <v>Melting_Curves/meltCurve_Q8TCA0_LRRC20.pdf</v>
      </c>
    </row>
    <row r="4728" spans="1:28" x14ac:dyDescent="0.25">
      <c r="A4728" t="s">
        <v>4732</v>
      </c>
      <c r="B4728">
        <v>0.99252571173614901</v>
      </c>
      <c r="C4728">
        <v>0.96921247556520995</v>
      </c>
      <c r="D4728">
        <v>0.865675117894949</v>
      </c>
      <c r="E4728">
        <v>0.76921373413465899</v>
      </c>
      <c r="F4728">
        <v>0.65014611168981395</v>
      </c>
      <c r="G4728">
        <v>0.59678592916064299</v>
      </c>
      <c r="H4728">
        <v>0.53748576548086102</v>
      </c>
      <c r="I4728">
        <v>0.754899772248529</v>
      </c>
      <c r="J4728">
        <v>1.38651330597539</v>
      </c>
      <c r="K4728">
        <v>1.2511372182729501</v>
      </c>
      <c r="L4728">
        <v>5943.47113174267</v>
      </c>
      <c r="M4728">
        <v>90.191790949800605</v>
      </c>
      <c r="O4728">
        <v>65.865761040675594</v>
      </c>
      <c r="P4728">
        <v>0.109937527795494</v>
      </c>
      <c r="Q4728">
        <v>1.32114312272347</v>
      </c>
      <c r="R4728">
        <v>4.69826882709133E-2</v>
      </c>
      <c r="S4728" t="s">
        <v>11374</v>
      </c>
      <c r="T4728" t="s">
        <v>13290</v>
      </c>
      <c r="U4728" t="s">
        <v>13290</v>
      </c>
      <c r="V4728" t="s">
        <v>13290</v>
      </c>
      <c r="W4728" t="s">
        <v>17970</v>
      </c>
      <c r="X4728">
        <v>1</v>
      </c>
      <c r="Y4728" t="s">
        <v>24454</v>
      </c>
      <c r="Z4728" t="s">
        <v>31058</v>
      </c>
      <c r="AA4728">
        <v>1.0436693988774819</v>
      </c>
      <c r="AB4728" t="str">
        <f>HYPERLINK("Melting_Curves/meltCurve_Q8TCD1_C18orf32.pdf", "Melting_Curves/meltCurve_Q8TCD1_C18orf32.pdf")</f>
        <v>Melting_Curves/meltCurve_Q8TCD1_C18orf32.pdf</v>
      </c>
    </row>
    <row r="4729" spans="1:28" x14ac:dyDescent="0.25">
      <c r="A4729" t="s">
        <v>4733</v>
      </c>
      <c r="B4729">
        <v>0.99252571173614901</v>
      </c>
      <c r="C4729">
        <v>1.05071769603133</v>
      </c>
      <c r="D4729">
        <v>1.00184033985301</v>
      </c>
      <c r="E4729">
        <v>0.91309210817484998</v>
      </c>
      <c r="F4729">
        <v>0.74320807148769197</v>
      </c>
      <c r="G4729">
        <v>0.53128546053435699</v>
      </c>
      <c r="H4729">
        <v>0.45783214008731299</v>
      </c>
      <c r="I4729">
        <v>0.30135956068365899</v>
      </c>
      <c r="J4729">
        <v>0.23126543806066999</v>
      </c>
      <c r="K4729">
        <v>0.206020124371706</v>
      </c>
      <c r="L4729">
        <v>787.89942287050201</v>
      </c>
      <c r="M4729">
        <v>13.896551660533101</v>
      </c>
      <c r="N4729">
        <v>58.301732548667097</v>
      </c>
      <c r="O4729">
        <v>55.562089937912802</v>
      </c>
      <c r="P4729">
        <v>-5.2599776511298102E-2</v>
      </c>
      <c r="Q4729">
        <v>0.158883289436758</v>
      </c>
      <c r="R4729">
        <v>0.98898460240471298</v>
      </c>
      <c r="S4729" t="s">
        <v>11375</v>
      </c>
      <c r="T4729" t="s">
        <v>13290</v>
      </c>
      <c r="U4729" t="s">
        <v>13290</v>
      </c>
      <c r="V4729" t="s">
        <v>13290</v>
      </c>
      <c r="W4729" t="s">
        <v>17971</v>
      </c>
      <c r="X4729">
        <v>9</v>
      </c>
      <c r="Y4729" t="s">
        <v>24455</v>
      </c>
      <c r="Z4729" t="s">
        <v>31059</v>
      </c>
      <c r="AA4729">
        <v>0.6414887364661418</v>
      </c>
      <c r="AB4729" t="str">
        <f>HYPERLINK("Melting_Curves/meltCurve_Q8TCD5_NT5C.pdf", "Melting_Curves/meltCurve_Q8TCD5_NT5C.pdf")</f>
        <v>Melting_Curves/meltCurve_Q8TCD5_NT5C.pdf</v>
      </c>
    </row>
    <row r="4730" spans="1:28" x14ac:dyDescent="0.25">
      <c r="A4730" t="s">
        <v>4734</v>
      </c>
      <c r="B4730">
        <v>0.99252571173614901</v>
      </c>
      <c r="C4730">
        <v>0.729386312700675</v>
      </c>
      <c r="D4730">
        <v>0.28701003246423601</v>
      </c>
      <c r="E4730">
        <v>0.16322799730114401</v>
      </c>
      <c r="F4730">
        <v>0.10584398327338899</v>
      </c>
      <c r="G4730">
        <v>5.8427696383193499E-2</v>
      </c>
      <c r="H4730">
        <v>4.0081634968281002E-2</v>
      </c>
      <c r="I4730">
        <v>6.4389641651108304E-2</v>
      </c>
      <c r="J4730">
        <v>7.0057359702857494E-2</v>
      </c>
      <c r="K4730">
        <v>8.9516233093918401E-2</v>
      </c>
      <c r="L4730">
        <v>1292.9411159311301</v>
      </c>
      <c r="M4730">
        <v>29.2383624267624</v>
      </c>
      <c r="N4730">
        <v>44.472073178254902</v>
      </c>
      <c r="O4730">
        <v>44.015375933092898</v>
      </c>
      <c r="P4730">
        <v>-0.15342272812971799</v>
      </c>
      <c r="Q4730">
        <v>7.6157033260452603E-2</v>
      </c>
      <c r="R4730">
        <v>0.99351464332591899</v>
      </c>
      <c r="S4730" t="s">
        <v>11376</v>
      </c>
      <c r="T4730" t="s">
        <v>13290</v>
      </c>
      <c r="U4730" t="s">
        <v>13290</v>
      </c>
      <c r="V4730" t="s">
        <v>13290</v>
      </c>
      <c r="W4730" t="s">
        <v>17972</v>
      </c>
      <c r="X4730">
        <v>11</v>
      </c>
      <c r="Y4730" t="s">
        <v>24456</v>
      </c>
      <c r="Z4730" t="s">
        <v>31060</v>
      </c>
      <c r="AA4730">
        <v>0.21306456463141121</v>
      </c>
      <c r="AB4730" t="str">
        <f>HYPERLINK("Melting_Curves/meltCurve_Q8TCG1_KIAA1524.pdf", "Melting_Curves/meltCurve_Q8TCG1_KIAA1524.pdf")</f>
        <v>Melting_Curves/meltCurve_Q8TCG1_KIAA1524.pdf</v>
      </c>
    </row>
    <row r="4731" spans="1:28" x14ac:dyDescent="0.25">
      <c r="A4731" t="s">
        <v>4735</v>
      </c>
      <c r="B4731">
        <v>0.99252571173614901</v>
      </c>
      <c r="C4731">
        <v>0.98134030820295004</v>
      </c>
      <c r="D4731">
        <v>0.83808695544766099</v>
      </c>
      <c r="E4731">
        <v>0.60456079321739398</v>
      </c>
      <c r="F4731">
        <v>0.34283676854487899</v>
      </c>
      <c r="G4731">
        <v>0.19375674487589301</v>
      </c>
      <c r="H4731">
        <v>0.154499078273549</v>
      </c>
      <c r="I4731">
        <v>0.16711237773094001</v>
      </c>
      <c r="J4731">
        <v>0.18400844310203601</v>
      </c>
      <c r="K4731">
        <v>0.158766892965919</v>
      </c>
      <c r="L4731">
        <v>997.49896018478603</v>
      </c>
      <c r="M4731">
        <v>20.0456324117545</v>
      </c>
      <c r="N4731">
        <v>50.686491955791801</v>
      </c>
      <c r="O4731">
        <v>49.274125951260203</v>
      </c>
      <c r="P4731">
        <v>-8.6126762569017606E-2</v>
      </c>
      <c r="Q4731">
        <v>0.153195300525902</v>
      </c>
      <c r="R4731">
        <v>0.99758124208875198</v>
      </c>
      <c r="S4731" t="s">
        <v>11377</v>
      </c>
      <c r="T4731" t="s">
        <v>13290</v>
      </c>
      <c r="U4731" t="s">
        <v>13290</v>
      </c>
      <c r="V4731" t="s">
        <v>13290</v>
      </c>
      <c r="W4731" t="s">
        <v>17973</v>
      </c>
      <c r="X4731">
        <v>5</v>
      </c>
      <c r="Y4731" t="s">
        <v>24457</v>
      </c>
      <c r="Z4731" t="s">
        <v>31061</v>
      </c>
      <c r="AA4731">
        <v>0.440476698372884</v>
      </c>
      <c r="AB4731" t="str">
        <f>HYPERLINK("Melting_Curves/meltCurve_Q8TCG2_PI4K2B.pdf", "Melting_Curves/meltCurve_Q8TCG2_PI4K2B.pdf")</f>
        <v>Melting_Curves/meltCurve_Q8TCG2_PI4K2B.pdf</v>
      </c>
    </row>
    <row r="4732" spans="1:28" x14ac:dyDescent="0.25">
      <c r="A4732" t="s">
        <v>4736</v>
      </c>
      <c r="B4732">
        <v>0.99252571173614901</v>
      </c>
      <c r="C4732">
        <v>0.84936172313078395</v>
      </c>
      <c r="D4732">
        <v>0.84419330921674096</v>
      </c>
      <c r="E4732">
        <v>0.61042282728868902</v>
      </c>
      <c r="F4732">
        <v>0.24846000421780801</v>
      </c>
      <c r="G4732">
        <v>9.8013226147681598E-2</v>
      </c>
      <c r="H4732">
        <v>6.2076869963736098E-2</v>
      </c>
      <c r="I4732">
        <v>6.15368070379241E-2</v>
      </c>
      <c r="J4732">
        <v>7.9903324615766796E-2</v>
      </c>
      <c r="K4732">
        <v>6.2953359676742607E-2</v>
      </c>
      <c r="L4732">
        <v>948.63481390707102</v>
      </c>
      <c r="M4732">
        <v>18.9695410133492</v>
      </c>
      <c r="N4732">
        <v>50.249754316224603</v>
      </c>
      <c r="O4732">
        <v>49.462521641120901</v>
      </c>
      <c r="P4732">
        <v>-9.1705895668663898E-2</v>
      </c>
      <c r="Q4732">
        <v>4.3556848084631901E-2</v>
      </c>
      <c r="R4732">
        <v>0.98653658750166795</v>
      </c>
      <c r="S4732" t="s">
        <v>11378</v>
      </c>
      <c r="T4732" t="s">
        <v>13290</v>
      </c>
      <c r="U4732" t="s">
        <v>13290</v>
      </c>
      <c r="V4732" t="s">
        <v>13290</v>
      </c>
      <c r="W4732" t="s">
        <v>17974</v>
      </c>
      <c r="X4732">
        <v>17</v>
      </c>
      <c r="Y4732" t="s">
        <v>24458</v>
      </c>
      <c r="Z4732" t="s">
        <v>31062</v>
      </c>
      <c r="AA4732">
        <v>0.37738853148615531</v>
      </c>
      <c r="AB4732" t="str">
        <f>HYPERLINK("Melting_Curves/meltCurve_Q8TCJ2_STT3B.pdf", "Melting_Curves/meltCurve_Q8TCJ2_STT3B.pdf")</f>
        <v>Melting_Curves/meltCurve_Q8TCJ2_STT3B.pdf</v>
      </c>
    </row>
    <row r="4733" spans="1:28" x14ac:dyDescent="0.25">
      <c r="A4733" t="s">
        <v>4737</v>
      </c>
      <c r="B4733">
        <v>0.99252571173614901</v>
      </c>
      <c r="C4733">
        <v>0.80566135690754603</v>
      </c>
      <c r="D4733">
        <v>0.93043785517572997</v>
      </c>
      <c r="E4733">
        <v>0.58265190972009695</v>
      </c>
      <c r="F4733">
        <v>0.19796841959880701</v>
      </c>
      <c r="G4733">
        <v>0.103647251194558</v>
      </c>
      <c r="H4733">
        <v>6.4165377943447899E-2</v>
      </c>
      <c r="I4733">
        <v>7.0139567972189704E-2</v>
      </c>
      <c r="J4733">
        <v>6.4797964171771902E-2</v>
      </c>
      <c r="K4733">
        <v>6.1054743859047599E-2</v>
      </c>
      <c r="L4733">
        <v>1256.4180528131801</v>
      </c>
      <c r="M4733">
        <v>25.1656789778175</v>
      </c>
      <c r="N4733">
        <v>50.1723655105761</v>
      </c>
      <c r="O4733">
        <v>49.613803148947802</v>
      </c>
      <c r="P4733">
        <v>-0.119435106073078</v>
      </c>
      <c r="Q4733">
        <v>5.8153412604526999E-2</v>
      </c>
      <c r="R4733">
        <v>0.97582329801286705</v>
      </c>
      <c r="S4733" t="s">
        <v>11379</v>
      </c>
      <c r="T4733" t="s">
        <v>13290</v>
      </c>
      <c r="U4733" t="s">
        <v>13290</v>
      </c>
      <c r="V4733" t="s">
        <v>13290</v>
      </c>
      <c r="W4733" t="s">
        <v>17975</v>
      </c>
      <c r="X4733">
        <v>24</v>
      </c>
      <c r="Y4733" t="s">
        <v>24459</v>
      </c>
      <c r="Z4733" t="s">
        <v>31063</v>
      </c>
      <c r="AA4733">
        <v>0.37807503624210742</v>
      </c>
      <c r="AB4733" t="str">
        <f>HYPERLINK("Melting_Curves/meltCurve_Q8TCS8_PNPT1.pdf", "Melting_Curves/meltCurve_Q8TCS8_PNPT1.pdf")</f>
        <v>Melting_Curves/meltCurve_Q8TCS8_PNPT1.pdf</v>
      </c>
    </row>
    <row r="4734" spans="1:28" x14ac:dyDescent="0.25">
      <c r="A4734" t="s">
        <v>4738</v>
      </c>
      <c r="B4734">
        <v>0.99252571173614901</v>
      </c>
      <c r="C4734">
        <v>0.870978910643468</v>
      </c>
      <c r="D4734">
        <v>0.79569858950994299</v>
      </c>
      <c r="E4734">
        <v>0.64129850624846496</v>
      </c>
      <c r="F4734">
        <v>0.61533744384977596</v>
      </c>
      <c r="G4734">
        <v>0.39047539092946798</v>
      </c>
      <c r="H4734">
        <v>0.29709063079570303</v>
      </c>
      <c r="I4734">
        <v>0.20291172462426901</v>
      </c>
      <c r="J4734">
        <v>0.23855429801795</v>
      </c>
      <c r="K4734">
        <v>0.16198244129481701</v>
      </c>
      <c r="L4734">
        <v>445.93311722862097</v>
      </c>
      <c r="M4734">
        <v>8.31660264246376</v>
      </c>
      <c r="N4734">
        <v>54.257951440577898</v>
      </c>
      <c r="O4734">
        <v>50.787904343737999</v>
      </c>
      <c r="P4734">
        <v>-3.9068212935802898E-2</v>
      </c>
      <c r="Q4734">
        <v>4.6603968021264201E-2</v>
      </c>
      <c r="R4734">
        <v>0.98305199294971202</v>
      </c>
      <c r="S4734" t="s">
        <v>11380</v>
      </c>
      <c r="T4734" t="s">
        <v>13290</v>
      </c>
      <c r="U4734" t="s">
        <v>13290</v>
      </c>
      <c r="V4734" t="s">
        <v>13290</v>
      </c>
      <c r="W4734" t="s">
        <v>17976</v>
      </c>
      <c r="X4734">
        <v>11</v>
      </c>
      <c r="Y4734" t="s">
        <v>24460</v>
      </c>
      <c r="Z4734" t="s">
        <v>31064</v>
      </c>
      <c r="AA4734">
        <v>0.51365101884630315</v>
      </c>
      <c r="AB4734" t="str">
        <f>HYPERLINK("Melting_Curves/meltCurve_Q8TCT9_5_HM13.pdf", "Melting_Curves/meltCurve_Q8TCT9_5_HM13.pdf")</f>
        <v>Melting_Curves/meltCurve_Q8TCT9_5_HM13.pdf</v>
      </c>
    </row>
    <row r="4735" spans="1:28" x14ac:dyDescent="0.25">
      <c r="A4735" t="s">
        <v>4739</v>
      </c>
      <c r="B4735">
        <v>0.99252571173614901</v>
      </c>
      <c r="C4735">
        <v>0.99854476167737105</v>
      </c>
      <c r="D4735">
        <v>0.77216593432726099</v>
      </c>
      <c r="E4735">
        <v>0.49771739846020702</v>
      </c>
      <c r="F4735">
        <v>0.19684622081995501</v>
      </c>
      <c r="G4735">
        <v>7.9094331918178204E-2</v>
      </c>
      <c r="H4735">
        <v>6.0396439907523303E-2</v>
      </c>
      <c r="I4735">
        <v>5.2559973304001001E-2</v>
      </c>
      <c r="J4735">
        <v>6.5631946751669196E-2</v>
      </c>
      <c r="K4735">
        <v>7.4794539164607599E-2</v>
      </c>
      <c r="L4735">
        <v>1039.8750960500499</v>
      </c>
      <c r="M4735">
        <v>21.202509670645</v>
      </c>
      <c r="N4735">
        <v>49.300716409637303</v>
      </c>
      <c r="O4735">
        <v>48.614878651275703</v>
      </c>
      <c r="P4735">
        <v>-0.10335621884433301</v>
      </c>
      <c r="Q4735">
        <v>5.2089612332073099E-2</v>
      </c>
      <c r="R4735">
        <v>0.99627963532863995</v>
      </c>
      <c r="S4735" t="s">
        <v>11381</v>
      </c>
      <c r="T4735" t="s">
        <v>13290</v>
      </c>
      <c r="U4735" t="s">
        <v>13290</v>
      </c>
      <c r="V4735" t="s">
        <v>13290</v>
      </c>
      <c r="W4735" t="s">
        <v>17977</v>
      </c>
      <c r="X4735">
        <v>1</v>
      </c>
      <c r="Y4735" t="s">
        <v>24461</v>
      </c>
      <c r="Z4735" t="s">
        <v>31065</v>
      </c>
      <c r="AA4735">
        <v>0.34966623578124312</v>
      </c>
      <c r="AB4735" t="str">
        <f>HYPERLINK("Melting_Curves/meltCurve_Q8TCX1_5_DYNC2LI1.pdf", "Melting_Curves/meltCurve_Q8TCX1_5_DYNC2LI1.pdf")</f>
        <v>Melting_Curves/meltCurve_Q8TCX1_5_DYNC2LI1.pdf</v>
      </c>
    </row>
    <row r="4736" spans="1:28" x14ac:dyDescent="0.25">
      <c r="A4736" t="s">
        <v>4740</v>
      </c>
      <c r="B4736">
        <v>0.99252571173614901</v>
      </c>
      <c r="C4736">
        <v>1.1161290347407999</v>
      </c>
      <c r="D4736">
        <v>1.1754847363654399</v>
      </c>
      <c r="E4736">
        <v>3.6165544322934799</v>
      </c>
      <c r="F4736">
        <v>1.1968848914103101</v>
      </c>
      <c r="G4736">
        <v>1.0976013367783899</v>
      </c>
      <c r="H4736">
        <v>1.12072267076415</v>
      </c>
      <c r="I4736">
        <v>1.04895046258488</v>
      </c>
      <c r="J4736">
        <v>0.33136895351104201</v>
      </c>
      <c r="K4736">
        <v>0.28768989893004498</v>
      </c>
      <c r="L4736">
        <v>15000</v>
      </c>
      <c r="M4736">
        <v>226.26397269941901</v>
      </c>
      <c r="N4736">
        <v>66.545857144527602</v>
      </c>
      <c r="O4736">
        <v>66.289090965523101</v>
      </c>
      <c r="P4736">
        <v>-0.60802487190190202</v>
      </c>
      <c r="Q4736">
        <v>0.287462296771413</v>
      </c>
      <c r="R4736">
        <v>7.4611554312103395E-2</v>
      </c>
      <c r="S4736" t="s">
        <v>11382</v>
      </c>
      <c r="T4736" t="s">
        <v>13290</v>
      </c>
      <c r="U4736" t="s">
        <v>13290</v>
      </c>
      <c r="V4736" t="s">
        <v>13290</v>
      </c>
      <c r="W4736" t="s">
        <v>17978</v>
      </c>
      <c r="X4736">
        <v>1</v>
      </c>
      <c r="Y4736" t="s">
        <v>24462</v>
      </c>
      <c r="Z4736" t="s">
        <v>31066</v>
      </c>
      <c r="AA4736">
        <v>0.91208490288977295</v>
      </c>
      <c r="AB4736" t="str">
        <f>HYPERLINK("Melting_Curves/meltCurve_Q8TCX5_2_RHPN1.pdf", "Melting_Curves/meltCurve_Q8TCX5_2_RHPN1.pdf")</f>
        <v>Melting_Curves/meltCurve_Q8TCX5_2_RHPN1.pdf</v>
      </c>
    </row>
    <row r="4737" spans="1:28" x14ac:dyDescent="0.25">
      <c r="A4737" t="s">
        <v>4741</v>
      </c>
      <c r="B4737">
        <v>0.99252571173614901</v>
      </c>
      <c r="C4737">
        <v>0.85663729914395503</v>
      </c>
      <c r="D4737">
        <v>0.899384472675962</v>
      </c>
      <c r="E4737">
        <v>0.60943197679398198</v>
      </c>
      <c r="F4737">
        <v>0.160196149185065</v>
      </c>
      <c r="G4737">
        <v>7.6266145577307695E-2</v>
      </c>
      <c r="H4737">
        <v>3.9052205507490501E-2</v>
      </c>
      <c r="I4737">
        <v>4.3493028110207103E-2</v>
      </c>
      <c r="J4737">
        <v>3.5649835298140697E-2</v>
      </c>
      <c r="K4737">
        <v>3.7802720214969103E-2</v>
      </c>
      <c r="L4737">
        <v>1334.59771624223</v>
      </c>
      <c r="M4737">
        <v>26.655675705926399</v>
      </c>
      <c r="N4737">
        <v>50.191796316294301</v>
      </c>
      <c r="O4737">
        <v>49.788800702617301</v>
      </c>
      <c r="P4737">
        <v>-0.129588491195056</v>
      </c>
      <c r="Q4737">
        <v>3.1802679327903698E-2</v>
      </c>
      <c r="R4737">
        <v>0.98659295206829101</v>
      </c>
      <c r="S4737" t="s">
        <v>11383</v>
      </c>
      <c r="T4737" t="s">
        <v>13290</v>
      </c>
      <c r="U4737" t="s">
        <v>13290</v>
      </c>
      <c r="V4737" t="s">
        <v>13290</v>
      </c>
      <c r="W4737" t="s">
        <v>17979</v>
      </c>
      <c r="X4737">
        <v>1</v>
      </c>
      <c r="Y4737" t="s">
        <v>24463</v>
      </c>
      <c r="Z4737" t="s">
        <v>31067</v>
      </c>
      <c r="AA4737">
        <v>0.36434266014856531</v>
      </c>
      <c r="AB4737" t="str">
        <f>HYPERLINK("Melting_Curves/meltCurve_Q8TCY9_3_URGCP.pdf", "Melting_Curves/meltCurve_Q8TCY9_3_URGCP.pdf")</f>
        <v>Melting_Curves/meltCurve_Q8TCY9_3_URGCP.pdf</v>
      </c>
    </row>
    <row r="4738" spans="1:28" x14ac:dyDescent="0.25">
      <c r="A4738" t="s">
        <v>4742</v>
      </c>
      <c r="B4738">
        <v>0.99252571173614901</v>
      </c>
      <c r="C4738">
        <v>0.91052403506601198</v>
      </c>
      <c r="D4738">
        <v>0.79189851875909401</v>
      </c>
      <c r="E4738">
        <v>0.52731011075944501</v>
      </c>
      <c r="F4738">
        <v>0.35247048215283</v>
      </c>
      <c r="G4738">
        <v>0.33707243106169898</v>
      </c>
      <c r="H4738">
        <v>0.23678340155114699</v>
      </c>
      <c r="I4738">
        <v>0.33737582234354901</v>
      </c>
      <c r="J4738">
        <v>0.63683920173095199</v>
      </c>
      <c r="K4738">
        <v>0.59453499010458399</v>
      </c>
      <c r="L4738">
        <v>1375.2934480885899</v>
      </c>
      <c r="M4738">
        <v>29.410721355190802</v>
      </c>
      <c r="N4738">
        <v>49.781795154554601</v>
      </c>
      <c r="O4738">
        <v>46.547046733635902</v>
      </c>
      <c r="P4738">
        <v>-9.2244159730276595E-2</v>
      </c>
      <c r="Q4738">
        <v>0.41604112262175402</v>
      </c>
      <c r="R4738">
        <v>0.78057215170791305</v>
      </c>
      <c r="S4738" t="s">
        <v>11384</v>
      </c>
      <c r="T4738" t="s">
        <v>13290</v>
      </c>
      <c r="U4738" t="s">
        <v>13290</v>
      </c>
      <c r="V4738" t="s">
        <v>13290</v>
      </c>
      <c r="W4738" t="s">
        <v>17980</v>
      </c>
      <c r="X4738">
        <v>1</v>
      </c>
      <c r="Y4738" t="s">
        <v>24464</v>
      </c>
      <c r="Z4738" t="s">
        <v>31068</v>
      </c>
      <c r="AA4738">
        <v>0.55132130309940108</v>
      </c>
      <c r="AB4738" t="str">
        <f>HYPERLINK("Melting_Curves/meltCurve_Q8TCZ2_6_CD99L2.pdf", "Melting_Curves/meltCurve_Q8TCZ2_6_CD99L2.pdf")</f>
        <v>Melting_Curves/meltCurve_Q8TCZ2_6_CD99L2.pdf</v>
      </c>
    </row>
    <row r="4739" spans="1:28" x14ac:dyDescent="0.25">
      <c r="A4739" t="s">
        <v>4743</v>
      </c>
      <c r="B4739">
        <v>0.99252571173614901</v>
      </c>
      <c r="C4739">
        <v>0.95709027021484505</v>
      </c>
      <c r="D4739">
        <v>0.82714245792590002</v>
      </c>
      <c r="E4739">
        <v>0.306407861651528</v>
      </c>
      <c r="F4739">
        <v>0.13944630132680699</v>
      </c>
      <c r="G4739">
        <v>7.9447574177451796E-2</v>
      </c>
      <c r="H4739">
        <v>6.5962373474569999E-2</v>
      </c>
      <c r="I4739">
        <v>6.4938288192268101E-2</v>
      </c>
      <c r="J4739">
        <v>7.4243684179483099E-2</v>
      </c>
      <c r="K4739">
        <v>7.1028025358429406E-2</v>
      </c>
      <c r="L4739">
        <v>1525.97088688998</v>
      </c>
      <c r="M4739">
        <v>31.782939683335801</v>
      </c>
      <c r="N4739">
        <v>48.2519373580242</v>
      </c>
      <c r="O4739">
        <v>47.8233899343874</v>
      </c>
      <c r="P4739">
        <v>-0.154017117410292</v>
      </c>
      <c r="Q4739">
        <v>7.3014298795819804E-2</v>
      </c>
      <c r="R4739">
        <v>0.99883398823476299</v>
      </c>
      <c r="S4739" t="s">
        <v>11385</v>
      </c>
      <c r="T4739" t="s">
        <v>13290</v>
      </c>
      <c r="U4739" t="s">
        <v>13290</v>
      </c>
      <c r="V4739" t="s">
        <v>13290</v>
      </c>
      <c r="W4739" t="s">
        <v>17981</v>
      </c>
      <c r="X4739">
        <v>14</v>
      </c>
      <c r="Y4739" t="s">
        <v>24465</v>
      </c>
      <c r="Z4739" t="s">
        <v>31069</v>
      </c>
      <c r="AA4739">
        <v>0.32553717565001022</v>
      </c>
      <c r="AB4739" t="str">
        <f>HYPERLINK("Melting_Curves/meltCurve_Q8TD16_BICD2.pdf", "Melting_Curves/meltCurve_Q8TD16_BICD2.pdf")</f>
        <v>Melting_Curves/meltCurve_Q8TD16_BICD2.pdf</v>
      </c>
    </row>
    <row r="4740" spans="1:28" x14ac:dyDescent="0.25">
      <c r="A4740" t="s">
        <v>4744</v>
      </c>
      <c r="B4740">
        <v>0.99252571173614901</v>
      </c>
      <c r="C4740">
        <v>0.93745698210774697</v>
      </c>
      <c r="D4740">
        <v>0.98736718395627698</v>
      </c>
      <c r="E4740">
        <v>0.75695111679861804</v>
      </c>
      <c r="F4740">
        <v>0.218075195946207</v>
      </c>
      <c r="G4740">
        <v>0.11532603409898699</v>
      </c>
      <c r="H4740">
        <v>8.0455606723942905E-2</v>
      </c>
      <c r="I4740">
        <v>9.7448188983216694E-2</v>
      </c>
      <c r="J4740">
        <v>0.12633601078482301</v>
      </c>
      <c r="K4740">
        <v>0.11465083701381901</v>
      </c>
      <c r="L4740">
        <v>2134.4668498599599</v>
      </c>
      <c r="M4740">
        <v>42.048847775886003</v>
      </c>
      <c r="N4740">
        <v>51.0464633519112</v>
      </c>
      <c r="O4740">
        <v>50.647198541685</v>
      </c>
      <c r="P4740">
        <v>-0.18585177176533799</v>
      </c>
      <c r="Q4740">
        <v>0.10457905128006099</v>
      </c>
      <c r="R4740">
        <v>0.99668224482271195</v>
      </c>
      <c r="S4740" t="s">
        <v>11386</v>
      </c>
      <c r="T4740" t="s">
        <v>13290</v>
      </c>
      <c r="U4740" t="s">
        <v>13290</v>
      </c>
      <c r="V4740" t="s">
        <v>13290</v>
      </c>
      <c r="W4740" t="s">
        <v>17982</v>
      </c>
      <c r="X4740">
        <v>13</v>
      </c>
      <c r="Y4740" t="s">
        <v>24466</v>
      </c>
      <c r="Z4740" t="s">
        <v>31070</v>
      </c>
      <c r="AA4740">
        <v>0.42862559553223889</v>
      </c>
      <c r="AB4740" t="str">
        <f>HYPERLINK("Melting_Curves/meltCurve_Q8TD19_NEK9.pdf", "Melting_Curves/meltCurve_Q8TD19_NEK9.pdf")</f>
        <v>Melting_Curves/meltCurve_Q8TD19_NEK9.pdf</v>
      </c>
    </row>
    <row r="4741" spans="1:28" x14ac:dyDescent="0.25">
      <c r="A4741" t="s">
        <v>4745</v>
      </c>
      <c r="B4741">
        <v>0.99252571173614901</v>
      </c>
      <c r="C4741">
        <v>0.97881297499686803</v>
      </c>
      <c r="D4741">
        <v>0.86568112037309197</v>
      </c>
      <c r="E4741">
        <v>0.43496194992860598</v>
      </c>
      <c r="F4741">
        <v>0.216017611062231</v>
      </c>
      <c r="G4741">
        <v>0.123458698557461</v>
      </c>
      <c r="H4741">
        <v>8.3098581124735907E-2</v>
      </c>
      <c r="I4741">
        <v>7.9689096206206206E-2</v>
      </c>
      <c r="J4741">
        <v>8.1971235898529504E-2</v>
      </c>
      <c r="K4741">
        <v>8.5572090959209701E-2</v>
      </c>
      <c r="L4741">
        <v>1256.1167332869099</v>
      </c>
      <c r="M4741">
        <v>25.701601658270601</v>
      </c>
      <c r="N4741">
        <v>49.238833229050002</v>
      </c>
      <c r="O4741">
        <v>48.580100050272002</v>
      </c>
      <c r="P4741">
        <v>-0.120772313691154</v>
      </c>
      <c r="Q4741">
        <v>8.6895751842259894E-2</v>
      </c>
      <c r="R4741">
        <v>0.99851579691260495</v>
      </c>
      <c r="S4741" t="s">
        <v>11387</v>
      </c>
      <c r="T4741" t="s">
        <v>13290</v>
      </c>
      <c r="U4741" t="s">
        <v>13290</v>
      </c>
      <c r="V4741" t="s">
        <v>13290</v>
      </c>
      <c r="W4741" t="s">
        <v>17983</v>
      </c>
      <c r="X4741">
        <v>26</v>
      </c>
      <c r="Y4741" t="s">
        <v>24467</v>
      </c>
      <c r="Z4741" t="s">
        <v>31071</v>
      </c>
      <c r="AA4741">
        <v>0.36459992356138549</v>
      </c>
      <c r="AB4741" t="str">
        <f>HYPERLINK("Melting_Curves/meltCurve_Q8TD30_GPT2.pdf", "Melting_Curves/meltCurve_Q8TD30_GPT2.pdf")</f>
        <v>Melting_Curves/meltCurve_Q8TD30_GPT2.pdf</v>
      </c>
    </row>
    <row r="4742" spans="1:28" x14ac:dyDescent="0.25">
      <c r="A4742" t="s">
        <v>4746</v>
      </c>
      <c r="B4742">
        <v>0.99252571173614901</v>
      </c>
      <c r="C4742">
        <v>0.81075816515874899</v>
      </c>
      <c r="D4742">
        <v>0.69486732451766997</v>
      </c>
      <c r="E4742">
        <v>0.47681592993064698</v>
      </c>
      <c r="F4742">
        <v>0.25177300107254902</v>
      </c>
      <c r="G4742">
        <v>0.21936303636604601</v>
      </c>
      <c r="H4742">
        <v>0.171255166513443</v>
      </c>
      <c r="I4742">
        <v>0.32001763890129997</v>
      </c>
      <c r="J4742">
        <v>0.31328995682288802</v>
      </c>
      <c r="K4742">
        <v>0.135991847487936</v>
      </c>
      <c r="L4742">
        <v>807.01594885378404</v>
      </c>
      <c r="M4742">
        <v>17.207823663550901</v>
      </c>
      <c r="N4742">
        <v>48.485339600807002</v>
      </c>
      <c r="O4742">
        <v>46.278554454201398</v>
      </c>
      <c r="P4742">
        <v>-7.2945241605529398E-2</v>
      </c>
      <c r="Q4742">
        <v>0.215332933434983</v>
      </c>
      <c r="R4742">
        <v>0.95076686748371497</v>
      </c>
      <c r="S4742" t="s">
        <v>11388</v>
      </c>
      <c r="T4742" t="s">
        <v>13290</v>
      </c>
      <c r="U4742" t="s">
        <v>13290</v>
      </c>
      <c r="V4742" t="s">
        <v>13290</v>
      </c>
      <c r="W4742" t="s">
        <v>17984</v>
      </c>
      <c r="X4742">
        <v>3</v>
      </c>
      <c r="Y4742" t="s">
        <v>24468</v>
      </c>
      <c r="Z4742" t="s">
        <v>31072</v>
      </c>
      <c r="AA4742">
        <v>0.41180556586716882</v>
      </c>
      <c r="AB4742" t="str">
        <f>HYPERLINK("Melting_Curves/meltCurve_Q8TDB6_DTX3L.pdf", "Melting_Curves/meltCurve_Q8TDB6_DTX3L.pdf")</f>
        <v>Melting_Curves/meltCurve_Q8TDB6_DTX3L.pdf</v>
      </c>
    </row>
    <row r="4743" spans="1:28" x14ac:dyDescent="0.25">
      <c r="A4743" t="s">
        <v>4747</v>
      </c>
      <c r="B4743">
        <v>0.99252571173614901</v>
      </c>
      <c r="C4743">
        <v>1.0512264185895801</v>
      </c>
      <c r="D4743">
        <v>0.97080776343522202</v>
      </c>
      <c r="E4743">
        <v>0.52963987010926405</v>
      </c>
      <c r="F4743">
        <v>0.32401735510819002</v>
      </c>
      <c r="G4743">
        <v>0.16867854486700801</v>
      </c>
      <c r="H4743">
        <v>0.149282276045764</v>
      </c>
      <c r="I4743">
        <v>0.14094267055971599</v>
      </c>
      <c r="J4743">
        <v>0.13361178195753101</v>
      </c>
      <c r="K4743">
        <v>0.16304867169413001</v>
      </c>
      <c r="L4743">
        <v>1427.0408559150501</v>
      </c>
      <c r="M4743">
        <v>28.767808068464099</v>
      </c>
      <c r="N4743">
        <v>50.244826713345603</v>
      </c>
      <c r="O4743">
        <v>49.367631651590401</v>
      </c>
      <c r="P4743">
        <v>-0.123353905582495</v>
      </c>
      <c r="Q4743">
        <v>0.15326975689429601</v>
      </c>
      <c r="R4743">
        <v>0.99026753154561098</v>
      </c>
      <c r="S4743" t="s">
        <v>11389</v>
      </c>
      <c r="T4743" t="s">
        <v>13290</v>
      </c>
      <c r="U4743" t="s">
        <v>13290</v>
      </c>
      <c r="V4743" t="s">
        <v>13290</v>
      </c>
      <c r="W4743" t="s">
        <v>17985</v>
      </c>
      <c r="X4743">
        <v>4</v>
      </c>
      <c r="Y4743" t="s">
        <v>24469</v>
      </c>
      <c r="Z4743" t="s">
        <v>31073</v>
      </c>
      <c r="AA4743">
        <v>0.43004561356788751</v>
      </c>
      <c r="AB4743" t="str">
        <f>HYPERLINK("Melting_Curves/meltCurve_Q8TDD1_2_DDX54.pdf", "Melting_Curves/meltCurve_Q8TDD1_2_DDX54.pdf")</f>
        <v>Melting_Curves/meltCurve_Q8TDD1_2_DDX54.pdf</v>
      </c>
    </row>
    <row r="4744" spans="1:28" x14ac:dyDescent="0.25">
      <c r="A4744" t="s">
        <v>4748</v>
      </c>
      <c r="B4744">
        <v>0.99252571173614901</v>
      </c>
      <c r="C4744">
        <v>1.09906726813832</v>
      </c>
      <c r="D4744">
        <v>0.97800148280213095</v>
      </c>
      <c r="E4744">
        <v>1.0206749219376401</v>
      </c>
      <c r="F4744">
        <v>0.70163284825031202</v>
      </c>
      <c r="G4744">
        <v>0.48544399941417199</v>
      </c>
      <c r="H4744">
        <v>0.26728724382101199</v>
      </c>
      <c r="I4744">
        <v>0.26097801390931402</v>
      </c>
      <c r="J4744">
        <v>0.35991864064116402</v>
      </c>
      <c r="K4744">
        <v>0.55721316723644498</v>
      </c>
      <c r="L4744">
        <v>2077.4217300241999</v>
      </c>
      <c r="M4744">
        <v>38.799930387331798</v>
      </c>
      <c r="N4744">
        <v>55.467982889792601</v>
      </c>
      <c r="O4744">
        <v>53.400265338331401</v>
      </c>
      <c r="P4744">
        <v>-0.114432358908264</v>
      </c>
      <c r="Q4744">
        <v>0.37002947858288898</v>
      </c>
      <c r="R4744">
        <v>0.92325091187100905</v>
      </c>
      <c r="S4744" t="s">
        <v>11390</v>
      </c>
      <c r="T4744" t="s">
        <v>13290</v>
      </c>
      <c r="U4744" t="s">
        <v>13290</v>
      </c>
      <c r="V4744" t="s">
        <v>13290</v>
      </c>
      <c r="W4744" t="s">
        <v>17986</v>
      </c>
      <c r="X4744">
        <v>6</v>
      </c>
      <c r="Y4744" t="s">
        <v>24470</v>
      </c>
      <c r="Z4744" t="s">
        <v>31074</v>
      </c>
      <c r="AA4744">
        <v>0.65687020699870735</v>
      </c>
      <c r="AB4744" t="str">
        <f>HYPERLINK("Melting_Curves/meltCurve_Q8TDH9_BLOC1S5.pdf", "Melting_Curves/meltCurve_Q8TDH9_BLOC1S5.pdf")</f>
        <v>Melting_Curves/meltCurve_Q8TDH9_BLOC1S5.pdf</v>
      </c>
    </row>
    <row r="4745" spans="1:28" x14ac:dyDescent="0.25">
      <c r="A4745" t="s">
        <v>4749</v>
      </c>
      <c r="B4745">
        <v>0.99252571173614901</v>
      </c>
      <c r="C4745">
        <v>0.963116813771979</v>
      </c>
      <c r="D4745">
        <v>0.92194809442090397</v>
      </c>
      <c r="E4745">
        <v>0.830325260724601</v>
      </c>
      <c r="F4745">
        <v>0.88591730231862897</v>
      </c>
      <c r="G4745">
        <v>0.77633593617676899</v>
      </c>
      <c r="H4745">
        <v>0.99918830971682804</v>
      </c>
      <c r="I4745">
        <v>0.96849742956478602</v>
      </c>
      <c r="J4745">
        <v>1.1123882077734999</v>
      </c>
      <c r="K4745">
        <v>0.673706659894171</v>
      </c>
      <c r="L4745">
        <v>1621.00296358686</v>
      </c>
      <c r="M4745">
        <v>37.0303964257646</v>
      </c>
      <c r="O4745">
        <v>43.647852832384103</v>
      </c>
      <c r="P4745">
        <v>-2.2548274145709601E-2</v>
      </c>
      <c r="Q4745">
        <v>0.89368939369823797</v>
      </c>
      <c r="R4745">
        <v>8.0669240267159506E-2</v>
      </c>
      <c r="S4745" t="s">
        <v>11391</v>
      </c>
      <c r="T4745" t="s">
        <v>13290</v>
      </c>
      <c r="U4745" t="s">
        <v>13290</v>
      </c>
      <c r="V4745" t="s">
        <v>13290</v>
      </c>
      <c r="W4745" t="s">
        <v>17987</v>
      </c>
      <c r="X4745">
        <v>14</v>
      </c>
      <c r="Y4745" t="s">
        <v>24471</v>
      </c>
      <c r="Z4745" t="s">
        <v>31075</v>
      </c>
      <c r="AA4745">
        <v>0.90754231663347407</v>
      </c>
      <c r="AB4745" t="str">
        <f>HYPERLINK("Melting_Curves/meltCurve_Q8TDQ7_GNPDA2.pdf", "Melting_Curves/meltCurve_Q8TDQ7_GNPDA2.pdf")</f>
        <v>Melting_Curves/meltCurve_Q8TDQ7_GNPDA2.pdf</v>
      </c>
    </row>
    <row r="4746" spans="1:28" x14ac:dyDescent="0.25">
      <c r="A4746" t="s">
        <v>4750</v>
      </c>
      <c r="B4746">
        <v>0.99252571173614901</v>
      </c>
      <c r="C4746">
        <v>1.0056105192218601</v>
      </c>
      <c r="D4746">
        <v>0.80211680939720997</v>
      </c>
      <c r="E4746">
        <v>0.55095966538278096</v>
      </c>
      <c r="F4746">
        <v>0.32610643495243302</v>
      </c>
      <c r="G4746">
        <v>0.159400119474994</v>
      </c>
      <c r="H4746">
        <v>7.4374609706592903E-2</v>
      </c>
      <c r="I4746">
        <v>6.1890619973885702E-2</v>
      </c>
      <c r="J4746">
        <v>4.6780355844830701E-2</v>
      </c>
      <c r="K4746">
        <v>5.02098755958666E-2</v>
      </c>
      <c r="L4746">
        <v>839.29829468374396</v>
      </c>
      <c r="M4746">
        <v>16.727683946130199</v>
      </c>
      <c r="N4746">
        <v>50.404671322423503</v>
      </c>
      <c r="O4746">
        <v>49.473589863493601</v>
      </c>
      <c r="P4746">
        <v>-8.1421726540741396E-2</v>
      </c>
      <c r="Q4746">
        <v>3.6815813060885903E-2</v>
      </c>
      <c r="R4746">
        <v>0.99655194472183295</v>
      </c>
      <c r="S4746" t="s">
        <v>11392</v>
      </c>
      <c r="T4746" t="s">
        <v>13290</v>
      </c>
      <c r="U4746" t="s">
        <v>13290</v>
      </c>
      <c r="V4746" t="s">
        <v>13290</v>
      </c>
      <c r="W4746" t="s">
        <v>17988</v>
      </c>
      <c r="X4746">
        <v>1</v>
      </c>
      <c r="Y4746" t="s">
        <v>24472</v>
      </c>
      <c r="Z4746" t="s">
        <v>31076</v>
      </c>
      <c r="AA4746">
        <v>0.38225268639692511</v>
      </c>
      <c r="AB4746" t="str">
        <f>HYPERLINK("Melting_Curves/meltCurve_Q8TDR2_STK35.pdf", "Melting_Curves/meltCurve_Q8TDR2_STK35.pdf")</f>
        <v>Melting_Curves/meltCurve_Q8TDR2_STK35.pdf</v>
      </c>
    </row>
    <row r="4747" spans="1:28" x14ac:dyDescent="0.25">
      <c r="A4747" t="s">
        <v>4751</v>
      </c>
      <c r="B4747">
        <v>0.99252571173614901</v>
      </c>
      <c r="C4747">
        <v>0.97417300642961302</v>
      </c>
      <c r="D4747">
        <v>0.50650251001223501</v>
      </c>
      <c r="E4747">
        <v>0.275733864448717</v>
      </c>
      <c r="F4747">
        <v>0.18196198236779801</v>
      </c>
      <c r="G4747">
        <v>0.106056654818578</v>
      </c>
      <c r="H4747">
        <v>8.6028357032040606E-2</v>
      </c>
      <c r="I4747">
        <v>9.9380677933236197E-2</v>
      </c>
      <c r="J4747">
        <v>0.147283508177386</v>
      </c>
      <c r="K4747">
        <v>0.19138529515352801</v>
      </c>
      <c r="L4747">
        <v>1470.0269124132999</v>
      </c>
      <c r="M4747">
        <v>32.0589829143061</v>
      </c>
      <c r="N4747">
        <v>46.330659681038902</v>
      </c>
      <c r="O4747">
        <v>45.676519514491197</v>
      </c>
      <c r="P4747">
        <v>-0.150811946596102</v>
      </c>
      <c r="Q4747">
        <v>0.14051802924985601</v>
      </c>
      <c r="R4747">
        <v>0.982884428207766</v>
      </c>
      <c r="S4747" t="s">
        <v>11393</v>
      </c>
      <c r="T4747" t="s">
        <v>13290</v>
      </c>
      <c r="U4747" t="s">
        <v>13290</v>
      </c>
      <c r="V4747" t="s">
        <v>13290</v>
      </c>
      <c r="W4747" t="s">
        <v>17989</v>
      </c>
      <c r="X4747">
        <v>3</v>
      </c>
      <c r="Y4747" t="s">
        <v>24473</v>
      </c>
      <c r="Z4747" t="s">
        <v>31077</v>
      </c>
      <c r="AA4747">
        <v>0.31275854204160219</v>
      </c>
      <c r="AB4747" t="str">
        <f>HYPERLINK("Melting_Curves/meltCurve_Q8TDX7_NEK7.pdf", "Melting_Curves/meltCurve_Q8TDX7_NEK7.pdf")</f>
        <v>Melting_Curves/meltCurve_Q8TDX7_NEK7.pdf</v>
      </c>
    </row>
    <row r="4748" spans="1:28" x14ac:dyDescent="0.25">
      <c r="A4748" t="s">
        <v>4752</v>
      </c>
      <c r="B4748">
        <v>0.99252571173614901</v>
      </c>
      <c r="C4748">
        <v>0.82903404226823396</v>
      </c>
      <c r="D4748">
        <v>0.62853048689917501</v>
      </c>
      <c r="E4748">
        <v>0.31825981588759999</v>
      </c>
      <c r="F4748">
        <v>0.13689338023853501</v>
      </c>
      <c r="G4748">
        <v>7.0045537759761994E-2</v>
      </c>
      <c r="H4748">
        <v>5.4053765491768498E-2</v>
      </c>
      <c r="I4748">
        <v>5.2597734109184599E-2</v>
      </c>
      <c r="J4748">
        <v>7.4781371828774798E-2</v>
      </c>
      <c r="K4748">
        <v>8.6572303319793306E-2</v>
      </c>
      <c r="L4748">
        <v>882.183815244877</v>
      </c>
      <c r="M4748">
        <v>18.798081504458001</v>
      </c>
      <c r="N4748">
        <v>47.226208720764603</v>
      </c>
      <c r="O4748">
        <v>46.408044327384403</v>
      </c>
      <c r="P4748">
        <v>-9.5628222849212102E-2</v>
      </c>
      <c r="Q4748">
        <v>5.5704853004021802E-2</v>
      </c>
      <c r="R4748">
        <v>0.99651047698559503</v>
      </c>
      <c r="S4748" t="s">
        <v>11394</v>
      </c>
      <c r="T4748" t="s">
        <v>13290</v>
      </c>
      <c r="U4748" t="s">
        <v>13290</v>
      </c>
      <c r="V4748" t="s">
        <v>13290</v>
      </c>
      <c r="W4748" t="s">
        <v>17990</v>
      </c>
      <c r="X4748">
        <v>6</v>
      </c>
      <c r="Y4748" t="s">
        <v>24474</v>
      </c>
      <c r="Z4748" t="s">
        <v>31078</v>
      </c>
      <c r="AA4748">
        <v>0.28971807723908749</v>
      </c>
      <c r="AB4748" t="str">
        <f>HYPERLINK("Melting_Curves/meltCurve_Q8TDY2_2_RB1CC1.pdf", "Melting_Curves/meltCurve_Q8TDY2_2_RB1CC1.pdf")</f>
        <v>Melting_Curves/meltCurve_Q8TDY2_2_RB1CC1.pdf</v>
      </c>
    </row>
    <row r="4749" spans="1:28" x14ac:dyDescent="0.25">
      <c r="A4749" t="s">
        <v>4753</v>
      </c>
      <c r="B4749">
        <v>0.99252571173614901</v>
      </c>
      <c r="C4749">
        <v>0.7483158507655</v>
      </c>
      <c r="D4749">
        <v>0.35040188553308299</v>
      </c>
      <c r="E4749">
        <v>0.18541674043006701</v>
      </c>
      <c r="F4749">
        <v>8.1373850849222704E-2</v>
      </c>
      <c r="G4749">
        <v>3.6785102688450103E-2</v>
      </c>
      <c r="H4749">
        <v>2.8371948085732401E-2</v>
      </c>
      <c r="I4749">
        <v>3.4435860122556797E-2</v>
      </c>
      <c r="J4749">
        <v>4.1655052624981898E-2</v>
      </c>
      <c r="K4749">
        <v>5.3205330469224897E-2</v>
      </c>
      <c r="L4749">
        <v>1059.4978538727</v>
      </c>
      <c r="M4749">
        <v>23.656851451410599</v>
      </c>
      <c r="N4749">
        <v>44.968840382908503</v>
      </c>
      <c r="O4749">
        <v>44.469748972688201</v>
      </c>
      <c r="P4749">
        <v>-0.12690048828457501</v>
      </c>
      <c r="Q4749">
        <v>4.5834435634634602E-2</v>
      </c>
      <c r="R4749">
        <v>0.99376699436655502</v>
      </c>
      <c r="S4749" t="s">
        <v>11395</v>
      </c>
      <c r="T4749" t="s">
        <v>13290</v>
      </c>
      <c r="U4749" t="s">
        <v>13290</v>
      </c>
      <c r="V4749" t="s">
        <v>13290</v>
      </c>
      <c r="W4749" t="s">
        <v>17991</v>
      </c>
      <c r="X4749">
        <v>3</v>
      </c>
      <c r="Y4749" t="s">
        <v>24475</v>
      </c>
      <c r="Z4749" t="s">
        <v>31079</v>
      </c>
      <c r="AA4749">
        <v>0.20917999984492011</v>
      </c>
      <c r="AB4749" t="str">
        <f>HYPERLINK("Melting_Curves/meltCurve_Q8TDZ2_MICAL1.pdf", "Melting_Curves/meltCurve_Q8TDZ2_MICAL1.pdf")</f>
        <v>Melting_Curves/meltCurve_Q8TDZ2_MICAL1.pdf</v>
      </c>
    </row>
    <row r="4750" spans="1:28" x14ac:dyDescent="0.25">
      <c r="A4750" t="s">
        <v>4754</v>
      </c>
      <c r="B4750">
        <v>0.99252571173614901</v>
      </c>
      <c r="C4750">
        <v>1.1124145139485</v>
      </c>
      <c r="D4750">
        <v>0.99157441645236599</v>
      </c>
      <c r="E4750">
        <v>0.87281447336420903</v>
      </c>
      <c r="F4750">
        <v>0.236713424235172</v>
      </c>
      <c r="G4750">
        <v>0.127477309827249</v>
      </c>
      <c r="H4750">
        <v>9.9377405420850898E-2</v>
      </c>
      <c r="I4750">
        <v>0.130466765704815</v>
      </c>
      <c r="J4750">
        <v>8.1020671209817804E-2</v>
      </c>
      <c r="K4750">
        <v>6.5134718095486904E-2</v>
      </c>
      <c r="L4750">
        <v>2550.2913095884701</v>
      </c>
      <c r="M4750">
        <v>49.624329894650501</v>
      </c>
      <c r="N4750">
        <v>51.620345414556098</v>
      </c>
      <c r="O4750">
        <v>51.308707080849302</v>
      </c>
      <c r="P4750">
        <v>-0.21796110184902601</v>
      </c>
      <c r="Q4750">
        <v>9.8563814389668394E-2</v>
      </c>
      <c r="R4750">
        <v>0.99159667117392403</v>
      </c>
      <c r="S4750" t="s">
        <v>11396</v>
      </c>
      <c r="T4750" t="s">
        <v>13290</v>
      </c>
      <c r="U4750" t="s">
        <v>13290</v>
      </c>
      <c r="V4750" t="s">
        <v>13290</v>
      </c>
      <c r="W4750" t="s">
        <v>17992</v>
      </c>
      <c r="X4750">
        <v>7</v>
      </c>
      <c r="Y4750" t="s">
        <v>24476</v>
      </c>
      <c r="Z4750" t="s">
        <v>31080</v>
      </c>
      <c r="AA4750">
        <v>0.44294243729579302</v>
      </c>
      <c r="AB4750" t="str">
        <f>HYPERLINK("Melting_Curves/meltCurve_Q8TE04_2_PANK1.pdf", "Melting_Curves/meltCurve_Q8TE04_2_PANK1.pdf")</f>
        <v>Melting_Curves/meltCurve_Q8TE04_2_PANK1.pdf</v>
      </c>
    </row>
    <row r="4751" spans="1:28" x14ac:dyDescent="0.25">
      <c r="A4751" t="s">
        <v>4755</v>
      </c>
      <c r="B4751">
        <v>0.99252571173614901</v>
      </c>
      <c r="C4751">
        <v>0.99903785378693599</v>
      </c>
      <c r="D4751">
        <v>0.76526011382687997</v>
      </c>
      <c r="E4751">
        <v>0.25233473537558998</v>
      </c>
      <c r="F4751">
        <v>0.10187712820112201</v>
      </c>
      <c r="G4751">
        <v>6.0005235613198399E-2</v>
      </c>
      <c r="H4751">
        <v>4.7950000483634299E-2</v>
      </c>
      <c r="I4751">
        <v>5.4149505297896701E-2</v>
      </c>
      <c r="J4751">
        <v>7.89008456056257E-2</v>
      </c>
      <c r="K4751">
        <v>6.8834050568270203E-2</v>
      </c>
      <c r="L4751">
        <v>1586.3950763210601</v>
      </c>
      <c r="M4751">
        <v>33.361894805516599</v>
      </c>
      <c r="N4751">
        <v>47.74480625556</v>
      </c>
      <c r="O4751">
        <v>47.381220635932102</v>
      </c>
      <c r="P4751">
        <v>-0.16488716420375801</v>
      </c>
      <c r="Q4751">
        <v>6.3299731094952003E-2</v>
      </c>
      <c r="R4751">
        <v>0.99903969442921403</v>
      </c>
      <c r="S4751" t="s">
        <v>11397</v>
      </c>
      <c r="T4751" t="s">
        <v>13290</v>
      </c>
      <c r="U4751" t="s">
        <v>13290</v>
      </c>
      <c r="V4751" t="s">
        <v>13290</v>
      </c>
      <c r="W4751" t="s">
        <v>17993</v>
      </c>
      <c r="X4751">
        <v>7</v>
      </c>
      <c r="Y4751" t="s">
        <v>24477</v>
      </c>
      <c r="Z4751" t="s">
        <v>31081</v>
      </c>
      <c r="AA4751">
        <v>0.30356794921741159</v>
      </c>
      <c r="AB4751" t="str">
        <f>HYPERLINK("Melting_Curves/meltCurve_Q8TE77_SSH3.pdf", "Melting_Curves/meltCurve_Q8TE77_SSH3.pdf")</f>
        <v>Melting_Curves/meltCurve_Q8TE77_SSH3.pdf</v>
      </c>
    </row>
    <row r="4752" spans="1:28" x14ac:dyDescent="0.25">
      <c r="A4752" t="s">
        <v>4756</v>
      </c>
      <c r="B4752">
        <v>0.99252571173614901</v>
      </c>
      <c r="C4752">
        <v>1.03049414177833</v>
      </c>
      <c r="D4752">
        <v>0.91133563391357997</v>
      </c>
      <c r="E4752">
        <v>0.69211781357540703</v>
      </c>
      <c r="F4752">
        <v>0.38733557941261398</v>
      </c>
      <c r="G4752">
        <v>0.14706800967473699</v>
      </c>
      <c r="H4752">
        <v>8.7392666598079496E-2</v>
      </c>
      <c r="I4752">
        <v>9.5241295812061005E-2</v>
      </c>
      <c r="J4752">
        <v>0.107388258388841</v>
      </c>
      <c r="K4752">
        <v>0.104099952327635</v>
      </c>
      <c r="L4752">
        <v>1144.2819504827501</v>
      </c>
      <c r="M4752">
        <v>22.3534714010942</v>
      </c>
      <c r="N4752">
        <v>51.6221293988051</v>
      </c>
      <c r="O4752">
        <v>50.785939009048803</v>
      </c>
      <c r="P4752">
        <v>-0.10065731007998199</v>
      </c>
      <c r="Q4752">
        <v>8.5266117307023395E-2</v>
      </c>
      <c r="R4752">
        <v>0.99662036255425601</v>
      </c>
      <c r="S4752" t="s">
        <v>11398</v>
      </c>
      <c r="T4752" t="s">
        <v>13290</v>
      </c>
      <c r="U4752" t="s">
        <v>13290</v>
      </c>
      <c r="V4752" t="s">
        <v>13290</v>
      </c>
      <c r="W4752" t="s">
        <v>17994</v>
      </c>
      <c r="X4752">
        <v>18</v>
      </c>
      <c r="Y4752" t="s">
        <v>24478</v>
      </c>
      <c r="Z4752" t="s">
        <v>31082</v>
      </c>
      <c r="AA4752">
        <v>0.43675989117176639</v>
      </c>
      <c r="AB4752" t="str">
        <f>HYPERLINK("Melting_Curves/meltCurve_Q8TEA1_NSUN6.pdf", "Melting_Curves/meltCurve_Q8TEA1_NSUN6.pdf")</f>
        <v>Melting_Curves/meltCurve_Q8TEA1_NSUN6.pdf</v>
      </c>
    </row>
    <row r="4753" spans="1:28" x14ac:dyDescent="0.25">
      <c r="A4753" t="s">
        <v>4757</v>
      </c>
      <c r="B4753">
        <v>0.99252571173614901</v>
      </c>
      <c r="C4753">
        <v>0.76458803179298196</v>
      </c>
      <c r="D4753">
        <v>0.86974429985698198</v>
      </c>
      <c r="E4753">
        <v>0.49969462835014899</v>
      </c>
      <c r="F4753">
        <v>0.175829141706699</v>
      </c>
      <c r="G4753">
        <v>8.7899559918096101E-2</v>
      </c>
      <c r="H4753">
        <v>8.4495303274962394E-2</v>
      </c>
      <c r="I4753">
        <v>7.80352344450084E-2</v>
      </c>
      <c r="J4753">
        <v>9.4474416230045696E-2</v>
      </c>
      <c r="K4753">
        <v>0.12833457006479801</v>
      </c>
      <c r="L4753">
        <v>1032.27932288487</v>
      </c>
      <c r="M4753">
        <v>21.0957785932832</v>
      </c>
      <c r="N4753">
        <v>49.321677950547503</v>
      </c>
      <c r="O4753">
        <v>48.499651583325999</v>
      </c>
      <c r="P4753">
        <v>-0.10041669515091101</v>
      </c>
      <c r="Q4753">
        <v>7.6583903066199693E-2</v>
      </c>
      <c r="R4753">
        <v>0.96203132469513197</v>
      </c>
      <c r="S4753" t="s">
        <v>11399</v>
      </c>
      <c r="T4753" t="s">
        <v>13290</v>
      </c>
      <c r="U4753" t="s">
        <v>13290</v>
      </c>
      <c r="V4753" t="s">
        <v>13290</v>
      </c>
      <c r="W4753" t="s">
        <v>17995</v>
      </c>
      <c r="X4753">
        <v>2</v>
      </c>
      <c r="Y4753" t="s">
        <v>24479</v>
      </c>
      <c r="Z4753" t="s">
        <v>31083</v>
      </c>
      <c r="AA4753">
        <v>0.36315146467911719</v>
      </c>
      <c r="AB4753" t="str">
        <f>HYPERLINK("Melting_Curves/meltCurve_Q8TEA7_3_TBCK.pdf", "Melting_Curves/meltCurve_Q8TEA7_3_TBCK.pdf")</f>
        <v>Melting_Curves/meltCurve_Q8TEA7_3_TBCK.pdf</v>
      </c>
    </row>
    <row r="4754" spans="1:28" x14ac:dyDescent="0.25">
      <c r="A4754" t="s">
        <v>4758</v>
      </c>
      <c r="B4754">
        <v>0.99252571173614901</v>
      </c>
      <c r="C4754">
        <v>1.07479790241421</v>
      </c>
      <c r="D4754">
        <v>0.98804443557001698</v>
      </c>
      <c r="E4754">
        <v>0.94767809793855795</v>
      </c>
      <c r="F4754">
        <v>0.89469275694003503</v>
      </c>
      <c r="G4754">
        <v>0.73996628019515598</v>
      </c>
      <c r="H4754">
        <v>0.79690997643098804</v>
      </c>
      <c r="I4754">
        <v>0.96719516350101098</v>
      </c>
      <c r="J4754">
        <v>1.23554479213063</v>
      </c>
      <c r="K4754">
        <v>0.97727431480267501</v>
      </c>
      <c r="L4754">
        <v>1448.0720902984101</v>
      </c>
      <c r="M4754">
        <v>21.3531858308843</v>
      </c>
      <c r="O4754">
        <v>67.228896900053698</v>
      </c>
      <c r="P4754">
        <v>7.0790314865553702E-3</v>
      </c>
      <c r="Q4754">
        <v>1.08914895496692</v>
      </c>
      <c r="R4754">
        <v>-5.4328570222216703E-2</v>
      </c>
      <c r="S4754" t="s">
        <v>11400</v>
      </c>
      <c r="T4754" t="s">
        <v>13290</v>
      </c>
      <c r="U4754" t="s">
        <v>13290</v>
      </c>
      <c r="V4754" t="s">
        <v>13290</v>
      </c>
      <c r="W4754" t="s">
        <v>17996</v>
      </c>
      <c r="X4754">
        <v>6</v>
      </c>
      <c r="Y4754" t="s">
        <v>24480</v>
      </c>
      <c r="Z4754" t="s">
        <v>31084</v>
      </c>
      <c r="AA4754">
        <v>1.009691431198585</v>
      </c>
      <c r="AB4754" t="str">
        <f>HYPERLINK("Melting_Curves/meltCurve_Q8TEA8_DTD1.pdf", "Melting_Curves/meltCurve_Q8TEA8_DTD1.pdf")</f>
        <v>Melting_Curves/meltCurve_Q8TEA8_DTD1.pdf</v>
      </c>
    </row>
    <row r="4755" spans="1:28" x14ac:dyDescent="0.25">
      <c r="A4755" t="s">
        <v>4759</v>
      </c>
      <c r="B4755">
        <v>0.99252571173614901</v>
      </c>
      <c r="C4755">
        <v>0.84790069194025797</v>
      </c>
      <c r="D4755">
        <v>0.96396646705106903</v>
      </c>
      <c r="E4755">
        <v>0.848107771997201</v>
      </c>
      <c r="F4755">
        <v>0.666004473174446</v>
      </c>
      <c r="G4755">
        <v>0.35417917562498002</v>
      </c>
      <c r="H4755">
        <v>0.129929607474709</v>
      </c>
      <c r="I4755">
        <v>8.8112157951874201E-2</v>
      </c>
      <c r="J4755">
        <v>0.15973019036647201</v>
      </c>
      <c r="K4755">
        <v>0.14884251659811401</v>
      </c>
      <c r="L4755">
        <v>1140.4066673484001</v>
      </c>
      <c r="M4755">
        <v>21.073960147271301</v>
      </c>
      <c r="N4755">
        <v>54.712082953816498</v>
      </c>
      <c r="O4755">
        <v>53.634287774555098</v>
      </c>
      <c r="P4755">
        <v>-8.81337499132267E-2</v>
      </c>
      <c r="Q4755">
        <v>0.10280441861648899</v>
      </c>
      <c r="R4755">
        <v>0.974163500513063</v>
      </c>
      <c r="S4755" t="s">
        <v>11401</v>
      </c>
      <c r="T4755" t="s">
        <v>13290</v>
      </c>
      <c r="U4755" t="s">
        <v>13290</v>
      </c>
      <c r="V4755" t="s">
        <v>13290</v>
      </c>
      <c r="W4755" t="s">
        <v>17997</v>
      </c>
      <c r="X4755">
        <v>3</v>
      </c>
      <c r="Y4755" t="s">
        <v>24481</v>
      </c>
      <c r="Z4755" t="s">
        <v>31085</v>
      </c>
      <c r="AA4755">
        <v>0.5360979881282576</v>
      </c>
      <c r="AB4755" t="str">
        <f>HYPERLINK("Melting_Curves/meltCurve_Q8TEB1_2_DCAF11.pdf", "Melting_Curves/meltCurve_Q8TEB1_2_DCAF11.pdf")</f>
        <v>Melting_Curves/meltCurve_Q8TEB1_2_DCAF11.pdf</v>
      </c>
    </row>
    <row r="4756" spans="1:28" x14ac:dyDescent="0.25">
      <c r="A4756" t="s">
        <v>4760</v>
      </c>
      <c r="B4756">
        <v>0.99252571173614901</v>
      </c>
      <c r="C4756">
        <v>0.96140684124444398</v>
      </c>
      <c r="D4756">
        <v>1.3561327643466099</v>
      </c>
      <c r="E4756">
        <v>1.7081330533428201</v>
      </c>
      <c r="F4756">
        <v>1.25144556312767</v>
      </c>
      <c r="G4756">
        <v>0.54470192984245602</v>
      </c>
      <c r="H4756">
        <v>0.20166149917451601</v>
      </c>
      <c r="I4756">
        <v>0.147830665818388</v>
      </c>
      <c r="J4756">
        <v>0.15605741352424901</v>
      </c>
      <c r="K4756">
        <v>0.14796549445627899</v>
      </c>
      <c r="L4756">
        <v>14189.9290920403</v>
      </c>
      <c r="M4756">
        <v>250</v>
      </c>
      <c r="N4756">
        <v>56.849687140471303</v>
      </c>
      <c r="O4756">
        <v>56.756084143480003</v>
      </c>
      <c r="P4756">
        <v>-0.92129027365235605</v>
      </c>
      <c r="Q4756">
        <v>0.16337874861385701</v>
      </c>
      <c r="R4756">
        <v>0.772926876423217</v>
      </c>
      <c r="S4756" t="s">
        <v>11402</v>
      </c>
      <c r="T4756" t="s">
        <v>13290</v>
      </c>
      <c r="U4756" t="s">
        <v>13290</v>
      </c>
      <c r="V4756" t="s">
        <v>13290</v>
      </c>
      <c r="W4756" t="s">
        <v>17998</v>
      </c>
      <c r="X4756">
        <v>11</v>
      </c>
      <c r="Y4756" t="s">
        <v>24482</v>
      </c>
      <c r="Z4756" t="s">
        <v>31086</v>
      </c>
      <c r="AA4756">
        <v>0.63084658250729686</v>
      </c>
      <c r="AB4756" t="str">
        <f>HYPERLINK("Melting_Curves/meltCurve_Q8TED0_UTP15.pdf", "Melting_Curves/meltCurve_Q8TED0_UTP15.pdf")</f>
        <v>Melting_Curves/meltCurve_Q8TED0_UTP15.pdf</v>
      </c>
    </row>
    <row r="4757" spans="1:28" x14ac:dyDescent="0.25">
      <c r="A4757" t="s">
        <v>4761</v>
      </c>
      <c r="B4757">
        <v>0.99252571173614901</v>
      </c>
      <c r="C4757">
        <v>0.80763738643220295</v>
      </c>
      <c r="D4757">
        <v>1.0229279082745899</v>
      </c>
      <c r="E4757">
        <v>1.0134065826743499</v>
      </c>
      <c r="F4757">
        <v>0.48369620732762098</v>
      </c>
      <c r="G4757">
        <v>0.16235709128593401</v>
      </c>
      <c r="H4757">
        <v>0.104418774076561</v>
      </c>
      <c r="I4757">
        <v>0.10941914892620901</v>
      </c>
      <c r="J4757">
        <v>8.8012003085532697E-2</v>
      </c>
      <c r="K4757">
        <v>7.7853058436817404E-2</v>
      </c>
      <c r="L4757">
        <v>2989.70523178856</v>
      </c>
      <c r="M4757">
        <v>56.475778752453699</v>
      </c>
      <c r="N4757">
        <v>53.156790747480798</v>
      </c>
      <c r="O4757">
        <v>52.871583893569799</v>
      </c>
      <c r="P4757">
        <v>-0.23932952378387301</v>
      </c>
      <c r="Q4757">
        <v>0.10377697257591099</v>
      </c>
      <c r="R4757">
        <v>0.97490225964693</v>
      </c>
      <c r="S4757" t="s">
        <v>11403</v>
      </c>
      <c r="T4757" t="s">
        <v>13290</v>
      </c>
      <c r="U4757" t="s">
        <v>13290</v>
      </c>
      <c r="V4757" t="s">
        <v>13290</v>
      </c>
      <c r="W4757" t="s">
        <v>17999</v>
      </c>
      <c r="X4757">
        <v>22</v>
      </c>
      <c r="Y4757" t="s">
        <v>24483</v>
      </c>
      <c r="Z4757" t="s">
        <v>31087</v>
      </c>
      <c r="AA4757">
        <v>0.49192135440991558</v>
      </c>
      <c r="AB4757" t="str">
        <f>HYPERLINK("Melting_Curves/meltCurve_Q8TEM1_NUP210.pdf", "Melting_Curves/meltCurve_Q8TEM1_NUP210.pdf")</f>
        <v>Melting_Curves/meltCurve_Q8TEM1_NUP210.pdf</v>
      </c>
    </row>
    <row r="4758" spans="1:28" x14ac:dyDescent="0.25">
      <c r="A4758" t="s">
        <v>4762</v>
      </c>
      <c r="B4758">
        <v>0.99252571173614901</v>
      </c>
      <c r="C4758">
        <v>0.81920156587037296</v>
      </c>
      <c r="D4758">
        <v>0.99923733967499995</v>
      </c>
      <c r="E4758">
        <v>0.73944921272506003</v>
      </c>
      <c r="F4758">
        <v>0.17973266221199899</v>
      </c>
      <c r="G4758">
        <v>9.3662416559086095E-2</v>
      </c>
      <c r="H4758">
        <v>6.0127999992297301E-2</v>
      </c>
      <c r="I4758">
        <v>6.5616905536258596E-2</v>
      </c>
      <c r="J4758">
        <v>7.00006087676526E-2</v>
      </c>
      <c r="K4758">
        <v>6.3846683106485197E-2</v>
      </c>
      <c r="L4758">
        <v>2131.4079727807002</v>
      </c>
      <c r="M4758">
        <v>42.027413574951197</v>
      </c>
      <c r="N4758">
        <v>50.891413586892099</v>
      </c>
      <c r="O4758">
        <v>50.600286500467398</v>
      </c>
      <c r="P4758">
        <v>-0.19354737159141899</v>
      </c>
      <c r="Q4758">
        <v>6.7890642367440801E-2</v>
      </c>
      <c r="R4758">
        <v>0.97922668671201196</v>
      </c>
      <c r="S4758" t="s">
        <v>11404</v>
      </c>
      <c r="T4758" t="s">
        <v>13290</v>
      </c>
      <c r="U4758" t="s">
        <v>13290</v>
      </c>
      <c r="V4758" t="s">
        <v>13290</v>
      </c>
      <c r="W4758" t="s">
        <v>18000</v>
      </c>
      <c r="X4758">
        <v>19</v>
      </c>
      <c r="Y4758" t="s">
        <v>24484</v>
      </c>
      <c r="Z4758" t="s">
        <v>31088</v>
      </c>
      <c r="AA4758">
        <v>0.40375778355081671</v>
      </c>
      <c r="AB4758" t="str">
        <f>HYPERLINK("Melting_Curves/meltCurve_Q8TEQ6_GEMIN5.pdf", "Melting_Curves/meltCurve_Q8TEQ6_GEMIN5.pdf")</f>
        <v>Melting_Curves/meltCurve_Q8TEQ6_GEMIN5.pdf</v>
      </c>
    </row>
    <row r="4759" spans="1:28" x14ac:dyDescent="0.25">
      <c r="A4759" t="s">
        <v>4763</v>
      </c>
      <c r="B4759">
        <v>0.99252571173614901</v>
      </c>
      <c r="C4759">
        <v>0.95833557555353399</v>
      </c>
      <c r="D4759">
        <v>0.929908226476587</v>
      </c>
      <c r="E4759">
        <v>0.64671984662959103</v>
      </c>
      <c r="F4759">
        <v>0.368282200905787</v>
      </c>
      <c r="G4759">
        <v>0.17378521215774301</v>
      </c>
      <c r="H4759">
        <v>0.11893149241925099</v>
      </c>
      <c r="I4759">
        <v>0.167503695416681</v>
      </c>
      <c r="J4759">
        <v>0.20271723607077799</v>
      </c>
      <c r="K4759">
        <v>0.14765263141430801</v>
      </c>
      <c r="L4759">
        <v>1197.0917667025999</v>
      </c>
      <c r="M4759">
        <v>23.743154528955799</v>
      </c>
      <c r="N4759">
        <v>51.189877864795498</v>
      </c>
      <c r="O4759">
        <v>50.064829569210502</v>
      </c>
      <c r="P4759">
        <v>-0.10073139284484101</v>
      </c>
      <c r="Q4759">
        <v>0.15040498446519099</v>
      </c>
      <c r="R4759">
        <v>0.99391197718912805</v>
      </c>
      <c r="S4759" t="s">
        <v>11405</v>
      </c>
      <c r="T4759" t="s">
        <v>13290</v>
      </c>
      <c r="U4759" t="s">
        <v>13290</v>
      </c>
      <c r="V4759" t="s">
        <v>13290</v>
      </c>
      <c r="W4759" t="s">
        <v>18001</v>
      </c>
      <c r="X4759">
        <v>4</v>
      </c>
      <c r="Y4759" t="s">
        <v>24485</v>
      </c>
      <c r="Z4759" t="s">
        <v>31089</v>
      </c>
      <c r="AA4759">
        <v>0.45390199697373451</v>
      </c>
      <c r="AB4759" t="str">
        <f>HYPERLINK("Melting_Curves/meltCurve_Q8TEQ8_2_PIGO.pdf", "Melting_Curves/meltCurve_Q8TEQ8_2_PIGO.pdf")</f>
        <v>Melting_Curves/meltCurve_Q8TEQ8_2_PIGO.pdf</v>
      </c>
    </row>
    <row r="4760" spans="1:28" x14ac:dyDescent="0.25">
      <c r="A4760" t="s">
        <v>4764</v>
      </c>
      <c r="B4760">
        <v>0.99252571173614901</v>
      </c>
      <c r="C4760">
        <v>0.85365254490638998</v>
      </c>
      <c r="D4760">
        <v>0.67906290632368604</v>
      </c>
      <c r="E4760">
        <v>0.50277781297965296</v>
      </c>
      <c r="F4760">
        <v>0.28866946398702298</v>
      </c>
      <c r="G4760">
        <v>0.18238985099830901</v>
      </c>
      <c r="H4760">
        <v>0.15752993329023801</v>
      </c>
      <c r="I4760">
        <v>0.105400439085367</v>
      </c>
      <c r="J4760">
        <v>6.1422126136698799E-2</v>
      </c>
      <c r="K4760">
        <v>5.2537604369930699E-2</v>
      </c>
      <c r="L4760">
        <v>613.97589721404097</v>
      </c>
      <c r="M4760">
        <v>12.549751288075401</v>
      </c>
      <c r="N4760">
        <v>49.313031717349602</v>
      </c>
      <c r="O4760">
        <v>47.730981276178298</v>
      </c>
      <c r="P4760">
        <v>-6.2641461161665593E-2</v>
      </c>
      <c r="Q4760">
        <v>4.7205741835600501E-2</v>
      </c>
      <c r="R4760">
        <v>0.99504657976091804</v>
      </c>
      <c r="S4760" t="s">
        <v>11406</v>
      </c>
      <c r="T4760" t="s">
        <v>13290</v>
      </c>
      <c r="U4760" t="s">
        <v>13290</v>
      </c>
      <c r="V4760" t="s">
        <v>13290</v>
      </c>
      <c r="W4760" t="s">
        <v>18002</v>
      </c>
      <c r="X4760">
        <v>1</v>
      </c>
      <c r="Y4760" t="s">
        <v>24486</v>
      </c>
      <c r="Z4760" t="s">
        <v>31090</v>
      </c>
      <c r="AA4760">
        <v>0.36319092721641161</v>
      </c>
      <c r="AB4760" t="str">
        <f>HYPERLINK("Melting_Curves/meltCurve_Q8TET4_GANC.pdf", "Melting_Curves/meltCurve_Q8TET4_GANC.pdf")</f>
        <v>Melting_Curves/meltCurve_Q8TET4_GANC.pdf</v>
      </c>
    </row>
    <row r="4761" spans="1:28" x14ac:dyDescent="0.25">
      <c r="A4761" t="s">
        <v>4765</v>
      </c>
      <c r="B4761">
        <v>0.99252571173614901</v>
      </c>
      <c r="C4761">
        <v>0.96036802208343297</v>
      </c>
      <c r="D4761">
        <v>0.96486168596301103</v>
      </c>
      <c r="E4761">
        <v>0.81443896283117201</v>
      </c>
      <c r="F4761">
        <v>0.58101442403208003</v>
      </c>
      <c r="G4761">
        <v>0.34759819483638499</v>
      </c>
      <c r="H4761">
        <v>0.220764474537094</v>
      </c>
      <c r="I4761">
        <v>0.18037900847105101</v>
      </c>
      <c r="J4761">
        <v>0.236205820964693</v>
      </c>
      <c r="K4761">
        <v>0.189852258673913</v>
      </c>
      <c r="L4761">
        <v>1049.32811158155</v>
      </c>
      <c r="M4761">
        <v>19.848348614927598</v>
      </c>
      <c r="N4761">
        <v>54.112321317049897</v>
      </c>
      <c r="O4761">
        <v>52.339390131922002</v>
      </c>
      <c r="P4761">
        <v>-7.7429764375731194E-2</v>
      </c>
      <c r="Q4761">
        <v>0.18330904077441501</v>
      </c>
      <c r="R4761">
        <v>0.99620511137078904</v>
      </c>
      <c r="S4761" t="s">
        <v>11407</v>
      </c>
      <c r="T4761" t="s">
        <v>13290</v>
      </c>
      <c r="U4761" t="s">
        <v>13290</v>
      </c>
      <c r="V4761" t="s">
        <v>13290</v>
      </c>
      <c r="W4761" t="s">
        <v>18003</v>
      </c>
      <c r="X4761">
        <v>3</v>
      </c>
      <c r="Y4761" t="s">
        <v>24487</v>
      </c>
      <c r="Z4761" t="s">
        <v>31091</v>
      </c>
      <c r="AA4761">
        <v>0.54498789602230835</v>
      </c>
      <c r="AB4761" t="str">
        <f>HYPERLINK("Melting_Curves/meltCurve_Q8TEV9_2_SMCR8.pdf", "Melting_Curves/meltCurve_Q8TEV9_2_SMCR8.pdf")</f>
        <v>Melting_Curves/meltCurve_Q8TEV9_2_SMCR8.pdf</v>
      </c>
    </row>
    <row r="4762" spans="1:28" x14ac:dyDescent="0.25">
      <c r="A4762" t="s">
        <v>4766</v>
      </c>
      <c r="B4762">
        <v>0.99252571173614901</v>
      </c>
      <c r="C4762">
        <v>0.735627226199144</v>
      </c>
      <c r="D4762">
        <v>0.30300407486139203</v>
      </c>
      <c r="E4762">
        <v>0.175019012555481</v>
      </c>
      <c r="F4762">
        <v>8.4078085092550103E-2</v>
      </c>
      <c r="G4762">
        <v>4.41332290528368E-2</v>
      </c>
      <c r="H4762">
        <v>3.1770239423102503E-2</v>
      </c>
      <c r="I4762">
        <v>3.47989300058415E-2</v>
      </c>
      <c r="J4762">
        <v>4.0566826030035398E-2</v>
      </c>
      <c r="K4762">
        <v>4.4315680223171103E-2</v>
      </c>
      <c r="L4762">
        <v>1157.87216848406</v>
      </c>
      <c r="M4762">
        <v>26.036441660348402</v>
      </c>
      <c r="N4762">
        <v>44.6541443413292</v>
      </c>
      <c r="O4762">
        <v>44.211375224577097</v>
      </c>
      <c r="P4762">
        <v>-0.139780542106232</v>
      </c>
      <c r="Q4762">
        <v>5.0589627720794297E-2</v>
      </c>
      <c r="R4762">
        <v>0.99236342576578596</v>
      </c>
      <c r="S4762" t="s">
        <v>11408</v>
      </c>
      <c r="T4762" t="s">
        <v>13290</v>
      </c>
      <c r="U4762" t="s">
        <v>13290</v>
      </c>
      <c r="V4762" t="s">
        <v>13290</v>
      </c>
      <c r="W4762" t="s">
        <v>18004</v>
      </c>
      <c r="X4762">
        <v>22</v>
      </c>
      <c r="Y4762" t="s">
        <v>24488</v>
      </c>
      <c r="Z4762" t="s">
        <v>31092</v>
      </c>
      <c r="AA4762">
        <v>0.20122638211690741</v>
      </c>
      <c r="AB4762" t="str">
        <f>HYPERLINK("Melting_Curves/meltCurve_Q8TEX9_IPO4.pdf", "Melting_Curves/meltCurve_Q8TEX9_IPO4.pdf")</f>
        <v>Melting_Curves/meltCurve_Q8TEX9_IPO4.pdf</v>
      </c>
    </row>
    <row r="4763" spans="1:28" x14ac:dyDescent="0.25">
      <c r="A4763" t="s">
        <v>4767</v>
      </c>
      <c r="B4763">
        <v>0.99252571173614901</v>
      </c>
      <c r="C4763">
        <v>0.86491431836505495</v>
      </c>
      <c r="D4763">
        <v>0.72708406524490199</v>
      </c>
      <c r="E4763">
        <v>0.41800750474575699</v>
      </c>
      <c r="F4763">
        <v>0.29122273518952402</v>
      </c>
      <c r="G4763">
        <v>0.17039911552725401</v>
      </c>
      <c r="H4763">
        <v>0.114318280584551</v>
      </c>
      <c r="I4763">
        <v>0.12855420289490099</v>
      </c>
      <c r="J4763">
        <v>0.166836145150835</v>
      </c>
      <c r="K4763">
        <v>0.12538498717538299</v>
      </c>
      <c r="L4763">
        <v>806.07374540080104</v>
      </c>
      <c r="M4763">
        <v>16.829652867921698</v>
      </c>
      <c r="N4763">
        <v>48.716026494315699</v>
      </c>
      <c r="O4763">
        <v>47.235130032693</v>
      </c>
      <c r="P4763">
        <v>-7.8092053660149305E-2</v>
      </c>
      <c r="Q4763">
        <v>0.12334462105298299</v>
      </c>
      <c r="R4763">
        <v>0.99459427454824301</v>
      </c>
      <c r="S4763" t="s">
        <v>11409</v>
      </c>
      <c r="T4763" t="s">
        <v>13290</v>
      </c>
      <c r="U4763" t="s">
        <v>13290</v>
      </c>
      <c r="V4763" t="s">
        <v>13290</v>
      </c>
      <c r="W4763" t="s">
        <v>18005</v>
      </c>
      <c r="X4763">
        <v>1</v>
      </c>
      <c r="Y4763" t="s">
        <v>24489</v>
      </c>
      <c r="Z4763" t="s">
        <v>31093</v>
      </c>
      <c r="AA4763">
        <v>0.3720312203101242</v>
      </c>
      <c r="AB4763" t="str">
        <f>HYPERLINK("Melting_Curves/meltCurve_Q8TEY7_3_USP33.pdf", "Melting_Curves/meltCurve_Q8TEY7_3_USP33.pdf")</f>
        <v>Melting_Curves/meltCurve_Q8TEY7_3_USP33.pdf</v>
      </c>
    </row>
    <row r="4764" spans="1:28" x14ac:dyDescent="0.25">
      <c r="A4764" t="s">
        <v>4768</v>
      </c>
      <c r="B4764">
        <v>0.99252571173614901</v>
      </c>
      <c r="C4764">
        <v>1.0726589034543099</v>
      </c>
      <c r="D4764">
        <v>1.04518245784027</v>
      </c>
      <c r="E4764">
        <v>1.2085968109382601</v>
      </c>
      <c r="F4764">
        <v>1.0526467776945101</v>
      </c>
      <c r="G4764">
        <v>0.83092322108356098</v>
      </c>
      <c r="H4764">
        <v>0.84677970987591999</v>
      </c>
      <c r="I4764">
        <v>1.02353854863605</v>
      </c>
      <c r="J4764">
        <v>0.94082083719055798</v>
      </c>
      <c r="K4764">
        <v>0.804672402862181</v>
      </c>
      <c r="L4764">
        <v>657.27053696085397</v>
      </c>
      <c r="M4764">
        <v>7.7006763137404599</v>
      </c>
      <c r="Q4764">
        <v>0</v>
      </c>
      <c r="R4764">
        <v>0.281331424730767</v>
      </c>
      <c r="S4764" t="s">
        <v>11410</v>
      </c>
      <c r="T4764" t="s">
        <v>13290</v>
      </c>
      <c r="U4764" t="s">
        <v>13290</v>
      </c>
      <c r="V4764" t="s">
        <v>13290</v>
      </c>
      <c r="W4764" t="s">
        <v>18006</v>
      </c>
      <c r="X4764">
        <v>15</v>
      </c>
      <c r="Y4764" t="s">
        <v>24490</v>
      </c>
      <c r="Z4764" t="s">
        <v>31094</v>
      </c>
      <c r="AA4764">
        <v>0.96506901060951222</v>
      </c>
      <c r="AB4764" t="str">
        <f>HYPERLINK("Melting_Curves/meltCurve_Q8TF01_PNISR.pdf", "Melting_Curves/meltCurve_Q8TF01_PNISR.pdf")</f>
        <v>Melting_Curves/meltCurve_Q8TF01_PNISR.pdf</v>
      </c>
    </row>
    <row r="4765" spans="1:28" x14ac:dyDescent="0.25">
      <c r="A4765" t="s">
        <v>4769</v>
      </c>
      <c r="B4765">
        <v>0.99252571173614901</v>
      </c>
      <c r="C4765">
        <v>0.96441514040663301</v>
      </c>
      <c r="D4765">
        <v>0.87461947062034195</v>
      </c>
      <c r="E4765">
        <v>0.60010983581926802</v>
      </c>
      <c r="F4765">
        <v>0.183327577469315</v>
      </c>
      <c r="G4765">
        <v>0.112845634861266</v>
      </c>
      <c r="H4765">
        <v>7.6832934303860706E-2</v>
      </c>
      <c r="I4765">
        <v>7.7595828133603703E-2</v>
      </c>
      <c r="J4765">
        <v>8.7375126108560894E-2</v>
      </c>
      <c r="K4765">
        <v>8.8704211828843804E-2</v>
      </c>
      <c r="L4765">
        <v>1342.8807401203901</v>
      </c>
      <c r="M4765">
        <v>26.944956295326701</v>
      </c>
      <c r="N4765">
        <v>50.145722203301901</v>
      </c>
      <c r="O4765">
        <v>49.565852343390503</v>
      </c>
      <c r="P4765">
        <v>-0.125547850786074</v>
      </c>
      <c r="Q4765">
        <v>7.6217024049419893E-2</v>
      </c>
      <c r="R4765">
        <v>0.99687937093427303</v>
      </c>
      <c r="S4765" t="s">
        <v>11411</v>
      </c>
      <c r="T4765" t="s">
        <v>13290</v>
      </c>
      <c r="U4765" t="s">
        <v>13290</v>
      </c>
      <c r="V4765" t="s">
        <v>13290</v>
      </c>
      <c r="W4765" t="s">
        <v>18007</v>
      </c>
      <c r="X4765">
        <v>12</v>
      </c>
      <c r="Y4765" t="s">
        <v>24491</v>
      </c>
      <c r="Z4765" t="s">
        <v>31095</v>
      </c>
      <c r="AA4765">
        <v>0.38623851180260999</v>
      </c>
      <c r="AB4765" t="str">
        <f>HYPERLINK("Melting_Curves/meltCurve_Q8TF05_2_PPP4R1.pdf", "Melting_Curves/meltCurve_Q8TF05_2_PPP4R1.pdf")</f>
        <v>Melting_Curves/meltCurve_Q8TF05_2_PPP4R1.pdf</v>
      </c>
    </row>
    <row r="4766" spans="1:28" x14ac:dyDescent="0.25">
      <c r="A4766" t="s">
        <v>4770</v>
      </c>
      <c r="B4766">
        <v>0.99252571173614901</v>
      </c>
      <c r="C4766">
        <v>0.84144101233568203</v>
      </c>
      <c r="D4766">
        <v>0.84975669014434096</v>
      </c>
      <c r="E4766">
        <v>0.97327196041506603</v>
      </c>
      <c r="F4766">
        <v>0.77241711805540703</v>
      </c>
      <c r="G4766">
        <v>0.62977920171008295</v>
      </c>
      <c r="H4766">
        <v>0.64864952916432905</v>
      </c>
      <c r="I4766">
        <v>0.89933319848219395</v>
      </c>
      <c r="J4766">
        <v>1.4764538176346</v>
      </c>
      <c r="K4766">
        <v>1.2614529339529701</v>
      </c>
      <c r="L4766">
        <v>11.542857206453</v>
      </c>
      <c r="M4766">
        <v>23.124369633785399</v>
      </c>
      <c r="Q4766">
        <v>0.93450811693043001</v>
      </c>
      <c r="R4766">
        <v>-7.1720407390785102E-13</v>
      </c>
      <c r="S4766" t="s">
        <v>11412</v>
      </c>
      <c r="T4766" t="s">
        <v>13290</v>
      </c>
      <c r="U4766" t="s">
        <v>13290</v>
      </c>
      <c r="V4766" t="s">
        <v>13290</v>
      </c>
      <c r="W4766" t="s">
        <v>18008</v>
      </c>
      <c r="X4766">
        <v>5</v>
      </c>
      <c r="Y4766" t="s">
        <v>24492</v>
      </c>
      <c r="Z4766" t="s">
        <v>31096</v>
      </c>
      <c r="AA4766">
        <v>0.93450811693779512</v>
      </c>
      <c r="AB4766" t="str">
        <f>HYPERLINK("Melting_Curves/meltCurve_Q8TF71_SLC16A10.pdf", "Melting_Curves/meltCurve_Q8TF71_SLC16A10.pdf")</f>
        <v>Melting_Curves/meltCurve_Q8TF71_SLC16A10.pdf</v>
      </c>
    </row>
    <row r="4767" spans="1:28" x14ac:dyDescent="0.25">
      <c r="A4767" t="s">
        <v>4771</v>
      </c>
      <c r="B4767">
        <v>0.99252571173614901</v>
      </c>
      <c r="C4767">
        <v>1.0525230528973599</v>
      </c>
      <c r="D4767">
        <v>1.02235722423127</v>
      </c>
      <c r="E4767">
        <v>1.0651955463132901</v>
      </c>
      <c r="F4767">
        <v>0.88332127582144404</v>
      </c>
      <c r="G4767">
        <v>0.749846240706183</v>
      </c>
      <c r="H4767">
        <v>0.80927848007340897</v>
      </c>
      <c r="I4767">
        <v>1.1321220120958999</v>
      </c>
      <c r="J4767">
        <v>1.71516582890998</v>
      </c>
      <c r="K4767">
        <v>1.8999794380864701</v>
      </c>
      <c r="L4767">
        <v>15000</v>
      </c>
      <c r="M4767">
        <v>233.35158680609601</v>
      </c>
      <c r="O4767">
        <v>64.275957824512801</v>
      </c>
      <c r="P4767">
        <v>0.45380802466189002</v>
      </c>
      <c r="Q4767">
        <v>1.5</v>
      </c>
      <c r="R4767">
        <v>0.74580861460144598</v>
      </c>
      <c r="S4767" t="s">
        <v>11413</v>
      </c>
      <c r="T4767" t="s">
        <v>13290</v>
      </c>
      <c r="U4767" t="s">
        <v>13290</v>
      </c>
      <c r="V4767" t="s">
        <v>13290</v>
      </c>
      <c r="W4767" t="s">
        <v>18009</v>
      </c>
      <c r="X4767">
        <v>13</v>
      </c>
      <c r="Y4767" t="s">
        <v>24493</v>
      </c>
      <c r="Z4767" t="s">
        <v>31097</v>
      </c>
      <c r="AA4767">
        <v>1.0952571621322451</v>
      </c>
      <c r="AB4767" t="str">
        <f>HYPERLINK("Melting_Curves/meltCurve_Q8TF74_WIPF2.pdf", "Melting_Curves/meltCurve_Q8TF74_WIPF2.pdf")</f>
        <v>Melting_Curves/meltCurve_Q8TF74_WIPF2.pdf</v>
      </c>
    </row>
    <row r="4768" spans="1:28" x14ac:dyDescent="0.25">
      <c r="A4768" t="s">
        <v>4772</v>
      </c>
      <c r="B4768">
        <v>0.99252571173614901</v>
      </c>
      <c r="C4768">
        <v>1.0198192761423299</v>
      </c>
      <c r="D4768">
        <v>0.754112096139817</v>
      </c>
      <c r="E4768">
        <v>0.39036889749676201</v>
      </c>
      <c r="F4768">
        <v>0.211182204413634</v>
      </c>
      <c r="G4768">
        <v>9.4573104145861897E-2</v>
      </c>
      <c r="H4768">
        <v>4.6960017370329003E-2</v>
      </c>
      <c r="I4768">
        <v>4.1081062996560301E-2</v>
      </c>
      <c r="J4768">
        <v>5.8943732457933599E-2</v>
      </c>
      <c r="K4768">
        <v>4.4747892220124999E-2</v>
      </c>
      <c r="L4768">
        <v>1058.5852923739301</v>
      </c>
      <c r="M4768">
        <v>21.840335380809101</v>
      </c>
      <c r="N4768">
        <v>48.707493491480001</v>
      </c>
      <c r="O4768">
        <v>48.068427721959203</v>
      </c>
      <c r="P4768">
        <v>-0.10783852246412801</v>
      </c>
      <c r="Q4768">
        <v>5.0654121485747702E-2</v>
      </c>
      <c r="R4768">
        <v>0.99432801722004105</v>
      </c>
      <c r="S4768" t="s">
        <v>11414</v>
      </c>
      <c r="T4768" t="s">
        <v>13290</v>
      </c>
      <c r="U4768" t="s">
        <v>13290</v>
      </c>
      <c r="V4768" t="s">
        <v>13290</v>
      </c>
      <c r="W4768" t="s">
        <v>18010</v>
      </c>
      <c r="X4768">
        <v>3</v>
      </c>
      <c r="Y4768" t="s">
        <v>24494</v>
      </c>
      <c r="Z4768" t="s">
        <v>31098</v>
      </c>
      <c r="AA4768">
        <v>0.32979944086434121</v>
      </c>
      <c r="AB4768" t="str">
        <f>HYPERLINK("Melting_Curves/meltCurve_Q8WTS1_ABHD5.pdf", "Melting_Curves/meltCurve_Q8WTS1_ABHD5.pdf")</f>
        <v>Melting_Curves/meltCurve_Q8WTS1_ABHD5.pdf</v>
      </c>
    </row>
    <row r="4769" spans="1:28" x14ac:dyDescent="0.25">
      <c r="A4769" t="s">
        <v>4773</v>
      </c>
      <c r="B4769">
        <v>0.99252571173614901</v>
      </c>
      <c r="C4769">
        <v>1.0320514442226301</v>
      </c>
      <c r="D4769">
        <v>0.77028003985709304</v>
      </c>
      <c r="E4769">
        <v>0.29714042568577897</v>
      </c>
      <c r="F4769">
        <v>0.21036191082533501</v>
      </c>
      <c r="G4769">
        <v>0.136981247208498</v>
      </c>
      <c r="H4769">
        <v>0.111016168822934</v>
      </c>
      <c r="I4769">
        <v>0.11143779790277999</v>
      </c>
      <c r="J4769">
        <v>9.0696860561650994E-2</v>
      </c>
      <c r="K4769">
        <v>7.6335503501673604E-2</v>
      </c>
      <c r="L4769">
        <v>1481.2670185100301</v>
      </c>
      <c r="M4769">
        <v>31.103913878656599</v>
      </c>
      <c r="N4769">
        <v>48.021469854891599</v>
      </c>
      <c r="O4769">
        <v>47.427612776489298</v>
      </c>
      <c r="P4769">
        <v>-0.14531462884858501</v>
      </c>
      <c r="Q4769">
        <v>0.113695131376629</v>
      </c>
      <c r="R4769">
        <v>0.99248626729132705</v>
      </c>
      <c r="S4769" t="s">
        <v>11415</v>
      </c>
      <c r="T4769" t="s">
        <v>13290</v>
      </c>
      <c r="U4769" t="s">
        <v>13290</v>
      </c>
      <c r="V4769" t="s">
        <v>13290</v>
      </c>
      <c r="W4769" t="s">
        <v>18011</v>
      </c>
      <c r="X4769">
        <v>6</v>
      </c>
      <c r="Y4769" t="s">
        <v>24495</v>
      </c>
      <c r="Z4769" t="s">
        <v>31099</v>
      </c>
      <c r="AA4769">
        <v>0.34384079269498008</v>
      </c>
      <c r="AB4769" t="str">
        <f>HYPERLINK("Melting_Curves/meltCurve_Q8WTS6_SETD7.pdf", "Melting_Curves/meltCurve_Q8WTS6_SETD7.pdf")</f>
        <v>Melting_Curves/meltCurve_Q8WTS6_SETD7.pdf</v>
      </c>
    </row>
    <row r="4770" spans="1:28" x14ac:dyDescent="0.25">
      <c r="A4770" t="s">
        <v>4774</v>
      </c>
      <c r="B4770">
        <v>0.99252571173614901</v>
      </c>
      <c r="C4770">
        <v>0.76016839800196601</v>
      </c>
      <c r="D4770">
        <v>0.54445861170536303</v>
      </c>
      <c r="E4770">
        <v>0.25468056508130199</v>
      </c>
      <c r="F4770">
        <v>0.16144677621217501</v>
      </c>
      <c r="G4770">
        <v>9.74719186702806E-2</v>
      </c>
      <c r="H4770">
        <v>7.7970893554715204E-2</v>
      </c>
      <c r="I4770">
        <v>8.1774104070549206E-2</v>
      </c>
      <c r="J4770">
        <v>9.8587784304979303E-2</v>
      </c>
      <c r="K4770">
        <v>9.6695494778785196E-2</v>
      </c>
      <c r="L4770">
        <v>855.13439781441696</v>
      </c>
      <c r="M4770">
        <v>18.661032071763799</v>
      </c>
      <c r="N4770">
        <v>46.282127415664597</v>
      </c>
      <c r="O4770">
        <v>45.308098045409103</v>
      </c>
      <c r="P4770">
        <v>-9.4298520500438299E-2</v>
      </c>
      <c r="Q4770">
        <v>8.42299112445829E-2</v>
      </c>
      <c r="R4770">
        <v>0.99471676987713797</v>
      </c>
      <c r="S4770" t="s">
        <v>11416</v>
      </c>
      <c r="T4770" t="s">
        <v>13290</v>
      </c>
      <c r="U4770" t="s">
        <v>13290</v>
      </c>
      <c r="V4770" t="s">
        <v>13290</v>
      </c>
      <c r="W4770" t="s">
        <v>18012</v>
      </c>
      <c r="X4770">
        <v>10</v>
      </c>
      <c r="Y4770" t="s">
        <v>24496</v>
      </c>
      <c r="Z4770" t="s">
        <v>31100</v>
      </c>
      <c r="AA4770">
        <v>0.27883353196987049</v>
      </c>
      <c r="AB4770" t="str">
        <f>HYPERLINK("Melting_Curves/meltCurve_Q8WTW3_COG1.pdf", "Melting_Curves/meltCurve_Q8WTW3_COG1.pdf")</f>
        <v>Melting_Curves/meltCurve_Q8WTW3_COG1.pdf</v>
      </c>
    </row>
    <row r="4771" spans="1:28" x14ac:dyDescent="0.25">
      <c r="A4771" t="s">
        <v>4775</v>
      </c>
      <c r="B4771">
        <v>0.99252571173614901</v>
      </c>
      <c r="C4771">
        <v>1.11636656218875</v>
      </c>
      <c r="D4771">
        <v>1.15801081700038</v>
      </c>
      <c r="E4771">
        <v>1.0577109995103999</v>
      </c>
      <c r="F4771">
        <v>0.45394271343221199</v>
      </c>
      <c r="G4771">
        <v>0.212574231902386</v>
      </c>
      <c r="H4771">
        <v>0.139007544161109</v>
      </c>
      <c r="I4771">
        <v>0.20577218343284501</v>
      </c>
      <c r="J4771">
        <v>0.332740005049878</v>
      </c>
      <c r="K4771">
        <v>0.30223331819733501</v>
      </c>
      <c r="L4771">
        <v>13250.5309981186</v>
      </c>
      <c r="M4771">
        <v>250</v>
      </c>
      <c r="N4771">
        <v>53.139864299106797</v>
      </c>
      <c r="O4771">
        <v>52.998732067042603</v>
      </c>
      <c r="P4771">
        <v>-0.89805751120084398</v>
      </c>
      <c r="Q4771">
        <v>0.238465448194907</v>
      </c>
      <c r="R4771">
        <v>0.959486934421799</v>
      </c>
      <c r="S4771" t="s">
        <v>11417</v>
      </c>
      <c r="T4771" t="s">
        <v>13290</v>
      </c>
      <c r="U4771" t="s">
        <v>13290</v>
      </c>
      <c r="V4771" t="s">
        <v>13290</v>
      </c>
      <c r="W4771" t="s">
        <v>18013</v>
      </c>
      <c r="X4771">
        <v>1</v>
      </c>
      <c r="Y4771" t="s">
        <v>24497</v>
      </c>
      <c r="Z4771" t="s">
        <v>31101</v>
      </c>
      <c r="AA4771">
        <v>0.56858850677919959</v>
      </c>
      <c r="AB4771" t="str">
        <f>HYPERLINK("Melting_Curves/meltCurve_Q8WTX9_ZDHHC1.pdf", "Melting_Curves/meltCurve_Q8WTX9_ZDHHC1.pdf")</f>
        <v>Melting_Curves/meltCurve_Q8WTX9_ZDHHC1.pdf</v>
      </c>
    </row>
    <row r="4772" spans="1:28" x14ac:dyDescent="0.25">
      <c r="A4772" t="s">
        <v>4776</v>
      </c>
      <c r="B4772">
        <v>0.99252571173614901</v>
      </c>
      <c r="C4772">
        <v>0.82551353044658005</v>
      </c>
      <c r="D4772">
        <v>0.54675581360485803</v>
      </c>
      <c r="E4772">
        <v>0.41830709022790102</v>
      </c>
      <c r="F4772">
        <v>0.22295412496484601</v>
      </c>
      <c r="G4772">
        <v>0.120837869968543</v>
      </c>
      <c r="H4772">
        <v>8.6714183545807594E-2</v>
      </c>
      <c r="I4772">
        <v>7.3080379529247397E-2</v>
      </c>
      <c r="J4772">
        <v>7.0643078300796899E-2</v>
      </c>
      <c r="K4772">
        <v>6.1774170801221398E-2</v>
      </c>
      <c r="L4772">
        <v>669.89324950386299</v>
      </c>
      <c r="M4772">
        <v>14.191529844122201</v>
      </c>
      <c r="N4772">
        <v>47.587813046458201</v>
      </c>
      <c r="O4772">
        <v>46.296122398614798</v>
      </c>
      <c r="P4772">
        <v>-7.2496875308991196E-2</v>
      </c>
      <c r="Q4772">
        <v>5.4111037331662497E-2</v>
      </c>
      <c r="R4772">
        <v>0.98978547893389301</v>
      </c>
      <c r="S4772" t="s">
        <v>11418</v>
      </c>
      <c r="T4772" t="s">
        <v>13290</v>
      </c>
      <c r="U4772" t="s">
        <v>13290</v>
      </c>
      <c r="V4772" t="s">
        <v>13290</v>
      </c>
      <c r="W4772" t="s">
        <v>18014</v>
      </c>
      <c r="X4772">
        <v>4</v>
      </c>
      <c r="Y4772" t="s">
        <v>24498</v>
      </c>
      <c r="Z4772" t="s">
        <v>31102</v>
      </c>
      <c r="AA4772">
        <v>0.30963249923969771</v>
      </c>
      <c r="AB4772" t="str">
        <f>HYPERLINK("Melting_Curves/meltCurve_Q8WU10_PYROXD1.pdf", "Melting_Curves/meltCurve_Q8WU10_PYROXD1.pdf")</f>
        <v>Melting_Curves/meltCurve_Q8WU10_PYROXD1.pdf</v>
      </c>
    </row>
    <row r="4773" spans="1:28" x14ac:dyDescent="0.25">
      <c r="A4773" t="s">
        <v>4777</v>
      </c>
      <c r="B4773">
        <v>0.99252571173614901</v>
      </c>
      <c r="C4773">
        <v>0.95523047673136197</v>
      </c>
      <c r="D4773">
        <v>0.73546430924184603</v>
      </c>
      <c r="E4773">
        <v>0.412667791406305</v>
      </c>
      <c r="F4773">
        <v>0.19483506657664099</v>
      </c>
      <c r="G4773">
        <v>0.103334663285727</v>
      </c>
      <c r="H4773">
        <v>6.1409519581964903E-2</v>
      </c>
      <c r="I4773">
        <v>4.4152732738900399E-2</v>
      </c>
      <c r="J4773">
        <v>6.4195275138556995E-2</v>
      </c>
      <c r="K4773">
        <v>7.4809807139363499E-2</v>
      </c>
      <c r="L4773">
        <v>972.45958079217303</v>
      </c>
      <c r="M4773">
        <v>20.115273565067799</v>
      </c>
      <c r="N4773">
        <v>48.6340533726082</v>
      </c>
      <c r="O4773">
        <v>47.874152018638</v>
      </c>
      <c r="P4773">
        <v>-9.9114566539648799E-2</v>
      </c>
      <c r="Q4773">
        <v>5.6463367118954798E-2</v>
      </c>
      <c r="R4773">
        <v>0.99876313060084398</v>
      </c>
      <c r="S4773" t="s">
        <v>11419</v>
      </c>
      <c r="T4773" t="s">
        <v>13290</v>
      </c>
      <c r="U4773" t="s">
        <v>13290</v>
      </c>
      <c r="V4773" t="s">
        <v>13290</v>
      </c>
      <c r="W4773" t="s">
        <v>18015</v>
      </c>
      <c r="X4773">
        <v>5</v>
      </c>
      <c r="Y4773" t="s">
        <v>24499</v>
      </c>
      <c r="Z4773" t="s">
        <v>31103</v>
      </c>
      <c r="AA4773">
        <v>0.33206877633287452</v>
      </c>
      <c r="AB4773" t="str">
        <f>HYPERLINK("Melting_Curves/meltCurve_Q8WU79_2_SMAP2.pdf", "Melting_Curves/meltCurve_Q8WU79_2_SMAP2.pdf")</f>
        <v>Melting_Curves/meltCurve_Q8WU79_2_SMAP2.pdf</v>
      </c>
    </row>
    <row r="4774" spans="1:28" x14ac:dyDescent="0.25">
      <c r="A4774" t="s">
        <v>4778</v>
      </c>
      <c r="B4774">
        <v>0.99252571173614901</v>
      </c>
      <c r="C4774">
        <v>1.1044845898478799</v>
      </c>
      <c r="D4774">
        <v>0.95888692471272097</v>
      </c>
      <c r="E4774">
        <v>0.95625756956108099</v>
      </c>
      <c r="F4774">
        <v>0.67052578146072095</v>
      </c>
      <c r="G4774">
        <v>0.42777178541807098</v>
      </c>
      <c r="H4774">
        <v>0.319693420478048</v>
      </c>
      <c r="I4774">
        <v>0.34762143124980699</v>
      </c>
      <c r="J4774">
        <v>0.47901361584783603</v>
      </c>
      <c r="K4774">
        <v>0.52260590349406</v>
      </c>
      <c r="L4774">
        <v>2420.0311919640399</v>
      </c>
      <c r="M4774">
        <v>45.784236233849597</v>
      </c>
      <c r="N4774">
        <v>54.984868559182999</v>
      </c>
      <c r="O4774">
        <v>52.756761094578003</v>
      </c>
      <c r="P4774">
        <v>-0.12692854127926501</v>
      </c>
      <c r="Q4774">
        <v>0.414966301679702</v>
      </c>
      <c r="R4774">
        <v>0.94678812148323499</v>
      </c>
      <c r="S4774" t="s">
        <v>11420</v>
      </c>
      <c r="T4774" t="s">
        <v>13290</v>
      </c>
      <c r="U4774" t="s">
        <v>13290</v>
      </c>
      <c r="V4774" t="s">
        <v>13290</v>
      </c>
      <c r="W4774" t="s">
        <v>18016</v>
      </c>
      <c r="X4774">
        <v>10</v>
      </c>
      <c r="Y4774" t="s">
        <v>24500</v>
      </c>
      <c r="Z4774" t="s">
        <v>31104</v>
      </c>
      <c r="AA4774">
        <v>0.66732614290449777</v>
      </c>
      <c r="AB4774" t="str">
        <f>HYPERLINK("Melting_Curves/meltCurve_Q8WU90_ZC3H15.pdf", "Melting_Curves/meltCurve_Q8WU90_ZC3H15.pdf")</f>
        <v>Melting_Curves/meltCurve_Q8WU90_ZC3H15.pdf</v>
      </c>
    </row>
    <row r="4775" spans="1:28" x14ac:dyDescent="0.25">
      <c r="A4775" t="s">
        <v>4779</v>
      </c>
      <c r="B4775">
        <v>0.99252571173614901</v>
      </c>
      <c r="C4775">
        <v>0.982719814126776</v>
      </c>
      <c r="D4775">
        <v>0.88089709152595197</v>
      </c>
      <c r="E4775">
        <v>0.54200241968941099</v>
      </c>
      <c r="F4775">
        <v>0.20354456776072299</v>
      </c>
      <c r="G4775">
        <v>0.112297942155895</v>
      </c>
      <c r="H4775">
        <v>7.6811987540560095E-2</v>
      </c>
      <c r="I4775">
        <v>7.3167352888073106E-2</v>
      </c>
      <c r="J4775">
        <v>7.8889690146490998E-2</v>
      </c>
      <c r="K4775">
        <v>7.4366012541833199E-2</v>
      </c>
      <c r="L4775">
        <v>1261.83265835571</v>
      </c>
      <c r="M4775">
        <v>25.445771527756499</v>
      </c>
      <c r="N4775">
        <v>49.8958597434737</v>
      </c>
      <c r="O4775">
        <v>49.285861169764303</v>
      </c>
      <c r="P4775">
        <v>-0.119727704297223</v>
      </c>
      <c r="Q4775">
        <v>7.2410307134165894E-2</v>
      </c>
      <c r="R4775">
        <v>0.99981053287078203</v>
      </c>
      <c r="S4775" t="s">
        <v>11421</v>
      </c>
      <c r="T4775" t="s">
        <v>13290</v>
      </c>
      <c r="U4775" t="s">
        <v>13290</v>
      </c>
      <c r="V4775" t="s">
        <v>13290</v>
      </c>
      <c r="W4775" t="s">
        <v>18017</v>
      </c>
      <c r="X4775">
        <v>19</v>
      </c>
      <c r="Y4775" t="s">
        <v>24501</v>
      </c>
      <c r="Z4775" t="s">
        <v>31105</v>
      </c>
      <c r="AA4775">
        <v>0.3768683715605799</v>
      </c>
      <c r="AB4775" t="str">
        <f>HYPERLINK("Melting_Curves/meltCurve_Q8WUA2_PPIL4.pdf", "Melting_Curves/meltCurve_Q8WUA2_PPIL4.pdf")</f>
        <v>Melting_Curves/meltCurve_Q8WUA2_PPIL4.pdf</v>
      </c>
    </row>
    <row r="4776" spans="1:28" x14ac:dyDescent="0.25">
      <c r="A4776" t="s">
        <v>4780</v>
      </c>
      <c r="B4776">
        <v>0.99252571173614901</v>
      </c>
      <c r="C4776">
        <v>0.77850751516880101</v>
      </c>
      <c r="D4776">
        <v>0.31130244255186601</v>
      </c>
      <c r="E4776">
        <v>0.207359360776877</v>
      </c>
      <c r="F4776">
        <v>0.18046920125968099</v>
      </c>
      <c r="G4776">
        <v>8.1608376890152698E-2</v>
      </c>
      <c r="H4776">
        <v>6.8429862198618296E-2</v>
      </c>
      <c r="I4776">
        <v>6.5861701380581297E-2</v>
      </c>
      <c r="J4776">
        <v>9.19376923251842E-2</v>
      </c>
      <c r="K4776">
        <v>7.9499387776031799E-2</v>
      </c>
      <c r="L4776">
        <v>1310.5270419619301</v>
      </c>
      <c r="M4776">
        <v>29.488649943327399</v>
      </c>
      <c r="N4776">
        <v>44.782442556214399</v>
      </c>
      <c r="O4776">
        <v>44.2388694122671</v>
      </c>
      <c r="P4776">
        <v>-0.14990100409152299</v>
      </c>
      <c r="Q4776">
        <v>0.100480394553011</v>
      </c>
      <c r="R4776">
        <v>0.98495752851685603</v>
      </c>
      <c r="S4776" t="s">
        <v>11422</v>
      </c>
      <c r="T4776" t="s">
        <v>13290</v>
      </c>
      <c r="U4776" t="s">
        <v>13290</v>
      </c>
      <c r="V4776" t="s">
        <v>13290</v>
      </c>
      <c r="W4776" t="s">
        <v>18018</v>
      </c>
      <c r="X4776">
        <v>3</v>
      </c>
      <c r="Y4776" t="s">
        <v>24502</v>
      </c>
      <c r="Z4776" t="s">
        <v>31106</v>
      </c>
      <c r="AA4776">
        <v>0.2400660812491224</v>
      </c>
      <c r="AB4776" t="str">
        <f>HYPERLINK("Melting_Curves/meltCurve_Q8WUA4_GTF3C2.pdf", "Melting_Curves/meltCurve_Q8WUA4_GTF3C2.pdf")</f>
        <v>Melting_Curves/meltCurve_Q8WUA4_GTF3C2.pdf</v>
      </c>
    </row>
    <row r="4777" spans="1:28" x14ac:dyDescent="0.25">
      <c r="A4777" t="s">
        <v>4781</v>
      </c>
      <c r="B4777">
        <v>0.99252571173614901</v>
      </c>
      <c r="C4777">
        <v>0.948606084204067</v>
      </c>
      <c r="D4777">
        <v>0.83535592994979402</v>
      </c>
      <c r="E4777">
        <v>0.74695683780272604</v>
      </c>
      <c r="F4777">
        <v>0.42274111599132502</v>
      </c>
      <c r="G4777">
        <v>0.21368404524280701</v>
      </c>
      <c r="H4777">
        <v>0.17891983918412099</v>
      </c>
      <c r="I4777">
        <v>0.226673919798069</v>
      </c>
      <c r="J4777">
        <v>0.31916664661064298</v>
      </c>
      <c r="K4777">
        <v>0.34272782376462901</v>
      </c>
      <c r="L4777">
        <v>1191.7487640069801</v>
      </c>
      <c r="M4777">
        <v>23.661096450628001</v>
      </c>
      <c r="N4777">
        <v>51.866988932933701</v>
      </c>
      <c r="O4777">
        <v>50.0117994559278</v>
      </c>
      <c r="P4777">
        <v>-8.8979116659618496E-2</v>
      </c>
      <c r="Q4777">
        <v>0.24772189994523899</v>
      </c>
      <c r="R4777">
        <v>0.95613168190568198</v>
      </c>
      <c r="S4777" t="s">
        <v>11423</v>
      </c>
      <c r="T4777" t="s">
        <v>13290</v>
      </c>
      <c r="U4777" t="s">
        <v>13290</v>
      </c>
      <c r="V4777" t="s">
        <v>13290</v>
      </c>
      <c r="W4777" t="s">
        <v>18019</v>
      </c>
      <c r="X4777">
        <v>5</v>
      </c>
      <c r="Y4777" t="s">
        <v>24503</v>
      </c>
      <c r="Z4777" t="s">
        <v>31107</v>
      </c>
      <c r="AA4777">
        <v>0.51522531818401474</v>
      </c>
      <c r="AB4777" t="str">
        <f>HYPERLINK("Melting_Curves/meltCurve_Q8WUB8_3_PHF10.pdf", "Melting_Curves/meltCurve_Q8WUB8_3_PHF10.pdf")</f>
        <v>Melting_Curves/meltCurve_Q8WUB8_3_PHF10.pdf</v>
      </c>
    </row>
    <row r="4778" spans="1:28" x14ac:dyDescent="0.25">
      <c r="A4778" t="s">
        <v>4782</v>
      </c>
      <c r="B4778">
        <v>0.99252571173614901</v>
      </c>
      <c r="C4778">
        <v>0.888384971854839</v>
      </c>
      <c r="D4778">
        <v>0.70001705160643701</v>
      </c>
      <c r="E4778">
        <v>0.66273452107845598</v>
      </c>
      <c r="F4778">
        <v>0.59680598424712294</v>
      </c>
      <c r="G4778">
        <v>0.50218687169338805</v>
      </c>
      <c r="H4778">
        <v>0.39224776004920497</v>
      </c>
      <c r="I4778">
        <v>0.37431688902795601</v>
      </c>
      <c r="J4778">
        <v>0.17942691831861701</v>
      </c>
      <c r="K4778">
        <v>0.10371886802630199</v>
      </c>
      <c r="L4778">
        <v>371.98298108271598</v>
      </c>
      <c r="M4778">
        <v>6.70641702923864</v>
      </c>
      <c r="N4778">
        <v>55.466723794733703</v>
      </c>
      <c r="O4778">
        <v>51.159236850998603</v>
      </c>
      <c r="P4778">
        <v>-3.2843321324728197E-2</v>
      </c>
      <c r="Q4778">
        <v>0</v>
      </c>
      <c r="R4778">
        <v>0.94915249241670296</v>
      </c>
      <c r="S4778" t="s">
        <v>11424</v>
      </c>
      <c r="T4778" t="s">
        <v>13290</v>
      </c>
      <c r="U4778" t="s">
        <v>13290</v>
      </c>
      <c r="V4778" t="s">
        <v>13290</v>
      </c>
      <c r="W4778" t="s">
        <v>18020</v>
      </c>
      <c r="X4778">
        <v>12</v>
      </c>
      <c r="Y4778" t="s">
        <v>24504</v>
      </c>
      <c r="Z4778" t="s">
        <v>31108</v>
      </c>
      <c r="AA4778">
        <v>0.53795385937689666</v>
      </c>
      <c r="AB4778" t="str">
        <f>HYPERLINK("Melting_Curves/meltCurve_Q8WUD1_RAB2B.pdf", "Melting_Curves/meltCurve_Q8WUD1_RAB2B.pdf")</f>
        <v>Melting_Curves/meltCurve_Q8WUD1_RAB2B.pdf</v>
      </c>
    </row>
    <row r="4779" spans="1:28" x14ac:dyDescent="0.25">
      <c r="A4779" t="s">
        <v>4783</v>
      </c>
      <c r="B4779">
        <v>0.99252571173614901</v>
      </c>
      <c r="C4779">
        <v>0.83561780714404199</v>
      </c>
      <c r="D4779">
        <v>0.71805967178222496</v>
      </c>
      <c r="E4779">
        <v>0.43378269340743603</v>
      </c>
      <c r="F4779">
        <v>0.24724808418675601</v>
      </c>
      <c r="G4779">
        <v>0.15644563576628201</v>
      </c>
      <c r="H4779">
        <v>0.11759201190139899</v>
      </c>
      <c r="I4779">
        <v>0.117429610888364</v>
      </c>
      <c r="J4779">
        <v>0.148726678551414</v>
      </c>
      <c r="K4779">
        <v>0.17740319418642</v>
      </c>
      <c r="L4779">
        <v>815.55193931980705</v>
      </c>
      <c r="M4779">
        <v>17.103781372914899</v>
      </c>
      <c r="N4779">
        <v>48.504453493460304</v>
      </c>
      <c r="O4779">
        <v>47.045049597847303</v>
      </c>
      <c r="P4779">
        <v>-7.9461091726047803E-2</v>
      </c>
      <c r="Q4779">
        <v>0.12580140747419999</v>
      </c>
      <c r="R4779">
        <v>0.99180897520889499</v>
      </c>
      <c r="S4779" t="s">
        <v>11425</v>
      </c>
      <c r="T4779" t="s">
        <v>13290</v>
      </c>
      <c r="U4779" t="s">
        <v>13290</v>
      </c>
      <c r="V4779" t="s">
        <v>13290</v>
      </c>
      <c r="W4779" t="s">
        <v>18021</v>
      </c>
      <c r="X4779">
        <v>17</v>
      </c>
      <c r="Y4779" t="s">
        <v>24505</v>
      </c>
      <c r="Z4779" t="s">
        <v>31109</v>
      </c>
      <c r="AA4779">
        <v>0.36712338836429481</v>
      </c>
      <c r="AB4779" t="str">
        <f>HYPERLINK("Melting_Curves/meltCurve_Q8WUF5_PPP1R13L.pdf", "Melting_Curves/meltCurve_Q8WUF5_PPP1R13L.pdf")</f>
        <v>Melting_Curves/meltCurve_Q8WUF5_PPP1R13L.pdf</v>
      </c>
    </row>
    <row r="4780" spans="1:28" x14ac:dyDescent="0.25">
      <c r="A4780" t="s">
        <v>4784</v>
      </c>
      <c r="B4780">
        <v>0.99252571173614901</v>
      </c>
      <c r="C4780">
        <v>1.0282997818184501</v>
      </c>
      <c r="D4780">
        <v>0.903776705562085</v>
      </c>
      <c r="E4780">
        <v>0.78910201506460498</v>
      </c>
      <c r="F4780">
        <v>0.47969124824014098</v>
      </c>
      <c r="G4780">
        <v>0.29279257580307799</v>
      </c>
      <c r="H4780">
        <v>0.18103698551141301</v>
      </c>
      <c r="I4780">
        <v>0.202858756179807</v>
      </c>
      <c r="J4780">
        <v>0.17449348149511901</v>
      </c>
      <c r="K4780">
        <v>0.125885859379226</v>
      </c>
      <c r="L4780">
        <v>1023.97874751108</v>
      </c>
      <c r="M4780">
        <v>19.655425241079001</v>
      </c>
      <c r="N4780">
        <v>53.057951369568798</v>
      </c>
      <c r="O4780">
        <v>51.566227378312803</v>
      </c>
      <c r="P4780">
        <v>-8.1017862411351504E-2</v>
      </c>
      <c r="Q4780">
        <v>0.14982453583415001</v>
      </c>
      <c r="R4780">
        <v>0.99521702529481704</v>
      </c>
      <c r="S4780" t="s">
        <v>11426</v>
      </c>
      <c r="T4780" t="s">
        <v>13290</v>
      </c>
      <c r="U4780" t="s">
        <v>13290</v>
      </c>
      <c r="V4780" t="s">
        <v>13290</v>
      </c>
      <c r="W4780" t="s">
        <v>18022</v>
      </c>
      <c r="X4780">
        <v>4</v>
      </c>
      <c r="Y4780" t="s">
        <v>24506</v>
      </c>
      <c r="Z4780" t="s">
        <v>31110</v>
      </c>
      <c r="AA4780">
        <v>0.50475868194306561</v>
      </c>
      <c r="AB4780" t="str">
        <f>HYPERLINK("Melting_Curves/meltCurve_Q8WUF8_3_FAM172A.pdf", "Melting_Curves/meltCurve_Q8WUF8_3_FAM172A.pdf")</f>
        <v>Melting_Curves/meltCurve_Q8WUF8_3_FAM172A.pdf</v>
      </c>
    </row>
    <row r="4781" spans="1:28" x14ac:dyDescent="0.25">
      <c r="A4781" t="s">
        <v>4785</v>
      </c>
      <c r="B4781">
        <v>0.99252571173614901</v>
      </c>
      <c r="C4781">
        <v>0.94350510642347596</v>
      </c>
      <c r="D4781">
        <v>0.82239272572891098</v>
      </c>
      <c r="E4781">
        <v>0.65156255020695997</v>
      </c>
      <c r="F4781">
        <v>0.41756555820862901</v>
      </c>
      <c r="G4781">
        <v>0.16424969037293999</v>
      </c>
      <c r="H4781">
        <v>0.104469185307528</v>
      </c>
      <c r="I4781">
        <v>6.3553974213301695E-2</v>
      </c>
      <c r="J4781">
        <v>7.0173527744312694E-2</v>
      </c>
      <c r="K4781">
        <v>6.45478211346006E-2</v>
      </c>
      <c r="L4781">
        <v>778.26079431511596</v>
      </c>
      <c r="M4781">
        <v>15.1834274957353</v>
      </c>
      <c r="N4781">
        <v>51.4655853265281</v>
      </c>
      <c r="O4781">
        <v>50.3927893781877</v>
      </c>
      <c r="P4781">
        <v>-7.3087310197408106E-2</v>
      </c>
      <c r="Q4781">
        <v>2.9805721425706401E-2</v>
      </c>
      <c r="R4781">
        <v>0.99608715502787804</v>
      </c>
      <c r="S4781" t="s">
        <v>11427</v>
      </c>
      <c r="T4781" t="s">
        <v>13290</v>
      </c>
      <c r="U4781" t="s">
        <v>13290</v>
      </c>
      <c r="V4781" t="s">
        <v>13290</v>
      </c>
      <c r="W4781" t="s">
        <v>18023</v>
      </c>
      <c r="X4781">
        <v>2</v>
      </c>
      <c r="Y4781" t="s">
        <v>24507</v>
      </c>
      <c r="Z4781" t="s">
        <v>31111</v>
      </c>
      <c r="AA4781">
        <v>0.41566104810431109</v>
      </c>
      <c r="AB4781" t="str">
        <f>HYPERLINK("Melting_Curves/meltCurve_Q8WUH1_CHURC1.pdf", "Melting_Curves/meltCurve_Q8WUH1_CHURC1.pdf")</f>
        <v>Melting_Curves/meltCurve_Q8WUH1_CHURC1.pdf</v>
      </c>
    </row>
    <row r="4782" spans="1:28" x14ac:dyDescent="0.25">
      <c r="A4782" t="s">
        <v>4786</v>
      </c>
      <c r="B4782">
        <v>0.99252571173614901</v>
      </c>
      <c r="C4782">
        <v>0.94182786767981597</v>
      </c>
      <c r="D4782">
        <v>1.06055210953346</v>
      </c>
      <c r="E4782">
        <v>0.98039276082952598</v>
      </c>
      <c r="F4782">
        <v>0.50653002093458499</v>
      </c>
      <c r="G4782">
        <v>0.305402917051246</v>
      </c>
      <c r="H4782">
        <v>0.19658224028118801</v>
      </c>
      <c r="I4782">
        <v>0.11953427573297599</v>
      </c>
      <c r="J4782">
        <v>0.17709287726006401</v>
      </c>
      <c r="K4782">
        <v>0.123852836459987</v>
      </c>
      <c r="L4782">
        <v>1826.5237450361799</v>
      </c>
      <c r="M4782">
        <v>34.489772458208499</v>
      </c>
      <c r="N4782">
        <v>53.568411875639597</v>
      </c>
      <c r="O4782">
        <v>52.7813291304806</v>
      </c>
      <c r="P4782">
        <v>-0.13683236801625101</v>
      </c>
      <c r="Q4782">
        <v>0.162398974126335</v>
      </c>
      <c r="R4782">
        <v>0.98558821593074397</v>
      </c>
      <c r="S4782" t="s">
        <v>11428</v>
      </c>
      <c r="T4782" t="s">
        <v>13290</v>
      </c>
      <c r="U4782" t="s">
        <v>13290</v>
      </c>
      <c r="V4782" t="s">
        <v>13290</v>
      </c>
      <c r="W4782" t="s">
        <v>18024</v>
      </c>
      <c r="X4782">
        <v>1</v>
      </c>
      <c r="Y4782" t="s">
        <v>24508</v>
      </c>
      <c r="Z4782" t="s">
        <v>31112</v>
      </c>
      <c r="AA4782">
        <v>0.52831848150057492</v>
      </c>
      <c r="AB4782" t="str">
        <f>HYPERLINK("Melting_Curves/meltCurve_Q8WUH2_TGFBRAP1.pdf", "Melting_Curves/meltCurve_Q8WUH2_TGFBRAP1.pdf")</f>
        <v>Melting_Curves/meltCurve_Q8WUH2_TGFBRAP1.pdf</v>
      </c>
    </row>
    <row r="4783" spans="1:28" x14ac:dyDescent="0.25">
      <c r="A4783" t="s">
        <v>4787</v>
      </c>
      <c r="B4783">
        <v>0.99252571173614901</v>
      </c>
      <c r="C4783">
        <v>1.0074248027279999</v>
      </c>
      <c r="D4783">
        <v>0.95499499109761399</v>
      </c>
      <c r="E4783">
        <v>0.53364821264064499</v>
      </c>
      <c r="F4783">
        <v>0.28700302230306601</v>
      </c>
      <c r="G4783">
        <v>0.16080540147771599</v>
      </c>
      <c r="H4783">
        <v>0.13299790279118101</v>
      </c>
      <c r="I4783">
        <v>0.14506768059741901</v>
      </c>
      <c r="J4783">
        <v>0.221601536133156</v>
      </c>
      <c r="K4783">
        <v>0.23610279393202299</v>
      </c>
      <c r="L4783">
        <v>1669.7023446661401</v>
      </c>
      <c r="M4783">
        <v>33.8669863136532</v>
      </c>
      <c r="N4783">
        <v>49.975378260329997</v>
      </c>
      <c r="O4783">
        <v>49.130827864386603</v>
      </c>
      <c r="P4783">
        <v>-0.14075242939275301</v>
      </c>
      <c r="Q4783">
        <v>0.18324528729467801</v>
      </c>
      <c r="R4783">
        <v>0.99052841068116204</v>
      </c>
      <c r="S4783" t="s">
        <v>11429</v>
      </c>
      <c r="T4783" t="s">
        <v>13290</v>
      </c>
      <c r="U4783" t="s">
        <v>13290</v>
      </c>
      <c r="V4783" t="s">
        <v>13290</v>
      </c>
      <c r="W4783" t="s">
        <v>18025</v>
      </c>
      <c r="X4783">
        <v>4</v>
      </c>
      <c r="Y4783" t="s">
        <v>24509</v>
      </c>
      <c r="Z4783" t="s">
        <v>31113</v>
      </c>
      <c r="AA4783">
        <v>0.44039064912443199</v>
      </c>
      <c r="AB4783" t="str">
        <f>HYPERLINK("Melting_Curves/meltCurve_Q8WUH6_C12orf23.pdf", "Melting_Curves/meltCurve_Q8WUH6_C12orf23.pdf")</f>
        <v>Melting_Curves/meltCurve_Q8WUH6_C12orf23.pdf</v>
      </c>
    </row>
    <row r="4784" spans="1:28" x14ac:dyDescent="0.25">
      <c r="A4784" t="s">
        <v>4788</v>
      </c>
      <c r="B4784">
        <v>0.99252571173614901</v>
      </c>
      <c r="C4784">
        <v>1.0499149120461799</v>
      </c>
      <c r="D4784">
        <v>0.76020432772718205</v>
      </c>
      <c r="E4784">
        <v>0.51262671630822898</v>
      </c>
      <c r="F4784">
        <v>0.16173718001111201</v>
      </c>
      <c r="G4784">
        <v>8.9311239745089102E-2</v>
      </c>
      <c r="H4784">
        <v>7.4307471325209401E-2</v>
      </c>
      <c r="I4784">
        <v>7.8994483728933196E-2</v>
      </c>
      <c r="J4784">
        <v>7.6692548372755506E-2</v>
      </c>
      <c r="K4784">
        <v>8.2636479679649696E-2</v>
      </c>
      <c r="L4784">
        <v>1130.8909892332699</v>
      </c>
      <c r="M4784">
        <v>23.098724287483599</v>
      </c>
      <c r="N4784">
        <v>49.2686454469628</v>
      </c>
      <c r="O4784">
        <v>48.596502486149497</v>
      </c>
      <c r="P4784">
        <v>-0.11080331013041</v>
      </c>
      <c r="Q4784">
        <v>6.7558169722175807E-2</v>
      </c>
      <c r="R4784">
        <v>0.98942993581793703</v>
      </c>
      <c r="S4784" t="s">
        <v>11430</v>
      </c>
      <c r="T4784" t="s">
        <v>13290</v>
      </c>
      <c r="U4784" t="s">
        <v>13290</v>
      </c>
      <c r="V4784" t="s">
        <v>13290</v>
      </c>
      <c r="W4784" t="s">
        <v>18026</v>
      </c>
      <c r="X4784">
        <v>2</v>
      </c>
      <c r="Y4784" t="s">
        <v>24510</v>
      </c>
      <c r="Z4784" t="s">
        <v>31114</v>
      </c>
      <c r="AA4784">
        <v>0.35574135692516562</v>
      </c>
      <c r="AB4784" t="str">
        <f>HYPERLINK("Melting_Curves/meltCurve_Q8WUJ0_STYX.pdf", "Melting_Curves/meltCurve_Q8WUJ0_STYX.pdf")</f>
        <v>Melting_Curves/meltCurve_Q8WUJ0_STYX.pdf</v>
      </c>
    </row>
    <row r="4785" spans="1:28" x14ac:dyDescent="0.25">
      <c r="A4785" t="s">
        <v>4789</v>
      </c>
      <c r="B4785">
        <v>0.99252571173614901</v>
      </c>
      <c r="C4785">
        <v>0.93473193460197301</v>
      </c>
      <c r="D4785">
        <v>0.78194996116202198</v>
      </c>
      <c r="E4785">
        <v>0.54721287465749402</v>
      </c>
      <c r="F4785">
        <v>0.20978472979412799</v>
      </c>
      <c r="G4785">
        <v>9.5896715408117505E-2</v>
      </c>
      <c r="H4785">
        <v>6.5668381473681203E-2</v>
      </c>
      <c r="I4785">
        <v>7.3866915827435403E-2</v>
      </c>
      <c r="J4785">
        <v>7.6608967495521693E-2</v>
      </c>
      <c r="K4785">
        <v>8.1696392418439401E-2</v>
      </c>
      <c r="L4785">
        <v>965.80935250231698</v>
      </c>
      <c r="M4785">
        <v>19.595880871907799</v>
      </c>
      <c r="N4785">
        <v>49.592897797540601</v>
      </c>
      <c r="O4785">
        <v>48.781668830593702</v>
      </c>
      <c r="P4785">
        <v>-9.4701412309928804E-2</v>
      </c>
      <c r="Q4785">
        <v>5.7040349662804302E-2</v>
      </c>
      <c r="R4785">
        <v>0.99559015308633403</v>
      </c>
      <c r="S4785" t="s">
        <v>11431</v>
      </c>
      <c r="T4785" t="s">
        <v>13290</v>
      </c>
      <c r="U4785" t="s">
        <v>13290</v>
      </c>
      <c r="V4785" t="s">
        <v>13290</v>
      </c>
      <c r="W4785" t="s">
        <v>18027</v>
      </c>
      <c r="X4785">
        <v>6</v>
      </c>
      <c r="Y4785" t="s">
        <v>24511</v>
      </c>
      <c r="Z4785" t="s">
        <v>31115</v>
      </c>
      <c r="AA4785">
        <v>0.36265680171684278</v>
      </c>
      <c r="AB4785" t="str">
        <f>HYPERLINK("Melting_Curves/meltCurve_Q8WUK0_PTPMT1.pdf", "Melting_Curves/meltCurve_Q8WUK0_PTPMT1.pdf")</f>
        <v>Melting_Curves/meltCurve_Q8WUK0_PTPMT1.pdf</v>
      </c>
    </row>
    <row r="4786" spans="1:28" x14ac:dyDescent="0.25">
      <c r="A4786" t="s">
        <v>4790</v>
      </c>
      <c r="B4786">
        <v>0.99252571173614901</v>
      </c>
      <c r="C4786">
        <v>0.75959406441308197</v>
      </c>
      <c r="D4786">
        <v>0.85369350456275195</v>
      </c>
      <c r="E4786">
        <v>0.77991631784030901</v>
      </c>
      <c r="F4786">
        <v>0.15275901143932499</v>
      </c>
      <c r="G4786">
        <v>0.107481236609869</v>
      </c>
      <c r="H4786">
        <v>7.52653648728734E-2</v>
      </c>
      <c r="I4786">
        <v>0.104845937909246</v>
      </c>
      <c r="J4786">
        <v>0.13706567976772499</v>
      </c>
      <c r="K4786">
        <v>0.16032281003312299</v>
      </c>
      <c r="L4786">
        <v>2854.4658152941201</v>
      </c>
      <c r="M4786">
        <v>56.480611894391501</v>
      </c>
      <c r="N4786">
        <v>50.773058299193899</v>
      </c>
      <c r="O4786">
        <v>50.475623357887798</v>
      </c>
      <c r="P4786">
        <v>-0.24766243133077501</v>
      </c>
      <c r="Q4786">
        <v>0.114676092882803</v>
      </c>
      <c r="R4786">
        <v>0.93608813768462296</v>
      </c>
      <c r="S4786" t="s">
        <v>11432</v>
      </c>
      <c r="T4786" t="s">
        <v>13290</v>
      </c>
      <c r="U4786" t="s">
        <v>13290</v>
      </c>
      <c r="V4786" t="s">
        <v>13290</v>
      </c>
      <c r="W4786" t="s">
        <v>18028</v>
      </c>
      <c r="X4786">
        <v>5</v>
      </c>
      <c r="Y4786" t="s">
        <v>24512</v>
      </c>
      <c r="Z4786" t="s">
        <v>31116</v>
      </c>
      <c r="AA4786">
        <v>0.42723112213001302</v>
      </c>
      <c r="AB4786" t="str">
        <f>HYPERLINK("Melting_Curves/meltCurve_Q8WUM0_NUP133.pdf", "Melting_Curves/meltCurve_Q8WUM0_NUP133.pdf")</f>
        <v>Melting_Curves/meltCurve_Q8WUM0_NUP133.pdf</v>
      </c>
    </row>
    <row r="4787" spans="1:28" x14ac:dyDescent="0.25">
      <c r="A4787" t="s">
        <v>4791</v>
      </c>
      <c r="B4787">
        <v>0.99252571173614901</v>
      </c>
      <c r="C4787">
        <v>1.05858679737178</v>
      </c>
      <c r="D4787">
        <v>0.61375690603416699</v>
      </c>
      <c r="E4787">
        <v>0.16199076310038299</v>
      </c>
      <c r="F4787">
        <v>9.3816136516972903E-2</v>
      </c>
      <c r="G4787">
        <v>5.1450969166384003E-2</v>
      </c>
      <c r="H4787">
        <v>4.4516172472393603E-2</v>
      </c>
      <c r="I4787">
        <v>4.7950860855298198E-2</v>
      </c>
      <c r="J4787">
        <v>5.5505905343135799E-2</v>
      </c>
      <c r="K4787">
        <v>5.24152269013455E-2</v>
      </c>
      <c r="L4787">
        <v>1918.48284943213</v>
      </c>
      <c r="M4787">
        <v>41.255059161868097</v>
      </c>
      <c r="N4787">
        <v>46.650237604937701</v>
      </c>
      <c r="O4787">
        <v>46.3941065513281</v>
      </c>
      <c r="P4787">
        <v>-0.208735003054734</v>
      </c>
      <c r="Q4787">
        <v>6.1055161490995803E-2</v>
      </c>
      <c r="R4787">
        <v>0.99299943164343096</v>
      </c>
      <c r="S4787" t="s">
        <v>11433</v>
      </c>
      <c r="T4787" t="s">
        <v>13290</v>
      </c>
      <c r="U4787" t="s">
        <v>13290</v>
      </c>
      <c r="V4787" t="s">
        <v>13290</v>
      </c>
      <c r="W4787" t="s">
        <v>18029</v>
      </c>
      <c r="X4787">
        <v>52</v>
      </c>
      <c r="Y4787" t="s">
        <v>24513</v>
      </c>
      <c r="Z4787" t="s">
        <v>31117</v>
      </c>
      <c r="AA4787">
        <v>0.2674533907111335</v>
      </c>
      <c r="AB4787" t="str">
        <f>HYPERLINK("Melting_Curves/meltCurve_Q8WUM4_PDCD6IP.pdf", "Melting_Curves/meltCurve_Q8WUM4_PDCD6IP.pdf")</f>
        <v>Melting_Curves/meltCurve_Q8WUM4_PDCD6IP.pdf</v>
      </c>
    </row>
    <row r="4788" spans="1:28" x14ac:dyDescent="0.25">
      <c r="A4788" t="s">
        <v>4792</v>
      </c>
      <c r="B4788">
        <v>0.99252571173614901</v>
      </c>
      <c r="C4788">
        <v>0.98923650978669297</v>
      </c>
      <c r="D4788">
        <v>0.915494583348336</v>
      </c>
      <c r="E4788">
        <v>0.82275861940790396</v>
      </c>
      <c r="F4788">
        <v>0.59771513489321704</v>
      </c>
      <c r="G4788">
        <v>0.37800292060205098</v>
      </c>
      <c r="H4788">
        <v>0.18024932386308801</v>
      </c>
      <c r="I4788">
        <v>0.153551424727698</v>
      </c>
      <c r="J4788">
        <v>0.177467253305089</v>
      </c>
      <c r="K4788">
        <v>0.13957831793876099</v>
      </c>
      <c r="L4788">
        <v>908.98446038083102</v>
      </c>
      <c r="M4788">
        <v>16.955882777984801</v>
      </c>
      <c r="N4788">
        <v>54.4643067291832</v>
      </c>
      <c r="O4788">
        <v>52.879785443577397</v>
      </c>
      <c r="P4788">
        <v>-7.0795028444291003E-2</v>
      </c>
      <c r="Q4788">
        <v>0.116910101835977</v>
      </c>
      <c r="R4788">
        <v>0.99625294066862202</v>
      </c>
      <c r="S4788" t="s">
        <v>11434</v>
      </c>
      <c r="T4788" t="s">
        <v>13290</v>
      </c>
      <c r="U4788" t="s">
        <v>13290</v>
      </c>
      <c r="V4788" t="s">
        <v>13290</v>
      </c>
      <c r="W4788" t="s">
        <v>18030</v>
      </c>
      <c r="X4788">
        <v>3</v>
      </c>
      <c r="Y4788" t="s">
        <v>24514</v>
      </c>
      <c r="Z4788" t="s">
        <v>31118</v>
      </c>
      <c r="AA4788">
        <v>0.53311012763004784</v>
      </c>
      <c r="AB4788" t="str">
        <f>HYPERLINK("Melting_Curves/meltCurve_Q8WUN7_UBTD2.pdf", "Melting_Curves/meltCurve_Q8WUN7_UBTD2.pdf")</f>
        <v>Melting_Curves/meltCurve_Q8WUN7_UBTD2.pdf</v>
      </c>
    </row>
    <row r="4789" spans="1:28" x14ac:dyDescent="0.25">
      <c r="A4789" t="s">
        <v>4793</v>
      </c>
      <c r="B4789">
        <v>0.99252571173614901</v>
      </c>
      <c r="C4789">
        <v>1.09188661895866</v>
      </c>
      <c r="D4789">
        <v>0.88517849831993101</v>
      </c>
      <c r="E4789">
        <v>0.79545928184749004</v>
      </c>
      <c r="F4789">
        <v>0.51886241223960505</v>
      </c>
      <c r="G4789">
        <v>0.40938104147086302</v>
      </c>
      <c r="H4789">
        <v>0.30974145984145601</v>
      </c>
      <c r="I4789">
        <v>0.172832370183263</v>
      </c>
      <c r="J4789">
        <v>0.21718699355479601</v>
      </c>
      <c r="K4789">
        <v>0.26833796892857997</v>
      </c>
      <c r="L4789">
        <v>903.57951067446697</v>
      </c>
      <c r="M4789">
        <v>17.2824813456808</v>
      </c>
      <c r="N4789">
        <v>54.040643350764398</v>
      </c>
      <c r="O4789">
        <v>51.598032849204301</v>
      </c>
      <c r="P4789">
        <v>-6.5736842497881295E-2</v>
      </c>
      <c r="Q4789">
        <v>0.21499806590913001</v>
      </c>
      <c r="R4789">
        <v>0.97641638348783499</v>
      </c>
      <c r="S4789" t="s">
        <v>11435</v>
      </c>
      <c r="T4789" t="s">
        <v>13290</v>
      </c>
      <c r="U4789" t="s">
        <v>13290</v>
      </c>
      <c r="V4789" t="s">
        <v>13290</v>
      </c>
      <c r="W4789" t="s">
        <v>18031</v>
      </c>
      <c r="X4789">
        <v>12</v>
      </c>
      <c r="Y4789" t="s">
        <v>24515</v>
      </c>
      <c r="Z4789" t="s">
        <v>31119</v>
      </c>
      <c r="AA4789">
        <v>0.5503210671367148</v>
      </c>
      <c r="AB4789" t="str">
        <f>HYPERLINK("Melting_Curves/meltCurve_Q8WUP2_FBLIM1.pdf", "Melting_Curves/meltCurve_Q8WUP2_FBLIM1.pdf")</f>
        <v>Melting_Curves/meltCurve_Q8WUP2_FBLIM1.pdf</v>
      </c>
    </row>
    <row r="4790" spans="1:28" x14ac:dyDescent="0.25">
      <c r="A4790" t="s">
        <v>4794</v>
      </c>
      <c r="B4790">
        <v>0.99252571173614901</v>
      </c>
      <c r="C4790">
        <v>1.1371202213204501</v>
      </c>
      <c r="D4790">
        <v>0.99587111477838097</v>
      </c>
      <c r="E4790">
        <v>0.93580480306032099</v>
      </c>
      <c r="F4790">
        <v>0.86449944643543897</v>
      </c>
      <c r="G4790">
        <v>0.81325460012432804</v>
      </c>
      <c r="H4790">
        <v>0.76299886652969495</v>
      </c>
      <c r="I4790">
        <v>0.88984603083065505</v>
      </c>
      <c r="J4790">
        <v>1.2027306478692199</v>
      </c>
      <c r="K4790">
        <v>1.3164084710023201</v>
      </c>
      <c r="L4790">
        <v>15000</v>
      </c>
      <c r="M4790">
        <v>224.12501304299201</v>
      </c>
      <c r="O4790">
        <v>66.921606259282996</v>
      </c>
      <c r="P4790">
        <v>0.26493831747865798</v>
      </c>
      <c r="Q4790">
        <v>1.3164322853741901</v>
      </c>
      <c r="R4790">
        <v>0.49277872764318897</v>
      </c>
      <c r="S4790" t="s">
        <v>11436</v>
      </c>
      <c r="T4790" t="s">
        <v>13290</v>
      </c>
      <c r="U4790" t="s">
        <v>13290</v>
      </c>
      <c r="V4790" t="s">
        <v>13290</v>
      </c>
      <c r="W4790" t="s">
        <v>18032</v>
      </c>
      <c r="X4790">
        <v>3</v>
      </c>
      <c r="Y4790" t="s">
        <v>24516</v>
      </c>
      <c r="Z4790" t="s">
        <v>31120</v>
      </c>
      <c r="AA4790">
        <v>1.0323678468771149</v>
      </c>
      <c r="AB4790" t="str">
        <f>HYPERLINK("Melting_Curves/meltCurve_Q8WUR7_C15orf40.pdf", "Melting_Curves/meltCurve_Q8WUR7_C15orf40.pdf")</f>
        <v>Melting_Curves/meltCurve_Q8WUR7_C15orf40.pdf</v>
      </c>
    </row>
    <row r="4791" spans="1:28" x14ac:dyDescent="0.25">
      <c r="A4791" t="s">
        <v>4795</v>
      </c>
      <c r="B4791">
        <v>0.99252571173614901</v>
      </c>
      <c r="C4791">
        <v>1.06712485340444</v>
      </c>
      <c r="D4791">
        <v>0.93496406067334903</v>
      </c>
      <c r="E4791">
        <v>0.719837976872583</v>
      </c>
      <c r="F4791">
        <v>0.38951649143700201</v>
      </c>
      <c r="G4791">
        <v>0.19861756483319701</v>
      </c>
      <c r="H4791">
        <v>0.15898742589665499</v>
      </c>
      <c r="I4791">
        <v>0.14912634677584799</v>
      </c>
      <c r="J4791">
        <v>5.9807047540962201E-2</v>
      </c>
      <c r="K4791">
        <v>4.9977831098596701E-2</v>
      </c>
      <c r="L4791">
        <v>1097.2576707415601</v>
      </c>
      <c r="M4791">
        <v>21.289584280654701</v>
      </c>
      <c r="N4791">
        <v>52.0121288953519</v>
      </c>
      <c r="O4791">
        <v>51.091379281573502</v>
      </c>
      <c r="P4791">
        <v>-9.5017667648531298E-2</v>
      </c>
      <c r="Q4791">
        <v>8.79182863971079E-2</v>
      </c>
      <c r="R4791">
        <v>0.99158909691945396</v>
      </c>
      <c r="S4791" t="s">
        <v>11437</v>
      </c>
      <c r="T4791" t="s">
        <v>13290</v>
      </c>
      <c r="U4791" t="s">
        <v>13290</v>
      </c>
      <c r="V4791" t="s">
        <v>13290</v>
      </c>
      <c r="W4791" t="s">
        <v>18033</v>
      </c>
      <c r="X4791">
        <v>3</v>
      </c>
      <c r="Y4791" t="s">
        <v>24517</v>
      </c>
      <c r="Z4791" t="s">
        <v>31121</v>
      </c>
      <c r="AA4791">
        <v>0.45001814323926542</v>
      </c>
      <c r="AB4791" t="str">
        <f>HYPERLINK("Melting_Curves/meltCurve_Q8WUX2_CHAC2.pdf", "Melting_Curves/meltCurve_Q8WUX2_CHAC2.pdf")</f>
        <v>Melting_Curves/meltCurve_Q8WUX2_CHAC2.pdf</v>
      </c>
    </row>
    <row r="4792" spans="1:28" x14ac:dyDescent="0.25">
      <c r="A4792" t="s">
        <v>4796</v>
      </c>
      <c r="B4792">
        <v>0.99252571173614901</v>
      </c>
      <c r="C4792">
        <v>1.0378719355261099</v>
      </c>
      <c r="D4792">
        <v>0.71836398157991999</v>
      </c>
      <c r="E4792">
        <v>0.30352164550871802</v>
      </c>
      <c r="F4792">
        <v>0.15036467305382101</v>
      </c>
      <c r="G4792">
        <v>8.7496445633247696E-2</v>
      </c>
      <c r="H4792">
        <v>7.1835994789490404E-2</v>
      </c>
      <c r="I4792">
        <v>7.8343137285945094E-2</v>
      </c>
      <c r="J4792">
        <v>0.106516535123267</v>
      </c>
      <c r="K4792">
        <v>0.11414213524511201</v>
      </c>
      <c r="L4792">
        <v>1404.2687425013301</v>
      </c>
      <c r="M4792">
        <v>29.587905736539099</v>
      </c>
      <c r="N4792">
        <v>47.799768966354897</v>
      </c>
      <c r="O4792">
        <v>47.245687907636103</v>
      </c>
      <c r="P4792">
        <v>-0.14175263822185</v>
      </c>
      <c r="Q4792">
        <v>9.4609171653745494E-2</v>
      </c>
      <c r="R4792">
        <v>0.99389555821600595</v>
      </c>
      <c r="S4792" t="s">
        <v>11438</v>
      </c>
      <c r="T4792" t="s">
        <v>13290</v>
      </c>
      <c r="U4792" t="s">
        <v>13290</v>
      </c>
      <c r="V4792" t="s">
        <v>13290</v>
      </c>
      <c r="W4792" t="s">
        <v>18034</v>
      </c>
      <c r="X4792">
        <v>8</v>
      </c>
      <c r="Y4792" t="s">
        <v>24518</v>
      </c>
      <c r="Z4792" t="s">
        <v>31122</v>
      </c>
      <c r="AA4792">
        <v>0.32536968324431859</v>
      </c>
      <c r="AB4792" t="str">
        <f>HYPERLINK("Melting_Curves/meltCurve_Q8WUX9_CHMP7.pdf", "Melting_Curves/meltCurve_Q8WUX9_CHMP7.pdf")</f>
        <v>Melting_Curves/meltCurve_Q8WUX9_CHMP7.pdf</v>
      </c>
    </row>
    <row r="4793" spans="1:28" x14ac:dyDescent="0.25">
      <c r="A4793" t="s">
        <v>4797</v>
      </c>
      <c r="B4793">
        <v>0.99252571173614901</v>
      </c>
      <c r="C4793">
        <v>0.96144737945594005</v>
      </c>
      <c r="D4793">
        <v>0.85387135136946601</v>
      </c>
      <c r="E4793">
        <v>0.80908982966339105</v>
      </c>
      <c r="F4793">
        <v>0.623900582965767</v>
      </c>
      <c r="G4793">
        <v>0.53145592603631797</v>
      </c>
      <c r="H4793">
        <v>0.45178591731156797</v>
      </c>
      <c r="I4793">
        <v>0.63633551776463304</v>
      </c>
      <c r="J4793">
        <v>1.0174177058831899</v>
      </c>
      <c r="K4793">
        <v>0.69952083108694596</v>
      </c>
      <c r="L4793">
        <v>1151.1516548956399</v>
      </c>
      <c r="M4793">
        <v>24.464966981345999</v>
      </c>
      <c r="O4793">
        <v>46.742081378197902</v>
      </c>
      <c r="P4793">
        <v>-4.3930251640895701E-2</v>
      </c>
      <c r="Q4793">
        <v>0.66427738405575798</v>
      </c>
      <c r="R4793">
        <v>0.43821210783883902</v>
      </c>
      <c r="S4793" t="s">
        <v>11439</v>
      </c>
      <c r="T4793" t="s">
        <v>13290</v>
      </c>
      <c r="U4793" t="s">
        <v>13290</v>
      </c>
      <c r="V4793" t="s">
        <v>13290</v>
      </c>
      <c r="W4793" t="s">
        <v>18035</v>
      </c>
      <c r="X4793">
        <v>17</v>
      </c>
      <c r="Y4793" t="s">
        <v>24519</v>
      </c>
      <c r="Z4793" t="s">
        <v>31123</v>
      </c>
      <c r="AA4793">
        <v>0.74634707186701044</v>
      </c>
      <c r="AB4793" t="str">
        <f>HYPERLINK("Melting_Curves/meltCurve_Q8WUY1_THEM6.pdf", "Melting_Curves/meltCurve_Q8WUY1_THEM6.pdf")</f>
        <v>Melting_Curves/meltCurve_Q8WUY1_THEM6.pdf</v>
      </c>
    </row>
    <row r="4794" spans="1:28" x14ac:dyDescent="0.25">
      <c r="A4794" t="s">
        <v>4798</v>
      </c>
      <c r="B4794">
        <v>0.99252571173614901</v>
      </c>
      <c r="C4794">
        <v>0.86040405360003802</v>
      </c>
      <c r="D4794">
        <v>0.73487767859497899</v>
      </c>
      <c r="E4794">
        <v>0.60578804722109603</v>
      </c>
      <c r="F4794">
        <v>0.172650820520067</v>
      </c>
      <c r="G4794">
        <v>7.9291286911183395E-2</v>
      </c>
      <c r="H4794">
        <v>5.5941992040094E-2</v>
      </c>
      <c r="I4794">
        <v>5.70458196098148E-2</v>
      </c>
      <c r="J4794">
        <v>7.5334569035977295E-2</v>
      </c>
      <c r="K4794">
        <v>5.5789484476128103E-2</v>
      </c>
      <c r="L4794">
        <v>834.366279392519</v>
      </c>
      <c r="M4794">
        <v>16.921020475762301</v>
      </c>
      <c r="N4794">
        <v>49.485497708480899</v>
      </c>
      <c r="O4794">
        <v>48.636206022921002</v>
      </c>
      <c r="P4794">
        <v>-8.4442182463276602E-2</v>
      </c>
      <c r="Q4794">
        <v>2.9210120329758199E-2</v>
      </c>
      <c r="R4794">
        <v>0.97785888788369302</v>
      </c>
      <c r="S4794" t="s">
        <v>11440</v>
      </c>
      <c r="T4794" t="s">
        <v>13290</v>
      </c>
      <c r="U4794" t="s">
        <v>13290</v>
      </c>
      <c r="V4794" t="s">
        <v>13290</v>
      </c>
      <c r="W4794" t="s">
        <v>18036</v>
      </c>
      <c r="X4794">
        <v>5</v>
      </c>
      <c r="Y4794" t="s">
        <v>24520</v>
      </c>
      <c r="Z4794" t="s">
        <v>31124</v>
      </c>
      <c r="AA4794">
        <v>0.34932452271229908</v>
      </c>
      <c r="AB4794" t="str">
        <f>HYPERLINK("Melting_Curves/meltCurve_Q8WUY8_NAT14.pdf", "Melting_Curves/meltCurve_Q8WUY8_NAT14.pdf")</f>
        <v>Melting_Curves/meltCurve_Q8WUY8_NAT14.pdf</v>
      </c>
    </row>
    <row r="4795" spans="1:28" x14ac:dyDescent="0.25">
      <c r="A4795" t="s">
        <v>4799</v>
      </c>
      <c r="B4795">
        <v>0.99252571173614901</v>
      </c>
      <c r="C4795">
        <v>1.0392326997717001</v>
      </c>
      <c r="D4795">
        <v>0.93440873027326199</v>
      </c>
      <c r="E4795">
        <v>0.88006065295737701</v>
      </c>
      <c r="F4795">
        <v>0.25077994410630999</v>
      </c>
      <c r="G4795">
        <v>0.18038165639964901</v>
      </c>
      <c r="H4795">
        <v>0.13108322370793199</v>
      </c>
      <c r="I4795">
        <v>0.124045689002534</v>
      </c>
      <c r="J4795">
        <v>0.155139895080047</v>
      </c>
      <c r="K4795">
        <v>0.17719182266316499</v>
      </c>
      <c r="L4795">
        <v>2756.0405068515502</v>
      </c>
      <c r="M4795">
        <v>53.7925495400439</v>
      </c>
      <c r="N4795">
        <v>51.582346096825198</v>
      </c>
      <c r="O4795">
        <v>51.163970638046898</v>
      </c>
      <c r="P4795">
        <v>-0.22286983744594699</v>
      </c>
      <c r="Q4795">
        <v>0.15208372054835501</v>
      </c>
      <c r="R4795">
        <v>0.99468392554259799</v>
      </c>
      <c r="S4795" t="s">
        <v>11441</v>
      </c>
      <c r="T4795" t="s">
        <v>13290</v>
      </c>
      <c r="U4795" t="s">
        <v>13290</v>
      </c>
      <c r="V4795" t="s">
        <v>13290</v>
      </c>
      <c r="W4795" t="s">
        <v>18037</v>
      </c>
      <c r="X4795">
        <v>3</v>
      </c>
      <c r="Y4795" t="s">
        <v>24521</v>
      </c>
      <c r="Z4795" t="s">
        <v>31125</v>
      </c>
      <c r="AA4795">
        <v>0.47127175585731351</v>
      </c>
      <c r="AB4795" t="str">
        <f>HYPERLINK("Melting_Curves/meltCurve_Q8WV22_NSMCE1.pdf", "Melting_Curves/meltCurve_Q8WV22_NSMCE1.pdf")</f>
        <v>Melting_Curves/meltCurve_Q8WV22_NSMCE1.pdf</v>
      </c>
    </row>
    <row r="4796" spans="1:28" x14ac:dyDescent="0.25">
      <c r="A4796" t="s">
        <v>4800</v>
      </c>
      <c r="B4796">
        <v>0.99252571173614901</v>
      </c>
      <c r="C4796">
        <v>0.96908447974442402</v>
      </c>
      <c r="D4796">
        <v>0.94637050915236898</v>
      </c>
      <c r="E4796">
        <v>1.06949199064227</v>
      </c>
      <c r="F4796">
        <v>0.78397285842210296</v>
      </c>
      <c r="G4796">
        <v>0.61259339482048902</v>
      </c>
      <c r="H4796">
        <v>0.29560176322401399</v>
      </c>
      <c r="I4796">
        <v>0.133460108814144</v>
      </c>
      <c r="J4796">
        <v>0.22561397474497599</v>
      </c>
      <c r="K4796">
        <v>0.22705222916673301</v>
      </c>
      <c r="L4796">
        <v>1411.1689008680401</v>
      </c>
      <c r="M4796">
        <v>24.964865525394501</v>
      </c>
      <c r="N4796">
        <v>57.546762233296597</v>
      </c>
      <c r="O4796">
        <v>56.167240862659298</v>
      </c>
      <c r="P4796">
        <v>-9.1244863517078695E-2</v>
      </c>
      <c r="Q4796">
        <v>0.178861481549909</v>
      </c>
      <c r="R4796">
        <v>0.975574175711592</v>
      </c>
      <c r="S4796" t="s">
        <v>11442</v>
      </c>
      <c r="T4796" t="s">
        <v>13290</v>
      </c>
      <c r="U4796" t="s">
        <v>13290</v>
      </c>
      <c r="V4796" t="s">
        <v>13290</v>
      </c>
      <c r="W4796" t="s">
        <v>18038</v>
      </c>
      <c r="X4796">
        <v>1</v>
      </c>
      <c r="Y4796" t="s">
        <v>24522</v>
      </c>
      <c r="Z4796" t="s">
        <v>31126</v>
      </c>
      <c r="AA4796">
        <v>0.63869736619710127</v>
      </c>
      <c r="AB4796" t="str">
        <f>HYPERLINK("Melting_Curves/meltCurve_Q8WV41_SNX33.pdf", "Melting_Curves/meltCurve_Q8WV41_SNX33.pdf")</f>
        <v>Melting_Curves/meltCurve_Q8WV41_SNX33.pdf</v>
      </c>
    </row>
    <row r="4797" spans="1:28" x14ac:dyDescent="0.25">
      <c r="A4797" t="s">
        <v>4801</v>
      </c>
      <c r="B4797">
        <v>0.99252571173614901</v>
      </c>
      <c r="C4797">
        <v>0.97990189713649001</v>
      </c>
      <c r="D4797">
        <v>0.53308441334519396</v>
      </c>
      <c r="E4797">
        <v>0.33377484812623698</v>
      </c>
      <c r="F4797">
        <v>0.262913373457553</v>
      </c>
      <c r="G4797">
        <v>0.14174604401242699</v>
      </c>
      <c r="H4797">
        <v>9.1971847478187693E-2</v>
      </c>
      <c r="I4797">
        <v>6.8974261644949394E-2</v>
      </c>
      <c r="J4797">
        <v>6.2060499123789102E-2</v>
      </c>
      <c r="K4797">
        <v>6.5164879568973599E-2</v>
      </c>
      <c r="L4797">
        <v>886.55414166464504</v>
      </c>
      <c r="M4797">
        <v>18.8853174998284</v>
      </c>
      <c r="N4797">
        <v>47.420521526167597</v>
      </c>
      <c r="O4797">
        <v>46.427236555188202</v>
      </c>
      <c r="P4797">
        <v>-9.2909385501604005E-2</v>
      </c>
      <c r="Q4797">
        <v>8.6411987886819905E-2</v>
      </c>
      <c r="R4797">
        <v>0.97290874566250096</v>
      </c>
      <c r="S4797" t="s">
        <v>11443</v>
      </c>
      <c r="T4797" t="s">
        <v>13290</v>
      </c>
      <c r="U4797" t="s">
        <v>13290</v>
      </c>
      <c r="V4797" t="s">
        <v>13290</v>
      </c>
      <c r="W4797" t="s">
        <v>18039</v>
      </c>
      <c r="X4797">
        <v>3</v>
      </c>
      <c r="Y4797" t="s">
        <v>24523</v>
      </c>
      <c r="Z4797" t="s">
        <v>31127</v>
      </c>
      <c r="AA4797">
        <v>0.31309482303696939</v>
      </c>
      <c r="AB4797" t="str">
        <f>HYPERLINK("Melting_Curves/meltCurve_Q8WV60_PTCD2.pdf", "Melting_Curves/meltCurve_Q8WV60_PTCD2.pdf")</f>
        <v>Melting_Curves/meltCurve_Q8WV60_PTCD2.pdf</v>
      </c>
    </row>
    <row r="4798" spans="1:28" x14ac:dyDescent="0.25">
      <c r="A4798" t="s">
        <v>4802</v>
      </c>
      <c r="B4798">
        <v>0.99252571173614901</v>
      </c>
      <c r="C4798">
        <v>1.0051866100003499</v>
      </c>
      <c r="D4798">
        <v>0.83445563670962897</v>
      </c>
      <c r="E4798">
        <v>0.81604762329022396</v>
      </c>
      <c r="F4798">
        <v>0.55994817772653005</v>
      </c>
      <c r="G4798">
        <v>0.41175097226872098</v>
      </c>
      <c r="H4798">
        <v>0.22106714840627001</v>
      </c>
      <c r="I4798">
        <v>0.17023226041955</v>
      </c>
      <c r="J4798">
        <v>0.164066130213362</v>
      </c>
      <c r="K4798">
        <v>0.117227068777719</v>
      </c>
      <c r="L4798">
        <v>691.17527483998902</v>
      </c>
      <c r="M4798">
        <v>12.8172164434582</v>
      </c>
      <c r="N4798">
        <v>54.587211317542298</v>
      </c>
      <c r="O4798">
        <v>52.663439985108397</v>
      </c>
      <c r="P4798">
        <v>-5.6477902476876903E-2</v>
      </c>
      <c r="Q4798">
        <v>7.1946541224630206E-2</v>
      </c>
      <c r="R4798">
        <v>0.99049184160143999</v>
      </c>
      <c r="S4798" t="s">
        <v>11444</v>
      </c>
      <c r="T4798" t="s">
        <v>13290</v>
      </c>
      <c r="U4798" t="s">
        <v>13290</v>
      </c>
      <c r="V4798" t="s">
        <v>13290</v>
      </c>
      <c r="W4798" t="s">
        <v>18040</v>
      </c>
      <c r="X4798">
        <v>5</v>
      </c>
      <c r="Y4798" t="s">
        <v>24524</v>
      </c>
      <c r="Z4798" t="s">
        <v>31128</v>
      </c>
      <c r="AA4798">
        <v>0.52561114490988714</v>
      </c>
      <c r="AB4798" t="str">
        <f>HYPERLINK("Melting_Curves/meltCurve_Q8WV93_LACE1.pdf", "Melting_Curves/meltCurve_Q8WV93_LACE1.pdf")</f>
        <v>Melting_Curves/meltCurve_Q8WV93_LACE1.pdf</v>
      </c>
    </row>
    <row r="4799" spans="1:28" x14ac:dyDescent="0.25">
      <c r="A4799" t="s">
        <v>4803</v>
      </c>
      <c r="B4799">
        <v>0.99252571173614901</v>
      </c>
      <c r="C4799">
        <v>0.66414491216369398</v>
      </c>
      <c r="D4799">
        <v>0.44447424917391298</v>
      </c>
      <c r="E4799">
        <v>9.2312922531320202E-2</v>
      </c>
      <c r="F4799">
        <v>6.2545465892895405E-2</v>
      </c>
      <c r="G4799">
        <v>2.9052134754280801E-2</v>
      </c>
      <c r="H4799">
        <v>3.3407361313923099E-2</v>
      </c>
      <c r="I4799">
        <v>3.7818022575284597E-2</v>
      </c>
      <c r="J4799">
        <v>6.1544359680537002E-2</v>
      </c>
      <c r="K4799">
        <v>0.101803500209754</v>
      </c>
      <c r="L4799">
        <v>987.78020771488104</v>
      </c>
      <c r="M4799">
        <v>22.090575698779599</v>
      </c>
      <c r="N4799">
        <v>44.905605377700802</v>
      </c>
      <c r="O4799">
        <v>44.3534173768047</v>
      </c>
      <c r="P4799">
        <v>-0.118945035078865</v>
      </c>
      <c r="Q4799">
        <v>4.4750568326729398E-2</v>
      </c>
      <c r="R4799">
        <v>0.98139722743893898</v>
      </c>
      <c r="S4799" t="s">
        <v>11445</v>
      </c>
      <c r="T4799" t="s">
        <v>13290</v>
      </c>
      <c r="U4799" t="s">
        <v>13290</v>
      </c>
      <c r="V4799" t="s">
        <v>13290</v>
      </c>
      <c r="W4799" t="s">
        <v>18041</v>
      </c>
      <c r="X4799">
        <v>3</v>
      </c>
      <c r="Y4799" t="s">
        <v>24525</v>
      </c>
      <c r="Z4799" t="s">
        <v>31129</v>
      </c>
      <c r="AA4799">
        <v>0.20812026697426539</v>
      </c>
      <c r="AB4799" t="str">
        <f>HYPERLINK("Melting_Curves/meltCurve_Q8WVB6_CHTF18.pdf", "Melting_Curves/meltCurve_Q8WVB6_CHTF18.pdf")</f>
        <v>Melting_Curves/meltCurve_Q8WVB6_CHTF18.pdf</v>
      </c>
    </row>
    <row r="4800" spans="1:28" x14ac:dyDescent="0.25">
      <c r="A4800" t="s">
        <v>4804</v>
      </c>
      <c r="B4800">
        <v>0.99252571173614901</v>
      </c>
      <c r="C4800">
        <v>0.91250539615619397</v>
      </c>
      <c r="D4800">
        <v>0.82175720529044705</v>
      </c>
      <c r="E4800">
        <v>0.45433149599845701</v>
      </c>
      <c r="F4800">
        <v>0.27773863679743099</v>
      </c>
      <c r="G4800">
        <v>0.211953524648126</v>
      </c>
      <c r="H4800">
        <v>0.196099746261719</v>
      </c>
      <c r="I4800">
        <v>0.26364758979501401</v>
      </c>
      <c r="J4800">
        <v>0.361114288941004</v>
      </c>
      <c r="K4800">
        <v>0.46727923283904199</v>
      </c>
      <c r="L4800">
        <v>1477.7494225631001</v>
      </c>
      <c r="M4800">
        <v>31.1150000832952</v>
      </c>
      <c r="N4800">
        <v>48.8815971818454</v>
      </c>
      <c r="O4800">
        <v>47.298293177630001</v>
      </c>
      <c r="P4800">
        <v>-0.116210091077715</v>
      </c>
      <c r="Q4800">
        <v>0.293394808452837</v>
      </c>
      <c r="R4800">
        <v>0.92855110681932995</v>
      </c>
      <c r="S4800" t="s">
        <v>11446</v>
      </c>
      <c r="T4800" t="s">
        <v>13290</v>
      </c>
      <c r="U4800" t="s">
        <v>13290</v>
      </c>
      <c r="V4800" t="s">
        <v>13290</v>
      </c>
      <c r="W4800" t="s">
        <v>18042</v>
      </c>
      <c r="X4800">
        <v>13</v>
      </c>
      <c r="Y4800" t="s">
        <v>24526</v>
      </c>
      <c r="Z4800" t="s">
        <v>31130</v>
      </c>
      <c r="AA4800">
        <v>0.47380939023179158</v>
      </c>
      <c r="AB4800" t="str">
        <f>HYPERLINK("Melting_Curves/meltCurve_Q8WVC0_LEO1.pdf", "Melting_Curves/meltCurve_Q8WVC0_LEO1.pdf")</f>
        <v>Melting_Curves/meltCurve_Q8WVC0_LEO1.pdf</v>
      </c>
    </row>
    <row r="4801" spans="1:28" x14ac:dyDescent="0.25">
      <c r="A4801" t="s">
        <v>4805</v>
      </c>
      <c r="B4801">
        <v>0.99252571173614901</v>
      </c>
      <c r="C4801">
        <v>1.03912224554726</v>
      </c>
      <c r="D4801">
        <v>0.98878026472123604</v>
      </c>
      <c r="E4801">
        <v>1.0424606143583901</v>
      </c>
      <c r="F4801">
        <v>0.89025824575557999</v>
      </c>
      <c r="G4801">
        <v>0.59655115666618796</v>
      </c>
      <c r="H4801">
        <v>0.52304852595231599</v>
      </c>
      <c r="I4801">
        <v>0.58454536066989105</v>
      </c>
      <c r="J4801">
        <v>0.94226436993114604</v>
      </c>
      <c r="K4801">
        <v>1.2945705032880901</v>
      </c>
      <c r="L4801">
        <v>13296.1404157084</v>
      </c>
      <c r="M4801">
        <v>250</v>
      </c>
      <c r="O4801">
        <v>53.181142762272998</v>
      </c>
      <c r="P4801">
        <v>-0.24891805593470301</v>
      </c>
      <c r="Q4801">
        <v>0.78819599177030697</v>
      </c>
      <c r="R4801">
        <v>0.20880145204923001</v>
      </c>
      <c r="S4801" t="s">
        <v>11447</v>
      </c>
      <c r="T4801" t="s">
        <v>13290</v>
      </c>
      <c r="U4801" t="s">
        <v>13290</v>
      </c>
      <c r="V4801" t="s">
        <v>13290</v>
      </c>
      <c r="W4801" t="s">
        <v>18043</v>
      </c>
      <c r="X4801">
        <v>7</v>
      </c>
      <c r="Y4801" t="s">
        <v>24527</v>
      </c>
      <c r="Z4801" t="s">
        <v>31131</v>
      </c>
      <c r="AA4801">
        <v>0.88130052804733461</v>
      </c>
      <c r="AB4801" t="str">
        <f>HYPERLINK("Melting_Curves/meltCurve_Q8WVC2_RPS21.pdf", "Melting_Curves/meltCurve_Q8WVC2_RPS21.pdf")</f>
        <v>Melting_Curves/meltCurve_Q8WVC2_RPS21.pdf</v>
      </c>
    </row>
    <row r="4802" spans="1:28" x14ac:dyDescent="0.25">
      <c r="A4802" t="s">
        <v>4806</v>
      </c>
      <c r="B4802">
        <v>0.99252571173614901</v>
      </c>
      <c r="C4802">
        <v>0.887308773760907</v>
      </c>
      <c r="D4802">
        <v>0.51358148969437301</v>
      </c>
      <c r="E4802">
        <v>0.22420548767964499</v>
      </c>
      <c r="F4802">
        <v>8.6178161475433904E-2</v>
      </c>
      <c r="G4802">
        <v>4.2190935352749703E-2</v>
      </c>
      <c r="H4802">
        <v>3.6111780012348403E-2</v>
      </c>
      <c r="I4802">
        <v>3.08752248340519E-2</v>
      </c>
      <c r="J4802">
        <v>3.745258309966E-2</v>
      </c>
      <c r="K4802">
        <v>5.49648380020075E-2</v>
      </c>
      <c r="L4802">
        <v>1091.70147199137</v>
      </c>
      <c r="M4802">
        <v>23.644271649642199</v>
      </c>
      <c r="N4802">
        <v>46.337750256498403</v>
      </c>
      <c r="O4802">
        <v>45.8454295174691</v>
      </c>
      <c r="P4802">
        <v>-0.12370634519647999</v>
      </c>
      <c r="Q4802">
        <v>4.0566283383888201E-2</v>
      </c>
      <c r="R4802">
        <v>0.99774641475498604</v>
      </c>
      <c r="S4802" t="s">
        <v>11448</v>
      </c>
      <c r="T4802" t="s">
        <v>13290</v>
      </c>
      <c r="U4802" t="s">
        <v>13290</v>
      </c>
      <c r="V4802" t="s">
        <v>13290</v>
      </c>
      <c r="W4802" t="s">
        <v>18044</v>
      </c>
      <c r="X4802">
        <v>2</v>
      </c>
      <c r="Y4802" t="s">
        <v>24528</v>
      </c>
      <c r="Z4802" t="s">
        <v>31132</v>
      </c>
      <c r="AA4802">
        <v>0.24794024595057071</v>
      </c>
      <c r="AB4802" t="str">
        <f>HYPERLINK("Melting_Curves/meltCurve_Q8WVD3_RNF138.pdf", "Melting_Curves/meltCurve_Q8WVD3_RNF138.pdf")</f>
        <v>Melting_Curves/meltCurve_Q8WVD3_RNF138.pdf</v>
      </c>
    </row>
    <row r="4803" spans="1:28" x14ac:dyDescent="0.25">
      <c r="A4803" t="s">
        <v>4807</v>
      </c>
      <c r="B4803">
        <v>0.99252571173614901</v>
      </c>
      <c r="C4803">
        <v>1.09868864146984</v>
      </c>
      <c r="D4803">
        <v>0.39286053332086901</v>
      </c>
      <c r="E4803">
        <v>0.228024432240965</v>
      </c>
      <c r="F4803">
        <v>0.120069801511276</v>
      </c>
      <c r="G4803">
        <v>6.8459724769365196E-2</v>
      </c>
      <c r="H4803">
        <v>4.9879698170494098E-2</v>
      </c>
      <c r="I4803">
        <v>5.3785346676682402E-2</v>
      </c>
      <c r="J4803">
        <v>7.0855902343851807E-2</v>
      </c>
      <c r="K4803">
        <v>6.5954171479882404E-2</v>
      </c>
      <c r="L4803">
        <v>11467.4173992821</v>
      </c>
      <c r="M4803">
        <v>250</v>
      </c>
      <c r="N4803">
        <v>45.907848347908399</v>
      </c>
      <c r="O4803">
        <v>45.866734667789302</v>
      </c>
      <c r="P4803">
        <v>-1.2347438755483899</v>
      </c>
      <c r="Q4803">
        <v>9.3861293903219706E-2</v>
      </c>
      <c r="R4803">
        <v>0.97649975939391198</v>
      </c>
      <c r="S4803" t="s">
        <v>11449</v>
      </c>
      <c r="T4803" t="s">
        <v>13290</v>
      </c>
      <c r="U4803" t="s">
        <v>13290</v>
      </c>
      <c r="V4803" t="s">
        <v>13290</v>
      </c>
      <c r="W4803" t="s">
        <v>18045</v>
      </c>
      <c r="X4803">
        <v>8</v>
      </c>
      <c r="Y4803" t="s">
        <v>24529</v>
      </c>
      <c r="Z4803" t="s">
        <v>31133</v>
      </c>
      <c r="AA4803">
        <v>0.2712253990383543</v>
      </c>
      <c r="AB4803" t="str">
        <f>HYPERLINK("Melting_Curves/meltCurve_Q8WVJ2_NUDCD2.pdf", "Melting_Curves/meltCurve_Q8WVJ2_NUDCD2.pdf")</f>
        <v>Melting_Curves/meltCurve_Q8WVJ2_NUDCD2.pdf</v>
      </c>
    </row>
    <row r="4804" spans="1:28" x14ac:dyDescent="0.25">
      <c r="A4804" t="s">
        <v>4808</v>
      </c>
      <c r="B4804">
        <v>0.99252571173614901</v>
      </c>
      <c r="C4804">
        <v>1.1531764508136999</v>
      </c>
      <c r="D4804">
        <v>1.3209864714625701</v>
      </c>
      <c r="E4804">
        <v>1.0663816169823099</v>
      </c>
      <c r="F4804">
        <v>0.93867242228988901</v>
      </c>
      <c r="G4804">
        <v>0.72259988871574499</v>
      </c>
      <c r="H4804">
        <v>0.65394945600582399</v>
      </c>
      <c r="I4804">
        <v>0.91599817823654806</v>
      </c>
      <c r="J4804">
        <v>1.5202879064896799</v>
      </c>
      <c r="K4804">
        <v>1.7706304406461399</v>
      </c>
      <c r="L4804">
        <v>14377.0955261284</v>
      </c>
      <c r="M4804">
        <v>218.839506730484</v>
      </c>
      <c r="O4804">
        <v>65.691512966083593</v>
      </c>
      <c r="P4804">
        <v>0.41641520600493998</v>
      </c>
      <c r="Q4804">
        <v>1.5</v>
      </c>
      <c r="R4804">
        <v>0.622041565981996</v>
      </c>
      <c r="S4804" t="s">
        <v>11450</v>
      </c>
      <c r="T4804" t="s">
        <v>13290</v>
      </c>
      <c r="U4804" t="s">
        <v>13290</v>
      </c>
      <c r="V4804" t="s">
        <v>13290</v>
      </c>
      <c r="W4804" t="s">
        <v>18046</v>
      </c>
      <c r="X4804">
        <v>7</v>
      </c>
      <c r="Y4804" t="s">
        <v>24530</v>
      </c>
      <c r="Z4804" t="s">
        <v>31134</v>
      </c>
      <c r="AA4804">
        <v>1.0716417054745579</v>
      </c>
      <c r="AB4804" t="str">
        <f>HYPERLINK("Melting_Curves/meltCurve_Q8WVK2_SNRNP27.pdf", "Melting_Curves/meltCurve_Q8WVK2_SNRNP27.pdf")</f>
        <v>Melting_Curves/meltCurve_Q8WVK2_SNRNP27.pdf</v>
      </c>
    </row>
    <row r="4805" spans="1:28" x14ac:dyDescent="0.25">
      <c r="A4805" t="s">
        <v>4809</v>
      </c>
      <c r="B4805">
        <v>0.99252571173614901</v>
      </c>
      <c r="C4805">
        <v>0.96727789401073605</v>
      </c>
      <c r="D4805">
        <v>0.89175823180078195</v>
      </c>
      <c r="E4805">
        <v>0.68482227200500401</v>
      </c>
      <c r="F4805">
        <v>0.52432181658038701</v>
      </c>
      <c r="G4805">
        <v>0.286469124645643</v>
      </c>
      <c r="H4805">
        <v>0.11734514158885601</v>
      </c>
      <c r="I4805">
        <v>0.12895544189014699</v>
      </c>
      <c r="J4805">
        <v>0.15494981425510401</v>
      </c>
      <c r="K4805">
        <v>0.16647131081486999</v>
      </c>
      <c r="L4805">
        <v>831.34952703898102</v>
      </c>
      <c r="M4805">
        <v>16.0102632831051</v>
      </c>
      <c r="N4805">
        <v>52.736335543658797</v>
      </c>
      <c r="O4805">
        <v>51.136196374719901</v>
      </c>
      <c r="P4805">
        <v>-6.9743433843616906E-2</v>
      </c>
      <c r="Q4805">
        <v>0.109037794093998</v>
      </c>
      <c r="R4805">
        <v>0.99034327854963899</v>
      </c>
      <c r="S4805" t="s">
        <v>11451</v>
      </c>
      <c r="T4805" t="s">
        <v>13290</v>
      </c>
      <c r="U4805" t="s">
        <v>13290</v>
      </c>
      <c r="V4805" t="s">
        <v>13290</v>
      </c>
      <c r="W4805" t="s">
        <v>18047</v>
      </c>
      <c r="X4805">
        <v>3</v>
      </c>
      <c r="Y4805" t="s">
        <v>24531</v>
      </c>
      <c r="Z4805" t="s">
        <v>31135</v>
      </c>
      <c r="AA4805">
        <v>0.48125241328592377</v>
      </c>
      <c r="AB4805" t="str">
        <f>HYPERLINK("Melting_Curves/meltCurve_Q8WVL7_ANKRD49.pdf", "Melting_Curves/meltCurve_Q8WVL7_ANKRD49.pdf")</f>
        <v>Melting_Curves/meltCurve_Q8WVL7_ANKRD49.pdf</v>
      </c>
    </row>
    <row r="4806" spans="1:28" x14ac:dyDescent="0.25">
      <c r="A4806" t="s">
        <v>4810</v>
      </c>
      <c r="B4806">
        <v>0.99252571173614901</v>
      </c>
      <c r="C4806">
        <v>1.04470282640773</v>
      </c>
      <c r="D4806">
        <v>0.84770248559302097</v>
      </c>
      <c r="E4806">
        <v>0.69530910650773503</v>
      </c>
      <c r="F4806">
        <v>0.351797497672658</v>
      </c>
      <c r="G4806">
        <v>0.20414003040325901</v>
      </c>
      <c r="H4806">
        <v>0.134603857141987</v>
      </c>
      <c r="I4806">
        <v>0.13340261911421999</v>
      </c>
      <c r="J4806">
        <v>0.139095122591151</v>
      </c>
      <c r="K4806">
        <v>0.134682842282287</v>
      </c>
      <c r="L4806">
        <v>1065.0730259269101</v>
      </c>
      <c r="M4806">
        <v>20.9953401545472</v>
      </c>
      <c r="N4806">
        <v>51.421487664779498</v>
      </c>
      <c r="O4806">
        <v>50.275514303898802</v>
      </c>
      <c r="P4806">
        <v>-9.1548009347285506E-2</v>
      </c>
      <c r="Q4806">
        <v>0.12313853664632</v>
      </c>
      <c r="R4806">
        <v>0.99298752240487997</v>
      </c>
      <c r="S4806" t="s">
        <v>11452</v>
      </c>
      <c r="T4806" t="s">
        <v>13290</v>
      </c>
      <c r="U4806" t="s">
        <v>13290</v>
      </c>
      <c r="V4806" t="s">
        <v>13290</v>
      </c>
      <c r="W4806" t="s">
        <v>18048</v>
      </c>
      <c r="X4806">
        <v>6</v>
      </c>
      <c r="Y4806" t="s">
        <v>24532</v>
      </c>
      <c r="Z4806" t="s">
        <v>31136</v>
      </c>
      <c r="AA4806">
        <v>0.44783767959060411</v>
      </c>
      <c r="AB4806" t="str">
        <f>HYPERLINK("Melting_Curves/meltCurve_Q8WVM0_TFB1M.pdf", "Melting_Curves/meltCurve_Q8WVM0_TFB1M.pdf")</f>
        <v>Melting_Curves/meltCurve_Q8WVM0_TFB1M.pdf</v>
      </c>
    </row>
    <row r="4807" spans="1:28" x14ac:dyDescent="0.25">
      <c r="A4807" t="s">
        <v>4811</v>
      </c>
      <c r="B4807">
        <v>0.99252571173614901</v>
      </c>
      <c r="C4807">
        <v>0.83324816082739595</v>
      </c>
      <c r="D4807">
        <v>0.75356399843779398</v>
      </c>
      <c r="E4807">
        <v>0.42498334767665202</v>
      </c>
      <c r="F4807">
        <v>0.12737677563795399</v>
      </c>
      <c r="G4807">
        <v>7.2743933814148898E-2</v>
      </c>
      <c r="H4807">
        <v>4.5673385635783097E-2</v>
      </c>
      <c r="I4807">
        <v>4.55470326972513E-2</v>
      </c>
      <c r="J4807">
        <v>4.8229877119499998E-2</v>
      </c>
      <c r="K4807">
        <v>4.7129891319269201E-2</v>
      </c>
      <c r="L4807">
        <v>898.19975402180398</v>
      </c>
      <c r="M4807">
        <v>18.606618607681099</v>
      </c>
      <c r="N4807">
        <v>48.427369737230997</v>
      </c>
      <c r="O4807">
        <v>47.725900820855998</v>
      </c>
      <c r="P4807">
        <v>-9.4666278892114597E-2</v>
      </c>
      <c r="Q4807">
        <v>2.8767573867610599E-2</v>
      </c>
      <c r="R4807">
        <v>0.99125845845137694</v>
      </c>
      <c r="S4807" t="s">
        <v>11453</v>
      </c>
      <c r="T4807" t="s">
        <v>13290</v>
      </c>
      <c r="U4807" t="s">
        <v>13290</v>
      </c>
      <c r="V4807" t="s">
        <v>13290</v>
      </c>
      <c r="W4807" t="s">
        <v>18049</v>
      </c>
      <c r="X4807">
        <v>18</v>
      </c>
      <c r="Y4807" t="s">
        <v>24533</v>
      </c>
      <c r="Z4807" t="s">
        <v>31137</v>
      </c>
      <c r="AA4807">
        <v>0.31257079793059139</v>
      </c>
      <c r="AB4807" t="str">
        <f>HYPERLINK("Melting_Curves/meltCurve_Q8WVM8_SCFD1.pdf", "Melting_Curves/meltCurve_Q8WVM8_SCFD1.pdf")</f>
        <v>Melting_Curves/meltCurve_Q8WVM8_SCFD1.pdf</v>
      </c>
    </row>
    <row r="4808" spans="1:28" x14ac:dyDescent="0.25">
      <c r="A4808" t="s">
        <v>4812</v>
      </c>
      <c r="B4808">
        <v>0.99252571173614901</v>
      </c>
      <c r="C4808">
        <v>0.91289124982782299</v>
      </c>
      <c r="D4808">
        <v>0.81860644537850402</v>
      </c>
      <c r="E4808">
        <v>0.65718216550849695</v>
      </c>
      <c r="F4808">
        <v>0.55303154680825695</v>
      </c>
      <c r="G4808">
        <v>0.29246580826353802</v>
      </c>
      <c r="H4808">
        <v>0.172433743654586</v>
      </c>
      <c r="I4808">
        <v>0.14202423574657999</v>
      </c>
      <c r="J4808">
        <v>0.16439054817666299</v>
      </c>
      <c r="K4808">
        <v>0.150159836548314</v>
      </c>
      <c r="L4808">
        <v>624.721635360817</v>
      </c>
      <c r="M4808">
        <v>12.0178704618508</v>
      </c>
      <c r="N4808">
        <v>52.7581850800712</v>
      </c>
      <c r="O4808">
        <v>50.606159431458003</v>
      </c>
      <c r="P4808">
        <v>-5.4576072319553297E-2</v>
      </c>
      <c r="Q4808">
        <v>8.09607714490512E-2</v>
      </c>
      <c r="R4808">
        <v>0.988296737686719</v>
      </c>
      <c r="S4808" t="s">
        <v>11454</v>
      </c>
      <c r="T4808" t="s">
        <v>13290</v>
      </c>
      <c r="U4808" t="s">
        <v>13290</v>
      </c>
      <c r="V4808" t="s">
        <v>13290</v>
      </c>
      <c r="W4808" t="s">
        <v>18050</v>
      </c>
      <c r="X4808">
        <v>4</v>
      </c>
      <c r="Y4808" t="s">
        <v>24534</v>
      </c>
      <c r="Z4808" t="s">
        <v>31138</v>
      </c>
      <c r="AA4808">
        <v>0.4761516570824989</v>
      </c>
      <c r="AB4808" t="str">
        <f>HYPERLINK("Melting_Curves/meltCurve_Q8WVQ1_CANT1.pdf", "Melting_Curves/meltCurve_Q8WVQ1_CANT1.pdf")</f>
        <v>Melting_Curves/meltCurve_Q8WVQ1_CANT1.pdf</v>
      </c>
    </row>
    <row r="4809" spans="1:28" x14ac:dyDescent="0.25">
      <c r="A4809" t="s">
        <v>4813</v>
      </c>
      <c r="B4809">
        <v>0.99252571173614901</v>
      </c>
      <c r="C4809">
        <v>1.0425727837363301</v>
      </c>
      <c r="D4809">
        <v>0.98355355128185695</v>
      </c>
      <c r="E4809">
        <v>2.8678085554677502</v>
      </c>
      <c r="F4809">
        <v>0.98873457458816405</v>
      </c>
      <c r="G4809">
        <v>0.96070784671002196</v>
      </c>
      <c r="H4809">
        <v>1.0094544242846899</v>
      </c>
      <c r="I4809">
        <v>2.3631367423585701</v>
      </c>
      <c r="J4809">
        <v>2.3693625909240601</v>
      </c>
      <c r="K4809">
        <v>2.4195556477078699</v>
      </c>
      <c r="L4809">
        <v>11829.9280032649</v>
      </c>
      <c r="M4809">
        <v>250</v>
      </c>
      <c r="O4809">
        <v>47.316684066984102</v>
      </c>
      <c r="P4809">
        <v>0.66044357896141603</v>
      </c>
      <c r="Q4809">
        <v>1.5</v>
      </c>
      <c r="R4809">
        <v>0.11194573612412501</v>
      </c>
      <c r="S4809" t="s">
        <v>11455</v>
      </c>
      <c r="T4809" t="s">
        <v>13290</v>
      </c>
      <c r="U4809" t="s">
        <v>13290</v>
      </c>
      <c r="V4809" t="s">
        <v>13290</v>
      </c>
      <c r="W4809" t="s">
        <v>18051</v>
      </c>
      <c r="X4809">
        <v>3</v>
      </c>
      <c r="Y4809" t="s">
        <v>24535</v>
      </c>
      <c r="Z4809" t="s">
        <v>31139</v>
      </c>
      <c r="AA4809">
        <v>1.377963277103277</v>
      </c>
      <c r="AB4809" t="str">
        <f>HYPERLINK("Melting_Curves/meltCurve_Q8WVT3_TRAPPC12.pdf", "Melting_Curves/meltCurve_Q8WVT3_TRAPPC12.pdf")</f>
        <v>Melting_Curves/meltCurve_Q8WVT3_TRAPPC12.pdf</v>
      </c>
    </row>
    <row r="4810" spans="1:28" x14ac:dyDescent="0.25">
      <c r="A4810" t="s">
        <v>4814</v>
      </c>
      <c r="B4810">
        <v>0.99252571173614901</v>
      </c>
      <c r="C4810">
        <v>0.49010366169243103</v>
      </c>
      <c r="D4810">
        <v>0.28179396608370499</v>
      </c>
      <c r="E4810">
        <v>0.16890871803418001</v>
      </c>
      <c r="F4810">
        <v>0.11442279156586201</v>
      </c>
      <c r="G4810">
        <v>7.9324441800531997E-2</v>
      </c>
      <c r="H4810">
        <v>7.3875637510232794E-2</v>
      </c>
      <c r="I4810">
        <v>9.4356589774419103E-2</v>
      </c>
      <c r="J4810">
        <v>0.14700534413990601</v>
      </c>
      <c r="K4810">
        <v>0.20000669995325401</v>
      </c>
      <c r="L4810">
        <v>1433.55884699435</v>
      </c>
      <c r="M4810">
        <v>33.539545089110199</v>
      </c>
      <c r="N4810">
        <v>43.133891324146198</v>
      </c>
      <c r="O4810">
        <v>42.591254750310902</v>
      </c>
      <c r="P4810">
        <v>-0.171033658230061</v>
      </c>
      <c r="Q4810">
        <v>0.13123357727860899</v>
      </c>
      <c r="R4810">
        <v>0.96312465196853603</v>
      </c>
      <c r="S4810" t="s">
        <v>11456</v>
      </c>
      <c r="T4810" t="s">
        <v>13290</v>
      </c>
      <c r="U4810" t="s">
        <v>13290</v>
      </c>
      <c r="V4810" t="s">
        <v>13290</v>
      </c>
      <c r="W4810" t="s">
        <v>18052</v>
      </c>
      <c r="X4810">
        <v>17</v>
      </c>
      <c r="Y4810" t="s">
        <v>24536</v>
      </c>
      <c r="Z4810" t="s">
        <v>31140</v>
      </c>
      <c r="AA4810">
        <v>0.21724106580126701</v>
      </c>
      <c r="AB4810" t="str">
        <f>HYPERLINK("Melting_Curves/meltCurve_Q8WVV4_POF1B.pdf", "Melting_Curves/meltCurve_Q8WVV4_POF1B.pdf")</f>
        <v>Melting_Curves/meltCurve_Q8WVV4_POF1B.pdf</v>
      </c>
    </row>
    <row r="4811" spans="1:28" x14ac:dyDescent="0.25">
      <c r="A4811" t="s">
        <v>4815</v>
      </c>
      <c r="B4811">
        <v>0.99252571173614901</v>
      </c>
      <c r="C4811">
        <v>0.98580929274941997</v>
      </c>
      <c r="D4811">
        <v>0.70013458183225097</v>
      </c>
      <c r="E4811">
        <v>0.26835996934922302</v>
      </c>
      <c r="F4811">
        <v>0.165262984669206</v>
      </c>
      <c r="G4811">
        <v>0.10008986185362299</v>
      </c>
      <c r="H4811">
        <v>8.2147549912342605E-2</v>
      </c>
      <c r="I4811">
        <v>8.3879763183370606E-2</v>
      </c>
      <c r="J4811">
        <v>9.1382778755395203E-2</v>
      </c>
      <c r="K4811">
        <v>8.9535873741961494E-2</v>
      </c>
      <c r="L4811">
        <v>1363.6360243439101</v>
      </c>
      <c r="M4811">
        <v>28.8904197781956</v>
      </c>
      <c r="N4811">
        <v>47.542280416905903</v>
      </c>
      <c r="O4811">
        <v>46.975891964254799</v>
      </c>
      <c r="P4811">
        <v>-0.13932677047014499</v>
      </c>
      <c r="Q4811">
        <v>9.3824584674484998E-2</v>
      </c>
      <c r="R4811">
        <v>0.99774528134999896</v>
      </c>
      <c r="S4811" t="s">
        <v>11457</v>
      </c>
      <c r="T4811" t="s">
        <v>13290</v>
      </c>
      <c r="U4811" t="s">
        <v>13290</v>
      </c>
      <c r="V4811" t="s">
        <v>13290</v>
      </c>
      <c r="W4811" t="s">
        <v>18053</v>
      </c>
      <c r="X4811">
        <v>20</v>
      </c>
      <c r="Y4811" t="s">
        <v>24537</v>
      </c>
      <c r="Z4811" t="s">
        <v>31141</v>
      </c>
      <c r="AA4811">
        <v>0.31720601670167781</v>
      </c>
      <c r="AB4811" t="str">
        <f>HYPERLINK("Melting_Curves/meltCurve_Q8WVV9_4_HNRPLL.pdf", "Melting_Curves/meltCurve_Q8WVV9_4_HNRPLL.pdf")</f>
        <v>Melting_Curves/meltCurve_Q8WVV9_4_HNRPLL.pdf</v>
      </c>
    </row>
    <row r="4812" spans="1:28" x14ac:dyDescent="0.25">
      <c r="A4812" t="s">
        <v>4816</v>
      </c>
      <c r="B4812">
        <v>0.99252571173614901</v>
      </c>
      <c r="C4812">
        <v>0.88098896935835203</v>
      </c>
      <c r="D4812">
        <v>0.79920061265999798</v>
      </c>
      <c r="E4812">
        <v>0.78875510682230099</v>
      </c>
      <c r="F4812">
        <v>0.28063743521707701</v>
      </c>
      <c r="G4812">
        <v>0.121773105779937</v>
      </c>
      <c r="H4812">
        <v>7.0044812608118401E-2</v>
      </c>
      <c r="I4812">
        <v>5.8256803746365403E-2</v>
      </c>
      <c r="J4812">
        <v>6.5304312744411105E-2</v>
      </c>
      <c r="K4812">
        <v>6.6071484148645707E-2</v>
      </c>
      <c r="L4812">
        <v>1143.28238055579</v>
      </c>
      <c r="M4812">
        <v>22.339465355186</v>
      </c>
      <c r="N4812">
        <v>51.400902120265997</v>
      </c>
      <c r="O4812">
        <v>50.772886058202197</v>
      </c>
      <c r="P4812">
        <v>-0.10491467234208</v>
      </c>
      <c r="Q4812">
        <v>4.6224335016423798E-2</v>
      </c>
      <c r="R4812">
        <v>0.97052920661308995</v>
      </c>
      <c r="S4812" t="s">
        <v>11458</v>
      </c>
      <c r="T4812" t="s">
        <v>13290</v>
      </c>
      <c r="U4812" t="s">
        <v>13290</v>
      </c>
      <c r="V4812" t="s">
        <v>13290</v>
      </c>
      <c r="W4812" t="s">
        <v>18054</v>
      </c>
      <c r="X4812">
        <v>4</v>
      </c>
      <c r="Y4812" t="s">
        <v>24538</v>
      </c>
      <c r="Z4812" t="s">
        <v>31142</v>
      </c>
      <c r="AA4812">
        <v>0.41233024441059579</v>
      </c>
      <c r="AB4812" t="str">
        <f>HYPERLINK("Melting_Curves/meltCurve_Q8WVX9_FAR1.pdf", "Melting_Curves/meltCurve_Q8WVX9_FAR1.pdf")</f>
        <v>Melting_Curves/meltCurve_Q8WVX9_FAR1.pdf</v>
      </c>
    </row>
    <row r="4813" spans="1:28" x14ac:dyDescent="0.25">
      <c r="A4813" t="s">
        <v>4817</v>
      </c>
      <c r="B4813">
        <v>0.99252571173614901</v>
      </c>
      <c r="C4813">
        <v>1.0457184612046</v>
      </c>
      <c r="D4813">
        <v>0.86447468633740598</v>
      </c>
      <c r="E4813">
        <v>0.37869689183197802</v>
      </c>
      <c r="F4813">
        <v>0.123413127125962</v>
      </c>
      <c r="G4813">
        <v>7.4310854673102195E-2</v>
      </c>
      <c r="H4813">
        <v>5.3870123355588502E-2</v>
      </c>
      <c r="I4813">
        <v>5.3457570002659202E-2</v>
      </c>
      <c r="J4813">
        <v>5.8287206986995597E-2</v>
      </c>
      <c r="K4813">
        <v>5.43922336741278E-2</v>
      </c>
      <c r="L4813">
        <v>1583.2638842210299</v>
      </c>
      <c r="M4813">
        <v>32.572194340487599</v>
      </c>
      <c r="N4813">
        <v>48.794457784173403</v>
      </c>
      <c r="O4813">
        <v>48.425723473402599</v>
      </c>
      <c r="P4813">
        <v>-0.158308158909305</v>
      </c>
      <c r="Q4813">
        <v>5.8565093981762302E-2</v>
      </c>
      <c r="R4813">
        <v>0.99772055527235604</v>
      </c>
      <c r="S4813" t="s">
        <v>11459</v>
      </c>
      <c r="T4813" t="s">
        <v>13290</v>
      </c>
      <c r="U4813" t="s">
        <v>13290</v>
      </c>
      <c r="V4813" t="s">
        <v>13290</v>
      </c>
      <c r="W4813" t="s">
        <v>18055</v>
      </c>
      <c r="X4813">
        <v>12</v>
      </c>
      <c r="Y4813" t="s">
        <v>24539</v>
      </c>
      <c r="Z4813" t="s">
        <v>31143</v>
      </c>
      <c r="AA4813">
        <v>0.33350470912658509</v>
      </c>
      <c r="AB4813" t="str">
        <f>HYPERLINK("Melting_Curves/meltCurve_Q8WVY7_UBLCP1.pdf", "Melting_Curves/meltCurve_Q8WVY7_UBLCP1.pdf")</f>
        <v>Melting_Curves/meltCurve_Q8WVY7_UBLCP1.pdf</v>
      </c>
    </row>
    <row r="4814" spans="1:28" x14ac:dyDescent="0.25">
      <c r="A4814" t="s">
        <v>4818</v>
      </c>
      <c r="B4814">
        <v>0.99252571173614901</v>
      </c>
      <c r="C4814">
        <v>0.88776477534704601</v>
      </c>
      <c r="D4814">
        <v>1.0933132498240601</v>
      </c>
      <c r="E4814">
        <v>1.30368414461511</v>
      </c>
      <c r="F4814">
        <v>0.37343006980084797</v>
      </c>
      <c r="G4814">
        <v>0.19923342355267701</v>
      </c>
      <c r="H4814">
        <v>0.15245218044817499</v>
      </c>
      <c r="I4814">
        <v>0.18840207440461099</v>
      </c>
      <c r="J4814">
        <v>0.22792249593887601</v>
      </c>
      <c r="K4814">
        <v>0.24238441761689999</v>
      </c>
      <c r="L4814">
        <v>13231.023829985999</v>
      </c>
      <c r="M4814">
        <v>250</v>
      </c>
      <c r="N4814">
        <v>53.033922837913899</v>
      </c>
      <c r="O4814">
        <v>52.920726812013498</v>
      </c>
      <c r="P4814">
        <v>-0.94235451862943098</v>
      </c>
      <c r="Q4814">
        <v>0.202078898468457</v>
      </c>
      <c r="R4814">
        <v>0.93458075396759399</v>
      </c>
      <c r="S4814" t="s">
        <v>11460</v>
      </c>
      <c r="T4814" t="s">
        <v>13290</v>
      </c>
      <c r="U4814" t="s">
        <v>13290</v>
      </c>
      <c r="V4814" t="s">
        <v>13290</v>
      </c>
      <c r="W4814" t="s">
        <v>18056</v>
      </c>
      <c r="X4814">
        <v>7</v>
      </c>
      <c r="Y4814" t="s">
        <v>24540</v>
      </c>
      <c r="Z4814" t="s">
        <v>31144</v>
      </c>
      <c r="AA4814">
        <v>0.54589995594886254</v>
      </c>
      <c r="AB4814" t="str">
        <f>HYPERLINK("Melting_Curves/meltCurve_Q8WVZ9_KBTBD7.pdf", "Melting_Curves/meltCurve_Q8WVZ9_KBTBD7.pdf")</f>
        <v>Melting_Curves/meltCurve_Q8WVZ9_KBTBD7.pdf</v>
      </c>
    </row>
    <row r="4815" spans="1:28" x14ac:dyDescent="0.25">
      <c r="A4815" t="s">
        <v>4819</v>
      </c>
      <c r="B4815">
        <v>0.99252571173614901</v>
      </c>
      <c r="C4815">
        <v>0.96162629785832299</v>
      </c>
      <c r="D4815">
        <v>0.9651743753459</v>
      </c>
      <c r="E4815">
        <v>0.86459210099984696</v>
      </c>
      <c r="F4815">
        <v>0.66126432979463901</v>
      </c>
      <c r="G4815">
        <v>0.27720644255698301</v>
      </c>
      <c r="H4815">
        <v>0.16724275801657801</v>
      </c>
      <c r="I4815">
        <v>0.131371313496527</v>
      </c>
      <c r="J4815">
        <v>0.12611638005892301</v>
      </c>
      <c r="K4815">
        <v>0.11691637280733901</v>
      </c>
      <c r="L4815">
        <v>1295.2325599314499</v>
      </c>
      <c r="M4815">
        <v>24.043035346124</v>
      </c>
      <c r="N4815">
        <v>54.438718973355797</v>
      </c>
      <c r="O4815">
        <v>53.502907341136101</v>
      </c>
      <c r="P4815">
        <v>-9.9896907600049101E-2</v>
      </c>
      <c r="Q4815">
        <v>0.110812745034883</v>
      </c>
      <c r="R4815">
        <v>0.99589210605455902</v>
      </c>
      <c r="S4815" t="s">
        <v>11461</v>
      </c>
      <c r="T4815" t="s">
        <v>13290</v>
      </c>
      <c r="U4815" t="s">
        <v>13290</v>
      </c>
      <c r="V4815" t="s">
        <v>13290</v>
      </c>
      <c r="W4815" t="s">
        <v>18057</v>
      </c>
      <c r="X4815">
        <v>3</v>
      </c>
      <c r="Y4815" t="s">
        <v>24541</v>
      </c>
      <c r="Z4815" t="s">
        <v>31145</v>
      </c>
      <c r="AA4815">
        <v>0.53078448561558456</v>
      </c>
      <c r="AB4815" t="str">
        <f>HYPERLINK("Melting_Curves/meltCurve_Q8WW01_TSEN15.pdf", "Melting_Curves/meltCurve_Q8WW01_TSEN15.pdf")</f>
        <v>Melting_Curves/meltCurve_Q8WW01_TSEN15.pdf</v>
      </c>
    </row>
    <row r="4816" spans="1:28" x14ac:dyDescent="0.25">
      <c r="A4816" t="s">
        <v>4820</v>
      </c>
      <c r="B4816">
        <v>0.99252571173614901</v>
      </c>
      <c r="C4816">
        <v>1.1292628170679699</v>
      </c>
      <c r="D4816">
        <v>1.0203021168298501</v>
      </c>
      <c r="E4816">
        <v>1.0502676125698001</v>
      </c>
      <c r="F4816">
        <v>0.89955018090444305</v>
      </c>
      <c r="G4816">
        <v>0.80124804206268196</v>
      </c>
      <c r="H4816">
        <v>0.92743006381230497</v>
      </c>
      <c r="I4816">
        <v>1.3018684534854601</v>
      </c>
      <c r="J4816">
        <v>2.0206377238339601</v>
      </c>
      <c r="K4816">
        <v>2.21352110154502</v>
      </c>
      <c r="L4816">
        <v>15000</v>
      </c>
      <c r="M4816">
        <v>234.796280011118</v>
      </c>
      <c r="O4816">
        <v>63.880534145144303</v>
      </c>
      <c r="P4816">
        <v>0.45944410841937999</v>
      </c>
      <c r="Q4816">
        <v>1.5</v>
      </c>
      <c r="R4816">
        <v>0.59770210224129705</v>
      </c>
      <c r="S4816" t="s">
        <v>11462</v>
      </c>
      <c r="T4816" t="s">
        <v>13290</v>
      </c>
      <c r="U4816" t="s">
        <v>13290</v>
      </c>
      <c r="V4816" t="s">
        <v>13290</v>
      </c>
      <c r="W4816" t="s">
        <v>18058</v>
      </c>
      <c r="X4816">
        <v>17</v>
      </c>
      <c r="Y4816" t="s">
        <v>24542</v>
      </c>
      <c r="Z4816" t="s">
        <v>31146</v>
      </c>
      <c r="AA4816">
        <v>1.1018502964800461</v>
      </c>
      <c r="AB4816" t="str">
        <f>HYPERLINK("Melting_Curves/meltCurve_Q8WW12_PCNP.pdf", "Melting_Curves/meltCurve_Q8WW12_PCNP.pdf")</f>
        <v>Melting_Curves/meltCurve_Q8WW12_PCNP.pdf</v>
      </c>
    </row>
    <row r="4817" spans="1:28" x14ac:dyDescent="0.25">
      <c r="A4817" t="s">
        <v>4821</v>
      </c>
      <c r="B4817">
        <v>0.99252571173614901</v>
      </c>
      <c r="C4817">
        <v>1.0018587398365999</v>
      </c>
      <c r="D4817">
        <v>0.94407058339755301</v>
      </c>
      <c r="E4817">
        <v>0.63790485823378695</v>
      </c>
      <c r="F4817">
        <v>0.51680887611044102</v>
      </c>
      <c r="G4817">
        <v>0.252388146424605</v>
      </c>
      <c r="H4817">
        <v>0.12714694305041699</v>
      </c>
      <c r="I4817">
        <v>8.35837398287195E-2</v>
      </c>
      <c r="J4817">
        <v>9.09206196159075E-2</v>
      </c>
      <c r="K4817">
        <v>8.3497384246866202E-2</v>
      </c>
      <c r="L4817">
        <v>827.52188534202901</v>
      </c>
      <c r="M4817">
        <v>15.8449480284659</v>
      </c>
      <c r="N4817">
        <v>52.5999403550246</v>
      </c>
      <c r="O4817">
        <v>51.415597061589096</v>
      </c>
      <c r="P4817">
        <v>-7.2948055009007196E-2</v>
      </c>
      <c r="Q4817">
        <v>5.32347946040857E-2</v>
      </c>
      <c r="R4817">
        <v>0.99077416718352296</v>
      </c>
      <c r="S4817" t="s">
        <v>11463</v>
      </c>
      <c r="T4817" t="s">
        <v>13290</v>
      </c>
      <c r="U4817" t="s">
        <v>13290</v>
      </c>
      <c r="V4817" t="s">
        <v>13290</v>
      </c>
      <c r="W4817" t="s">
        <v>18059</v>
      </c>
      <c r="X4817">
        <v>15</v>
      </c>
      <c r="Y4817" t="s">
        <v>24543</v>
      </c>
      <c r="Z4817" t="s">
        <v>31147</v>
      </c>
      <c r="AA4817">
        <v>0.45839110304084307</v>
      </c>
      <c r="AB4817" t="str">
        <f>HYPERLINK("Melting_Curves/meltCurve_Q8WW59_SPRYD4.pdf", "Melting_Curves/meltCurve_Q8WW59_SPRYD4.pdf")</f>
        <v>Melting_Curves/meltCurve_Q8WW59_SPRYD4.pdf</v>
      </c>
    </row>
    <row r="4818" spans="1:28" x14ac:dyDescent="0.25">
      <c r="A4818" t="s">
        <v>4822</v>
      </c>
      <c r="B4818">
        <v>0.99252571173614901</v>
      </c>
      <c r="C4818">
        <v>0.977685271226435</v>
      </c>
      <c r="D4818">
        <v>0.96884449264689998</v>
      </c>
      <c r="E4818">
        <v>1.00570116786457</v>
      </c>
      <c r="F4818">
        <v>0.901720702706857</v>
      </c>
      <c r="G4818">
        <v>0.74055720653802204</v>
      </c>
      <c r="H4818">
        <v>0.56896681176313302</v>
      </c>
      <c r="I4818">
        <v>0.47548056853888199</v>
      </c>
      <c r="J4818">
        <v>0.47920214680935702</v>
      </c>
      <c r="K4818">
        <v>0.35141990151687402</v>
      </c>
      <c r="L4818">
        <v>995.61452581905598</v>
      </c>
      <c r="M4818">
        <v>17.0654068754137</v>
      </c>
      <c r="N4818">
        <v>63.080979667984899</v>
      </c>
      <c r="O4818">
        <v>57.5576384073958</v>
      </c>
      <c r="P4818">
        <v>-4.7345360954223398E-2</v>
      </c>
      <c r="Q4818">
        <v>0.36129922375297902</v>
      </c>
      <c r="R4818">
        <v>0.98682508696151405</v>
      </c>
      <c r="S4818" t="s">
        <v>11464</v>
      </c>
      <c r="T4818" t="s">
        <v>13290</v>
      </c>
      <c r="U4818" t="s">
        <v>13290</v>
      </c>
      <c r="V4818" t="s">
        <v>13290</v>
      </c>
      <c r="W4818" t="s">
        <v>18060</v>
      </c>
      <c r="X4818">
        <v>1</v>
      </c>
      <c r="Y4818" t="s">
        <v>24544</v>
      </c>
      <c r="Z4818" t="s">
        <v>31148</v>
      </c>
      <c r="AA4818">
        <v>0.75953586012105234</v>
      </c>
      <c r="AB4818" t="str">
        <f>HYPERLINK("Melting_Curves/meltCurve_Q8WWB7_2_C1orf85.pdf", "Melting_Curves/meltCurve_Q8WWB7_2_C1orf85.pdf")</f>
        <v>Melting_Curves/meltCurve_Q8WWB7_2_C1orf85.pdf</v>
      </c>
    </row>
    <row r="4819" spans="1:28" x14ac:dyDescent="0.25">
      <c r="A4819" t="s">
        <v>4823</v>
      </c>
      <c r="B4819">
        <v>0.99252571173614901</v>
      </c>
      <c r="C4819">
        <v>0.528854017136828</v>
      </c>
      <c r="D4819">
        <v>0.48408211701235399</v>
      </c>
      <c r="E4819">
        <v>0.74551701792735403</v>
      </c>
      <c r="F4819">
        <v>0.46297737012683499</v>
      </c>
      <c r="G4819">
        <v>0.26645215912697601</v>
      </c>
      <c r="H4819">
        <v>0.120991747820286</v>
      </c>
      <c r="I4819">
        <v>9.74804012077366E-2</v>
      </c>
      <c r="J4819">
        <v>0.114599446886096</v>
      </c>
      <c r="K4819">
        <v>9.8854414600109394E-2</v>
      </c>
      <c r="L4819">
        <v>353.82824421056</v>
      </c>
      <c r="M4819">
        <v>7.1648029571684004</v>
      </c>
      <c r="N4819">
        <v>49.384225586555203</v>
      </c>
      <c r="O4819">
        <v>45.971425588400002</v>
      </c>
      <c r="P4819">
        <v>-3.9029680073956102E-2</v>
      </c>
      <c r="Q4819">
        <v>0</v>
      </c>
      <c r="R4819">
        <v>0.79553815893110302</v>
      </c>
      <c r="S4819" t="s">
        <v>11465</v>
      </c>
      <c r="T4819" t="s">
        <v>13290</v>
      </c>
      <c r="U4819" t="s">
        <v>13290</v>
      </c>
      <c r="V4819" t="s">
        <v>13290</v>
      </c>
      <c r="W4819" t="s">
        <v>18061</v>
      </c>
      <c r="X4819">
        <v>5</v>
      </c>
      <c r="Y4819" t="s">
        <v>24545</v>
      </c>
      <c r="Z4819" t="s">
        <v>31149</v>
      </c>
      <c r="AA4819">
        <v>0.38469092245958192</v>
      </c>
      <c r="AB4819" t="str">
        <f>HYPERLINK("Melting_Curves/meltCurve_Q8WWC4_C2orf47.pdf", "Melting_Curves/meltCurve_Q8WWC4_C2orf47.pdf")</f>
        <v>Melting_Curves/meltCurve_Q8WWC4_C2orf47.pdf</v>
      </c>
    </row>
    <row r="4820" spans="1:28" x14ac:dyDescent="0.25">
      <c r="A4820" t="s">
        <v>4824</v>
      </c>
      <c r="B4820">
        <v>0.99252571173614901</v>
      </c>
      <c r="C4820">
        <v>1.06413497060457</v>
      </c>
      <c r="D4820">
        <v>0.84556075823654697</v>
      </c>
      <c r="E4820">
        <v>0.58423929040050404</v>
      </c>
      <c r="F4820">
        <v>0.187383806704989</v>
      </c>
      <c r="G4820">
        <v>0.105787502998149</v>
      </c>
      <c r="H4820">
        <v>8.5411846584554502E-2</v>
      </c>
      <c r="I4820">
        <v>9.6815331917210007E-2</v>
      </c>
      <c r="J4820">
        <v>9.5116148798884206E-2</v>
      </c>
      <c r="K4820">
        <v>7.9570703496438605E-2</v>
      </c>
      <c r="L4820">
        <v>1330.37008177037</v>
      </c>
      <c r="M4820">
        <v>26.774262303037101</v>
      </c>
      <c r="N4820">
        <v>50.021429816575697</v>
      </c>
      <c r="O4820">
        <v>49.413706173989297</v>
      </c>
      <c r="P4820">
        <v>-0.124402646420343</v>
      </c>
      <c r="Q4820">
        <v>8.1635834411772801E-2</v>
      </c>
      <c r="R4820">
        <v>0.99244453632065199</v>
      </c>
      <c r="S4820" t="s">
        <v>11466</v>
      </c>
      <c r="T4820" t="s">
        <v>13290</v>
      </c>
      <c r="U4820" t="s">
        <v>13290</v>
      </c>
      <c r="V4820" t="s">
        <v>13290</v>
      </c>
      <c r="W4820" t="s">
        <v>18062</v>
      </c>
      <c r="X4820">
        <v>8</v>
      </c>
      <c r="Y4820" t="s">
        <v>24546</v>
      </c>
      <c r="Z4820" t="s">
        <v>31150</v>
      </c>
      <c r="AA4820">
        <v>0.38533917574967858</v>
      </c>
      <c r="AB4820" t="str">
        <f>HYPERLINK("Melting_Curves/meltCurve_Q8WWH5_TRUB1.pdf", "Melting_Curves/meltCurve_Q8WWH5_TRUB1.pdf")</f>
        <v>Melting_Curves/meltCurve_Q8WWH5_TRUB1.pdf</v>
      </c>
    </row>
    <row r="4821" spans="1:28" x14ac:dyDescent="0.25">
      <c r="A4821" t="s">
        <v>4825</v>
      </c>
      <c r="B4821">
        <v>0.99252571173614901</v>
      </c>
      <c r="C4821">
        <v>0.997232627550383</v>
      </c>
      <c r="D4821">
        <v>0.92672808416820696</v>
      </c>
      <c r="E4821">
        <v>0.84697559151949198</v>
      </c>
      <c r="F4821">
        <v>0.60656907871788501</v>
      </c>
      <c r="G4821">
        <v>0.49661715415984697</v>
      </c>
      <c r="H4821">
        <v>0.45585539093474098</v>
      </c>
      <c r="I4821">
        <v>0.63244924613445097</v>
      </c>
      <c r="J4821">
        <v>0.84579417337767804</v>
      </c>
      <c r="K4821">
        <v>0.69123924483385901</v>
      </c>
      <c r="L4821">
        <v>12419.2431141991</v>
      </c>
      <c r="M4821">
        <v>250</v>
      </c>
      <c r="O4821">
        <v>49.673788050550598</v>
      </c>
      <c r="P4821">
        <v>-0.47633176235737301</v>
      </c>
      <c r="Q4821">
        <v>0.62142071106443897</v>
      </c>
      <c r="R4821">
        <v>0.70980915751990603</v>
      </c>
      <c r="S4821" t="s">
        <v>11467</v>
      </c>
      <c r="T4821" t="s">
        <v>13290</v>
      </c>
      <c r="U4821" t="s">
        <v>13290</v>
      </c>
      <c r="V4821" t="s">
        <v>13290</v>
      </c>
      <c r="W4821" t="s">
        <v>18063</v>
      </c>
      <c r="X4821">
        <v>7</v>
      </c>
      <c r="Y4821" t="s">
        <v>24547</v>
      </c>
      <c r="Z4821" t="s">
        <v>31151</v>
      </c>
      <c r="AA4821">
        <v>0.74357042820746422</v>
      </c>
      <c r="AB4821" t="str">
        <f>HYPERLINK("Melting_Curves/meltCurve_Q8WWI5_SLC44A1.pdf", "Melting_Curves/meltCurve_Q8WWI5_SLC44A1.pdf")</f>
        <v>Melting_Curves/meltCurve_Q8WWI5_SLC44A1.pdf</v>
      </c>
    </row>
    <row r="4822" spans="1:28" x14ac:dyDescent="0.25">
      <c r="A4822" t="s">
        <v>4826</v>
      </c>
      <c r="B4822">
        <v>0.99252571173614901</v>
      </c>
      <c r="C4822">
        <v>1.0168096464349401</v>
      </c>
      <c r="D4822">
        <v>0.70973702236583203</v>
      </c>
      <c r="E4822">
        <v>0.76054457290849298</v>
      </c>
      <c r="F4822">
        <v>0.412439761728978</v>
      </c>
      <c r="G4822">
        <v>0.16374035627741701</v>
      </c>
      <c r="H4822">
        <v>9.2879737235100804E-2</v>
      </c>
      <c r="I4822">
        <v>0.10940846156803</v>
      </c>
      <c r="J4822">
        <v>0.134298793597389</v>
      </c>
      <c r="K4822">
        <v>0.15834869632675899</v>
      </c>
      <c r="L4822">
        <v>856.94066712952099</v>
      </c>
      <c r="M4822">
        <v>16.786823888680399</v>
      </c>
      <c r="N4822">
        <v>51.657278451513299</v>
      </c>
      <c r="O4822">
        <v>50.3404908686759</v>
      </c>
      <c r="P4822">
        <v>-7.5888535164673407E-2</v>
      </c>
      <c r="Q4822">
        <v>8.9758071174336304E-2</v>
      </c>
      <c r="R4822">
        <v>0.958438520464445</v>
      </c>
      <c r="S4822" t="s">
        <v>11468</v>
      </c>
      <c r="T4822" t="s">
        <v>13290</v>
      </c>
      <c r="U4822" t="s">
        <v>13290</v>
      </c>
      <c r="V4822" t="s">
        <v>13290</v>
      </c>
      <c r="W4822" t="s">
        <v>18064</v>
      </c>
      <c r="X4822">
        <v>38</v>
      </c>
      <c r="Y4822" t="s">
        <v>24548</v>
      </c>
      <c r="Z4822" t="s">
        <v>31152</v>
      </c>
      <c r="AA4822">
        <v>0.44232890696507282</v>
      </c>
      <c r="AB4822" t="str">
        <f>HYPERLINK("Melting_Curves/meltCurve_Q8WWM7_ATXN2L.pdf", "Melting_Curves/meltCurve_Q8WWM7_ATXN2L.pdf")</f>
        <v>Melting_Curves/meltCurve_Q8WWM7_ATXN2L.pdf</v>
      </c>
    </row>
    <row r="4823" spans="1:28" x14ac:dyDescent="0.25">
      <c r="A4823" t="s">
        <v>4827</v>
      </c>
      <c r="B4823">
        <v>0.99252571173614901</v>
      </c>
      <c r="C4823">
        <v>0.96524277591933205</v>
      </c>
      <c r="D4823">
        <v>0.70911138411138597</v>
      </c>
      <c r="E4823">
        <v>0.37640258576705099</v>
      </c>
      <c r="F4823">
        <v>0.134492391593519</v>
      </c>
      <c r="G4823">
        <v>8.2555198282127595E-2</v>
      </c>
      <c r="H4823">
        <v>5.7411173975415099E-2</v>
      </c>
      <c r="I4823">
        <v>5.4310267274902797E-2</v>
      </c>
      <c r="J4823">
        <v>6.3604949711564607E-2</v>
      </c>
      <c r="K4823">
        <v>5.81896103613379E-2</v>
      </c>
      <c r="L4823">
        <v>1069.93124911163</v>
      </c>
      <c r="M4823">
        <v>22.3233199120378</v>
      </c>
      <c r="N4823">
        <v>48.175902886782602</v>
      </c>
      <c r="O4823">
        <v>47.549212225430701</v>
      </c>
      <c r="P4823">
        <v>-0.111024160390587</v>
      </c>
      <c r="Q4823">
        <v>5.40833259769984E-2</v>
      </c>
      <c r="R4823">
        <v>0.99845079707471995</v>
      </c>
      <c r="S4823" t="s">
        <v>11469</v>
      </c>
      <c r="T4823" t="s">
        <v>13290</v>
      </c>
      <c r="U4823" t="s">
        <v>13290</v>
      </c>
      <c r="V4823" t="s">
        <v>13290</v>
      </c>
      <c r="W4823" t="s">
        <v>18065</v>
      </c>
      <c r="X4823">
        <v>10</v>
      </c>
      <c r="Y4823" t="s">
        <v>24549</v>
      </c>
      <c r="Z4823" t="s">
        <v>31153</v>
      </c>
      <c r="AA4823">
        <v>0.31473334621797638</v>
      </c>
      <c r="AB4823" t="str">
        <f>HYPERLINK("Melting_Curves/meltCurve_Q8WWV3_RTN4IP1.pdf", "Melting_Curves/meltCurve_Q8WWV3_RTN4IP1.pdf")</f>
        <v>Melting_Curves/meltCurve_Q8WWV3_RTN4IP1.pdf</v>
      </c>
    </row>
    <row r="4824" spans="1:28" x14ac:dyDescent="0.25">
      <c r="A4824" t="s">
        <v>4828</v>
      </c>
      <c r="B4824">
        <v>0.99252571173614901</v>
      </c>
      <c r="C4824">
        <v>0.95234985129778904</v>
      </c>
      <c r="D4824">
        <v>0.81536150726330903</v>
      </c>
      <c r="E4824">
        <v>0.756839977919056</v>
      </c>
      <c r="F4824">
        <v>0.68099809214309803</v>
      </c>
      <c r="G4824">
        <v>0.62028649548909098</v>
      </c>
      <c r="H4824">
        <v>0.29610744279525703</v>
      </c>
      <c r="I4824">
        <v>0.37506900971742602</v>
      </c>
      <c r="J4824">
        <v>0.38407353484434897</v>
      </c>
      <c r="K4824">
        <v>0.29928770431412699</v>
      </c>
      <c r="L4824">
        <v>480.95618724426203</v>
      </c>
      <c r="M4824">
        <v>8.7992737459801909</v>
      </c>
      <c r="N4824">
        <v>58.0368067620754</v>
      </c>
      <c r="O4824">
        <v>52.0562176514076</v>
      </c>
      <c r="P4824">
        <v>-3.3816330469747503E-2</v>
      </c>
      <c r="Q4824">
        <v>0.20040740176989899</v>
      </c>
      <c r="R4824">
        <v>0.94587989732010103</v>
      </c>
      <c r="S4824" t="s">
        <v>11470</v>
      </c>
      <c r="T4824" t="s">
        <v>13290</v>
      </c>
      <c r="U4824" t="s">
        <v>13290</v>
      </c>
      <c r="V4824" t="s">
        <v>13290</v>
      </c>
      <c r="W4824" t="s">
        <v>18066</v>
      </c>
      <c r="X4824">
        <v>1</v>
      </c>
      <c r="Y4824" t="s">
        <v>24550</v>
      </c>
      <c r="Z4824" t="s">
        <v>31154</v>
      </c>
      <c r="AA4824">
        <v>0.6141811868790169</v>
      </c>
      <c r="AB4824" t="str">
        <f>HYPERLINK("Melting_Curves/meltCurve_Q8WWX9_SELM.pdf", "Melting_Curves/meltCurve_Q8WWX9_SELM.pdf")</f>
        <v>Melting_Curves/meltCurve_Q8WWX9_SELM.pdf</v>
      </c>
    </row>
    <row r="4825" spans="1:28" x14ac:dyDescent="0.25">
      <c r="A4825" t="s">
        <v>4829</v>
      </c>
      <c r="B4825">
        <v>0.99252571173614901</v>
      </c>
      <c r="C4825">
        <v>0.96697858634045597</v>
      </c>
      <c r="D4825">
        <v>0.807432084159041</v>
      </c>
      <c r="E4825">
        <v>0.57933756075731602</v>
      </c>
      <c r="F4825">
        <v>0.43675649113127901</v>
      </c>
      <c r="G4825">
        <v>0.35564678254266302</v>
      </c>
      <c r="H4825">
        <v>0.24390503760936</v>
      </c>
      <c r="I4825">
        <v>0.208370953188489</v>
      </c>
      <c r="J4825">
        <v>0.21292455766447799</v>
      </c>
      <c r="K4825">
        <v>0.17179457677488499</v>
      </c>
      <c r="L4825">
        <v>686.86294942662096</v>
      </c>
      <c r="M4825">
        <v>13.7167960533942</v>
      </c>
      <c r="N4825">
        <v>51.741984010128398</v>
      </c>
      <c r="O4825">
        <v>49.046271065104001</v>
      </c>
      <c r="P4825">
        <v>-5.7436282113676802E-2</v>
      </c>
      <c r="Q4825">
        <v>0.178632746370644</v>
      </c>
      <c r="R4825">
        <v>0.99355836063521397</v>
      </c>
      <c r="S4825" t="s">
        <v>11471</v>
      </c>
      <c r="T4825" t="s">
        <v>13290</v>
      </c>
      <c r="U4825" t="s">
        <v>13290</v>
      </c>
      <c r="V4825" t="s">
        <v>13290</v>
      </c>
      <c r="W4825" t="s">
        <v>18067</v>
      </c>
      <c r="X4825">
        <v>3</v>
      </c>
      <c r="Y4825" t="s">
        <v>24551</v>
      </c>
      <c r="Z4825" t="s">
        <v>31155</v>
      </c>
      <c r="AA4825">
        <v>0.47726106301845628</v>
      </c>
      <c r="AB4825" t="str">
        <f>HYPERLINK("Melting_Curves/meltCurve_Q8WX77_IGFBPL1.pdf", "Melting_Curves/meltCurve_Q8WX77_IGFBPL1.pdf")</f>
        <v>Melting_Curves/meltCurve_Q8WX77_IGFBPL1.pdf</v>
      </c>
    </row>
    <row r="4826" spans="1:28" x14ac:dyDescent="0.25">
      <c r="A4826" t="s">
        <v>4830</v>
      </c>
      <c r="B4826">
        <v>0.99252571173614901</v>
      </c>
      <c r="C4826">
        <v>0.86454183577004395</v>
      </c>
      <c r="D4826">
        <v>0.73794140132580299</v>
      </c>
      <c r="E4826">
        <v>0.41687509081142599</v>
      </c>
      <c r="F4826">
        <v>0.156365925232585</v>
      </c>
      <c r="G4826">
        <v>7.4206287484811298E-2</v>
      </c>
      <c r="H4826">
        <v>4.7197581684605597E-2</v>
      </c>
      <c r="I4826">
        <v>5.1437171880624098E-2</v>
      </c>
      <c r="J4826">
        <v>5.7816534119320001E-2</v>
      </c>
      <c r="K4826">
        <v>6.4161330836202707E-2</v>
      </c>
      <c r="L4826">
        <v>905.57546916483602</v>
      </c>
      <c r="M4826">
        <v>18.784237187559299</v>
      </c>
      <c r="N4826">
        <v>48.423545267195202</v>
      </c>
      <c r="O4826">
        <v>47.672917788405798</v>
      </c>
      <c r="P4826">
        <v>-9.4582646148422406E-2</v>
      </c>
      <c r="Q4826">
        <v>3.9866746993764003E-2</v>
      </c>
      <c r="R4826">
        <v>0.99612999620512799</v>
      </c>
      <c r="S4826" t="s">
        <v>11472</v>
      </c>
      <c r="T4826" t="s">
        <v>13290</v>
      </c>
      <c r="U4826" t="s">
        <v>13290</v>
      </c>
      <c r="V4826" t="s">
        <v>13290</v>
      </c>
      <c r="W4826" t="s">
        <v>18068</v>
      </c>
      <c r="X4826">
        <v>12</v>
      </c>
      <c r="Y4826" t="s">
        <v>24552</v>
      </c>
      <c r="Z4826" t="s">
        <v>31156</v>
      </c>
      <c r="AA4826">
        <v>0.31809898720847779</v>
      </c>
      <c r="AB4826" t="str">
        <f>HYPERLINK("Melting_Curves/meltCurve_Q8WX92_NELFB.pdf", "Melting_Curves/meltCurve_Q8WX92_NELFB.pdf")</f>
        <v>Melting_Curves/meltCurve_Q8WX92_NELFB.pdf</v>
      </c>
    </row>
    <row r="4827" spans="1:28" x14ac:dyDescent="0.25">
      <c r="A4827" t="s">
        <v>4831</v>
      </c>
      <c r="B4827">
        <v>0.99252571173614901</v>
      </c>
      <c r="C4827">
        <v>0.97574430555110703</v>
      </c>
      <c r="D4827">
        <v>0.748500876232846</v>
      </c>
      <c r="E4827">
        <v>0.433162427352486</v>
      </c>
      <c r="F4827">
        <v>0.16539761164924199</v>
      </c>
      <c r="G4827">
        <v>9.3759341053910802E-2</v>
      </c>
      <c r="H4827">
        <v>7.51453182704718E-2</v>
      </c>
      <c r="I4827">
        <v>7.72210199044987E-2</v>
      </c>
      <c r="J4827">
        <v>6.4649388139783007E-2</v>
      </c>
      <c r="K4827">
        <v>6.4540520643622104E-2</v>
      </c>
      <c r="L4827">
        <v>1055.17251897705</v>
      </c>
      <c r="M4827">
        <v>21.792178448162002</v>
      </c>
      <c r="N4827">
        <v>48.722536479236901</v>
      </c>
      <c r="O4827">
        <v>48.017582623289798</v>
      </c>
      <c r="P4827">
        <v>-0.106277282867433</v>
      </c>
      <c r="Q4827">
        <v>6.3322645215874399E-2</v>
      </c>
      <c r="R4827">
        <v>0.99837883110733106</v>
      </c>
      <c r="S4827" t="s">
        <v>11473</v>
      </c>
      <c r="T4827" t="s">
        <v>13290</v>
      </c>
      <c r="U4827" t="s">
        <v>13290</v>
      </c>
      <c r="V4827" t="s">
        <v>13290</v>
      </c>
      <c r="W4827" t="s">
        <v>18069</v>
      </c>
      <c r="X4827">
        <v>10</v>
      </c>
      <c r="Y4827" t="s">
        <v>24553</v>
      </c>
      <c r="Z4827" t="s">
        <v>31157</v>
      </c>
      <c r="AA4827">
        <v>0.33725249000181212</v>
      </c>
      <c r="AB4827" t="str">
        <f>HYPERLINK("Melting_Curves/meltCurve_Q8WXA9_2_SREK1.pdf", "Melting_Curves/meltCurve_Q8WXA9_2_SREK1.pdf")</f>
        <v>Melting_Curves/meltCurve_Q8WXA9_2_SREK1.pdf</v>
      </c>
    </row>
    <row r="4828" spans="1:28" x14ac:dyDescent="0.25">
      <c r="A4828" t="s">
        <v>4832</v>
      </c>
      <c r="B4828">
        <v>0.99252571173614901</v>
      </c>
      <c r="C4828">
        <v>1.0236092011449001</v>
      </c>
      <c r="D4828">
        <v>0.84401077116893397</v>
      </c>
      <c r="E4828">
        <v>0.86183825719588303</v>
      </c>
      <c r="F4828">
        <v>0.55188742104861899</v>
      </c>
      <c r="G4828">
        <v>0.388966820953982</v>
      </c>
      <c r="H4828">
        <v>0.25524651427848799</v>
      </c>
      <c r="I4828">
        <v>0.34144223086034298</v>
      </c>
      <c r="J4828">
        <v>0.50490156435815003</v>
      </c>
      <c r="K4828">
        <v>0.48496816797902897</v>
      </c>
      <c r="L4828">
        <v>1520.70233061047</v>
      </c>
      <c r="M4828">
        <v>29.6744811562763</v>
      </c>
      <c r="N4828">
        <v>53.995515858365103</v>
      </c>
      <c r="O4828">
        <v>51.015093074217603</v>
      </c>
      <c r="P4828">
        <v>-8.8757168833099004E-2</v>
      </c>
      <c r="Q4828">
        <v>0.38965411270716399</v>
      </c>
      <c r="R4828">
        <v>0.90789927796710002</v>
      </c>
      <c r="S4828" t="s">
        <v>11474</v>
      </c>
      <c r="T4828" t="s">
        <v>13290</v>
      </c>
      <c r="U4828" t="s">
        <v>13290</v>
      </c>
      <c r="V4828" t="s">
        <v>13290</v>
      </c>
      <c r="W4828" t="s">
        <v>18070</v>
      </c>
      <c r="X4828">
        <v>3</v>
      </c>
      <c r="Y4828" t="s">
        <v>24554</v>
      </c>
      <c r="Z4828" t="s">
        <v>31158</v>
      </c>
      <c r="AA4828">
        <v>0.62239296419245238</v>
      </c>
      <c r="AB4828" t="str">
        <f>HYPERLINK("Melting_Curves/meltCurve_Q8WXD2_SCG3.pdf", "Melting_Curves/meltCurve_Q8WXD2_SCG3.pdf")</f>
        <v>Melting_Curves/meltCurve_Q8WXD2_SCG3.pdf</v>
      </c>
    </row>
    <row r="4829" spans="1:28" x14ac:dyDescent="0.25">
      <c r="A4829" t="s">
        <v>4833</v>
      </c>
      <c r="B4829">
        <v>0.99252571173614901</v>
      </c>
      <c r="C4829">
        <v>1.0522775202709</v>
      </c>
      <c r="D4829">
        <v>0.87382393544607695</v>
      </c>
      <c r="E4829">
        <v>0.88292284273686406</v>
      </c>
      <c r="F4829">
        <v>0.70022894607936503</v>
      </c>
      <c r="G4829">
        <v>0.36801079313962198</v>
      </c>
      <c r="H4829">
        <v>0.26474844424667698</v>
      </c>
      <c r="I4829">
        <v>0.286880458398177</v>
      </c>
      <c r="J4829">
        <v>0.34231321336995402</v>
      </c>
      <c r="K4829">
        <v>0.36176088243645899</v>
      </c>
      <c r="L4829">
        <v>1510.84478402948</v>
      </c>
      <c r="M4829">
        <v>28.380867034081199</v>
      </c>
      <c r="N4829">
        <v>55.048189012529797</v>
      </c>
      <c r="O4829">
        <v>52.972449724001002</v>
      </c>
      <c r="P4829">
        <v>-9.3263188382532697E-2</v>
      </c>
      <c r="Q4829">
        <v>0.30370875527895103</v>
      </c>
      <c r="R4829">
        <v>0.96662710600291502</v>
      </c>
      <c r="S4829" t="s">
        <v>11475</v>
      </c>
      <c r="T4829" t="s">
        <v>13290</v>
      </c>
      <c r="U4829" t="s">
        <v>13290</v>
      </c>
      <c r="V4829" t="s">
        <v>13290</v>
      </c>
      <c r="W4829" t="s">
        <v>18071</v>
      </c>
      <c r="X4829">
        <v>4</v>
      </c>
      <c r="Y4829" t="s">
        <v>24555</v>
      </c>
      <c r="Z4829" t="s">
        <v>31159</v>
      </c>
      <c r="AA4829">
        <v>0.615926020440552</v>
      </c>
      <c r="AB4829" t="str">
        <f>HYPERLINK("Melting_Curves/meltCurve_Q8WXD5_GEMIN6.pdf", "Melting_Curves/meltCurve_Q8WXD5_GEMIN6.pdf")</f>
        <v>Melting_Curves/meltCurve_Q8WXD5_GEMIN6.pdf</v>
      </c>
    </row>
    <row r="4830" spans="1:28" x14ac:dyDescent="0.25">
      <c r="A4830" t="s">
        <v>4834</v>
      </c>
      <c r="B4830">
        <v>0.99252571173614901</v>
      </c>
      <c r="C4830">
        <v>0.95006090137249299</v>
      </c>
      <c r="D4830">
        <v>0.95087666685327699</v>
      </c>
      <c r="E4830">
        <v>0.76042374008440405</v>
      </c>
      <c r="F4830">
        <v>0.28075558668245498</v>
      </c>
      <c r="G4830">
        <v>0.105227611629711</v>
      </c>
      <c r="H4830">
        <v>3.8251126632912101E-2</v>
      </c>
      <c r="I4830">
        <v>2.4213111739265301E-2</v>
      </c>
      <c r="J4830">
        <v>2.7047860178458501E-2</v>
      </c>
      <c r="K4830">
        <v>2.7598655014277901E-2</v>
      </c>
      <c r="L4830">
        <v>1477.48903183778</v>
      </c>
      <c r="M4830">
        <v>28.7415854776178</v>
      </c>
      <c r="N4830">
        <v>51.507508036510799</v>
      </c>
      <c r="O4830">
        <v>51.159034221465802</v>
      </c>
      <c r="P4830">
        <v>-0.13658487404715</v>
      </c>
      <c r="Q4830">
        <v>2.7541821428044198E-2</v>
      </c>
      <c r="R4830">
        <v>0.99811295508181397</v>
      </c>
      <c r="S4830" t="s">
        <v>11476</v>
      </c>
      <c r="T4830" t="s">
        <v>13290</v>
      </c>
      <c r="U4830" t="s">
        <v>13290</v>
      </c>
      <c r="V4830" t="s">
        <v>13290</v>
      </c>
      <c r="W4830" t="s">
        <v>18072</v>
      </c>
      <c r="X4830">
        <v>3</v>
      </c>
      <c r="Y4830" t="s">
        <v>24556</v>
      </c>
      <c r="Z4830" t="s">
        <v>31160</v>
      </c>
      <c r="AA4830">
        <v>0.40397256344276861</v>
      </c>
      <c r="AB4830" t="str">
        <f>HYPERLINK("Melting_Curves/meltCurve_Q8WXE1_5_ATRIP.pdf", "Melting_Curves/meltCurve_Q8WXE1_5_ATRIP.pdf")</f>
        <v>Melting_Curves/meltCurve_Q8WXE1_5_ATRIP.pdf</v>
      </c>
    </row>
    <row r="4831" spans="1:28" x14ac:dyDescent="0.25">
      <c r="A4831" t="s">
        <v>4835</v>
      </c>
      <c r="B4831">
        <v>0.99252571173614901</v>
      </c>
      <c r="C4831">
        <v>0.89588107025845898</v>
      </c>
      <c r="D4831">
        <v>0.634546203495022</v>
      </c>
      <c r="E4831">
        <v>0.34081393681467098</v>
      </c>
      <c r="F4831">
        <v>0.20298123683920399</v>
      </c>
      <c r="G4831">
        <v>0.14005477883256201</v>
      </c>
      <c r="H4831">
        <v>0.11155217822954901</v>
      </c>
      <c r="I4831">
        <v>0.10369818781915</v>
      </c>
      <c r="J4831">
        <v>0.10132891619116501</v>
      </c>
      <c r="K4831">
        <v>0.106544925960272</v>
      </c>
      <c r="L4831">
        <v>929.60370263150003</v>
      </c>
      <c r="M4831">
        <v>19.7719163363269</v>
      </c>
      <c r="N4831">
        <v>47.586148902339303</v>
      </c>
      <c r="O4831">
        <v>46.543340854210399</v>
      </c>
      <c r="P4831">
        <v>-9.5010938640953599E-2</v>
      </c>
      <c r="Q4831">
        <v>0.1054026704367</v>
      </c>
      <c r="R4831">
        <v>0.99896527591157203</v>
      </c>
      <c r="S4831" t="s">
        <v>11477</v>
      </c>
      <c r="T4831" t="s">
        <v>13290</v>
      </c>
      <c r="U4831" t="s">
        <v>13290</v>
      </c>
      <c r="V4831" t="s">
        <v>13290</v>
      </c>
      <c r="W4831" t="s">
        <v>18073</v>
      </c>
      <c r="X4831">
        <v>24</v>
      </c>
      <c r="Y4831" t="s">
        <v>24557</v>
      </c>
      <c r="Z4831" t="s">
        <v>31161</v>
      </c>
      <c r="AA4831">
        <v>0.32805360810981232</v>
      </c>
      <c r="AB4831" t="str">
        <f>HYPERLINK("Melting_Curves/meltCurve_Q8WXF1_PSPC1.pdf", "Melting_Curves/meltCurve_Q8WXF1_PSPC1.pdf")</f>
        <v>Melting_Curves/meltCurve_Q8WXF1_PSPC1.pdf</v>
      </c>
    </row>
    <row r="4832" spans="1:28" x14ac:dyDescent="0.25">
      <c r="A4832" t="s">
        <v>4836</v>
      </c>
      <c r="B4832">
        <v>0.99252571173614901</v>
      </c>
      <c r="C4832">
        <v>0.91700044010499904</v>
      </c>
      <c r="D4832">
        <v>0.80155673392951199</v>
      </c>
      <c r="E4832">
        <v>1.6804606394578501</v>
      </c>
      <c r="F4832">
        <v>0.62632774611188202</v>
      </c>
      <c r="G4832">
        <v>0.55467639989358697</v>
      </c>
      <c r="H4832">
        <v>0.40038246224435697</v>
      </c>
      <c r="I4832">
        <v>0.580230237194722</v>
      </c>
      <c r="J4832">
        <v>0.193526173223316</v>
      </c>
      <c r="K4832">
        <v>0.13677470009113801</v>
      </c>
      <c r="L4832">
        <v>13090.732995664899</v>
      </c>
      <c r="M4832">
        <v>246.455569315117</v>
      </c>
      <c r="N4832">
        <v>53.413202312498299</v>
      </c>
      <c r="O4832">
        <v>53.1125053682456</v>
      </c>
      <c r="P4832">
        <v>-0.72722322859356703</v>
      </c>
      <c r="Q4832">
        <v>0.37311796083628301</v>
      </c>
      <c r="R4832">
        <v>0.62703617478951501</v>
      </c>
      <c r="S4832" t="s">
        <v>11478</v>
      </c>
      <c r="T4832" t="s">
        <v>13290</v>
      </c>
      <c r="U4832" t="s">
        <v>13290</v>
      </c>
      <c r="V4832" t="s">
        <v>13290</v>
      </c>
      <c r="W4832" t="s">
        <v>18074</v>
      </c>
      <c r="X4832">
        <v>3</v>
      </c>
      <c r="Y4832" t="s">
        <v>24558</v>
      </c>
      <c r="Z4832" t="s">
        <v>31162</v>
      </c>
      <c r="AA4832">
        <v>0.6472508313576687</v>
      </c>
      <c r="AB4832" t="str">
        <f>HYPERLINK("Melting_Curves/meltCurve_Q8WXH0_SYNE2.pdf", "Melting_Curves/meltCurve_Q8WXH0_SYNE2.pdf")</f>
        <v>Melting_Curves/meltCurve_Q8WXH0_SYNE2.pdf</v>
      </c>
    </row>
    <row r="4833" spans="1:28" x14ac:dyDescent="0.25">
      <c r="A4833" t="s">
        <v>4837</v>
      </c>
      <c r="B4833">
        <v>0.99252571173614901</v>
      </c>
      <c r="C4833">
        <v>0.85703767962264799</v>
      </c>
      <c r="D4833">
        <v>0.83074573526887496</v>
      </c>
      <c r="E4833">
        <v>0.52058680782756095</v>
      </c>
      <c r="F4833">
        <v>0.32102321956242402</v>
      </c>
      <c r="G4833">
        <v>0.22328072716720901</v>
      </c>
      <c r="H4833">
        <v>0.212954796876518</v>
      </c>
      <c r="I4833">
        <v>0.23931012422054099</v>
      </c>
      <c r="J4833">
        <v>0.28754609757758298</v>
      </c>
      <c r="K4833">
        <v>0.35613434585617199</v>
      </c>
      <c r="L4833">
        <v>1056.1603245607801</v>
      </c>
      <c r="M4833">
        <v>21.972032494883798</v>
      </c>
      <c r="N4833">
        <v>49.695746908484097</v>
      </c>
      <c r="O4833">
        <v>47.675536623182602</v>
      </c>
      <c r="P4833">
        <v>-8.5665051955760393E-2</v>
      </c>
      <c r="Q4833">
        <v>0.25650288280692002</v>
      </c>
      <c r="R4833">
        <v>0.96601107813690901</v>
      </c>
      <c r="S4833" t="s">
        <v>11479</v>
      </c>
      <c r="T4833" t="s">
        <v>13290</v>
      </c>
      <c r="U4833" t="s">
        <v>13290</v>
      </c>
      <c r="V4833" t="s">
        <v>13290</v>
      </c>
      <c r="W4833" t="s">
        <v>18075</v>
      </c>
      <c r="X4833">
        <v>8</v>
      </c>
      <c r="Y4833" t="s">
        <v>24559</v>
      </c>
      <c r="Z4833" t="s">
        <v>31163</v>
      </c>
      <c r="AA4833">
        <v>0.46510728894305531</v>
      </c>
      <c r="AB4833" t="str">
        <f>HYPERLINK("Melting_Curves/meltCurve_Q8WXI9_GATAD2B.pdf", "Melting_Curves/meltCurve_Q8WXI9_GATAD2B.pdf")</f>
        <v>Melting_Curves/meltCurve_Q8WXI9_GATAD2B.pdf</v>
      </c>
    </row>
    <row r="4834" spans="1:28" x14ac:dyDescent="0.25">
      <c r="A4834" t="s">
        <v>4838</v>
      </c>
      <c r="B4834">
        <v>0.99252571173614901</v>
      </c>
      <c r="C4834">
        <v>1.0305931044202501</v>
      </c>
      <c r="D4834">
        <v>0.974189567484953</v>
      </c>
      <c r="E4834">
        <v>0.94097983217812897</v>
      </c>
      <c r="F4834">
        <v>0.81720920032890199</v>
      </c>
      <c r="G4834">
        <v>0.78245411030669199</v>
      </c>
      <c r="H4834">
        <v>0.91418961330163295</v>
      </c>
      <c r="I4834">
        <v>2.3072984104910401</v>
      </c>
      <c r="J4834">
        <v>4.5270612352566699</v>
      </c>
      <c r="K4834">
        <v>4.5903899945500699</v>
      </c>
      <c r="L4834">
        <v>9470.5752511951396</v>
      </c>
      <c r="M4834">
        <v>152.91004853848301</v>
      </c>
      <c r="O4834">
        <v>61.925005007347302</v>
      </c>
      <c r="P4834">
        <v>0.30865974473192798</v>
      </c>
      <c r="Q4834">
        <v>1.5</v>
      </c>
      <c r="R4834">
        <v>6.9712029958030497E-2</v>
      </c>
      <c r="S4834" t="s">
        <v>11480</v>
      </c>
      <c r="T4834" t="s">
        <v>13290</v>
      </c>
      <c r="U4834" t="s">
        <v>13290</v>
      </c>
      <c r="V4834" t="s">
        <v>13290</v>
      </c>
      <c r="W4834" t="s">
        <v>18076</v>
      </c>
      <c r="X4834">
        <v>1</v>
      </c>
      <c r="Y4834" t="s">
        <v>24560</v>
      </c>
      <c r="Z4834" t="s">
        <v>31164</v>
      </c>
      <c r="AA4834">
        <v>1.1342613760761699</v>
      </c>
      <c r="AB4834" t="str">
        <f>HYPERLINK("Melting_Curves/meltCurve_Q8WXX0_DNAH7.pdf", "Melting_Curves/meltCurve_Q8WXX0_DNAH7.pdf")</f>
        <v>Melting_Curves/meltCurve_Q8WXX0_DNAH7.pdf</v>
      </c>
    </row>
    <row r="4835" spans="1:28" x14ac:dyDescent="0.25">
      <c r="A4835" t="s">
        <v>4839</v>
      </c>
      <c r="B4835">
        <v>0.99252571173614901</v>
      </c>
      <c r="C4835">
        <v>1.1724643040243401</v>
      </c>
      <c r="D4835">
        <v>1.00238581240889</v>
      </c>
      <c r="E4835">
        <v>1.09169831486799</v>
      </c>
      <c r="F4835">
        <v>0.37117163763780903</v>
      </c>
      <c r="G4835">
        <v>0.25205131172053702</v>
      </c>
      <c r="H4835">
        <v>0.20132850981387701</v>
      </c>
      <c r="I4835">
        <v>0.23601696294118099</v>
      </c>
      <c r="J4835">
        <v>0.27724255590336999</v>
      </c>
      <c r="K4835">
        <v>0.33830773409834702</v>
      </c>
      <c r="L4835">
        <v>13207.3403907389</v>
      </c>
      <c r="M4835">
        <v>250</v>
      </c>
      <c r="N4835">
        <v>52.985797078285202</v>
      </c>
      <c r="O4835">
        <v>52.825991898295499</v>
      </c>
      <c r="P4835">
        <v>-0.87434557107383903</v>
      </c>
      <c r="Q4835">
        <v>0.26098940227998202</v>
      </c>
      <c r="R4835">
        <v>0.96800175467331295</v>
      </c>
      <c r="S4835" t="s">
        <v>11481</v>
      </c>
      <c r="T4835" t="s">
        <v>13290</v>
      </c>
      <c r="U4835" t="s">
        <v>13290</v>
      </c>
      <c r="V4835" t="s">
        <v>13290</v>
      </c>
      <c r="W4835" t="s">
        <v>18077</v>
      </c>
      <c r="X4835">
        <v>12</v>
      </c>
      <c r="Y4835" t="s">
        <v>24561</v>
      </c>
      <c r="Z4835" t="s">
        <v>31165</v>
      </c>
      <c r="AA4835">
        <v>0.5770923913314695</v>
      </c>
      <c r="AB4835" t="str">
        <f>HYPERLINK("Melting_Curves/meltCurve_Q8WXX5_DNAJC9.pdf", "Melting_Curves/meltCurve_Q8WXX5_DNAJC9.pdf")</f>
        <v>Melting_Curves/meltCurve_Q8WXX5_DNAJC9.pdf</v>
      </c>
    </row>
    <row r="4836" spans="1:28" x14ac:dyDescent="0.25">
      <c r="A4836" t="s">
        <v>4840</v>
      </c>
      <c r="B4836">
        <v>0.99252571173614901</v>
      </c>
      <c r="C4836">
        <v>0.96498677266143496</v>
      </c>
      <c r="D4836">
        <v>0.91569720724199499</v>
      </c>
      <c r="E4836">
        <v>0.76462163730509702</v>
      </c>
      <c r="F4836">
        <v>0.87905900249882196</v>
      </c>
      <c r="G4836">
        <v>0.64948168238592296</v>
      </c>
      <c r="H4836">
        <v>0.56838441109682003</v>
      </c>
      <c r="I4836">
        <v>0.77081332363555199</v>
      </c>
      <c r="J4836">
        <v>1.3487626110915101</v>
      </c>
      <c r="K4836">
        <v>1.35776555299658</v>
      </c>
      <c r="L4836">
        <v>2355.7633159586799</v>
      </c>
      <c r="M4836">
        <v>54.396618545768597</v>
      </c>
      <c r="O4836">
        <v>43.248776342045701</v>
      </c>
      <c r="P4836">
        <v>-2.9454833401399101E-2</v>
      </c>
      <c r="Q4836">
        <v>0.90632623293833903</v>
      </c>
      <c r="R4836">
        <v>1.37713044071848E-2</v>
      </c>
      <c r="S4836" t="s">
        <v>11482</v>
      </c>
      <c r="T4836" t="s">
        <v>13290</v>
      </c>
      <c r="U4836" t="s">
        <v>13290</v>
      </c>
      <c r="V4836" t="s">
        <v>13290</v>
      </c>
      <c r="W4836" t="s">
        <v>18078</v>
      </c>
      <c r="X4836">
        <v>3</v>
      </c>
      <c r="Y4836" t="s">
        <v>24562</v>
      </c>
      <c r="Z4836" t="s">
        <v>31166</v>
      </c>
      <c r="AA4836">
        <v>0.91682650081583184</v>
      </c>
      <c r="AB4836" t="str">
        <f>HYPERLINK("Melting_Curves/meltCurve_Q8WY22_BRI3BP.pdf", "Melting_Curves/meltCurve_Q8WY22_BRI3BP.pdf")</f>
        <v>Melting_Curves/meltCurve_Q8WY22_BRI3BP.pdf</v>
      </c>
    </row>
    <row r="4837" spans="1:28" x14ac:dyDescent="0.25">
      <c r="A4837" t="s">
        <v>4841</v>
      </c>
      <c r="B4837">
        <v>0.99252571173614901</v>
      </c>
      <c r="C4837">
        <v>0.93558784697182396</v>
      </c>
      <c r="D4837">
        <v>0.46736886597111998</v>
      </c>
      <c r="E4837">
        <v>0.19832211267293001</v>
      </c>
      <c r="F4837">
        <v>0.12666518600061699</v>
      </c>
      <c r="G4837">
        <v>7.8314716328986497E-2</v>
      </c>
      <c r="H4837">
        <v>6.2746829709972501E-2</v>
      </c>
      <c r="I4837">
        <v>6.9404898197660006E-2</v>
      </c>
      <c r="J4837">
        <v>8.5733940391898897E-2</v>
      </c>
      <c r="K4837">
        <v>8.5168465366413801E-2</v>
      </c>
      <c r="L4837">
        <v>1473.1672435160301</v>
      </c>
      <c r="M4837">
        <v>32.242175296599299</v>
      </c>
      <c r="N4837">
        <v>45.965403329162903</v>
      </c>
      <c r="O4837">
        <v>45.5160043196339</v>
      </c>
      <c r="P4837">
        <v>-0.161574115746528</v>
      </c>
      <c r="Q4837">
        <v>8.7633309561174794E-2</v>
      </c>
      <c r="R4837">
        <v>0.99508548719895196</v>
      </c>
      <c r="S4837" t="s">
        <v>11483</v>
      </c>
      <c r="T4837" t="s">
        <v>13290</v>
      </c>
      <c r="U4837" t="s">
        <v>13290</v>
      </c>
      <c r="V4837" t="s">
        <v>13290</v>
      </c>
      <c r="W4837" t="s">
        <v>18079</v>
      </c>
      <c r="X4837">
        <v>19</v>
      </c>
      <c r="Y4837" t="s">
        <v>24563</v>
      </c>
      <c r="Z4837" t="s">
        <v>31167</v>
      </c>
      <c r="AA4837">
        <v>0.2654738989086422</v>
      </c>
      <c r="AB4837" t="str">
        <f>HYPERLINK("Melting_Curves/meltCurve_Q8WYA6_CTNNBL1.pdf", "Melting_Curves/meltCurve_Q8WYA6_CTNNBL1.pdf")</f>
        <v>Melting_Curves/meltCurve_Q8WYA6_CTNNBL1.pdf</v>
      </c>
    </row>
    <row r="4838" spans="1:28" x14ac:dyDescent="0.25">
      <c r="A4838" t="s">
        <v>4842</v>
      </c>
      <c r="B4838">
        <v>0.99252571173614901</v>
      </c>
      <c r="C4838">
        <v>0.89094765065515802</v>
      </c>
      <c r="D4838">
        <v>0.83234235786160404</v>
      </c>
      <c r="E4838">
        <v>0.79165983401716</v>
      </c>
      <c r="F4838">
        <v>0.38875419775980802</v>
      </c>
      <c r="G4838">
        <v>0.36459918878804098</v>
      </c>
      <c r="H4838">
        <v>0.38364281792638599</v>
      </c>
      <c r="I4838">
        <v>0.75262893480876802</v>
      </c>
      <c r="J4838">
        <v>1.23933285842841</v>
      </c>
      <c r="K4838">
        <v>0.72805378287027001</v>
      </c>
      <c r="L4838">
        <v>1191.3559219844899</v>
      </c>
      <c r="M4838">
        <v>26.145317331184199</v>
      </c>
      <c r="O4838">
        <v>45.302653579254098</v>
      </c>
      <c r="P4838">
        <v>-4.9375329149010001E-2</v>
      </c>
      <c r="Q4838">
        <v>0.65778843255993003</v>
      </c>
      <c r="R4838">
        <v>0.18211321384374701</v>
      </c>
      <c r="S4838" t="s">
        <v>11484</v>
      </c>
      <c r="T4838" t="s">
        <v>13290</v>
      </c>
      <c r="U4838" t="s">
        <v>13290</v>
      </c>
      <c r="V4838" t="s">
        <v>13290</v>
      </c>
      <c r="W4838" t="s">
        <v>18080</v>
      </c>
      <c r="X4838">
        <v>10</v>
      </c>
      <c r="Y4838" t="s">
        <v>24564</v>
      </c>
      <c r="Z4838" t="s">
        <v>31168</v>
      </c>
      <c r="AA4838">
        <v>0.72421000514453771</v>
      </c>
      <c r="AB4838" t="str">
        <f>HYPERLINK("Melting_Curves/meltCurve_Q8WYP5_AHCTF1.pdf", "Melting_Curves/meltCurve_Q8WYP5_AHCTF1.pdf")</f>
        <v>Melting_Curves/meltCurve_Q8WYP5_AHCTF1.pdf</v>
      </c>
    </row>
    <row r="4839" spans="1:28" x14ac:dyDescent="0.25">
      <c r="A4839" t="s">
        <v>4843</v>
      </c>
      <c r="B4839">
        <v>0.99252571173614901</v>
      </c>
      <c r="C4839">
        <v>1.00646685330619</v>
      </c>
      <c r="D4839">
        <v>0.72762224238353201</v>
      </c>
      <c r="E4839">
        <v>0.176925133183337</v>
      </c>
      <c r="F4839">
        <v>7.7319644133299698E-2</v>
      </c>
      <c r="G4839">
        <v>3.4913410066171199E-2</v>
      </c>
      <c r="H4839">
        <v>2.60534171147562E-2</v>
      </c>
      <c r="I4839">
        <v>2.89693437860967E-2</v>
      </c>
      <c r="J4839">
        <v>2.8721328172644198E-2</v>
      </c>
      <c r="K4839">
        <v>2.590361124806E-2</v>
      </c>
      <c r="L4839">
        <v>1714.54625596866</v>
      </c>
      <c r="M4839">
        <v>36.30912149049</v>
      </c>
      <c r="N4839">
        <v>47.3114001872855</v>
      </c>
      <c r="O4839">
        <v>47.0782808514615</v>
      </c>
      <c r="P4839">
        <v>-0.18633856744173199</v>
      </c>
      <c r="Q4839">
        <v>3.35795802582129E-2</v>
      </c>
      <c r="R4839">
        <v>0.99877624383225305</v>
      </c>
      <c r="S4839" t="s">
        <v>11485</v>
      </c>
      <c r="T4839" t="s">
        <v>13290</v>
      </c>
      <c r="U4839" t="s">
        <v>13290</v>
      </c>
      <c r="V4839" t="s">
        <v>13290</v>
      </c>
      <c r="W4839" t="s">
        <v>18081</v>
      </c>
      <c r="X4839">
        <v>5</v>
      </c>
      <c r="Y4839" t="s">
        <v>24565</v>
      </c>
      <c r="Z4839" t="s">
        <v>31169</v>
      </c>
      <c r="AA4839">
        <v>0.27006788688589423</v>
      </c>
      <c r="AB4839" t="str">
        <f>HYPERLINK("Melting_Curves/meltCurve_Q8WZ82_OVCA2.pdf", "Melting_Curves/meltCurve_Q8WZ82_OVCA2.pdf")</f>
        <v>Melting_Curves/meltCurve_Q8WZ82_OVCA2.pdf</v>
      </c>
    </row>
    <row r="4840" spans="1:28" x14ac:dyDescent="0.25">
      <c r="A4840" t="s">
        <v>4844</v>
      </c>
      <c r="B4840">
        <v>0.99252571173614901</v>
      </c>
      <c r="C4840">
        <v>1.0869335064000301</v>
      </c>
      <c r="D4840">
        <v>0.92229841606345997</v>
      </c>
      <c r="E4840">
        <v>0.74053510893798602</v>
      </c>
      <c r="F4840">
        <v>0.68761905220151098</v>
      </c>
      <c r="G4840">
        <v>0.55154010769515005</v>
      </c>
      <c r="H4840">
        <v>0.43085334662704999</v>
      </c>
      <c r="I4840">
        <v>0.46161812722470402</v>
      </c>
      <c r="J4840">
        <v>0.55709905694095596</v>
      </c>
      <c r="K4840">
        <v>0.53059476711259201</v>
      </c>
      <c r="L4840">
        <v>993.71344642039401</v>
      </c>
      <c r="M4840">
        <v>19.725925367547799</v>
      </c>
      <c r="N4840">
        <v>67.234376486958496</v>
      </c>
      <c r="O4840">
        <v>49.866856386318801</v>
      </c>
      <c r="P4840">
        <v>-4.9799818815140402E-2</v>
      </c>
      <c r="Q4840">
        <v>0.49644439708689803</v>
      </c>
      <c r="R4840">
        <v>0.93980090717341802</v>
      </c>
      <c r="S4840" t="s">
        <v>11486</v>
      </c>
      <c r="T4840" t="s">
        <v>13290</v>
      </c>
      <c r="U4840" t="s">
        <v>13290</v>
      </c>
      <c r="V4840" t="s">
        <v>13290</v>
      </c>
      <c r="W4840" t="s">
        <v>18082</v>
      </c>
      <c r="X4840">
        <v>14</v>
      </c>
      <c r="Y4840" t="s">
        <v>24566</v>
      </c>
      <c r="Z4840" t="s">
        <v>31170</v>
      </c>
      <c r="AA4840">
        <v>0.6777967993988655</v>
      </c>
      <c r="AB4840" t="str">
        <f>HYPERLINK("Melting_Curves/meltCurve_Q8WZA0_LZIC.pdf", "Melting_Curves/meltCurve_Q8WZA0_LZIC.pdf")</f>
        <v>Melting_Curves/meltCurve_Q8WZA0_LZIC.pdf</v>
      </c>
    </row>
    <row r="4841" spans="1:28" x14ac:dyDescent="0.25">
      <c r="A4841" t="s">
        <v>4845</v>
      </c>
      <c r="B4841">
        <v>0.99252571173614901</v>
      </c>
      <c r="C4841">
        <v>1.0889440783462301</v>
      </c>
      <c r="D4841">
        <v>0.93418914021160104</v>
      </c>
      <c r="E4841">
        <v>0.59678278902406201</v>
      </c>
      <c r="F4841">
        <v>0.128927093659428</v>
      </c>
      <c r="G4841">
        <v>6.3257396914274705E-2</v>
      </c>
      <c r="H4841">
        <v>4.1943399072057998E-2</v>
      </c>
      <c r="I4841">
        <v>4.7625460295461601E-2</v>
      </c>
      <c r="J4841">
        <v>5.3301184429160701E-2</v>
      </c>
      <c r="K4841">
        <v>4.7114832816276597E-2</v>
      </c>
      <c r="L4841">
        <v>1844.6958918760399</v>
      </c>
      <c r="M4841">
        <v>36.910029605599703</v>
      </c>
      <c r="N4841">
        <v>50.111226169739098</v>
      </c>
      <c r="O4841">
        <v>49.832147334855001</v>
      </c>
      <c r="P4841">
        <v>-0.17652930615954199</v>
      </c>
      <c r="Q4841">
        <v>4.6675456289720502E-2</v>
      </c>
      <c r="R4841">
        <v>0.994873406055094</v>
      </c>
      <c r="S4841" t="s">
        <v>11487</v>
      </c>
      <c r="T4841" t="s">
        <v>13290</v>
      </c>
      <c r="U4841" t="s">
        <v>13290</v>
      </c>
      <c r="V4841" t="s">
        <v>13290</v>
      </c>
      <c r="W4841" t="s">
        <v>18083</v>
      </c>
      <c r="X4841">
        <v>18</v>
      </c>
      <c r="Y4841" t="s">
        <v>24567</v>
      </c>
      <c r="Z4841" t="s">
        <v>31171</v>
      </c>
      <c r="AA4841">
        <v>0.36763204812948369</v>
      </c>
      <c r="AB4841" t="str">
        <f>HYPERLINK("Melting_Curves/meltCurve_Q8WZA9_IRGQ.pdf", "Melting_Curves/meltCurve_Q8WZA9_IRGQ.pdf")</f>
        <v>Melting_Curves/meltCurve_Q8WZA9_IRGQ.pdf</v>
      </c>
    </row>
    <row r="4842" spans="1:28" x14ac:dyDescent="0.25">
      <c r="A4842" t="s">
        <v>4846</v>
      </c>
      <c r="B4842">
        <v>0.99252571173614901</v>
      </c>
      <c r="C4842">
        <v>0.86762848981844098</v>
      </c>
      <c r="D4842">
        <v>1.0421380907753499</v>
      </c>
      <c r="E4842">
        <v>0.91907607478733599</v>
      </c>
      <c r="F4842">
        <v>1.19068934762997</v>
      </c>
      <c r="G4842">
        <v>0.85208865131905398</v>
      </c>
      <c r="H4842">
        <v>0.81147837520436406</v>
      </c>
      <c r="I4842">
        <v>0.66429955528221796</v>
      </c>
      <c r="J4842">
        <v>0.42673992546074602</v>
      </c>
      <c r="K4842">
        <v>0.18049455529995301</v>
      </c>
      <c r="L4842">
        <v>1320.4883160724701</v>
      </c>
      <c r="M4842">
        <v>20.089738964008099</v>
      </c>
      <c r="N4842">
        <v>65.729502204758802</v>
      </c>
      <c r="O4842">
        <v>65.088614692051905</v>
      </c>
      <c r="P4842">
        <v>-7.7165497613535403E-2</v>
      </c>
      <c r="Q4842">
        <v>0</v>
      </c>
      <c r="R4842">
        <v>0.89955329603095402</v>
      </c>
      <c r="S4842" t="s">
        <v>11488</v>
      </c>
      <c r="T4842" t="s">
        <v>13290</v>
      </c>
      <c r="U4842" t="s">
        <v>13290</v>
      </c>
      <c r="V4842" t="s">
        <v>13290</v>
      </c>
      <c r="W4842" t="s">
        <v>18084</v>
      </c>
      <c r="X4842">
        <v>5</v>
      </c>
      <c r="Y4842" t="s">
        <v>24568</v>
      </c>
      <c r="Z4842" t="s">
        <v>31172</v>
      </c>
      <c r="AA4842">
        <v>0.8399665358181212</v>
      </c>
      <c r="AB4842" t="str">
        <f>HYPERLINK("Melting_Curves/meltCurve_Q92466_DDB2.pdf", "Melting_Curves/meltCurve_Q92466_DDB2.pdf")</f>
        <v>Melting_Curves/meltCurve_Q92466_DDB2.pdf</v>
      </c>
    </row>
    <row r="4843" spans="1:28" x14ac:dyDescent="0.25">
      <c r="A4843" t="s">
        <v>4847</v>
      </c>
      <c r="B4843">
        <v>0.99252571173614901</v>
      </c>
      <c r="C4843">
        <v>1.04008255142307</v>
      </c>
      <c r="D4843">
        <v>1.0176239469680799</v>
      </c>
      <c r="E4843">
        <v>1.0026044714486699</v>
      </c>
      <c r="F4843">
        <v>0.81332111660294704</v>
      </c>
      <c r="G4843">
        <v>0.58449926769530403</v>
      </c>
      <c r="H4843">
        <v>0.72491200575384396</v>
      </c>
      <c r="I4843">
        <v>0.85646578847436805</v>
      </c>
      <c r="J4843">
        <v>1.4025680941910501</v>
      </c>
      <c r="K4843">
        <v>1.0839957554308299</v>
      </c>
      <c r="L4843">
        <v>2236.0751917583102</v>
      </c>
      <c r="M4843">
        <v>33.7264447414803</v>
      </c>
      <c r="O4843">
        <v>66.0685628290003</v>
      </c>
      <c r="P4843">
        <v>2.46790533583079E-2</v>
      </c>
      <c r="Q4843">
        <v>1.19337975081551</v>
      </c>
      <c r="R4843">
        <v>8.1758116005816603E-2</v>
      </c>
      <c r="S4843" t="s">
        <v>11489</v>
      </c>
      <c r="T4843" t="s">
        <v>13290</v>
      </c>
      <c r="U4843" t="s">
        <v>13290</v>
      </c>
      <c r="V4843" t="s">
        <v>13290</v>
      </c>
      <c r="W4843" t="s">
        <v>18085</v>
      </c>
      <c r="X4843">
        <v>2</v>
      </c>
      <c r="Y4843" t="s">
        <v>24569</v>
      </c>
      <c r="Z4843" t="s">
        <v>31173</v>
      </c>
      <c r="AA4843">
        <v>1.0249512396318099</v>
      </c>
      <c r="AB4843" t="str">
        <f>HYPERLINK("Melting_Curves/meltCurve_Q92485_SMPDL3B.pdf", "Melting_Curves/meltCurve_Q92485_SMPDL3B.pdf")</f>
        <v>Melting_Curves/meltCurve_Q92485_SMPDL3B.pdf</v>
      </c>
    </row>
    <row r="4844" spans="1:28" x14ac:dyDescent="0.25">
      <c r="A4844" t="s">
        <v>4848</v>
      </c>
      <c r="B4844">
        <v>0.99252571173614901</v>
      </c>
      <c r="C4844">
        <v>0.91327254887395504</v>
      </c>
      <c r="D4844">
        <v>1.0148106330137401</v>
      </c>
      <c r="E4844">
        <v>0.76701774078884599</v>
      </c>
      <c r="F4844">
        <v>0.171370120075027</v>
      </c>
      <c r="G4844">
        <v>0.105237316443997</v>
      </c>
      <c r="H4844">
        <v>7.0475885954244893E-2</v>
      </c>
      <c r="I4844">
        <v>7.1955319842075996E-2</v>
      </c>
      <c r="J4844">
        <v>7.73209020545296E-2</v>
      </c>
      <c r="K4844">
        <v>7.7029806660058403E-2</v>
      </c>
      <c r="L4844">
        <v>2398.2075737411001</v>
      </c>
      <c r="M4844">
        <v>47.261990545318703</v>
      </c>
      <c r="N4844">
        <v>50.927968569142401</v>
      </c>
      <c r="O4844">
        <v>50.6522386599624</v>
      </c>
      <c r="P4844">
        <v>-0.21485558398483601</v>
      </c>
      <c r="Q4844">
        <v>7.8929586690037495E-2</v>
      </c>
      <c r="R4844">
        <v>0.99490830782387996</v>
      </c>
      <c r="S4844" t="s">
        <v>11490</v>
      </c>
      <c r="T4844" t="s">
        <v>13290</v>
      </c>
      <c r="U4844" t="s">
        <v>13290</v>
      </c>
      <c r="V4844" t="s">
        <v>13290</v>
      </c>
      <c r="W4844" t="s">
        <v>18086</v>
      </c>
      <c r="X4844">
        <v>38</v>
      </c>
      <c r="Y4844" t="s">
        <v>24570</v>
      </c>
      <c r="Z4844" t="s">
        <v>31174</v>
      </c>
      <c r="AA4844">
        <v>0.4110688317591617</v>
      </c>
      <c r="AB4844" t="str">
        <f>HYPERLINK("Melting_Curves/meltCurve_Q92499_DDX1.pdf", "Melting_Curves/meltCurve_Q92499_DDX1.pdf")</f>
        <v>Melting_Curves/meltCurve_Q92499_DDX1.pdf</v>
      </c>
    </row>
    <row r="4845" spans="1:28" x14ac:dyDescent="0.25">
      <c r="A4845" t="s">
        <v>4849</v>
      </c>
      <c r="B4845">
        <v>0.99252571173614901</v>
      </c>
      <c r="C4845">
        <v>1.0434151914323699</v>
      </c>
      <c r="D4845">
        <v>0.94260598259622796</v>
      </c>
      <c r="E4845">
        <v>1.3511188472372599</v>
      </c>
      <c r="F4845">
        <v>0.98897010801667995</v>
      </c>
      <c r="G4845">
        <v>0.66055603051546197</v>
      </c>
      <c r="H4845">
        <v>0.57957873322617004</v>
      </c>
      <c r="I4845">
        <v>0.78332164310200103</v>
      </c>
      <c r="J4845">
        <v>0.88800215409207295</v>
      </c>
      <c r="K4845">
        <v>0.52103940174691799</v>
      </c>
      <c r="L4845">
        <v>13476.154734793001</v>
      </c>
      <c r="M4845">
        <v>250</v>
      </c>
      <c r="O4845">
        <v>53.901193771865799</v>
      </c>
      <c r="P4845">
        <v>-0.36351317095266</v>
      </c>
      <c r="Q4845">
        <v>0.68649943925399703</v>
      </c>
      <c r="R4845">
        <v>0.60621337825281696</v>
      </c>
      <c r="S4845" t="s">
        <v>11491</v>
      </c>
      <c r="T4845" t="s">
        <v>13290</v>
      </c>
      <c r="U4845" t="s">
        <v>13290</v>
      </c>
      <c r="V4845" t="s">
        <v>13290</v>
      </c>
      <c r="W4845" t="s">
        <v>18087</v>
      </c>
      <c r="X4845">
        <v>4</v>
      </c>
      <c r="Y4845" t="s">
        <v>24571</v>
      </c>
      <c r="Z4845" t="s">
        <v>31175</v>
      </c>
      <c r="AA4845">
        <v>0.83183262477410524</v>
      </c>
      <c r="AB4845" t="str">
        <f>HYPERLINK("Melting_Curves/meltCurve_Q92504_SLC39A7.pdf", "Melting_Curves/meltCurve_Q92504_SLC39A7.pdf")</f>
        <v>Melting_Curves/meltCurve_Q92504_SLC39A7.pdf</v>
      </c>
    </row>
    <row r="4846" spans="1:28" x14ac:dyDescent="0.25">
      <c r="A4846" t="s">
        <v>4850</v>
      </c>
      <c r="B4846">
        <v>0.99252571173614901</v>
      </c>
      <c r="C4846">
        <v>0.98080736252854195</v>
      </c>
      <c r="D4846">
        <v>0.99075141071959105</v>
      </c>
      <c r="E4846">
        <v>0.96968865419656802</v>
      </c>
      <c r="F4846">
        <v>0.94331241770788099</v>
      </c>
      <c r="G4846">
        <v>0.80219420065993696</v>
      </c>
      <c r="H4846">
        <v>0.75347051887903904</v>
      </c>
      <c r="I4846">
        <v>0.76510574223695405</v>
      </c>
      <c r="J4846">
        <v>0.744425627912085</v>
      </c>
      <c r="K4846">
        <v>0.53692342020316297</v>
      </c>
      <c r="L4846">
        <v>435.62840383693799</v>
      </c>
      <c r="M4846">
        <v>5.8183075382834799</v>
      </c>
      <c r="O4846">
        <v>67.448822478932499</v>
      </c>
      <c r="P4846">
        <v>-2.16435454387706E-2</v>
      </c>
      <c r="Q4846">
        <v>0</v>
      </c>
      <c r="R4846">
        <v>0.90895642842194802</v>
      </c>
      <c r="S4846" t="s">
        <v>11492</v>
      </c>
      <c r="T4846" t="s">
        <v>13290</v>
      </c>
      <c r="U4846" t="s">
        <v>13290</v>
      </c>
      <c r="V4846" t="s">
        <v>13290</v>
      </c>
      <c r="W4846" t="s">
        <v>18088</v>
      </c>
      <c r="X4846">
        <v>10</v>
      </c>
      <c r="Y4846" t="s">
        <v>24572</v>
      </c>
      <c r="Z4846" t="s">
        <v>31176</v>
      </c>
      <c r="AA4846">
        <v>0.85658381623210844</v>
      </c>
      <c r="AB4846" t="str">
        <f>HYPERLINK("Melting_Curves/meltCurve_Q92506_HSD17B8.pdf", "Melting_Curves/meltCurve_Q92506_HSD17B8.pdf")</f>
        <v>Melting_Curves/meltCurve_Q92506_HSD17B8.pdf</v>
      </c>
    </row>
    <row r="4847" spans="1:28" x14ac:dyDescent="0.25">
      <c r="A4847" t="s">
        <v>4851</v>
      </c>
      <c r="B4847">
        <v>0.99252571173614901</v>
      </c>
      <c r="C4847">
        <v>1.11806501041391</v>
      </c>
      <c r="D4847">
        <v>1.0143656482619501</v>
      </c>
      <c r="E4847">
        <v>0.94804956144756103</v>
      </c>
      <c r="F4847">
        <v>0.72864120092721796</v>
      </c>
      <c r="G4847">
        <v>0.50681677521061796</v>
      </c>
      <c r="H4847">
        <v>0.38099643531466798</v>
      </c>
      <c r="I4847">
        <v>0.32175738822127098</v>
      </c>
      <c r="J4847">
        <v>0.25530600446066698</v>
      </c>
      <c r="K4847">
        <v>0.15459836261948601</v>
      </c>
      <c r="L4847">
        <v>949.66191852532199</v>
      </c>
      <c r="M4847">
        <v>17.025122215387501</v>
      </c>
      <c r="N4847">
        <v>57.4373667833787</v>
      </c>
      <c r="O4847">
        <v>55.0275215296708</v>
      </c>
      <c r="P4847">
        <v>-6.2341054888634902E-2</v>
      </c>
      <c r="Q4847">
        <v>0.19407032786676201</v>
      </c>
      <c r="R4847">
        <v>0.977288904012245</v>
      </c>
      <c r="S4847" t="s">
        <v>11493</v>
      </c>
      <c r="T4847" t="s">
        <v>13290</v>
      </c>
      <c r="U4847" t="s">
        <v>13290</v>
      </c>
      <c r="V4847" t="s">
        <v>13290</v>
      </c>
      <c r="W4847" t="s">
        <v>18089</v>
      </c>
      <c r="X4847">
        <v>1</v>
      </c>
      <c r="Y4847" t="s">
        <v>24573</v>
      </c>
      <c r="Z4847" t="s">
        <v>31177</v>
      </c>
      <c r="AA4847">
        <v>0.63082461346858376</v>
      </c>
      <c r="AB4847" t="str">
        <f>HYPERLINK("Melting_Curves/meltCurve_Q92508_PIEZO1.pdf", "Melting_Curves/meltCurve_Q92508_PIEZO1.pdf")</f>
        <v>Melting_Curves/meltCurve_Q92508_PIEZO1.pdf</v>
      </c>
    </row>
    <row r="4848" spans="1:28" x14ac:dyDescent="0.25">
      <c r="A4848" t="s">
        <v>4852</v>
      </c>
      <c r="B4848">
        <v>0.99252571173614901</v>
      </c>
      <c r="C4848">
        <v>0.88442313998931299</v>
      </c>
      <c r="D4848">
        <v>0.81948858765322397</v>
      </c>
      <c r="E4848">
        <v>0.76506388602097297</v>
      </c>
      <c r="F4848">
        <v>0.33282130528854198</v>
      </c>
      <c r="G4848">
        <v>0.172693949158612</v>
      </c>
      <c r="H4848">
        <v>0.12006439345426501</v>
      </c>
      <c r="I4848">
        <v>0.126210343822836</v>
      </c>
      <c r="J4848">
        <v>0.16558606593914399</v>
      </c>
      <c r="K4848">
        <v>0.14204847946789201</v>
      </c>
      <c r="L4848">
        <v>1068.31311276717</v>
      </c>
      <c r="M4848">
        <v>21.003966118388199</v>
      </c>
      <c r="N4848">
        <v>51.524336673977103</v>
      </c>
      <c r="O4848">
        <v>50.408134660849299</v>
      </c>
      <c r="P4848">
        <v>-9.1854902099250596E-2</v>
      </c>
      <c r="Q4848">
        <v>0.11824081752357</v>
      </c>
      <c r="R4848">
        <v>0.97324486929216603</v>
      </c>
      <c r="S4848" t="s">
        <v>11494</v>
      </c>
      <c r="T4848" t="s">
        <v>13290</v>
      </c>
      <c r="U4848" t="s">
        <v>13290</v>
      </c>
      <c r="V4848" t="s">
        <v>13290</v>
      </c>
      <c r="W4848" t="s">
        <v>18090</v>
      </c>
      <c r="X4848">
        <v>12</v>
      </c>
      <c r="Y4848" t="s">
        <v>24574</v>
      </c>
      <c r="Z4848" t="s">
        <v>31178</v>
      </c>
      <c r="AA4848">
        <v>0.44866821420998743</v>
      </c>
      <c r="AB4848" t="str">
        <f>HYPERLINK("Melting_Curves/meltCurve_Q92520_FAM3C.pdf", "Melting_Curves/meltCurve_Q92520_FAM3C.pdf")</f>
        <v>Melting_Curves/meltCurve_Q92520_FAM3C.pdf</v>
      </c>
    </row>
    <row r="4849" spans="1:28" x14ac:dyDescent="0.25">
      <c r="A4849" t="s">
        <v>4853</v>
      </c>
      <c r="B4849">
        <v>0.99252571173614901</v>
      </c>
      <c r="C4849">
        <v>1.00024877381323</v>
      </c>
      <c r="D4849">
        <v>0.97871603710530597</v>
      </c>
      <c r="E4849">
        <v>0.932696272022429</v>
      </c>
      <c r="F4849">
        <v>0.53426910078441103</v>
      </c>
      <c r="G4849">
        <v>0.35241667264586501</v>
      </c>
      <c r="H4849">
        <v>0.189540620628148</v>
      </c>
      <c r="I4849">
        <v>0.20404385338955999</v>
      </c>
      <c r="J4849">
        <v>0.21852562029220399</v>
      </c>
      <c r="K4849">
        <v>0.33214235474342002</v>
      </c>
      <c r="L4849">
        <v>1756.6777790400099</v>
      </c>
      <c r="M4849">
        <v>33.379340839260003</v>
      </c>
      <c r="N4849">
        <v>53.695569256821301</v>
      </c>
      <c r="O4849">
        <v>52.439880261774903</v>
      </c>
      <c r="P4849">
        <v>-0.12053255883615099</v>
      </c>
      <c r="Q4849">
        <v>0.24256310961122299</v>
      </c>
      <c r="R4849">
        <v>0.98497623347385799</v>
      </c>
      <c r="S4849" t="s">
        <v>11495</v>
      </c>
      <c r="T4849" t="s">
        <v>13290</v>
      </c>
      <c r="U4849" t="s">
        <v>13290</v>
      </c>
      <c r="V4849" t="s">
        <v>13290</v>
      </c>
      <c r="W4849" t="s">
        <v>18091</v>
      </c>
      <c r="X4849">
        <v>1</v>
      </c>
      <c r="Y4849" t="s">
        <v>24575</v>
      </c>
      <c r="Z4849" t="s">
        <v>31179</v>
      </c>
      <c r="AA4849">
        <v>0.56534052593330431</v>
      </c>
      <c r="AB4849" t="str">
        <f>HYPERLINK("Melting_Curves/meltCurve_Q92522_H1FX.pdf", "Melting_Curves/meltCurve_Q92522_H1FX.pdf")</f>
        <v>Melting_Curves/meltCurve_Q92522_H1FX.pdf</v>
      </c>
    </row>
    <row r="4850" spans="1:28" x14ac:dyDescent="0.25">
      <c r="A4850" t="s">
        <v>4854</v>
      </c>
      <c r="B4850">
        <v>0.99252571173614901</v>
      </c>
      <c r="C4850">
        <v>1.0610348933362199</v>
      </c>
      <c r="D4850">
        <v>0.99390148047280003</v>
      </c>
      <c r="E4850">
        <v>0.66419541497273304</v>
      </c>
      <c r="F4850">
        <v>0.25722762436450602</v>
      </c>
      <c r="G4850">
        <v>0.15164762725002101</v>
      </c>
      <c r="H4850">
        <v>0.125889998509325</v>
      </c>
      <c r="I4850">
        <v>0.123307117190257</v>
      </c>
      <c r="J4850">
        <v>0.18175799258224701</v>
      </c>
      <c r="K4850">
        <v>0.14483565949522201</v>
      </c>
      <c r="L4850">
        <v>1835.91222110799</v>
      </c>
      <c r="M4850">
        <v>36.534667014277602</v>
      </c>
      <c r="N4850">
        <v>50.724527094528703</v>
      </c>
      <c r="O4850">
        <v>50.101395596763503</v>
      </c>
      <c r="P4850">
        <v>-0.15597395391360699</v>
      </c>
      <c r="Q4850">
        <v>0.14443019863659601</v>
      </c>
      <c r="R4850">
        <v>0.995362539534424</v>
      </c>
      <c r="S4850" t="s">
        <v>11496</v>
      </c>
      <c r="T4850" t="s">
        <v>13290</v>
      </c>
      <c r="U4850" t="s">
        <v>13290</v>
      </c>
      <c r="V4850" t="s">
        <v>13290</v>
      </c>
      <c r="W4850" t="s">
        <v>18092</v>
      </c>
      <c r="X4850">
        <v>9</v>
      </c>
      <c r="Y4850" t="s">
        <v>24576</v>
      </c>
      <c r="Z4850" t="s">
        <v>31180</v>
      </c>
      <c r="AA4850">
        <v>0.44035414179861559</v>
      </c>
      <c r="AB4850" t="str">
        <f>HYPERLINK("Melting_Curves/meltCurve_Q92526_CCT6B.pdf", "Melting_Curves/meltCurve_Q92526_CCT6B.pdf")</f>
        <v>Melting_Curves/meltCurve_Q92526_CCT6B.pdf</v>
      </c>
    </row>
    <row r="4851" spans="1:28" x14ac:dyDescent="0.25">
      <c r="A4851" t="s">
        <v>4855</v>
      </c>
      <c r="B4851">
        <v>0.99252571173614901</v>
      </c>
      <c r="C4851">
        <v>0.88659066277295695</v>
      </c>
      <c r="D4851">
        <v>0.89454299955745398</v>
      </c>
      <c r="E4851">
        <v>0.70797112692404895</v>
      </c>
      <c r="F4851">
        <v>0.722449255904409</v>
      </c>
      <c r="G4851">
        <v>0.45852881083203201</v>
      </c>
      <c r="H4851">
        <v>0.330895355856965</v>
      </c>
      <c r="I4851">
        <v>0.24863712622367901</v>
      </c>
      <c r="J4851">
        <v>0.36373817078392501</v>
      </c>
      <c r="K4851">
        <v>0.223877726478967</v>
      </c>
      <c r="L4851">
        <v>534.74091249261198</v>
      </c>
      <c r="M4851">
        <v>9.8661298147016492</v>
      </c>
      <c r="N4851">
        <v>56.383467908321997</v>
      </c>
      <c r="O4851">
        <v>52.113880602144</v>
      </c>
      <c r="P4851">
        <v>-3.9834247262333602E-2</v>
      </c>
      <c r="Q4851">
        <v>0.158796916900803</v>
      </c>
      <c r="R4851">
        <v>0.95663105710833896</v>
      </c>
      <c r="S4851" t="s">
        <v>11497</v>
      </c>
      <c r="T4851" t="s">
        <v>13290</v>
      </c>
      <c r="U4851" t="s">
        <v>13290</v>
      </c>
      <c r="V4851" t="s">
        <v>13290</v>
      </c>
      <c r="W4851" t="s">
        <v>18093</v>
      </c>
      <c r="X4851">
        <v>4</v>
      </c>
      <c r="Y4851" t="s">
        <v>24577</v>
      </c>
      <c r="Z4851" t="s">
        <v>31181</v>
      </c>
      <c r="AA4851">
        <v>0.58187356981221028</v>
      </c>
      <c r="AB4851" t="str">
        <f>HYPERLINK("Melting_Curves/meltCurve_Q92536_SLC7A6.pdf", "Melting_Curves/meltCurve_Q92536_SLC7A6.pdf")</f>
        <v>Melting_Curves/meltCurve_Q92536_SLC7A6.pdf</v>
      </c>
    </row>
    <row r="4852" spans="1:28" x14ac:dyDescent="0.25">
      <c r="A4852" t="s">
        <v>4856</v>
      </c>
      <c r="B4852">
        <v>0.99252571173614901</v>
      </c>
      <c r="C4852">
        <v>0.97841000892023799</v>
      </c>
      <c r="D4852">
        <v>1.03872026002783</v>
      </c>
      <c r="E4852">
        <v>1.00246496159652</v>
      </c>
      <c r="F4852">
        <v>0.75123258322974096</v>
      </c>
      <c r="G4852">
        <v>0.56506885485154301</v>
      </c>
      <c r="H4852">
        <v>0.56209623057455704</v>
      </c>
      <c r="I4852">
        <v>0.50569686177502704</v>
      </c>
      <c r="J4852">
        <v>0.53297579972355102</v>
      </c>
      <c r="K4852">
        <v>0.351393714143172</v>
      </c>
      <c r="L4852">
        <v>1623.7475873065</v>
      </c>
      <c r="M4852">
        <v>30.265186080334601</v>
      </c>
      <c r="N4852">
        <v>60.203003229345398</v>
      </c>
      <c r="O4852">
        <v>53.418078733224398</v>
      </c>
      <c r="P4852">
        <v>-7.3449875683746002E-2</v>
      </c>
      <c r="Q4852">
        <v>0.48144691684826502</v>
      </c>
      <c r="R4852">
        <v>0.95071569814462797</v>
      </c>
      <c r="S4852" t="s">
        <v>11498</v>
      </c>
      <c r="T4852" t="s">
        <v>13290</v>
      </c>
      <c r="U4852" t="s">
        <v>13290</v>
      </c>
      <c r="V4852" t="s">
        <v>13290</v>
      </c>
      <c r="W4852" t="s">
        <v>18094</v>
      </c>
      <c r="X4852">
        <v>1</v>
      </c>
      <c r="Y4852" t="s">
        <v>24578</v>
      </c>
      <c r="Z4852" t="s">
        <v>31182</v>
      </c>
      <c r="AA4852">
        <v>0.72073470823733976</v>
      </c>
      <c r="AB4852" t="str">
        <f>HYPERLINK("Melting_Curves/meltCurve_Q92537_KIAA0247.pdf", "Melting_Curves/meltCurve_Q92537_KIAA0247.pdf")</f>
        <v>Melting_Curves/meltCurve_Q92537_KIAA0247.pdf</v>
      </c>
    </row>
    <row r="4853" spans="1:28" x14ac:dyDescent="0.25">
      <c r="A4853" t="s">
        <v>4857</v>
      </c>
      <c r="B4853">
        <v>0.99252571173614901</v>
      </c>
      <c r="C4853">
        <v>0.94000567618727104</v>
      </c>
      <c r="D4853">
        <v>0.84465496397461504</v>
      </c>
      <c r="E4853">
        <v>0.41348027509986401</v>
      </c>
      <c r="F4853">
        <v>0.19983672302730601</v>
      </c>
      <c r="G4853">
        <v>0.11862206183484</v>
      </c>
      <c r="H4853">
        <v>8.7191769402315294E-2</v>
      </c>
      <c r="I4853">
        <v>9.0705372504713305E-2</v>
      </c>
      <c r="J4853">
        <v>9.6132871706274298E-2</v>
      </c>
      <c r="K4853">
        <v>8.0982923095291606E-2</v>
      </c>
      <c r="L4853">
        <v>1223.4830174112601</v>
      </c>
      <c r="M4853">
        <v>25.1776430819273</v>
      </c>
      <c r="N4853">
        <v>48.979154643587798</v>
      </c>
      <c r="O4853">
        <v>48.290576407555399</v>
      </c>
      <c r="P4853">
        <v>-0.118640471477355</v>
      </c>
      <c r="Q4853">
        <v>8.9804783454042497E-2</v>
      </c>
      <c r="R4853">
        <v>0.99839240450421796</v>
      </c>
      <c r="S4853" t="s">
        <v>11499</v>
      </c>
      <c r="T4853" t="s">
        <v>13290</v>
      </c>
      <c r="U4853" t="s">
        <v>13290</v>
      </c>
      <c r="V4853" t="s">
        <v>13290</v>
      </c>
      <c r="W4853" t="s">
        <v>18095</v>
      </c>
      <c r="X4853">
        <v>22</v>
      </c>
      <c r="Y4853" t="s">
        <v>24579</v>
      </c>
      <c r="Z4853" t="s">
        <v>31183</v>
      </c>
      <c r="AA4853">
        <v>0.35847720630988789</v>
      </c>
      <c r="AB4853" t="str">
        <f>HYPERLINK("Melting_Curves/meltCurve_Q92538_GBF1.pdf", "Melting_Curves/meltCurve_Q92538_GBF1.pdf")</f>
        <v>Melting_Curves/meltCurve_Q92538_GBF1.pdf</v>
      </c>
    </row>
    <row r="4854" spans="1:28" x14ac:dyDescent="0.25">
      <c r="A4854" t="s">
        <v>4858</v>
      </c>
      <c r="B4854">
        <v>0.99252571173614901</v>
      </c>
      <c r="C4854">
        <v>1.0953569543525199</v>
      </c>
      <c r="D4854">
        <v>0.71731619815875303</v>
      </c>
      <c r="E4854">
        <v>0.71560454740875601</v>
      </c>
      <c r="F4854">
        <v>0.34376673243838501</v>
      </c>
      <c r="G4854">
        <v>0.16149966723096301</v>
      </c>
      <c r="H4854">
        <v>8.6674134548235707E-2</v>
      </c>
      <c r="I4854">
        <v>8.5297105825229202E-2</v>
      </c>
      <c r="J4854">
        <v>0.10834415554624301</v>
      </c>
      <c r="K4854">
        <v>0.102121516619469</v>
      </c>
      <c r="L4854">
        <v>907.55361722116595</v>
      </c>
      <c r="M4854">
        <v>17.881418456038599</v>
      </c>
      <c r="N4854">
        <v>51.187594749858</v>
      </c>
      <c r="O4854">
        <v>50.132003328545203</v>
      </c>
      <c r="P4854">
        <v>-8.2909201631107904E-2</v>
      </c>
      <c r="Q4854">
        <v>7.0276466161138307E-2</v>
      </c>
      <c r="R4854">
        <v>0.96441882631930897</v>
      </c>
      <c r="S4854" t="s">
        <v>11500</v>
      </c>
      <c r="T4854" t="s">
        <v>13290</v>
      </c>
      <c r="U4854" t="s">
        <v>13290</v>
      </c>
      <c r="V4854" t="s">
        <v>13290</v>
      </c>
      <c r="W4854" t="s">
        <v>18096</v>
      </c>
      <c r="X4854">
        <v>27</v>
      </c>
      <c r="Y4854" t="s">
        <v>24580</v>
      </c>
      <c r="Z4854" t="s">
        <v>31184</v>
      </c>
      <c r="AA4854">
        <v>0.419452367646587</v>
      </c>
      <c r="AB4854" t="str">
        <f>HYPERLINK("Melting_Curves/meltCurve_Q92541_RTF1.pdf", "Melting_Curves/meltCurve_Q92541_RTF1.pdf")</f>
        <v>Melting_Curves/meltCurve_Q92541_RTF1.pdf</v>
      </c>
    </row>
    <row r="4855" spans="1:28" x14ac:dyDescent="0.25">
      <c r="A4855" t="s">
        <v>4859</v>
      </c>
      <c r="B4855">
        <v>0.99252571173614901</v>
      </c>
      <c r="C4855">
        <v>0.80442270617802303</v>
      </c>
      <c r="D4855">
        <v>0.73630540752820695</v>
      </c>
      <c r="E4855">
        <v>0.55387459416502205</v>
      </c>
      <c r="F4855">
        <v>0.18524431975473901</v>
      </c>
      <c r="G4855">
        <v>0.100920964525746</v>
      </c>
      <c r="H4855">
        <v>7.0828881347240497E-2</v>
      </c>
      <c r="I4855">
        <v>6.6965820599362402E-2</v>
      </c>
      <c r="J4855">
        <v>9.1369008454246003E-2</v>
      </c>
      <c r="K4855">
        <v>8.3677189177813596E-2</v>
      </c>
      <c r="L4855">
        <v>757.55086139384105</v>
      </c>
      <c r="M4855">
        <v>15.5244878398293</v>
      </c>
      <c r="N4855">
        <v>49.0943523898042</v>
      </c>
      <c r="O4855">
        <v>48.008989786773</v>
      </c>
      <c r="P4855">
        <v>-7.7222733777583097E-2</v>
      </c>
      <c r="Q4855">
        <v>4.48488437827834E-2</v>
      </c>
      <c r="R4855">
        <v>0.97808957357984205</v>
      </c>
      <c r="S4855" t="s">
        <v>11501</v>
      </c>
      <c r="T4855" t="s">
        <v>13290</v>
      </c>
      <c r="U4855" t="s">
        <v>13290</v>
      </c>
      <c r="V4855" t="s">
        <v>13290</v>
      </c>
      <c r="W4855" t="s">
        <v>18097</v>
      </c>
      <c r="X4855">
        <v>11</v>
      </c>
      <c r="Y4855" t="s">
        <v>24581</v>
      </c>
      <c r="Z4855" t="s">
        <v>31185</v>
      </c>
      <c r="AA4855">
        <v>0.34717912373746151</v>
      </c>
      <c r="AB4855" t="str">
        <f>HYPERLINK("Melting_Curves/meltCurve_Q92544_TM9SF4.pdf", "Melting_Curves/meltCurve_Q92544_TM9SF4.pdf")</f>
        <v>Melting_Curves/meltCurve_Q92544_TM9SF4.pdf</v>
      </c>
    </row>
    <row r="4856" spans="1:28" x14ac:dyDescent="0.25">
      <c r="A4856" t="s">
        <v>4860</v>
      </c>
      <c r="B4856">
        <v>0.99252571173614901</v>
      </c>
      <c r="C4856">
        <v>0.97494462731839504</v>
      </c>
      <c r="D4856">
        <v>0.747124513590391</v>
      </c>
      <c r="E4856">
        <v>0.55325238096085005</v>
      </c>
      <c r="F4856">
        <v>0.28099608068493098</v>
      </c>
      <c r="G4856">
        <v>0.17654692967499699</v>
      </c>
      <c r="H4856">
        <v>0.113517358813835</v>
      </c>
      <c r="I4856">
        <v>0.101130376383661</v>
      </c>
      <c r="J4856">
        <v>0.153667893183459</v>
      </c>
      <c r="K4856">
        <v>9.3007189422118705E-2</v>
      </c>
      <c r="L4856">
        <v>859.52337086893397</v>
      </c>
      <c r="M4856">
        <v>17.4628761830059</v>
      </c>
      <c r="N4856">
        <v>49.856753157539202</v>
      </c>
      <c r="O4856">
        <v>48.588192799962997</v>
      </c>
      <c r="P4856">
        <v>-8.08753269865429E-2</v>
      </c>
      <c r="Q4856">
        <v>9.9949530512838697E-2</v>
      </c>
      <c r="R4856">
        <v>0.99353989981095203</v>
      </c>
      <c r="S4856" t="s">
        <v>11502</v>
      </c>
      <c r="T4856" t="s">
        <v>13290</v>
      </c>
      <c r="U4856" t="s">
        <v>13290</v>
      </c>
      <c r="V4856" t="s">
        <v>13290</v>
      </c>
      <c r="W4856" t="s">
        <v>18098</v>
      </c>
      <c r="X4856">
        <v>1</v>
      </c>
      <c r="Y4856" t="s">
        <v>24582</v>
      </c>
      <c r="Z4856" t="s">
        <v>31186</v>
      </c>
      <c r="AA4856">
        <v>0.39304677844397179</v>
      </c>
      <c r="AB4856" t="str">
        <f>HYPERLINK("Melting_Curves/meltCurve_Q92546_RGP1.pdf", "Melting_Curves/meltCurve_Q92546_RGP1.pdf")</f>
        <v>Melting_Curves/meltCurve_Q92546_RGP1.pdf</v>
      </c>
    </row>
    <row r="4857" spans="1:28" x14ac:dyDescent="0.25">
      <c r="A4857" t="s">
        <v>4861</v>
      </c>
      <c r="B4857">
        <v>0.99252571173614901</v>
      </c>
      <c r="C4857">
        <v>0.92340779918601201</v>
      </c>
      <c r="D4857">
        <v>0.51025149545766602</v>
      </c>
      <c r="E4857">
        <v>0.220881541154614</v>
      </c>
      <c r="F4857">
        <v>0.10919969141459999</v>
      </c>
      <c r="G4857">
        <v>7.4233291084869701E-2</v>
      </c>
      <c r="H4857">
        <v>6.7198990246889898E-2</v>
      </c>
      <c r="I4857">
        <v>7.0393102432984397E-2</v>
      </c>
      <c r="J4857">
        <v>9.5574929757469299E-2</v>
      </c>
      <c r="K4857">
        <v>0.13358202382854201</v>
      </c>
      <c r="L4857">
        <v>1331.75989167586</v>
      </c>
      <c r="M4857">
        <v>29.002153500136199</v>
      </c>
      <c r="N4857">
        <v>46.242682425268903</v>
      </c>
      <c r="O4857">
        <v>45.702689825420002</v>
      </c>
      <c r="P4857">
        <v>-0.14408721378210901</v>
      </c>
      <c r="Q4857">
        <v>9.1774472507898094E-2</v>
      </c>
      <c r="R4857">
        <v>0.99501156732486096</v>
      </c>
      <c r="S4857" t="s">
        <v>11503</v>
      </c>
      <c r="T4857" t="s">
        <v>13290</v>
      </c>
      <c r="U4857" t="s">
        <v>13290</v>
      </c>
      <c r="V4857" t="s">
        <v>13290</v>
      </c>
      <c r="W4857" t="s">
        <v>18099</v>
      </c>
      <c r="X4857">
        <v>7</v>
      </c>
      <c r="Y4857" t="s">
        <v>24583</v>
      </c>
      <c r="Z4857" t="s">
        <v>31187</v>
      </c>
      <c r="AA4857">
        <v>0.27696901081973818</v>
      </c>
      <c r="AB4857" t="str">
        <f>HYPERLINK("Melting_Curves/meltCurve_Q92547_TOPBP1.pdf", "Melting_Curves/meltCurve_Q92547_TOPBP1.pdf")</f>
        <v>Melting_Curves/meltCurve_Q92547_TOPBP1.pdf</v>
      </c>
    </row>
    <row r="4858" spans="1:28" x14ac:dyDescent="0.25">
      <c r="A4858" t="s">
        <v>4862</v>
      </c>
      <c r="B4858">
        <v>0.99252571173614901</v>
      </c>
      <c r="C4858">
        <v>0.94818848967791203</v>
      </c>
      <c r="D4858">
        <v>0.67175532914751601</v>
      </c>
      <c r="E4858">
        <v>0.213974320022846</v>
      </c>
      <c r="F4858">
        <v>0.121410728691873</v>
      </c>
      <c r="G4858">
        <v>6.7874551697615498E-2</v>
      </c>
      <c r="H4858">
        <v>6.0595549323465003E-2</v>
      </c>
      <c r="I4858">
        <v>7.2150772598414403E-2</v>
      </c>
      <c r="J4858">
        <v>0.112265051049734</v>
      </c>
      <c r="K4858">
        <v>0.12445583162426201</v>
      </c>
      <c r="L4858">
        <v>1496.8836432466601</v>
      </c>
      <c r="M4858">
        <v>31.9784587890037</v>
      </c>
      <c r="N4858">
        <v>47.096883091789799</v>
      </c>
      <c r="O4858">
        <v>46.627215407553301</v>
      </c>
      <c r="P4858">
        <v>-0.15624344933641299</v>
      </c>
      <c r="Q4858">
        <v>8.8741578549036901E-2</v>
      </c>
      <c r="R4858">
        <v>0.99709172210816899</v>
      </c>
      <c r="S4858" t="s">
        <v>11504</v>
      </c>
      <c r="T4858" t="s">
        <v>13290</v>
      </c>
      <c r="U4858" t="s">
        <v>13290</v>
      </c>
      <c r="V4858" t="s">
        <v>13290</v>
      </c>
      <c r="W4858" t="s">
        <v>18100</v>
      </c>
      <c r="X4858">
        <v>4</v>
      </c>
      <c r="Y4858" t="s">
        <v>24584</v>
      </c>
      <c r="Z4858" t="s">
        <v>31188</v>
      </c>
      <c r="AA4858">
        <v>0.30033899427790939</v>
      </c>
      <c r="AB4858" t="str">
        <f>HYPERLINK("Melting_Curves/meltCurve_Q92551_IP6K1.pdf", "Melting_Curves/meltCurve_Q92551_IP6K1.pdf")</f>
        <v>Melting_Curves/meltCurve_Q92551_IP6K1.pdf</v>
      </c>
    </row>
    <row r="4859" spans="1:28" x14ac:dyDescent="0.25">
      <c r="A4859" t="s">
        <v>4863</v>
      </c>
      <c r="B4859">
        <v>0.99252571173614901</v>
      </c>
      <c r="C4859">
        <v>1.1013270967328901</v>
      </c>
      <c r="D4859">
        <v>0.88416110573294804</v>
      </c>
      <c r="E4859">
        <v>0.51330313652515902</v>
      </c>
      <c r="F4859">
        <v>0.61755904477899204</v>
      </c>
      <c r="G4859">
        <v>0.81281348192287906</v>
      </c>
      <c r="H4859">
        <v>0.725614786722662</v>
      </c>
      <c r="I4859">
        <v>1.0626797255170399</v>
      </c>
      <c r="J4859">
        <v>1.5086769123967201</v>
      </c>
      <c r="K4859">
        <v>2.2168538909760298</v>
      </c>
      <c r="L4859">
        <v>15000</v>
      </c>
      <c r="M4859">
        <v>232.43254625421901</v>
      </c>
      <c r="O4859">
        <v>64.5300747743741</v>
      </c>
      <c r="P4859">
        <v>0.45024073716249602</v>
      </c>
      <c r="Q4859">
        <v>1.5</v>
      </c>
      <c r="R4859">
        <v>0.54000000815528704</v>
      </c>
      <c r="S4859" t="s">
        <v>11505</v>
      </c>
      <c r="T4859" t="s">
        <v>13290</v>
      </c>
      <c r="U4859" t="s">
        <v>13290</v>
      </c>
      <c r="V4859" t="s">
        <v>13290</v>
      </c>
      <c r="W4859" t="s">
        <v>18101</v>
      </c>
      <c r="X4859">
        <v>4</v>
      </c>
      <c r="Y4859" t="s">
        <v>24585</v>
      </c>
      <c r="Z4859" t="s">
        <v>31189</v>
      </c>
      <c r="AA4859">
        <v>1.091020283392979</v>
      </c>
      <c r="AB4859" t="str">
        <f>HYPERLINK("Melting_Curves/meltCurve_Q92552_MRPS27.pdf", "Melting_Curves/meltCurve_Q92552_MRPS27.pdf")</f>
        <v>Melting_Curves/meltCurve_Q92552_MRPS27.pdf</v>
      </c>
    </row>
    <row r="4860" spans="1:28" x14ac:dyDescent="0.25">
      <c r="A4860" t="s">
        <v>4864</v>
      </c>
      <c r="B4860">
        <v>0.99252571173614901</v>
      </c>
      <c r="C4860">
        <v>0.88656855691474101</v>
      </c>
      <c r="D4860">
        <v>1.18476625182967</v>
      </c>
      <c r="E4860">
        <v>1.1023231758371399</v>
      </c>
      <c r="F4860">
        <v>0.458332536537357</v>
      </c>
      <c r="G4860">
        <v>0.32166073270044299</v>
      </c>
      <c r="H4860">
        <v>0.238862881521054</v>
      </c>
      <c r="I4860">
        <v>0.24041367071401801</v>
      </c>
      <c r="J4860">
        <v>0.32199484341613599</v>
      </c>
      <c r="K4860">
        <v>0.38670638889236197</v>
      </c>
      <c r="L4860">
        <v>13233.914737356999</v>
      </c>
      <c r="M4860">
        <v>250</v>
      </c>
      <c r="N4860">
        <v>53.132444125643403</v>
      </c>
      <c r="O4860">
        <v>52.932272550854599</v>
      </c>
      <c r="P4860">
        <v>-0.82425178569457203</v>
      </c>
      <c r="Q4860">
        <v>0.301927693013955</v>
      </c>
      <c r="R4860">
        <v>0.944012786169806</v>
      </c>
      <c r="S4860" t="s">
        <v>11506</v>
      </c>
      <c r="T4860" t="s">
        <v>13290</v>
      </c>
      <c r="U4860" t="s">
        <v>13290</v>
      </c>
      <c r="V4860" t="s">
        <v>13290</v>
      </c>
      <c r="W4860" t="s">
        <v>18102</v>
      </c>
      <c r="X4860">
        <v>5</v>
      </c>
      <c r="Y4860" t="s">
        <v>24586</v>
      </c>
      <c r="Z4860" t="s">
        <v>31190</v>
      </c>
      <c r="AA4860">
        <v>0.60299338764956389</v>
      </c>
      <c r="AB4860" t="str">
        <f>HYPERLINK("Melting_Curves/meltCurve_Q92558_WASF1.pdf", "Melting_Curves/meltCurve_Q92558_WASF1.pdf")</f>
        <v>Melting_Curves/meltCurve_Q92558_WASF1.pdf</v>
      </c>
    </row>
    <row r="4861" spans="1:28" x14ac:dyDescent="0.25">
      <c r="A4861" t="s">
        <v>4865</v>
      </c>
      <c r="B4861">
        <v>0.99252571173614901</v>
      </c>
      <c r="C4861">
        <v>0.93125788782709495</v>
      </c>
      <c r="D4861">
        <v>1.0335449071170999</v>
      </c>
      <c r="E4861">
        <v>1.00056485159957</v>
      </c>
      <c r="F4861">
        <v>0.236928118353356</v>
      </c>
      <c r="G4861">
        <v>0.13491819109838599</v>
      </c>
      <c r="H4861">
        <v>9.80069400477762E-2</v>
      </c>
      <c r="I4861">
        <v>9.52360669469106E-2</v>
      </c>
      <c r="J4861">
        <v>9.9932571516120797E-2</v>
      </c>
      <c r="K4861">
        <v>8.5303867410895004E-2</v>
      </c>
      <c r="L4861">
        <v>5818.0033895060897</v>
      </c>
      <c r="M4861">
        <v>111.09757994712599</v>
      </c>
      <c r="N4861">
        <v>52.476930661260297</v>
      </c>
      <c r="O4861">
        <v>52.351420677225597</v>
      </c>
      <c r="P4861">
        <v>-0.47608579978170801</v>
      </c>
      <c r="Q4861">
        <v>0.10263467432456901</v>
      </c>
      <c r="R4861">
        <v>0.99596284710167704</v>
      </c>
      <c r="S4861" t="s">
        <v>11507</v>
      </c>
      <c r="T4861" t="s">
        <v>13290</v>
      </c>
      <c r="U4861" t="s">
        <v>13290</v>
      </c>
      <c r="V4861" t="s">
        <v>13290</v>
      </c>
      <c r="W4861" t="s">
        <v>18103</v>
      </c>
      <c r="X4861">
        <v>5</v>
      </c>
      <c r="Y4861" t="s">
        <v>24587</v>
      </c>
      <c r="Z4861" t="s">
        <v>31191</v>
      </c>
      <c r="AA4861">
        <v>0.47301868640358602</v>
      </c>
      <c r="AB4861" t="str">
        <f>HYPERLINK("Melting_Curves/meltCurve_Q92572_AP3S1.pdf", "Melting_Curves/meltCurve_Q92572_AP3S1.pdf")</f>
        <v>Melting_Curves/meltCurve_Q92572_AP3S1.pdf</v>
      </c>
    </row>
    <row r="4862" spans="1:28" x14ac:dyDescent="0.25">
      <c r="A4862" t="s">
        <v>4866</v>
      </c>
      <c r="B4862">
        <v>0.99252571173614901</v>
      </c>
      <c r="C4862">
        <v>0.94609990023173396</v>
      </c>
      <c r="D4862">
        <v>0.86499538780441898</v>
      </c>
      <c r="E4862">
        <v>0.70981358968113994</v>
      </c>
      <c r="F4862">
        <v>0.26903909440802798</v>
      </c>
      <c r="G4862">
        <v>0.161126449664206</v>
      </c>
      <c r="H4862">
        <v>0.120337888655756</v>
      </c>
      <c r="I4862">
        <v>0.15104406814652499</v>
      </c>
      <c r="J4862">
        <v>0.201267662394743</v>
      </c>
      <c r="K4862">
        <v>0.19005663206711501</v>
      </c>
      <c r="L4862">
        <v>1475.8319026015199</v>
      </c>
      <c r="M4862">
        <v>29.3248282539593</v>
      </c>
      <c r="N4862">
        <v>50.972020964822697</v>
      </c>
      <c r="O4862">
        <v>50.094763206035502</v>
      </c>
      <c r="P4862">
        <v>-0.12366396984064</v>
      </c>
      <c r="Q4862">
        <v>0.15499982911322199</v>
      </c>
      <c r="R4862">
        <v>0.98547156696651395</v>
      </c>
      <c r="S4862" t="s">
        <v>11508</v>
      </c>
      <c r="T4862" t="s">
        <v>13290</v>
      </c>
      <c r="U4862" t="s">
        <v>13290</v>
      </c>
      <c r="V4862" t="s">
        <v>13290</v>
      </c>
      <c r="W4862" t="s">
        <v>18104</v>
      </c>
      <c r="X4862">
        <v>9</v>
      </c>
      <c r="Y4862" t="s">
        <v>24588</v>
      </c>
      <c r="Z4862" t="s">
        <v>31192</v>
      </c>
      <c r="AA4862">
        <v>0.45137941746421523</v>
      </c>
      <c r="AB4862" t="str">
        <f>HYPERLINK("Melting_Curves/meltCurve_Q92575_UBXN4.pdf", "Melting_Curves/meltCurve_Q92575_UBXN4.pdf")</f>
        <v>Melting_Curves/meltCurve_Q92575_UBXN4.pdf</v>
      </c>
    </row>
    <row r="4863" spans="1:28" x14ac:dyDescent="0.25">
      <c r="A4863" t="s">
        <v>4867</v>
      </c>
      <c r="B4863">
        <v>0.99252571173614901</v>
      </c>
      <c r="C4863">
        <v>1.0364619800831101</v>
      </c>
      <c r="D4863">
        <v>0.95263369415655597</v>
      </c>
      <c r="E4863">
        <v>0.90001720201284297</v>
      </c>
      <c r="F4863">
        <v>0.65006238346122702</v>
      </c>
      <c r="G4863">
        <v>0.47803905053420997</v>
      </c>
      <c r="H4863">
        <v>0.40882517091339399</v>
      </c>
      <c r="I4863">
        <v>0.45134190237626598</v>
      </c>
      <c r="J4863">
        <v>0.63760300721565399</v>
      </c>
      <c r="K4863">
        <v>0.59902947365105896</v>
      </c>
      <c r="L4863">
        <v>1904.8329197316</v>
      </c>
      <c r="M4863">
        <v>36.9619072274673</v>
      </c>
      <c r="O4863">
        <v>51.3848724981926</v>
      </c>
      <c r="P4863">
        <v>-8.7313464826209497E-2</v>
      </c>
      <c r="Q4863">
        <v>0.51446460916194003</v>
      </c>
      <c r="R4863">
        <v>0.914196232241545</v>
      </c>
      <c r="S4863" t="s">
        <v>11509</v>
      </c>
      <c r="T4863" t="s">
        <v>13290</v>
      </c>
      <c r="U4863" t="s">
        <v>13290</v>
      </c>
      <c r="V4863" t="s">
        <v>13290</v>
      </c>
      <c r="W4863" t="s">
        <v>18105</v>
      </c>
      <c r="X4863">
        <v>47</v>
      </c>
      <c r="Y4863" t="s">
        <v>24589</v>
      </c>
      <c r="Z4863" t="s">
        <v>31193</v>
      </c>
      <c r="AA4863">
        <v>0.70318039540175703</v>
      </c>
      <c r="AB4863" t="str">
        <f>HYPERLINK("Melting_Curves/meltCurve_Q92576_2_PHF3.pdf", "Melting_Curves/meltCurve_Q92576_2_PHF3.pdf")</f>
        <v>Melting_Curves/meltCurve_Q92576_2_PHF3.pdf</v>
      </c>
    </row>
    <row r="4864" spans="1:28" x14ac:dyDescent="0.25">
      <c r="A4864" t="s">
        <v>4868</v>
      </c>
      <c r="B4864">
        <v>0.99252571173614901</v>
      </c>
      <c r="C4864">
        <v>1.2428157805407101</v>
      </c>
      <c r="D4864">
        <v>0.95247906573235097</v>
      </c>
      <c r="E4864">
        <v>0.98922427919779099</v>
      </c>
      <c r="F4864">
        <v>0.70787123282647402</v>
      </c>
      <c r="G4864">
        <v>0.30962045454255699</v>
      </c>
      <c r="H4864">
        <v>0.33315845440124497</v>
      </c>
      <c r="I4864">
        <v>0.43925388326023601</v>
      </c>
      <c r="J4864">
        <v>0.58078247541690897</v>
      </c>
      <c r="K4864">
        <v>0.62403441079952204</v>
      </c>
      <c r="L4864">
        <v>13291.821507795001</v>
      </c>
      <c r="M4864">
        <v>250</v>
      </c>
      <c r="N4864">
        <v>53.696096094030203</v>
      </c>
      <c r="O4864">
        <v>53.1638784017088</v>
      </c>
      <c r="P4864">
        <v>-0.63792140153069998</v>
      </c>
      <c r="Q4864">
        <v>0.45736993357009698</v>
      </c>
      <c r="R4864">
        <v>0.842181964869539</v>
      </c>
      <c r="S4864" t="s">
        <v>11510</v>
      </c>
      <c r="T4864" t="s">
        <v>13290</v>
      </c>
      <c r="U4864" t="s">
        <v>13290</v>
      </c>
      <c r="V4864" t="s">
        <v>13290</v>
      </c>
      <c r="W4864" t="s">
        <v>18106</v>
      </c>
      <c r="X4864">
        <v>2</v>
      </c>
      <c r="Y4864" t="s">
        <v>24590</v>
      </c>
      <c r="Z4864" t="s">
        <v>31194</v>
      </c>
      <c r="AA4864">
        <v>0.69558607495920133</v>
      </c>
      <c r="AB4864" t="str">
        <f>HYPERLINK("Melting_Curves/meltCurve_Q92585_MAML1.pdf", "Melting_Curves/meltCurve_Q92585_MAML1.pdf")</f>
        <v>Melting_Curves/meltCurve_Q92585_MAML1.pdf</v>
      </c>
    </row>
    <row r="4865" spans="1:28" x14ac:dyDescent="0.25">
      <c r="A4865" t="s">
        <v>4869</v>
      </c>
      <c r="B4865">
        <v>0.99252571173614901</v>
      </c>
      <c r="C4865">
        <v>1.0962982429036501</v>
      </c>
      <c r="D4865">
        <v>0.99048532975619497</v>
      </c>
      <c r="E4865">
        <v>0.87523232932557204</v>
      </c>
      <c r="F4865">
        <v>0.29487993543778301</v>
      </c>
      <c r="G4865">
        <v>0.16850762102460601</v>
      </c>
      <c r="H4865">
        <v>9.2523438479435796E-2</v>
      </c>
      <c r="I4865">
        <v>7.4482757753846607E-2</v>
      </c>
      <c r="J4865">
        <v>7.8408024658991299E-2</v>
      </c>
      <c r="K4865">
        <v>7.4576638617277494E-2</v>
      </c>
      <c r="L4865">
        <v>2137.9737486837298</v>
      </c>
      <c r="M4865">
        <v>41.345837167770199</v>
      </c>
      <c r="N4865">
        <v>51.961564333958101</v>
      </c>
      <c r="O4865">
        <v>51.5890039616434</v>
      </c>
      <c r="P4865">
        <v>-0.18215757559885501</v>
      </c>
      <c r="Q4865">
        <v>9.0857858000996203E-2</v>
      </c>
      <c r="R4865">
        <v>0.992649566068182</v>
      </c>
      <c r="S4865" t="s">
        <v>11511</v>
      </c>
      <c r="T4865" t="s">
        <v>13290</v>
      </c>
      <c r="U4865" t="s">
        <v>13290</v>
      </c>
      <c r="V4865" t="s">
        <v>13290</v>
      </c>
      <c r="W4865" t="s">
        <v>18107</v>
      </c>
      <c r="X4865">
        <v>13</v>
      </c>
      <c r="Y4865" t="s">
        <v>24591</v>
      </c>
      <c r="Z4865" t="s">
        <v>31195</v>
      </c>
      <c r="AA4865">
        <v>0.44875125202237143</v>
      </c>
      <c r="AB4865" t="str">
        <f>HYPERLINK("Melting_Curves/meltCurve_Q92597_NDRG1.pdf", "Melting_Curves/meltCurve_Q92597_NDRG1.pdf")</f>
        <v>Melting_Curves/meltCurve_Q92597_NDRG1.pdf</v>
      </c>
    </row>
    <row r="4866" spans="1:28" x14ac:dyDescent="0.25">
      <c r="A4866" t="s">
        <v>4870</v>
      </c>
      <c r="B4866">
        <v>0.99252571173614901</v>
      </c>
      <c r="C4866">
        <v>0.97341287278529898</v>
      </c>
      <c r="D4866">
        <v>0.77151557117598102</v>
      </c>
      <c r="E4866">
        <v>0.56319827032590197</v>
      </c>
      <c r="F4866">
        <v>0.14735409556869</v>
      </c>
      <c r="G4866">
        <v>9.1023673579688796E-2</v>
      </c>
      <c r="H4866">
        <v>6.2353112940656097E-2</v>
      </c>
      <c r="I4866">
        <v>6.6553165152299407E-2</v>
      </c>
      <c r="J4866">
        <v>7.7879939534578405E-2</v>
      </c>
      <c r="K4866">
        <v>7.8482730268908202E-2</v>
      </c>
      <c r="L4866">
        <v>1079.1703120191601</v>
      </c>
      <c r="M4866">
        <v>21.915977878018801</v>
      </c>
      <c r="N4866">
        <v>49.509227480285297</v>
      </c>
      <c r="O4866">
        <v>48.836781032725803</v>
      </c>
      <c r="P4866">
        <v>-0.105917803555285</v>
      </c>
      <c r="Q4866">
        <v>5.5927619952355102E-2</v>
      </c>
      <c r="R4866">
        <v>0.99001489782893604</v>
      </c>
      <c r="S4866" t="s">
        <v>11512</v>
      </c>
      <c r="T4866" t="s">
        <v>13290</v>
      </c>
      <c r="U4866" t="s">
        <v>13290</v>
      </c>
      <c r="V4866" t="s">
        <v>13290</v>
      </c>
      <c r="W4866" t="s">
        <v>18108</v>
      </c>
      <c r="X4866">
        <v>58</v>
      </c>
      <c r="Y4866" t="s">
        <v>24592</v>
      </c>
      <c r="Z4866" t="s">
        <v>31196</v>
      </c>
      <c r="AA4866">
        <v>0.35770752619102858</v>
      </c>
      <c r="AB4866" t="str">
        <f>HYPERLINK("Melting_Curves/meltCurve_Q92598_2_HSPH1.pdf", "Melting_Curves/meltCurve_Q92598_2_HSPH1.pdf")</f>
        <v>Melting_Curves/meltCurve_Q92598_2_HSPH1.pdf</v>
      </c>
    </row>
    <row r="4867" spans="1:28" x14ac:dyDescent="0.25">
      <c r="A4867" t="s">
        <v>4871</v>
      </c>
      <c r="B4867">
        <v>0.99252571173614901</v>
      </c>
      <c r="C4867">
        <v>0.91958031864324796</v>
      </c>
      <c r="D4867">
        <v>1.14887247852767</v>
      </c>
      <c r="E4867">
        <v>0.80147074380790895</v>
      </c>
      <c r="F4867">
        <v>0.36583332607157598</v>
      </c>
      <c r="G4867">
        <v>0.46787567452009698</v>
      </c>
      <c r="H4867">
        <v>0.38332300658482299</v>
      </c>
      <c r="I4867">
        <v>0.235733859042288</v>
      </c>
      <c r="J4867">
        <v>0.249020620298741</v>
      </c>
      <c r="K4867">
        <v>0.23108096846140999</v>
      </c>
      <c r="L4867">
        <v>2522.58949312811</v>
      </c>
      <c r="M4867">
        <v>49.895289865745298</v>
      </c>
      <c r="N4867">
        <v>51.571133695691003</v>
      </c>
      <c r="O4867">
        <v>50.476654049580603</v>
      </c>
      <c r="P4867">
        <v>-0.16990934666978599</v>
      </c>
      <c r="Q4867">
        <v>0.31244430218610503</v>
      </c>
      <c r="R4867">
        <v>0.93210171398297603</v>
      </c>
      <c r="S4867" t="s">
        <v>11513</v>
      </c>
      <c r="T4867" t="s">
        <v>13290</v>
      </c>
      <c r="U4867" t="s">
        <v>13290</v>
      </c>
      <c r="V4867" t="s">
        <v>13290</v>
      </c>
      <c r="W4867" t="s">
        <v>18109</v>
      </c>
      <c r="X4867">
        <v>3</v>
      </c>
      <c r="Y4867" t="s">
        <v>24593</v>
      </c>
      <c r="Z4867" t="s">
        <v>31197</v>
      </c>
      <c r="AA4867">
        <v>0.55595025198748682</v>
      </c>
      <c r="AB4867" t="str">
        <f>HYPERLINK("Melting_Curves/meltCurve_Q92600_RQCD1.pdf", "Melting_Curves/meltCurve_Q92600_RQCD1.pdf")</f>
        <v>Melting_Curves/meltCurve_Q92600_RQCD1.pdf</v>
      </c>
    </row>
    <row r="4868" spans="1:28" x14ac:dyDescent="0.25">
      <c r="A4868" t="s">
        <v>4872</v>
      </c>
      <c r="B4868">
        <v>0.99252571173614901</v>
      </c>
      <c r="C4868">
        <v>0.94871836401718102</v>
      </c>
      <c r="D4868">
        <v>0.93041711226867896</v>
      </c>
      <c r="E4868">
        <v>0.54461633380965802</v>
      </c>
      <c r="F4868">
        <v>0.17261615514341899</v>
      </c>
      <c r="G4868">
        <v>9.7449956177452404E-2</v>
      </c>
      <c r="H4868">
        <v>8.5024881228392898E-2</v>
      </c>
      <c r="I4868">
        <v>9.9660123376315399E-2</v>
      </c>
      <c r="J4868">
        <v>0.144924505245558</v>
      </c>
      <c r="K4868">
        <v>0.147876593597637</v>
      </c>
      <c r="L4868">
        <v>1733.18900425729</v>
      </c>
      <c r="M4868">
        <v>35.027910692975603</v>
      </c>
      <c r="N4868">
        <v>49.839622018422702</v>
      </c>
      <c r="O4868">
        <v>49.319787877285599</v>
      </c>
      <c r="P4868">
        <v>-0.157739485488749</v>
      </c>
      <c r="Q4868">
        <v>0.11160551478875</v>
      </c>
      <c r="R4868">
        <v>0.99542853914274598</v>
      </c>
      <c r="S4868" t="s">
        <v>11514</v>
      </c>
      <c r="T4868" t="s">
        <v>13290</v>
      </c>
      <c r="U4868" t="s">
        <v>13290</v>
      </c>
      <c r="V4868" t="s">
        <v>13290</v>
      </c>
      <c r="W4868" t="s">
        <v>18110</v>
      </c>
      <c r="X4868">
        <v>8</v>
      </c>
      <c r="Y4868" t="s">
        <v>24594</v>
      </c>
      <c r="Z4868" t="s">
        <v>31198</v>
      </c>
      <c r="AA4868">
        <v>0.39632251757301218</v>
      </c>
      <c r="AB4868" t="str">
        <f>HYPERLINK("Melting_Curves/meltCurve_Q92609_TBC1D5.pdf", "Melting_Curves/meltCurve_Q92609_TBC1D5.pdf")</f>
        <v>Melting_Curves/meltCurve_Q92609_TBC1D5.pdf</v>
      </c>
    </row>
    <row r="4869" spans="1:28" x14ac:dyDescent="0.25">
      <c r="A4869" t="s">
        <v>4873</v>
      </c>
      <c r="B4869">
        <v>0.99252571173614901</v>
      </c>
      <c r="C4869">
        <v>0.98580187798338903</v>
      </c>
      <c r="D4869">
        <v>0.68425398467341103</v>
      </c>
      <c r="E4869">
        <v>0.40979680707896698</v>
      </c>
      <c r="F4869">
        <v>0.33124288262760199</v>
      </c>
      <c r="G4869">
        <v>0.224499599131251</v>
      </c>
      <c r="H4869">
        <v>0.10669869282740101</v>
      </c>
      <c r="I4869">
        <v>9.0127120233810504E-2</v>
      </c>
      <c r="J4869">
        <v>0.105973112035634</v>
      </c>
      <c r="K4869">
        <v>0.113904382664186</v>
      </c>
      <c r="L4869">
        <v>794.609842893326</v>
      </c>
      <c r="M4869">
        <v>16.451448242462899</v>
      </c>
      <c r="N4869">
        <v>49.0102144998516</v>
      </c>
      <c r="O4869">
        <v>47.6035554528859</v>
      </c>
      <c r="P4869">
        <v>-7.7243954010424304E-2</v>
      </c>
      <c r="Q4869">
        <v>0.10601710519362301</v>
      </c>
      <c r="R4869">
        <v>0.98248465949495201</v>
      </c>
      <c r="S4869" t="s">
        <v>11515</v>
      </c>
      <c r="T4869" t="s">
        <v>13290</v>
      </c>
      <c r="U4869" t="s">
        <v>13290</v>
      </c>
      <c r="V4869" t="s">
        <v>13290</v>
      </c>
      <c r="W4869" t="s">
        <v>18111</v>
      </c>
      <c r="X4869">
        <v>8</v>
      </c>
      <c r="Y4869" t="s">
        <v>24595</v>
      </c>
      <c r="Z4869" t="s">
        <v>31199</v>
      </c>
      <c r="AA4869">
        <v>0.37225498421189418</v>
      </c>
      <c r="AB4869" t="str">
        <f>HYPERLINK("Melting_Curves/meltCurve_Q92615_LARP4B.pdf", "Melting_Curves/meltCurve_Q92615_LARP4B.pdf")</f>
        <v>Melting_Curves/meltCurve_Q92615_LARP4B.pdf</v>
      </c>
    </row>
    <row r="4870" spans="1:28" x14ac:dyDescent="0.25">
      <c r="A4870" t="s">
        <v>4874</v>
      </c>
      <c r="B4870">
        <v>0.99252571173614901</v>
      </c>
      <c r="C4870">
        <v>0.61942154199609401</v>
      </c>
      <c r="D4870">
        <v>0.17513555185251001</v>
      </c>
      <c r="E4870">
        <v>0.111951419094448</v>
      </c>
      <c r="F4870">
        <v>6.74372635398824E-2</v>
      </c>
      <c r="G4870">
        <v>3.8907392092783502E-2</v>
      </c>
      <c r="H4870">
        <v>2.7745926185316301E-2</v>
      </c>
      <c r="I4870">
        <v>2.7915960426854899E-2</v>
      </c>
      <c r="J4870">
        <v>3.2566881129231402E-2</v>
      </c>
      <c r="K4870">
        <v>3.1721345926343E-2</v>
      </c>
      <c r="L4870">
        <v>1491.1118175920001</v>
      </c>
      <c r="M4870">
        <v>34.294611865026297</v>
      </c>
      <c r="N4870">
        <v>43.601885543928503</v>
      </c>
      <c r="O4870">
        <v>43.332450035936503</v>
      </c>
      <c r="P4870">
        <v>-0.18877794394016301</v>
      </c>
      <c r="Q4870">
        <v>4.5893623533076598E-2</v>
      </c>
      <c r="R4870">
        <v>0.99395993803994798</v>
      </c>
      <c r="S4870" t="s">
        <v>11516</v>
      </c>
      <c r="T4870" t="s">
        <v>13290</v>
      </c>
      <c r="U4870" t="s">
        <v>13290</v>
      </c>
      <c r="V4870" t="s">
        <v>13290</v>
      </c>
      <c r="W4870" t="s">
        <v>18112</v>
      </c>
      <c r="X4870">
        <v>71</v>
      </c>
      <c r="Y4870" t="s">
        <v>24596</v>
      </c>
      <c r="Z4870" t="s">
        <v>31200</v>
      </c>
      <c r="AA4870">
        <v>0.16206848868406529</v>
      </c>
      <c r="AB4870" t="str">
        <f>HYPERLINK("Melting_Curves/meltCurve_Q92616_GCN1L1.pdf", "Melting_Curves/meltCurve_Q92616_GCN1L1.pdf")</f>
        <v>Melting_Curves/meltCurve_Q92616_GCN1L1.pdf</v>
      </c>
    </row>
    <row r="4871" spans="1:28" x14ac:dyDescent="0.25">
      <c r="A4871" t="s">
        <v>4875</v>
      </c>
      <c r="B4871">
        <v>0.99252571173614901</v>
      </c>
      <c r="C4871">
        <v>1.5981725317631501</v>
      </c>
      <c r="D4871">
        <v>0.870097723573105</v>
      </c>
      <c r="E4871">
        <v>1.1668182019845601</v>
      </c>
      <c r="F4871">
        <v>0.279678504311211</v>
      </c>
      <c r="G4871">
        <v>0.112873231545708</v>
      </c>
      <c r="H4871">
        <v>6.2473666736646102E-2</v>
      </c>
      <c r="I4871">
        <v>3.4681029583394203E-2</v>
      </c>
      <c r="J4871">
        <v>4.0772254493634703E-2</v>
      </c>
      <c r="K4871">
        <v>1.3810769031239799E-2</v>
      </c>
      <c r="L4871">
        <v>13238.510307778</v>
      </c>
      <c r="M4871">
        <v>250</v>
      </c>
      <c r="N4871">
        <v>52.977727720748099</v>
      </c>
      <c r="O4871">
        <v>52.9506542224782</v>
      </c>
      <c r="P4871">
        <v>-1.1178779008383399</v>
      </c>
      <c r="Q4871">
        <v>5.2922172435456098E-2</v>
      </c>
      <c r="R4871">
        <v>0.86748348031931499</v>
      </c>
      <c r="S4871" t="s">
        <v>11517</v>
      </c>
      <c r="T4871" t="s">
        <v>13290</v>
      </c>
      <c r="U4871" t="s">
        <v>13290</v>
      </c>
      <c r="V4871" t="s">
        <v>13290</v>
      </c>
      <c r="W4871" t="s">
        <v>18113</v>
      </c>
      <c r="X4871">
        <v>2</v>
      </c>
      <c r="Y4871" t="s">
        <v>24597</v>
      </c>
      <c r="Z4871" t="s">
        <v>31201</v>
      </c>
      <c r="AA4871">
        <v>0.46195969528809661</v>
      </c>
      <c r="AB4871" t="str">
        <f>HYPERLINK("Melting_Curves/meltCurve_Q92618_ZNF516.pdf", "Melting_Curves/meltCurve_Q92618_ZNF516.pdf")</f>
        <v>Melting_Curves/meltCurve_Q92618_ZNF516.pdf</v>
      </c>
    </row>
    <row r="4872" spans="1:28" x14ac:dyDescent="0.25">
      <c r="A4872" t="s">
        <v>4876</v>
      </c>
      <c r="B4872">
        <v>0.99252571173614901</v>
      </c>
      <c r="C4872">
        <v>0.93303577423551298</v>
      </c>
      <c r="D4872">
        <v>0.91884230699203295</v>
      </c>
      <c r="E4872">
        <v>0.78110428210270699</v>
      </c>
      <c r="F4872">
        <v>0.33025448001847602</v>
      </c>
      <c r="G4872">
        <v>0.15604765907802901</v>
      </c>
      <c r="H4872">
        <v>0.117310285215468</v>
      </c>
      <c r="I4872">
        <v>0.120092378484004</v>
      </c>
      <c r="J4872">
        <v>0.14459550025263401</v>
      </c>
      <c r="K4872">
        <v>0.14233497311634299</v>
      </c>
      <c r="L4872">
        <v>1570.75958486731</v>
      </c>
      <c r="M4872">
        <v>30.6752586387943</v>
      </c>
      <c r="N4872">
        <v>51.694638070486498</v>
      </c>
      <c r="O4872">
        <v>50.989931534151502</v>
      </c>
      <c r="P4872">
        <v>-0.13147382356391399</v>
      </c>
      <c r="Q4872">
        <v>0.12583605944051299</v>
      </c>
      <c r="R4872">
        <v>0.99371162307030003</v>
      </c>
      <c r="S4872" t="s">
        <v>11518</v>
      </c>
      <c r="T4872" t="s">
        <v>13290</v>
      </c>
      <c r="U4872" t="s">
        <v>13290</v>
      </c>
      <c r="V4872" t="s">
        <v>13290</v>
      </c>
      <c r="W4872" t="s">
        <v>18114</v>
      </c>
      <c r="X4872">
        <v>39</v>
      </c>
      <c r="Y4872" t="s">
        <v>24598</v>
      </c>
      <c r="Z4872" t="s">
        <v>31202</v>
      </c>
      <c r="AA4872">
        <v>0.4576422657740285</v>
      </c>
      <c r="AB4872" t="str">
        <f>HYPERLINK("Melting_Curves/meltCurve_Q92620_DHX38.pdf", "Melting_Curves/meltCurve_Q92620_DHX38.pdf")</f>
        <v>Melting_Curves/meltCurve_Q92620_DHX38.pdf</v>
      </c>
    </row>
    <row r="4873" spans="1:28" x14ac:dyDescent="0.25">
      <c r="A4873" t="s">
        <v>4877</v>
      </c>
      <c r="B4873">
        <v>0.99252571173614901</v>
      </c>
      <c r="C4873">
        <v>0.80106143441748001</v>
      </c>
      <c r="D4873">
        <v>0.97743652976838702</v>
      </c>
      <c r="E4873">
        <v>0.90854767060282304</v>
      </c>
      <c r="F4873">
        <v>0.23141049480570899</v>
      </c>
      <c r="G4873">
        <v>0.13178468139497901</v>
      </c>
      <c r="H4873">
        <v>9.5959870425378693E-2</v>
      </c>
      <c r="I4873">
        <v>0.100858159272284</v>
      </c>
      <c r="J4873">
        <v>0.10530915179457</v>
      </c>
      <c r="K4873">
        <v>0.107441492891736</v>
      </c>
      <c r="L4873">
        <v>2898.9397915221898</v>
      </c>
      <c r="M4873">
        <v>56.295166497884303</v>
      </c>
      <c r="N4873">
        <v>51.716574207628298</v>
      </c>
      <c r="O4873">
        <v>51.430499242833598</v>
      </c>
      <c r="P4873">
        <v>-0.24436680189455301</v>
      </c>
      <c r="Q4873">
        <v>0.106999713223458</v>
      </c>
      <c r="R4873">
        <v>0.97356174034137799</v>
      </c>
      <c r="S4873" t="s">
        <v>11519</v>
      </c>
      <c r="T4873" t="s">
        <v>13290</v>
      </c>
      <c r="U4873" t="s">
        <v>13290</v>
      </c>
      <c r="V4873" t="s">
        <v>13290</v>
      </c>
      <c r="W4873" t="s">
        <v>18115</v>
      </c>
      <c r="X4873">
        <v>10</v>
      </c>
      <c r="Y4873" t="s">
        <v>24599</v>
      </c>
      <c r="Z4873" t="s">
        <v>31203</v>
      </c>
      <c r="AA4873">
        <v>0.45077656061721671</v>
      </c>
      <c r="AB4873" t="str">
        <f>HYPERLINK("Melting_Curves/meltCurve_Q92621_NUP205.pdf", "Melting_Curves/meltCurve_Q92621_NUP205.pdf")</f>
        <v>Melting_Curves/meltCurve_Q92621_NUP205.pdf</v>
      </c>
    </row>
    <row r="4874" spans="1:28" x14ac:dyDescent="0.25">
      <c r="A4874" t="s">
        <v>4878</v>
      </c>
      <c r="B4874">
        <v>0.99252571173614901</v>
      </c>
      <c r="C4874">
        <v>1.1198705099394499</v>
      </c>
      <c r="D4874">
        <v>0.99587866069129805</v>
      </c>
      <c r="E4874">
        <v>0.87142478593362105</v>
      </c>
      <c r="F4874">
        <v>0.28596776113092898</v>
      </c>
      <c r="G4874">
        <v>0.115377108534008</v>
      </c>
      <c r="H4874">
        <v>6.60925601574405E-2</v>
      </c>
      <c r="I4874">
        <v>6.6266835311083003E-2</v>
      </c>
      <c r="J4874">
        <v>7.3616709110560397E-2</v>
      </c>
      <c r="K4874">
        <v>7.1224148976526597E-2</v>
      </c>
      <c r="L4874">
        <v>2190.8183657217301</v>
      </c>
      <c r="M4874">
        <v>42.366244852458998</v>
      </c>
      <c r="N4874">
        <v>51.905834584865303</v>
      </c>
      <c r="O4874">
        <v>51.596598196171499</v>
      </c>
      <c r="P4874">
        <v>-0.19021562535947301</v>
      </c>
      <c r="Q4874">
        <v>7.3369564784497604E-2</v>
      </c>
      <c r="R4874">
        <v>0.992198722646778</v>
      </c>
      <c r="S4874" t="s">
        <v>11520</v>
      </c>
      <c r="T4874" t="s">
        <v>13290</v>
      </c>
      <c r="U4874" t="s">
        <v>13290</v>
      </c>
      <c r="V4874" t="s">
        <v>13290</v>
      </c>
      <c r="W4874" t="s">
        <v>18116</v>
      </c>
      <c r="X4874">
        <v>11</v>
      </c>
      <c r="Y4874" t="s">
        <v>24600</v>
      </c>
      <c r="Z4874" t="s">
        <v>31204</v>
      </c>
      <c r="AA4874">
        <v>0.43805740965903162</v>
      </c>
      <c r="AB4874" t="str">
        <f>HYPERLINK("Melting_Curves/meltCurve_Q92623_TTC9.pdf", "Melting_Curves/meltCurve_Q92623_TTC9.pdf")</f>
        <v>Melting_Curves/meltCurve_Q92623_TTC9.pdf</v>
      </c>
    </row>
    <row r="4875" spans="1:28" x14ac:dyDescent="0.25">
      <c r="A4875" t="s">
        <v>4879</v>
      </c>
      <c r="B4875">
        <v>0.99252571173614901</v>
      </c>
      <c r="C4875">
        <v>0.872211529761871</v>
      </c>
      <c r="D4875">
        <v>0.42094095347182803</v>
      </c>
      <c r="E4875">
        <v>0.28959651998935498</v>
      </c>
      <c r="F4875">
        <v>0.18771931896330199</v>
      </c>
      <c r="G4875">
        <v>0.118473555465262</v>
      </c>
      <c r="H4875">
        <v>0.106754018225238</v>
      </c>
      <c r="I4875">
        <v>0.104150425718012</v>
      </c>
      <c r="J4875">
        <v>0.123121457271331</v>
      </c>
      <c r="K4875">
        <v>0.14343095666108099</v>
      </c>
      <c r="L4875">
        <v>1178.76641121123</v>
      </c>
      <c r="M4875">
        <v>26.042783273137701</v>
      </c>
      <c r="N4875">
        <v>45.809655757728002</v>
      </c>
      <c r="O4875">
        <v>44.998336818002798</v>
      </c>
      <c r="P4875">
        <v>-0.12535507608936899</v>
      </c>
      <c r="Q4875">
        <v>0.133624792881678</v>
      </c>
      <c r="R4875">
        <v>0.98537378811704901</v>
      </c>
      <c r="S4875" t="s">
        <v>11521</v>
      </c>
      <c r="T4875" t="s">
        <v>13290</v>
      </c>
      <c r="U4875" t="s">
        <v>13290</v>
      </c>
      <c r="V4875" t="s">
        <v>13290</v>
      </c>
      <c r="W4875" t="s">
        <v>18117</v>
      </c>
      <c r="X4875">
        <v>10</v>
      </c>
      <c r="Y4875" t="s">
        <v>24601</v>
      </c>
      <c r="Z4875" t="s">
        <v>31205</v>
      </c>
      <c r="AA4875">
        <v>0.29324516627602809</v>
      </c>
      <c r="AB4875" t="str">
        <f>HYPERLINK("Melting_Curves/meltCurve_Q92625_ANKS1A.pdf", "Melting_Curves/meltCurve_Q92625_ANKS1A.pdf")</f>
        <v>Melting_Curves/meltCurve_Q92625_ANKS1A.pdf</v>
      </c>
    </row>
    <row r="4876" spans="1:28" x14ac:dyDescent="0.25">
      <c r="A4876" t="s">
        <v>4880</v>
      </c>
      <c r="B4876">
        <v>0.99252571173614901</v>
      </c>
      <c r="C4876">
        <v>1.01295266934604</v>
      </c>
      <c r="D4876">
        <v>0.95400547603442598</v>
      </c>
      <c r="E4876">
        <v>0.91462036750957099</v>
      </c>
      <c r="F4876">
        <v>0.25138671878021801</v>
      </c>
      <c r="G4876">
        <v>0.13282164778873801</v>
      </c>
      <c r="H4876">
        <v>7.4972749547595599E-2</v>
      </c>
      <c r="I4876">
        <v>9.3596996616220896E-2</v>
      </c>
      <c r="J4876">
        <v>8.3658969483009896E-2</v>
      </c>
      <c r="K4876">
        <v>7.5388621761638797E-2</v>
      </c>
      <c r="L4876">
        <v>2722.0175913457101</v>
      </c>
      <c r="M4876">
        <v>52.667499224193698</v>
      </c>
      <c r="N4876">
        <v>51.877991116713403</v>
      </c>
      <c r="O4876">
        <v>51.608713096210202</v>
      </c>
      <c r="P4876">
        <v>-0.23222596680509</v>
      </c>
      <c r="Q4876">
        <v>8.97707475357611E-2</v>
      </c>
      <c r="R4876">
        <v>0.997741517357284</v>
      </c>
      <c r="S4876" t="s">
        <v>11522</v>
      </c>
      <c r="T4876" t="s">
        <v>13290</v>
      </c>
      <c r="U4876" t="s">
        <v>13290</v>
      </c>
      <c r="V4876" t="s">
        <v>13290</v>
      </c>
      <c r="W4876" t="s">
        <v>18118</v>
      </c>
      <c r="X4876">
        <v>3</v>
      </c>
      <c r="Y4876" t="s">
        <v>24602</v>
      </c>
      <c r="Z4876" t="s">
        <v>31206</v>
      </c>
      <c r="AA4876">
        <v>0.44611535407188518</v>
      </c>
      <c r="AB4876" t="str">
        <f>HYPERLINK("Melting_Curves/meltCurve_Q92636_NSMAF.pdf", "Melting_Curves/meltCurve_Q92636_NSMAF.pdf")</f>
        <v>Melting_Curves/meltCurve_Q92636_NSMAF.pdf</v>
      </c>
    </row>
    <row r="4877" spans="1:28" x14ac:dyDescent="0.25">
      <c r="A4877" t="s">
        <v>4881</v>
      </c>
      <c r="B4877">
        <v>0.99252571173614901</v>
      </c>
      <c r="C4877">
        <v>0.91989551767668198</v>
      </c>
      <c r="D4877">
        <v>0.64944229597338698</v>
      </c>
      <c r="E4877">
        <v>0.44097747918589703</v>
      </c>
      <c r="F4877">
        <v>0.301146515982187</v>
      </c>
      <c r="G4877">
        <v>0.20577979152988801</v>
      </c>
      <c r="H4877">
        <v>0.179695268981897</v>
      </c>
      <c r="I4877">
        <v>0.19085001923251399</v>
      </c>
      <c r="J4877">
        <v>0.220290010297223</v>
      </c>
      <c r="K4877">
        <v>0.21180573696323399</v>
      </c>
      <c r="L4877">
        <v>889.30078275212497</v>
      </c>
      <c r="M4877">
        <v>18.879756880202301</v>
      </c>
      <c r="N4877">
        <v>48.381568143930799</v>
      </c>
      <c r="O4877">
        <v>46.584489712949797</v>
      </c>
      <c r="P4877">
        <v>-8.1427864721379306E-2</v>
      </c>
      <c r="Q4877">
        <v>0.19636243006854601</v>
      </c>
      <c r="R4877">
        <v>0.99367174208097098</v>
      </c>
      <c r="S4877" t="s">
        <v>11523</v>
      </c>
      <c r="T4877" t="s">
        <v>13290</v>
      </c>
      <c r="U4877" t="s">
        <v>13290</v>
      </c>
      <c r="V4877" t="s">
        <v>13290</v>
      </c>
      <c r="W4877" t="s">
        <v>18119</v>
      </c>
      <c r="X4877">
        <v>2</v>
      </c>
      <c r="Y4877" t="s">
        <v>24603</v>
      </c>
      <c r="Z4877" t="s">
        <v>31207</v>
      </c>
      <c r="AA4877">
        <v>0.39994515352607291</v>
      </c>
      <c r="AB4877" t="str">
        <f>HYPERLINK("Melting_Curves/meltCurve_Q92664_2_GTF3A.pdf", "Melting_Curves/meltCurve_Q92664_2_GTF3A.pdf")</f>
        <v>Melting_Curves/meltCurve_Q92664_2_GTF3A.pdf</v>
      </c>
    </row>
    <row r="4878" spans="1:28" x14ac:dyDescent="0.25">
      <c r="A4878" t="s">
        <v>4882</v>
      </c>
      <c r="B4878">
        <v>0.99252571173614901</v>
      </c>
      <c r="C4878">
        <v>0.94833433568272796</v>
      </c>
      <c r="D4878">
        <v>0.51633172666916605</v>
      </c>
      <c r="E4878">
        <v>0.35374917386000998</v>
      </c>
      <c r="F4878">
        <v>0.15178952024292799</v>
      </c>
      <c r="G4878">
        <v>9.9536563692204996E-2</v>
      </c>
      <c r="H4878">
        <v>8.6252150052705104E-2</v>
      </c>
      <c r="I4878">
        <v>0.103218334046389</v>
      </c>
      <c r="J4878">
        <v>0.13413007597803001</v>
      </c>
      <c r="K4878">
        <v>0.160876597984449</v>
      </c>
      <c r="L4878">
        <v>1067.66181885831</v>
      </c>
      <c r="M4878">
        <v>23.054623790789201</v>
      </c>
      <c r="N4878">
        <v>46.863273948010502</v>
      </c>
      <c r="O4878">
        <v>45.965913756026197</v>
      </c>
      <c r="P4878">
        <v>-0.11045471982998099</v>
      </c>
      <c r="Q4878">
        <v>0.119125867803945</v>
      </c>
      <c r="R4878">
        <v>0.98041788068617897</v>
      </c>
      <c r="S4878" t="s">
        <v>11524</v>
      </c>
      <c r="T4878" t="s">
        <v>13290</v>
      </c>
      <c r="U4878" t="s">
        <v>13290</v>
      </c>
      <c r="V4878" t="s">
        <v>13290</v>
      </c>
      <c r="W4878" t="s">
        <v>18120</v>
      </c>
      <c r="X4878">
        <v>9</v>
      </c>
      <c r="Y4878" t="s">
        <v>24604</v>
      </c>
      <c r="Z4878" t="s">
        <v>31208</v>
      </c>
      <c r="AA4878">
        <v>0.31405733746908943</v>
      </c>
      <c r="AB4878" t="str">
        <f>HYPERLINK("Melting_Curves/meltCurve_Q92665_MRPS31.pdf", "Melting_Curves/meltCurve_Q92665_MRPS31.pdf")</f>
        <v>Melting_Curves/meltCurve_Q92665_MRPS31.pdf</v>
      </c>
    </row>
    <row r="4879" spans="1:28" x14ac:dyDescent="0.25">
      <c r="A4879" t="s">
        <v>4883</v>
      </c>
      <c r="B4879">
        <v>0.99252571173614901</v>
      </c>
      <c r="C4879">
        <v>0.84713351614487897</v>
      </c>
      <c r="D4879">
        <v>0.60531371449391103</v>
      </c>
      <c r="E4879">
        <v>0.40042135285008301</v>
      </c>
      <c r="F4879">
        <v>0.27316857521291898</v>
      </c>
      <c r="G4879">
        <v>0.205952657434503</v>
      </c>
      <c r="H4879">
        <v>0.193996270611202</v>
      </c>
      <c r="I4879">
        <v>0.29393758857556401</v>
      </c>
      <c r="J4879">
        <v>0.47192913943902998</v>
      </c>
      <c r="K4879">
        <v>0.47810738588940999</v>
      </c>
      <c r="L4879">
        <v>1182.2853848769701</v>
      </c>
      <c r="M4879">
        <v>26.117707898130199</v>
      </c>
      <c r="N4879">
        <v>47.112698726506302</v>
      </c>
      <c r="O4879">
        <v>45.004697006918697</v>
      </c>
      <c r="P4879">
        <v>-9.8625837710499903E-2</v>
      </c>
      <c r="Q4879">
        <v>0.320219707512573</v>
      </c>
      <c r="R4879">
        <v>0.87231099257649602</v>
      </c>
      <c r="S4879" t="s">
        <v>11525</v>
      </c>
      <c r="T4879" t="s">
        <v>13290</v>
      </c>
      <c r="U4879" t="s">
        <v>13290</v>
      </c>
      <c r="V4879" t="s">
        <v>13290</v>
      </c>
      <c r="W4879" t="s">
        <v>18121</v>
      </c>
      <c r="X4879">
        <v>13</v>
      </c>
      <c r="Y4879" t="s">
        <v>24605</v>
      </c>
      <c r="Z4879" t="s">
        <v>31209</v>
      </c>
      <c r="AA4879">
        <v>0.44552951839050742</v>
      </c>
      <c r="AB4879" t="str">
        <f>HYPERLINK("Melting_Curves/meltCurve_Q92667_AKAP1.pdf", "Melting_Curves/meltCurve_Q92667_AKAP1.pdf")</f>
        <v>Melting_Curves/meltCurve_Q92667_AKAP1.pdf</v>
      </c>
    </row>
    <row r="4880" spans="1:28" x14ac:dyDescent="0.25">
      <c r="A4880" t="s">
        <v>4884</v>
      </c>
      <c r="B4880">
        <v>0.99252571173614901</v>
      </c>
      <c r="C4880">
        <v>0.88353929860123703</v>
      </c>
      <c r="D4880">
        <v>1.0759278174023399</v>
      </c>
      <c r="E4880">
        <v>1.0473602991484501</v>
      </c>
      <c r="F4880">
        <v>0.620438679550393</v>
      </c>
      <c r="G4880">
        <v>0.27647320069619302</v>
      </c>
      <c r="H4880">
        <v>0.15463203737842099</v>
      </c>
      <c r="I4880">
        <v>0.166951555111234</v>
      </c>
      <c r="J4880">
        <v>0.20301449552752099</v>
      </c>
      <c r="K4880">
        <v>0.18184098714663</v>
      </c>
      <c r="L4880">
        <v>2469.8153759404699</v>
      </c>
      <c r="M4880">
        <v>46.202883698365</v>
      </c>
      <c r="N4880">
        <v>53.992787924019296</v>
      </c>
      <c r="O4880">
        <v>53.356017099575197</v>
      </c>
      <c r="P4880">
        <v>-0.176610984526333</v>
      </c>
      <c r="Q4880">
        <v>0.184185317063529</v>
      </c>
      <c r="R4880">
        <v>0.98092760561236902</v>
      </c>
      <c r="S4880" t="s">
        <v>11526</v>
      </c>
      <c r="T4880" t="s">
        <v>13290</v>
      </c>
      <c r="U4880" t="s">
        <v>13290</v>
      </c>
      <c r="V4880" t="s">
        <v>13290</v>
      </c>
      <c r="W4880" t="s">
        <v>18122</v>
      </c>
      <c r="X4880">
        <v>24</v>
      </c>
      <c r="Y4880" t="s">
        <v>24606</v>
      </c>
      <c r="Z4880" t="s">
        <v>31210</v>
      </c>
      <c r="AA4880">
        <v>0.55235586342095944</v>
      </c>
      <c r="AB4880" t="str">
        <f>HYPERLINK("Melting_Curves/meltCurve_Q92673_SORL1.pdf", "Melting_Curves/meltCurve_Q92673_SORL1.pdf")</f>
        <v>Melting_Curves/meltCurve_Q92673_SORL1.pdf</v>
      </c>
    </row>
    <row r="4881" spans="1:28" x14ac:dyDescent="0.25">
      <c r="A4881" t="s">
        <v>4885</v>
      </c>
      <c r="B4881">
        <v>0.99252571173614901</v>
      </c>
      <c r="C4881">
        <v>1.10881646157812</v>
      </c>
      <c r="D4881">
        <v>1.0211865407587399</v>
      </c>
      <c r="E4881">
        <v>0.85159433570559595</v>
      </c>
      <c r="F4881">
        <v>0.586928274241582</v>
      </c>
      <c r="G4881">
        <v>0.20557792060383001</v>
      </c>
      <c r="H4881">
        <v>0.111379325772724</v>
      </c>
      <c r="I4881">
        <v>8.7281497314424597E-2</v>
      </c>
      <c r="J4881">
        <v>8.9182554295745203E-2</v>
      </c>
      <c r="K4881">
        <v>8.6418596906943798E-2</v>
      </c>
      <c r="L4881">
        <v>1435.59732496007</v>
      </c>
      <c r="M4881">
        <v>26.901219012938899</v>
      </c>
      <c r="N4881">
        <v>53.706907396509699</v>
      </c>
      <c r="O4881">
        <v>53.073217425468599</v>
      </c>
      <c r="P4881">
        <v>-0.116759927621491</v>
      </c>
      <c r="Q4881">
        <v>7.8589801074782806E-2</v>
      </c>
      <c r="R4881">
        <v>0.99057784969510199</v>
      </c>
      <c r="S4881" t="s">
        <v>11527</v>
      </c>
      <c r="T4881" t="s">
        <v>13290</v>
      </c>
      <c r="U4881" t="s">
        <v>13290</v>
      </c>
      <c r="V4881" t="s">
        <v>13290</v>
      </c>
      <c r="W4881" t="s">
        <v>18123</v>
      </c>
      <c r="X4881">
        <v>11</v>
      </c>
      <c r="Y4881" t="s">
        <v>24607</v>
      </c>
      <c r="Z4881" t="s">
        <v>31211</v>
      </c>
      <c r="AA4881">
        <v>0.49650241004085821</v>
      </c>
      <c r="AB4881" t="str">
        <f>HYPERLINK("Melting_Curves/meltCurve_Q92688_2_ANP32B.pdf", "Melting_Curves/meltCurve_Q92688_2_ANP32B.pdf")</f>
        <v>Melting_Curves/meltCurve_Q92688_2_ANP32B.pdf</v>
      </c>
    </row>
    <row r="4882" spans="1:28" x14ac:dyDescent="0.25">
      <c r="A4882" t="s">
        <v>4886</v>
      </c>
      <c r="B4882">
        <v>0.99252571173614901</v>
      </c>
      <c r="C4882">
        <v>1.0208416714028701</v>
      </c>
      <c r="D4882">
        <v>0.90942273302246401</v>
      </c>
      <c r="E4882">
        <v>0.83940522022136999</v>
      </c>
      <c r="F4882">
        <v>0.76452327702878897</v>
      </c>
      <c r="G4882">
        <v>0.506638839487903</v>
      </c>
      <c r="H4882">
        <v>0.444653951663326</v>
      </c>
      <c r="I4882">
        <v>0.46099254362848602</v>
      </c>
      <c r="J4882">
        <v>0.63917162293459895</v>
      </c>
      <c r="K4882">
        <v>0.49192110999482302</v>
      </c>
      <c r="L4882">
        <v>1077.15918497897</v>
      </c>
      <c r="M4882">
        <v>20.7447317264796</v>
      </c>
      <c r="N4882">
        <v>68.025763269583393</v>
      </c>
      <c r="O4882">
        <v>51.449177952481897</v>
      </c>
      <c r="P4882">
        <v>-5.0773977260474501E-2</v>
      </c>
      <c r="Q4882">
        <v>0.49631432539440101</v>
      </c>
      <c r="R4882">
        <v>0.91044459946586798</v>
      </c>
      <c r="S4882" t="s">
        <v>11528</v>
      </c>
      <c r="T4882" t="s">
        <v>13290</v>
      </c>
      <c r="U4882" t="s">
        <v>13290</v>
      </c>
      <c r="V4882" t="s">
        <v>13290</v>
      </c>
      <c r="W4882" t="s">
        <v>18124</v>
      </c>
      <c r="X4882">
        <v>9</v>
      </c>
      <c r="Y4882" t="s">
        <v>24608</v>
      </c>
      <c r="Z4882" t="s">
        <v>31212</v>
      </c>
      <c r="AA4882">
        <v>0.70304618356714543</v>
      </c>
      <c r="AB4882" t="str">
        <f>HYPERLINK("Melting_Curves/meltCurve_Q92692_PVRL2.pdf", "Melting_Curves/meltCurve_Q92692_PVRL2.pdf")</f>
        <v>Melting_Curves/meltCurve_Q92692_PVRL2.pdf</v>
      </c>
    </row>
    <row r="4883" spans="1:28" x14ac:dyDescent="0.25">
      <c r="A4883" t="s">
        <v>4887</v>
      </c>
      <c r="B4883">
        <v>0.99252571173614901</v>
      </c>
      <c r="C4883">
        <v>0.94339273454013395</v>
      </c>
      <c r="D4883">
        <v>0.94648989279642703</v>
      </c>
      <c r="E4883">
        <v>0.98588772584363804</v>
      </c>
      <c r="F4883">
        <v>0.75488771497190499</v>
      </c>
      <c r="G4883">
        <v>0.60638020994165398</v>
      </c>
      <c r="H4883">
        <v>0.45317967250886498</v>
      </c>
      <c r="I4883">
        <v>0.33954279852417302</v>
      </c>
      <c r="J4883">
        <v>0.446393513660653</v>
      </c>
      <c r="K4883">
        <v>0.33288125895118897</v>
      </c>
      <c r="L4883">
        <v>1074.92881664068</v>
      </c>
      <c r="M4883">
        <v>19.490466469849402</v>
      </c>
      <c r="N4883">
        <v>58.871691612033899</v>
      </c>
      <c r="O4883">
        <v>54.580776978886597</v>
      </c>
      <c r="P4883">
        <v>-5.7664660950685599E-2</v>
      </c>
      <c r="Q4883">
        <v>0.35409063399173502</v>
      </c>
      <c r="R4883">
        <v>0.97357113257523298</v>
      </c>
      <c r="S4883" t="s">
        <v>11529</v>
      </c>
      <c r="T4883" t="s">
        <v>13290</v>
      </c>
      <c r="U4883" t="s">
        <v>13290</v>
      </c>
      <c r="V4883" t="s">
        <v>13290</v>
      </c>
      <c r="W4883" t="s">
        <v>18125</v>
      </c>
      <c r="X4883">
        <v>10</v>
      </c>
      <c r="Y4883" t="s">
        <v>24608</v>
      </c>
      <c r="Z4883" t="s">
        <v>31213</v>
      </c>
      <c r="AA4883">
        <v>0.68920131234756232</v>
      </c>
      <c r="AB4883" t="str">
        <f>HYPERLINK("Melting_Curves/meltCurve_Q92692_2_PVRL2.pdf", "Melting_Curves/meltCurve_Q92692_2_PVRL2.pdf")</f>
        <v>Melting_Curves/meltCurve_Q92692_2_PVRL2.pdf</v>
      </c>
    </row>
    <row r="4884" spans="1:28" x14ac:dyDescent="0.25">
      <c r="A4884" t="s">
        <v>4888</v>
      </c>
      <c r="B4884">
        <v>0.99252571173614901</v>
      </c>
      <c r="C4884">
        <v>1.0318139544197</v>
      </c>
      <c r="D4884">
        <v>1.01673546793722</v>
      </c>
      <c r="E4884">
        <v>0.87482470347082597</v>
      </c>
      <c r="F4884">
        <v>0.401453381085351</v>
      </c>
      <c r="G4884">
        <v>0.14463680770913301</v>
      </c>
      <c r="H4884">
        <v>8.9518191348454595E-2</v>
      </c>
      <c r="I4884">
        <v>0.10201557608926499</v>
      </c>
      <c r="J4884">
        <v>0.12670611696253001</v>
      </c>
      <c r="K4884">
        <v>0.11039398863569801</v>
      </c>
      <c r="L4884">
        <v>1905.23976103052</v>
      </c>
      <c r="M4884">
        <v>36.535085505994999</v>
      </c>
      <c r="N4884">
        <v>52.487846784556197</v>
      </c>
      <c r="O4884">
        <v>51.992728102061399</v>
      </c>
      <c r="P4884">
        <v>-0.15718159379035701</v>
      </c>
      <c r="Q4884">
        <v>0.105268231996824</v>
      </c>
      <c r="R4884">
        <v>0.998442494124685</v>
      </c>
      <c r="S4884" t="s">
        <v>11530</v>
      </c>
      <c r="T4884" t="s">
        <v>13290</v>
      </c>
      <c r="U4884" t="s">
        <v>13290</v>
      </c>
      <c r="V4884" t="s">
        <v>13290</v>
      </c>
      <c r="W4884" t="s">
        <v>18126</v>
      </c>
      <c r="X4884">
        <v>15</v>
      </c>
      <c r="Y4884" t="s">
        <v>24609</v>
      </c>
      <c r="Z4884" t="s">
        <v>31214</v>
      </c>
      <c r="AA4884">
        <v>0.47144840092312212</v>
      </c>
      <c r="AB4884" t="str">
        <f>HYPERLINK("Melting_Curves/meltCurve_Q92696_RABGGTA.pdf", "Melting_Curves/meltCurve_Q92696_RABGGTA.pdf")</f>
        <v>Melting_Curves/meltCurve_Q92696_RABGGTA.pdf</v>
      </c>
    </row>
    <row r="4885" spans="1:28" x14ac:dyDescent="0.25">
      <c r="A4885" t="s">
        <v>4889</v>
      </c>
      <c r="B4885">
        <v>0.99252571173614901</v>
      </c>
      <c r="C4885">
        <v>0.96483425669849698</v>
      </c>
      <c r="D4885">
        <v>0.94395082218039605</v>
      </c>
      <c r="E4885">
        <v>0.86708230492173599</v>
      </c>
      <c r="F4885">
        <v>0.90937536222463899</v>
      </c>
      <c r="G4885">
        <v>0.70211865562877795</v>
      </c>
      <c r="H4885">
        <v>0.65267234173598099</v>
      </c>
      <c r="I4885">
        <v>0.69267773079051898</v>
      </c>
      <c r="J4885">
        <v>0.914974821056045</v>
      </c>
      <c r="K4885">
        <v>0.67209915761021199</v>
      </c>
      <c r="L4885">
        <v>809.35072369956401</v>
      </c>
      <c r="M4885">
        <v>15.918122736315</v>
      </c>
      <c r="O4885">
        <v>50.062465763929602</v>
      </c>
      <c r="P4885">
        <v>-2.19648985456962E-2</v>
      </c>
      <c r="Q4885">
        <v>0.72370385493089395</v>
      </c>
      <c r="R4885">
        <v>0.624876912124252</v>
      </c>
      <c r="S4885" t="s">
        <v>11531</v>
      </c>
      <c r="T4885" t="s">
        <v>13290</v>
      </c>
      <c r="U4885" t="s">
        <v>13290</v>
      </c>
      <c r="V4885" t="s">
        <v>13290</v>
      </c>
      <c r="W4885" t="s">
        <v>18127</v>
      </c>
      <c r="X4885">
        <v>12</v>
      </c>
      <c r="Y4885" t="s">
        <v>24610</v>
      </c>
      <c r="Z4885" t="s">
        <v>31215</v>
      </c>
      <c r="AA4885">
        <v>0.82938065970778396</v>
      </c>
      <c r="AB4885" t="str">
        <f>HYPERLINK("Melting_Curves/meltCurve_Q92734_2_TFG.pdf", "Melting_Curves/meltCurve_Q92734_2_TFG.pdf")</f>
        <v>Melting_Curves/meltCurve_Q92734_2_TFG.pdf</v>
      </c>
    </row>
    <row r="4886" spans="1:28" x14ac:dyDescent="0.25">
      <c r="A4886" t="s">
        <v>4890</v>
      </c>
      <c r="B4886">
        <v>0.99252571173614901</v>
      </c>
      <c r="C4886">
        <v>0.976152536068151</v>
      </c>
      <c r="D4886">
        <v>0.89083961344770202</v>
      </c>
      <c r="E4886">
        <v>0.73568460069806696</v>
      </c>
      <c r="F4886">
        <v>0.30766910048670398</v>
      </c>
      <c r="G4886">
        <v>0.212201286377006</v>
      </c>
      <c r="H4886">
        <v>0.17130855221338301</v>
      </c>
      <c r="I4886">
        <v>0.17675406739305199</v>
      </c>
      <c r="J4886">
        <v>0.30678400680556001</v>
      </c>
      <c r="K4886">
        <v>0.27906528548695198</v>
      </c>
      <c r="L4886">
        <v>1772.8374280053599</v>
      </c>
      <c r="M4886">
        <v>35.2142458274974</v>
      </c>
      <c r="N4886">
        <v>51.208809071840001</v>
      </c>
      <c r="O4886">
        <v>50.182797171923497</v>
      </c>
      <c r="P4886">
        <v>-0.136121265509346</v>
      </c>
      <c r="Q4886">
        <v>0.224072852314044</v>
      </c>
      <c r="R4886">
        <v>0.97814088451367698</v>
      </c>
      <c r="S4886" t="s">
        <v>11532</v>
      </c>
      <c r="T4886" t="s">
        <v>13290</v>
      </c>
      <c r="U4886" t="s">
        <v>13290</v>
      </c>
      <c r="V4886" t="s">
        <v>13290</v>
      </c>
      <c r="W4886" t="s">
        <v>18128</v>
      </c>
      <c r="X4886">
        <v>9</v>
      </c>
      <c r="Y4886" t="s">
        <v>24611</v>
      </c>
      <c r="Z4886" t="s">
        <v>31216</v>
      </c>
      <c r="AA4886">
        <v>0.49511351802539583</v>
      </c>
      <c r="AB4886" t="str">
        <f>HYPERLINK("Melting_Curves/meltCurve_Q92738_USP6NL.pdf", "Melting_Curves/meltCurve_Q92738_USP6NL.pdf")</f>
        <v>Melting_Curves/meltCurve_Q92738_USP6NL.pdf</v>
      </c>
    </row>
    <row r="4887" spans="1:28" x14ac:dyDescent="0.25">
      <c r="A4887" t="s">
        <v>4891</v>
      </c>
      <c r="B4887">
        <v>0.99252571173614901</v>
      </c>
      <c r="C4887">
        <v>0.97824628086260501</v>
      </c>
      <c r="D4887">
        <v>1.03879909950258</v>
      </c>
      <c r="E4887">
        <v>0.91863492907734401</v>
      </c>
      <c r="F4887">
        <v>0.98679637660206498</v>
      </c>
      <c r="G4887">
        <v>0.85235525531580503</v>
      </c>
      <c r="H4887">
        <v>0.93414281686817002</v>
      </c>
      <c r="I4887">
        <v>0.70612747051347202</v>
      </c>
      <c r="J4887">
        <v>0.22952730672423899</v>
      </c>
      <c r="K4887">
        <v>0.223495259336321</v>
      </c>
      <c r="L4887">
        <v>4680.3708226135896</v>
      </c>
      <c r="M4887">
        <v>72.634292786891294</v>
      </c>
      <c r="N4887">
        <v>64.910751855725906</v>
      </c>
      <c r="O4887">
        <v>64.388683149722098</v>
      </c>
      <c r="P4887">
        <v>-0.22403972809328601</v>
      </c>
      <c r="Q4887">
        <v>0.20557519118727099</v>
      </c>
      <c r="R4887">
        <v>0.96009160149953598</v>
      </c>
      <c r="S4887" t="s">
        <v>11533</v>
      </c>
      <c r="T4887" t="s">
        <v>13290</v>
      </c>
      <c r="U4887" t="s">
        <v>13290</v>
      </c>
      <c r="V4887" t="s">
        <v>13290</v>
      </c>
      <c r="W4887" t="s">
        <v>18129</v>
      </c>
      <c r="X4887">
        <v>15</v>
      </c>
      <c r="Y4887" t="s">
        <v>24612</v>
      </c>
      <c r="Z4887" t="s">
        <v>31217</v>
      </c>
      <c r="AA4887">
        <v>0.85367784401540969</v>
      </c>
      <c r="AB4887" t="str">
        <f>HYPERLINK("Melting_Curves/meltCurve_Q92747_ARPC1A.pdf", "Melting_Curves/meltCurve_Q92747_ARPC1A.pdf")</f>
        <v>Melting_Curves/meltCurve_Q92747_ARPC1A.pdf</v>
      </c>
    </row>
    <row r="4888" spans="1:28" x14ac:dyDescent="0.25">
      <c r="A4888" t="s">
        <v>4892</v>
      </c>
      <c r="B4888">
        <v>0.99252571173614901</v>
      </c>
      <c r="C4888">
        <v>0.91705780576289697</v>
      </c>
      <c r="D4888">
        <v>0.79636470348071497</v>
      </c>
      <c r="E4888">
        <v>0.74396728421123703</v>
      </c>
      <c r="F4888">
        <v>0.54745340163568301</v>
      </c>
      <c r="G4888">
        <v>0.35798245275718699</v>
      </c>
      <c r="H4888">
        <v>0.30310748416397998</v>
      </c>
      <c r="I4888">
        <v>0.39397617625374698</v>
      </c>
      <c r="J4888">
        <v>0.519291241602443</v>
      </c>
      <c r="K4888">
        <v>0.684341972141701</v>
      </c>
      <c r="L4888">
        <v>906.30198009733601</v>
      </c>
      <c r="M4888">
        <v>18.7860907269833</v>
      </c>
      <c r="N4888">
        <v>55.205061606097097</v>
      </c>
      <c r="O4888">
        <v>47.706560647214701</v>
      </c>
      <c r="P4888">
        <v>-5.3830901893162801E-2</v>
      </c>
      <c r="Q4888">
        <v>0.45321670728520902</v>
      </c>
      <c r="R4888">
        <v>0.77829967050766702</v>
      </c>
      <c r="S4888" t="s">
        <v>11534</v>
      </c>
      <c r="T4888" t="s">
        <v>13290</v>
      </c>
      <c r="U4888" t="s">
        <v>13290</v>
      </c>
      <c r="V4888" t="s">
        <v>13290</v>
      </c>
      <c r="W4888" t="s">
        <v>18130</v>
      </c>
      <c r="X4888">
        <v>4</v>
      </c>
      <c r="Y4888" t="s">
        <v>24613</v>
      </c>
      <c r="Z4888" t="s">
        <v>31218</v>
      </c>
      <c r="AA4888">
        <v>0.61227573014703751</v>
      </c>
      <c r="AB4888" t="str">
        <f>HYPERLINK("Melting_Curves/meltCurve_Q92766_RREB1.pdf", "Melting_Curves/meltCurve_Q92766_RREB1.pdf")</f>
        <v>Melting_Curves/meltCurve_Q92766_RREB1.pdf</v>
      </c>
    </row>
    <row r="4889" spans="1:28" x14ac:dyDescent="0.25">
      <c r="A4889" t="s">
        <v>4893</v>
      </c>
      <c r="B4889">
        <v>0.99252571173614901</v>
      </c>
      <c r="C4889">
        <v>0.87499831424256103</v>
      </c>
      <c r="D4889">
        <v>0.85321329472858098</v>
      </c>
      <c r="E4889">
        <v>0.64006201088624404</v>
      </c>
      <c r="F4889">
        <v>0.214637513770807</v>
      </c>
      <c r="G4889">
        <v>0.116502756217712</v>
      </c>
      <c r="H4889">
        <v>7.5880734631010097E-2</v>
      </c>
      <c r="I4889">
        <v>7.8397740017363396E-2</v>
      </c>
      <c r="J4889">
        <v>9.3157219803862698E-2</v>
      </c>
      <c r="K4889">
        <v>9.0920572654152598E-2</v>
      </c>
      <c r="L4889">
        <v>1124.9989756196201</v>
      </c>
      <c r="M4889">
        <v>22.485372051362098</v>
      </c>
      <c r="N4889">
        <v>50.370022484629303</v>
      </c>
      <c r="O4889">
        <v>49.6417905994686</v>
      </c>
      <c r="P4889">
        <v>-0.10532061666152399</v>
      </c>
      <c r="Q4889">
        <v>6.9938101526492005E-2</v>
      </c>
      <c r="R4889">
        <v>0.98610483563440798</v>
      </c>
      <c r="S4889" t="s">
        <v>11535</v>
      </c>
      <c r="T4889" t="s">
        <v>13290</v>
      </c>
      <c r="U4889" t="s">
        <v>13290</v>
      </c>
      <c r="V4889" t="s">
        <v>13290</v>
      </c>
      <c r="W4889" t="s">
        <v>18131</v>
      </c>
      <c r="X4889">
        <v>10</v>
      </c>
      <c r="Y4889" t="s">
        <v>24614</v>
      </c>
      <c r="Z4889" t="s">
        <v>31219</v>
      </c>
      <c r="AA4889">
        <v>0.39124467113452371</v>
      </c>
      <c r="AB4889" t="str">
        <f>HYPERLINK("Melting_Curves/meltCurve_Q92783_2_STAM.pdf", "Melting_Curves/meltCurve_Q92783_2_STAM.pdf")</f>
        <v>Melting_Curves/meltCurve_Q92783_2_STAM.pdf</v>
      </c>
    </row>
    <row r="4890" spans="1:28" x14ac:dyDescent="0.25">
      <c r="A4890" t="s">
        <v>4894</v>
      </c>
      <c r="B4890">
        <v>0.99252571173614901</v>
      </c>
      <c r="C4890">
        <v>0.82621887098398805</v>
      </c>
      <c r="D4890">
        <v>0.78482520163372305</v>
      </c>
      <c r="E4890">
        <v>0.52376052014282903</v>
      </c>
      <c r="F4890">
        <v>0.29386120881136502</v>
      </c>
      <c r="G4890">
        <v>0.17193387562874299</v>
      </c>
      <c r="H4890">
        <v>0.119789381656748</v>
      </c>
      <c r="I4890">
        <v>0.12824226031826599</v>
      </c>
      <c r="J4890">
        <v>0.204660833636264</v>
      </c>
      <c r="K4890">
        <v>0.23557416812651399</v>
      </c>
      <c r="L4890">
        <v>828.55759257008594</v>
      </c>
      <c r="M4890">
        <v>17.106859908571899</v>
      </c>
      <c r="N4890">
        <v>49.487649298228398</v>
      </c>
      <c r="O4890">
        <v>47.7869046613596</v>
      </c>
      <c r="P4890">
        <v>-7.5842660993445998E-2</v>
      </c>
      <c r="Q4890">
        <v>0.15260484003114</v>
      </c>
      <c r="R4890">
        <v>0.97411465154105603</v>
      </c>
      <c r="S4890" t="s">
        <v>11536</v>
      </c>
      <c r="T4890" t="s">
        <v>13290</v>
      </c>
      <c r="U4890" t="s">
        <v>13290</v>
      </c>
      <c r="V4890" t="s">
        <v>13290</v>
      </c>
      <c r="W4890" t="s">
        <v>18132</v>
      </c>
      <c r="X4890">
        <v>2</v>
      </c>
      <c r="Y4890" t="s">
        <v>24615</v>
      </c>
      <c r="Z4890" t="s">
        <v>31220</v>
      </c>
      <c r="AA4890">
        <v>0.40732202173509408</v>
      </c>
      <c r="AB4890" t="str">
        <f>HYPERLINK("Melting_Curves/meltCurve_Q92791_LEPREL4.pdf", "Melting_Curves/meltCurve_Q92791_LEPREL4.pdf")</f>
        <v>Melting_Curves/meltCurve_Q92791_LEPREL4.pdf</v>
      </c>
    </row>
    <row r="4891" spans="1:28" x14ac:dyDescent="0.25">
      <c r="A4891" t="s">
        <v>4895</v>
      </c>
      <c r="B4891">
        <v>0.99252571173614901</v>
      </c>
      <c r="C4891">
        <v>1.0039061955967199</v>
      </c>
      <c r="D4891">
        <v>0.95249550915289405</v>
      </c>
      <c r="E4891">
        <v>0.99942352979331595</v>
      </c>
      <c r="F4891">
        <v>0.37125652998126502</v>
      </c>
      <c r="G4891">
        <v>0.16310334973385399</v>
      </c>
      <c r="H4891">
        <v>0.12980106335174099</v>
      </c>
      <c r="I4891">
        <v>0.151018390193353</v>
      </c>
      <c r="J4891">
        <v>0.19712234238588799</v>
      </c>
      <c r="K4891">
        <v>0.21322790063418801</v>
      </c>
      <c r="L4891">
        <v>13239.171207282399</v>
      </c>
      <c r="M4891">
        <v>250</v>
      </c>
      <c r="N4891">
        <v>53.045402625544597</v>
      </c>
      <c r="O4891">
        <v>52.953296155565297</v>
      </c>
      <c r="P4891">
        <v>-0.97862817590893403</v>
      </c>
      <c r="Q4891">
        <v>0.170854602149071</v>
      </c>
      <c r="R4891">
        <v>0.99539728766234203</v>
      </c>
      <c r="S4891" t="s">
        <v>11537</v>
      </c>
      <c r="T4891" t="s">
        <v>13290</v>
      </c>
      <c r="U4891" t="s">
        <v>13290</v>
      </c>
      <c r="V4891" t="s">
        <v>13290</v>
      </c>
      <c r="W4891" t="s">
        <v>18133</v>
      </c>
      <c r="X4891">
        <v>18</v>
      </c>
      <c r="Y4891" t="s">
        <v>24616</v>
      </c>
      <c r="Z4891" t="s">
        <v>31221</v>
      </c>
      <c r="AA4891">
        <v>0.52903084797739508</v>
      </c>
      <c r="AB4891" t="str">
        <f>HYPERLINK("Melting_Curves/meltCurve_Q92793_CREBBP.pdf", "Melting_Curves/meltCurve_Q92793_CREBBP.pdf")</f>
        <v>Melting_Curves/meltCurve_Q92793_CREBBP.pdf</v>
      </c>
    </row>
    <row r="4892" spans="1:28" x14ac:dyDescent="0.25">
      <c r="A4892" t="s">
        <v>4896</v>
      </c>
      <c r="B4892">
        <v>0.99252571173614901</v>
      </c>
      <c r="C4892">
        <v>0.85145224138282205</v>
      </c>
      <c r="D4892">
        <v>0.56698110459345097</v>
      </c>
      <c r="E4892">
        <v>0.18652746254605501</v>
      </c>
      <c r="F4892">
        <v>0.108708230592857</v>
      </c>
      <c r="G4892">
        <v>6.0700541691374503E-2</v>
      </c>
      <c r="H4892">
        <v>5.7073745712013103E-2</v>
      </c>
      <c r="I4892">
        <v>6.1765832840210401E-2</v>
      </c>
      <c r="J4892">
        <v>6.9154819589076905E-2</v>
      </c>
      <c r="K4892">
        <v>7.0906443816609793E-2</v>
      </c>
      <c r="L4892">
        <v>1133.07383725364</v>
      </c>
      <c r="M4892">
        <v>24.552924823756999</v>
      </c>
      <c r="N4892">
        <v>46.396536442052302</v>
      </c>
      <c r="O4892">
        <v>45.845363784706599</v>
      </c>
      <c r="P4892">
        <v>-0.12564853426966999</v>
      </c>
      <c r="Q4892">
        <v>6.15668652286602E-2</v>
      </c>
      <c r="R4892">
        <v>0.99849733453729095</v>
      </c>
      <c r="S4892" t="s">
        <v>11538</v>
      </c>
      <c r="T4892" t="s">
        <v>13290</v>
      </c>
      <c r="U4892" t="s">
        <v>13290</v>
      </c>
      <c r="V4892" t="s">
        <v>13290</v>
      </c>
      <c r="W4892" t="s">
        <v>18134</v>
      </c>
      <c r="X4892">
        <v>14</v>
      </c>
      <c r="Y4892" t="s">
        <v>24617</v>
      </c>
      <c r="Z4892" t="s">
        <v>31222</v>
      </c>
      <c r="AA4892">
        <v>0.26286079354750719</v>
      </c>
      <c r="AB4892" t="str">
        <f>HYPERLINK("Melting_Curves/meltCurve_Q92797_SYMPK.pdf", "Melting_Curves/meltCurve_Q92797_SYMPK.pdf")</f>
        <v>Melting_Curves/meltCurve_Q92797_SYMPK.pdf</v>
      </c>
    </row>
    <row r="4893" spans="1:28" x14ac:dyDescent="0.25">
      <c r="A4893" t="s">
        <v>4897</v>
      </c>
      <c r="B4893">
        <v>0.99252571173614901</v>
      </c>
      <c r="C4893">
        <v>0.95592870196693702</v>
      </c>
      <c r="D4893">
        <v>0.99568162391029502</v>
      </c>
      <c r="E4893">
        <v>0.77310782411315904</v>
      </c>
      <c r="F4893">
        <v>0.64246249785744503</v>
      </c>
      <c r="G4893">
        <v>0.49142186935734999</v>
      </c>
      <c r="H4893">
        <v>0.39584765961031498</v>
      </c>
      <c r="I4893">
        <v>0.49988397110600702</v>
      </c>
      <c r="J4893">
        <v>0.59054382945369199</v>
      </c>
      <c r="K4893">
        <v>0.63540186489613004</v>
      </c>
      <c r="L4893">
        <v>1476.5016122868799</v>
      </c>
      <c r="M4893">
        <v>29.498237088137099</v>
      </c>
      <c r="O4893">
        <v>49.825545476745702</v>
      </c>
      <c r="P4893">
        <v>-7.0179668064280998E-2</v>
      </c>
      <c r="Q4893">
        <v>0.52584068722757504</v>
      </c>
      <c r="R4893">
        <v>0.90472383984059102</v>
      </c>
      <c r="S4893" t="s">
        <v>11539</v>
      </c>
      <c r="T4893" t="s">
        <v>13290</v>
      </c>
      <c r="U4893" t="s">
        <v>13290</v>
      </c>
      <c r="V4893" t="s">
        <v>13290</v>
      </c>
      <c r="W4893" t="s">
        <v>18135</v>
      </c>
      <c r="X4893">
        <v>14</v>
      </c>
      <c r="Y4893" t="s">
        <v>24618</v>
      </c>
      <c r="Z4893" t="s">
        <v>31223</v>
      </c>
      <c r="AA4893">
        <v>0.68778275023357238</v>
      </c>
      <c r="AB4893" t="str">
        <f>HYPERLINK("Melting_Curves/meltCurve_Q92804_2_TAF15.pdf", "Melting_Curves/meltCurve_Q92804_2_TAF15.pdf")</f>
        <v>Melting_Curves/meltCurve_Q92804_2_TAF15.pdf</v>
      </c>
    </row>
    <row r="4894" spans="1:28" x14ac:dyDescent="0.25">
      <c r="A4894" t="s">
        <v>4898</v>
      </c>
      <c r="B4894">
        <v>0.99252571173614901</v>
      </c>
      <c r="C4894">
        <v>1.01916254102538</v>
      </c>
      <c r="D4894">
        <v>0.63447505433963802</v>
      </c>
      <c r="E4894">
        <v>0.379097305808478</v>
      </c>
      <c r="F4894">
        <v>0.18612791206821699</v>
      </c>
      <c r="G4894">
        <v>0.12296809379582201</v>
      </c>
      <c r="H4894">
        <v>9.1697011412081295E-2</v>
      </c>
      <c r="I4894">
        <v>0.122473716586684</v>
      </c>
      <c r="J4894">
        <v>0.163028578317815</v>
      </c>
      <c r="K4894">
        <v>0.162398954122214</v>
      </c>
      <c r="L4894">
        <v>1152.3874847843299</v>
      </c>
      <c r="M4894">
        <v>24.4304003622251</v>
      </c>
      <c r="N4894">
        <v>47.775250983942001</v>
      </c>
      <c r="O4894">
        <v>46.857592399647203</v>
      </c>
      <c r="P4894">
        <v>-0.11300318915997599</v>
      </c>
      <c r="Q4894">
        <v>0.13305096066911701</v>
      </c>
      <c r="R4894">
        <v>0.98466646359197696</v>
      </c>
      <c r="S4894" t="s">
        <v>11540</v>
      </c>
      <c r="T4894" t="s">
        <v>13290</v>
      </c>
      <c r="U4894" t="s">
        <v>13290</v>
      </c>
      <c r="V4894" t="s">
        <v>13290</v>
      </c>
      <c r="W4894" t="s">
        <v>18136</v>
      </c>
      <c r="X4894">
        <v>6</v>
      </c>
      <c r="Y4894" t="s">
        <v>24619</v>
      </c>
      <c r="Z4894" t="s">
        <v>31224</v>
      </c>
      <c r="AA4894">
        <v>0.34837529369312481</v>
      </c>
      <c r="AB4894" t="str">
        <f>HYPERLINK("Melting_Curves/meltCurve_Q92805_GOLGA1.pdf", "Melting_Curves/meltCurve_Q92805_GOLGA1.pdf")</f>
        <v>Melting_Curves/meltCurve_Q92805_GOLGA1.pdf</v>
      </c>
    </row>
    <row r="4895" spans="1:28" x14ac:dyDescent="0.25">
      <c r="A4895" t="s">
        <v>4899</v>
      </c>
      <c r="B4895">
        <v>0.99252571173614901</v>
      </c>
      <c r="C4895">
        <v>1.0383270650830301</v>
      </c>
      <c r="D4895">
        <v>1.0158621349639501</v>
      </c>
      <c r="E4895">
        <v>0.89137967670143303</v>
      </c>
      <c r="F4895">
        <v>0.82858403259087099</v>
      </c>
      <c r="G4895">
        <v>0.77559949783398896</v>
      </c>
      <c r="H4895">
        <v>0.70892088664060704</v>
      </c>
      <c r="I4895">
        <v>0.68193391594627095</v>
      </c>
      <c r="J4895">
        <v>0.36021467162006598</v>
      </c>
      <c r="K4895">
        <v>0.21077917376114499</v>
      </c>
      <c r="L4895">
        <v>703.05612161001602</v>
      </c>
      <c r="M4895">
        <v>10.860870417226501</v>
      </c>
      <c r="N4895">
        <v>64.732924066955803</v>
      </c>
      <c r="O4895">
        <v>62.654342323059602</v>
      </c>
      <c r="P4895">
        <v>-4.3351817761341498E-2</v>
      </c>
      <c r="Q4895">
        <v>0</v>
      </c>
      <c r="R4895">
        <v>0.92344510967452698</v>
      </c>
      <c r="S4895" t="s">
        <v>11541</v>
      </c>
      <c r="T4895" t="s">
        <v>13290</v>
      </c>
      <c r="U4895" t="s">
        <v>13290</v>
      </c>
      <c r="V4895" t="s">
        <v>13290</v>
      </c>
      <c r="W4895" t="s">
        <v>18137</v>
      </c>
      <c r="X4895">
        <v>14</v>
      </c>
      <c r="Y4895" t="s">
        <v>24620</v>
      </c>
      <c r="Z4895" t="s">
        <v>31225</v>
      </c>
      <c r="AA4895">
        <v>0.78010291661378584</v>
      </c>
      <c r="AB4895" t="str">
        <f>HYPERLINK("Melting_Curves/meltCurve_Q92820_GGH.pdf", "Melting_Curves/meltCurve_Q92820_GGH.pdf")</f>
        <v>Melting_Curves/meltCurve_Q92820_GGH.pdf</v>
      </c>
    </row>
    <row r="4896" spans="1:28" x14ac:dyDescent="0.25">
      <c r="A4896" t="s">
        <v>4900</v>
      </c>
      <c r="B4896">
        <v>0.99252571173614901</v>
      </c>
      <c r="C4896">
        <v>1.00832754347867</v>
      </c>
      <c r="D4896">
        <v>0.95680166145429002</v>
      </c>
      <c r="E4896">
        <v>0.77183035491904395</v>
      </c>
      <c r="F4896">
        <v>0.374751668202081</v>
      </c>
      <c r="G4896">
        <v>0.22590996214266501</v>
      </c>
      <c r="H4896">
        <v>0.159013372293836</v>
      </c>
      <c r="I4896">
        <v>0.15785793239566101</v>
      </c>
      <c r="J4896">
        <v>0.20315664167042999</v>
      </c>
      <c r="K4896">
        <v>0.22132655562728601</v>
      </c>
      <c r="L4896">
        <v>1547.5632551209101</v>
      </c>
      <c r="M4896">
        <v>30.2745971266779</v>
      </c>
      <c r="N4896">
        <v>51.904958220893299</v>
      </c>
      <c r="O4896">
        <v>50.896074285894898</v>
      </c>
      <c r="P4896">
        <v>-0.121327315266751</v>
      </c>
      <c r="Q4896">
        <v>0.18412851219745699</v>
      </c>
      <c r="R4896">
        <v>0.996895933596055</v>
      </c>
      <c r="S4896" t="s">
        <v>11542</v>
      </c>
      <c r="T4896" t="s">
        <v>13290</v>
      </c>
      <c r="U4896" t="s">
        <v>13290</v>
      </c>
      <c r="V4896" t="s">
        <v>13290</v>
      </c>
      <c r="W4896" t="s">
        <v>18138</v>
      </c>
      <c r="X4896">
        <v>7</v>
      </c>
      <c r="Y4896" t="s">
        <v>24621</v>
      </c>
      <c r="Z4896" t="s">
        <v>31226</v>
      </c>
      <c r="AA4896">
        <v>0.49152503379794121</v>
      </c>
      <c r="AB4896" t="str">
        <f>HYPERLINK("Melting_Curves/meltCurve_Q92843_2_BCL2L2.pdf", "Melting_Curves/meltCurve_Q92843_2_BCL2L2.pdf")</f>
        <v>Melting_Curves/meltCurve_Q92843_2_BCL2L2.pdf</v>
      </c>
    </row>
    <row r="4897" spans="1:28" x14ac:dyDescent="0.25">
      <c r="A4897" t="s">
        <v>4901</v>
      </c>
      <c r="B4897">
        <v>0.99252571173614901</v>
      </c>
      <c r="C4897">
        <v>1.0700815443140199</v>
      </c>
      <c r="D4897">
        <v>1.07869001941389</v>
      </c>
      <c r="E4897">
        <v>0.80622999145211205</v>
      </c>
      <c r="F4897">
        <v>0.64090784790493804</v>
      </c>
      <c r="G4897">
        <v>0.51470873154718</v>
      </c>
      <c r="H4897">
        <v>0.44535643600219099</v>
      </c>
      <c r="I4897">
        <v>0.471451614201713</v>
      </c>
      <c r="J4897">
        <v>0.807583197183531</v>
      </c>
      <c r="K4897">
        <v>1.0040295980980201</v>
      </c>
      <c r="L4897">
        <v>12390.1565263588</v>
      </c>
      <c r="M4897">
        <v>250</v>
      </c>
      <c r="O4897">
        <v>49.557458027963897</v>
      </c>
      <c r="P4897">
        <v>-0.44476208824841601</v>
      </c>
      <c r="Q4897">
        <v>0.64733956877436705</v>
      </c>
      <c r="R4897">
        <v>0.55301801639859105</v>
      </c>
      <c r="S4897" t="s">
        <v>11543</v>
      </c>
      <c r="T4897" t="s">
        <v>13290</v>
      </c>
      <c r="U4897" t="s">
        <v>13290</v>
      </c>
      <c r="V4897" t="s">
        <v>13290</v>
      </c>
      <c r="W4897" t="s">
        <v>18139</v>
      </c>
      <c r="X4897">
        <v>2</v>
      </c>
      <c r="Y4897" t="s">
        <v>24622</v>
      </c>
      <c r="Z4897" t="s">
        <v>31227</v>
      </c>
      <c r="AA4897">
        <v>0.75975872668930478</v>
      </c>
      <c r="AB4897" t="str">
        <f>HYPERLINK("Melting_Curves/meltCurve_Q92844_TANK.pdf", "Melting_Curves/meltCurve_Q92844_TANK.pdf")</f>
        <v>Melting_Curves/meltCurve_Q92844_TANK.pdf</v>
      </c>
    </row>
    <row r="4898" spans="1:28" x14ac:dyDescent="0.25">
      <c r="A4898" t="s">
        <v>4902</v>
      </c>
      <c r="B4898">
        <v>0.99252571173614901</v>
      </c>
      <c r="C4898">
        <v>1.00319532088693</v>
      </c>
      <c r="D4898">
        <v>1.0773862091956401</v>
      </c>
      <c r="E4898">
        <v>1.2175819856986001</v>
      </c>
      <c r="F4898">
        <v>0.48143830878305999</v>
      </c>
      <c r="G4898">
        <v>0.24621641968641</v>
      </c>
      <c r="H4898">
        <v>0.15193488932013799</v>
      </c>
      <c r="I4898">
        <v>0.160767374219209</v>
      </c>
      <c r="J4898">
        <v>0.174546699614607</v>
      </c>
      <c r="K4898">
        <v>0.17943949599015399</v>
      </c>
      <c r="L4898">
        <v>13270.6818848315</v>
      </c>
      <c r="M4898">
        <v>250</v>
      </c>
      <c r="N4898">
        <v>53.1793832291062</v>
      </c>
      <c r="O4898">
        <v>53.079315866208098</v>
      </c>
      <c r="P4898">
        <v>-0.96249688258454602</v>
      </c>
      <c r="Q4898">
        <v>0.182580956306612</v>
      </c>
      <c r="R4898">
        <v>0.96738156630020999</v>
      </c>
      <c r="S4898" t="s">
        <v>11544</v>
      </c>
      <c r="T4898" t="s">
        <v>13290</v>
      </c>
      <c r="U4898" t="s">
        <v>13290</v>
      </c>
      <c r="V4898" t="s">
        <v>13290</v>
      </c>
      <c r="W4898" t="s">
        <v>18140</v>
      </c>
      <c r="X4898">
        <v>3</v>
      </c>
      <c r="Y4898" t="s">
        <v>24623</v>
      </c>
      <c r="Z4898" t="s">
        <v>31228</v>
      </c>
      <c r="AA4898">
        <v>0.53912612767869839</v>
      </c>
      <c r="AB4898" t="str">
        <f>HYPERLINK("Melting_Curves/meltCurve_Q92845_2_KIFAP3.pdf", "Melting_Curves/meltCurve_Q92845_2_KIFAP3.pdf")</f>
        <v>Melting_Curves/meltCurve_Q92845_2_KIFAP3.pdf</v>
      </c>
    </row>
    <row r="4899" spans="1:28" x14ac:dyDescent="0.25">
      <c r="A4899" t="s">
        <v>4903</v>
      </c>
      <c r="B4899">
        <v>0.99252571173614901</v>
      </c>
      <c r="C4899">
        <v>1.2936491365043901</v>
      </c>
      <c r="D4899">
        <v>1.0645485835881501</v>
      </c>
      <c r="E4899">
        <v>1.1081018564240901</v>
      </c>
      <c r="F4899">
        <v>0.835308702101481</v>
      </c>
      <c r="G4899">
        <v>0.47952013499026702</v>
      </c>
      <c r="H4899">
        <v>0.32064249571319697</v>
      </c>
      <c r="I4899">
        <v>0.29323695646182901</v>
      </c>
      <c r="J4899">
        <v>0.382789124046719</v>
      </c>
      <c r="K4899">
        <v>0.39998700324627201</v>
      </c>
      <c r="L4899">
        <v>2377.2095314695698</v>
      </c>
      <c r="M4899">
        <v>43.437786254931602</v>
      </c>
      <c r="N4899">
        <v>56.2870731461011</v>
      </c>
      <c r="O4899">
        <v>54.611162622157899</v>
      </c>
      <c r="P4899">
        <v>-0.12924843699640301</v>
      </c>
      <c r="Q4899">
        <v>0.35002249294027399</v>
      </c>
      <c r="R4899">
        <v>0.91328446520115603</v>
      </c>
      <c r="S4899" t="s">
        <v>11545</v>
      </c>
      <c r="T4899" t="s">
        <v>13290</v>
      </c>
      <c r="U4899" t="s">
        <v>13290</v>
      </c>
      <c r="V4899" t="s">
        <v>13290</v>
      </c>
      <c r="W4899" t="s">
        <v>18141</v>
      </c>
      <c r="X4899">
        <v>3</v>
      </c>
      <c r="Y4899" t="s">
        <v>24624</v>
      </c>
      <c r="Z4899" t="s">
        <v>31229</v>
      </c>
      <c r="AA4899">
        <v>0.67117050330702888</v>
      </c>
      <c r="AB4899" t="str">
        <f>HYPERLINK("Melting_Curves/meltCurve_Q92854_SEMA4D.pdf", "Melting_Curves/meltCurve_Q92854_SEMA4D.pdf")</f>
        <v>Melting_Curves/meltCurve_Q92854_SEMA4D.pdf</v>
      </c>
    </row>
    <row r="4900" spans="1:28" x14ac:dyDescent="0.25">
      <c r="A4900" t="s">
        <v>4904</v>
      </c>
      <c r="B4900">
        <v>0.99252571173614901</v>
      </c>
      <c r="C4900">
        <v>0.98820361704337401</v>
      </c>
      <c r="D4900">
        <v>0.88429457215681895</v>
      </c>
      <c r="E4900">
        <v>0.79450253732318898</v>
      </c>
      <c r="F4900">
        <v>0.552845224567725</v>
      </c>
      <c r="G4900">
        <v>0.27760671603731202</v>
      </c>
      <c r="H4900">
        <v>0.19222713235122099</v>
      </c>
      <c r="I4900">
        <v>0.16077356014987801</v>
      </c>
      <c r="J4900">
        <v>0.124725844698688</v>
      </c>
      <c r="K4900">
        <v>4.9653054894686903E-2</v>
      </c>
      <c r="L4900">
        <v>828.51057427574904</v>
      </c>
      <c r="M4900">
        <v>15.5684270629064</v>
      </c>
      <c r="N4900">
        <v>53.709991482559303</v>
      </c>
      <c r="O4900">
        <v>52.362531075969301</v>
      </c>
      <c r="P4900">
        <v>-6.9390602023281497E-2</v>
      </c>
      <c r="Q4900">
        <v>6.6534049231914402E-2</v>
      </c>
      <c r="R4900">
        <v>0.99432567465786004</v>
      </c>
      <c r="S4900" t="s">
        <v>11546</v>
      </c>
      <c r="T4900" t="s">
        <v>13290</v>
      </c>
      <c r="U4900" t="s">
        <v>13290</v>
      </c>
      <c r="V4900" t="s">
        <v>13290</v>
      </c>
      <c r="W4900" t="s">
        <v>18142</v>
      </c>
      <c r="X4900">
        <v>3</v>
      </c>
      <c r="Y4900" t="s">
        <v>24625</v>
      </c>
      <c r="Z4900" t="s">
        <v>31230</v>
      </c>
      <c r="AA4900">
        <v>0.49670026419696628</v>
      </c>
      <c r="AB4900" t="str">
        <f>HYPERLINK("Melting_Curves/meltCurve_Q92871_PMM1.pdf", "Melting_Curves/meltCurve_Q92871_PMM1.pdf")</f>
        <v>Melting_Curves/meltCurve_Q92871_PMM1.pdf</v>
      </c>
    </row>
    <row r="4901" spans="1:28" x14ac:dyDescent="0.25">
      <c r="A4901" t="s">
        <v>4905</v>
      </c>
      <c r="B4901">
        <v>0.99252571173614901</v>
      </c>
      <c r="C4901">
        <v>1.05125802318687</v>
      </c>
      <c r="D4901">
        <v>0.85222434945131897</v>
      </c>
      <c r="E4901">
        <v>0.89527969312458699</v>
      </c>
      <c r="F4901">
        <v>0.47869385103426698</v>
      </c>
      <c r="G4901">
        <v>0.32791865976531198</v>
      </c>
      <c r="H4901">
        <v>0.29150104464167698</v>
      </c>
      <c r="I4901">
        <v>0.28868205050832302</v>
      </c>
      <c r="J4901">
        <v>0.30297624587344402</v>
      </c>
      <c r="K4901">
        <v>0.27116420361937399</v>
      </c>
      <c r="L4901">
        <v>1742.3036619063</v>
      </c>
      <c r="M4901">
        <v>33.657346780451199</v>
      </c>
      <c r="N4901">
        <v>53.112643560638801</v>
      </c>
      <c r="O4901">
        <v>51.584211257015603</v>
      </c>
      <c r="P4901">
        <v>-0.116300586338857</v>
      </c>
      <c r="Q4901">
        <v>0.28702060409788099</v>
      </c>
      <c r="R4901">
        <v>0.97633711981657301</v>
      </c>
      <c r="S4901" t="s">
        <v>11547</v>
      </c>
      <c r="T4901" t="s">
        <v>13290</v>
      </c>
      <c r="U4901" t="s">
        <v>13290</v>
      </c>
      <c r="V4901" t="s">
        <v>13290</v>
      </c>
      <c r="W4901" t="s">
        <v>18143</v>
      </c>
      <c r="X4901">
        <v>2</v>
      </c>
      <c r="Y4901" t="s">
        <v>24626</v>
      </c>
      <c r="Z4901" t="s">
        <v>31231</v>
      </c>
      <c r="AA4901">
        <v>0.57025672887218493</v>
      </c>
      <c r="AB4901" t="str">
        <f>HYPERLINK("Melting_Curves/meltCurve_Q92876_KLK6.pdf", "Melting_Curves/meltCurve_Q92876_KLK6.pdf")</f>
        <v>Melting_Curves/meltCurve_Q92876_KLK6.pdf</v>
      </c>
    </row>
    <row r="4902" spans="1:28" x14ac:dyDescent="0.25">
      <c r="A4902" t="s">
        <v>4906</v>
      </c>
      <c r="B4902">
        <v>0.99252571173614901</v>
      </c>
      <c r="C4902">
        <v>0.63753952881353904</v>
      </c>
      <c r="D4902">
        <v>1.1302370785888201</v>
      </c>
      <c r="E4902">
        <v>0.66573501758942599</v>
      </c>
      <c r="F4902">
        <v>0.240529293384322</v>
      </c>
      <c r="G4902">
        <v>0.121126083837785</v>
      </c>
      <c r="H4902">
        <v>7.7030413474875103E-2</v>
      </c>
      <c r="I4902">
        <v>6.9214886334139705E-2</v>
      </c>
      <c r="J4902">
        <v>8.16740210986001E-2</v>
      </c>
      <c r="K4902">
        <v>8.5298925534371003E-2</v>
      </c>
      <c r="L4902">
        <v>1820.32563792317</v>
      </c>
      <c r="M4902">
        <v>36.0019054021922</v>
      </c>
      <c r="N4902">
        <v>50.826894989883797</v>
      </c>
      <c r="O4902">
        <v>50.406688026314697</v>
      </c>
      <c r="P4902">
        <v>-0.16328001375586201</v>
      </c>
      <c r="Q4902">
        <v>8.5561941899540001E-2</v>
      </c>
      <c r="R4902">
        <v>0.89741659173403399</v>
      </c>
      <c r="S4902" t="s">
        <v>11548</v>
      </c>
      <c r="T4902" t="s">
        <v>13290</v>
      </c>
      <c r="U4902" t="s">
        <v>13290</v>
      </c>
      <c r="V4902" t="s">
        <v>13290</v>
      </c>
      <c r="W4902" t="s">
        <v>18144</v>
      </c>
      <c r="X4902">
        <v>65</v>
      </c>
      <c r="Y4902" t="s">
        <v>24627</v>
      </c>
      <c r="Z4902" t="s">
        <v>31232</v>
      </c>
      <c r="AA4902">
        <v>0.41145528276120102</v>
      </c>
      <c r="AB4902" t="str">
        <f>HYPERLINK("Melting_Curves/meltCurve_Q92878_RAD50.pdf", "Melting_Curves/meltCurve_Q92878_RAD50.pdf")</f>
        <v>Melting_Curves/meltCurve_Q92878_RAD50.pdf</v>
      </c>
    </row>
    <row r="4903" spans="1:28" x14ac:dyDescent="0.25">
      <c r="A4903" t="s">
        <v>4907</v>
      </c>
      <c r="B4903">
        <v>0.99252571173614901</v>
      </c>
      <c r="C4903">
        <v>1.04007060424482</v>
      </c>
      <c r="D4903">
        <v>0.955033231048389</v>
      </c>
      <c r="E4903">
        <v>0.55558200810857805</v>
      </c>
      <c r="F4903">
        <v>0.26835282552026801</v>
      </c>
      <c r="G4903">
        <v>0.162968361789644</v>
      </c>
      <c r="H4903">
        <v>0.102771185987158</v>
      </c>
      <c r="I4903">
        <v>9.1541295534151898E-2</v>
      </c>
      <c r="J4903">
        <v>0.112946435086442</v>
      </c>
      <c r="K4903">
        <v>0.12977349472209401</v>
      </c>
      <c r="L4903">
        <v>1414.70589129109</v>
      </c>
      <c r="M4903">
        <v>28.407619663265798</v>
      </c>
      <c r="N4903">
        <v>50.268017959743702</v>
      </c>
      <c r="O4903">
        <v>49.555402974863398</v>
      </c>
      <c r="P4903">
        <v>-0.12666751528452899</v>
      </c>
      <c r="Q4903">
        <v>0.116151365758582</v>
      </c>
      <c r="R4903">
        <v>0.99547040409709697</v>
      </c>
      <c r="S4903" t="s">
        <v>11549</v>
      </c>
      <c r="T4903" t="s">
        <v>13290</v>
      </c>
      <c r="U4903" t="s">
        <v>13290</v>
      </c>
      <c r="V4903" t="s">
        <v>13290</v>
      </c>
      <c r="W4903" t="s">
        <v>18145</v>
      </c>
      <c r="X4903">
        <v>12</v>
      </c>
      <c r="Y4903" t="s">
        <v>24628</v>
      </c>
      <c r="Z4903" t="s">
        <v>31233</v>
      </c>
      <c r="AA4903">
        <v>0.41096849133431068</v>
      </c>
      <c r="AB4903" t="str">
        <f>HYPERLINK("Melting_Curves/meltCurve_Q92882_OSTF1.pdf", "Melting_Curves/meltCurve_Q92882_OSTF1.pdf")</f>
        <v>Melting_Curves/meltCurve_Q92882_OSTF1.pdf</v>
      </c>
    </row>
    <row r="4904" spans="1:28" x14ac:dyDescent="0.25">
      <c r="A4904" t="s">
        <v>4908</v>
      </c>
      <c r="B4904">
        <v>0.99252571173614901</v>
      </c>
      <c r="C4904">
        <v>0.86185286022922503</v>
      </c>
      <c r="D4904">
        <v>0.79814426232505098</v>
      </c>
      <c r="E4904">
        <v>0.37126110130615902</v>
      </c>
      <c r="F4904">
        <v>0.16738804614722</v>
      </c>
      <c r="G4904">
        <v>6.5078766518627401E-2</v>
      </c>
      <c r="H4904">
        <v>5.26894011946928E-2</v>
      </c>
      <c r="I4904">
        <v>4.0372250618340301E-2</v>
      </c>
      <c r="J4904">
        <v>5.1406295960312799E-2</v>
      </c>
      <c r="K4904">
        <v>5.1667527914071601E-2</v>
      </c>
      <c r="L4904">
        <v>1019.51950857413</v>
      </c>
      <c r="M4904">
        <v>21.108857191689101</v>
      </c>
      <c r="N4904">
        <v>48.491612526121997</v>
      </c>
      <c r="O4904">
        <v>47.870991277643597</v>
      </c>
      <c r="P4904">
        <v>-0.105789997054147</v>
      </c>
      <c r="Q4904">
        <v>4.0376505233825702E-2</v>
      </c>
      <c r="R4904">
        <v>0.993628400493347</v>
      </c>
      <c r="S4904" t="s">
        <v>11550</v>
      </c>
      <c r="T4904" t="s">
        <v>13290</v>
      </c>
      <c r="U4904" t="s">
        <v>13290</v>
      </c>
      <c r="V4904" t="s">
        <v>13290</v>
      </c>
      <c r="W4904" t="s">
        <v>18146</v>
      </c>
      <c r="X4904">
        <v>2</v>
      </c>
      <c r="Y4904" t="s">
        <v>24629</v>
      </c>
      <c r="Z4904" t="s">
        <v>31234</v>
      </c>
      <c r="AA4904">
        <v>0.3179244319597746</v>
      </c>
      <c r="AB4904" t="str">
        <f>HYPERLINK("Melting_Curves/meltCurve_Q92889_ERCC4.pdf", "Melting_Curves/meltCurve_Q92889_ERCC4.pdf")</f>
        <v>Melting_Curves/meltCurve_Q92889_ERCC4.pdf</v>
      </c>
    </row>
    <row r="4905" spans="1:28" x14ac:dyDescent="0.25">
      <c r="A4905" t="s">
        <v>4909</v>
      </c>
      <c r="B4905">
        <v>0.99252571173614901</v>
      </c>
      <c r="C4905">
        <v>0.99232469621786901</v>
      </c>
      <c r="D4905">
        <v>1.0018033503818899</v>
      </c>
      <c r="E4905">
        <v>0.90688182866422096</v>
      </c>
      <c r="F4905">
        <v>0.70512995892136199</v>
      </c>
      <c r="G4905">
        <v>0.48559164924470799</v>
      </c>
      <c r="H4905">
        <v>0.27675800590083299</v>
      </c>
      <c r="I4905">
        <v>0.122769810854867</v>
      </c>
      <c r="J4905">
        <v>8.7699493646700905E-2</v>
      </c>
      <c r="K4905">
        <v>7.6118842254199806E-2</v>
      </c>
      <c r="L4905">
        <v>899.42818827642998</v>
      </c>
      <c r="M4905">
        <v>15.9650851499142</v>
      </c>
      <c r="N4905">
        <v>56.502872134674298</v>
      </c>
      <c r="O4905">
        <v>55.475522765376901</v>
      </c>
      <c r="P4905">
        <v>-7.0306913845148894E-2</v>
      </c>
      <c r="Q4905">
        <v>2.2866591367544601E-2</v>
      </c>
      <c r="R4905">
        <v>0.998130741248903</v>
      </c>
      <c r="S4905" t="s">
        <v>11551</v>
      </c>
      <c r="T4905" t="s">
        <v>13290</v>
      </c>
      <c r="U4905" t="s">
        <v>13290</v>
      </c>
      <c r="V4905" t="s">
        <v>13290</v>
      </c>
      <c r="W4905" t="s">
        <v>18147</v>
      </c>
      <c r="X4905">
        <v>17</v>
      </c>
      <c r="Y4905" t="s">
        <v>24630</v>
      </c>
      <c r="Z4905" t="s">
        <v>31235</v>
      </c>
      <c r="AA4905">
        <v>0.57089378489854214</v>
      </c>
      <c r="AB4905" t="str">
        <f>HYPERLINK("Melting_Curves/meltCurve_Q92890_UFD1L.pdf", "Melting_Curves/meltCurve_Q92890_UFD1L.pdf")</f>
        <v>Melting_Curves/meltCurve_Q92890_UFD1L.pdf</v>
      </c>
    </row>
    <row r="4906" spans="1:28" x14ac:dyDescent="0.25">
      <c r="A4906" t="s">
        <v>4910</v>
      </c>
      <c r="B4906">
        <v>0.99252571173614901</v>
      </c>
      <c r="C4906">
        <v>0.89499299188866699</v>
      </c>
      <c r="D4906">
        <v>0.95308436087821102</v>
      </c>
      <c r="E4906">
        <v>1.05714929644919</v>
      </c>
      <c r="F4906">
        <v>0.84014650968387605</v>
      </c>
      <c r="G4906">
        <v>0.57542772318795299</v>
      </c>
      <c r="H4906">
        <v>0.29087923364891</v>
      </c>
      <c r="I4906">
        <v>0.27963828672462598</v>
      </c>
      <c r="J4906">
        <v>0.296350210276631</v>
      </c>
      <c r="K4906">
        <v>0.22870598366341399</v>
      </c>
      <c r="L4906">
        <v>1654.8813229663399</v>
      </c>
      <c r="M4906">
        <v>29.5293935032227</v>
      </c>
      <c r="N4906">
        <v>57.414950152833001</v>
      </c>
      <c r="O4906">
        <v>55.786703770969702</v>
      </c>
      <c r="P4906">
        <v>-9.8820194833525901E-2</v>
      </c>
      <c r="Q4906">
        <v>0.25324376418178302</v>
      </c>
      <c r="R4906">
        <v>0.97796736017619701</v>
      </c>
      <c r="S4906" t="s">
        <v>11552</v>
      </c>
      <c r="T4906" t="s">
        <v>13290</v>
      </c>
      <c r="U4906" t="s">
        <v>13290</v>
      </c>
      <c r="V4906" t="s">
        <v>13290</v>
      </c>
      <c r="W4906" t="s">
        <v>14238</v>
      </c>
      <c r="X4906">
        <v>61</v>
      </c>
      <c r="Y4906" t="s">
        <v>20824</v>
      </c>
      <c r="Z4906" t="s">
        <v>31236</v>
      </c>
      <c r="AA4906">
        <v>0.65768092902535946</v>
      </c>
      <c r="AB4906" t="str">
        <f>HYPERLINK("Melting_Curves/meltCurve_Q92896_GLG1.pdf", "Melting_Curves/meltCurve_Q92896_GLG1.pdf")</f>
        <v>Melting_Curves/meltCurve_Q92896_GLG1.pdf</v>
      </c>
    </row>
    <row r="4907" spans="1:28" x14ac:dyDescent="0.25">
      <c r="A4907" t="s">
        <v>4911</v>
      </c>
      <c r="B4907">
        <v>0.99252571173614901</v>
      </c>
      <c r="C4907">
        <v>0.88916064816960205</v>
      </c>
      <c r="D4907">
        <v>0.89781564353420096</v>
      </c>
      <c r="E4907">
        <v>0.70241696095022299</v>
      </c>
      <c r="F4907">
        <v>0.37578369316728399</v>
      </c>
      <c r="G4907">
        <v>0.16884766525554501</v>
      </c>
      <c r="H4907">
        <v>0.108328999844421</v>
      </c>
      <c r="I4907">
        <v>9.7922098668050503E-2</v>
      </c>
      <c r="J4907">
        <v>0.102455057373984</v>
      </c>
      <c r="K4907">
        <v>8.6502329495103003E-2</v>
      </c>
      <c r="L4907">
        <v>989.60312172592603</v>
      </c>
      <c r="M4907">
        <v>19.333614376406501</v>
      </c>
      <c r="N4907">
        <v>51.625557567161302</v>
      </c>
      <c r="O4907">
        <v>50.6474476033085</v>
      </c>
      <c r="P4907">
        <v>-8.8187831747781706E-2</v>
      </c>
      <c r="Q4907">
        <v>7.5946730557048397E-2</v>
      </c>
      <c r="R4907">
        <v>0.99260272098559399</v>
      </c>
      <c r="S4907" t="s">
        <v>11553</v>
      </c>
      <c r="T4907" t="s">
        <v>13290</v>
      </c>
      <c r="U4907" t="s">
        <v>13290</v>
      </c>
      <c r="V4907" t="s">
        <v>13290</v>
      </c>
      <c r="W4907" t="s">
        <v>18148</v>
      </c>
      <c r="X4907">
        <v>59</v>
      </c>
      <c r="Y4907" t="s">
        <v>24631</v>
      </c>
      <c r="Z4907" t="s">
        <v>31237</v>
      </c>
      <c r="AA4907">
        <v>0.43413311668004168</v>
      </c>
      <c r="AB4907" t="str">
        <f>HYPERLINK("Melting_Curves/meltCurve_Q92900_UPF1.pdf", "Melting_Curves/meltCurve_Q92900_UPF1.pdf")</f>
        <v>Melting_Curves/meltCurve_Q92900_UPF1.pdf</v>
      </c>
    </row>
    <row r="4908" spans="1:28" x14ac:dyDescent="0.25">
      <c r="A4908" t="s">
        <v>4912</v>
      </c>
      <c r="B4908">
        <v>0.99252571173614901</v>
      </c>
      <c r="C4908">
        <v>0.95040680692095303</v>
      </c>
      <c r="D4908">
        <v>1.0232576081165099</v>
      </c>
      <c r="E4908">
        <v>1.0141137833075</v>
      </c>
      <c r="F4908">
        <v>0.70253144608347795</v>
      </c>
      <c r="G4908">
        <v>0.22875579483352501</v>
      </c>
      <c r="H4908">
        <v>0.124226648551947</v>
      </c>
      <c r="I4908">
        <v>9.7360939533738602E-2</v>
      </c>
      <c r="J4908">
        <v>9.9304274385090402E-2</v>
      </c>
      <c r="K4908">
        <v>9.2178027276262106E-2</v>
      </c>
      <c r="L4908">
        <v>2179.8436141580401</v>
      </c>
      <c r="M4908">
        <v>40.230702760489201</v>
      </c>
      <c r="N4908">
        <v>54.488441193413003</v>
      </c>
      <c r="O4908">
        <v>54.050221866395603</v>
      </c>
      <c r="P4908">
        <v>-0.167329102150266</v>
      </c>
      <c r="Q4908">
        <v>0.10077068679604</v>
      </c>
      <c r="R4908">
        <v>0.99726440526096505</v>
      </c>
      <c r="S4908" t="s">
        <v>11554</v>
      </c>
      <c r="T4908" t="s">
        <v>13290</v>
      </c>
      <c r="U4908" t="s">
        <v>13290</v>
      </c>
      <c r="V4908" t="s">
        <v>13290</v>
      </c>
      <c r="W4908" t="s">
        <v>18149</v>
      </c>
      <c r="X4908">
        <v>8</v>
      </c>
      <c r="Y4908" t="s">
        <v>24632</v>
      </c>
      <c r="Z4908" t="s">
        <v>31238</v>
      </c>
      <c r="AA4908">
        <v>0.52923568417429168</v>
      </c>
      <c r="AB4908" t="str">
        <f>HYPERLINK("Melting_Curves/meltCurve_Q92905_COPS5.pdf", "Melting_Curves/meltCurve_Q92905_COPS5.pdf")</f>
        <v>Melting_Curves/meltCurve_Q92905_COPS5.pdf</v>
      </c>
    </row>
    <row r="4909" spans="1:28" x14ac:dyDescent="0.25">
      <c r="A4909" t="s">
        <v>4913</v>
      </c>
      <c r="B4909">
        <v>0.99252571173614901</v>
      </c>
      <c r="C4909">
        <v>0.847745262966074</v>
      </c>
      <c r="D4909">
        <v>0.72123429035229603</v>
      </c>
      <c r="E4909">
        <v>0.42400649623769299</v>
      </c>
      <c r="F4909">
        <v>0.16670447825939599</v>
      </c>
      <c r="G4909">
        <v>9.9059390983038106E-2</v>
      </c>
      <c r="H4909">
        <v>7.2321903541999799E-2</v>
      </c>
      <c r="I4909">
        <v>7.8433037033900505E-2</v>
      </c>
      <c r="J4909">
        <v>9.6997755519380696E-2</v>
      </c>
      <c r="K4909">
        <v>0.114481868088017</v>
      </c>
      <c r="L4909">
        <v>884.59688430770802</v>
      </c>
      <c r="M4909">
        <v>18.4700497429968</v>
      </c>
      <c r="N4909">
        <v>48.312306574258997</v>
      </c>
      <c r="O4909">
        <v>47.342765191986899</v>
      </c>
      <c r="P4909">
        <v>-9.0323827995695397E-2</v>
      </c>
      <c r="Q4909">
        <v>7.3962886058061006E-2</v>
      </c>
      <c r="R4909">
        <v>0.99285967867290903</v>
      </c>
      <c r="S4909" t="s">
        <v>11555</v>
      </c>
      <c r="T4909" t="s">
        <v>13290</v>
      </c>
      <c r="U4909" t="s">
        <v>13290</v>
      </c>
      <c r="V4909" t="s">
        <v>13290</v>
      </c>
      <c r="W4909" t="s">
        <v>18150</v>
      </c>
      <c r="X4909">
        <v>17</v>
      </c>
      <c r="Y4909" t="s">
        <v>24633</v>
      </c>
      <c r="Z4909" t="s">
        <v>31239</v>
      </c>
      <c r="AA4909">
        <v>0.33323606333992328</v>
      </c>
      <c r="AB4909" t="str">
        <f>HYPERLINK("Melting_Curves/meltCurve_Q92917_GPKOW.pdf", "Melting_Curves/meltCurve_Q92917_GPKOW.pdf")</f>
        <v>Melting_Curves/meltCurve_Q92917_GPKOW.pdf</v>
      </c>
    </row>
    <row r="4910" spans="1:28" x14ac:dyDescent="0.25">
      <c r="A4910" t="s">
        <v>4914</v>
      </c>
      <c r="B4910">
        <v>0.99252571173614901</v>
      </c>
      <c r="C4910">
        <v>0.880433049492924</v>
      </c>
      <c r="D4910">
        <v>0.63108882203664995</v>
      </c>
      <c r="E4910">
        <v>0.27660442728594598</v>
      </c>
      <c r="F4910">
        <v>0.12984947873069799</v>
      </c>
      <c r="G4910">
        <v>8.7389151897247205E-2</v>
      </c>
      <c r="H4910">
        <v>6.2295976523053402E-2</v>
      </c>
      <c r="I4910">
        <v>5.9151361687475999E-2</v>
      </c>
      <c r="J4910">
        <v>6.7559581573822206E-2</v>
      </c>
      <c r="K4910">
        <v>7.1022043218843894E-2</v>
      </c>
      <c r="L4910">
        <v>1022.52715733292</v>
      </c>
      <c r="M4910">
        <v>21.817962383230601</v>
      </c>
      <c r="N4910">
        <v>47.158796240840502</v>
      </c>
      <c r="O4910">
        <v>46.477912024268697</v>
      </c>
      <c r="P4910">
        <v>-0.109932446118992</v>
      </c>
      <c r="Q4910">
        <v>6.3283249134207104E-2</v>
      </c>
      <c r="R4910">
        <v>0.99958969955210697</v>
      </c>
      <c r="S4910" t="s">
        <v>11556</v>
      </c>
      <c r="T4910" t="s">
        <v>13290</v>
      </c>
      <c r="U4910" t="s">
        <v>13290</v>
      </c>
      <c r="V4910" t="s">
        <v>13290</v>
      </c>
      <c r="W4910" t="s">
        <v>18151</v>
      </c>
      <c r="X4910">
        <v>17</v>
      </c>
      <c r="Y4910" t="s">
        <v>24634</v>
      </c>
      <c r="Z4910" t="s">
        <v>31240</v>
      </c>
      <c r="AA4910">
        <v>0.28903532271309018</v>
      </c>
      <c r="AB4910" t="str">
        <f>HYPERLINK("Melting_Curves/meltCurve_Q92922_SMARCC1.pdf", "Melting_Curves/meltCurve_Q92922_SMARCC1.pdf")</f>
        <v>Melting_Curves/meltCurve_Q92922_SMARCC1.pdf</v>
      </c>
    </row>
    <row r="4911" spans="1:28" x14ac:dyDescent="0.25">
      <c r="A4911" t="s">
        <v>4915</v>
      </c>
      <c r="B4911">
        <v>0.99252571173614901</v>
      </c>
      <c r="C4911">
        <v>1.0347037185347401</v>
      </c>
      <c r="D4911">
        <v>0.91591930388769005</v>
      </c>
      <c r="E4911">
        <v>0.81867234406742195</v>
      </c>
      <c r="F4911">
        <v>0.52489736981659896</v>
      </c>
      <c r="G4911">
        <v>0.45718085572508199</v>
      </c>
      <c r="H4911">
        <v>0.45456451911637402</v>
      </c>
      <c r="I4911">
        <v>0.63464312019103397</v>
      </c>
      <c r="J4911">
        <v>1.1194968079148799</v>
      </c>
      <c r="K4911">
        <v>1.0469884374949801</v>
      </c>
      <c r="L4911">
        <v>1873.21946665576</v>
      </c>
      <c r="M4911">
        <v>39.2461477783283</v>
      </c>
      <c r="O4911">
        <v>47.6066140816664</v>
      </c>
      <c r="P4911">
        <v>-5.9288749814511897E-2</v>
      </c>
      <c r="Q4911">
        <v>0.71232543675119497</v>
      </c>
      <c r="R4911">
        <v>0.24790215536233001</v>
      </c>
      <c r="S4911" t="s">
        <v>11557</v>
      </c>
      <c r="T4911" t="s">
        <v>13290</v>
      </c>
      <c r="U4911" t="s">
        <v>13290</v>
      </c>
      <c r="V4911" t="s">
        <v>13290</v>
      </c>
      <c r="W4911" t="s">
        <v>18152</v>
      </c>
      <c r="X4911">
        <v>4</v>
      </c>
      <c r="Y4911" t="s">
        <v>24635</v>
      </c>
      <c r="Z4911" t="s">
        <v>31241</v>
      </c>
      <c r="AA4911">
        <v>0.78744022200986641</v>
      </c>
      <c r="AB4911" t="str">
        <f>HYPERLINK("Melting_Curves/meltCurve_Q92934_BAD.pdf", "Melting_Curves/meltCurve_Q92934_BAD.pdf")</f>
        <v>Melting_Curves/meltCurve_Q92934_BAD.pdf</v>
      </c>
    </row>
    <row r="4912" spans="1:28" x14ac:dyDescent="0.25">
      <c r="A4912" t="s">
        <v>4916</v>
      </c>
      <c r="B4912">
        <v>0.99252571173614901</v>
      </c>
      <c r="C4912">
        <v>1.05633091129263</v>
      </c>
      <c r="D4912">
        <v>0.95452814771438899</v>
      </c>
      <c r="E4912">
        <v>0.88696646041545901</v>
      </c>
      <c r="F4912">
        <v>0.67897836941714995</v>
      </c>
      <c r="G4912">
        <v>0.56577273666254002</v>
      </c>
      <c r="H4912">
        <v>0.48995552212625298</v>
      </c>
      <c r="I4912">
        <v>0.486849064492751</v>
      </c>
      <c r="J4912">
        <v>0.648555704003837</v>
      </c>
      <c r="K4912">
        <v>0.81570322808921103</v>
      </c>
      <c r="L4912">
        <v>1881.3668232648199</v>
      </c>
      <c r="M4912">
        <v>37.011622577279802</v>
      </c>
      <c r="O4912">
        <v>50.684083046825499</v>
      </c>
      <c r="P4912">
        <v>-7.2692018695629398E-2</v>
      </c>
      <c r="Q4912">
        <v>0.601820511507273</v>
      </c>
      <c r="R4912">
        <v>0.79984529435213203</v>
      </c>
      <c r="S4912" t="s">
        <v>11558</v>
      </c>
      <c r="T4912" t="s">
        <v>13290</v>
      </c>
      <c r="U4912" t="s">
        <v>13290</v>
      </c>
      <c r="V4912" t="s">
        <v>13290</v>
      </c>
      <c r="W4912" t="s">
        <v>18153</v>
      </c>
      <c r="X4912">
        <v>54</v>
      </c>
      <c r="Y4912" t="s">
        <v>24636</v>
      </c>
      <c r="Z4912" t="s">
        <v>31242</v>
      </c>
      <c r="AA4912">
        <v>0.74722301803009417</v>
      </c>
      <c r="AB4912" t="str">
        <f>HYPERLINK("Melting_Curves/meltCurve_Q92945_KHSRP.pdf", "Melting_Curves/meltCurve_Q92945_KHSRP.pdf")</f>
        <v>Melting_Curves/meltCurve_Q92945_KHSRP.pdf</v>
      </c>
    </row>
    <row r="4913" spans="1:28" x14ac:dyDescent="0.25">
      <c r="A4913" t="s">
        <v>4917</v>
      </c>
      <c r="B4913">
        <v>0.99252571173614901</v>
      </c>
      <c r="C4913">
        <v>0.96978358073175797</v>
      </c>
      <c r="D4913">
        <v>1.0117326735777199</v>
      </c>
      <c r="E4913">
        <v>0.876785712833828</v>
      </c>
      <c r="F4913">
        <v>0.83363081429824404</v>
      </c>
      <c r="G4913">
        <v>0.55396379365786497</v>
      </c>
      <c r="H4913">
        <v>0.274467945293001</v>
      </c>
      <c r="I4913">
        <v>0.17728862113816499</v>
      </c>
      <c r="J4913">
        <v>0.12767379329811501</v>
      </c>
      <c r="K4913">
        <v>9.6807978074859399E-2</v>
      </c>
      <c r="L4913">
        <v>1039.61616371579</v>
      </c>
      <c r="M4913">
        <v>18.227641391250799</v>
      </c>
      <c r="N4913">
        <v>57.465419858153197</v>
      </c>
      <c r="O4913">
        <v>56.361952995409403</v>
      </c>
      <c r="P4913">
        <v>-7.5697043407872505E-2</v>
      </c>
      <c r="Q4913">
        <v>6.37882918813652E-2</v>
      </c>
      <c r="R4913">
        <v>0.99471585510609895</v>
      </c>
      <c r="S4913" t="s">
        <v>11559</v>
      </c>
      <c r="T4913" t="s">
        <v>13290</v>
      </c>
      <c r="U4913" t="s">
        <v>13290</v>
      </c>
      <c r="V4913" t="s">
        <v>13290</v>
      </c>
      <c r="W4913" t="s">
        <v>18154</v>
      </c>
      <c r="X4913">
        <v>17</v>
      </c>
      <c r="Y4913" t="s">
        <v>24637</v>
      </c>
      <c r="Z4913" t="s">
        <v>31243</v>
      </c>
      <c r="AA4913">
        <v>0.60805580540992743</v>
      </c>
      <c r="AB4913" t="str">
        <f>HYPERLINK("Melting_Curves/meltCurve_Q92947_GCDH.pdf", "Melting_Curves/meltCurve_Q92947_GCDH.pdf")</f>
        <v>Melting_Curves/meltCurve_Q92947_GCDH.pdf</v>
      </c>
    </row>
    <row r="4914" spans="1:28" x14ac:dyDescent="0.25">
      <c r="A4914" t="s">
        <v>4918</v>
      </c>
      <c r="B4914">
        <v>0.99252571173614901</v>
      </c>
      <c r="C4914">
        <v>0.94301904855515695</v>
      </c>
      <c r="D4914">
        <v>0.82550857499143004</v>
      </c>
      <c r="E4914">
        <v>0.86994406477253805</v>
      </c>
      <c r="F4914">
        <v>0.63115469531008495</v>
      </c>
      <c r="G4914">
        <v>0.48780675340761498</v>
      </c>
      <c r="H4914">
        <v>0.38526476759397199</v>
      </c>
      <c r="I4914">
        <v>0.58052304144653699</v>
      </c>
      <c r="J4914">
        <v>1.08443120270953</v>
      </c>
      <c r="K4914">
        <v>0.92342162325793098</v>
      </c>
      <c r="L4914">
        <v>1034.4471298385699</v>
      </c>
      <c r="M4914">
        <v>22.332843037291401</v>
      </c>
      <c r="O4914">
        <v>45.952965068650002</v>
      </c>
      <c r="P4914">
        <v>-3.7296224895962203E-2</v>
      </c>
      <c r="Q4914">
        <v>0.69303761701365496</v>
      </c>
      <c r="R4914">
        <v>0.23596494108503899</v>
      </c>
      <c r="S4914" t="s">
        <v>11560</v>
      </c>
      <c r="T4914" t="s">
        <v>13290</v>
      </c>
      <c r="U4914" t="s">
        <v>13290</v>
      </c>
      <c r="V4914" t="s">
        <v>13290</v>
      </c>
      <c r="W4914" t="s">
        <v>18155</v>
      </c>
      <c r="X4914">
        <v>2</v>
      </c>
      <c r="Y4914" t="s">
        <v>24638</v>
      </c>
      <c r="Z4914" t="s">
        <v>31244</v>
      </c>
      <c r="AA4914">
        <v>0.76131473387477966</v>
      </c>
      <c r="AB4914" t="str">
        <f>HYPERLINK("Melting_Curves/meltCurve_Q92968_PEX13.pdf", "Melting_Curves/meltCurve_Q92968_PEX13.pdf")</f>
        <v>Melting_Curves/meltCurve_Q92968_PEX13.pdf</v>
      </c>
    </row>
    <row r="4915" spans="1:28" x14ac:dyDescent="0.25">
      <c r="A4915" t="s">
        <v>4919</v>
      </c>
      <c r="B4915">
        <v>0.99252571173614901</v>
      </c>
      <c r="C4915">
        <v>0.91858110181402897</v>
      </c>
      <c r="D4915">
        <v>0.72441026111219697</v>
      </c>
      <c r="E4915">
        <v>0.34272053836916999</v>
      </c>
      <c r="F4915">
        <v>0.12464561476625199</v>
      </c>
      <c r="G4915">
        <v>7.4389178430392694E-2</v>
      </c>
      <c r="H4915">
        <v>5.3883862407217098E-2</v>
      </c>
      <c r="I4915">
        <v>4.3467964050246298E-2</v>
      </c>
      <c r="J4915">
        <v>4.16336007384598E-2</v>
      </c>
      <c r="K4915">
        <v>3.5747623502556801E-2</v>
      </c>
      <c r="L4915">
        <v>1055.47236043149</v>
      </c>
      <c r="M4915">
        <v>22.0600671607896</v>
      </c>
      <c r="N4915">
        <v>48.025535477679597</v>
      </c>
      <c r="O4915">
        <v>47.457444178185</v>
      </c>
      <c r="P4915">
        <v>-0.111597471938364</v>
      </c>
      <c r="Q4915">
        <v>3.9710770381688097E-2</v>
      </c>
      <c r="R4915">
        <v>0.99974275152819403</v>
      </c>
      <c r="S4915" t="s">
        <v>11561</v>
      </c>
      <c r="T4915" t="s">
        <v>13290</v>
      </c>
      <c r="U4915" t="s">
        <v>13290</v>
      </c>
      <c r="V4915" t="s">
        <v>13290</v>
      </c>
      <c r="W4915" t="s">
        <v>18156</v>
      </c>
      <c r="X4915">
        <v>24</v>
      </c>
      <c r="Y4915" t="s">
        <v>24639</v>
      </c>
      <c r="Z4915" t="s">
        <v>31245</v>
      </c>
      <c r="AA4915">
        <v>0.30193953180270949</v>
      </c>
      <c r="AB4915" t="str">
        <f>HYPERLINK("Melting_Curves/meltCurve_Q92973_2_TNPO1.pdf", "Melting_Curves/meltCurve_Q92973_2_TNPO1.pdf")</f>
        <v>Melting_Curves/meltCurve_Q92973_2_TNPO1.pdf</v>
      </c>
    </row>
    <row r="4916" spans="1:28" x14ac:dyDescent="0.25">
      <c r="A4916" t="s">
        <v>4920</v>
      </c>
      <c r="B4916">
        <v>0.99252571173614901</v>
      </c>
      <c r="C4916">
        <v>1.19596912585805</v>
      </c>
      <c r="D4916">
        <v>1.2496690308498699</v>
      </c>
      <c r="E4916">
        <v>1.1555223528743299</v>
      </c>
      <c r="F4916">
        <v>1.16455903842612</v>
      </c>
      <c r="G4916">
        <v>0.94683894689196102</v>
      </c>
      <c r="H4916">
        <v>0.54076808666583298</v>
      </c>
      <c r="I4916">
        <v>0.23185721972255299</v>
      </c>
      <c r="J4916">
        <v>0.26133739649023602</v>
      </c>
      <c r="K4916">
        <v>0.25691856586512402</v>
      </c>
      <c r="L4916">
        <v>3569.9109712775098</v>
      </c>
      <c r="M4916">
        <v>59.191582607616503</v>
      </c>
      <c r="N4916">
        <v>60.996787589029097</v>
      </c>
      <c r="O4916">
        <v>60.242401165123503</v>
      </c>
      <c r="P4916">
        <v>-0.18595931288349399</v>
      </c>
      <c r="Q4916">
        <v>0.24295785687639301</v>
      </c>
      <c r="R4916">
        <v>0.90612360884106802</v>
      </c>
      <c r="S4916" t="s">
        <v>11562</v>
      </c>
      <c r="T4916" t="s">
        <v>13290</v>
      </c>
      <c r="U4916" t="s">
        <v>13290</v>
      </c>
      <c r="V4916" t="s">
        <v>13290</v>
      </c>
      <c r="W4916" t="s">
        <v>18157</v>
      </c>
      <c r="X4916">
        <v>12</v>
      </c>
      <c r="Y4916" t="s">
        <v>24640</v>
      </c>
      <c r="Z4916" t="s">
        <v>31246</v>
      </c>
      <c r="AA4916">
        <v>0.75692857273893321</v>
      </c>
      <c r="AB4916" t="str">
        <f>HYPERLINK("Melting_Curves/meltCurve_Q92979_EMG1.pdf", "Melting_Curves/meltCurve_Q92979_EMG1.pdf")</f>
        <v>Melting_Curves/meltCurve_Q92979_EMG1.pdf</v>
      </c>
    </row>
    <row r="4917" spans="1:28" x14ac:dyDescent="0.25">
      <c r="A4917" t="s">
        <v>4921</v>
      </c>
      <c r="B4917">
        <v>0.99252571173614901</v>
      </c>
      <c r="C4917">
        <v>1.03681637290832</v>
      </c>
      <c r="D4917">
        <v>0.99277309398830205</v>
      </c>
      <c r="E4917">
        <v>0.92493784720813998</v>
      </c>
      <c r="F4917">
        <v>0.28021491503136498</v>
      </c>
      <c r="G4917">
        <v>0.16135689981731899</v>
      </c>
      <c r="H4917">
        <v>0.114792764895251</v>
      </c>
      <c r="I4917">
        <v>0.14812366988469999</v>
      </c>
      <c r="J4917">
        <v>0.18327359119495101</v>
      </c>
      <c r="K4917">
        <v>0.12957416367574001</v>
      </c>
      <c r="L4917">
        <v>2935.65865590466</v>
      </c>
      <c r="M4917">
        <v>56.8568079907689</v>
      </c>
      <c r="N4917">
        <v>51.948774382154703</v>
      </c>
      <c r="O4917">
        <v>51.5687372758753</v>
      </c>
      <c r="P4917">
        <v>-0.23531007126627701</v>
      </c>
      <c r="Q4917">
        <v>0.146301947555493</v>
      </c>
      <c r="R4917">
        <v>0.99741085841611499</v>
      </c>
      <c r="S4917" t="s">
        <v>11563</v>
      </c>
      <c r="T4917" t="s">
        <v>13290</v>
      </c>
      <c r="U4917" t="s">
        <v>13290</v>
      </c>
      <c r="V4917" t="s">
        <v>13290</v>
      </c>
      <c r="W4917" t="s">
        <v>18158</v>
      </c>
      <c r="X4917">
        <v>14</v>
      </c>
      <c r="Y4917" t="s">
        <v>24641</v>
      </c>
      <c r="Z4917" t="s">
        <v>31247</v>
      </c>
      <c r="AA4917">
        <v>0.47882483441506812</v>
      </c>
      <c r="AB4917" t="str">
        <f>HYPERLINK("Melting_Curves/meltCurve_Q92990_GLMN.pdf", "Melting_Curves/meltCurve_Q92990_GLMN.pdf")</f>
        <v>Melting_Curves/meltCurve_Q92990_GLMN.pdf</v>
      </c>
    </row>
    <row r="4918" spans="1:28" x14ac:dyDescent="0.25">
      <c r="A4918" t="s">
        <v>4922</v>
      </c>
      <c r="B4918">
        <v>0.99252571173614901</v>
      </c>
      <c r="C4918">
        <v>0.93363231390910095</v>
      </c>
      <c r="D4918">
        <v>0.79066730346313396</v>
      </c>
      <c r="E4918">
        <v>0.42786073772093303</v>
      </c>
      <c r="F4918">
        <v>0.17461093229439201</v>
      </c>
      <c r="G4918">
        <v>9.6847404693003902E-2</v>
      </c>
      <c r="H4918">
        <v>7.3444637449873298E-2</v>
      </c>
      <c r="I4918">
        <v>7.6744902882078705E-2</v>
      </c>
      <c r="J4918">
        <v>9.4164214753106004E-2</v>
      </c>
      <c r="K4918">
        <v>8.2543653138797607E-2</v>
      </c>
      <c r="L4918">
        <v>1098.10303668496</v>
      </c>
      <c r="M4918">
        <v>22.657240928692499</v>
      </c>
      <c r="N4918">
        <v>48.8141339145036</v>
      </c>
      <c r="O4918">
        <v>48.093087627308002</v>
      </c>
      <c r="P4918">
        <v>-0.10899068765692101</v>
      </c>
      <c r="Q4918">
        <v>7.4628353700454494E-2</v>
      </c>
      <c r="R4918">
        <v>0.99916110048776496</v>
      </c>
      <c r="S4918" t="s">
        <v>11564</v>
      </c>
      <c r="T4918" t="s">
        <v>13290</v>
      </c>
      <c r="U4918" t="s">
        <v>13290</v>
      </c>
      <c r="V4918" t="s">
        <v>13290</v>
      </c>
      <c r="W4918" t="s">
        <v>18159</v>
      </c>
      <c r="X4918">
        <v>10</v>
      </c>
      <c r="Y4918" t="s">
        <v>24642</v>
      </c>
      <c r="Z4918" t="s">
        <v>31248</v>
      </c>
      <c r="AA4918">
        <v>0.34581628812123572</v>
      </c>
      <c r="AB4918" t="str">
        <f>HYPERLINK("Melting_Curves/meltCurve_Q92995_USP13.pdf", "Melting_Curves/meltCurve_Q92995_USP13.pdf")</f>
        <v>Melting_Curves/meltCurve_Q92995_USP13.pdf</v>
      </c>
    </row>
    <row r="4919" spans="1:28" x14ac:dyDescent="0.25">
      <c r="A4919" t="s">
        <v>4923</v>
      </c>
      <c r="B4919">
        <v>0.99252571173614901</v>
      </c>
      <c r="C4919">
        <v>0.90058708419988798</v>
      </c>
      <c r="D4919">
        <v>0.99674802181968403</v>
      </c>
      <c r="E4919">
        <v>0.62682792865040404</v>
      </c>
      <c r="F4919">
        <v>0.26315961124555998</v>
      </c>
      <c r="G4919">
        <v>0.16933834529485001</v>
      </c>
      <c r="H4919">
        <v>0.12953224078204401</v>
      </c>
      <c r="I4919">
        <v>0.140132560260399</v>
      </c>
      <c r="J4919">
        <v>0.18170123927261</v>
      </c>
      <c r="K4919">
        <v>0.17631311143676701</v>
      </c>
      <c r="L4919">
        <v>1747.80537334265</v>
      </c>
      <c r="M4919">
        <v>34.961513661090201</v>
      </c>
      <c r="N4919">
        <v>50.542584866303301</v>
      </c>
      <c r="O4919">
        <v>49.829550973792898</v>
      </c>
      <c r="P4919">
        <v>-0.14763999746804099</v>
      </c>
      <c r="Q4919">
        <v>0.15829623932692299</v>
      </c>
      <c r="R4919">
        <v>0.98980785293631601</v>
      </c>
      <c r="S4919" t="s">
        <v>11565</v>
      </c>
      <c r="T4919" t="s">
        <v>13290</v>
      </c>
      <c r="U4919" t="s">
        <v>13290</v>
      </c>
      <c r="V4919" t="s">
        <v>13290</v>
      </c>
      <c r="W4919" t="s">
        <v>18160</v>
      </c>
      <c r="X4919">
        <v>10</v>
      </c>
      <c r="Y4919" t="s">
        <v>24643</v>
      </c>
      <c r="Z4919" t="s">
        <v>31249</v>
      </c>
      <c r="AA4919">
        <v>0.44246627940539418</v>
      </c>
      <c r="AB4919" t="str">
        <f>HYPERLINK("Melting_Curves/meltCurve_Q93008_1_USP9X.pdf", "Melting_Curves/meltCurve_Q93008_1_USP9X.pdf")</f>
        <v>Melting_Curves/meltCurve_Q93008_1_USP9X.pdf</v>
      </c>
    </row>
    <row r="4920" spans="1:28" x14ac:dyDescent="0.25">
      <c r="A4920" t="s">
        <v>4924</v>
      </c>
      <c r="B4920">
        <v>0.99252571173614901</v>
      </c>
      <c r="C4920">
        <v>0.92104215387155897</v>
      </c>
      <c r="D4920">
        <v>0.39064174110434402</v>
      </c>
      <c r="E4920">
        <v>0.17721538093639799</v>
      </c>
      <c r="F4920">
        <v>0.12080666528719</v>
      </c>
      <c r="G4920">
        <v>7.6888357012803304E-2</v>
      </c>
      <c r="H4920">
        <v>8.65353722745036E-2</v>
      </c>
      <c r="I4920">
        <v>0.118843983445131</v>
      </c>
      <c r="J4920">
        <v>0.16565419260700601</v>
      </c>
      <c r="K4920">
        <v>0.17463878058405599</v>
      </c>
      <c r="L4920">
        <v>1925.56518091717</v>
      </c>
      <c r="M4920">
        <v>42.671484000731802</v>
      </c>
      <c r="N4920">
        <v>45.440669320964403</v>
      </c>
      <c r="O4920">
        <v>45.026570485432899</v>
      </c>
      <c r="P4920">
        <v>-0.20656321385277299</v>
      </c>
      <c r="Q4920">
        <v>0.128146729886258</v>
      </c>
      <c r="R4920">
        <v>0.99150488987617302</v>
      </c>
      <c r="S4920" t="s">
        <v>11566</v>
      </c>
      <c r="T4920" t="s">
        <v>13290</v>
      </c>
      <c r="U4920" t="s">
        <v>13290</v>
      </c>
      <c r="V4920" t="s">
        <v>13290</v>
      </c>
      <c r="W4920" t="s">
        <v>18161</v>
      </c>
      <c r="X4920">
        <v>4</v>
      </c>
      <c r="Y4920" t="s">
        <v>24644</v>
      </c>
      <c r="Z4920" t="s">
        <v>31250</v>
      </c>
      <c r="AA4920">
        <v>0.27958363145172649</v>
      </c>
      <c r="AB4920" t="str">
        <f>HYPERLINK("Melting_Curves/meltCurve_Q93015_2_NAT6.pdf", "Melting_Curves/meltCurve_Q93015_2_NAT6.pdf")</f>
        <v>Melting_Curves/meltCurve_Q93015_2_NAT6.pdf</v>
      </c>
    </row>
    <row r="4921" spans="1:28" x14ac:dyDescent="0.25">
      <c r="A4921" t="s">
        <v>4925</v>
      </c>
      <c r="B4921">
        <v>0.99252571173614901</v>
      </c>
      <c r="C4921">
        <v>0.91489344467127598</v>
      </c>
      <c r="D4921">
        <v>1.07050694575836</v>
      </c>
      <c r="E4921">
        <v>1.07196209699406</v>
      </c>
      <c r="F4921">
        <v>1.11153863703617</v>
      </c>
      <c r="G4921">
        <v>0.54214295582279404</v>
      </c>
      <c r="H4921">
        <v>0.110277692374242</v>
      </c>
      <c r="I4921">
        <v>0.10867771305042701</v>
      </c>
      <c r="J4921">
        <v>9.8910387655475801E-2</v>
      </c>
      <c r="K4921">
        <v>9.1131469079886701E-2</v>
      </c>
      <c r="L4921">
        <v>14197.7266432424</v>
      </c>
      <c r="M4921">
        <v>250</v>
      </c>
      <c r="N4921">
        <v>56.842935803829199</v>
      </c>
      <c r="O4921">
        <v>56.787296291495799</v>
      </c>
      <c r="P4921">
        <v>-0.98806328307084701</v>
      </c>
      <c r="Q4921">
        <v>0.102249298770985</v>
      </c>
      <c r="R4921">
        <v>0.98456742433131705</v>
      </c>
      <c r="S4921" t="s">
        <v>11567</v>
      </c>
      <c r="T4921" t="s">
        <v>13290</v>
      </c>
      <c r="U4921" t="s">
        <v>13290</v>
      </c>
      <c r="V4921" t="s">
        <v>13290</v>
      </c>
      <c r="W4921" t="s">
        <v>18162</v>
      </c>
      <c r="X4921">
        <v>26</v>
      </c>
      <c r="Y4921" t="s">
        <v>24645</v>
      </c>
      <c r="Z4921" t="s">
        <v>31251</v>
      </c>
      <c r="AA4921">
        <v>0.60480704670303853</v>
      </c>
      <c r="AB4921" t="str">
        <f>HYPERLINK("Melting_Curves/meltCurve_Q93034_CUL5.pdf", "Melting_Curves/meltCurve_Q93034_CUL5.pdf")</f>
        <v>Melting_Curves/meltCurve_Q93034_CUL5.pdf</v>
      </c>
    </row>
    <row r="4922" spans="1:28" x14ac:dyDescent="0.25">
      <c r="A4922" t="s">
        <v>4926</v>
      </c>
      <c r="B4922">
        <v>0.99252571173614901</v>
      </c>
      <c r="C4922">
        <v>1.0763927006674501</v>
      </c>
      <c r="D4922">
        <v>0.99834978901910798</v>
      </c>
      <c r="E4922">
        <v>0.99837461606147904</v>
      </c>
      <c r="F4922">
        <v>0.76175477561683802</v>
      </c>
      <c r="G4922">
        <v>0.62058105251440199</v>
      </c>
      <c r="H4922">
        <v>0.45317019261001501</v>
      </c>
      <c r="I4922">
        <v>0.25888640913904298</v>
      </c>
      <c r="J4922">
        <v>0.229630291658627</v>
      </c>
      <c r="K4922">
        <v>0.24451646021637599</v>
      </c>
      <c r="L4922">
        <v>956.02375750760598</v>
      </c>
      <c r="M4922">
        <v>16.719134868457399</v>
      </c>
      <c r="N4922">
        <v>58.795960517887899</v>
      </c>
      <c r="O4922">
        <v>56.382154882945898</v>
      </c>
      <c r="P4922">
        <v>-6.04907485676274E-2</v>
      </c>
      <c r="Q4922">
        <v>0.184078903069544</v>
      </c>
      <c r="R4922">
        <v>0.98329197194519402</v>
      </c>
      <c r="S4922" t="s">
        <v>11568</v>
      </c>
      <c r="T4922" t="s">
        <v>13290</v>
      </c>
      <c r="U4922" t="s">
        <v>13290</v>
      </c>
      <c r="V4922" t="s">
        <v>13290</v>
      </c>
      <c r="W4922" t="s">
        <v>18163</v>
      </c>
      <c r="X4922">
        <v>26</v>
      </c>
      <c r="Y4922" t="s">
        <v>24646</v>
      </c>
      <c r="Z4922" t="s">
        <v>31252</v>
      </c>
      <c r="AA4922">
        <v>0.66310448446787607</v>
      </c>
      <c r="AB4922" t="str">
        <f>HYPERLINK("Melting_Curves/meltCurve_Q93052_LPP.pdf", "Melting_Curves/meltCurve_Q93052_LPP.pdf")</f>
        <v>Melting_Curves/meltCurve_Q93052_LPP.pdf</v>
      </c>
    </row>
    <row r="4923" spans="1:28" x14ac:dyDescent="0.25">
      <c r="A4923" t="s">
        <v>4927</v>
      </c>
      <c r="B4923">
        <v>0.99252571173614901</v>
      </c>
      <c r="C4923">
        <v>0.98320661623836902</v>
      </c>
      <c r="D4923">
        <v>0.88576333517712802</v>
      </c>
      <c r="E4923">
        <v>0.90898587990924795</v>
      </c>
      <c r="F4923">
        <v>0.75416322508570799</v>
      </c>
      <c r="G4923">
        <v>0.59396303972619102</v>
      </c>
      <c r="H4923">
        <v>0.55548100964004998</v>
      </c>
      <c r="I4923">
        <v>0.607172479289105</v>
      </c>
      <c r="J4923">
        <v>0.92750884472881001</v>
      </c>
      <c r="K4923">
        <v>0.86051286631476898</v>
      </c>
      <c r="S4923" t="s">
        <v>11569</v>
      </c>
      <c r="T4923" t="s">
        <v>13290</v>
      </c>
      <c r="U4923" t="s">
        <v>13291</v>
      </c>
      <c r="V4923" t="s">
        <v>13290</v>
      </c>
      <c r="W4923" t="s">
        <v>18164</v>
      </c>
      <c r="X4923">
        <v>3</v>
      </c>
      <c r="Y4923" t="s">
        <v>24647</v>
      </c>
      <c r="Z4923" t="s">
        <v>31253</v>
      </c>
      <c r="AB4923" t="str">
        <f>HYPERLINK("Melting_Curves/meltCurve_Q93075_TATDN2.pdf", "Melting_Curves/meltCurve_Q93075_TATDN2.pdf")</f>
        <v>Melting_Curves/meltCurve_Q93075_TATDN2.pdf</v>
      </c>
    </row>
    <row r="4924" spans="1:28" x14ac:dyDescent="0.25">
      <c r="A4924" t="s">
        <v>4928</v>
      </c>
      <c r="B4924">
        <v>0.99252571173614901</v>
      </c>
      <c r="C4924">
        <v>1.0114689515125399</v>
      </c>
      <c r="D4924">
        <v>0.90337124421686998</v>
      </c>
      <c r="E4924">
        <v>0.75886956370477998</v>
      </c>
      <c r="F4924">
        <v>0.73745320436087503</v>
      </c>
      <c r="G4924">
        <v>0.54168248473601399</v>
      </c>
      <c r="H4924">
        <v>0.68913678629303199</v>
      </c>
      <c r="I4924">
        <v>1.0785119195878801</v>
      </c>
      <c r="J4924">
        <v>1.8625334204292501</v>
      </c>
      <c r="K4924">
        <v>1.8815124434019099</v>
      </c>
      <c r="L4924">
        <v>15000</v>
      </c>
      <c r="M4924">
        <v>232.69879808808199</v>
      </c>
      <c r="O4924">
        <v>64.456226084287593</v>
      </c>
      <c r="P4924">
        <v>0.45127275354871299</v>
      </c>
      <c r="Q4924">
        <v>1.5</v>
      </c>
      <c r="R4924">
        <v>0.63053227094740105</v>
      </c>
      <c r="S4924" t="s">
        <v>11570</v>
      </c>
      <c r="T4924" t="s">
        <v>13290</v>
      </c>
      <c r="U4924" t="s">
        <v>13290</v>
      </c>
      <c r="V4924" t="s">
        <v>13290</v>
      </c>
      <c r="W4924" t="s">
        <v>18165</v>
      </c>
      <c r="X4924">
        <v>7</v>
      </c>
      <c r="Y4924" t="s">
        <v>24648</v>
      </c>
      <c r="Z4924" t="s">
        <v>31254</v>
      </c>
      <c r="AA4924">
        <v>1.092251177821485</v>
      </c>
      <c r="AB4924" t="str">
        <f>HYPERLINK("Melting_Curves/meltCurve_Q93077_HIST1H2AC.pdf", "Melting_Curves/meltCurve_Q93077_HIST1H2AC.pdf")</f>
        <v>Melting_Curves/meltCurve_Q93077_HIST1H2AC.pdf</v>
      </c>
    </row>
    <row r="4925" spans="1:28" x14ac:dyDescent="0.25">
      <c r="A4925" t="s">
        <v>4929</v>
      </c>
      <c r="B4925">
        <v>0.99252571173614901</v>
      </c>
      <c r="C4925">
        <v>0.80621686393977299</v>
      </c>
      <c r="D4925">
        <v>0.81057035072509298</v>
      </c>
      <c r="E4925">
        <v>0.64840661637800401</v>
      </c>
      <c r="F4925">
        <v>0.61310041792270198</v>
      </c>
      <c r="G4925">
        <v>0.49394125925822902</v>
      </c>
      <c r="H4925">
        <v>0.400843411993757</v>
      </c>
      <c r="I4925">
        <v>0.53085981053465803</v>
      </c>
      <c r="J4925">
        <v>0.76097811446945396</v>
      </c>
      <c r="K4925">
        <v>0.57932207553417803</v>
      </c>
      <c r="L4925">
        <v>747.58403063987703</v>
      </c>
      <c r="M4925">
        <v>16.445121282124301</v>
      </c>
      <c r="O4925">
        <v>44.8030671003309</v>
      </c>
      <c r="P4925">
        <v>-4.08323407648764E-2</v>
      </c>
      <c r="Q4925">
        <v>0.55505702619046404</v>
      </c>
      <c r="R4925">
        <v>0.70301122095591695</v>
      </c>
      <c r="S4925" t="s">
        <v>11571</v>
      </c>
      <c r="T4925" t="s">
        <v>13290</v>
      </c>
      <c r="U4925" t="s">
        <v>13290</v>
      </c>
      <c r="V4925" t="s">
        <v>13290</v>
      </c>
      <c r="W4925" t="s">
        <v>18166</v>
      </c>
      <c r="X4925">
        <v>1</v>
      </c>
      <c r="Y4925" t="s">
        <v>24649</v>
      </c>
      <c r="Z4925" t="s">
        <v>31255</v>
      </c>
      <c r="AA4925">
        <v>0.64721601326584954</v>
      </c>
      <c r="AB4925" t="str">
        <f>HYPERLINK("Melting_Curves/meltCurve_Q969E2_2_SCAMP4.pdf", "Melting_Curves/meltCurve_Q969E2_2_SCAMP4.pdf")</f>
        <v>Melting_Curves/meltCurve_Q969E2_2_SCAMP4.pdf</v>
      </c>
    </row>
    <row r="4926" spans="1:28" x14ac:dyDescent="0.25">
      <c r="A4926" t="s">
        <v>4930</v>
      </c>
      <c r="B4926">
        <v>0.99252571173614901</v>
      </c>
      <c r="C4926">
        <v>1.10960423061864</v>
      </c>
      <c r="D4926">
        <v>0.98444102332990302</v>
      </c>
      <c r="E4926">
        <v>0.98539188565750802</v>
      </c>
      <c r="F4926">
        <v>0.89800881410028799</v>
      </c>
      <c r="G4926">
        <v>0.72970240842749701</v>
      </c>
      <c r="H4926">
        <v>0.83504136550738095</v>
      </c>
      <c r="I4926">
        <v>1.1441965383167301</v>
      </c>
      <c r="J4926">
        <v>1.700530814338</v>
      </c>
      <c r="K4926">
        <v>1.94573705930902</v>
      </c>
      <c r="L4926">
        <v>15000</v>
      </c>
      <c r="M4926">
        <v>233.47225060032599</v>
      </c>
      <c r="O4926">
        <v>64.242741630441799</v>
      </c>
      <c r="P4926">
        <v>0.45427743075186999</v>
      </c>
      <c r="Q4926">
        <v>1.5</v>
      </c>
      <c r="R4926">
        <v>0.73247769354619696</v>
      </c>
      <c r="S4926" t="s">
        <v>11572</v>
      </c>
      <c r="T4926" t="s">
        <v>13290</v>
      </c>
      <c r="U4926" t="s">
        <v>13290</v>
      </c>
      <c r="V4926" t="s">
        <v>13290</v>
      </c>
      <c r="W4926" t="s">
        <v>18167</v>
      </c>
      <c r="X4926">
        <v>11</v>
      </c>
      <c r="Y4926" t="s">
        <v>24650</v>
      </c>
      <c r="Z4926" t="s">
        <v>31256</v>
      </c>
      <c r="AA4926">
        <v>1.0958109579308939</v>
      </c>
      <c r="AB4926" t="str">
        <f>HYPERLINK("Melting_Curves/meltCurve_Q969E4_TCEAL3.pdf", "Melting_Curves/meltCurve_Q969E4_TCEAL3.pdf")</f>
        <v>Melting_Curves/meltCurve_Q969E4_TCEAL3.pdf</v>
      </c>
    </row>
    <row r="4927" spans="1:28" x14ac:dyDescent="0.25">
      <c r="A4927" t="s">
        <v>4931</v>
      </c>
      <c r="B4927">
        <v>0.99252571173614901</v>
      </c>
      <c r="C4927">
        <v>1.1770386166034199</v>
      </c>
      <c r="D4927">
        <v>0.96707341111336897</v>
      </c>
      <c r="E4927">
        <v>0.89877634924374294</v>
      </c>
      <c r="F4927">
        <v>0.33090398766146201</v>
      </c>
      <c r="G4927">
        <v>0.23102944102137499</v>
      </c>
      <c r="H4927">
        <v>0.28586704867740298</v>
      </c>
      <c r="I4927">
        <v>0.41474134572584398</v>
      </c>
      <c r="J4927">
        <v>0.69392135690469403</v>
      </c>
      <c r="K4927">
        <v>0.86500219667892198</v>
      </c>
      <c r="L4927">
        <v>12471.574362506401</v>
      </c>
      <c r="M4927">
        <v>250</v>
      </c>
      <c r="N4927">
        <v>50.455757939666697</v>
      </c>
      <c r="O4927">
        <v>49.883105523293601</v>
      </c>
      <c r="P4927">
        <v>-0.66374649434342503</v>
      </c>
      <c r="Q4927">
        <v>0.47024422287416401</v>
      </c>
      <c r="R4927">
        <v>0.66731134365005196</v>
      </c>
      <c r="S4927" t="s">
        <v>11573</v>
      </c>
      <c r="T4927" t="s">
        <v>13290</v>
      </c>
      <c r="U4927" t="s">
        <v>13290</v>
      </c>
      <c r="V4927" t="s">
        <v>13290</v>
      </c>
      <c r="W4927" t="s">
        <v>18168</v>
      </c>
      <c r="X4927">
        <v>2</v>
      </c>
      <c r="Y4927" t="s">
        <v>24651</v>
      </c>
      <c r="Z4927" t="s">
        <v>31257</v>
      </c>
      <c r="AA4927">
        <v>0.64486804243845997</v>
      </c>
      <c r="AB4927" t="str">
        <f>HYPERLINK("Melting_Curves/meltCurve_Q969E8_TSR2.pdf", "Melting_Curves/meltCurve_Q969E8_TSR2.pdf")</f>
        <v>Melting_Curves/meltCurve_Q969E8_TSR2.pdf</v>
      </c>
    </row>
    <row r="4928" spans="1:28" x14ac:dyDescent="0.25">
      <c r="A4928" t="s">
        <v>4932</v>
      </c>
      <c r="B4928">
        <v>0.99252571173614901</v>
      </c>
      <c r="C4928">
        <v>1.1132072331790299</v>
      </c>
      <c r="D4928">
        <v>1.0077086391360499</v>
      </c>
      <c r="E4928">
        <v>0.84630459630883703</v>
      </c>
      <c r="F4928">
        <v>0.58424339862584096</v>
      </c>
      <c r="G4928">
        <v>0.248392798488966</v>
      </c>
      <c r="H4928">
        <v>4.3750572344339302E-2</v>
      </c>
      <c r="I4928">
        <v>4.2770510575791502E-2</v>
      </c>
      <c r="J4928">
        <v>3.4500114580963498E-2</v>
      </c>
      <c r="K4928">
        <v>3.2789321065391397E-2</v>
      </c>
      <c r="L4928">
        <v>1254.12262242509</v>
      </c>
      <c r="M4928">
        <v>23.312057267508798</v>
      </c>
      <c r="N4928">
        <v>53.873949915679098</v>
      </c>
      <c r="O4928">
        <v>53.405989618191398</v>
      </c>
      <c r="P4928">
        <v>-0.107345476856502</v>
      </c>
      <c r="Q4928">
        <v>1.6339114518844299E-2</v>
      </c>
      <c r="R4928">
        <v>0.99113195826712097</v>
      </c>
      <c r="S4928" t="s">
        <v>11574</v>
      </c>
      <c r="T4928" t="s">
        <v>13290</v>
      </c>
      <c r="U4928" t="s">
        <v>13290</v>
      </c>
      <c r="V4928" t="s">
        <v>13290</v>
      </c>
      <c r="W4928" t="s">
        <v>18169</v>
      </c>
      <c r="X4928">
        <v>4</v>
      </c>
      <c r="Y4928" t="s">
        <v>24652</v>
      </c>
      <c r="Z4928" t="s">
        <v>31258</v>
      </c>
      <c r="AA4928">
        <v>0.47905151096961729</v>
      </c>
      <c r="AB4928" t="str">
        <f>HYPERLINK("Melting_Curves/meltCurve_Q969G6_RFK.pdf", "Melting_Curves/meltCurve_Q969G6_RFK.pdf")</f>
        <v>Melting_Curves/meltCurve_Q969G6_RFK.pdf</v>
      </c>
    </row>
    <row r="4929" spans="1:28" x14ac:dyDescent="0.25">
      <c r="A4929" t="s">
        <v>4933</v>
      </c>
      <c r="B4929">
        <v>0.99252571173614901</v>
      </c>
      <c r="C4929">
        <v>1.0127041018601399</v>
      </c>
      <c r="D4929">
        <v>0.91810462932372805</v>
      </c>
      <c r="E4929">
        <v>0.85286117997215005</v>
      </c>
      <c r="F4929">
        <v>0.73825581482039404</v>
      </c>
      <c r="G4929">
        <v>0.45759793734346299</v>
      </c>
      <c r="H4929">
        <v>0.32422061452511203</v>
      </c>
      <c r="I4929">
        <v>0.27620905907598498</v>
      </c>
      <c r="J4929">
        <v>0.35401394329653502</v>
      </c>
      <c r="K4929">
        <v>0.31002147179366502</v>
      </c>
      <c r="L4929">
        <v>1052.9465994096399</v>
      </c>
      <c r="M4929">
        <v>19.560279490934899</v>
      </c>
      <c r="N4929">
        <v>56.2924485024106</v>
      </c>
      <c r="O4929">
        <v>53.2776867902598</v>
      </c>
      <c r="P4929">
        <v>-6.5405114283201796E-2</v>
      </c>
      <c r="Q4929">
        <v>0.28743158237515198</v>
      </c>
      <c r="R4929">
        <v>0.98391927169259796</v>
      </c>
      <c r="S4929" t="s">
        <v>11575</v>
      </c>
      <c r="T4929" t="s">
        <v>13290</v>
      </c>
      <c r="U4929" t="s">
        <v>13290</v>
      </c>
      <c r="V4929" t="s">
        <v>13290</v>
      </c>
      <c r="W4929" t="s">
        <v>18170</v>
      </c>
      <c r="X4929">
        <v>2</v>
      </c>
      <c r="Y4929" t="s">
        <v>24653</v>
      </c>
      <c r="Z4929" t="s">
        <v>31259</v>
      </c>
      <c r="AA4929">
        <v>0.62601031772386817</v>
      </c>
      <c r="AB4929" t="str">
        <f>HYPERLINK("Melting_Curves/meltCurve_Q969H6_2_POP5.pdf", "Melting_Curves/meltCurve_Q969H6_2_POP5.pdf")</f>
        <v>Melting_Curves/meltCurve_Q969H6_2_POP5.pdf</v>
      </c>
    </row>
    <row r="4930" spans="1:28" x14ac:dyDescent="0.25">
      <c r="A4930" t="s">
        <v>4934</v>
      </c>
      <c r="B4930">
        <v>0.99252571173614901</v>
      </c>
      <c r="C4930">
        <v>1.08932662545339</v>
      </c>
      <c r="D4930">
        <v>1.0231361378903401</v>
      </c>
      <c r="E4930">
        <v>0.94882822962157698</v>
      </c>
      <c r="F4930">
        <v>0.87420955171174397</v>
      </c>
      <c r="G4930">
        <v>0.76242364350242198</v>
      </c>
      <c r="H4930">
        <v>0.49077883679301298</v>
      </c>
      <c r="I4930">
        <v>0.19446757600742401</v>
      </c>
      <c r="J4930">
        <v>0.154259290929711</v>
      </c>
      <c r="K4930">
        <v>0.118446613168569</v>
      </c>
      <c r="L4930">
        <v>1128.9544644395</v>
      </c>
      <c r="M4930">
        <v>18.853433565799399</v>
      </c>
      <c r="N4930">
        <v>60.126611223760598</v>
      </c>
      <c r="O4930">
        <v>59.219095925130603</v>
      </c>
      <c r="P4930">
        <v>-7.6640328880898695E-2</v>
      </c>
      <c r="Q4930">
        <v>3.7123002532531903E-2</v>
      </c>
      <c r="R4930">
        <v>0.98663979387565703</v>
      </c>
      <c r="S4930" t="s">
        <v>11576</v>
      </c>
      <c r="T4930" t="s">
        <v>13290</v>
      </c>
      <c r="U4930" t="s">
        <v>13290</v>
      </c>
      <c r="V4930" t="s">
        <v>13290</v>
      </c>
      <c r="W4930" t="s">
        <v>18171</v>
      </c>
      <c r="X4930">
        <v>6</v>
      </c>
      <c r="Y4930" t="s">
        <v>24654</v>
      </c>
      <c r="Z4930" t="s">
        <v>31260</v>
      </c>
      <c r="AA4930">
        <v>0.6835234508376572</v>
      </c>
      <c r="AB4930" t="str">
        <f>HYPERLINK("Melting_Curves/meltCurve_Q969H8_C19orf10.pdf", "Melting_Curves/meltCurve_Q969H8_C19orf10.pdf")</f>
        <v>Melting_Curves/meltCurve_Q969H8_C19orf10.pdf</v>
      </c>
    </row>
    <row r="4931" spans="1:28" x14ac:dyDescent="0.25">
      <c r="A4931" t="s">
        <v>4935</v>
      </c>
      <c r="B4931">
        <v>0.99252571173614901</v>
      </c>
      <c r="C4931">
        <v>0.93042687392812295</v>
      </c>
      <c r="D4931">
        <v>0.80302713484612298</v>
      </c>
      <c r="E4931">
        <v>0.71106962350894998</v>
      </c>
      <c r="F4931">
        <v>0.81859860206408197</v>
      </c>
      <c r="G4931">
        <v>0.77646782362736899</v>
      </c>
      <c r="H4931">
        <v>0.61398251651379099</v>
      </c>
      <c r="I4931">
        <v>0.82891516959710199</v>
      </c>
      <c r="J4931">
        <v>1.36937949661828</v>
      </c>
      <c r="K4931">
        <v>1.15016623464936</v>
      </c>
      <c r="L4931">
        <v>15000</v>
      </c>
      <c r="M4931">
        <v>228.739494845916</v>
      </c>
      <c r="O4931">
        <v>65.571769376211094</v>
      </c>
      <c r="P4931">
        <v>0.22663917502917799</v>
      </c>
      <c r="Q4931">
        <v>1.25987871819157</v>
      </c>
      <c r="R4931">
        <v>7.4488954730877993E-2</v>
      </c>
      <c r="S4931" t="s">
        <v>11577</v>
      </c>
      <c r="T4931" t="s">
        <v>13290</v>
      </c>
      <c r="U4931" t="s">
        <v>13290</v>
      </c>
      <c r="V4931" t="s">
        <v>13290</v>
      </c>
      <c r="W4931" t="s">
        <v>18172</v>
      </c>
      <c r="X4931">
        <v>1</v>
      </c>
      <c r="Y4931" t="s">
        <v>24655</v>
      </c>
      <c r="Z4931" t="s">
        <v>31261</v>
      </c>
      <c r="AA4931">
        <v>1.038280947057024</v>
      </c>
      <c r="AB4931" t="str">
        <f>HYPERLINK("Melting_Curves/meltCurve_Q969L2_MAL2.pdf", "Melting_Curves/meltCurve_Q969L2_MAL2.pdf")</f>
        <v>Melting_Curves/meltCurve_Q969L2_MAL2.pdf</v>
      </c>
    </row>
    <row r="4932" spans="1:28" x14ac:dyDescent="0.25">
      <c r="A4932" t="s">
        <v>4936</v>
      </c>
      <c r="B4932">
        <v>0.99252571173614901</v>
      </c>
      <c r="C4932">
        <v>0.83024357451163699</v>
      </c>
      <c r="D4932">
        <v>0.76997151777835504</v>
      </c>
      <c r="E4932">
        <v>0.56076578848762304</v>
      </c>
      <c r="F4932">
        <v>0.360190321417794</v>
      </c>
      <c r="G4932">
        <v>0.248027476946033</v>
      </c>
      <c r="H4932">
        <v>0.16569606333026099</v>
      </c>
      <c r="I4932">
        <v>0.14486731034751299</v>
      </c>
      <c r="J4932">
        <v>0.13908230395311399</v>
      </c>
      <c r="K4932">
        <v>0.10553742511238499</v>
      </c>
      <c r="L4932">
        <v>604.29008572796499</v>
      </c>
      <c r="M4932">
        <v>12.1566917415951</v>
      </c>
      <c r="N4932">
        <v>50.490356761395702</v>
      </c>
      <c r="O4932">
        <v>48.420712288131803</v>
      </c>
      <c r="P4932">
        <v>-5.7393626590103899E-2</v>
      </c>
      <c r="Q4932">
        <v>8.5802816839514601E-2</v>
      </c>
      <c r="R4932">
        <v>0.99459667872221802</v>
      </c>
      <c r="S4932" t="s">
        <v>11578</v>
      </c>
      <c r="T4932" t="s">
        <v>13290</v>
      </c>
      <c r="U4932" t="s">
        <v>13290</v>
      </c>
      <c r="V4932" t="s">
        <v>13290</v>
      </c>
      <c r="W4932" t="s">
        <v>18173</v>
      </c>
      <c r="X4932">
        <v>2</v>
      </c>
      <c r="Y4932" t="s">
        <v>24656</v>
      </c>
      <c r="Z4932" t="s">
        <v>31262</v>
      </c>
      <c r="AA4932">
        <v>0.41318227569256849</v>
      </c>
      <c r="AB4932" t="str">
        <f>HYPERLINK("Melting_Curves/meltCurve_Q969M3_YIPF5.pdf", "Melting_Curves/meltCurve_Q969M3_YIPF5.pdf")</f>
        <v>Melting_Curves/meltCurve_Q969M3_YIPF5.pdf</v>
      </c>
    </row>
    <row r="4933" spans="1:28" x14ac:dyDescent="0.25">
      <c r="A4933" t="s">
        <v>4937</v>
      </c>
      <c r="B4933">
        <v>0.99252571173614901</v>
      </c>
      <c r="C4933">
        <v>0.83601787594537502</v>
      </c>
      <c r="D4933">
        <v>0.93930787966955398</v>
      </c>
      <c r="E4933">
        <v>0.81465298976502398</v>
      </c>
      <c r="F4933">
        <v>0.22534831841315101</v>
      </c>
      <c r="G4933">
        <v>0.128018698223098</v>
      </c>
      <c r="H4933">
        <v>8.9260107016539497E-2</v>
      </c>
      <c r="I4933">
        <v>8.4856977706628603E-2</v>
      </c>
      <c r="J4933">
        <v>0.106070238845089</v>
      </c>
      <c r="K4933">
        <v>8.9937837894207506E-2</v>
      </c>
      <c r="L4933">
        <v>2214.9156112536998</v>
      </c>
      <c r="M4933">
        <v>43.351212176644601</v>
      </c>
      <c r="N4933">
        <v>51.3446140689855</v>
      </c>
      <c r="O4933">
        <v>50.983995263311101</v>
      </c>
      <c r="P4933">
        <v>-0.192183315972032</v>
      </c>
      <c r="Q4933">
        <v>9.5918379374133597E-2</v>
      </c>
      <c r="R4933">
        <v>0.97930008844312499</v>
      </c>
      <c r="S4933" t="s">
        <v>11579</v>
      </c>
      <c r="T4933" t="s">
        <v>13290</v>
      </c>
      <c r="U4933" t="s">
        <v>13290</v>
      </c>
      <c r="V4933" t="s">
        <v>13290</v>
      </c>
      <c r="W4933" t="s">
        <v>18174</v>
      </c>
      <c r="X4933">
        <v>7</v>
      </c>
      <c r="Y4933" t="s">
        <v>24657</v>
      </c>
      <c r="Z4933" t="s">
        <v>31263</v>
      </c>
      <c r="AA4933">
        <v>0.43291331758600698</v>
      </c>
      <c r="AB4933" t="str">
        <f>HYPERLINK("Melting_Curves/meltCurve_Q969N2_4_PIGT.pdf", "Melting_Curves/meltCurve_Q969N2_4_PIGT.pdf")</f>
        <v>Melting_Curves/meltCurve_Q969N2_4_PIGT.pdf</v>
      </c>
    </row>
    <row r="4934" spans="1:28" x14ac:dyDescent="0.25">
      <c r="A4934" t="s">
        <v>4938</v>
      </c>
      <c r="B4934">
        <v>0.99252571173614901</v>
      </c>
      <c r="C4934">
        <v>0.97501248546484098</v>
      </c>
      <c r="D4934">
        <v>0.91718572013236299</v>
      </c>
      <c r="E4934">
        <v>1.00562485602402</v>
      </c>
      <c r="F4934">
        <v>0.78012989309777303</v>
      </c>
      <c r="G4934">
        <v>0.55335715647933403</v>
      </c>
      <c r="H4934">
        <v>0.39397424953363702</v>
      </c>
      <c r="I4934">
        <v>0.26701026160774599</v>
      </c>
      <c r="J4934">
        <v>0.31014223236400401</v>
      </c>
      <c r="K4934">
        <v>0.23729072606281201</v>
      </c>
      <c r="L4934">
        <v>1135.36989306086</v>
      </c>
      <c r="M4934">
        <v>20.334937502694299</v>
      </c>
      <c r="N4934">
        <v>57.780736464136297</v>
      </c>
      <c r="O4934">
        <v>55.3019133316322</v>
      </c>
      <c r="P4934">
        <v>-6.9128171967761096E-2</v>
      </c>
      <c r="Q4934">
        <v>0.24803236627434</v>
      </c>
      <c r="R4934">
        <v>0.98552568762341897</v>
      </c>
      <c r="S4934" t="s">
        <v>11580</v>
      </c>
      <c r="T4934" t="s">
        <v>13290</v>
      </c>
      <c r="U4934" t="s">
        <v>13290</v>
      </c>
      <c r="V4934" t="s">
        <v>13290</v>
      </c>
      <c r="W4934" t="s">
        <v>18175</v>
      </c>
      <c r="X4934">
        <v>9</v>
      </c>
      <c r="Y4934" t="s">
        <v>24658</v>
      </c>
      <c r="Z4934" t="s">
        <v>31264</v>
      </c>
      <c r="AA4934">
        <v>0.65443414560504354</v>
      </c>
      <c r="AB4934" t="str">
        <f>HYPERLINK("Melting_Curves/meltCurve_Q969P0_3_IGSF8.pdf", "Melting_Curves/meltCurve_Q969P0_3_IGSF8.pdf")</f>
        <v>Melting_Curves/meltCurve_Q969P0_3_IGSF8.pdf</v>
      </c>
    </row>
    <row r="4935" spans="1:28" x14ac:dyDescent="0.25">
      <c r="A4935" t="s">
        <v>4939</v>
      </c>
      <c r="B4935">
        <v>0.99252571173614901</v>
      </c>
      <c r="C4935">
        <v>1.03322340388099</v>
      </c>
      <c r="D4935">
        <v>0.96643965374128105</v>
      </c>
      <c r="E4935">
        <v>1.0094774773989901</v>
      </c>
      <c r="F4935">
        <v>0.42805966739238199</v>
      </c>
      <c r="G4935">
        <v>0.255704830915923</v>
      </c>
      <c r="H4935">
        <v>0.15969032901236699</v>
      </c>
      <c r="I4935">
        <v>0.16746216094014299</v>
      </c>
      <c r="J4935">
        <v>0.22955992275446699</v>
      </c>
      <c r="K4935">
        <v>0.19742341942778899</v>
      </c>
      <c r="L4935">
        <v>4273.8236344220404</v>
      </c>
      <c r="M4935">
        <v>81.253463506295901</v>
      </c>
      <c r="N4935">
        <v>52.934510765481001</v>
      </c>
      <c r="O4935">
        <v>52.5668290784267</v>
      </c>
      <c r="P4935">
        <v>-0.30860080567819098</v>
      </c>
      <c r="Q4935">
        <v>0.20140444703337099</v>
      </c>
      <c r="R4935">
        <v>0.99377842204392797</v>
      </c>
      <c r="S4935" t="s">
        <v>11581</v>
      </c>
      <c r="T4935" t="s">
        <v>13290</v>
      </c>
      <c r="U4935" t="s">
        <v>13290</v>
      </c>
      <c r="V4935" t="s">
        <v>13290</v>
      </c>
      <c r="W4935" t="s">
        <v>18176</v>
      </c>
      <c r="X4935">
        <v>5</v>
      </c>
      <c r="Y4935" t="s">
        <v>24659</v>
      </c>
      <c r="Z4935" t="s">
        <v>31265</v>
      </c>
      <c r="AA4935">
        <v>0.53747819531689955</v>
      </c>
      <c r="AB4935" t="str">
        <f>HYPERLINK("Melting_Curves/meltCurve_Q969Q0_RPL36AL.pdf", "Melting_Curves/meltCurve_Q969Q0_RPL36AL.pdf")</f>
        <v>Melting_Curves/meltCurve_Q969Q0_RPL36AL.pdf</v>
      </c>
    </row>
    <row r="4936" spans="1:28" x14ac:dyDescent="0.25">
      <c r="A4936" t="s">
        <v>4940</v>
      </c>
      <c r="B4936">
        <v>0.99252571173614901</v>
      </c>
      <c r="C4936">
        <v>0.91293769037921801</v>
      </c>
      <c r="D4936">
        <v>0.83119229332953404</v>
      </c>
      <c r="E4936">
        <v>0.77140864616368299</v>
      </c>
      <c r="F4936">
        <v>0.50355581531729199</v>
      </c>
      <c r="G4936">
        <v>0.187165531703994</v>
      </c>
      <c r="H4936">
        <v>0.104682009052648</v>
      </c>
      <c r="I4936">
        <v>0.108169800807513</v>
      </c>
      <c r="J4936">
        <v>8.75921314666257E-2</v>
      </c>
      <c r="K4936">
        <v>7.9470997779387598E-2</v>
      </c>
      <c r="L4936">
        <v>856.39572232349201</v>
      </c>
      <c r="M4936">
        <v>16.365635749774</v>
      </c>
      <c r="N4936">
        <v>52.640675938337097</v>
      </c>
      <c r="O4936">
        <v>51.566293915684298</v>
      </c>
      <c r="P4936">
        <v>-7.5683302987069101E-2</v>
      </c>
      <c r="Q4936">
        <v>4.6189748438305797E-2</v>
      </c>
      <c r="R4936">
        <v>0.98497941519459598</v>
      </c>
      <c r="S4936" t="s">
        <v>11582</v>
      </c>
      <c r="T4936" t="s">
        <v>13290</v>
      </c>
      <c r="U4936" t="s">
        <v>13290</v>
      </c>
      <c r="V4936" t="s">
        <v>13290</v>
      </c>
      <c r="W4936" t="s">
        <v>18177</v>
      </c>
      <c r="X4936">
        <v>21</v>
      </c>
      <c r="Y4936" t="s">
        <v>24660</v>
      </c>
      <c r="Z4936" t="s">
        <v>31266</v>
      </c>
      <c r="AA4936">
        <v>0.45661183507853131</v>
      </c>
      <c r="AB4936" t="str">
        <f>HYPERLINK("Melting_Curves/meltCurve_Q969S3_ZNF622.pdf", "Melting_Curves/meltCurve_Q969S3_ZNF622.pdf")</f>
        <v>Melting_Curves/meltCurve_Q969S3_ZNF622.pdf</v>
      </c>
    </row>
    <row r="4937" spans="1:28" x14ac:dyDescent="0.25">
      <c r="A4937" t="s">
        <v>4941</v>
      </c>
      <c r="B4937">
        <v>0.99252571173614901</v>
      </c>
      <c r="C4937">
        <v>0.82515756359667003</v>
      </c>
      <c r="D4937">
        <v>0.35533702166394598</v>
      </c>
      <c r="E4937">
        <v>0.15407763696469801</v>
      </c>
      <c r="F4937">
        <v>9.4342739380765803E-2</v>
      </c>
      <c r="G4937">
        <v>5.3433309746904897E-2</v>
      </c>
      <c r="H4937">
        <v>4.2514072672108799E-2</v>
      </c>
      <c r="I4937">
        <v>3.7440522102229201E-2</v>
      </c>
      <c r="J4937">
        <v>3.84928158656428E-2</v>
      </c>
      <c r="K4937">
        <v>2.7782963096738399E-2</v>
      </c>
      <c r="L4937">
        <v>1290.8462850143801</v>
      </c>
      <c r="M4937">
        <v>28.6954811213159</v>
      </c>
      <c r="N4937">
        <v>45.153239169208902</v>
      </c>
      <c r="O4937">
        <v>44.767533728874099</v>
      </c>
      <c r="P4937">
        <v>-0.152091614074048</v>
      </c>
      <c r="Q4937">
        <v>5.0900876959612498E-2</v>
      </c>
      <c r="R4937">
        <v>0.99574733196759002</v>
      </c>
      <c r="S4937" t="s">
        <v>11583</v>
      </c>
      <c r="T4937" t="s">
        <v>13290</v>
      </c>
      <c r="U4937" t="s">
        <v>13290</v>
      </c>
      <c r="V4937" t="s">
        <v>13290</v>
      </c>
      <c r="W4937" t="s">
        <v>18178</v>
      </c>
      <c r="X4937">
        <v>7</v>
      </c>
      <c r="Y4937" t="s">
        <v>24661</v>
      </c>
      <c r="Z4937" t="s">
        <v>31267</v>
      </c>
      <c r="AA4937">
        <v>0.21538882416901151</v>
      </c>
      <c r="AB4937" t="str">
        <f>HYPERLINK("Melting_Curves/meltCurve_Q969S9_3_GFM2.pdf", "Melting_Curves/meltCurve_Q969S9_3_GFM2.pdf")</f>
        <v>Melting_Curves/meltCurve_Q969S9_3_GFM2.pdf</v>
      </c>
    </row>
    <row r="4938" spans="1:28" x14ac:dyDescent="0.25">
      <c r="A4938" t="s">
        <v>4942</v>
      </c>
      <c r="B4938">
        <v>0.99252571173614901</v>
      </c>
      <c r="C4938">
        <v>1.0630141425936499</v>
      </c>
      <c r="D4938">
        <v>0.90335830754806201</v>
      </c>
      <c r="E4938">
        <v>0.50556946688697302</v>
      </c>
      <c r="F4938">
        <v>0.12124221017829</v>
      </c>
      <c r="G4938">
        <v>7.2026448289488801E-2</v>
      </c>
      <c r="H4938">
        <v>4.8463282845282701E-2</v>
      </c>
      <c r="I4938">
        <v>5.1183613909125902E-2</v>
      </c>
      <c r="J4938">
        <v>5.4368581068798098E-2</v>
      </c>
      <c r="K4938">
        <v>5.9460043584128701E-2</v>
      </c>
      <c r="L4938">
        <v>1640.4236894712701</v>
      </c>
      <c r="M4938">
        <v>33.1959467410923</v>
      </c>
      <c r="N4938">
        <v>49.5816182145211</v>
      </c>
      <c r="O4938">
        <v>49.2380880397032</v>
      </c>
      <c r="P4938">
        <v>-0.15972332204100501</v>
      </c>
      <c r="Q4938">
        <v>5.2361802296211901E-2</v>
      </c>
      <c r="R4938">
        <v>0.99668284851474298</v>
      </c>
      <c r="S4938" t="s">
        <v>11584</v>
      </c>
      <c r="T4938" t="s">
        <v>13290</v>
      </c>
      <c r="U4938" t="s">
        <v>13290</v>
      </c>
      <c r="V4938" t="s">
        <v>13290</v>
      </c>
      <c r="W4938" t="s">
        <v>18179</v>
      </c>
      <c r="X4938">
        <v>10</v>
      </c>
      <c r="Y4938" t="s">
        <v>24662</v>
      </c>
      <c r="Z4938" t="s">
        <v>31268</v>
      </c>
      <c r="AA4938">
        <v>0.35453224686819002</v>
      </c>
      <c r="AB4938" t="str">
        <f>HYPERLINK("Melting_Curves/meltCurve_Q969T7_2_NT5C3B.pdf", "Melting_Curves/meltCurve_Q969T7_2_NT5C3B.pdf")</f>
        <v>Melting_Curves/meltCurve_Q969T7_2_NT5C3B.pdf</v>
      </c>
    </row>
    <row r="4939" spans="1:28" x14ac:dyDescent="0.25">
      <c r="A4939" t="s">
        <v>4943</v>
      </c>
      <c r="B4939">
        <v>0.99252571173614901</v>
      </c>
      <c r="C4939">
        <v>0.77627423540517804</v>
      </c>
      <c r="D4939">
        <v>0.78594729719321699</v>
      </c>
      <c r="E4939">
        <v>0.75647899864405699</v>
      </c>
      <c r="F4939">
        <v>0.232738115779938</v>
      </c>
      <c r="G4939">
        <v>9.90622492968211E-2</v>
      </c>
      <c r="H4939">
        <v>6.4159011913201905E-2</v>
      </c>
      <c r="I4939">
        <v>5.81940211412455E-2</v>
      </c>
      <c r="J4939">
        <v>6.8629123098416095E-2</v>
      </c>
      <c r="K4939">
        <v>5.96066668299369E-2</v>
      </c>
      <c r="L4939">
        <v>872.13737375378798</v>
      </c>
      <c r="M4939">
        <v>17.242144795630999</v>
      </c>
      <c r="N4939">
        <v>50.726748246696602</v>
      </c>
      <c r="O4939">
        <v>49.916032616189497</v>
      </c>
      <c r="P4939">
        <v>-8.4283651144437602E-2</v>
      </c>
      <c r="Q4939">
        <v>2.4051909735495001E-2</v>
      </c>
      <c r="R4939">
        <v>0.94400097175128295</v>
      </c>
      <c r="S4939" t="s">
        <v>11585</v>
      </c>
      <c r="T4939" t="s">
        <v>13290</v>
      </c>
      <c r="U4939" t="s">
        <v>13290</v>
      </c>
      <c r="V4939" t="s">
        <v>13290</v>
      </c>
      <c r="W4939" t="s">
        <v>18180</v>
      </c>
      <c r="X4939">
        <v>18</v>
      </c>
      <c r="Y4939" t="s">
        <v>24663</v>
      </c>
      <c r="Z4939" t="s">
        <v>31269</v>
      </c>
      <c r="AA4939">
        <v>0.38616955577850531</v>
      </c>
      <c r="AB4939" t="str">
        <f>HYPERLINK("Melting_Curves/meltCurve_Q969V3_2_NCLN.pdf", "Melting_Curves/meltCurve_Q969V3_2_NCLN.pdf")</f>
        <v>Melting_Curves/meltCurve_Q969V3_2_NCLN.pdf</v>
      </c>
    </row>
    <row r="4940" spans="1:28" x14ac:dyDescent="0.25">
      <c r="A4940" t="s">
        <v>4944</v>
      </c>
      <c r="B4940">
        <v>0.99252571173614901</v>
      </c>
      <c r="C4940">
        <v>0.80799749515353203</v>
      </c>
      <c r="D4940">
        <v>0.77476606022753303</v>
      </c>
      <c r="E4940">
        <v>0.69952156785224195</v>
      </c>
      <c r="F4940">
        <v>0.53600368551131095</v>
      </c>
      <c r="G4940">
        <v>0.34536272293397402</v>
      </c>
      <c r="H4940">
        <v>0.17550366054001099</v>
      </c>
      <c r="I4940">
        <v>0.13853081330984199</v>
      </c>
      <c r="J4940">
        <v>0.178203884669867</v>
      </c>
      <c r="K4940">
        <v>0.145842131056963</v>
      </c>
      <c r="L4940">
        <v>485.55211987606498</v>
      </c>
      <c r="M4940">
        <v>9.2063507035911805</v>
      </c>
      <c r="N4940">
        <v>52.974859338901297</v>
      </c>
      <c r="O4940">
        <v>50.431551048784399</v>
      </c>
      <c r="P4940">
        <v>-4.47588331321674E-2</v>
      </c>
      <c r="Q4940">
        <v>1.9913928791797299E-2</v>
      </c>
      <c r="R4940">
        <v>0.97489226108511995</v>
      </c>
      <c r="S4940" t="s">
        <v>11586</v>
      </c>
      <c r="T4940" t="s">
        <v>13290</v>
      </c>
      <c r="U4940" t="s">
        <v>13290</v>
      </c>
      <c r="V4940" t="s">
        <v>13290</v>
      </c>
      <c r="W4940" t="s">
        <v>18181</v>
      </c>
      <c r="X4940">
        <v>2</v>
      </c>
      <c r="Y4940" t="s">
        <v>24664</v>
      </c>
      <c r="Z4940" t="s">
        <v>31270</v>
      </c>
      <c r="AA4940">
        <v>0.47334031212502609</v>
      </c>
      <c r="AB4940" t="str">
        <f>HYPERLINK("Melting_Curves/meltCurve_Q969V5_MUL1.pdf", "Melting_Curves/meltCurve_Q969V5_MUL1.pdf")</f>
        <v>Melting_Curves/meltCurve_Q969V5_MUL1.pdf</v>
      </c>
    </row>
    <row r="4941" spans="1:28" x14ac:dyDescent="0.25">
      <c r="A4941" t="s">
        <v>4945</v>
      </c>
      <c r="B4941">
        <v>0.99252571173614901</v>
      </c>
      <c r="C4941">
        <v>0.85945103178163995</v>
      </c>
      <c r="D4941">
        <v>0.82880179496689899</v>
      </c>
      <c r="E4941">
        <v>0.66788930172886396</v>
      </c>
      <c r="F4941">
        <v>0.55990013310376796</v>
      </c>
      <c r="G4941">
        <v>0.406964618551446</v>
      </c>
      <c r="H4941">
        <v>0.25817573106470698</v>
      </c>
      <c r="I4941">
        <v>0.14775554404491101</v>
      </c>
      <c r="J4941">
        <v>0.10238691480089</v>
      </c>
      <c r="K4941">
        <v>9.9230374610333599E-2</v>
      </c>
      <c r="L4941">
        <v>506.492523097598</v>
      </c>
      <c r="M4941">
        <v>9.4188208736412395</v>
      </c>
      <c r="N4941">
        <v>53.774514532211903</v>
      </c>
      <c r="O4941">
        <v>51.5176590908126</v>
      </c>
      <c r="P4941">
        <v>-4.57346907926078E-2</v>
      </c>
      <c r="Q4941">
        <v>0</v>
      </c>
      <c r="R4941">
        <v>0.99142434285526504</v>
      </c>
      <c r="S4941" t="s">
        <v>11587</v>
      </c>
      <c r="T4941" t="s">
        <v>13290</v>
      </c>
      <c r="U4941" t="s">
        <v>13290</v>
      </c>
      <c r="V4941" t="s">
        <v>13290</v>
      </c>
      <c r="W4941" t="s">
        <v>18182</v>
      </c>
      <c r="X4941">
        <v>9</v>
      </c>
      <c r="Y4941" t="s">
        <v>24665</v>
      </c>
      <c r="Z4941" t="s">
        <v>31271</v>
      </c>
      <c r="AA4941">
        <v>0.49161400736353672</v>
      </c>
      <c r="AB4941" t="str">
        <f>HYPERLINK("Melting_Curves/meltCurve_Q969X5_2_ERGIC1.pdf", "Melting_Curves/meltCurve_Q969X5_2_ERGIC1.pdf")</f>
        <v>Melting_Curves/meltCurve_Q969X5_2_ERGIC1.pdf</v>
      </c>
    </row>
    <row r="4942" spans="1:28" x14ac:dyDescent="0.25">
      <c r="A4942" t="s">
        <v>4946</v>
      </c>
      <c r="B4942">
        <v>0.99252571173614901</v>
      </c>
      <c r="C4942">
        <v>0.98712079171611899</v>
      </c>
      <c r="D4942">
        <v>1.2184677171396401</v>
      </c>
      <c r="E4942">
        <v>1.6597626578206801</v>
      </c>
      <c r="F4942">
        <v>1.0798139356205501</v>
      </c>
      <c r="G4942">
        <v>0.366715243565779</v>
      </c>
      <c r="H4942">
        <v>0.19306344804256401</v>
      </c>
      <c r="I4942">
        <v>0.184235136540393</v>
      </c>
      <c r="J4942">
        <v>0.22723181779599</v>
      </c>
      <c r="K4942">
        <v>0.20705584761957299</v>
      </c>
      <c r="L4942">
        <v>14123.1973642844</v>
      </c>
      <c r="M4942">
        <v>250</v>
      </c>
      <c r="N4942">
        <v>56.610639126602102</v>
      </c>
      <c r="O4942">
        <v>56.4891744055328</v>
      </c>
      <c r="P4942">
        <v>-0.88192059474436002</v>
      </c>
      <c r="Q4942">
        <v>0.202896541904141</v>
      </c>
      <c r="R4942">
        <v>0.81138974008304399</v>
      </c>
      <c r="S4942" t="s">
        <v>11588</v>
      </c>
      <c r="T4942" t="s">
        <v>13290</v>
      </c>
      <c r="U4942" t="s">
        <v>13290</v>
      </c>
      <c r="V4942" t="s">
        <v>13290</v>
      </c>
      <c r="W4942" t="s">
        <v>18183</v>
      </c>
      <c r="X4942">
        <v>12</v>
      </c>
      <c r="Y4942" t="s">
        <v>24666</v>
      </c>
      <c r="Z4942" t="s">
        <v>31272</v>
      </c>
      <c r="AA4942">
        <v>0.64119088690022141</v>
      </c>
      <c r="AB4942" t="str">
        <f>HYPERLINK("Melting_Curves/meltCurve_Q969X6_CIRH1A.pdf", "Melting_Curves/meltCurve_Q969X6_CIRH1A.pdf")</f>
        <v>Melting_Curves/meltCurve_Q969X6_CIRH1A.pdf</v>
      </c>
    </row>
    <row r="4943" spans="1:28" x14ac:dyDescent="0.25">
      <c r="A4943" t="s">
        <v>4947</v>
      </c>
      <c r="B4943">
        <v>0.99252571173614901</v>
      </c>
      <c r="C4943">
        <v>0.987601954819749</v>
      </c>
      <c r="D4943">
        <v>0.939857672193392</v>
      </c>
      <c r="E4943">
        <v>0.83545512661959398</v>
      </c>
      <c r="F4943">
        <v>0.70033771762109798</v>
      </c>
      <c r="G4943">
        <v>0.43672708808497102</v>
      </c>
      <c r="H4943">
        <v>0.109398646871362</v>
      </c>
      <c r="I4943">
        <v>9.7986199443930402E-2</v>
      </c>
      <c r="J4943">
        <v>0.12553444839834699</v>
      </c>
      <c r="K4943">
        <v>0.124475409609488</v>
      </c>
      <c r="L4943">
        <v>1040.17815058825</v>
      </c>
      <c r="M4943">
        <v>18.946488282508401</v>
      </c>
      <c r="N4943">
        <v>55.326118473672899</v>
      </c>
      <c r="O4943">
        <v>54.3002047149497</v>
      </c>
      <c r="P4943">
        <v>-8.1322489730366904E-2</v>
      </c>
      <c r="Q4943">
        <v>6.7763951238035802E-2</v>
      </c>
      <c r="R4943">
        <v>0.98700665397952203</v>
      </c>
      <c r="S4943" t="s">
        <v>11589</v>
      </c>
      <c r="T4943" t="s">
        <v>13290</v>
      </c>
      <c r="U4943" t="s">
        <v>13290</v>
      </c>
      <c r="V4943" t="s">
        <v>13290</v>
      </c>
      <c r="W4943" t="s">
        <v>18184</v>
      </c>
      <c r="X4943">
        <v>10</v>
      </c>
      <c r="Y4943" t="s">
        <v>24667</v>
      </c>
      <c r="Z4943" t="s">
        <v>31273</v>
      </c>
      <c r="AA4943">
        <v>0.54427691188752947</v>
      </c>
      <c r="AB4943" t="str">
        <f>HYPERLINK("Melting_Curves/meltCurve_Q969Y2_3_GTPBP3.pdf", "Melting_Curves/meltCurve_Q969Y2_3_GTPBP3.pdf")</f>
        <v>Melting_Curves/meltCurve_Q969Y2_3_GTPBP3.pdf</v>
      </c>
    </row>
    <row r="4944" spans="1:28" x14ac:dyDescent="0.25">
      <c r="A4944" t="s">
        <v>4948</v>
      </c>
      <c r="B4944">
        <v>0.99252571173614901</v>
      </c>
      <c r="C4944">
        <v>0.924515273625935</v>
      </c>
      <c r="D4944">
        <v>0.41871658537108403</v>
      </c>
      <c r="E4944">
        <v>0.20091197787040699</v>
      </c>
      <c r="F4944">
        <v>0.117733419981978</v>
      </c>
      <c r="G4944">
        <v>7.1090251532864801E-2</v>
      </c>
      <c r="H4944">
        <v>5.3595915936311099E-2</v>
      </c>
      <c r="I4944">
        <v>4.6264610376871303E-2</v>
      </c>
      <c r="J4944">
        <v>4.7800508014034099E-2</v>
      </c>
      <c r="K4944">
        <v>4.8171450053437301E-2</v>
      </c>
      <c r="L4944">
        <v>1428.42277594755</v>
      </c>
      <c r="M4944">
        <v>31.3823614577678</v>
      </c>
      <c r="N4944">
        <v>45.734333039409201</v>
      </c>
      <c r="O4944">
        <v>45.333114170519501</v>
      </c>
      <c r="P4944">
        <v>-0.16106430422360801</v>
      </c>
      <c r="Q4944">
        <v>6.9348973089969707E-2</v>
      </c>
      <c r="R4944">
        <v>0.99094674521766402</v>
      </c>
      <c r="S4944" t="s">
        <v>11590</v>
      </c>
      <c r="T4944" t="s">
        <v>13290</v>
      </c>
      <c r="U4944" t="s">
        <v>13290</v>
      </c>
      <c r="V4944" t="s">
        <v>13290</v>
      </c>
      <c r="W4944" t="s">
        <v>18185</v>
      </c>
      <c r="X4944">
        <v>20</v>
      </c>
      <c r="Y4944" t="s">
        <v>24668</v>
      </c>
      <c r="Z4944" t="s">
        <v>31274</v>
      </c>
      <c r="AA4944">
        <v>0.2457024810290761</v>
      </c>
      <c r="AB4944" t="str">
        <f>HYPERLINK("Melting_Curves/meltCurve_Q969Z0_TBRG4.pdf", "Melting_Curves/meltCurve_Q969Z0_TBRG4.pdf")</f>
        <v>Melting_Curves/meltCurve_Q969Z0_TBRG4.pdf</v>
      </c>
    </row>
    <row r="4945" spans="1:28" x14ac:dyDescent="0.25">
      <c r="A4945" t="s">
        <v>4949</v>
      </c>
      <c r="B4945">
        <v>0.99252571173614901</v>
      </c>
      <c r="C4945">
        <v>0.839211186992733</v>
      </c>
      <c r="D4945">
        <v>0.73685004585157698</v>
      </c>
      <c r="E4945">
        <v>1.0057101313002901</v>
      </c>
      <c r="F4945">
        <v>0.54478246075332304</v>
      </c>
      <c r="G4945">
        <v>0.52207695753633898</v>
      </c>
      <c r="H4945">
        <v>0.38725290649377703</v>
      </c>
      <c r="I4945">
        <v>0.77843737068629204</v>
      </c>
      <c r="J4945">
        <v>1.3086748519134399</v>
      </c>
      <c r="K4945">
        <v>0.97149236591962396</v>
      </c>
      <c r="L4945">
        <v>10680.737314390701</v>
      </c>
      <c r="M4945">
        <v>250</v>
      </c>
      <c r="O4945">
        <v>42.7202370148105</v>
      </c>
      <c r="P4945">
        <v>-0.31906786047463798</v>
      </c>
      <c r="Q4945">
        <v>0.78190963639889399</v>
      </c>
      <c r="R4945">
        <v>5.8946714590999399E-2</v>
      </c>
      <c r="S4945" t="s">
        <v>11591</v>
      </c>
      <c r="T4945" t="s">
        <v>13290</v>
      </c>
      <c r="U4945" t="s">
        <v>13290</v>
      </c>
      <c r="V4945" t="s">
        <v>13290</v>
      </c>
      <c r="W4945" t="s">
        <v>18186</v>
      </c>
      <c r="X4945">
        <v>1</v>
      </c>
      <c r="Y4945" t="s">
        <v>24669</v>
      </c>
      <c r="Z4945" t="s">
        <v>31275</v>
      </c>
      <c r="AA4945">
        <v>0.80172095490129869</v>
      </c>
      <c r="AB4945" t="str">
        <f>HYPERLINK("Melting_Curves/meltCurve_Q96A22_C11orf52.pdf", "Melting_Curves/meltCurve_Q96A22_C11orf52.pdf")</f>
        <v>Melting_Curves/meltCurve_Q96A22_C11orf52.pdf</v>
      </c>
    </row>
    <row r="4946" spans="1:28" x14ac:dyDescent="0.25">
      <c r="A4946" t="s">
        <v>4950</v>
      </c>
      <c r="B4946">
        <v>0.99252571173614901</v>
      </c>
      <c r="C4946">
        <v>1.0447398782384001</v>
      </c>
      <c r="D4946">
        <v>0.86271517699990796</v>
      </c>
      <c r="E4946">
        <v>1.1804823945326299</v>
      </c>
      <c r="F4946">
        <v>0.52450597455705095</v>
      </c>
      <c r="G4946">
        <v>0.40794997651524501</v>
      </c>
      <c r="H4946">
        <v>0.46457333537999901</v>
      </c>
      <c r="I4946">
        <v>0.78878512026846503</v>
      </c>
      <c r="J4946">
        <v>0.76514592781972202</v>
      </c>
      <c r="K4946">
        <v>0.34285157532530403</v>
      </c>
      <c r="L4946">
        <v>6347.3659714906798</v>
      </c>
      <c r="M4946">
        <v>122.794286285423</v>
      </c>
      <c r="O4946">
        <v>51.677345938387703</v>
      </c>
      <c r="P4946">
        <v>-0.26905256890606599</v>
      </c>
      <c r="Q4946">
        <v>0.54708242722256095</v>
      </c>
      <c r="R4946">
        <v>0.69753630124646204</v>
      </c>
      <c r="S4946" t="s">
        <v>11592</v>
      </c>
      <c r="T4946" t="s">
        <v>13290</v>
      </c>
      <c r="U4946" t="s">
        <v>13290</v>
      </c>
      <c r="V4946" t="s">
        <v>13290</v>
      </c>
      <c r="W4946" t="s">
        <v>18187</v>
      </c>
      <c r="X4946">
        <v>1</v>
      </c>
      <c r="Y4946" t="s">
        <v>24670</v>
      </c>
      <c r="Z4946" t="s">
        <v>31276</v>
      </c>
      <c r="AA4946">
        <v>0.72375563215055505</v>
      </c>
      <c r="AB4946" t="str">
        <f>HYPERLINK("Melting_Curves/meltCurve_Q96A29_2_SLC35C1.pdf", "Melting_Curves/meltCurve_Q96A29_2_SLC35C1.pdf")</f>
        <v>Melting_Curves/meltCurve_Q96A29_2_SLC35C1.pdf</v>
      </c>
    </row>
    <row r="4947" spans="1:28" x14ac:dyDescent="0.25">
      <c r="A4947" t="s">
        <v>4951</v>
      </c>
      <c r="B4947">
        <v>0.99252571173614901</v>
      </c>
      <c r="C4947">
        <v>0.89862944095147501</v>
      </c>
      <c r="D4947">
        <v>0.75456982438351705</v>
      </c>
      <c r="E4947">
        <v>0.80791848950554401</v>
      </c>
      <c r="F4947">
        <v>0.38699876755082802</v>
      </c>
      <c r="G4947">
        <v>0.127254062187797</v>
      </c>
      <c r="H4947">
        <v>7.9053354667238798E-2</v>
      </c>
      <c r="I4947">
        <v>7.7178638163315896E-2</v>
      </c>
      <c r="J4947">
        <v>8.3980132262220897E-2</v>
      </c>
      <c r="K4947">
        <v>8.5058205290169997E-2</v>
      </c>
      <c r="L4947">
        <v>918.37551024660195</v>
      </c>
      <c r="M4947">
        <v>17.8092555636286</v>
      </c>
      <c r="N4947">
        <v>51.829781835440897</v>
      </c>
      <c r="O4947">
        <v>50.930319254272497</v>
      </c>
      <c r="P4947">
        <v>-8.3654541074371203E-2</v>
      </c>
      <c r="Q4947">
        <v>4.3119291803288197E-2</v>
      </c>
      <c r="R4947">
        <v>0.96335935651791704</v>
      </c>
      <c r="S4947" t="s">
        <v>11593</v>
      </c>
      <c r="T4947" t="s">
        <v>13290</v>
      </c>
      <c r="U4947" t="s">
        <v>13290</v>
      </c>
      <c r="V4947" t="s">
        <v>13290</v>
      </c>
      <c r="W4947" t="s">
        <v>18188</v>
      </c>
      <c r="X4947">
        <v>21</v>
      </c>
      <c r="Y4947" t="s">
        <v>24671</v>
      </c>
      <c r="Z4947" t="s">
        <v>31277</v>
      </c>
      <c r="AA4947">
        <v>0.42838471676494089</v>
      </c>
      <c r="AB4947" t="str">
        <f>HYPERLINK("Melting_Curves/meltCurve_Q96A33_CCDC47.pdf", "Melting_Curves/meltCurve_Q96A33_CCDC47.pdf")</f>
        <v>Melting_Curves/meltCurve_Q96A33_CCDC47.pdf</v>
      </c>
    </row>
    <row r="4948" spans="1:28" x14ac:dyDescent="0.25">
      <c r="A4948" t="s">
        <v>4952</v>
      </c>
      <c r="B4948">
        <v>0.99252571173614901</v>
      </c>
      <c r="C4948">
        <v>1.10346821866855</v>
      </c>
      <c r="D4948">
        <v>0.91366317925759299</v>
      </c>
      <c r="E4948">
        <v>0.88000555979154804</v>
      </c>
      <c r="F4948">
        <v>0.69382625598718395</v>
      </c>
      <c r="G4948">
        <v>0.57046437493686097</v>
      </c>
      <c r="H4948">
        <v>0.492941325996955</v>
      </c>
      <c r="I4948">
        <v>0.54785887825293</v>
      </c>
      <c r="J4948">
        <v>0.59825828635106804</v>
      </c>
      <c r="K4948">
        <v>0.42878957842849003</v>
      </c>
      <c r="L4948">
        <v>1122.8963219991001</v>
      </c>
      <c r="M4948">
        <v>21.636493086637302</v>
      </c>
      <c r="O4948">
        <v>51.461025643940602</v>
      </c>
      <c r="P4948">
        <v>-5.1649214470432997E-2</v>
      </c>
      <c r="Q4948">
        <v>0.50863418077017897</v>
      </c>
      <c r="R4948">
        <v>0.93523271577817901</v>
      </c>
      <c r="S4948" t="s">
        <v>11594</v>
      </c>
      <c r="T4948" t="s">
        <v>13290</v>
      </c>
      <c r="U4948" t="s">
        <v>13290</v>
      </c>
      <c r="V4948" t="s">
        <v>13290</v>
      </c>
      <c r="W4948" t="s">
        <v>18189</v>
      </c>
      <c r="X4948">
        <v>2</v>
      </c>
      <c r="Y4948" t="s">
        <v>24672</v>
      </c>
      <c r="Z4948" t="s">
        <v>31278</v>
      </c>
      <c r="AA4948">
        <v>0.70940589582193303</v>
      </c>
      <c r="AB4948" t="str">
        <f>HYPERLINK("Melting_Curves/meltCurve_Q96A46_SLC25A28.pdf", "Melting_Curves/meltCurve_Q96A46_SLC25A28.pdf")</f>
        <v>Melting_Curves/meltCurve_Q96A46_SLC25A28.pdf</v>
      </c>
    </row>
    <row r="4949" spans="1:28" x14ac:dyDescent="0.25">
      <c r="A4949" t="s">
        <v>4953</v>
      </c>
      <c r="B4949">
        <v>0.99252571173614901</v>
      </c>
      <c r="C4949">
        <v>1.0113722238829199</v>
      </c>
      <c r="D4949">
        <v>0.85941407506182999</v>
      </c>
      <c r="E4949">
        <v>0.61708953310592496</v>
      </c>
      <c r="F4949">
        <v>0.43004413168719802</v>
      </c>
      <c r="G4949">
        <v>0.191186472133518</v>
      </c>
      <c r="H4949">
        <v>0.115549876608066</v>
      </c>
      <c r="I4949">
        <v>0.175570014499001</v>
      </c>
      <c r="J4949">
        <v>0.16128056958985301</v>
      </c>
      <c r="K4949">
        <v>0.115158087816591</v>
      </c>
      <c r="L4949">
        <v>917.16706939021901</v>
      </c>
      <c r="M4949">
        <v>18.130727045945399</v>
      </c>
      <c r="N4949">
        <v>51.380083858369098</v>
      </c>
      <c r="O4949">
        <v>49.982989043582897</v>
      </c>
      <c r="P4949">
        <v>-7.9611862726287105E-2</v>
      </c>
      <c r="Q4949">
        <v>0.12214267513425001</v>
      </c>
      <c r="R4949">
        <v>0.99105175359573805</v>
      </c>
      <c r="S4949" t="s">
        <v>11595</v>
      </c>
      <c r="T4949" t="s">
        <v>13290</v>
      </c>
      <c r="U4949" t="s">
        <v>13290</v>
      </c>
      <c r="V4949" t="s">
        <v>13290</v>
      </c>
      <c r="W4949" t="s">
        <v>18190</v>
      </c>
      <c r="X4949">
        <v>4</v>
      </c>
      <c r="Y4949" t="s">
        <v>24673</v>
      </c>
      <c r="Z4949" t="s">
        <v>31279</v>
      </c>
      <c r="AA4949">
        <v>0.44658487207904951</v>
      </c>
      <c r="AB4949" t="str">
        <f>HYPERLINK("Melting_Curves/meltCurve_Q96A49_SYAP1.pdf", "Melting_Curves/meltCurve_Q96A49_SYAP1.pdf")</f>
        <v>Melting_Curves/meltCurve_Q96A49_SYAP1.pdf</v>
      </c>
    </row>
    <row r="4950" spans="1:28" x14ac:dyDescent="0.25">
      <c r="A4950" t="s">
        <v>4954</v>
      </c>
      <c r="B4950">
        <v>0.99252571173614901</v>
      </c>
      <c r="C4950">
        <v>1.02158325669669</v>
      </c>
      <c r="D4950">
        <v>0.938071864747961</v>
      </c>
      <c r="E4950">
        <v>1.03289260756221</v>
      </c>
      <c r="F4950">
        <v>0.77222066207701801</v>
      </c>
      <c r="G4950">
        <v>0.59706264802752995</v>
      </c>
      <c r="H4950">
        <v>0.51170677533968301</v>
      </c>
      <c r="I4950">
        <v>0.68845266784478498</v>
      </c>
      <c r="J4950">
        <v>0.78672134317367803</v>
      </c>
      <c r="K4950">
        <v>0.51632817995764901</v>
      </c>
      <c r="S4950" t="s">
        <v>11596</v>
      </c>
      <c r="T4950" t="s">
        <v>13290</v>
      </c>
      <c r="U4950" t="s">
        <v>13291</v>
      </c>
      <c r="V4950" t="s">
        <v>13290</v>
      </c>
      <c r="W4950" t="s">
        <v>18191</v>
      </c>
      <c r="X4950">
        <v>3</v>
      </c>
      <c r="Y4950" t="s">
        <v>24674</v>
      </c>
      <c r="Z4950" t="s">
        <v>31280</v>
      </c>
      <c r="AB4950" t="str">
        <f>HYPERLINK("Melting_Curves/meltCurve_Q96A59_2_MARVELD3.pdf", "Melting_Curves/meltCurve_Q96A59_2_MARVELD3.pdf")</f>
        <v>Melting_Curves/meltCurve_Q96A59_2_MARVELD3.pdf</v>
      </c>
    </row>
    <row r="4951" spans="1:28" x14ac:dyDescent="0.25">
      <c r="A4951" t="s">
        <v>4955</v>
      </c>
      <c r="B4951">
        <v>0.99252571173614901</v>
      </c>
      <c r="C4951">
        <v>0.81157651556435595</v>
      </c>
      <c r="D4951">
        <v>0.84938829478364797</v>
      </c>
      <c r="E4951">
        <v>0.29551228785987499</v>
      </c>
      <c r="F4951">
        <v>0.13418947684530899</v>
      </c>
      <c r="G4951">
        <v>7.7478950945699801E-2</v>
      </c>
      <c r="H4951">
        <v>5.9021104295698901E-2</v>
      </c>
      <c r="I4951">
        <v>5.9084840165665703E-2</v>
      </c>
      <c r="J4951">
        <v>7.8762002433486106E-2</v>
      </c>
      <c r="K4951">
        <v>8.1477406480109302E-2</v>
      </c>
      <c r="L4951">
        <v>1390.9022374531901</v>
      </c>
      <c r="M4951">
        <v>29.002451525279</v>
      </c>
      <c r="N4951">
        <v>48.203319805436799</v>
      </c>
      <c r="O4951">
        <v>47.7318046760047</v>
      </c>
      <c r="P4951">
        <v>-0.14148587622216899</v>
      </c>
      <c r="Q4951">
        <v>6.8585186445018098E-2</v>
      </c>
      <c r="R4951">
        <v>0.97680152323951397</v>
      </c>
      <c r="S4951" t="s">
        <v>11597</v>
      </c>
      <c r="T4951" t="s">
        <v>13290</v>
      </c>
      <c r="U4951" t="s">
        <v>13290</v>
      </c>
      <c r="V4951" t="s">
        <v>13290</v>
      </c>
      <c r="W4951" t="s">
        <v>18192</v>
      </c>
      <c r="X4951">
        <v>13</v>
      </c>
      <c r="Y4951" t="s">
        <v>24675</v>
      </c>
      <c r="Z4951" t="s">
        <v>31281</v>
      </c>
      <c r="AA4951">
        <v>0.32167653429266402</v>
      </c>
      <c r="AB4951" t="str">
        <f>HYPERLINK("Melting_Curves/meltCurve_Q96A65_EXOC4.pdf", "Melting_Curves/meltCurve_Q96A65_EXOC4.pdf")</f>
        <v>Melting_Curves/meltCurve_Q96A65_EXOC4.pdf</v>
      </c>
    </row>
    <row r="4952" spans="1:28" x14ac:dyDescent="0.25">
      <c r="A4952" t="s">
        <v>4956</v>
      </c>
      <c r="B4952">
        <v>0.99252571173614901</v>
      </c>
      <c r="C4952">
        <v>1.0539049466019199</v>
      </c>
      <c r="D4952">
        <v>0.94814702299743103</v>
      </c>
      <c r="E4952">
        <v>0.74425078584689097</v>
      </c>
      <c r="F4952">
        <v>0.43397569896291799</v>
      </c>
      <c r="G4952">
        <v>0.31677573596627001</v>
      </c>
      <c r="H4952">
        <v>0.29069535824892001</v>
      </c>
      <c r="I4952">
        <v>0.31311018010255898</v>
      </c>
      <c r="J4952">
        <v>0.44427671914522199</v>
      </c>
      <c r="K4952">
        <v>0.57787492552467901</v>
      </c>
      <c r="L4952">
        <v>2093.7403107084201</v>
      </c>
      <c r="M4952">
        <v>41.917374712520001</v>
      </c>
      <c r="N4952">
        <v>51.8024860280496</v>
      </c>
      <c r="O4952">
        <v>49.835946025030701</v>
      </c>
      <c r="P4952">
        <v>-0.12860752793069699</v>
      </c>
      <c r="Q4952">
        <v>0.38839048157642903</v>
      </c>
      <c r="R4952">
        <v>0.92069844902022002</v>
      </c>
      <c r="S4952" t="s">
        <v>11598</v>
      </c>
      <c r="T4952" t="s">
        <v>13290</v>
      </c>
      <c r="U4952" t="s">
        <v>13290</v>
      </c>
      <c r="V4952" t="s">
        <v>13290</v>
      </c>
      <c r="W4952" t="s">
        <v>18193</v>
      </c>
      <c r="X4952">
        <v>6</v>
      </c>
      <c r="Y4952" t="s">
        <v>24676</v>
      </c>
      <c r="Z4952" t="s">
        <v>31282</v>
      </c>
      <c r="AA4952">
        <v>0.59314719409575578</v>
      </c>
      <c r="AB4952" t="str">
        <f>HYPERLINK("Melting_Curves/meltCurve_Q96A73_KIAA1191.pdf", "Melting_Curves/meltCurve_Q96A73_KIAA1191.pdf")</f>
        <v>Melting_Curves/meltCurve_Q96A73_KIAA1191.pdf</v>
      </c>
    </row>
    <row r="4953" spans="1:28" x14ac:dyDescent="0.25">
      <c r="A4953" t="s">
        <v>4957</v>
      </c>
      <c r="B4953">
        <v>0.99252571173614901</v>
      </c>
      <c r="C4953">
        <v>1.0195218311265699</v>
      </c>
      <c r="D4953">
        <v>0.97981821950519199</v>
      </c>
      <c r="E4953">
        <v>0.89152589055360698</v>
      </c>
      <c r="F4953">
        <v>0.85338492929283505</v>
      </c>
      <c r="G4953">
        <v>0.66369699801718496</v>
      </c>
      <c r="H4953">
        <v>0.60160144446282504</v>
      </c>
      <c r="I4953">
        <v>0.60273518969945505</v>
      </c>
      <c r="J4953">
        <v>0.55011059975977505</v>
      </c>
      <c r="K4953">
        <v>0.43665672879094197</v>
      </c>
      <c r="L4953">
        <v>666.15427348726496</v>
      </c>
      <c r="M4953">
        <v>11.770955825548601</v>
      </c>
      <c r="N4953">
        <v>68.755240591396898</v>
      </c>
      <c r="O4953">
        <v>55.033743640297303</v>
      </c>
      <c r="P4953">
        <v>-3.0076419690513199E-2</v>
      </c>
      <c r="Q4953">
        <v>0.43767077136921301</v>
      </c>
      <c r="R4953">
        <v>0.97021422938391699</v>
      </c>
      <c r="S4953" t="s">
        <v>11599</v>
      </c>
      <c r="T4953" t="s">
        <v>13290</v>
      </c>
      <c r="U4953" t="s">
        <v>13290</v>
      </c>
      <c r="V4953" t="s">
        <v>13290</v>
      </c>
      <c r="W4953" t="s">
        <v>18194</v>
      </c>
      <c r="X4953">
        <v>8</v>
      </c>
      <c r="Y4953" t="s">
        <v>24677</v>
      </c>
      <c r="Z4953" t="s">
        <v>31283</v>
      </c>
      <c r="AA4953">
        <v>0.75903610404669897</v>
      </c>
      <c r="AB4953" t="str">
        <f>HYPERLINK("Melting_Curves/meltCurve_Q96AB3_ISOC2.pdf", "Melting_Curves/meltCurve_Q96AB3_ISOC2.pdf")</f>
        <v>Melting_Curves/meltCurve_Q96AB3_ISOC2.pdf</v>
      </c>
    </row>
    <row r="4954" spans="1:28" x14ac:dyDescent="0.25">
      <c r="A4954" t="s">
        <v>4958</v>
      </c>
      <c r="B4954">
        <v>0.99252571173614901</v>
      </c>
      <c r="C4954">
        <v>1.1260251931526899</v>
      </c>
      <c r="D4954">
        <v>1.0887047532313601</v>
      </c>
      <c r="E4954">
        <v>0.86122429784930798</v>
      </c>
      <c r="F4954">
        <v>0.337915090162686</v>
      </c>
      <c r="G4954">
        <v>0.226547603952028</v>
      </c>
      <c r="H4954">
        <v>0.18279681527518199</v>
      </c>
      <c r="I4954">
        <v>0.17897204796205801</v>
      </c>
      <c r="J4954">
        <v>0.166902368599331</v>
      </c>
      <c r="K4954">
        <v>0.19711370431353201</v>
      </c>
      <c r="L4954">
        <v>2278.5039074389301</v>
      </c>
      <c r="M4954">
        <v>44.306050698668301</v>
      </c>
      <c r="N4954">
        <v>51.978097811315401</v>
      </c>
      <c r="O4954">
        <v>51.322036842432702</v>
      </c>
      <c r="P4954">
        <v>-0.17534341418411201</v>
      </c>
      <c r="Q4954">
        <v>0.18756299359324399</v>
      </c>
      <c r="R4954">
        <v>0.98380511873683596</v>
      </c>
      <c r="S4954" t="s">
        <v>11600</v>
      </c>
      <c r="T4954" t="s">
        <v>13290</v>
      </c>
      <c r="U4954" t="s">
        <v>13290</v>
      </c>
      <c r="V4954" t="s">
        <v>13290</v>
      </c>
      <c r="W4954" t="s">
        <v>18195</v>
      </c>
      <c r="X4954">
        <v>3</v>
      </c>
      <c r="Y4954" t="s">
        <v>24678</v>
      </c>
      <c r="Z4954" t="s">
        <v>31284</v>
      </c>
      <c r="AA4954">
        <v>0.49935627502199759</v>
      </c>
      <c r="AB4954" t="str">
        <f>HYPERLINK("Melting_Curves/meltCurve_Q96AB6_NTAN1.pdf", "Melting_Curves/meltCurve_Q96AB6_NTAN1.pdf")</f>
        <v>Melting_Curves/meltCurve_Q96AB6_NTAN1.pdf</v>
      </c>
    </row>
    <row r="4955" spans="1:28" x14ac:dyDescent="0.25">
      <c r="A4955" t="s">
        <v>4959</v>
      </c>
      <c r="B4955">
        <v>0.99252571173614901</v>
      </c>
      <c r="C4955">
        <v>1.0445210862516301</v>
      </c>
      <c r="D4955">
        <v>0.95865058552522397</v>
      </c>
      <c r="E4955">
        <v>0.94881782548669003</v>
      </c>
      <c r="F4955">
        <v>0.77390200785238195</v>
      </c>
      <c r="G4955">
        <v>0.71566889229386199</v>
      </c>
      <c r="H4955">
        <v>0.73537719893165399</v>
      </c>
      <c r="I4955">
        <v>0.89539121707193703</v>
      </c>
      <c r="J4955">
        <v>1.1849075437890999</v>
      </c>
      <c r="K4955">
        <v>1.21530374500127</v>
      </c>
      <c r="L4955">
        <v>11491.6095484205</v>
      </c>
      <c r="M4955">
        <v>250</v>
      </c>
      <c r="O4955">
        <v>45.963496757841298</v>
      </c>
      <c r="P4955">
        <v>-0.103077055567068</v>
      </c>
      <c r="Q4955">
        <v>0.92419548972259602</v>
      </c>
      <c r="R4955">
        <v>4.9104178167066602E-2</v>
      </c>
      <c r="S4955" t="s">
        <v>11601</v>
      </c>
      <c r="T4955" t="s">
        <v>13290</v>
      </c>
      <c r="U4955" t="s">
        <v>13290</v>
      </c>
      <c r="V4955" t="s">
        <v>13290</v>
      </c>
      <c r="W4955" t="s">
        <v>18196</v>
      </c>
      <c r="X4955">
        <v>49</v>
      </c>
      <c r="Y4955" t="s">
        <v>24679</v>
      </c>
      <c r="Z4955" t="s">
        <v>31285</v>
      </c>
      <c r="AA4955">
        <v>0.93927770241393682</v>
      </c>
      <c r="AB4955" t="str">
        <f>HYPERLINK("Melting_Curves/meltCurve_Q96AE4_FUBP1.pdf", "Melting_Curves/meltCurve_Q96AE4_FUBP1.pdf")</f>
        <v>Melting_Curves/meltCurve_Q96AE4_FUBP1.pdf</v>
      </c>
    </row>
    <row r="4956" spans="1:28" x14ac:dyDescent="0.25">
      <c r="A4956" t="s">
        <v>4960</v>
      </c>
      <c r="B4956">
        <v>0.99252571173614901</v>
      </c>
      <c r="C4956">
        <v>1.03219319473278</v>
      </c>
      <c r="D4956">
        <v>0.94117495763159098</v>
      </c>
      <c r="E4956">
        <v>0.78107703026822295</v>
      </c>
      <c r="F4956">
        <v>0.435367070951244</v>
      </c>
      <c r="G4956">
        <v>0.33834907211277798</v>
      </c>
      <c r="H4956">
        <v>0.339198592414236</v>
      </c>
      <c r="I4956">
        <v>0.41783371091733101</v>
      </c>
      <c r="J4956">
        <v>0.56500136163224901</v>
      </c>
      <c r="K4956">
        <v>0.56838305179875703</v>
      </c>
      <c r="L4956">
        <v>12421.4036822298</v>
      </c>
      <c r="M4956">
        <v>250</v>
      </c>
      <c r="N4956">
        <v>50.124637928469099</v>
      </c>
      <c r="O4956">
        <v>49.6824490655492</v>
      </c>
      <c r="P4956">
        <v>-0.69941451719178604</v>
      </c>
      <c r="Q4956">
        <v>0.444022137354254</v>
      </c>
      <c r="R4956">
        <v>0.91434950922203395</v>
      </c>
      <c r="S4956" t="s">
        <v>11602</v>
      </c>
      <c r="T4956" t="s">
        <v>13290</v>
      </c>
      <c r="U4956" t="s">
        <v>13290</v>
      </c>
      <c r="V4956" t="s">
        <v>13290</v>
      </c>
      <c r="W4956" t="s">
        <v>18197</v>
      </c>
      <c r="X4956">
        <v>49</v>
      </c>
      <c r="Y4956" t="s">
        <v>24679</v>
      </c>
      <c r="Z4956" t="s">
        <v>31286</v>
      </c>
      <c r="AA4956">
        <v>0.6235701964029513</v>
      </c>
      <c r="AB4956" t="str">
        <f>HYPERLINK("Melting_Curves/meltCurve_Q96AE4_2_FUBP1.pdf", "Melting_Curves/meltCurve_Q96AE4_2_FUBP1.pdf")</f>
        <v>Melting_Curves/meltCurve_Q96AE4_2_FUBP1.pdf</v>
      </c>
    </row>
    <row r="4957" spans="1:28" x14ac:dyDescent="0.25">
      <c r="A4957" t="s">
        <v>4961</v>
      </c>
      <c r="B4957">
        <v>0.99252571173614901</v>
      </c>
      <c r="C4957">
        <v>1.03158450228516</v>
      </c>
      <c r="D4957">
        <v>1.01033225876627</v>
      </c>
      <c r="E4957">
        <v>0.89393881455158397</v>
      </c>
      <c r="F4957">
        <v>0.71944264497209698</v>
      </c>
      <c r="G4957">
        <v>0.48479849935863401</v>
      </c>
      <c r="H4957">
        <v>0.22870334167595999</v>
      </c>
      <c r="I4957">
        <v>0.20600597153497199</v>
      </c>
      <c r="J4957">
        <v>0.28805835695677301</v>
      </c>
      <c r="K4957">
        <v>0.25897981156165001</v>
      </c>
      <c r="L4957">
        <v>1261.7020318090999</v>
      </c>
      <c r="M4957">
        <v>23.152086295698702</v>
      </c>
      <c r="N4957">
        <v>55.964997839785603</v>
      </c>
      <c r="O4957">
        <v>54.094568977282798</v>
      </c>
      <c r="P4957">
        <v>-8.2639189503660199E-2</v>
      </c>
      <c r="Q4957">
        <v>0.22767222517527</v>
      </c>
      <c r="R4957">
        <v>0.98781589191980501</v>
      </c>
      <c r="S4957" t="s">
        <v>11603</v>
      </c>
      <c r="T4957" t="s">
        <v>13290</v>
      </c>
      <c r="U4957" t="s">
        <v>13290</v>
      </c>
      <c r="V4957" t="s">
        <v>13290</v>
      </c>
      <c r="W4957" t="s">
        <v>18198</v>
      </c>
      <c r="X4957">
        <v>21</v>
      </c>
      <c r="Y4957" t="s">
        <v>24680</v>
      </c>
      <c r="Z4957" t="s">
        <v>31287</v>
      </c>
      <c r="AA4957">
        <v>0.60905076242031908</v>
      </c>
      <c r="AB4957" t="str">
        <f>HYPERLINK("Melting_Curves/meltCurve_Q96AG4_LRRC59.pdf", "Melting_Curves/meltCurve_Q96AG4_LRRC59.pdf")</f>
        <v>Melting_Curves/meltCurve_Q96AG4_LRRC59.pdf</v>
      </c>
    </row>
    <row r="4958" spans="1:28" x14ac:dyDescent="0.25">
      <c r="A4958" t="s">
        <v>4962</v>
      </c>
      <c r="B4958">
        <v>0.99252571173614901</v>
      </c>
      <c r="C4958">
        <v>1.01501650930679</v>
      </c>
      <c r="D4958">
        <v>0.92588941805894498</v>
      </c>
      <c r="E4958">
        <v>0.78319770442867698</v>
      </c>
      <c r="F4958">
        <v>0.65490399512133002</v>
      </c>
      <c r="G4958">
        <v>0.50892358567364204</v>
      </c>
      <c r="H4958">
        <v>0.410416294199551</v>
      </c>
      <c r="I4958">
        <v>0.52732221170138505</v>
      </c>
      <c r="J4958">
        <v>0.78740137397314802</v>
      </c>
      <c r="K4958">
        <v>0.66490903115972599</v>
      </c>
      <c r="L4958">
        <v>1422.2801999328899</v>
      </c>
      <c r="M4958">
        <v>28.8477045695915</v>
      </c>
      <c r="O4958">
        <v>49.067969350205402</v>
      </c>
      <c r="P4958">
        <v>-6.12590933505716E-2</v>
      </c>
      <c r="Q4958">
        <v>0.58321312931785596</v>
      </c>
      <c r="R4958">
        <v>0.77072926536800901</v>
      </c>
      <c r="S4958" t="s">
        <v>11604</v>
      </c>
      <c r="T4958" t="s">
        <v>13290</v>
      </c>
      <c r="U4958" t="s">
        <v>13290</v>
      </c>
      <c r="V4958" t="s">
        <v>13290</v>
      </c>
      <c r="W4958" t="s">
        <v>18199</v>
      </c>
      <c r="X4958">
        <v>8</v>
      </c>
      <c r="Y4958" t="s">
        <v>24681</v>
      </c>
      <c r="Z4958" t="s">
        <v>31288</v>
      </c>
      <c r="AA4958">
        <v>0.71522172687978047</v>
      </c>
      <c r="AB4958" t="str">
        <f>HYPERLINK("Melting_Curves/meltCurve_Q96AJ9_1_VTI1A.pdf", "Melting_Curves/meltCurve_Q96AJ9_1_VTI1A.pdf")</f>
        <v>Melting_Curves/meltCurve_Q96AJ9_1_VTI1A.pdf</v>
      </c>
    </row>
    <row r="4959" spans="1:28" x14ac:dyDescent="0.25">
      <c r="A4959" t="s">
        <v>4963</v>
      </c>
      <c r="B4959">
        <v>0.99252571173614901</v>
      </c>
      <c r="C4959">
        <v>0.86357114526571799</v>
      </c>
      <c r="D4959">
        <v>0.80186107339234802</v>
      </c>
      <c r="E4959">
        <v>0.59335699492549598</v>
      </c>
      <c r="F4959">
        <v>0.66736502501364903</v>
      </c>
      <c r="G4959">
        <v>0.53057198146964901</v>
      </c>
      <c r="H4959">
        <v>0.224779573715786</v>
      </c>
      <c r="I4959">
        <v>0.13540454504281199</v>
      </c>
      <c r="J4959">
        <v>0.11973091230270499</v>
      </c>
      <c r="K4959">
        <v>0.152640791881516</v>
      </c>
      <c r="L4959">
        <v>469.71995075319199</v>
      </c>
      <c r="M4959">
        <v>8.6307050225934301</v>
      </c>
      <c r="N4959">
        <v>54.424285018636397</v>
      </c>
      <c r="O4959">
        <v>51.739008018672102</v>
      </c>
      <c r="P4959">
        <v>-4.1738562165476598E-2</v>
      </c>
      <c r="Q4959">
        <v>0</v>
      </c>
      <c r="R4959">
        <v>0.94220867094906602</v>
      </c>
      <c r="S4959" t="s">
        <v>11605</v>
      </c>
      <c r="T4959" t="s">
        <v>13290</v>
      </c>
      <c r="U4959" t="s">
        <v>13290</v>
      </c>
      <c r="V4959" t="s">
        <v>13290</v>
      </c>
      <c r="W4959" t="s">
        <v>18200</v>
      </c>
      <c r="X4959">
        <v>4</v>
      </c>
      <c r="Y4959" t="s">
        <v>24682</v>
      </c>
      <c r="Z4959" t="s">
        <v>31289</v>
      </c>
      <c r="AA4959">
        <v>0.5112485810180063</v>
      </c>
      <c r="AB4959" t="str">
        <f>HYPERLINK("Melting_Curves/meltCurve_Q96AQ8_MCUR1.pdf", "Melting_Curves/meltCurve_Q96AQ8_MCUR1.pdf")</f>
        <v>Melting_Curves/meltCurve_Q96AQ8_MCUR1.pdf</v>
      </c>
    </row>
    <row r="4960" spans="1:28" x14ac:dyDescent="0.25">
      <c r="A4960" t="s">
        <v>4964</v>
      </c>
      <c r="B4960">
        <v>0.99252571173614901</v>
      </c>
      <c r="C4960">
        <v>1.15093586117173</v>
      </c>
      <c r="D4960">
        <v>0.98541500800625903</v>
      </c>
      <c r="E4960">
        <v>1.0255065206681799</v>
      </c>
      <c r="F4960">
        <v>0.75293512324913603</v>
      </c>
      <c r="G4960">
        <v>0.713604898992101</v>
      </c>
      <c r="H4960">
        <v>0.77907147826835199</v>
      </c>
      <c r="I4960">
        <v>1.0636508057423499</v>
      </c>
      <c r="J4960">
        <v>1.61482011307215</v>
      </c>
      <c r="K4960">
        <v>1.66955635631467</v>
      </c>
      <c r="L4960">
        <v>15000</v>
      </c>
      <c r="M4960">
        <v>232.45246404466101</v>
      </c>
      <c r="O4960">
        <v>64.524546176401699</v>
      </c>
      <c r="P4960">
        <v>0.45031789951448797</v>
      </c>
      <c r="Q4960">
        <v>1.5</v>
      </c>
      <c r="R4960">
        <v>0.73987150547487202</v>
      </c>
      <c r="S4960" t="s">
        <v>11606</v>
      </c>
      <c r="T4960" t="s">
        <v>13290</v>
      </c>
      <c r="U4960" t="s">
        <v>13290</v>
      </c>
      <c r="V4960" t="s">
        <v>13290</v>
      </c>
      <c r="W4960" t="s">
        <v>18201</v>
      </c>
      <c r="X4960">
        <v>12</v>
      </c>
      <c r="Y4960" t="s">
        <v>24683</v>
      </c>
      <c r="Z4960" t="s">
        <v>31290</v>
      </c>
      <c r="AA4960">
        <v>1.091112461848297</v>
      </c>
      <c r="AB4960" t="str">
        <f>HYPERLINK("Melting_Curves/meltCurve_Q96AT1_KIAA1143.pdf", "Melting_Curves/meltCurve_Q96AT1_KIAA1143.pdf")</f>
        <v>Melting_Curves/meltCurve_Q96AT1_KIAA1143.pdf</v>
      </c>
    </row>
    <row r="4961" spans="1:28" x14ac:dyDescent="0.25">
      <c r="A4961" t="s">
        <v>4965</v>
      </c>
      <c r="B4961">
        <v>0.99252571173614901</v>
      </c>
      <c r="C4961">
        <v>1.0870243947195</v>
      </c>
      <c r="D4961">
        <v>0.99358948672432801</v>
      </c>
      <c r="E4961">
        <v>0.92974116736311496</v>
      </c>
      <c r="F4961">
        <v>0.84478692662870702</v>
      </c>
      <c r="G4961">
        <v>0.60404214878028795</v>
      </c>
      <c r="H4961">
        <v>0.43991360796787299</v>
      </c>
      <c r="I4961">
        <v>0.34354345513588502</v>
      </c>
      <c r="J4961">
        <v>0.260198377089497</v>
      </c>
      <c r="K4961">
        <v>0.20089389661297899</v>
      </c>
      <c r="L4961">
        <v>884.30854680320704</v>
      </c>
      <c r="M4961">
        <v>15.3105225459917</v>
      </c>
      <c r="N4961">
        <v>59.338854353169801</v>
      </c>
      <c r="O4961">
        <v>56.799779608438698</v>
      </c>
      <c r="P4961">
        <v>-5.6108883443073403E-2</v>
      </c>
      <c r="Q4961">
        <v>0.16745490664086701</v>
      </c>
      <c r="R4961">
        <v>0.98923847013759003</v>
      </c>
      <c r="S4961" t="s">
        <v>11607</v>
      </c>
      <c r="T4961" t="s">
        <v>13290</v>
      </c>
      <c r="U4961" t="s">
        <v>13290</v>
      </c>
      <c r="V4961" t="s">
        <v>13290</v>
      </c>
      <c r="W4961" t="s">
        <v>18202</v>
      </c>
      <c r="X4961">
        <v>8</v>
      </c>
      <c r="Y4961" t="s">
        <v>24684</v>
      </c>
      <c r="Z4961" t="s">
        <v>31291</v>
      </c>
      <c r="AA4961">
        <v>0.67189890336855962</v>
      </c>
      <c r="AB4961" t="str">
        <f>HYPERLINK("Melting_Curves/meltCurve_Q96AT9_RPE.pdf", "Melting_Curves/meltCurve_Q96AT9_RPE.pdf")</f>
        <v>Melting_Curves/meltCurve_Q96AT9_RPE.pdf</v>
      </c>
    </row>
    <row r="4962" spans="1:28" x14ac:dyDescent="0.25">
      <c r="A4962" t="s">
        <v>4966</v>
      </c>
      <c r="B4962">
        <v>0.99252571173614901</v>
      </c>
      <c r="C4962">
        <v>1.01648810830127</v>
      </c>
      <c r="D4962">
        <v>0.75290938415294395</v>
      </c>
      <c r="E4962">
        <v>0.61110751735157598</v>
      </c>
      <c r="F4962">
        <v>0.31305050516426303</v>
      </c>
      <c r="G4962">
        <v>0.19174727516134299</v>
      </c>
      <c r="H4962">
        <v>0.15912083040621799</v>
      </c>
      <c r="I4962">
        <v>0.19475367114231101</v>
      </c>
      <c r="J4962">
        <v>0.29984999932547102</v>
      </c>
      <c r="K4962">
        <v>0.28797616105444601</v>
      </c>
      <c r="L4962">
        <v>1045.8701989439701</v>
      </c>
      <c r="M4962">
        <v>21.433250369505998</v>
      </c>
      <c r="N4962">
        <v>50.139087350571799</v>
      </c>
      <c r="O4962">
        <v>48.377801645189002</v>
      </c>
      <c r="P4962">
        <v>-8.6579704063686397E-2</v>
      </c>
      <c r="Q4962">
        <v>0.21833007271775701</v>
      </c>
      <c r="R4962">
        <v>0.96492237196615505</v>
      </c>
      <c r="S4962" t="s">
        <v>11608</v>
      </c>
      <c r="T4962" t="s">
        <v>13290</v>
      </c>
      <c r="U4962" t="s">
        <v>13290</v>
      </c>
      <c r="V4962" t="s">
        <v>13290</v>
      </c>
      <c r="W4962" t="s">
        <v>18203</v>
      </c>
      <c r="X4962">
        <v>28</v>
      </c>
      <c r="Y4962" t="s">
        <v>24685</v>
      </c>
      <c r="Z4962" t="s">
        <v>31292</v>
      </c>
      <c r="AA4962">
        <v>0.45704745984645118</v>
      </c>
      <c r="AB4962" t="str">
        <f>HYPERLINK("Melting_Curves/meltCurve_Q96AY3_FKBP10.pdf", "Melting_Curves/meltCurve_Q96AY3_FKBP10.pdf")</f>
        <v>Melting_Curves/meltCurve_Q96AY3_FKBP10.pdf</v>
      </c>
    </row>
    <row r="4963" spans="1:28" x14ac:dyDescent="0.25">
      <c r="A4963" t="s">
        <v>4967</v>
      </c>
      <c r="B4963">
        <v>0.99252571173614901</v>
      </c>
      <c r="C4963">
        <v>1.03352838258707</v>
      </c>
      <c r="D4963">
        <v>0.87489867730371096</v>
      </c>
      <c r="E4963">
        <v>0.47857349707783398</v>
      </c>
      <c r="F4963">
        <v>0.156069049068642</v>
      </c>
      <c r="G4963">
        <v>6.7902003098763306E-2</v>
      </c>
      <c r="H4963">
        <v>4.7314556533123303E-2</v>
      </c>
      <c r="I4963">
        <v>3.93326578406656E-2</v>
      </c>
      <c r="J4963">
        <v>4.9692381585473899E-2</v>
      </c>
      <c r="K4963">
        <v>6.1990583881230403E-2</v>
      </c>
      <c r="L4963">
        <v>1392.58583294806</v>
      </c>
      <c r="M4963">
        <v>28.272800779114402</v>
      </c>
      <c r="N4963">
        <v>49.432676799739703</v>
      </c>
      <c r="O4963">
        <v>49.010899355657799</v>
      </c>
      <c r="P4963">
        <v>-0.137262321701761</v>
      </c>
      <c r="Q4963">
        <v>4.8231321447719203E-2</v>
      </c>
      <c r="R4963">
        <v>0.99829854981303101</v>
      </c>
      <c r="S4963" t="s">
        <v>11609</v>
      </c>
      <c r="T4963" t="s">
        <v>13290</v>
      </c>
      <c r="U4963" t="s">
        <v>13290</v>
      </c>
      <c r="V4963" t="s">
        <v>13290</v>
      </c>
      <c r="W4963" t="s">
        <v>18204</v>
      </c>
      <c r="X4963">
        <v>3</v>
      </c>
      <c r="Y4963" t="s">
        <v>24686</v>
      </c>
      <c r="Z4963" t="s">
        <v>31293</v>
      </c>
      <c r="AA4963">
        <v>0.34843035578166431</v>
      </c>
      <c r="AB4963" t="str">
        <f>HYPERLINK("Melting_Curves/meltCurve_Q96AZ6_ISG20.pdf", "Melting_Curves/meltCurve_Q96AZ6_ISG20.pdf")</f>
        <v>Melting_Curves/meltCurve_Q96AZ6_ISG20.pdf</v>
      </c>
    </row>
    <row r="4964" spans="1:28" x14ac:dyDescent="0.25">
      <c r="A4964" t="s">
        <v>4968</v>
      </c>
      <c r="B4964">
        <v>0.99252571173614901</v>
      </c>
      <c r="C4964">
        <v>1.07293201218461</v>
      </c>
      <c r="D4964">
        <v>0.98849546901405505</v>
      </c>
      <c r="E4964">
        <v>0.86423363593548197</v>
      </c>
      <c r="F4964">
        <v>0.74362084143795104</v>
      </c>
      <c r="G4964">
        <v>0.61111790700185598</v>
      </c>
      <c r="H4964">
        <v>0.63461602187178501</v>
      </c>
      <c r="I4964">
        <v>0.83566931978304904</v>
      </c>
      <c r="J4964">
        <v>1.3594226025434599</v>
      </c>
      <c r="K4964">
        <v>1.5162199350629999</v>
      </c>
      <c r="L4964">
        <v>15000</v>
      </c>
      <c r="M4964">
        <v>224.485307247522</v>
      </c>
      <c r="O4964">
        <v>66.814235514489297</v>
      </c>
      <c r="P4964">
        <v>0.419980441691508</v>
      </c>
      <c r="Q4964">
        <v>1.5</v>
      </c>
      <c r="R4964">
        <v>0.48670176104907897</v>
      </c>
      <c r="S4964" t="s">
        <v>11610</v>
      </c>
      <c r="T4964" t="s">
        <v>13290</v>
      </c>
      <c r="U4964" t="s">
        <v>13290</v>
      </c>
      <c r="V4964" t="s">
        <v>13290</v>
      </c>
      <c r="W4964" t="s">
        <v>18205</v>
      </c>
      <c r="X4964">
        <v>6</v>
      </c>
      <c r="Y4964" t="s">
        <v>24687</v>
      </c>
      <c r="Z4964" t="s">
        <v>31294</v>
      </c>
      <c r="AA4964">
        <v>1.052935516456581</v>
      </c>
      <c r="AB4964" t="str">
        <f>HYPERLINK("Melting_Curves/meltCurve_Q96B01_2_RAD51AP1.pdf", "Melting_Curves/meltCurve_Q96B01_2_RAD51AP1.pdf")</f>
        <v>Melting_Curves/meltCurve_Q96B01_2_RAD51AP1.pdf</v>
      </c>
    </row>
    <row r="4965" spans="1:28" x14ac:dyDescent="0.25">
      <c r="A4965" t="s">
        <v>4969</v>
      </c>
      <c r="B4965">
        <v>0.99252571173614901</v>
      </c>
      <c r="C4965">
        <v>1.00680984357323</v>
      </c>
      <c r="D4965">
        <v>0.83852792435466394</v>
      </c>
      <c r="E4965">
        <v>0.63127744572950695</v>
      </c>
      <c r="F4965">
        <v>0.54867216614516801</v>
      </c>
      <c r="G4965">
        <v>0.45819391323478198</v>
      </c>
      <c r="H4965">
        <v>0.45526977255245699</v>
      </c>
      <c r="I4965">
        <v>0.58496218025037405</v>
      </c>
      <c r="J4965">
        <v>0.75172384033471695</v>
      </c>
      <c r="K4965">
        <v>0.7963180462103</v>
      </c>
      <c r="L4965">
        <v>2232.5405382300501</v>
      </c>
      <c r="M4965">
        <v>48.118095306135899</v>
      </c>
      <c r="O4965">
        <v>46.3171843572527</v>
      </c>
      <c r="P4965">
        <v>-0.10362301688351</v>
      </c>
      <c r="Q4965">
        <v>0.60102148298396896</v>
      </c>
      <c r="R4965">
        <v>0.71311502156648099</v>
      </c>
      <c r="S4965" t="s">
        <v>11611</v>
      </c>
      <c r="T4965" t="s">
        <v>13290</v>
      </c>
      <c r="U4965" t="s">
        <v>13290</v>
      </c>
      <c r="V4965" t="s">
        <v>13290</v>
      </c>
      <c r="W4965" t="s">
        <v>18206</v>
      </c>
      <c r="X4965">
        <v>5</v>
      </c>
      <c r="Y4965" t="s">
        <v>24688</v>
      </c>
      <c r="Z4965" t="s">
        <v>31295</v>
      </c>
      <c r="AA4965">
        <v>0.68698470804446221</v>
      </c>
      <c r="AB4965" t="str">
        <f>HYPERLINK("Melting_Curves/meltCurve_Q96B23_2_C18orf25.pdf", "Melting_Curves/meltCurve_Q96B23_2_C18orf25.pdf")</f>
        <v>Melting_Curves/meltCurve_Q96B23_2_C18orf25.pdf</v>
      </c>
    </row>
    <row r="4966" spans="1:28" x14ac:dyDescent="0.25">
      <c r="A4966" t="s">
        <v>4970</v>
      </c>
      <c r="B4966">
        <v>0.99252571173614901</v>
      </c>
      <c r="C4966">
        <v>1.10911424600261</v>
      </c>
      <c r="D4966">
        <v>1.6317055335892601</v>
      </c>
      <c r="E4966">
        <v>2.1717269675062898</v>
      </c>
      <c r="F4966">
        <v>2.1738538784847901</v>
      </c>
      <c r="G4966">
        <v>1.6080579817307701</v>
      </c>
      <c r="H4966">
        <v>0.71862967799819299</v>
      </c>
      <c r="I4966">
        <v>0.24819999287612199</v>
      </c>
      <c r="J4966">
        <v>0.18815811168232399</v>
      </c>
      <c r="K4966">
        <v>0.14753623766561699</v>
      </c>
      <c r="L4966">
        <v>5216.6145997817903</v>
      </c>
      <c r="M4966">
        <v>85.118566133542103</v>
      </c>
      <c r="N4966">
        <v>61.623953732011799</v>
      </c>
      <c r="O4966">
        <v>61.252661079890601</v>
      </c>
      <c r="P4966">
        <v>-0.282685097029514</v>
      </c>
      <c r="Q4966">
        <v>0.18630171839642501</v>
      </c>
      <c r="R4966">
        <v>0.35283481676418799</v>
      </c>
      <c r="S4966" t="s">
        <v>11612</v>
      </c>
      <c r="T4966" t="s">
        <v>13290</v>
      </c>
      <c r="U4966" t="s">
        <v>13290</v>
      </c>
      <c r="V4966" t="s">
        <v>13290</v>
      </c>
      <c r="W4966" t="s">
        <v>18207</v>
      </c>
      <c r="X4966">
        <v>10</v>
      </c>
      <c r="Y4966" t="s">
        <v>24689</v>
      </c>
      <c r="Z4966" t="s">
        <v>31296</v>
      </c>
      <c r="AA4966">
        <v>0.76441552917533928</v>
      </c>
      <c r="AB4966" t="str">
        <f>HYPERLINK("Melting_Curves/meltCurve_Q96B26_EXOSC8.pdf", "Melting_Curves/meltCurve_Q96B26_EXOSC8.pdf")</f>
        <v>Melting_Curves/meltCurve_Q96B26_EXOSC8.pdf</v>
      </c>
    </row>
    <row r="4967" spans="1:28" x14ac:dyDescent="0.25">
      <c r="A4967" t="s">
        <v>4971</v>
      </c>
      <c r="B4967">
        <v>0.99252571173614901</v>
      </c>
      <c r="C4967">
        <v>1.0898962597273101</v>
      </c>
      <c r="D4967">
        <v>0.94377101035291899</v>
      </c>
      <c r="E4967">
        <v>0.83479289603774398</v>
      </c>
      <c r="F4967">
        <v>0.60414593621559298</v>
      </c>
      <c r="G4967">
        <v>0.41548646493354702</v>
      </c>
      <c r="H4967">
        <v>0.35793020639680001</v>
      </c>
      <c r="I4967">
        <v>0.44668924443532998</v>
      </c>
      <c r="J4967">
        <v>0.75511987226742605</v>
      </c>
      <c r="K4967">
        <v>1.06044523467831</v>
      </c>
      <c r="L4967">
        <v>3167.12421324037</v>
      </c>
      <c r="M4967">
        <v>63.546825277544798</v>
      </c>
      <c r="O4967">
        <v>49.789931511553199</v>
      </c>
      <c r="P4967">
        <v>-0.12584973386611001</v>
      </c>
      <c r="Q4967">
        <v>0.60557917197854605</v>
      </c>
      <c r="R4967">
        <v>0.47693804285452102</v>
      </c>
      <c r="S4967" t="s">
        <v>11613</v>
      </c>
      <c r="T4967" t="s">
        <v>13290</v>
      </c>
      <c r="U4967" t="s">
        <v>13290</v>
      </c>
      <c r="V4967" t="s">
        <v>13290</v>
      </c>
      <c r="W4967" t="s">
        <v>18208</v>
      </c>
      <c r="X4967">
        <v>7</v>
      </c>
      <c r="Y4967" t="s">
        <v>24690</v>
      </c>
      <c r="Z4967" t="s">
        <v>31297</v>
      </c>
      <c r="AA4967">
        <v>0.73547461907144884</v>
      </c>
      <c r="AB4967" t="str">
        <f>HYPERLINK("Melting_Curves/meltCurve_Q96B36_AKT1S1.pdf", "Melting_Curves/meltCurve_Q96B36_AKT1S1.pdf")</f>
        <v>Melting_Curves/meltCurve_Q96B36_AKT1S1.pdf</v>
      </c>
    </row>
    <row r="4968" spans="1:28" x14ac:dyDescent="0.25">
      <c r="A4968" t="s">
        <v>4972</v>
      </c>
      <c r="B4968">
        <v>0.99252571173614901</v>
      </c>
      <c r="C4968">
        <v>1.0594010010744099</v>
      </c>
      <c r="D4968">
        <v>1.04135803359571</v>
      </c>
      <c r="E4968">
        <v>1.04851817025684</v>
      </c>
      <c r="F4968">
        <v>0.87192412588212598</v>
      </c>
      <c r="G4968">
        <v>0.61183038089117903</v>
      </c>
      <c r="H4968">
        <v>0.35462882688358199</v>
      </c>
      <c r="I4968">
        <v>0.369209061144744</v>
      </c>
      <c r="J4968">
        <v>0.4937691465315</v>
      </c>
      <c r="K4968">
        <v>0.60942465794587797</v>
      </c>
      <c r="L4968">
        <v>2272.98962070792</v>
      </c>
      <c r="M4968">
        <v>41.284627106265802</v>
      </c>
      <c r="N4968">
        <v>58.632182427492197</v>
      </c>
      <c r="O4968">
        <v>54.927856074016901</v>
      </c>
      <c r="P4968">
        <v>-0.10152887408050799</v>
      </c>
      <c r="Q4968">
        <v>0.45967750393182399</v>
      </c>
      <c r="R4968">
        <v>0.92602756690420196</v>
      </c>
      <c r="S4968" t="s">
        <v>11614</v>
      </c>
      <c r="T4968" t="s">
        <v>13290</v>
      </c>
      <c r="U4968" t="s">
        <v>13290</v>
      </c>
      <c r="V4968" t="s">
        <v>13290</v>
      </c>
      <c r="W4968" t="s">
        <v>18209</v>
      </c>
      <c r="X4968">
        <v>4</v>
      </c>
      <c r="Y4968" t="s">
        <v>24691</v>
      </c>
      <c r="Z4968" t="s">
        <v>31298</v>
      </c>
      <c r="AA4968">
        <v>0.73278111929620837</v>
      </c>
      <c r="AB4968" t="str">
        <f>HYPERLINK("Melting_Curves/meltCurve_Q96B45_C10orf32.pdf", "Melting_Curves/meltCurve_Q96B45_C10orf32.pdf")</f>
        <v>Melting_Curves/meltCurve_Q96B45_C10orf32.pdf</v>
      </c>
    </row>
    <row r="4969" spans="1:28" x14ac:dyDescent="0.25">
      <c r="A4969" t="s">
        <v>4973</v>
      </c>
      <c r="B4969">
        <v>0.99252571173614901</v>
      </c>
      <c r="C4969">
        <v>1.0409843784111601</v>
      </c>
      <c r="D4969">
        <v>0.98054715690115801</v>
      </c>
      <c r="E4969">
        <v>0.78679068818211395</v>
      </c>
      <c r="F4969">
        <v>0.65266523286241396</v>
      </c>
      <c r="G4969">
        <v>0.55075114253068103</v>
      </c>
      <c r="H4969">
        <v>0.51077132039851003</v>
      </c>
      <c r="I4969">
        <v>0.75696348796301405</v>
      </c>
      <c r="J4969">
        <v>1.1757859904068999</v>
      </c>
      <c r="K4969">
        <v>1.2601457274449901</v>
      </c>
      <c r="L4969">
        <v>15000</v>
      </c>
      <c r="M4969">
        <v>224.27993095847799</v>
      </c>
      <c r="O4969">
        <v>66.875387766924206</v>
      </c>
      <c r="P4969">
        <v>0.21814009739147699</v>
      </c>
      <c r="Q4969">
        <v>1.2601784922388799</v>
      </c>
      <c r="R4969">
        <v>-0.11393942172384899</v>
      </c>
      <c r="S4969" t="s">
        <v>11615</v>
      </c>
      <c r="T4969" t="s">
        <v>13290</v>
      </c>
      <c r="U4969" t="s">
        <v>13290</v>
      </c>
      <c r="V4969" t="s">
        <v>13290</v>
      </c>
      <c r="W4969" t="s">
        <v>18210</v>
      </c>
      <c r="X4969">
        <v>3</v>
      </c>
      <c r="Y4969" t="s">
        <v>24692</v>
      </c>
      <c r="Z4969" t="s">
        <v>31299</v>
      </c>
      <c r="AA4969">
        <v>1.027014629539267</v>
      </c>
      <c r="AB4969" t="str">
        <f>HYPERLINK("Melting_Curves/meltCurve_Q96B49_TOMM6.pdf", "Melting_Curves/meltCurve_Q96B49_TOMM6.pdf")</f>
        <v>Melting_Curves/meltCurve_Q96B49_TOMM6.pdf</v>
      </c>
    </row>
    <row r="4970" spans="1:28" x14ac:dyDescent="0.25">
      <c r="A4970" t="s">
        <v>4974</v>
      </c>
      <c r="B4970">
        <v>0.99252571173614901</v>
      </c>
      <c r="C4970">
        <v>0.81752924280953498</v>
      </c>
      <c r="D4970">
        <v>0.38770311233857901</v>
      </c>
      <c r="E4970">
        <v>0.20995144343477501</v>
      </c>
      <c r="F4970">
        <v>0.112338285099177</v>
      </c>
      <c r="G4970">
        <v>6.8027881260711007E-2</v>
      </c>
      <c r="H4970">
        <v>5.6396064168096602E-2</v>
      </c>
      <c r="I4970">
        <v>4.70336344415173E-2</v>
      </c>
      <c r="J4970">
        <v>6.2456708175604697E-2</v>
      </c>
      <c r="K4970">
        <v>6.4891435687155302E-2</v>
      </c>
      <c r="L4970">
        <v>1125.9701528963501</v>
      </c>
      <c r="M4970">
        <v>24.951047278046399</v>
      </c>
      <c r="N4970">
        <v>45.395237764713301</v>
      </c>
      <c r="O4970">
        <v>44.840304269613497</v>
      </c>
      <c r="P4970">
        <v>-0.12958265050925399</v>
      </c>
      <c r="Q4970">
        <v>6.8504872540592204E-2</v>
      </c>
      <c r="R4970">
        <v>0.99382218969504998</v>
      </c>
      <c r="S4970" t="s">
        <v>11616</v>
      </c>
      <c r="T4970" t="s">
        <v>13290</v>
      </c>
      <c r="U4970" t="s">
        <v>13290</v>
      </c>
      <c r="V4970" t="s">
        <v>13290</v>
      </c>
      <c r="W4970" t="s">
        <v>18211</v>
      </c>
      <c r="X4970">
        <v>1</v>
      </c>
      <c r="Y4970" t="s">
        <v>24693</v>
      </c>
      <c r="Z4970" t="s">
        <v>31300</v>
      </c>
      <c r="AA4970">
        <v>0.23690974576635421</v>
      </c>
      <c r="AB4970" t="str">
        <f>HYPERLINK("Melting_Curves/meltCurve_Q96B70_LENG9.pdf", "Melting_Curves/meltCurve_Q96B70_LENG9.pdf")</f>
        <v>Melting_Curves/meltCurve_Q96B70_LENG9.pdf</v>
      </c>
    </row>
    <row r="4971" spans="1:28" x14ac:dyDescent="0.25">
      <c r="A4971" t="s">
        <v>4975</v>
      </c>
      <c r="B4971">
        <v>0.99252571173614901</v>
      </c>
      <c r="C4971">
        <v>0.97475852828976906</v>
      </c>
      <c r="D4971">
        <v>0.94353697844478601</v>
      </c>
      <c r="E4971">
        <v>0.96556472519206005</v>
      </c>
      <c r="F4971">
        <v>0.50449695831715802</v>
      </c>
      <c r="G4971">
        <v>0.29563330268414001</v>
      </c>
      <c r="H4971">
        <v>0.28135668123758201</v>
      </c>
      <c r="I4971">
        <v>0.38209163991827799</v>
      </c>
      <c r="J4971">
        <v>0.66358389541264595</v>
      </c>
      <c r="K4971">
        <v>0.82678671077010901</v>
      </c>
      <c r="L4971">
        <v>4606.8236365989196</v>
      </c>
      <c r="M4971">
        <v>90.248325064898296</v>
      </c>
      <c r="N4971">
        <v>53.369401595133702</v>
      </c>
      <c r="O4971">
        <v>51.021036309107998</v>
      </c>
      <c r="P4971">
        <v>-0.22545441390420901</v>
      </c>
      <c r="Q4971">
        <v>0.49016597185335398</v>
      </c>
      <c r="R4971">
        <v>0.69314782723275603</v>
      </c>
      <c r="S4971" t="s">
        <v>11617</v>
      </c>
      <c r="T4971" t="s">
        <v>13290</v>
      </c>
      <c r="U4971" t="s">
        <v>13290</v>
      </c>
      <c r="V4971" t="s">
        <v>13290</v>
      </c>
      <c r="W4971" t="s">
        <v>18212</v>
      </c>
      <c r="X4971">
        <v>2</v>
      </c>
      <c r="Y4971" t="s">
        <v>24694</v>
      </c>
      <c r="Z4971" t="s">
        <v>31301</v>
      </c>
      <c r="AA4971">
        <v>0.67823930047597014</v>
      </c>
      <c r="AB4971" t="str">
        <f>HYPERLINK("Melting_Curves/meltCurve_Q96B97_SH3KBP1.pdf", "Melting_Curves/meltCurve_Q96B97_SH3KBP1.pdf")</f>
        <v>Melting_Curves/meltCurve_Q96B97_SH3KBP1.pdf</v>
      </c>
    </row>
    <row r="4972" spans="1:28" x14ac:dyDescent="0.25">
      <c r="A4972" t="s">
        <v>4976</v>
      </c>
      <c r="B4972">
        <v>0.99252571173614901</v>
      </c>
      <c r="C4972">
        <v>1.02431100123069</v>
      </c>
      <c r="D4972">
        <v>0.867778456622739</v>
      </c>
      <c r="E4972">
        <v>0.53362291450316701</v>
      </c>
      <c r="F4972">
        <v>0.249055375995935</v>
      </c>
      <c r="G4972">
        <v>0.122404552224119</v>
      </c>
      <c r="H4972">
        <v>8.5288987812326897E-2</v>
      </c>
      <c r="I4972">
        <v>8.48659579916555E-2</v>
      </c>
      <c r="J4972">
        <v>0.100011828361234</v>
      </c>
      <c r="K4972">
        <v>7.2243290569848503E-2</v>
      </c>
      <c r="L4972">
        <v>1175.8883240897201</v>
      </c>
      <c r="M4972">
        <v>23.7086469553754</v>
      </c>
      <c r="N4972">
        <v>49.975755039127002</v>
      </c>
      <c r="O4972">
        <v>49.248631260030002</v>
      </c>
      <c r="P4972">
        <v>-0.110467542752772</v>
      </c>
      <c r="Q4972">
        <v>8.2143323150014505E-2</v>
      </c>
      <c r="R4972">
        <v>0.99801313893133103</v>
      </c>
      <c r="S4972" t="s">
        <v>11618</v>
      </c>
      <c r="T4972" t="s">
        <v>13290</v>
      </c>
      <c r="U4972" t="s">
        <v>13290</v>
      </c>
      <c r="V4972" t="s">
        <v>13290</v>
      </c>
      <c r="W4972" t="s">
        <v>18213</v>
      </c>
      <c r="X4972">
        <v>9</v>
      </c>
      <c r="Y4972" t="s">
        <v>24695</v>
      </c>
      <c r="Z4972" t="s">
        <v>31302</v>
      </c>
      <c r="AA4972">
        <v>0.38487859051976092</v>
      </c>
      <c r="AB4972" t="str">
        <f>HYPERLINK("Melting_Curves/meltCurve_Q96BJ3_AIDA.pdf", "Melting_Curves/meltCurve_Q96BJ3_AIDA.pdf")</f>
        <v>Melting_Curves/meltCurve_Q96BJ3_AIDA.pdf</v>
      </c>
    </row>
    <row r="4973" spans="1:28" x14ac:dyDescent="0.25">
      <c r="A4973" t="s">
        <v>4977</v>
      </c>
      <c r="B4973">
        <v>0.99252571173614901</v>
      </c>
      <c r="C4973">
        <v>1.04159547361546</v>
      </c>
      <c r="D4973">
        <v>0.88929736354510203</v>
      </c>
      <c r="E4973">
        <v>0.95217342777039105</v>
      </c>
      <c r="F4973">
        <v>0.92431700165944197</v>
      </c>
      <c r="G4973">
        <v>0.82057471103522295</v>
      </c>
      <c r="H4973">
        <v>0.97393860591526704</v>
      </c>
      <c r="I4973">
        <v>1.26746907347895</v>
      </c>
      <c r="J4973">
        <v>1.80914958402423</v>
      </c>
      <c r="K4973">
        <v>2.0798945486515299</v>
      </c>
      <c r="L4973">
        <v>15000</v>
      </c>
      <c r="M4973">
        <v>234.51514872499601</v>
      </c>
      <c r="O4973">
        <v>63.957101252453903</v>
      </c>
      <c r="P4973">
        <v>0.45834462403774701</v>
      </c>
      <c r="Q4973">
        <v>1.5</v>
      </c>
      <c r="R4973">
        <v>0.70332175587427603</v>
      </c>
      <c r="S4973" t="s">
        <v>11619</v>
      </c>
      <c r="T4973" t="s">
        <v>13290</v>
      </c>
      <c r="U4973" t="s">
        <v>13290</v>
      </c>
      <c r="V4973" t="s">
        <v>13290</v>
      </c>
      <c r="W4973" t="s">
        <v>18214</v>
      </c>
      <c r="X4973">
        <v>7</v>
      </c>
      <c r="Y4973" t="s">
        <v>24696</v>
      </c>
      <c r="Z4973" t="s">
        <v>31303</v>
      </c>
      <c r="AA4973">
        <v>1.1005736667827259</v>
      </c>
      <c r="AB4973" t="str">
        <f>HYPERLINK("Melting_Curves/meltCurve_Q96BK5_PINX1.pdf", "Melting_Curves/meltCurve_Q96BK5_PINX1.pdf")</f>
        <v>Melting_Curves/meltCurve_Q96BK5_PINX1.pdf</v>
      </c>
    </row>
    <row r="4974" spans="1:28" x14ac:dyDescent="0.25">
      <c r="A4974" t="s">
        <v>4978</v>
      </c>
      <c r="B4974">
        <v>0.99252571173614901</v>
      </c>
      <c r="C4974">
        <v>1.0064452672492701</v>
      </c>
      <c r="D4974">
        <v>0.97867906946499394</v>
      </c>
      <c r="E4974">
        <v>0.88625535592678095</v>
      </c>
      <c r="F4974">
        <v>0.70467535738210396</v>
      </c>
      <c r="G4974">
        <v>0.57835227619284002</v>
      </c>
      <c r="H4974">
        <v>0.46133890796409799</v>
      </c>
      <c r="I4974">
        <v>0.42108969479061098</v>
      </c>
      <c r="J4974">
        <v>0.31028232273438799</v>
      </c>
      <c r="K4974">
        <v>0.117964626675141</v>
      </c>
      <c r="L4974">
        <v>548.06012187403803</v>
      </c>
      <c r="M4974">
        <v>9.1853578065618802</v>
      </c>
      <c r="N4974">
        <v>59.666711458915501</v>
      </c>
      <c r="O4974">
        <v>57.042885488818399</v>
      </c>
      <c r="P4974">
        <v>-4.0283419511255303E-2</v>
      </c>
      <c r="Q4974">
        <v>0</v>
      </c>
      <c r="R4974">
        <v>0.97618878219037697</v>
      </c>
      <c r="S4974" t="s">
        <v>11620</v>
      </c>
      <c r="T4974" t="s">
        <v>13290</v>
      </c>
      <c r="U4974" t="s">
        <v>13290</v>
      </c>
      <c r="V4974" t="s">
        <v>13290</v>
      </c>
      <c r="W4974" t="s">
        <v>18215</v>
      </c>
      <c r="X4974">
        <v>7</v>
      </c>
      <c r="Y4974" t="s">
        <v>24697</v>
      </c>
      <c r="Z4974" t="s">
        <v>31304</v>
      </c>
      <c r="AA4974">
        <v>0.6505696562648684</v>
      </c>
      <c r="AB4974" t="str">
        <f>HYPERLINK("Melting_Curves/meltCurve_Q96BM9_ARL8A.pdf", "Melting_Curves/meltCurve_Q96BM9_ARL8A.pdf")</f>
        <v>Melting_Curves/meltCurve_Q96BM9_ARL8A.pdf</v>
      </c>
    </row>
    <row r="4975" spans="1:28" x14ac:dyDescent="0.25">
      <c r="A4975" t="s">
        <v>4979</v>
      </c>
      <c r="B4975">
        <v>0.99252571173614901</v>
      </c>
      <c r="C4975">
        <v>0.86766153093047205</v>
      </c>
      <c r="D4975">
        <v>0.54387870250584003</v>
      </c>
      <c r="E4975">
        <v>0.29269744271139297</v>
      </c>
      <c r="F4975">
        <v>0.13457327477372899</v>
      </c>
      <c r="G4975">
        <v>7.31098825422557E-2</v>
      </c>
      <c r="H4975">
        <v>5.2696091765202902E-2</v>
      </c>
      <c r="I4975">
        <v>5.3823435038221901E-2</v>
      </c>
      <c r="J4975">
        <v>6.8846270025088599E-2</v>
      </c>
      <c r="K4975">
        <v>6.2394010943410801E-2</v>
      </c>
      <c r="L4975">
        <v>927.97144456125704</v>
      </c>
      <c r="M4975">
        <v>19.9682024482081</v>
      </c>
      <c r="N4975">
        <v>46.758899213650203</v>
      </c>
      <c r="O4975">
        <v>46.013899647714197</v>
      </c>
      <c r="P4975">
        <v>-0.102247733685165</v>
      </c>
      <c r="Q4975">
        <v>5.7569079729688701E-2</v>
      </c>
      <c r="R4975">
        <v>0.997098251854169</v>
      </c>
      <c r="S4975" t="s">
        <v>11621</v>
      </c>
      <c r="T4975" t="s">
        <v>13290</v>
      </c>
      <c r="U4975" t="s">
        <v>13290</v>
      </c>
      <c r="V4975" t="s">
        <v>13290</v>
      </c>
      <c r="W4975" t="s">
        <v>18216</v>
      </c>
      <c r="X4975">
        <v>8</v>
      </c>
      <c r="Y4975" t="s">
        <v>24698</v>
      </c>
      <c r="Z4975" t="s">
        <v>31305</v>
      </c>
      <c r="AA4975">
        <v>0.27509308972891572</v>
      </c>
      <c r="AB4975" t="str">
        <f>HYPERLINK("Melting_Curves/meltCurve_Q96BN8_FAM105B.pdf", "Melting_Curves/meltCurve_Q96BN8_FAM105B.pdf")</f>
        <v>Melting_Curves/meltCurve_Q96BN8_FAM105B.pdf</v>
      </c>
    </row>
    <row r="4976" spans="1:28" x14ac:dyDescent="0.25">
      <c r="A4976" t="s">
        <v>4980</v>
      </c>
      <c r="B4976">
        <v>0.99252571173614901</v>
      </c>
      <c r="C4976">
        <v>0.99724325184308804</v>
      </c>
      <c r="D4976">
        <v>0.89010729675866496</v>
      </c>
      <c r="E4976">
        <v>0.61888690097316801</v>
      </c>
      <c r="F4976">
        <v>0.455690796419494</v>
      </c>
      <c r="G4976">
        <v>0.31333315295014502</v>
      </c>
      <c r="H4976">
        <v>0.247635809667207</v>
      </c>
      <c r="I4976">
        <v>0.31286134676535698</v>
      </c>
      <c r="J4976">
        <v>0.446676062353212</v>
      </c>
      <c r="K4976">
        <v>0.47103817279190802</v>
      </c>
      <c r="L4976">
        <v>1325.9104051752299</v>
      </c>
      <c r="M4976">
        <v>27.126933970898602</v>
      </c>
      <c r="N4976">
        <v>51.290763688029998</v>
      </c>
      <c r="O4976">
        <v>48.6147049476264</v>
      </c>
      <c r="P4976">
        <v>-8.9219853919711795E-2</v>
      </c>
      <c r="Q4976">
        <v>0.36043577065402399</v>
      </c>
      <c r="R4976">
        <v>0.94536491961694602</v>
      </c>
      <c r="S4976" t="s">
        <v>11622</v>
      </c>
      <c r="T4976" t="s">
        <v>13290</v>
      </c>
      <c r="U4976" t="s">
        <v>13290</v>
      </c>
      <c r="V4976" t="s">
        <v>13290</v>
      </c>
      <c r="W4976" t="s">
        <v>18217</v>
      </c>
      <c r="X4976">
        <v>1</v>
      </c>
      <c r="Y4976" t="s">
        <v>24699</v>
      </c>
      <c r="Z4976" t="s">
        <v>31306</v>
      </c>
      <c r="AA4976">
        <v>0.55448850551667539</v>
      </c>
      <c r="AB4976" t="str">
        <f>HYPERLINK("Melting_Curves/meltCurve_Q96BP2_CHCHD1.pdf", "Melting_Curves/meltCurve_Q96BP2_CHCHD1.pdf")</f>
        <v>Melting_Curves/meltCurve_Q96BP2_CHCHD1.pdf</v>
      </c>
    </row>
    <row r="4977" spans="1:28" x14ac:dyDescent="0.25">
      <c r="A4977" t="s">
        <v>4981</v>
      </c>
      <c r="B4977">
        <v>0.99252571173614901</v>
      </c>
      <c r="C4977">
        <v>0.98014752526925097</v>
      </c>
      <c r="D4977">
        <v>0.94469215344519497</v>
      </c>
      <c r="E4977">
        <v>0.64840294351401795</v>
      </c>
      <c r="F4977">
        <v>0.224907530396667</v>
      </c>
      <c r="G4977">
        <v>0.14645501933236299</v>
      </c>
      <c r="H4977">
        <v>9.0693184020676096E-2</v>
      </c>
      <c r="I4977">
        <v>6.2990277732069999E-2</v>
      </c>
      <c r="J4977">
        <v>6.9109756745661693E-2</v>
      </c>
      <c r="K4977">
        <v>6.4176660933467702E-2</v>
      </c>
      <c r="L4977">
        <v>1441.25171560851</v>
      </c>
      <c r="M4977">
        <v>28.5945766500163</v>
      </c>
      <c r="N4977">
        <v>50.690021035091597</v>
      </c>
      <c r="O4977">
        <v>50.158396916058003</v>
      </c>
      <c r="P4977">
        <v>-0.13186932956518499</v>
      </c>
      <c r="Q4977">
        <v>7.4747444523128703E-2</v>
      </c>
      <c r="R4977">
        <v>0.99850613577996095</v>
      </c>
      <c r="S4977" t="s">
        <v>11623</v>
      </c>
      <c r="T4977" t="s">
        <v>13290</v>
      </c>
      <c r="U4977" t="s">
        <v>13290</v>
      </c>
      <c r="V4977" t="s">
        <v>13290</v>
      </c>
      <c r="W4977" t="s">
        <v>18218</v>
      </c>
      <c r="X4977">
        <v>12</v>
      </c>
      <c r="Y4977" t="s">
        <v>24700</v>
      </c>
      <c r="Z4977" t="s">
        <v>31307</v>
      </c>
      <c r="AA4977">
        <v>0.40193827262091908</v>
      </c>
      <c r="AB4977" t="str">
        <f>HYPERLINK("Melting_Curves/meltCurve_Q96BP3_PPWD1.pdf", "Melting_Curves/meltCurve_Q96BP3_PPWD1.pdf")</f>
        <v>Melting_Curves/meltCurve_Q96BP3_PPWD1.pdf</v>
      </c>
    </row>
    <row r="4978" spans="1:28" x14ac:dyDescent="0.25">
      <c r="A4978" t="s">
        <v>4982</v>
      </c>
      <c r="B4978">
        <v>0.99252571173614901</v>
      </c>
      <c r="C4978">
        <v>1.04640869451603</v>
      </c>
      <c r="D4978">
        <v>0.95915744845906103</v>
      </c>
      <c r="E4978">
        <v>0.83260383500230295</v>
      </c>
      <c r="F4978">
        <v>0.34230045615215299</v>
      </c>
      <c r="G4978">
        <v>0.23966445958424001</v>
      </c>
      <c r="H4978">
        <v>0.216186437756518</v>
      </c>
      <c r="I4978">
        <v>0.27054706838211101</v>
      </c>
      <c r="J4978">
        <v>0.36557012181339099</v>
      </c>
      <c r="K4978">
        <v>0.426893187310105</v>
      </c>
      <c r="L4978">
        <v>2954.8642089899099</v>
      </c>
      <c r="M4978">
        <v>58.4299309137526</v>
      </c>
      <c r="N4978">
        <v>51.394302180788898</v>
      </c>
      <c r="O4978">
        <v>50.511936408947001</v>
      </c>
      <c r="P4978">
        <v>-0.20130768043397501</v>
      </c>
      <c r="Q4978">
        <v>0.30388854069153198</v>
      </c>
      <c r="R4978">
        <v>0.96641420025510405</v>
      </c>
      <c r="S4978" t="s">
        <v>11624</v>
      </c>
      <c r="T4978" t="s">
        <v>13290</v>
      </c>
      <c r="U4978" t="s">
        <v>13290</v>
      </c>
      <c r="V4978" t="s">
        <v>13290</v>
      </c>
      <c r="W4978" t="s">
        <v>18219</v>
      </c>
      <c r="X4978">
        <v>12</v>
      </c>
      <c r="Y4978" t="s">
        <v>24701</v>
      </c>
      <c r="Z4978" t="s">
        <v>31308</v>
      </c>
      <c r="AA4978">
        <v>0.55031204219949259</v>
      </c>
      <c r="AB4978" t="str">
        <f>HYPERLINK("Melting_Curves/meltCurve_Q96BR5_SELRC1.pdf", "Melting_Curves/meltCurve_Q96BR5_SELRC1.pdf")</f>
        <v>Melting_Curves/meltCurve_Q96BR5_SELRC1.pdf</v>
      </c>
    </row>
    <row r="4979" spans="1:28" x14ac:dyDescent="0.25">
      <c r="A4979" t="s">
        <v>4983</v>
      </c>
      <c r="B4979">
        <v>0.99252571173614901</v>
      </c>
      <c r="C4979">
        <v>0.98579595501994999</v>
      </c>
      <c r="D4979">
        <v>1.0349012779873801</v>
      </c>
      <c r="E4979">
        <v>1.1935315153630299</v>
      </c>
      <c r="F4979">
        <v>0.68464374915236603</v>
      </c>
      <c r="G4979">
        <v>0.46299364215261202</v>
      </c>
      <c r="H4979">
        <v>0.28670914667882202</v>
      </c>
      <c r="I4979">
        <v>0.193813847624902</v>
      </c>
      <c r="J4979">
        <v>0.17775142653845499</v>
      </c>
      <c r="K4979">
        <v>0.16943587956675299</v>
      </c>
      <c r="L4979">
        <v>1549.6214891540301</v>
      </c>
      <c r="M4979">
        <v>28.142674668589301</v>
      </c>
      <c r="N4979">
        <v>56.0087025309507</v>
      </c>
      <c r="O4979">
        <v>54.787266644587397</v>
      </c>
      <c r="P4979">
        <v>-0.104133971815322</v>
      </c>
      <c r="Q4979">
        <v>0.189107827731197</v>
      </c>
      <c r="R4979">
        <v>0.95525573467060598</v>
      </c>
      <c r="S4979" t="s">
        <v>11625</v>
      </c>
      <c r="T4979" t="s">
        <v>13290</v>
      </c>
      <c r="U4979" t="s">
        <v>13290</v>
      </c>
      <c r="V4979" t="s">
        <v>13290</v>
      </c>
      <c r="W4979" t="s">
        <v>18220</v>
      </c>
      <c r="X4979">
        <v>2</v>
      </c>
      <c r="Y4979" t="s">
        <v>24702</v>
      </c>
      <c r="Z4979" t="s">
        <v>31309</v>
      </c>
      <c r="AA4979">
        <v>0.60232082304073964</v>
      </c>
      <c r="AB4979" t="str">
        <f>HYPERLINK("Melting_Curves/meltCurve_Q96BW1_UPRT.pdf", "Melting_Curves/meltCurve_Q96BW1_UPRT.pdf")</f>
        <v>Melting_Curves/meltCurve_Q96BW1_UPRT.pdf</v>
      </c>
    </row>
    <row r="4980" spans="1:28" x14ac:dyDescent="0.25">
      <c r="A4980" t="s">
        <v>4984</v>
      </c>
      <c r="B4980">
        <v>0.99252571173614901</v>
      </c>
      <c r="C4980">
        <v>1.0546682565441801</v>
      </c>
      <c r="D4980">
        <v>0.98656448321393597</v>
      </c>
      <c r="E4980">
        <v>0.89708425724096696</v>
      </c>
      <c r="F4980">
        <v>0.86682344878677597</v>
      </c>
      <c r="G4980">
        <v>0.70316381049098198</v>
      </c>
      <c r="H4980">
        <v>0.50386072694105999</v>
      </c>
      <c r="I4980">
        <v>0.30427180992973102</v>
      </c>
      <c r="J4980">
        <v>0.239718076717468</v>
      </c>
      <c r="K4980">
        <v>0.21404258576509699</v>
      </c>
      <c r="L4980">
        <v>841.65840341926503</v>
      </c>
      <c r="M4980">
        <v>14.146527657464301</v>
      </c>
      <c r="N4980">
        <v>60.4157910152772</v>
      </c>
      <c r="O4980">
        <v>58.344734080800997</v>
      </c>
      <c r="P4980">
        <v>-5.4749268502617597E-2</v>
      </c>
      <c r="Q4980">
        <v>9.6901815311698503E-2</v>
      </c>
      <c r="R4980">
        <v>0.99126906599841602</v>
      </c>
      <c r="S4980" t="s">
        <v>11626</v>
      </c>
      <c r="T4980" t="s">
        <v>13290</v>
      </c>
      <c r="U4980" t="s">
        <v>13290</v>
      </c>
      <c r="V4980" t="s">
        <v>13290</v>
      </c>
      <c r="W4980" t="s">
        <v>18221</v>
      </c>
      <c r="X4980">
        <v>9</v>
      </c>
      <c r="Y4980" t="s">
        <v>24703</v>
      </c>
      <c r="Z4980" t="s">
        <v>31310</v>
      </c>
      <c r="AA4980">
        <v>0.69116621724456151</v>
      </c>
      <c r="AB4980" t="str">
        <f>HYPERLINK("Melting_Curves/meltCurve_Q96BW5_2_PTER.pdf", "Melting_Curves/meltCurve_Q96BW5_2_PTER.pdf")</f>
        <v>Melting_Curves/meltCurve_Q96BW5_2_PTER.pdf</v>
      </c>
    </row>
    <row r="4981" spans="1:28" x14ac:dyDescent="0.25">
      <c r="A4981" t="s">
        <v>4985</v>
      </c>
      <c r="B4981">
        <v>0.99252571173614901</v>
      </c>
      <c r="C4981">
        <v>0.746119365335847</v>
      </c>
      <c r="D4981">
        <v>0.82292638278701802</v>
      </c>
      <c r="E4981">
        <v>0.75759622120922698</v>
      </c>
      <c r="F4981">
        <v>0.47601621561528001</v>
      </c>
      <c r="G4981">
        <v>0.198024130108029</v>
      </c>
      <c r="H4981">
        <v>0.138946807120225</v>
      </c>
      <c r="I4981">
        <v>8.0233442553280104E-2</v>
      </c>
      <c r="J4981">
        <v>5.4202775981406E-2</v>
      </c>
      <c r="K4981">
        <v>4.5300157192785503E-2</v>
      </c>
      <c r="L4981">
        <v>641.375850597865</v>
      </c>
      <c r="M4981">
        <v>12.282524448756799</v>
      </c>
      <c r="N4981">
        <v>52.218545147045397</v>
      </c>
      <c r="O4981">
        <v>50.8922460982443</v>
      </c>
      <c r="P4981">
        <v>-6.0349222577751001E-2</v>
      </c>
      <c r="Q4981">
        <v>0</v>
      </c>
      <c r="R4981">
        <v>0.95677388384084405</v>
      </c>
      <c r="S4981" t="s">
        <v>11627</v>
      </c>
      <c r="T4981" t="s">
        <v>13290</v>
      </c>
      <c r="U4981" t="s">
        <v>13290</v>
      </c>
      <c r="V4981" t="s">
        <v>13290</v>
      </c>
      <c r="W4981" t="s">
        <v>18222</v>
      </c>
      <c r="X4981">
        <v>2</v>
      </c>
      <c r="Y4981" t="s">
        <v>24704</v>
      </c>
      <c r="Z4981" t="s">
        <v>31311</v>
      </c>
      <c r="AA4981">
        <v>0.43656417637938699</v>
      </c>
      <c r="AB4981" t="str">
        <f>HYPERLINK("Melting_Curves/meltCurve_Q96BY7_ATG2B.pdf", "Melting_Curves/meltCurve_Q96BY7_ATG2B.pdf")</f>
        <v>Melting_Curves/meltCurve_Q96BY7_ATG2B.pdf</v>
      </c>
    </row>
    <row r="4982" spans="1:28" x14ac:dyDescent="0.25">
      <c r="A4982" t="s">
        <v>4986</v>
      </c>
      <c r="B4982">
        <v>0.99252571173614901</v>
      </c>
      <c r="C4982">
        <v>1.05988832015228</v>
      </c>
      <c r="D4982">
        <v>0.95176710530181496</v>
      </c>
      <c r="E4982">
        <v>0.93846960126102397</v>
      </c>
      <c r="F4982">
        <v>0.79195314805660499</v>
      </c>
      <c r="G4982">
        <v>0.62805281542186397</v>
      </c>
      <c r="H4982">
        <v>0.71813581123230796</v>
      </c>
      <c r="I4982">
        <v>0.99036430767888595</v>
      </c>
      <c r="J4982">
        <v>1.5725029219453399</v>
      </c>
      <c r="K4982">
        <v>1.76560790270607</v>
      </c>
      <c r="L4982">
        <v>15000</v>
      </c>
      <c r="M4982">
        <v>229.77661777241099</v>
      </c>
      <c r="O4982">
        <v>65.275836509818703</v>
      </c>
      <c r="P4982">
        <v>0.44001078291559198</v>
      </c>
      <c r="Q4982">
        <v>1.5</v>
      </c>
      <c r="R4982">
        <v>0.70294024998972204</v>
      </c>
      <c r="S4982" t="s">
        <v>11628</v>
      </c>
      <c r="T4982" t="s">
        <v>13290</v>
      </c>
      <c r="U4982" t="s">
        <v>13290</v>
      </c>
      <c r="V4982" t="s">
        <v>13290</v>
      </c>
      <c r="W4982" t="s">
        <v>18223</v>
      </c>
      <c r="X4982">
        <v>11</v>
      </c>
      <c r="Y4982" t="s">
        <v>24705</v>
      </c>
      <c r="Z4982" t="s">
        <v>31312</v>
      </c>
      <c r="AA4982">
        <v>1.078585624774395</v>
      </c>
      <c r="AB4982" t="str">
        <f>HYPERLINK("Melting_Curves/meltCurve_Q96BZ8_LENG1.pdf", "Melting_Curves/meltCurve_Q96BZ8_LENG1.pdf")</f>
        <v>Melting_Curves/meltCurve_Q96BZ8_LENG1.pdf</v>
      </c>
    </row>
    <row r="4983" spans="1:28" x14ac:dyDescent="0.25">
      <c r="A4983" t="s">
        <v>4987</v>
      </c>
      <c r="B4983">
        <v>0.99252571173614901</v>
      </c>
      <c r="C4983">
        <v>0.98194727004409499</v>
      </c>
      <c r="D4983">
        <v>0.87232761685790905</v>
      </c>
      <c r="E4983">
        <v>0.78002141609503295</v>
      </c>
      <c r="F4983">
        <v>0.17742080968256199</v>
      </c>
      <c r="G4983">
        <v>9.5944396681353905E-2</v>
      </c>
      <c r="H4983">
        <v>5.7930358924239297E-2</v>
      </c>
      <c r="I4983">
        <v>7.9682236820862201E-2</v>
      </c>
      <c r="J4983">
        <v>7.9985380793158006E-2</v>
      </c>
      <c r="K4983">
        <v>7.6869886106778806E-2</v>
      </c>
      <c r="L4983">
        <v>2202.5967502366102</v>
      </c>
      <c r="M4983">
        <v>43.325001795380899</v>
      </c>
      <c r="N4983">
        <v>51.0272177294732</v>
      </c>
      <c r="O4983">
        <v>50.730957747189699</v>
      </c>
      <c r="P4983">
        <v>-0.197732102286753</v>
      </c>
      <c r="Q4983">
        <v>7.3871712638242604E-2</v>
      </c>
      <c r="R4983">
        <v>0.99060395316734096</v>
      </c>
      <c r="S4983" t="s">
        <v>11629</v>
      </c>
      <c r="T4983" t="s">
        <v>13290</v>
      </c>
      <c r="U4983" t="s">
        <v>13290</v>
      </c>
      <c r="V4983" t="s">
        <v>13290</v>
      </c>
      <c r="W4983" t="s">
        <v>18224</v>
      </c>
      <c r="X4983">
        <v>5</v>
      </c>
      <c r="Y4983" t="s">
        <v>24706</v>
      </c>
      <c r="Z4983" t="s">
        <v>31313</v>
      </c>
      <c r="AA4983">
        <v>0.41125069037961992</v>
      </c>
      <c r="AB4983" t="str">
        <f>HYPERLINK("Melting_Curves/meltCurve_Q96BZ9_TBC1D20.pdf", "Melting_Curves/meltCurve_Q96BZ9_TBC1D20.pdf")</f>
        <v>Melting_Curves/meltCurve_Q96BZ9_TBC1D20.pdf</v>
      </c>
    </row>
    <row r="4984" spans="1:28" x14ac:dyDescent="0.25">
      <c r="A4984" t="s">
        <v>4988</v>
      </c>
      <c r="B4984">
        <v>0.99252571173614901</v>
      </c>
      <c r="C4984">
        <v>1.0106202992733899</v>
      </c>
      <c r="D4984">
        <v>0.95767943216875895</v>
      </c>
      <c r="E4984">
        <v>0.96315900921460396</v>
      </c>
      <c r="F4984">
        <v>0.58973149806835301</v>
      </c>
      <c r="G4984">
        <v>0.45582557261857998</v>
      </c>
      <c r="H4984">
        <v>0.413182824546586</v>
      </c>
      <c r="I4984">
        <v>0.56042621600640996</v>
      </c>
      <c r="J4984">
        <v>0.85170356943728498</v>
      </c>
      <c r="K4984">
        <v>0.95774211753808802</v>
      </c>
      <c r="L4984">
        <v>12507.9982719047</v>
      </c>
      <c r="M4984">
        <v>250</v>
      </c>
      <c r="O4984">
        <v>50.028791384374202</v>
      </c>
      <c r="P4984">
        <v>-0.45211222276350799</v>
      </c>
      <c r="Q4984">
        <v>0.63810195131493197</v>
      </c>
      <c r="R4984">
        <v>0.53831242276916602</v>
      </c>
      <c r="S4984" t="s">
        <v>11630</v>
      </c>
      <c r="T4984" t="s">
        <v>13290</v>
      </c>
      <c r="U4984" t="s">
        <v>13290</v>
      </c>
      <c r="V4984" t="s">
        <v>13290</v>
      </c>
      <c r="W4984" t="s">
        <v>18225</v>
      </c>
      <c r="X4984">
        <v>21</v>
      </c>
      <c r="Y4984" t="s">
        <v>24707</v>
      </c>
      <c r="Z4984" t="s">
        <v>31314</v>
      </c>
      <c r="AA4984">
        <v>0.75915235200108688</v>
      </c>
      <c r="AB4984" t="str">
        <f>HYPERLINK("Melting_Curves/meltCurve_Q96C01_FAM136A.pdf", "Melting_Curves/meltCurve_Q96C01_FAM136A.pdf")</f>
        <v>Melting_Curves/meltCurve_Q96C01_FAM136A.pdf</v>
      </c>
    </row>
    <row r="4985" spans="1:28" x14ac:dyDescent="0.25">
      <c r="A4985" t="s">
        <v>4989</v>
      </c>
      <c r="B4985">
        <v>0.99252571173614901</v>
      </c>
      <c r="C4985">
        <v>0.78585588093902004</v>
      </c>
      <c r="D4985">
        <v>0.74141983012412704</v>
      </c>
      <c r="E4985">
        <v>0.64832537374060895</v>
      </c>
      <c r="F4985">
        <v>0.47419593840938601</v>
      </c>
      <c r="G4985">
        <v>0.210249541988318</v>
      </c>
      <c r="H4985">
        <v>0.21232751727188001</v>
      </c>
      <c r="I4985">
        <v>0.17350998874548901</v>
      </c>
      <c r="J4985">
        <v>0.14901005270023601</v>
      </c>
      <c r="K4985">
        <v>0.117125707429798</v>
      </c>
      <c r="L4985">
        <v>497.127384364796</v>
      </c>
      <c r="M4985">
        <v>9.7493407614348708</v>
      </c>
      <c r="N4985">
        <v>51.534699351043301</v>
      </c>
      <c r="O4985">
        <v>48.984320456059798</v>
      </c>
      <c r="P4985">
        <v>-4.7350524147613503E-2</v>
      </c>
      <c r="Q4985">
        <v>4.8882998396201097E-2</v>
      </c>
      <c r="R4985">
        <v>0.97296016959175702</v>
      </c>
      <c r="S4985" t="s">
        <v>11631</v>
      </c>
      <c r="T4985" t="s">
        <v>13290</v>
      </c>
      <c r="U4985" t="s">
        <v>13290</v>
      </c>
      <c r="V4985" t="s">
        <v>13290</v>
      </c>
      <c r="W4985" t="s">
        <v>18226</v>
      </c>
      <c r="X4985">
        <v>1</v>
      </c>
      <c r="Y4985" t="s">
        <v>24708</v>
      </c>
      <c r="Z4985" t="s">
        <v>31315</v>
      </c>
      <c r="AA4985">
        <v>0.43817496704357528</v>
      </c>
      <c r="AB4985" t="str">
        <f>HYPERLINK("Melting_Curves/meltCurve_Q96C03_SMCR7.pdf", "Melting_Curves/meltCurve_Q96C03_SMCR7.pdf")</f>
        <v>Melting_Curves/meltCurve_Q96C03_SMCR7.pdf</v>
      </c>
    </row>
    <row r="4986" spans="1:28" x14ac:dyDescent="0.25">
      <c r="A4986" t="s">
        <v>4990</v>
      </c>
      <c r="B4986">
        <v>0.99252571173614901</v>
      </c>
      <c r="C4986">
        <v>0.95937731230777401</v>
      </c>
      <c r="D4986">
        <v>0.78702706454441396</v>
      </c>
      <c r="E4986">
        <v>0.67888782266626202</v>
      </c>
      <c r="F4986">
        <v>0.27318894797092302</v>
      </c>
      <c r="G4986">
        <v>0.16752053508168899</v>
      </c>
      <c r="H4986">
        <v>0.118823402799639</v>
      </c>
      <c r="I4986">
        <v>0.12723730372404701</v>
      </c>
      <c r="J4986">
        <v>0.17651707478384099</v>
      </c>
      <c r="K4986">
        <v>0.16757632189984101</v>
      </c>
      <c r="L4986">
        <v>1023.65517590883</v>
      </c>
      <c r="M4986">
        <v>20.511697883184599</v>
      </c>
      <c r="N4986">
        <v>50.645373150428497</v>
      </c>
      <c r="O4986">
        <v>49.438817459771798</v>
      </c>
      <c r="P4986">
        <v>-9.0303807137744899E-2</v>
      </c>
      <c r="Q4986">
        <v>0.12939757517397099</v>
      </c>
      <c r="R4986">
        <v>0.98177592422822302</v>
      </c>
      <c r="S4986" t="s">
        <v>11632</v>
      </c>
      <c r="T4986" t="s">
        <v>13290</v>
      </c>
      <c r="U4986" t="s">
        <v>13290</v>
      </c>
      <c r="V4986" t="s">
        <v>13290</v>
      </c>
      <c r="W4986" t="s">
        <v>18227</v>
      </c>
      <c r="X4986">
        <v>14</v>
      </c>
      <c r="Y4986" t="s">
        <v>24709</v>
      </c>
      <c r="Z4986" t="s">
        <v>31316</v>
      </c>
      <c r="AA4986">
        <v>0.42840604808820137</v>
      </c>
      <c r="AB4986" t="str">
        <f>HYPERLINK("Melting_Curves/meltCurve_Q96C19_EFHD2.pdf", "Melting_Curves/meltCurve_Q96C19_EFHD2.pdf")</f>
        <v>Melting_Curves/meltCurve_Q96C19_EFHD2.pdf</v>
      </c>
    </row>
    <row r="4987" spans="1:28" x14ac:dyDescent="0.25">
      <c r="A4987" t="s">
        <v>4991</v>
      </c>
      <c r="B4987">
        <v>0.99252571173614901</v>
      </c>
      <c r="C4987">
        <v>1.0906211708732101</v>
      </c>
      <c r="D4987">
        <v>0.91314079200628895</v>
      </c>
      <c r="E4987">
        <v>0.63478870051726799</v>
      </c>
      <c r="F4987">
        <v>0.30922661146174901</v>
      </c>
      <c r="G4987">
        <v>0.14805463388762899</v>
      </c>
      <c r="H4987">
        <v>0.121159344727071</v>
      </c>
      <c r="I4987">
        <v>0.121138755003996</v>
      </c>
      <c r="J4987">
        <v>0.115342686843894</v>
      </c>
      <c r="K4987">
        <v>9.7501856312453894E-2</v>
      </c>
      <c r="L4987">
        <v>1272.8561835959499</v>
      </c>
      <c r="M4987">
        <v>25.257927343922301</v>
      </c>
      <c r="N4987">
        <v>50.889365738259897</v>
      </c>
      <c r="O4987">
        <v>50.081619195120702</v>
      </c>
      <c r="P4987">
        <v>-0.112352150668002</v>
      </c>
      <c r="Q4987">
        <v>0.10892059599522801</v>
      </c>
      <c r="R4987">
        <v>0.99268734075015197</v>
      </c>
      <c r="S4987" t="s">
        <v>11633</v>
      </c>
      <c r="T4987" t="s">
        <v>13290</v>
      </c>
      <c r="U4987" t="s">
        <v>13290</v>
      </c>
      <c r="V4987" t="s">
        <v>13290</v>
      </c>
      <c r="W4987" t="s">
        <v>18228</v>
      </c>
      <c r="X4987">
        <v>12</v>
      </c>
      <c r="Y4987" t="s">
        <v>24710</v>
      </c>
      <c r="Z4987" t="s">
        <v>31317</v>
      </c>
      <c r="AA4987">
        <v>0.42549463747010302</v>
      </c>
      <c r="AB4987" t="str">
        <f>HYPERLINK("Melting_Curves/meltCurve_Q96C23_GALM.pdf", "Melting_Curves/meltCurve_Q96C23_GALM.pdf")</f>
        <v>Melting_Curves/meltCurve_Q96C23_GALM.pdf</v>
      </c>
    </row>
    <row r="4988" spans="1:28" x14ac:dyDescent="0.25">
      <c r="A4988" t="s">
        <v>4992</v>
      </c>
      <c r="B4988">
        <v>0.99252571173614901</v>
      </c>
      <c r="C4988">
        <v>0.62652066267136497</v>
      </c>
      <c r="D4988">
        <v>0.34462944278326102</v>
      </c>
      <c r="E4988">
        <v>0.121222079855539</v>
      </c>
      <c r="F4988">
        <v>7.35699289351609E-2</v>
      </c>
      <c r="G4988">
        <v>4.2235237168227302E-2</v>
      </c>
      <c r="H4988">
        <v>1.6264679286147801E-2</v>
      </c>
      <c r="I4988">
        <v>3.1128616027079101E-2</v>
      </c>
      <c r="J4988">
        <v>2.67180363744755E-2</v>
      </c>
      <c r="K4988">
        <v>5.6213713292819101E-2</v>
      </c>
      <c r="L4988">
        <v>992.35390805969303</v>
      </c>
      <c r="M4988">
        <v>22.444637598586802</v>
      </c>
      <c r="N4988">
        <v>44.368003595314498</v>
      </c>
      <c r="O4988">
        <v>43.866923455895801</v>
      </c>
      <c r="P4988">
        <v>-0.12310432984322001</v>
      </c>
      <c r="Q4988">
        <v>3.7614910031316499E-2</v>
      </c>
      <c r="R4988">
        <v>0.98962065205017102</v>
      </c>
      <c r="S4988" t="s">
        <v>11634</v>
      </c>
      <c r="T4988" t="s">
        <v>13290</v>
      </c>
      <c r="U4988" t="s">
        <v>13290</v>
      </c>
      <c r="V4988" t="s">
        <v>13290</v>
      </c>
      <c r="W4988" t="s">
        <v>18229</v>
      </c>
      <c r="X4988">
        <v>2</v>
      </c>
      <c r="Y4988" t="s">
        <v>24711</v>
      </c>
      <c r="Z4988" t="s">
        <v>31318</v>
      </c>
      <c r="AA4988">
        <v>0.18657067163074381</v>
      </c>
      <c r="AB4988" t="str">
        <f>HYPERLINK("Melting_Curves/meltCurve_Q96C34_2_RUNDC1.pdf", "Melting_Curves/meltCurve_Q96C34_2_RUNDC1.pdf")</f>
        <v>Melting_Curves/meltCurve_Q96C34_2_RUNDC1.pdf</v>
      </c>
    </row>
    <row r="4989" spans="1:28" x14ac:dyDescent="0.25">
      <c r="A4989" t="s">
        <v>4993</v>
      </c>
      <c r="B4989">
        <v>0.99252571173614901</v>
      </c>
      <c r="C4989">
        <v>0.93493262869328797</v>
      </c>
      <c r="D4989">
        <v>1.11085714308478</v>
      </c>
      <c r="E4989">
        <v>1.07418261758836</v>
      </c>
      <c r="F4989">
        <v>1.0567905797492001</v>
      </c>
      <c r="G4989">
        <v>0.74443823047595403</v>
      </c>
      <c r="H4989">
        <v>0.861277142026451</v>
      </c>
      <c r="I4989">
        <v>0.93432774954937003</v>
      </c>
      <c r="J4989">
        <v>0.96975279113750601</v>
      </c>
      <c r="K4989">
        <v>0.38237976391168699</v>
      </c>
      <c r="L4989">
        <v>6304.6504318377101</v>
      </c>
      <c r="M4989">
        <v>90.545406639204501</v>
      </c>
      <c r="N4989">
        <v>69.629710308462407</v>
      </c>
      <c r="O4989">
        <v>69.595765939765698</v>
      </c>
      <c r="P4989">
        <v>-0.32525475052074898</v>
      </c>
      <c r="Q4989">
        <v>0</v>
      </c>
      <c r="R4989">
        <v>0.720578998848868</v>
      </c>
      <c r="S4989" t="s">
        <v>11635</v>
      </c>
      <c r="T4989" t="s">
        <v>13290</v>
      </c>
      <c r="U4989" t="s">
        <v>13290</v>
      </c>
      <c r="V4989" t="s">
        <v>13290</v>
      </c>
      <c r="W4989" t="s">
        <v>18230</v>
      </c>
      <c r="X4989">
        <v>14</v>
      </c>
      <c r="Y4989" t="s">
        <v>24712</v>
      </c>
      <c r="Z4989" t="s">
        <v>31319</v>
      </c>
      <c r="AA4989">
        <v>0.97577694949593063</v>
      </c>
      <c r="AB4989" t="str">
        <f>HYPERLINK("Melting_Curves/meltCurve_Q96C36_PYCR2.pdf", "Melting_Curves/meltCurve_Q96C36_PYCR2.pdf")</f>
        <v>Melting_Curves/meltCurve_Q96C36_PYCR2.pdf</v>
      </c>
    </row>
    <row r="4990" spans="1:28" x14ac:dyDescent="0.25">
      <c r="A4990" t="s">
        <v>4994</v>
      </c>
      <c r="B4990">
        <v>0.99252571173614901</v>
      </c>
      <c r="C4990">
        <v>0.98953162940874795</v>
      </c>
      <c r="D4990">
        <v>0.89316075355216396</v>
      </c>
      <c r="E4990">
        <v>1.2669381795456101</v>
      </c>
      <c r="F4990">
        <v>1.0294760882929901</v>
      </c>
      <c r="G4990">
        <v>0.886212986556285</v>
      </c>
      <c r="H4990">
        <v>0.89139721528125704</v>
      </c>
      <c r="I4990">
        <v>1.18190363228925</v>
      </c>
      <c r="J4990">
        <v>1.76955864632573</v>
      </c>
      <c r="K4990">
        <v>1.9797400399930001</v>
      </c>
      <c r="L4990">
        <v>15000</v>
      </c>
      <c r="M4990">
        <v>233.81646144904099</v>
      </c>
      <c r="O4990">
        <v>64.148189357263107</v>
      </c>
      <c r="P4990">
        <v>0.455617812891706</v>
      </c>
      <c r="Q4990">
        <v>1.5</v>
      </c>
      <c r="R4990">
        <v>0.69309195443734795</v>
      </c>
      <c r="S4990" t="s">
        <v>11636</v>
      </c>
      <c r="T4990" t="s">
        <v>13290</v>
      </c>
      <c r="U4990" t="s">
        <v>13290</v>
      </c>
      <c r="V4990" t="s">
        <v>13290</v>
      </c>
      <c r="W4990" t="s">
        <v>18231</v>
      </c>
      <c r="X4990">
        <v>14</v>
      </c>
      <c r="Y4990" t="s">
        <v>24713</v>
      </c>
      <c r="Z4990" t="s">
        <v>31320</v>
      </c>
      <c r="AA4990">
        <v>1.0973875986991719</v>
      </c>
      <c r="AB4990" t="str">
        <f>HYPERLINK("Melting_Curves/meltCurve_Q96C57_C12orf43.pdf", "Melting_Curves/meltCurve_Q96C57_C12orf43.pdf")</f>
        <v>Melting_Curves/meltCurve_Q96C57_C12orf43.pdf</v>
      </c>
    </row>
    <row r="4991" spans="1:28" x14ac:dyDescent="0.25">
      <c r="A4991" t="s">
        <v>4995</v>
      </c>
      <c r="B4991">
        <v>0.99252571173614901</v>
      </c>
      <c r="C4991">
        <v>1.0681865677379401</v>
      </c>
      <c r="D4991">
        <v>0.97635073030643604</v>
      </c>
      <c r="E4991">
        <v>0.91127800690937599</v>
      </c>
      <c r="F4991">
        <v>0.79993295668922104</v>
      </c>
      <c r="G4991">
        <v>0.64798156938805995</v>
      </c>
      <c r="H4991">
        <v>0.46173631425311101</v>
      </c>
      <c r="I4991">
        <v>0.18467855469712099</v>
      </c>
      <c r="J4991">
        <v>0.1190468569865</v>
      </c>
      <c r="K4991">
        <v>0.11428012463982</v>
      </c>
      <c r="L4991">
        <v>853.12185074986803</v>
      </c>
      <c r="M4991">
        <v>14.458390735752801</v>
      </c>
      <c r="N4991">
        <v>59.005311855377798</v>
      </c>
      <c r="O4991">
        <v>57.911003340208602</v>
      </c>
      <c r="P4991">
        <v>-6.2423708606580898E-2</v>
      </c>
      <c r="Q4991">
        <v>0</v>
      </c>
      <c r="R4991">
        <v>0.98738250411217199</v>
      </c>
      <c r="S4991" t="s">
        <v>11637</v>
      </c>
      <c r="T4991" t="s">
        <v>13290</v>
      </c>
      <c r="U4991" t="s">
        <v>13290</v>
      </c>
      <c r="V4991" t="s">
        <v>13290</v>
      </c>
      <c r="W4991" t="s">
        <v>18232</v>
      </c>
      <c r="X4991">
        <v>19</v>
      </c>
      <c r="Y4991" t="s">
        <v>24714</v>
      </c>
      <c r="Z4991" t="s">
        <v>31321</v>
      </c>
      <c r="AA4991">
        <v>0.64375788044751248</v>
      </c>
      <c r="AB4991" t="str">
        <f>HYPERLINK("Melting_Curves/meltCurve_Q96C86_DCPS.pdf", "Melting_Curves/meltCurve_Q96C86_DCPS.pdf")</f>
        <v>Melting_Curves/meltCurve_Q96C86_DCPS.pdf</v>
      </c>
    </row>
    <row r="4992" spans="1:28" x14ac:dyDescent="0.25">
      <c r="A4992" t="s">
        <v>4996</v>
      </c>
      <c r="B4992">
        <v>0.99252571173614901</v>
      </c>
      <c r="C4992">
        <v>1.1521016111045299</v>
      </c>
      <c r="D4992">
        <v>1.0100496758323501</v>
      </c>
      <c r="E4992">
        <v>1.0179568715420999</v>
      </c>
      <c r="F4992">
        <v>0.91197315534961498</v>
      </c>
      <c r="G4992">
        <v>0.85007961205120697</v>
      </c>
      <c r="H4992">
        <v>0.91951511770170802</v>
      </c>
      <c r="I4992">
        <v>1.22751322354152</v>
      </c>
      <c r="J4992">
        <v>1.8325224307746499</v>
      </c>
      <c r="K4992">
        <v>1.9140277582207801</v>
      </c>
      <c r="L4992">
        <v>15000</v>
      </c>
      <c r="M4992">
        <v>234.194865549094</v>
      </c>
      <c r="O4992">
        <v>64.044541062429005</v>
      </c>
      <c r="P4992">
        <v>0.45709362426097899</v>
      </c>
      <c r="Q4992">
        <v>1.5</v>
      </c>
      <c r="R4992">
        <v>0.73796339548839796</v>
      </c>
      <c r="S4992" t="s">
        <v>11638</v>
      </c>
      <c r="T4992" t="s">
        <v>13290</v>
      </c>
      <c r="U4992" t="s">
        <v>13290</v>
      </c>
      <c r="V4992" t="s">
        <v>13290</v>
      </c>
      <c r="W4992" t="s">
        <v>18233</v>
      </c>
      <c r="X4992">
        <v>6</v>
      </c>
      <c r="Y4992" t="s">
        <v>24715</v>
      </c>
      <c r="Z4992" t="s">
        <v>31322</v>
      </c>
      <c r="AA4992">
        <v>1.0991155109748301</v>
      </c>
      <c r="AB4992" t="str">
        <f>HYPERLINK("Melting_Curves/meltCurve_Q96C90_PPP1R14B.pdf", "Melting_Curves/meltCurve_Q96C90_PPP1R14B.pdf")</f>
        <v>Melting_Curves/meltCurve_Q96C90_PPP1R14B.pdf</v>
      </c>
    </row>
    <row r="4993" spans="1:28" x14ac:dyDescent="0.25">
      <c r="A4993" t="s">
        <v>4997</v>
      </c>
      <c r="B4993">
        <v>0.99252571173614901</v>
      </c>
      <c r="C4993">
        <v>0.769254135768622</v>
      </c>
      <c r="D4993">
        <v>0.796110049346618</v>
      </c>
      <c r="E4993">
        <v>0.65376849796019199</v>
      </c>
      <c r="F4993">
        <v>0.43743930800730502</v>
      </c>
      <c r="G4993">
        <v>0.30812593593555798</v>
      </c>
      <c r="H4993">
        <v>0.27895347179458901</v>
      </c>
      <c r="I4993">
        <v>0.32837999754382302</v>
      </c>
      <c r="J4993">
        <v>0.42906221322495502</v>
      </c>
      <c r="K4993">
        <v>0.44957054186488499</v>
      </c>
      <c r="L4993">
        <v>693.592429844756</v>
      </c>
      <c r="M4993">
        <v>14.5779991067601</v>
      </c>
      <c r="N4993">
        <v>51.710010768057202</v>
      </c>
      <c r="O4993">
        <v>46.709639038186502</v>
      </c>
      <c r="P4993">
        <v>-5.1188331514431702E-2</v>
      </c>
      <c r="Q4993">
        <v>0.34402026746168302</v>
      </c>
      <c r="R4993">
        <v>0.89314301977729704</v>
      </c>
      <c r="S4993" t="s">
        <v>11639</v>
      </c>
      <c r="T4993" t="s">
        <v>13290</v>
      </c>
      <c r="U4993" t="s">
        <v>13290</v>
      </c>
      <c r="V4993" t="s">
        <v>13290</v>
      </c>
      <c r="W4993" t="s">
        <v>18234</v>
      </c>
      <c r="X4993">
        <v>3</v>
      </c>
      <c r="Y4993" t="s">
        <v>24716</v>
      </c>
      <c r="Z4993" t="s">
        <v>31323</v>
      </c>
      <c r="AA4993">
        <v>0.52797597884070069</v>
      </c>
      <c r="AB4993" t="str">
        <f>HYPERLINK("Melting_Curves/meltCurve_Q96CB8_INTS12.pdf", "Melting_Curves/meltCurve_Q96CB8_INTS12.pdf")</f>
        <v>Melting_Curves/meltCurve_Q96CB8_INTS12.pdf</v>
      </c>
    </row>
    <row r="4994" spans="1:28" x14ac:dyDescent="0.25">
      <c r="A4994" t="s">
        <v>4998</v>
      </c>
      <c r="B4994">
        <v>0.99252571173614901</v>
      </c>
      <c r="C4994">
        <v>1.0178781513841599</v>
      </c>
      <c r="D4994">
        <v>0.91717787799597394</v>
      </c>
      <c r="E4994">
        <v>0.876765881001073</v>
      </c>
      <c r="F4994">
        <v>0.29302876419019602</v>
      </c>
      <c r="G4994">
        <v>0.14907819447849199</v>
      </c>
      <c r="H4994">
        <v>0.13341360584324799</v>
      </c>
      <c r="I4994">
        <v>0.146065113229291</v>
      </c>
      <c r="J4994">
        <v>0.200606739208018</v>
      </c>
      <c r="K4994">
        <v>0.196698892702036</v>
      </c>
      <c r="L4994">
        <v>2517.8302657224299</v>
      </c>
      <c r="M4994">
        <v>49.034597807515297</v>
      </c>
      <c r="N4994">
        <v>51.767034075402897</v>
      </c>
      <c r="O4994">
        <v>51.262828593554602</v>
      </c>
      <c r="P4994">
        <v>-0.19996395930386801</v>
      </c>
      <c r="Q4994">
        <v>0.16379755926894199</v>
      </c>
      <c r="R4994">
        <v>0.99233561994485198</v>
      </c>
      <c r="S4994" t="s">
        <v>11640</v>
      </c>
      <c r="T4994" t="s">
        <v>13290</v>
      </c>
      <c r="U4994" t="s">
        <v>13290</v>
      </c>
      <c r="V4994" t="s">
        <v>13290</v>
      </c>
      <c r="W4994" t="s">
        <v>18235</v>
      </c>
      <c r="X4994">
        <v>3</v>
      </c>
      <c r="Y4994" t="s">
        <v>24717</v>
      </c>
      <c r="Z4994" t="s">
        <v>31324</v>
      </c>
      <c r="AA4994">
        <v>0.48207569068735778</v>
      </c>
      <c r="AB4994" t="str">
        <f>HYPERLINK("Melting_Curves/meltCurve_Q96CB9_NSUN4.pdf", "Melting_Curves/meltCurve_Q96CB9_NSUN4.pdf")</f>
        <v>Melting_Curves/meltCurve_Q96CB9_NSUN4.pdf</v>
      </c>
    </row>
    <row r="4995" spans="1:28" x14ac:dyDescent="0.25">
      <c r="A4995" t="s">
        <v>4999</v>
      </c>
      <c r="B4995">
        <v>0.99252571173614901</v>
      </c>
      <c r="C4995">
        <v>1.06004810708035</v>
      </c>
      <c r="D4995">
        <v>0.94530506216560095</v>
      </c>
      <c r="E4995">
        <v>0.85929896296391906</v>
      </c>
      <c r="F4995">
        <v>0.35183254617797699</v>
      </c>
      <c r="G4995">
        <v>0.12947816986625399</v>
      </c>
      <c r="H4995">
        <v>9.4882379141507905E-2</v>
      </c>
      <c r="I4995">
        <v>0.11325225801826801</v>
      </c>
      <c r="J4995">
        <v>9.6856353523416205E-2</v>
      </c>
      <c r="K4995">
        <v>7.7526438321113694E-2</v>
      </c>
      <c r="L4995">
        <v>1872.9091381450701</v>
      </c>
      <c r="M4995">
        <v>36.1164099319952</v>
      </c>
      <c r="N4995">
        <v>52.157025127583701</v>
      </c>
      <c r="O4995">
        <v>51.699352029562199</v>
      </c>
      <c r="P4995">
        <v>-0.15829344784562399</v>
      </c>
      <c r="Q4995">
        <v>9.3637156927247805E-2</v>
      </c>
      <c r="R4995">
        <v>0.99616726076696704</v>
      </c>
      <c r="S4995" t="s">
        <v>11641</v>
      </c>
      <c r="T4995" t="s">
        <v>13290</v>
      </c>
      <c r="U4995" t="s">
        <v>13290</v>
      </c>
      <c r="V4995" t="s">
        <v>13290</v>
      </c>
      <c r="W4995" t="s">
        <v>18236</v>
      </c>
      <c r="X4995">
        <v>11</v>
      </c>
      <c r="Y4995" t="s">
        <v>24718</v>
      </c>
      <c r="Z4995" t="s">
        <v>31325</v>
      </c>
      <c r="AA4995">
        <v>0.4558666742056211</v>
      </c>
      <c r="AB4995" t="str">
        <f>HYPERLINK("Melting_Curves/meltCurve_Q96CD0_FBXL8.pdf", "Melting_Curves/meltCurve_Q96CD0_FBXL8.pdf")</f>
        <v>Melting_Curves/meltCurve_Q96CD0_FBXL8.pdf</v>
      </c>
    </row>
    <row r="4996" spans="1:28" x14ac:dyDescent="0.25">
      <c r="A4996" t="s">
        <v>5000</v>
      </c>
      <c r="B4996">
        <v>0.99252571173614901</v>
      </c>
      <c r="C4996">
        <v>1.06286137552585</v>
      </c>
      <c r="D4996">
        <v>0.89781364697812704</v>
      </c>
      <c r="E4996">
        <v>0.93399320195548496</v>
      </c>
      <c r="F4996">
        <v>0.82384415629066698</v>
      </c>
      <c r="G4996">
        <v>0.69621159292690604</v>
      </c>
      <c r="H4996">
        <v>0.749081161208624</v>
      </c>
      <c r="I4996">
        <v>0.97648005849783304</v>
      </c>
      <c r="J4996">
        <v>1.4658374415228399</v>
      </c>
      <c r="K4996">
        <v>1.6073731249572201</v>
      </c>
      <c r="L4996">
        <v>15000</v>
      </c>
      <c r="M4996">
        <v>226.15688417285301</v>
      </c>
      <c r="O4996">
        <v>66.3204539013215</v>
      </c>
      <c r="P4996">
        <v>0.426257801287031</v>
      </c>
      <c r="Q4996">
        <v>1.5</v>
      </c>
      <c r="R4996">
        <v>0.72415326582099904</v>
      </c>
      <c r="S4996" t="s">
        <v>11642</v>
      </c>
      <c r="T4996" t="s">
        <v>13290</v>
      </c>
      <c r="U4996" t="s">
        <v>13290</v>
      </c>
      <c r="V4996" t="s">
        <v>13290</v>
      </c>
      <c r="W4996" t="s">
        <v>18237</v>
      </c>
      <c r="X4996">
        <v>7</v>
      </c>
      <c r="Y4996" t="s">
        <v>24719</v>
      </c>
      <c r="Z4996" t="s">
        <v>31326</v>
      </c>
      <c r="AA4996">
        <v>1.061168255467295</v>
      </c>
      <c r="AB4996" t="str">
        <f>HYPERLINK("Melting_Curves/meltCurve_Q96CD2_PPCDC.pdf", "Melting_Curves/meltCurve_Q96CD2_PPCDC.pdf")</f>
        <v>Melting_Curves/meltCurve_Q96CD2_PPCDC.pdf</v>
      </c>
    </row>
    <row r="4997" spans="1:28" x14ac:dyDescent="0.25">
      <c r="A4997" t="s">
        <v>5001</v>
      </c>
      <c r="B4997">
        <v>0.99252571173614901</v>
      </c>
      <c r="C4997">
        <v>1.0516359172717999</v>
      </c>
      <c r="D4997">
        <v>0.91512007281794805</v>
      </c>
      <c r="E4997">
        <v>0.84096055780023404</v>
      </c>
      <c r="F4997">
        <v>0.76240613620987496</v>
      </c>
      <c r="G4997">
        <v>0.55525818900250001</v>
      </c>
      <c r="H4997">
        <v>0.51504803040318203</v>
      </c>
      <c r="I4997">
        <v>0.70783002616895396</v>
      </c>
      <c r="J4997">
        <v>1.1475350107932201</v>
      </c>
      <c r="K4997">
        <v>1.2325396127919099</v>
      </c>
      <c r="L4997">
        <v>11503.724125614101</v>
      </c>
      <c r="M4997">
        <v>250</v>
      </c>
      <c r="O4997">
        <v>46.011951726117097</v>
      </c>
      <c r="P4997">
        <v>-0.24031458761142499</v>
      </c>
      <c r="Q4997">
        <v>0.82308250844637898</v>
      </c>
      <c r="R4997">
        <v>0.12002983237381699</v>
      </c>
      <c r="S4997" t="s">
        <v>11643</v>
      </c>
      <c r="T4997" t="s">
        <v>13290</v>
      </c>
      <c r="U4997" t="s">
        <v>13290</v>
      </c>
      <c r="V4997" t="s">
        <v>13290</v>
      </c>
      <c r="W4997" t="s">
        <v>18238</v>
      </c>
      <c r="X4997">
        <v>10</v>
      </c>
      <c r="Y4997" t="s">
        <v>24720</v>
      </c>
      <c r="Z4997" t="s">
        <v>31327</v>
      </c>
      <c r="AA4997">
        <v>0.85856814219963185</v>
      </c>
      <c r="AB4997" t="str">
        <f>HYPERLINK("Melting_Curves/meltCurve_Q96CF2_CHMP4C.pdf", "Melting_Curves/meltCurve_Q96CF2_CHMP4C.pdf")</f>
        <v>Melting_Curves/meltCurve_Q96CF2_CHMP4C.pdf</v>
      </c>
    </row>
    <row r="4998" spans="1:28" x14ac:dyDescent="0.25">
      <c r="A4998" t="s">
        <v>5002</v>
      </c>
      <c r="B4998">
        <v>0.99252571173614901</v>
      </c>
      <c r="C4998">
        <v>0.97754743393362697</v>
      </c>
      <c r="D4998">
        <v>0.86966708573201701</v>
      </c>
      <c r="E4998">
        <v>0.81854208149351304</v>
      </c>
      <c r="F4998">
        <v>0.57514927520918602</v>
      </c>
      <c r="G4998">
        <v>0.34277525516994001</v>
      </c>
      <c r="H4998">
        <v>0.216825732067355</v>
      </c>
      <c r="I4998">
        <v>0.20840607234085901</v>
      </c>
      <c r="J4998">
        <v>0.28873455876894999</v>
      </c>
      <c r="K4998">
        <v>0.222220926629532</v>
      </c>
      <c r="L4998">
        <v>976.56739721901795</v>
      </c>
      <c r="M4998">
        <v>18.637093575905599</v>
      </c>
      <c r="N4998">
        <v>53.971348705451803</v>
      </c>
      <c r="O4998">
        <v>51.807015718554801</v>
      </c>
      <c r="P4998">
        <v>-7.10992288249256E-2</v>
      </c>
      <c r="Q4998">
        <v>0.20947305988263501</v>
      </c>
      <c r="R4998">
        <v>0.98520098473606499</v>
      </c>
      <c r="S4998" t="s">
        <v>11644</v>
      </c>
      <c r="T4998" t="s">
        <v>13290</v>
      </c>
      <c r="U4998" t="s">
        <v>13290</v>
      </c>
      <c r="V4998" t="s">
        <v>13290</v>
      </c>
      <c r="W4998" t="s">
        <v>18239</v>
      </c>
      <c r="X4998">
        <v>1</v>
      </c>
      <c r="Y4998" t="s">
        <v>24721</v>
      </c>
      <c r="Z4998" t="s">
        <v>31328</v>
      </c>
      <c r="AA4998">
        <v>0.54853676553645614</v>
      </c>
      <c r="AB4998" t="str">
        <f>HYPERLINK("Melting_Curves/meltCurve_Q96CG3_TIFA.pdf", "Melting_Curves/meltCurve_Q96CG3_TIFA.pdf")</f>
        <v>Melting_Curves/meltCurve_Q96CG3_TIFA.pdf</v>
      </c>
    </row>
    <row r="4999" spans="1:28" x14ac:dyDescent="0.25">
      <c r="A4999" t="s">
        <v>5003</v>
      </c>
      <c r="B4999">
        <v>0.99252571173614901</v>
      </c>
      <c r="C4999">
        <v>1.02674367547823</v>
      </c>
      <c r="D4999">
        <v>0.97779108898505096</v>
      </c>
      <c r="E4999">
        <v>0.81265487783741497</v>
      </c>
      <c r="F4999">
        <v>0.585558390340021</v>
      </c>
      <c r="G4999">
        <v>0.397858476936093</v>
      </c>
      <c r="H4999">
        <v>0.30162518698261398</v>
      </c>
      <c r="I4999">
        <v>0.32898079826840299</v>
      </c>
      <c r="J4999">
        <v>0.39726148631045499</v>
      </c>
      <c r="K4999">
        <v>0.32678895293342702</v>
      </c>
      <c r="L4999">
        <v>1259.2323090551699</v>
      </c>
      <c r="M4999">
        <v>24.302179357977899</v>
      </c>
      <c r="N4999">
        <v>54.264224663423803</v>
      </c>
      <c r="O4999">
        <v>51.4685631043331</v>
      </c>
      <c r="P4999">
        <v>-7.8736619371074401E-2</v>
      </c>
      <c r="Q4999">
        <v>0.33299785524099301</v>
      </c>
      <c r="R4999">
        <v>0.99014055449124705</v>
      </c>
      <c r="S4999" t="s">
        <v>11645</v>
      </c>
      <c r="T4999" t="s">
        <v>13290</v>
      </c>
      <c r="U4999" t="s">
        <v>13290</v>
      </c>
      <c r="V4999" t="s">
        <v>13290</v>
      </c>
      <c r="W4999" t="s">
        <v>18240</v>
      </c>
      <c r="X4999">
        <v>8</v>
      </c>
      <c r="Y4999" t="s">
        <v>24722</v>
      </c>
      <c r="Z4999" t="s">
        <v>31329</v>
      </c>
      <c r="AA4999">
        <v>0.60211784784994127</v>
      </c>
      <c r="AB4999" t="str">
        <f>HYPERLINK("Melting_Curves/meltCurve_Q96CG8_CTHRC1.pdf", "Melting_Curves/meltCurve_Q96CG8_CTHRC1.pdf")</f>
        <v>Melting_Curves/meltCurve_Q96CG8_CTHRC1.pdf</v>
      </c>
    </row>
    <row r="5000" spans="1:28" x14ac:dyDescent="0.25">
      <c r="A5000" t="s">
        <v>5004</v>
      </c>
      <c r="B5000">
        <v>0.99252571173614901</v>
      </c>
      <c r="C5000">
        <v>1.0641729135172</v>
      </c>
      <c r="D5000">
        <v>1.0530933380431899</v>
      </c>
      <c r="E5000">
        <v>1.00988900636623</v>
      </c>
      <c r="F5000">
        <v>0.97973021453822395</v>
      </c>
      <c r="G5000">
        <v>0.69905882142624998</v>
      </c>
      <c r="H5000">
        <v>0.13157048832945301</v>
      </c>
      <c r="I5000">
        <v>0.109118913969624</v>
      </c>
      <c r="J5000">
        <v>0.114753432746103</v>
      </c>
      <c r="K5000">
        <v>0.119730319833873</v>
      </c>
      <c r="L5000">
        <v>3750.6824796033702</v>
      </c>
      <c r="M5000">
        <v>65.370760907878804</v>
      </c>
      <c r="N5000">
        <v>57.601597060434202</v>
      </c>
      <c r="O5000">
        <v>57.321915889668198</v>
      </c>
      <c r="P5000">
        <v>-0.25284699542579597</v>
      </c>
      <c r="Q5000">
        <v>0.11314052714861</v>
      </c>
      <c r="R5000">
        <v>0.99592424334896001</v>
      </c>
      <c r="S5000" t="s">
        <v>11646</v>
      </c>
      <c r="T5000" t="s">
        <v>13290</v>
      </c>
      <c r="U5000" t="s">
        <v>13290</v>
      </c>
      <c r="V5000" t="s">
        <v>13290</v>
      </c>
      <c r="W5000" t="s">
        <v>18241</v>
      </c>
      <c r="X5000">
        <v>10</v>
      </c>
      <c r="Y5000" t="s">
        <v>24723</v>
      </c>
      <c r="Z5000" t="s">
        <v>31330</v>
      </c>
      <c r="AA5000">
        <v>0.62810556643353543</v>
      </c>
      <c r="AB5000" t="str">
        <f>HYPERLINK("Melting_Curves/meltCurve_Q96CN7_ISOC1.pdf", "Melting_Curves/meltCurve_Q96CN7_ISOC1.pdf")</f>
        <v>Melting_Curves/meltCurve_Q96CN7_ISOC1.pdf</v>
      </c>
    </row>
    <row r="5001" spans="1:28" x14ac:dyDescent="0.25">
      <c r="A5001" t="s">
        <v>5005</v>
      </c>
      <c r="B5001">
        <v>0.99252571173614901</v>
      </c>
      <c r="C5001">
        <v>1.11033352142512</v>
      </c>
      <c r="D5001">
        <v>1.0043044712016</v>
      </c>
      <c r="E5001">
        <v>0.91157150816712496</v>
      </c>
      <c r="F5001">
        <v>0.70905176641872902</v>
      </c>
      <c r="G5001">
        <v>0.58446537641847196</v>
      </c>
      <c r="H5001">
        <v>0.64801269303120901</v>
      </c>
      <c r="I5001">
        <v>0.89609753700153905</v>
      </c>
      <c r="J5001">
        <v>1.3703328808420201</v>
      </c>
      <c r="K5001">
        <v>1.6191030579621299</v>
      </c>
      <c r="L5001">
        <v>15000</v>
      </c>
      <c r="M5001">
        <v>224.596272402816</v>
      </c>
      <c r="O5001">
        <v>66.781221876319407</v>
      </c>
      <c r="P5001">
        <v>0.42039571207885301</v>
      </c>
      <c r="Q5001">
        <v>1.5</v>
      </c>
      <c r="R5001">
        <v>0.54170806303457597</v>
      </c>
      <c r="S5001" t="s">
        <v>11647</v>
      </c>
      <c r="T5001" t="s">
        <v>13290</v>
      </c>
      <c r="U5001" t="s">
        <v>13290</v>
      </c>
      <c r="V5001" t="s">
        <v>13290</v>
      </c>
      <c r="W5001" t="s">
        <v>18242</v>
      </c>
      <c r="X5001">
        <v>7</v>
      </c>
      <c r="Y5001" t="s">
        <v>24724</v>
      </c>
      <c r="Z5001" t="s">
        <v>31331</v>
      </c>
      <c r="AA5001">
        <v>1.0534858224904631</v>
      </c>
      <c r="AB5001" t="str">
        <f>HYPERLINK("Melting_Curves/meltCurve_Q96CP2_FLYWCH2.pdf", "Melting_Curves/meltCurve_Q96CP2_FLYWCH2.pdf")</f>
        <v>Melting_Curves/meltCurve_Q96CP2_FLYWCH2.pdf</v>
      </c>
    </row>
    <row r="5002" spans="1:28" x14ac:dyDescent="0.25">
      <c r="A5002" t="s">
        <v>5006</v>
      </c>
      <c r="B5002">
        <v>0.99252571173614901</v>
      </c>
      <c r="C5002">
        <v>0.82621362478514804</v>
      </c>
      <c r="D5002">
        <v>0.661914894426052</v>
      </c>
      <c r="E5002">
        <v>0.47033401455696</v>
      </c>
      <c r="F5002">
        <v>0.144719792123811</v>
      </c>
      <c r="G5002">
        <v>7.1344438575959193E-2</v>
      </c>
      <c r="H5002">
        <v>5.3750397411935102E-2</v>
      </c>
      <c r="I5002">
        <v>5.9538604942532401E-2</v>
      </c>
      <c r="J5002">
        <v>7.4212708621647402E-2</v>
      </c>
      <c r="K5002">
        <v>8.0836322915487202E-2</v>
      </c>
      <c r="L5002">
        <v>775.61473513592603</v>
      </c>
      <c r="M5002">
        <v>16.186082441973799</v>
      </c>
      <c r="N5002">
        <v>48.171239695128101</v>
      </c>
      <c r="O5002">
        <v>47.205091555199502</v>
      </c>
      <c r="P5002">
        <v>-8.2240120555697002E-2</v>
      </c>
      <c r="Q5002">
        <v>4.0691448916652301E-2</v>
      </c>
      <c r="R5002">
        <v>0.98622817879096603</v>
      </c>
      <c r="S5002" t="s">
        <v>11648</v>
      </c>
      <c r="T5002" t="s">
        <v>13290</v>
      </c>
      <c r="U5002" t="s">
        <v>13290</v>
      </c>
      <c r="V5002" t="s">
        <v>13290</v>
      </c>
      <c r="W5002" t="s">
        <v>18243</v>
      </c>
      <c r="X5002">
        <v>13</v>
      </c>
      <c r="Y5002" t="s">
        <v>24725</v>
      </c>
      <c r="Z5002" t="s">
        <v>31332</v>
      </c>
      <c r="AA5002">
        <v>0.31516489275690002</v>
      </c>
      <c r="AB5002" t="str">
        <f>HYPERLINK("Melting_Curves/meltCurve_Q96CS3_FAF2.pdf", "Melting_Curves/meltCurve_Q96CS3_FAF2.pdf")</f>
        <v>Melting_Curves/meltCurve_Q96CS3_FAF2.pdf</v>
      </c>
    </row>
    <row r="5003" spans="1:28" x14ac:dyDescent="0.25">
      <c r="A5003" t="s">
        <v>5007</v>
      </c>
      <c r="B5003">
        <v>0.99252571173614901</v>
      </c>
      <c r="C5003">
        <v>1.0862222316580701</v>
      </c>
      <c r="D5003">
        <v>0.98696778579730904</v>
      </c>
      <c r="E5003">
        <v>0.99325461082205801</v>
      </c>
      <c r="F5003">
        <v>0.80809322019340901</v>
      </c>
      <c r="G5003">
        <v>0.69597111375737597</v>
      </c>
      <c r="H5003">
        <v>0.75683384776634299</v>
      </c>
      <c r="I5003">
        <v>0.98767334417197805</v>
      </c>
      <c r="J5003">
        <v>1.48006465466536</v>
      </c>
      <c r="K5003">
        <v>1.55859906921283</v>
      </c>
      <c r="L5003">
        <v>15000</v>
      </c>
      <c r="M5003">
        <v>226.72065198684999</v>
      </c>
      <c r="O5003">
        <v>66.1555628387637</v>
      </c>
      <c r="P5003">
        <v>0.42838544943927598</v>
      </c>
      <c r="Q5003">
        <v>1.5</v>
      </c>
      <c r="R5003">
        <v>0.72523323965025999</v>
      </c>
      <c r="S5003" t="s">
        <v>11649</v>
      </c>
      <c r="T5003" t="s">
        <v>13290</v>
      </c>
      <c r="U5003" t="s">
        <v>13290</v>
      </c>
      <c r="V5003" t="s">
        <v>13290</v>
      </c>
      <c r="W5003" t="s">
        <v>18244</v>
      </c>
      <c r="X5003">
        <v>24</v>
      </c>
      <c r="Y5003" t="s">
        <v>24726</v>
      </c>
      <c r="Z5003" t="s">
        <v>31333</v>
      </c>
      <c r="AA5003">
        <v>1.0639175445224991</v>
      </c>
      <c r="AB5003" t="str">
        <f>HYPERLINK("Melting_Curves/meltCurve_Q96CT7_CCDC124.pdf", "Melting_Curves/meltCurve_Q96CT7_CCDC124.pdf")</f>
        <v>Melting_Curves/meltCurve_Q96CT7_CCDC124.pdf</v>
      </c>
    </row>
    <row r="5004" spans="1:28" x14ac:dyDescent="0.25">
      <c r="A5004" t="s">
        <v>5008</v>
      </c>
      <c r="B5004">
        <v>0.99252571173614901</v>
      </c>
      <c r="C5004">
        <v>0.98911129645221896</v>
      </c>
      <c r="D5004">
        <v>0.89385536403221599</v>
      </c>
      <c r="E5004">
        <v>0.68494454187102705</v>
      </c>
      <c r="F5004">
        <v>0.478727268992724</v>
      </c>
      <c r="G5004">
        <v>0.18537992571599099</v>
      </c>
      <c r="H5004">
        <v>0.11480790778676001</v>
      </c>
      <c r="I5004">
        <v>8.1761898803878394E-2</v>
      </c>
      <c r="J5004">
        <v>8.4788842330558806E-2</v>
      </c>
      <c r="K5004">
        <v>7.7953467322614003E-2</v>
      </c>
      <c r="L5004">
        <v>895.82085138328296</v>
      </c>
      <c r="M5004">
        <v>17.262453241583401</v>
      </c>
      <c r="N5004">
        <v>52.237394211956797</v>
      </c>
      <c r="O5004">
        <v>51.2127718855469</v>
      </c>
      <c r="P5004">
        <v>-7.9755143096120099E-2</v>
      </c>
      <c r="Q5004">
        <v>5.3611767538552998E-2</v>
      </c>
      <c r="R5004">
        <v>0.99605909940592996</v>
      </c>
      <c r="S5004" t="s">
        <v>11650</v>
      </c>
      <c r="T5004" t="s">
        <v>13290</v>
      </c>
      <c r="U5004" t="s">
        <v>13290</v>
      </c>
      <c r="V5004" t="s">
        <v>13290</v>
      </c>
      <c r="W5004" t="s">
        <v>18245</v>
      </c>
      <c r="X5004">
        <v>13</v>
      </c>
      <c r="Y5004" t="s">
        <v>24727</v>
      </c>
      <c r="Z5004" t="s">
        <v>31334</v>
      </c>
      <c r="AA5004">
        <v>0.44576132451464329</v>
      </c>
      <c r="AB5004" t="str">
        <f>HYPERLINK("Melting_Curves/meltCurve_Q96CU9_FOXRED1.pdf", "Melting_Curves/meltCurve_Q96CU9_FOXRED1.pdf")</f>
        <v>Melting_Curves/meltCurve_Q96CU9_FOXRED1.pdf</v>
      </c>
    </row>
    <row r="5005" spans="1:28" x14ac:dyDescent="0.25">
      <c r="A5005" t="s">
        <v>5009</v>
      </c>
      <c r="B5005">
        <v>0.99252571173614901</v>
      </c>
      <c r="C5005">
        <v>0.85005581721253898</v>
      </c>
      <c r="D5005">
        <v>0.39871678609168199</v>
      </c>
      <c r="E5005">
        <v>0.218967938614514</v>
      </c>
      <c r="F5005">
        <v>0.12920010846253299</v>
      </c>
      <c r="G5005">
        <v>7.9720242055956E-2</v>
      </c>
      <c r="H5005">
        <v>7.6998433338860195E-2</v>
      </c>
      <c r="I5005">
        <v>9.31948474581899E-2</v>
      </c>
      <c r="J5005">
        <v>0.17080091519265</v>
      </c>
      <c r="K5005">
        <v>0.231998361359146</v>
      </c>
      <c r="L5005">
        <v>1428.5097599723799</v>
      </c>
      <c r="M5005">
        <v>31.7993107359748</v>
      </c>
      <c r="N5005">
        <v>45.370108421232601</v>
      </c>
      <c r="O5005">
        <v>44.746115963949102</v>
      </c>
      <c r="P5005">
        <v>-0.15375277192657899</v>
      </c>
      <c r="Q5005">
        <v>0.13459692234154599</v>
      </c>
      <c r="R5005">
        <v>0.97829372533803205</v>
      </c>
      <c r="S5005" t="s">
        <v>11651</v>
      </c>
      <c r="T5005" t="s">
        <v>13290</v>
      </c>
      <c r="U5005" t="s">
        <v>13290</v>
      </c>
      <c r="V5005" t="s">
        <v>13290</v>
      </c>
      <c r="W5005" t="s">
        <v>18246</v>
      </c>
      <c r="X5005">
        <v>3</v>
      </c>
      <c r="Y5005" t="s">
        <v>24728</v>
      </c>
      <c r="Z5005" t="s">
        <v>31335</v>
      </c>
      <c r="AA5005">
        <v>0.28147988111825267</v>
      </c>
      <c r="AB5005" t="str">
        <f>HYPERLINK("Melting_Curves/meltCurve_Q96CV9_3_OPTN.pdf", "Melting_Curves/meltCurve_Q96CV9_3_OPTN.pdf")</f>
        <v>Melting_Curves/meltCurve_Q96CV9_3_OPTN.pdf</v>
      </c>
    </row>
    <row r="5006" spans="1:28" x14ac:dyDescent="0.25">
      <c r="A5006" t="s">
        <v>5010</v>
      </c>
      <c r="B5006">
        <v>0.99252571173614901</v>
      </c>
      <c r="C5006">
        <v>0.97075976292782395</v>
      </c>
      <c r="D5006">
        <v>1.0964565962430299</v>
      </c>
      <c r="E5006">
        <v>1.14906785329727</v>
      </c>
      <c r="F5006">
        <v>0.57791763739198798</v>
      </c>
      <c r="G5006">
        <v>0.27929033782940199</v>
      </c>
      <c r="H5006">
        <v>0.19143868157188201</v>
      </c>
      <c r="I5006">
        <v>0.15544764644325099</v>
      </c>
      <c r="J5006">
        <v>0.16825602742913501</v>
      </c>
      <c r="K5006">
        <v>0.16950258300697801</v>
      </c>
      <c r="L5006">
        <v>5032.02740277866</v>
      </c>
      <c r="M5006">
        <v>94.669989932802594</v>
      </c>
      <c r="N5006">
        <v>53.427279489988202</v>
      </c>
      <c r="O5006">
        <v>53.129647032713201</v>
      </c>
      <c r="P5006">
        <v>-0.35982168894699601</v>
      </c>
      <c r="Q5006">
        <v>0.19225940993493201</v>
      </c>
      <c r="R5006">
        <v>0.97464404181193398</v>
      </c>
      <c r="S5006" t="s">
        <v>11652</v>
      </c>
      <c r="T5006" t="s">
        <v>13290</v>
      </c>
      <c r="U5006" t="s">
        <v>13290</v>
      </c>
      <c r="V5006" t="s">
        <v>13290</v>
      </c>
      <c r="W5006" t="s">
        <v>18247</v>
      </c>
      <c r="X5006">
        <v>19</v>
      </c>
      <c r="Y5006" t="s">
        <v>24729</v>
      </c>
      <c r="Z5006" t="s">
        <v>31336</v>
      </c>
      <c r="AA5006">
        <v>0.54693546269730564</v>
      </c>
      <c r="AB5006" t="str">
        <f>HYPERLINK("Melting_Curves/meltCurve_Q96CW1_2_AP2M1.pdf", "Melting_Curves/meltCurve_Q96CW1_2_AP2M1.pdf")</f>
        <v>Melting_Curves/meltCurve_Q96CW1_2_AP2M1.pdf</v>
      </c>
    </row>
    <row r="5007" spans="1:28" x14ac:dyDescent="0.25">
      <c r="A5007" t="s">
        <v>5011</v>
      </c>
      <c r="B5007">
        <v>0.99252571173614901</v>
      </c>
      <c r="C5007">
        <v>0.88099269738802699</v>
      </c>
      <c r="D5007">
        <v>0.92461779691881396</v>
      </c>
      <c r="E5007">
        <v>0.60316089079512203</v>
      </c>
      <c r="F5007">
        <v>0.32640036224732299</v>
      </c>
      <c r="G5007">
        <v>0.20226235146551499</v>
      </c>
      <c r="H5007">
        <v>0.154311864971901</v>
      </c>
      <c r="I5007">
        <v>0.168976199788366</v>
      </c>
      <c r="J5007">
        <v>0.13946019648386199</v>
      </c>
      <c r="K5007">
        <v>0.102398588221898</v>
      </c>
      <c r="L5007">
        <v>1024.7141143587701</v>
      </c>
      <c r="M5007">
        <v>20.450196828526099</v>
      </c>
      <c r="N5007">
        <v>50.855971542137603</v>
      </c>
      <c r="O5007">
        <v>49.6360403340394</v>
      </c>
      <c r="P5007">
        <v>-8.9622882379255794E-2</v>
      </c>
      <c r="Q5007">
        <v>0.129907340267331</v>
      </c>
      <c r="R5007">
        <v>0.98960618911889497</v>
      </c>
      <c r="S5007" t="s">
        <v>11653</v>
      </c>
      <c r="T5007" t="s">
        <v>13290</v>
      </c>
      <c r="U5007" t="s">
        <v>13290</v>
      </c>
      <c r="V5007" t="s">
        <v>13290</v>
      </c>
      <c r="W5007" t="s">
        <v>18248</v>
      </c>
      <c r="X5007">
        <v>3</v>
      </c>
      <c r="Y5007" t="s">
        <v>24730</v>
      </c>
      <c r="Z5007" t="s">
        <v>31337</v>
      </c>
      <c r="AA5007">
        <v>0.43465892304857712</v>
      </c>
      <c r="AB5007" t="str">
        <f>HYPERLINK("Melting_Curves/meltCurve_Q96CW5_TUBGCP3.pdf", "Melting_Curves/meltCurve_Q96CW5_TUBGCP3.pdf")</f>
        <v>Melting_Curves/meltCurve_Q96CW5_TUBGCP3.pdf</v>
      </c>
    </row>
    <row r="5008" spans="1:28" x14ac:dyDescent="0.25">
      <c r="A5008" t="s">
        <v>5012</v>
      </c>
      <c r="B5008">
        <v>0.99252571173614901</v>
      </c>
      <c r="C5008">
        <v>1.0743642068845101</v>
      </c>
      <c r="D5008">
        <v>0.93925109021342701</v>
      </c>
      <c r="E5008">
        <v>0.90562608190982197</v>
      </c>
      <c r="F5008">
        <v>0.59192526351172303</v>
      </c>
      <c r="G5008">
        <v>0.34972287911280497</v>
      </c>
      <c r="H5008">
        <v>0.236396889719165</v>
      </c>
      <c r="I5008">
        <v>0.20035620885814401</v>
      </c>
      <c r="J5008">
        <v>0.30328879813345</v>
      </c>
      <c r="K5008">
        <v>0.31219650996049902</v>
      </c>
      <c r="L5008">
        <v>1570.0836447131501</v>
      </c>
      <c r="M5008">
        <v>29.735602432063502</v>
      </c>
      <c r="N5008">
        <v>54.140177181601302</v>
      </c>
      <c r="O5008">
        <v>52.564395854804602</v>
      </c>
      <c r="P5008">
        <v>-0.104611141757043</v>
      </c>
      <c r="Q5008">
        <v>0.26030969162784801</v>
      </c>
      <c r="R5008">
        <v>0.98345307612226096</v>
      </c>
      <c r="S5008" t="s">
        <v>11654</v>
      </c>
      <c r="T5008" t="s">
        <v>13290</v>
      </c>
      <c r="U5008" t="s">
        <v>13290</v>
      </c>
      <c r="V5008" t="s">
        <v>13290</v>
      </c>
      <c r="W5008" t="s">
        <v>18249</v>
      </c>
      <c r="X5008">
        <v>3</v>
      </c>
      <c r="Y5008" t="s">
        <v>24731</v>
      </c>
      <c r="Z5008" t="s">
        <v>31338</v>
      </c>
      <c r="AA5008">
        <v>0.58081448224796139</v>
      </c>
      <c r="AB5008" t="str">
        <f>HYPERLINK("Melting_Curves/meltCurve_Q96CW6_SLC7A6OS.pdf", "Melting_Curves/meltCurve_Q96CW6_SLC7A6OS.pdf")</f>
        <v>Melting_Curves/meltCurve_Q96CW6_SLC7A6OS.pdf</v>
      </c>
    </row>
    <row r="5009" spans="1:28" x14ac:dyDescent="0.25">
      <c r="A5009" t="s">
        <v>5013</v>
      </c>
      <c r="B5009">
        <v>0.99252571173614901</v>
      </c>
      <c r="C5009">
        <v>0.98985726403719998</v>
      </c>
      <c r="D5009">
        <v>1.0681666289218299</v>
      </c>
      <c r="E5009">
        <v>1.0045746966740201</v>
      </c>
      <c r="F5009">
        <v>0.89822749629472198</v>
      </c>
      <c r="G5009">
        <v>0.71750654228371902</v>
      </c>
      <c r="H5009">
        <v>0.53898599107998402</v>
      </c>
      <c r="I5009">
        <v>0.42098611801397601</v>
      </c>
      <c r="J5009">
        <v>0.31403634214479698</v>
      </c>
      <c r="K5009">
        <v>0.21904693098721001</v>
      </c>
      <c r="L5009">
        <v>897.12475906647001</v>
      </c>
      <c r="M5009">
        <v>14.9129738266641</v>
      </c>
      <c r="N5009">
        <v>61.628710523882603</v>
      </c>
      <c r="O5009">
        <v>59.106705532612601</v>
      </c>
      <c r="P5009">
        <v>-5.3634476590957603E-2</v>
      </c>
      <c r="Q5009">
        <v>0.149779333198584</v>
      </c>
      <c r="R5009">
        <v>0.98909096287597398</v>
      </c>
      <c r="S5009" t="s">
        <v>11655</v>
      </c>
      <c r="T5009" t="s">
        <v>13290</v>
      </c>
      <c r="U5009" t="s">
        <v>13290</v>
      </c>
      <c r="V5009" t="s">
        <v>13290</v>
      </c>
      <c r="W5009" t="s">
        <v>18250</v>
      </c>
      <c r="X5009">
        <v>8</v>
      </c>
      <c r="Y5009" t="s">
        <v>24732</v>
      </c>
      <c r="Z5009" t="s">
        <v>31339</v>
      </c>
      <c r="AA5009">
        <v>0.72628353892697939</v>
      </c>
      <c r="AB5009" t="str">
        <f>HYPERLINK("Melting_Curves/meltCurve_Q96CX2_KCTD12.pdf", "Melting_Curves/meltCurve_Q96CX2_KCTD12.pdf")</f>
        <v>Melting_Curves/meltCurve_Q96CX2_KCTD12.pdf</v>
      </c>
    </row>
    <row r="5010" spans="1:28" x14ac:dyDescent="0.25">
      <c r="A5010" t="s">
        <v>5014</v>
      </c>
      <c r="B5010">
        <v>0.99252571173614901</v>
      </c>
      <c r="C5010">
        <v>1.0760949139631699</v>
      </c>
      <c r="D5010">
        <v>0.97893002198367196</v>
      </c>
      <c r="E5010">
        <v>1.23223573634921</v>
      </c>
      <c r="F5010">
        <v>0.542675291017919</v>
      </c>
      <c r="G5010">
        <v>0.40822696695763599</v>
      </c>
      <c r="H5010">
        <v>0.41614697199033102</v>
      </c>
      <c r="I5010">
        <v>0.45270402476048299</v>
      </c>
      <c r="J5010">
        <v>0.62746658896506502</v>
      </c>
      <c r="K5010">
        <v>0.49788453297067797</v>
      </c>
      <c r="L5010">
        <v>13193.8552190178</v>
      </c>
      <c r="M5010">
        <v>250</v>
      </c>
      <c r="N5010">
        <v>53.469123476330701</v>
      </c>
      <c r="O5010">
        <v>52.772043599253699</v>
      </c>
      <c r="P5010">
        <v>-0.61528106215834799</v>
      </c>
      <c r="Q5010">
        <v>0.480485776001353</v>
      </c>
      <c r="R5010">
        <v>0.89524680960000502</v>
      </c>
      <c r="S5010" t="s">
        <v>11656</v>
      </c>
      <c r="T5010" t="s">
        <v>13290</v>
      </c>
      <c r="U5010" t="s">
        <v>13290</v>
      </c>
      <c r="V5010" t="s">
        <v>13290</v>
      </c>
      <c r="W5010" t="s">
        <v>18251</v>
      </c>
      <c r="X5010">
        <v>1</v>
      </c>
      <c r="Y5010" t="s">
        <v>24733</v>
      </c>
      <c r="Z5010" t="s">
        <v>31340</v>
      </c>
      <c r="AA5010">
        <v>0.70176765552034803</v>
      </c>
      <c r="AB5010" t="str">
        <f>HYPERLINK("Melting_Curves/meltCurve_Q96D31_2_ORAI1.pdf", "Melting_Curves/meltCurve_Q96D31_2_ORAI1.pdf")</f>
        <v>Melting_Curves/meltCurve_Q96D31_2_ORAI1.pdf</v>
      </c>
    </row>
    <row r="5011" spans="1:28" x14ac:dyDescent="0.25">
      <c r="A5011" t="s">
        <v>5015</v>
      </c>
      <c r="B5011">
        <v>0.99252571173614901</v>
      </c>
      <c r="C5011">
        <v>0.82751092161643602</v>
      </c>
      <c r="D5011">
        <v>0.42985083887685299</v>
      </c>
      <c r="E5011">
        <v>0.222544544127904</v>
      </c>
      <c r="F5011">
        <v>0.149571090823307</v>
      </c>
      <c r="G5011">
        <v>8.8853030626059704E-2</v>
      </c>
      <c r="H5011">
        <v>7.7132415645279506E-2</v>
      </c>
      <c r="I5011">
        <v>8.7968948061273797E-2</v>
      </c>
      <c r="J5011">
        <v>0.121312366734105</v>
      </c>
      <c r="K5011">
        <v>0.123623326855841</v>
      </c>
      <c r="L5011">
        <v>1158.5592331989899</v>
      </c>
      <c r="M5011">
        <v>25.6445396178081</v>
      </c>
      <c r="N5011">
        <v>45.605813860500902</v>
      </c>
      <c r="O5011">
        <v>44.9055894968565</v>
      </c>
      <c r="P5011">
        <v>-0.127495611948894</v>
      </c>
      <c r="Q5011">
        <v>0.10699185469598101</v>
      </c>
      <c r="R5011">
        <v>0.99480538184679401</v>
      </c>
      <c r="S5011" t="s">
        <v>11657</v>
      </c>
      <c r="T5011" t="s">
        <v>13290</v>
      </c>
      <c r="U5011" t="s">
        <v>13290</v>
      </c>
      <c r="V5011" t="s">
        <v>13290</v>
      </c>
      <c r="W5011" t="s">
        <v>18252</v>
      </c>
      <c r="X5011">
        <v>11</v>
      </c>
      <c r="Y5011" t="s">
        <v>24734</v>
      </c>
      <c r="Z5011" t="s">
        <v>31341</v>
      </c>
      <c r="AA5011">
        <v>0.26934188774553358</v>
      </c>
      <c r="AB5011" t="str">
        <f>HYPERLINK("Melting_Curves/meltCurve_Q96D71_3_REPS1.pdf", "Melting_Curves/meltCurve_Q96D71_3_REPS1.pdf")</f>
        <v>Melting_Curves/meltCurve_Q96D71_3_REPS1.pdf</v>
      </c>
    </row>
    <row r="5012" spans="1:28" x14ac:dyDescent="0.25">
      <c r="A5012" t="s">
        <v>5016</v>
      </c>
      <c r="B5012">
        <v>0.99252571173614901</v>
      </c>
      <c r="C5012">
        <v>0.97718668483569004</v>
      </c>
      <c r="D5012">
        <v>0.88588261835007398</v>
      </c>
      <c r="E5012">
        <v>0.77660449733320902</v>
      </c>
      <c r="F5012">
        <v>0.53559177784786705</v>
      </c>
      <c r="G5012">
        <v>0.34909613163693198</v>
      </c>
      <c r="H5012">
        <v>0.17692186914366201</v>
      </c>
      <c r="I5012">
        <v>0.14135450646428399</v>
      </c>
      <c r="J5012">
        <v>0.142355378202775</v>
      </c>
      <c r="K5012">
        <v>0.12543535351082999</v>
      </c>
      <c r="L5012">
        <v>797.099150114297</v>
      </c>
      <c r="M5012">
        <v>15.0302126060823</v>
      </c>
      <c r="N5012">
        <v>53.743157145754502</v>
      </c>
      <c r="O5012">
        <v>52.1209036201383</v>
      </c>
      <c r="P5012">
        <v>-6.5607621552650805E-2</v>
      </c>
      <c r="Q5012">
        <v>9.0049930271294598E-2</v>
      </c>
      <c r="R5012">
        <v>0.99772608830297405</v>
      </c>
      <c r="S5012" t="s">
        <v>11658</v>
      </c>
      <c r="T5012" t="s">
        <v>13290</v>
      </c>
      <c r="U5012" t="s">
        <v>13290</v>
      </c>
      <c r="V5012" t="s">
        <v>13290</v>
      </c>
      <c r="W5012" t="s">
        <v>18253</v>
      </c>
      <c r="X5012">
        <v>4</v>
      </c>
      <c r="Y5012" t="s">
        <v>24735</v>
      </c>
      <c r="Z5012" t="s">
        <v>31342</v>
      </c>
      <c r="AA5012">
        <v>0.50486535281111333</v>
      </c>
      <c r="AB5012" t="str">
        <f>HYPERLINK("Melting_Curves/meltCurve_Q96DA2_RAB39B.pdf", "Melting_Curves/meltCurve_Q96DA2_RAB39B.pdf")</f>
        <v>Melting_Curves/meltCurve_Q96DA2_RAB39B.pdf</v>
      </c>
    </row>
    <row r="5013" spans="1:28" x14ac:dyDescent="0.25">
      <c r="A5013" t="s">
        <v>5017</v>
      </c>
      <c r="B5013">
        <v>0.99252571173614901</v>
      </c>
      <c r="C5013">
        <v>0.91985352457670599</v>
      </c>
      <c r="D5013">
        <v>0.87640478874660099</v>
      </c>
      <c r="E5013">
        <v>0.79895240559430103</v>
      </c>
      <c r="F5013">
        <v>0.620137574152136</v>
      </c>
      <c r="G5013">
        <v>0.45834905574778001</v>
      </c>
      <c r="H5013">
        <v>0.25694336610680901</v>
      </c>
      <c r="I5013">
        <v>0.20715184938124701</v>
      </c>
      <c r="J5013">
        <v>0.24715252414784</v>
      </c>
      <c r="K5013">
        <v>0.23981244579435701</v>
      </c>
      <c r="L5013">
        <v>692.69595186569802</v>
      </c>
      <c r="M5013">
        <v>12.934654934264</v>
      </c>
      <c r="N5013">
        <v>55.247067178552101</v>
      </c>
      <c r="O5013">
        <v>52.321903166180398</v>
      </c>
      <c r="P5013">
        <v>-5.16974296470398E-2</v>
      </c>
      <c r="Q5013">
        <v>0.16366671362253801</v>
      </c>
      <c r="R5013">
        <v>0.98663629995865998</v>
      </c>
      <c r="S5013" t="s">
        <v>11659</v>
      </c>
      <c r="T5013" t="s">
        <v>13290</v>
      </c>
      <c r="U5013" t="s">
        <v>13290</v>
      </c>
      <c r="V5013" t="s">
        <v>13290</v>
      </c>
      <c r="W5013" t="s">
        <v>18254</v>
      </c>
      <c r="X5013">
        <v>8</v>
      </c>
      <c r="Y5013" t="s">
        <v>24736</v>
      </c>
      <c r="Z5013" t="s">
        <v>31343</v>
      </c>
      <c r="AA5013">
        <v>0.56251381277326762</v>
      </c>
      <c r="AB5013" t="str">
        <f>HYPERLINK("Melting_Curves/meltCurve_Q96DA6_DNAJC19.pdf", "Melting_Curves/meltCurve_Q96DA6_DNAJC19.pdf")</f>
        <v>Melting_Curves/meltCurve_Q96DA6_DNAJC19.pdf</v>
      </c>
    </row>
    <row r="5014" spans="1:28" x14ac:dyDescent="0.25">
      <c r="A5014" t="s">
        <v>5018</v>
      </c>
      <c r="B5014">
        <v>0.99252571173614901</v>
      </c>
      <c r="C5014">
        <v>0.54771627194533701</v>
      </c>
      <c r="D5014">
        <v>1.0770031408224201</v>
      </c>
      <c r="E5014">
        <v>0.74086324681507298</v>
      </c>
      <c r="F5014">
        <v>0.33601545296858099</v>
      </c>
      <c r="G5014">
        <v>0.106688540952707</v>
      </c>
      <c r="H5014">
        <v>5.7583608673368702E-2</v>
      </c>
      <c r="I5014">
        <v>5.8919762691386199E-2</v>
      </c>
      <c r="J5014">
        <v>5.4864041465378599E-2</v>
      </c>
      <c r="K5014">
        <v>5.1507189705182303E-2</v>
      </c>
      <c r="L5014">
        <v>1425.7033047079101</v>
      </c>
      <c r="M5014">
        <v>27.6786583377698</v>
      </c>
      <c r="N5014">
        <v>51.7033631377126</v>
      </c>
      <c r="O5014">
        <v>51.242496871117403</v>
      </c>
      <c r="P5014">
        <v>-0.12837075530950201</v>
      </c>
      <c r="Q5014">
        <v>4.9378923607190199E-2</v>
      </c>
      <c r="R5014">
        <v>0.85846106836974201</v>
      </c>
      <c r="S5014" t="s">
        <v>11660</v>
      </c>
      <c r="T5014" t="s">
        <v>13290</v>
      </c>
      <c r="U5014" t="s">
        <v>13290</v>
      </c>
      <c r="V5014" t="s">
        <v>13290</v>
      </c>
      <c r="W5014" t="s">
        <v>18255</v>
      </c>
      <c r="X5014">
        <v>6</v>
      </c>
      <c r="Y5014" t="s">
        <v>24737</v>
      </c>
      <c r="Z5014" t="s">
        <v>31344</v>
      </c>
      <c r="AA5014">
        <v>0.42114421307333838</v>
      </c>
      <c r="AB5014" t="str">
        <f>HYPERLINK("Melting_Curves/meltCurve_Q96DB5_RMDN1.pdf", "Melting_Curves/meltCurve_Q96DB5_RMDN1.pdf")</f>
        <v>Melting_Curves/meltCurve_Q96DB5_RMDN1.pdf</v>
      </c>
    </row>
    <row r="5015" spans="1:28" x14ac:dyDescent="0.25">
      <c r="A5015" t="s">
        <v>5019</v>
      </c>
      <c r="B5015">
        <v>0.99252571173614901</v>
      </c>
      <c r="C5015">
        <v>0.85889734071725499</v>
      </c>
      <c r="D5015">
        <v>0.82548419094380898</v>
      </c>
      <c r="E5015">
        <v>0.80946375899321998</v>
      </c>
      <c r="F5015">
        <v>0.68809685117636199</v>
      </c>
      <c r="G5015">
        <v>0.73706255301839296</v>
      </c>
      <c r="H5015">
        <v>0.59660680927721599</v>
      </c>
      <c r="I5015">
        <v>0.84350002172643401</v>
      </c>
      <c r="J5015">
        <v>1.22439904760109</v>
      </c>
      <c r="K5015">
        <v>0.966144390403464</v>
      </c>
      <c r="L5015">
        <v>2928.2573932015598</v>
      </c>
      <c r="M5015">
        <v>70.106863568752004</v>
      </c>
      <c r="O5015">
        <v>41.734535498383103</v>
      </c>
      <c r="P5015">
        <v>-6.87283379866164E-2</v>
      </c>
      <c r="Q5015">
        <v>0.83634442715641599</v>
      </c>
      <c r="R5015">
        <v>7.76844690359145E-2</v>
      </c>
      <c r="S5015" t="s">
        <v>11661</v>
      </c>
      <c r="T5015" t="s">
        <v>13290</v>
      </c>
      <c r="U5015" t="s">
        <v>13290</v>
      </c>
      <c r="V5015" t="s">
        <v>13290</v>
      </c>
      <c r="W5015" t="s">
        <v>18256</v>
      </c>
      <c r="X5015">
        <v>1</v>
      </c>
      <c r="Y5015" t="s">
        <v>24738</v>
      </c>
      <c r="Z5015" t="s">
        <v>31345</v>
      </c>
      <c r="AA5015">
        <v>0.84627269179619924</v>
      </c>
      <c r="AB5015" t="str">
        <f>HYPERLINK("Melting_Curves/meltCurve_Q96DD7_SHISA4.pdf", "Melting_Curves/meltCurve_Q96DD7_SHISA4.pdf")</f>
        <v>Melting_Curves/meltCurve_Q96DD7_SHISA4.pdf</v>
      </c>
    </row>
    <row r="5016" spans="1:28" x14ac:dyDescent="0.25">
      <c r="A5016" t="s">
        <v>5020</v>
      </c>
      <c r="B5016">
        <v>0.99252571173614901</v>
      </c>
      <c r="C5016">
        <v>1.0371262491862301</v>
      </c>
      <c r="D5016">
        <v>0.92522231635697405</v>
      </c>
      <c r="E5016">
        <v>0.74353743864029898</v>
      </c>
      <c r="F5016">
        <v>0.79580072366655097</v>
      </c>
      <c r="G5016">
        <v>0.68621636984796197</v>
      </c>
      <c r="H5016">
        <v>0.62727462707200399</v>
      </c>
      <c r="I5016">
        <v>0.736916656587569</v>
      </c>
      <c r="J5016">
        <v>0.93488489073342596</v>
      </c>
      <c r="K5016">
        <v>0.94929075820340203</v>
      </c>
      <c r="L5016">
        <v>11529.898016158701</v>
      </c>
      <c r="M5016">
        <v>250</v>
      </c>
      <c r="O5016">
        <v>46.116642297884297</v>
      </c>
      <c r="P5016">
        <v>-0.29546170407981798</v>
      </c>
      <c r="Q5016">
        <v>0.78198878021034102</v>
      </c>
      <c r="R5016">
        <v>0.505011885046866</v>
      </c>
      <c r="S5016" t="s">
        <v>11662</v>
      </c>
      <c r="T5016" t="s">
        <v>13290</v>
      </c>
      <c r="U5016" t="s">
        <v>13290</v>
      </c>
      <c r="V5016" t="s">
        <v>13290</v>
      </c>
      <c r="W5016" t="s">
        <v>18257</v>
      </c>
      <c r="X5016">
        <v>14</v>
      </c>
      <c r="Y5016" t="s">
        <v>24739</v>
      </c>
      <c r="Z5016" t="s">
        <v>31346</v>
      </c>
      <c r="AA5016">
        <v>0.82647775021091829</v>
      </c>
      <c r="AB5016" t="str">
        <f>HYPERLINK("Melting_Curves/meltCurve_Q96DE0_NUDT16.pdf", "Melting_Curves/meltCurve_Q96DE0_NUDT16.pdf")</f>
        <v>Melting_Curves/meltCurve_Q96DE0_NUDT16.pdf</v>
      </c>
    </row>
    <row r="5017" spans="1:28" x14ac:dyDescent="0.25">
      <c r="A5017" t="s">
        <v>5021</v>
      </c>
      <c r="B5017">
        <v>0.99252571173614901</v>
      </c>
      <c r="C5017">
        <v>0.88438586640855499</v>
      </c>
      <c r="D5017">
        <v>0.89072901191112197</v>
      </c>
      <c r="E5017">
        <v>0.80789648235984601</v>
      </c>
      <c r="F5017">
        <v>0.59910696113885498</v>
      </c>
      <c r="G5017">
        <v>0.37478395621162702</v>
      </c>
      <c r="H5017">
        <v>0.42832686263931302</v>
      </c>
      <c r="I5017">
        <v>0.45210451483976899</v>
      </c>
      <c r="J5017">
        <v>0.86846570183503502</v>
      </c>
      <c r="K5017">
        <v>1.3062005719939001</v>
      </c>
      <c r="L5017">
        <v>1198.19769138277</v>
      </c>
      <c r="M5017">
        <v>25.6359083442936</v>
      </c>
      <c r="O5017">
        <v>46.457436211981701</v>
      </c>
      <c r="P5017">
        <v>-4.42751248481522E-2</v>
      </c>
      <c r="Q5017">
        <v>0.67906221956241297</v>
      </c>
      <c r="R5017">
        <v>0.15178293995221101</v>
      </c>
      <c r="S5017" t="s">
        <v>11663</v>
      </c>
      <c r="T5017" t="s">
        <v>13290</v>
      </c>
      <c r="U5017" t="s">
        <v>13290</v>
      </c>
      <c r="V5017" t="s">
        <v>13290</v>
      </c>
      <c r="W5017" t="s">
        <v>18258</v>
      </c>
      <c r="X5017">
        <v>1</v>
      </c>
      <c r="Y5017" t="s">
        <v>24740</v>
      </c>
      <c r="Z5017" t="s">
        <v>31347</v>
      </c>
      <c r="AA5017">
        <v>0.75388171838314266</v>
      </c>
      <c r="AB5017" t="str">
        <f>HYPERLINK("Melting_Curves/meltCurve_Q96DE5_ANAPC16.pdf", "Melting_Curves/meltCurve_Q96DE5_ANAPC16.pdf")</f>
        <v>Melting_Curves/meltCurve_Q96DE5_ANAPC16.pdf</v>
      </c>
    </row>
    <row r="5018" spans="1:28" x14ac:dyDescent="0.25">
      <c r="A5018" t="s">
        <v>5022</v>
      </c>
      <c r="B5018">
        <v>0.99252571173614901</v>
      </c>
      <c r="C5018">
        <v>0.87248730326885504</v>
      </c>
      <c r="D5018">
        <v>0.654123237905328</v>
      </c>
      <c r="E5018">
        <v>0.526105983110288</v>
      </c>
      <c r="F5018">
        <v>0.36513361131613797</v>
      </c>
      <c r="G5018">
        <v>0.27696523415518298</v>
      </c>
      <c r="H5018">
        <v>0.258350346695285</v>
      </c>
      <c r="I5018">
        <v>0.34969827398932501</v>
      </c>
      <c r="J5018">
        <v>0.64419868071494502</v>
      </c>
      <c r="K5018">
        <v>1.0040521003862399</v>
      </c>
      <c r="L5018">
        <v>1355.06166999535</v>
      </c>
      <c r="M5018">
        <v>30.313068228170099</v>
      </c>
      <c r="N5018">
        <v>50.694265689438303</v>
      </c>
      <c r="O5018">
        <v>44.509033594400101</v>
      </c>
      <c r="P5018">
        <v>-8.7498356315671794E-2</v>
      </c>
      <c r="Q5018">
        <v>0.486103761467091</v>
      </c>
      <c r="R5018">
        <v>0.427077979465952</v>
      </c>
      <c r="S5018" t="s">
        <v>11664</v>
      </c>
      <c r="T5018" t="s">
        <v>13290</v>
      </c>
      <c r="U5018" t="s">
        <v>13290</v>
      </c>
      <c r="V5018" t="s">
        <v>13290</v>
      </c>
      <c r="W5018" t="s">
        <v>18259</v>
      </c>
      <c r="X5018">
        <v>11</v>
      </c>
      <c r="Y5018" t="s">
        <v>24741</v>
      </c>
      <c r="Z5018" t="s">
        <v>31348</v>
      </c>
      <c r="AA5018">
        <v>0.56996973809479845</v>
      </c>
      <c r="AB5018" t="str">
        <f>HYPERLINK("Melting_Curves/meltCurve_Q96DF8_DGCR14.pdf", "Melting_Curves/meltCurve_Q96DF8_DGCR14.pdf")</f>
        <v>Melting_Curves/meltCurve_Q96DF8_DGCR14.pdf</v>
      </c>
    </row>
    <row r="5019" spans="1:28" x14ac:dyDescent="0.25">
      <c r="A5019" t="s">
        <v>5023</v>
      </c>
      <c r="B5019">
        <v>0.99252571173614901</v>
      </c>
      <c r="C5019">
        <v>1.08585815474214</v>
      </c>
      <c r="D5019">
        <v>1.17363092998063</v>
      </c>
      <c r="E5019">
        <v>1.4575129998218399</v>
      </c>
      <c r="F5019">
        <v>1.2165426797263501</v>
      </c>
      <c r="G5019">
        <v>0.40422159284994402</v>
      </c>
      <c r="H5019">
        <v>0.14701380674557099</v>
      </c>
      <c r="I5019">
        <v>0.13468503100656901</v>
      </c>
      <c r="J5019">
        <v>0.17426319016088501</v>
      </c>
      <c r="K5019">
        <v>0.193130105748827</v>
      </c>
      <c r="L5019">
        <v>14148.815088984</v>
      </c>
      <c r="M5019">
        <v>250</v>
      </c>
      <c r="N5019">
        <v>56.684208917680401</v>
      </c>
      <c r="O5019">
        <v>56.591638632220402</v>
      </c>
      <c r="P5019">
        <v>-0.92518856621572398</v>
      </c>
      <c r="Q5019">
        <v>0.16227300885071799</v>
      </c>
      <c r="R5019">
        <v>0.88376859991442802</v>
      </c>
      <c r="S5019" t="s">
        <v>11665</v>
      </c>
      <c r="T5019" t="s">
        <v>13290</v>
      </c>
      <c r="U5019" t="s">
        <v>13290</v>
      </c>
      <c r="V5019" t="s">
        <v>13290</v>
      </c>
      <c r="W5019" t="s">
        <v>18260</v>
      </c>
      <c r="X5019">
        <v>5</v>
      </c>
      <c r="Y5019" t="s">
        <v>24742</v>
      </c>
      <c r="Z5019" t="s">
        <v>31349</v>
      </c>
      <c r="AA5019">
        <v>0.62576613259034386</v>
      </c>
      <c r="AB5019" t="str">
        <f>HYPERLINK("Melting_Curves/meltCurve_Q96DI7_SNRNP40.pdf", "Melting_Curves/meltCurve_Q96DI7_SNRNP40.pdf")</f>
        <v>Melting_Curves/meltCurve_Q96DI7_SNRNP40.pdf</v>
      </c>
    </row>
    <row r="5020" spans="1:28" x14ac:dyDescent="0.25">
      <c r="A5020" t="s">
        <v>5024</v>
      </c>
      <c r="B5020">
        <v>0.99252571173614901</v>
      </c>
      <c r="C5020">
        <v>0.96825789244188698</v>
      </c>
      <c r="D5020">
        <v>0.73459122837756397</v>
      </c>
      <c r="E5020">
        <v>0.26705662616807502</v>
      </c>
      <c r="F5020">
        <v>0.153957257676579</v>
      </c>
      <c r="G5020">
        <v>9.5439166178374807E-2</v>
      </c>
      <c r="H5020">
        <v>7.2948924208677907E-2</v>
      </c>
      <c r="I5020">
        <v>9.9380336416532697E-2</v>
      </c>
      <c r="J5020">
        <v>6.5545406630812195E-2</v>
      </c>
      <c r="K5020">
        <v>6.8737662294179602E-2</v>
      </c>
      <c r="L5020">
        <v>1385.9634161612701</v>
      </c>
      <c r="M5020">
        <v>29.242807124220899</v>
      </c>
      <c r="N5020">
        <v>47.692467390447803</v>
      </c>
      <c r="O5020">
        <v>47.175054409288499</v>
      </c>
      <c r="P5020">
        <v>-0.142052741357412</v>
      </c>
      <c r="Q5020">
        <v>8.3358155000260004E-2</v>
      </c>
      <c r="R5020">
        <v>0.99823560860784799</v>
      </c>
      <c r="S5020" t="s">
        <v>11666</v>
      </c>
      <c r="T5020" t="s">
        <v>13290</v>
      </c>
      <c r="U5020" t="s">
        <v>13290</v>
      </c>
      <c r="V5020" t="s">
        <v>13290</v>
      </c>
      <c r="W5020" t="s">
        <v>18261</v>
      </c>
      <c r="X5020">
        <v>3</v>
      </c>
      <c r="Y5020" t="s">
        <v>24743</v>
      </c>
      <c r="Z5020" t="s">
        <v>31350</v>
      </c>
      <c r="AA5020">
        <v>0.31511571288452828</v>
      </c>
      <c r="AB5020" t="str">
        <f>HYPERLINK("Melting_Curves/meltCurve_Q96DR4_STARD4.pdf", "Melting_Curves/meltCurve_Q96DR4_STARD4.pdf")</f>
        <v>Melting_Curves/meltCurve_Q96DR4_STARD4.pdf</v>
      </c>
    </row>
    <row r="5021" spans="1:28" x14ac:dyDescent="0.25">
      <c r="A5021" t="s">
        <v>5025</v>
      </c>
      <c r="B5021">
        <v>0.99252571173614901</v>
      </c>
      <c r="C5021">
        <v>0.94812007842203705</v>
      </c>
      <c r="D5021">
        <v>0.920592381171771</v>
      </c>
      <c r="E5021">
        <v>0.88053825346955905</v>
      </c>
      <c r="F5021">
        <v>0.21700323823070899</v>
      </c>
      <c r="G5021">
        <v>0.141203001790697</v>
      </c>
      <c r="H5021">
        <v>0.11122225664225199</v>
      </c>
      <c r="I5021">
        <v>0.15555626068999401</v>
      </c>
      <c r="J5021">
        <v>0.13899279321235899</v>
      </c>
      <c r="K5021">
        <v>0.159304370764108</v>
      </c>
      <c r="L5021">
        <v>3013.9312980314899</v>
      </c>
      <c r="M5021">
        <v>58.959582261689597</v>
      </c>
      <c r="N5021">
        <v>51.406338655267596</v>
      </c>
      <c r="O5021">
        <v>51.059891574821499</v>
      </c>
      <c r="P5021">
        <v>-0.24810473077547399</v>
      </c>
      <c r="Q5021">
        <v>0.14055055029371499</v>
      </c>
      <c r="R5021">
        <v>0.99302692682877303</v>
      </c>
      <c r="S5021" t="s">
        <v>11667</v>
      </c>
      <c r="T5021" t="s">
        <v>13290</v>
      </c>
      <c r="U5021" t="s">
        <v>13290</v>
      </c>
      <c r="V5021" t="s">
        <v>13290</v>
      </c>
      <c r="W5021" t="s">
        <v>18262</v>
      </c>
      <c r="X5021">
        <v>1</v>
      </c>
      <c r="Y5021" t="s">
        <v>24744</v>
      </c>
      <c r="Z5021" t="s">
        <v>31351</v>
      </c>
      <c r="AA5021">
        <v>0.46047120833664701</v>
      </c>
      <c r="AB5021" t="str">
        <f>HYPERLINK("Melting_Curves/meltCurve_Q96DT0_3_LGALS12.pdf", "Melting_Curves/meltCurve_Q96DT0_3_LGALS12.pdf")</f>
        <v>Melting_Curves/meltCurve_Q96DT0_3_LGALS12.pdf</v>
      </c>
    </row>
    <row r="5022" spans="1:28" x14ac:dyDescent="0.25">
      <c r="A5022" t="s">
        <v>5026</v>
      </c>
      <c r="B5022">
        <v>0.99252571173614901</v>
      </c>
      <c r="C5022">
        <v>1.0487605481461999</v>
      </c>
      <c r="D5022">
        <v>0.68617002778237501</v>
      </c>
      <c r="E5022">
        <v>0.42121594169702598</v>
      </c>
      <c r="F5022">
        <v>0.18606780269401699</v>
      </c>
      <c r="G5022">
        <v>0.15760245529467501</v>
      </c>
      <c r="H5022">
        <v>0.14935754764454501</v>
      </c>
      <c r="I5022">
        <v>0.20661026040122701</v>
      </c>
      <c r="J5022">
        <v>0.12025756951326699</v>
      </c>
      <c r="K5022">
        <v>6.9083629436512903E-2</v>
      </c>
      <c r="L5022">
        <v>1141.5300787137501</v>
      </c>
      <c r="M5022">
        <v>23.922325406123701</v>
      </c>
      <c r="N5022">
        <v>48.3549468801465</v>
      </c>
      <c r="O5022">
        <v>47.388492698573003</v>
      </c>
      <c r="P5022">
        <v>-0.109153165895431</v>
      </c>
      <c r="Q5022">
        <v>0.13511398687144699</v>
      </c>
      <c r="R5022">
        <v>0.97913492894472998</v>
      </c>
      <c r="S5022" t="s">
        <v>11668</v>
      </c>
      <c r="T5022" t="s">
        <v>13290</v>
      </c>
      <c r="U5022" t="s">
        <v>13290</v>
      </c>
      <c r="V5022" t="s">
        <v>13290</v>
      </c>
      <c r="W5022" t="s">
        <v>18263</v>
      </c>
      <c r="X5022">
        <v>2</v>
      </c>
      <c r="Y5022" t="s">
        <v>24745</v>
      </c>
      <c r="Z5022" t="s">
        <v>31352</v>
      </c>
      <c r="AA5022">
        <v>0.36603897210775721</v>
      </c>
      <c r="AB5022" t="str">
        <f>HYPERLINK("Melting_Curves/meltCurve_Q96DV4_MRPL38.pdf", "Melting_Curves/meltCurve_Q96DV4_MRPL38.pdf")</f>
        <v>Melting_Curves/meltCurve_Q96DV4_MRPL38.pdf</v>
      </c>
    </row>
    <row r="5023" spans="1:28" x14ac:dyDescent="0.25">
      <c r="A5023" t="s">
        <v>5027</v>
      </c>
      <c r="B5023">
        <v>0.99252571173614901</v>
      </c>
      <c r="C5023">
        <v>1.0603921124726099</v>
      </c>
      <c r="D5023">
        <v>1.00583193367461</v>
      </c>
      <c r="E5023">
        <v>0.89554205736963399</v>
      </c>
      <c r="F5023">
        <v>0.68503848488256402</v>
      </c>
      <c r="G5023">
        <v>0.49567181605055299</v>
      </c>
      <c r="H5023">
        <v>0.28035370345201799</v>
      </c>
      <c r="I5023">
        <v>0.26225065379238599</v>
      </c>
      <c r="J5023">
        <v>0.27743070156397198</v>
      </c>
      <c r="K5023">
        <v>0.31687927483634398</v>
      </c>
      <c r="L5023">
        <v>1188.39008871079</v>
      </c>
      <c r="M5023">
        <v>21.988359102752501</v>
      </c>
      <c r="N5023">
        <v>55.992459542681502</v>
      </c>
      <c r="O5023">
        <v>53.605261793516597</v>
      </c>
      <c r="P5023">
        <v>-7.51528167448966E-2</v>
      </c>
      <c r="Q5023">
        <v>0.26715836741462501</v>
      </c>
      <c r="R5023">
        <v>0.988983448082288</v>
      </c>
      <c r="S5023" t="s">
        <v>11669</v>
      </c>
      <c r="T5023" t="s">
        <v>13290</v>
      </c>
      <c r="U5023" t="s">
        <v>13290</v>
      </c>
      <c r="V5023" t="s">
        <v>13290</v>
      </c>
      <c r="W5023" t="s">
        <v>18264</v>
      </c>
      <c r="X5023">
        <v>4</v>
      </c>
      <c r="Y5023" t="s">
        <v>24746</v>
      </c>
      <c r="Z5023" t="s">
        <v>31353</v>
      </c>
      <c r="AA5023">
        <v>0.61878932459948144</v>
      </c>
      <c r="AB5023" t="str">
        <f>HYPERLINK("Melting_Curves/meltCurve_Q96DX5_2_ASB9.pdf", "Melting_Curves/meltCurve_Q96DX5_2_ASB9.pdf")</f>
        <v>Melting_Curves/meltCurve_Q96DX5_2_ASB9.pdf</v>
      </c>
    </row>
    <row r="5024" spans="1:28" x14ac:dyDescent="0.25">
      <c r="A5024" t="s">
        <v>5028</v>
      </c>
      <c r="B5024">
        <v>0.99252571173614901</v>
      </c>
      <c r="C5024">
        <v>0.91397170150870799</v>
      </c>
      <c r="D5024">
        <v>0.91153661100963002</v>
      </c>
      <c r="E5024">
        <v>0.80188336302506802</v>
      </c>
      <c r="F5024">
        <v>0.470953998699075</v>
      </c>
      <c r="G5024">
        <v>0.245298313649158</v>
      </c>
      <c r="H5024">
        <v>0.169540900194839</v>
      </c>
      <c r="I5024">
        <v>0.16518072008318899</v>
      </c>
      <c r="J5024">
        <v>0.196719629927497</v>
      </c>
      <c r="K5024">
        <v>0.16224327615267001</v>
      </c>
      <c r="L5024">
        <v>1158.2657429226699</v>
      </c>
      <c r="M5024">
        <v>22.321657587766801</v>
      </c>
      <c r="N5024">
        <v>52.788701412427898</v>
      </c>
      <c r="O5024">
        <v>51.478691180455002</v>
      </c>
      <c r="P5024">
        <v>-9.1265122436037099E-2</v>
      </c>
      <c r="Q5024">
        <v>0.15810731862139901</v>
      </c>
      <c r="R5024">
        <v>0.99104366045590497</v>
      </c>
      <c r="S5024" t="s">
        <v>11670</v>
      </c>
      <c r="T5024" t="s">
        <v>13290</v>
      </c>
      <c r="U5024" t="s">
        <v>13290</v>
      </c>
      <c r="V5024" t="s">
        <v>13290</v>
      </c>
      <c r="W5024" t="s">
        <v>18265</v>
      </c>
      <c r="X5024">
        <v>7</v>
      </c>
      <c r="Y5024" t="s">
        <v>24747</v>
      </c>
      <c r="Z5024" t="s">
        <v>31354</v>
      </c>
      <c r="AA5024">
        <v>0.5012958739812472</v>
      </c>
      <c r="AB5024" t="str">
        <f>HYPERLINK("Melting_Curves/meltCurve_Q96DZ1_ERLEC1.pdf", "Melting_Curves/meltCurve_Q96DZ1_ERLEC1.pdf")</f>
        <v>Melting_Curves/meltCurve_Q96DZ1_ERLEC1.pdf</v>
      </c>
    </row>
    <row r="5025" spans="1:28" x14ac:dyDescent="0.25">
      <c r="A5025" t="s">
        <v>5029</v>
      </c>
      <c r="B5025">
        <v>0.99252571173614901</v>
      </c>
      <c r="C5025">
        <v>1.0383967080540299</v>
      </c>
      <c r="D5025">
        <v>0.94570511418433001</v>
      </c>
      <c r="E5025">
        <v>0.87891100582034898</v>
      </c>
      <c r="F5025">
        <v>0.70090395450875198</v>
      </c>
      <c r="G5025">
        <v>0.583455994829856</v>
      </c>
      <c r="H5025">
        <v>0.56956716373118799</v>
      </c>
      <c r="I5025">
        <v>0.73200806019852804</v>
      </c>
      <c r="J5025">
        <v>1.1039374137959299</v>
      </c>
      <c r="K5025">
        <v>1.2273751449424</v>
      </c>
      <c r="L5025">
        <v>1966.6515534842599</v>
      </c>
      <c r="M5025">
        <v>41.498270999839299</v>
      </c>
      <c r="O5025">
        <v>47.281515473866499</v>
      </c>
      <c r="P5025">
        <v>-3.8726690039838099E-2</v>
      </c>
      <c r="Q5025">
        <v>0.82350557957769099</v>
      </c>
      <c r="R5025">
        <v>0.13378374985615701</v>
      </c>
      <c r="S5025" t="s">
        <v>11671</v>
      </c>
      <c r="T5025" t="s">
        <v>13290</v>
      </c>
      <c r="U5025" t="s">
        <v>13290</v>
      </c>
      <c r="V5025" t="s">
        <v>13290</v>
      </c>
      <c r="W5025" t="s">
        <v>18266</v>
      </c>
      <c r="X5025">
        <v>10</v>
      </c>
      <c r="Y5025" t="s">
        <v>24748</v>
      </c>
      <c r="Z5025" t="s">
        <v>31355</v>
      </c>
      <c r="AA5025">
        <v>0.86752802421779596</v>
      </c>
      <c r="AB5025" t="str">
        <f>HYPERLINK("Melting_Curves/meltCurve_Q96E09_FAM122A.pdf", "Melting_Curves/meltCurve_Q96E09_FAM122A.pdf")</f>
        <v>Melting_Curves/meltCurve_Q96E09_FAM122A.pdf</v>
      </c>
    </row>
    <row r="5026" spans="1:28" x14ac:dyDescent="0.25">
      <c r="A5026" t="s">
        <v>5030</v>
      </c>
      <c r="B5026">
        <v>0.99252571173614901</v>
      </c>
      <c r="C5026">
        <v>1.0910497908147401</v>
      </c>
      <c r="D5026">
        <v>0.94081004003825996</v>
      </c>
      <c r="E5026">
        <v>0.64694209365806499</v>
      </c>
      <c r="F5026">
        <v>0.327390646096058</v>
      </c>
      <c r="G5026">
        <v>0.21271565949509999</v>
      </c>
      <c r="H5026">
        <v>0.18237797267521699</v>
      </c>
      <c r="I5026">
        <v>0.21831208187061499</v>
      </c>
      <c r="J5026">
        <v>0.29920257239133302</v>
      </c>
      <c r="K5026">
        <v>0.34052207161624298</v>
      </c>
      <c r="L5026">
        <v>1781.7536725929699</v>
      </c>
      <c r="M5026">
        <v>35.8180657122643</v>
      </c>
      <c r="N5026">
        <v>50.729787859968603</v>
      </c>
      <c r="O5026">
        <v>49.590259984278497</v>
      </c>
      <c r="P5026">
        <v>-0.13531602726818601</v>
      </c>
      <c r="Q5026">
        <v>0.25062004405197003</v>
      </c>
      <c r="R5026">
        <v>0.97602774730486597</v>
      </c>
      <c r="S5026" t="s">
        <v>11672</v>
      </c>
      <c r="T5026" t="s">
        <v>13290</v>
      </c>
      <c r="U5026" t="s">
        <v>13290</v>
      </c>
      <c r="V5026" t="s">
        <v>13290</v>
      </c>
      <c r="W5026" t="s">
        <v>18267</v>
      </c>
      <c r="X5026">
        <v>10</v>
      </c>
      <c r="Y5026" t="s">
        <v>24749</v>
      </c>
      <c r="Z5026" t="s">
        <v>31356</v>
      </c>
      <c r="AA5026">
        <v>0.49725519307558019</v>
      </c>
      <c r="AB5026" t="str">
        <f>HYPERLINK("Melting_Curves/meltCurve_Q96E11_3_MRRF.pdf", "Melting_Curves/meltCurve_Q96E11_3_MRRF.pdf")</f>
        <v>Melting_Curves/meltCurve_Q96E11_3_MRRF.pdf</v>
      </c>
    </row>
    <row r="5027" spans="1:28" x14ac:dyDescent="0.25">
      <c r="A5027" t="s">
        <v>5031</v>
      </c>
      <c r="B5027">
        <v>0.99252571173614901</v>
      </c>
      <c r="C5027">
        <v>0.964976849506886</v>
      </c>
      <c r="D5027">
        <v>0.53694463741540399</v>
      </c>
      <c r="E5027">
        <v>0.35834071508129101</v>
      </c>
      <c r="F5027">
        <v>0.23244479004663801</v>
      </c>
      <c r="G5027">
        <v>0.19303911699329299</v>
      </c>
      <c r="H5027">
        <v>0.18337265902834199</v>
      </c>
      <c r="I5027">
        <v>0.188779669825999</v>
      </c>
      <c r="J5027">
        <v>0.22987627073470401</v>
      </c>
      <c r="K5027">
        <v>0.24805419604720999</v>
      </c>
      <c r="L5027">
        <v>1391.0146925474501</v>
      </c>
      <c r="M5027">
        <v>30.377944499280002</v>
      </c>
      <c r="N5027">
        <v>46.670687172542301</v>
      </c>
      <c r="O5027">
        <v>45.593227331371303</v>
      </c>
      <c r="P5027">
        <v>-0.130242327002347</v>
      </c>
      <c r="Q5027">
        <v>0.21809969689059899</v>
      </c>
      <c r="R5027">
        <v>0.98456874059614796</v>
      </c>
      <c r="S5027" t="s">
        <v>11673</v>
      </c>
      <c r="T5027" t="s">
        <v>13290</v>
      </c>
      <c r="U5027" t="s">
        <v>13290</v>
      </c>
      <c r="V5027" t="s">
        <v>13290</v>
      </c>
      <c r="W5027" t="s">
        <v>18268</v>
      </c>
      <c r="X5027">
        <v>2</v>
      </c>
      <c r="Y5027" t="s">
        <v>24750</v>
      </c>
      <c r="Z5027" t="s">
        <v>31357</v>
      </c>
      <c r="AA5027">
        <v>0.37367894971309329</v>
      </c>
      <c r="AB5027" t="str">
        <f>HYPERLINK("Melting_Curves/meltCurve_Q96E14_RMI2.pdf", "Melting_Curves/meltCurve_Q96E14_RMI2.pdf")</f>
        <v>Melting_Curves/meltCurve_Q96E14_RMI2.pdf</v>
      </c>
    </row>
    <row r="5028" spans="1:28" x14ac:dyDescent="0.25">
      <c r="A5028" t="s">
        <v>5032</v>
      </c>
      <c r="B5028">
        <v>0.99252571173614901</v>
      </c>
      <c r="C5028">
        <v>0.89503924268456203</v>
      </c>
      <c r="D5028">
        <v>0.84814727991334504</v>
      </c>
      <c r="E5028">
        <v>0.71131011866493599</v>
      </c>
      <c r="F5028">
        <v>0.54539979001307803</v>
      </c>
      <c r="G5028">
        <v>0.34981490548407601</v>
      </c>
      <c r="H5028">
        <v>0.30640338012160401</v>
      </c>
      <c r="I5028">
        <v>0.32865353714557199</v>
      </c>
      <c r="J5028">
        <v>0.427689087529528</v>
      </c>
      <c r="K5028">
        <v>0.36766679682150899</v>
      </c>
      <c r="L5028">
        <v>802.69047299921999</v>
      </c>
      <c r="M5028">
        <v>16.118843931495402</v>
      </c>
      <c r="N5028">
        <v>53.484618371478703</v>
      </c>
      <c r="O5028">
        <v>49.050707305654903</v>
      </c>
      <c r="P5028">
        <v>-5.4605344590676098E-2</v>
      </c>
      <c r="Q5028">
        <v>0.33537994214376898</v>
      </c>
      <c r="R5028">
        <v>0.963999207453486</v>
      </c>
      <c r="S5028" t="s">
        <v>11674</v>
      </c>
      <c r="T5028" t="s">
        <v>13290</v>
      </c>
      <c r="U5028" t="s">
        <v>13290</v>
      </c>
      <c r="V5028" t="s">
        <v>13290</v>
      </c>
      <c r="W5028" t="s">
        <v>18269</v>
      </c>
      <c r="X5028">
        <v>1</v>
      </c>
      <c r="Y5028" t="s">
        <v>24751</v>
      </c>
      <c r="Z5028" t="s">
        <v>31358</v>
      </c>
      <c r="AA5028">
        <v>0.56644417441957673</v>
      </c>
      <c r="AB5028" t="str">
        <f>HYPERLINK("Melting_Curves/meltCurve_Q96E16_SMIM19.pdf", "Melting_Curves/meltCurve_Q96E16_SMIM19.pdf")</f>
        <v>Melting_Curves/meltCurve_Q96E16_SMIM19.pdf</v>
      </c>
    </row>
    <row r="5029" spans="1:28" x14ac:dyDescent="0.25">
      <c r="A5029" t="s">
        <v>5033</v>
      </c>
      <c r="B5029">
        <v>0.99252571173614901</v>
      </c>
      <c r="C5029">
        <v>1.0169540485841699</v>
      </c>
      <c r="D5029">
        <v>0.93478502875846903</v>
      </c>
      <c r="E5029">
        <v>0.86094323171051301</v>
      </c>
      <c r="F5029">
        <v>0.81281651510748099</v>
      </c>
      <c r="G5029">
        <v>0.46153426414638699</v>
      </c>
      <c r="H5029">
        <v>0.163891436609509</v>
      </c>
      <c r="I5029">
        <v>0.13800499094548199</v>
      </c>
      <c r="J5029">
        <v>0.122803926205014</v>
      </c>
      <c r="K5029">
        <v>0.12832252150453599</v>
      </c>
      <c r="L5029">
        <v>1297.23585575478</v>
      </c>
      <c r="M5029">
        <v>23.282413407654499</v>
      </c>
      <c r="N5029">
        <v>56.241058286821499</v>
      </c>
      <c r="O5029">
        <v>55.311254576386602</v>
      </c>
      <c r="P5029">
        <v>-9.4980836565930593E-2</v>
      </c>
      <c r="Q5029">
        <v>9.7444849816024304E-2</v>
      </c>
      <c r="R5029">
        <v>0.98842036391837296</v>
      </c>
      <c r="S5029" t="s">
        <v>11675</v>
      </c>
      <c r="T5029" t="s">
        <v>13290</v>
      </c>
      <c r="U5029" t="s">
        <v>13290</v>
      </c>
      <c r="V5029" t="s">
        <v>13290</v>
      </c>
      <c r="W5029" t="s">
        <v>18270</v>
      </c>
      <c r="X5029">
        <v>3</v>
      </c>
      <c r="Y5029" t="s">
        <v>24752</v>
      </c>
      <c r="Z5029" t="s">
        <v>31359</v>
      </c>
      <c r="AA5029">
        <v>0.57965250352830344</v>
      </c>
      <c r="AB5029" t="str">
        <f>HYPERLINK("Melting_Curves/meltCurve_Q96E22_NUS1.pdf", "Melting_Curves/meltCurve_Q96E22_NUS1.pdf")</f>
        <v>Melting_Curves/meltCurve_Q96E22_NUS1.pdf</v>
      </c>
    </row>
    <row r="5030" spans="1:28" x14ac:dyDescent="0.25">
      <c r="A5030" t="s">
        <v>5034</v>
      </c>
      <c r="B5030">
        <v>0.99252571173614901</v>
      </c>
      <c r="C5030">
        <v>0.84973693005415796</v>
      </c>
      <c r="D5030">
        <v>0.74452974853173604</v>
      </c>
      <c r="E5030">
        <v>1.0913257039227</v>
      </c>
      <c r="F5030">
        <v>0.57868258106472803</v>
      </c>
      <c r="G5030">
        <v>0.42066491142346002</v>
      </c>
      <c r="H5030">
        <v>0.21819578637169801</v>
      </c>
      <c r="I5030">
        <v>0.16665750328475901</v>
      </c>
      <c r="J5030">
        <v>7.0789168716058198E-2</v>
      </c>
      <c r="K5030">
        <v>2.7309438130616599E-2</v>
      </c>
      <c r="L5030">
        <v>820.01753631148495</v>
      </c>
      <c r="M5030">
        <v>14.7345612782409</v>
      </c>
      <c r="N5030">
        <v>55.652681084848403</v>
      </c>
      <c r="O5030">
        <v>54.657724213397202</v>
      </c>
      <c r="P5030">
        <v>-6.7401991215701798E-2</v>
      </c>
      <c r="Q5030">
        <v>0</v>
      </c>
      <c r="R5030">
        <v>0.90767102355395002</v>
      </c>
      <c r="S5030" t="s">
        <v>11676</v>
      </c>
      <c r="T5030" t="s">
        <v>13290</v>
      </c>
      <c r="U5030" t="s">
        <v>13290</v>
      </c>
      <c r="V5030" t="s">
        <v>13290</v>
      </c>
      <c r="W5030" t="s">
        <v>18271</v>
      </c>
      <c r="X5030">
        <v>1</v>
      </c>
      <c r="Y5030" t="s">
        <v>24753</v>
      </c>
      <c r="Z5030" t="s">
        <v>31360</v>
      </c>
      <c r="AA5030">
        <v>0.54037247432685287</v>
      </c>
      <c r="AB5030" t="str">
        <f>HYPERLINK("Melting_Curves/meltCurve_Q96E52_OMA1.pdf", "Melting_Curves/meltCurve_Q96E52_OMA1.pdf")</f>
        <v>Melting_Curves/meltCurve_Q96E52_OMA1.pdf</v>
      </c>
    </row>
    <row r="5031" spans="1:28" x14ac:dyDescent="0.25">
      <c r="A5031" t="s">
        <v>5035</v>
      </c>
      <c r="B5031">
        <v>0.99252571173614901</v>
      </c>
      <c r="C5031">
        <v>0.97966997527535005</v>
      </c>
      <c r="D5031">
        <v>0.61305377551231099</v>
      </c>
      <c r="E5031">
        <v>0.34365083588538398</v>
      </c>
      <c r="F5031">
        <v>0.25066661779781102</v>
      </c>
      <c r="G5031">
        <v>0.141011597695053</v>
      </c>
      <c r="H5031">
        <v>0.117090514832962</v>
      </c>
      <c r="I5031">
        <v>0.12708642544045601</v>
      </c>
      <c r="J5031">
        <v>0.17336878395434599</v>
      </c>
      <c r="K5031">
        <v>0.19679075389834599</v>
      </c>
      <c r="L5031">
        <v>1142.4345119924001</v>
      </c>
      <c r="M5031">
        <v>24.450889209551399</v>
      </c>
      <c r="N5031">
        <v>47.465113614766103</v>
      </c>
      <c r="O5031">
        <v>46.4144677243807</v>
      </c>
      <c r="P5031">
        <v>-0.11079463297952399</v>
      </c>
      <c r="Q5031">
        <v>0.15873843276809299</v>
      </c>
      <c r="R5031">
        <v>0.98602530449204095</v>
      </c>
      <c r="S5031" t="s">
        <v>11677</v>
      </c>
      <c r="T5031" t="s">
        <v>13290</v>
      </c>
      <c r="U5031" t="s">
        <v>13290</v>
      </c>
      <c r="V5031" t="s">
        <v>13290</v>
      </c>
      <c r="W5031" t="s">
        <v>18272</v>
      </c>
      <c r="X5031">
        <v>2</v>
      </c>
      <c r="Y5031" t="s">
        <v>24754</v>
      </c>
      <c r="Z5031" t="s">
        <v>31361</v>
      </c>
      <c r="AA5031">
        <v>0.35522694863321741</v>
      </c>
      <c r="AB5031" t="str">
        <f>HYPERLINK("Melting_Curves/meltCurve_Q96EA4_SPDL1.pdf", "Melting_Curves/meltCurve_Q96EA4_SPDL1.pdf")</f>
        <v>Melting_Curves/meltCurve_Q96EA4_SPDL1.pdf</v>
      </c>
    </row>
    <row r="5032" spans="1:28" x14ac:dyDescent="0.25">
      <c r="A5032" t="s">
        <v>5036</v>
      </c>
      <c r="B5032">
        <v>0.99252571173614901</v>
      </c>
      <c r="C5032">
        <v>0.98090140316407703</v>
      </c>
      <c r="D5032">
        <v>1.03535262350345</v>
      </c>
      <c r="E5032">
        <v>1.0805640815052799</v>
      </c>
      <c r="F5032">
        <v>0.837984147794545</v>
      </c>
      <c r="G5032">
        <v>0.65967096887259502</v>
      </c>
      <c r="H5032">
        <v>0.63762401160855697</v>
      </c>
      <c r="I5032">
        <v>0.69422687042535602</v>
      </c>
      <c r="J5032">
        <v>0.70936221967648805</v>
      </c>
      <c r="K5032">
        <v>0.58161173705225599</v>
      </c>
      <c r="L5032">
        <v>13306.0370760435</v>
      </c>
      <c r="M5032">
        <v>250</v>
      </c>
      <c r="O5032">
        <v>53.220724658496898</v>
      </c>
      <c r="P5032">
        <v>-0.40339165008122102</v>
      </c>
      <c r="Q5032">
        <v>0.656499150856655</v>
      </c>
      <c r="R5032">
        <v>0.94156726932683299</v>
      </c>
      <c r="S5032" t="s">
        <v>11678</v>
      </c>
      <c r="T5032" t="s">
        <v>13290</v>
      </c>
      <c r="U5032" t="s">
        <v>13290</v>
      </c>
      <c r="V5032" t="s">
        <v>13290</v>
      </c>
      <c r="W5032" t="s">
        <v>18273</v>
      </c>
      <c r="X5032">
        <v>8</v>
      </c>
      <c r="Y5032" t="s">
        <v>24755</v>
      </c>
      <c r="Z5032" t="s">
        <v>31362</v>
      </c>
      <c r="AA5032">
        <v>0.80794810881943357</v>
      </c>
      <c r="AB5032" t="str">
        <f>HYPERLINK("Melting_Curves/meltCurve_Q96EB1_ELP4.pdf", "Melting_Curves/meltCurve_Q96EB1_ELP4.pdf")</f>
        <v>Melting_Curves/meltCurve_Q96EB1_ELP4.pdf</v>
      </c>
    </row>
    <row r="5033" spans="1:28" x14ac:dyDescent="0.25">
      <c r="A5033" t="s">
        <v>5037</v>
      </c>
      <c r="B5033">
        <v>0.99252571173614901</v>
      </c>
      <c r="C5033">
        <v>1.0459569504691599</v>
      </c>
      <c r="D5033">
        <v>0.88780603579066897</v>
      </c>
      <c r="E5033">
        <v>0.58498777480114195</v>
      </c>
      <c r="F5033">
        <v>0.150548799270631</v>
      </c>
      <c r="G5033">
        <v>8.3887685962500499E-2</v>
      </c>
      <c r="H5033">
        <v>6.8331032877126899E-2</v>
      </c>
      <c r="I5033">
        <v>9.0390224577922396E-2</v>
      </c>
      <c r="J5033">
        <v>0.195837536741537</v>
      </c>
      <c r="K5033">
        <v>0.14096268120500999</v>
      </c>
      <c r="L5033">
        <v>1774.7977161490201</v>
      </c>
      <c r="M5033">
        <v>35.7556425009099</v>
      </c>
      <c r="N5033">
        <v>49.981857712008797</v>
      </c>
      <c r="O5033">
        <v>49.4823642381781</v>
      </c>
      <c r="P5033">
        <v>-0.16089450142690201</v>
      </c>
      <c r="Q5033">
        <v>0.109352994597064</v>
      </c>
      <c r="R5033">
        <v>0.98681685339406999</v>
      </c>
      <c r="S5033" t="s">
        <v>11679</v>
      </c>
      <c r="T5033" t="s">
        <v>13290</v>
      </c>
      <c r="U5033" t="s">
        <v>13290</v>
      </c>
      <c r="V5033" t="s">
        <v>13290</v>
      </c>
      <c r="W5033" t="s">
        <v>18274</v>
      </c>
      <c r="X5033">
        <v>9</v>
      </c>
      <c r="Y5033" t="s">
        <v>24756</v>
      </c>
      <c r="Z5033" t="s">
        <v>31363</v>
      </c>
      <c r="AA5033">
        <v>0.39929031083147998</v>
      </c>
      <c r="AB5033" t="str">
        <f>HYPERLINK("Melting_Curves/meltCurve_Q96EB6_SIRT1.pdf", "Melting_Curves/meltCurve_Q96EB6_SIRT1.pdf")</f>
        <v>Melting_Curves/meltCurve_Q96EB6_SIRT1.pdf</v>
      </c>
    </row>
    <row r="5034" spans="1:28" x14ac:dyDescent="0.25">
      <c r="A5034" t="s">
        <v>5038</v>
      </c>
      <c r="B5034">
        <v>0.99252571173614901</v>
      </c>
      <c r="C5034">
        <v>0.93271634581592699</v>
      </c>
      <c r="D5034">
        <v>0.84629678990627499</v>
      </c>
      <c r="E5034">
        <v>0.72102593380700097</v>
      </c>
      <c r="F5034">
        <v>0.67271461904972696</v>
      </c>
      <c r="G5034">
        <v>0.47043604094050101</v>
      </c>
      <c r="H5034">
        <v>0.38547639789028298</v>
      </c>
      <c r="I5034">
        <v>0.39333609635251499</v>
      </c>
      <c r="J5034">
        <v>0.47684772844553303</v>
      </c>
      <c r="K5034">
        <v>0.36410239531370803</v>
      </c>
      <c r="L5034">
        <v>615.45724053676997</v>
      </c>
      <c r="M5034">
        <v>12.069040497942099</v>
      </c>
      <c r="N5034">
        <v>57.052832554460799</v>
      </c>
      <c r="O5034">
        <v>49.6552499958783</v>
      </c>
      <c r="P5034">
        <v>-3.8825573725562397E-2</v>
      </c>
      <c r="Q5034">
        <v>0.36119563986978398</v>
      </c>
      <c r="R5034">
        <v>0.96592557578526095</v>
      </c>
      <c r="S5034" t="s">
        <v>11680</v>
      </c>
      <c r="T5034" t="s">
        <v>13290</v>
      </c>
      <c r="U5034" t="s">
        <v>13290</v>
      </c>
      <c r="V5034" t="s">
        <v>13290</v>
      </c>
      <c r="W5034" t="s">
        <v>18275</v>
      </c>
      <c r="X5034">
        <v>3</v>
      </c>
      <c r="Y5034" t="s">
        <v>24757</v>
      </c>
      <c r="Z5034" t="s">
        <v>31364</v>
      </c>
      <c r="AA5034">
        <v>0.6159815213877653</v>
      </c>
      <c r="AB5034" t="str">
        <f>HYPERLINK("Melting_Curves/meltCurve_Q96EC8_YIPF6.pdf", "Melting_Curves/meltCurve_Q96EC8_YIPF6.pdf")</f>
        <v>Melting_Curves/meltCurve_Q96EC8_YIPF6.pdf</v>
      </c>
    </row>
    <row r="5035" spans="1:28" x14ac:dyDescent="0.25">
      <c r="A5035" t="s">
        <v>5039</v>
      </c>
      <c r="B5035">
        <v>0.99252571173614901</v>
      </c>
      <c r="C5035">
        <v>1.14625237958496</v>
      </c>
      <c r="D5035">
        <v>0.93384327788865895</v>
      </c>
      <c r="E5035">
        <v>1.03531837904081</v>
      </c>
      <c r="F5035">
        <v>0.90208512801780005</v>
      </c>
      <c r="G5035">
        <v>0.787947518268452</v>
      </c>
      <c r="H5035">
        <v>0.81998481630537901</v>
      </c>
      <c r="I5035">
        <v>1.22484782315629</v>
      </c>
      <c r="J5035">
        <v>1.91221081373885</v>
      </c>
      <c r="K5035">
        <v>2.0647545230794702</v>
      </c>
      <c r="L5035">
        <v>15000</v>
      </c>
      <c r="M5035">
        <v>234.17340508413301</v>
      </c>
      <c r="O5035">
        <v>64.050424428036493</v>
      </c>
      <c r="P5035">
        <v>0.45700986292873802</v>
      </c>
      <c r="Q5035">
        <v>1.5</v>
      </c>
      <c r="R5035">
        <v>0.66491504240508303</v>
      </c>
      <c r="S5035" t="s">
        <v>11681</v>
      </c>
      <c r="T5035" t="s">
        <v>13290</v>
      </c>
      <c r="U5035" t="s">
        <v>13290</v>
      </c>
      <c r="V5035" t="s">
        <v>13290</v>
      </c>
      <c r="W5035" t="s">
        <v>18276</v>
      </c>
      <c r="X5035">
        <v>4</v>
      </c>
      <c r="Y5035" t="s">
        <v>24758</v>
      </c>
      <c r="Z5035" t="s">
        <v>31365</v>
      </c>
      <c r="AA5035">
        <v>1.0990176651323049</v>
      </c>
      <c r="AB5035" t="str">
        <f>HYPERLINK("Melting_Curves/meltCurve_Q96ED9_2_HOOK2.pdf", "Melting_Curves/meltCurve_Q96ED9_2_HOOK2.pdf")</f>
        <v>Melting_Curves/meltCurve_Q96ED9_2_HOOK2.pdf</v>
      </c>
    </row>
    <row r="5036" spans="1:28" x14ac:dyDescent="0.25">
      <c r="A5036" t="s">
        <v>5040</v>
      </c>
      <c r="B5036">
        <v>0.99252571173614901</v>
      </c>
      <c r="C5036">
        <v>0.96664788637864496</v>
      </c>
      <c r="D5036">
        <v>1.0383606812325601</v>
      </c>
      <c r="E5036">
        <v>1.0216563110535699</v>
      </c>
      <c r="F5036">
        <v>0.92143224715445105</v>
      </c>
      <c r="G5036">
        <v>0.59711392614792103</v>
      </c>
      <c r="H5036">
        <v>0.18931240950358</v>
      </c>
      <c r="I5036">
        <v>0.162423534130515</v>
      </c>
      <c r="J5036">
        <v>0.194499765872619</v>
      </c>
      <c r="K5036">
        <v>0.187573765965341</v>
      </c>
      <c r="L5036">
        <v>2421.45710874529</v>
      </c>
      <c r="M5036">
        <v>42.640129706672198</v>
      </c>
      <c r="N5036">
        <v>57.352553981742403</v>
      </c>
      <c r="O5036">
        <v>56.663728776704197</v>
      </c>
      <c r="P5036">
        <v>-0.15589500428126801</v>
      </c>
      <c r="Q5036">
        <v>0.171336453229219</v>
      </c>
      <c r="R5036">
        <v>0.99560751941905701</v>
      </c>
      <c r="S5036" t="s">
        <v>11682</v>
      </c>
      <c r="T5036" t="s">
        <v>13290</v>
      </c>
      <c r="U5036" t="s">
        <v>13290</v>
      </c>
      <c r="V5036" t="s">
        <v>13290</v>
      </c>
      <c r="W5036" t="s">
        <v>18277</v>
      </c>
      <c r="X5036">
        <v>7</v>
      </c>
      <c r="Y5036" t="s">
        <v>24759</v>
      </c>
      <c r="Z5036" t="s">
        <v>31366</v>
      </c>
      <c r="AA5036">
        <v>0.63790391403452162</v>
      </c>
      <c r="AB5036" t="str">
        <f>HYPERLINK("Melting_Curves/meltCurve_Q96EE3_1_SEH1L.pdf", "Melting_Curves/meltCurve_Q96EE3_1_SEH1L.pdf")</f>
        <v>Melting_Curves/meltCurve_Q96EE3_1_SEH1L.pdf</v>
      </c>
    </row>
    <row r="5037" spans="1:28" x14ac:dyDescent="0.25">
      <c r="A5037" t="s">
        <v>5041</v>
      </c>
      <c r="B5037">
        <v>0.99252571173614901</v>
      </c>
      <c r="C5037">
        <v>1.0217368677557399</v>
      </c>
      <c r="D5037">
        <v>0.97004566206689302</v>
      </c>
      <c r="E5037">
        <v>0.87006521697961603</v>
      </c>
      <c r="F5037">
        <v>0.74137942663527601</v>
      </c>
      <c r="G5037">
        <v>0.56804208650236498</v>
      </c>
      <c r="H5037">
        <v>0.39780789799965199</v>
      </c>
      <c r="I5037">
        <v>0.31842425284507803</v>
      </c>
      <c r="J5037">
        <v>0.13333517339593701</v>
      </c>
      <c r="K5037">
        <v>0.101741028963417</v>
      </c>
      <c r="L5037">
        <v>678.002069652871</v>
      </c>
      <c r="M5037">
        <v>11.6267403592843</v>
      </c>
      <c r="N5037">
        <v>58.314047961701597</v>
      </c>
      <c r="O5037">
        <v>56.669058073875298</v>
      </c>
      <c r="P5037">
        <v>-5.1306251754418497E-2</v>
      </c>
      <c r="Q5037">
        <v>0</v>
      </c>
      <c r="R5037">
        <v>0.99304997533907302</v>
      </c>
      <c r="S5037" t="s">
        <v>11683</v>
      </c>
      <c r="T5037" t="s">
        <v>13290</v>
      </c>
      <c r="U5037" t="s">
        <v>13290</v>
      </c>
      <c r="V5037" t="s">
        <v>13290</v>
      </c>
      <c r="W5037" t="s">
        <v>18278</v>
      </c>
      <c r="X5037">
        <v>3</v>
      </c>
      <c r="Y5037" t="s">
        <v>24760</v>
      </c>
      <c r="Z5037" t="s">
        <v>31367</v>
      </c>
      <c r="AA5037">
        <v>0.62131915179416142</v>
      </c>
      <c r="AB5037" t="str">
        <f>HYPERLINK("Melting_Curves/meltCurve_Q96EH3_MALSU1.pdf", "Melting_Curves/meltCurve_Q96EH3_MALSU1.pdf")</f>
        <v>Melting_Curves/meltCurve_Q96EH3_MALSU1.pdf</v>
      </c>
    </row>
    <row r="5038" spans="1:28" x14ac:dyDescent="0.25">
      <c r="A5038" t="s">
        <v>5042</v>
      </c>
      <c r="B5038">
        <v>0.99252571173614901</v>
      </c>
      <c r="C5038">
        <v>1.04318428147848</v>
      </c>
      <c r="D5038">
        <v>0.93301084947811797</v>
      </c>
      <c r="E5038">
        <v>0.78931905186961604</v>
      </c>
      <c r="F5038">
        <v>0.70232794205537796</v>
      </c>
      <c r="G5038">
        <v>0.62703456282826497</v>
      </c>
      <c r="H5038">
        <v>0.67232288461855605</v>
      </c>
      <c r="I5038">
        <v>0.93297587226920697</v>
      </c>
      <c r="J5038">
        <v>1.4426190202520199</v>
      </c>
      <c r="K5038">
        <v>1.5426375598421</v>
      </c>
      <c r="L5038">
        <v>15000</v>
      </c>
      <c r="M5038">
        <v>225.58806228622399</v>
      </c>
      <c r="O5038">
        <v>66.487654530239595</v>
      </c>
      <c r="P5038">
        <v>0.424116447843847</v>
      </c>
      <c r="Q5038">
        <v>1.5</v>
      </c>
      <c r="R5038">
        <v>0.549385693215238</v>
      </c>
      <c r="S5038" t="s">
        <v>11684</v>
      </c>
      <c r="T5038" t="s">
        <v>13290</v>
      </c>
      <c r="U5038" t="s">
        <v>13290</v>
      </c>
      <c r="V5038" t="s">
        <v>13290</v>
      </c>
      <c r="W5038" t="s">
        <v>18279</v>
      </c>
      <c r="X5038">
        <v>15</v>
      </c>
      <c r="Y5038" t="s">
        <v>24761</v>
      </c>
      <c r="Z5038" t="s">
        <v>31368</v>
      </c>
      <c r="AA5038">
        <v>1.058380402649868</v>
      </c>
      <c r="AB5038" t="str">
        <f>HYPERLINK("Melting_Curves/meltCurve_Q96EI5_TCEAL4.pdf", "Melting_Curves/meltCurve_Q96EI5_TCEAL4.pdf")</f>
        <v>Melting_Curves/meltCurve_Q96EI5_TCEAL4.pdf</v>
      </c>
    </row>
    <row r="5039" spans="1:28" x14ac:dyDescent="0.25">
      <c r="A5039" t="s">
        <v>5043</v>
      </c>
      <c r="B5039">
        <v>0.99252571173614901</v>
      </c>
      <c r="C5039">
        <v>0.57700600581559103</v>
      </c>
      <c r="D5039">
        <v>0.36076031426955102</v>
      </c>
      <c r="E5039">
        <v>0.232965530710183</v>
      </c>
      <c r="F5039">
        <v>0.18035031125588299</v>
      </c>
      <c r="G5039">
        <v>0.114720194412992</v>
      </c>
      <c r="H5039">
        <v>9.0342794008644298E-2</v>
      </c>
      <c r="I5039">
        <v>8.7152977254629005E-2</v>
      </c>
      <c r="J5039">
        <v>9.7123857938722996E-2</v>
      </c>
      <c r="K5039">
        <v>0.119129037043796</v>
      </c>
      <c r="L5039">
        <v>922.47589377210295</v>
      </c>
      <c r="M5039">
        <v>21.0824922792692</v>
      </c>
      <c r="N5039">
        <v>44.308494355752501</v>
      </c>
      <c r="O5039">
        <v>43.367572973516502</v>
      </c>
      <c r="P5039">
        <v>-0.10747888935024499</v>
      </c>
      <c r="Q5039">
        <v>0.115668992598651</v>
      </c>
      <c r="R5039">
        <v>0.97179689600814101</v>
      </c>
      <c r="S5039" t="s">
        <v>11685</v>
      </c>
      <c r="T5039" t="s">
        <v>13290</v>
      </c>
      <c r="U5039" t="s">
        <v>13290</v>
      </c>
      <c r="V5039" t="s">
        <v>13290</v>
      </c>
      <c r="W5039" t="s">
        <v>18280</v>
      </c>
      <c r="X5039">
        <v>1</v>
      </c>
      <c r="Y5039" t="s">
        <v>24762</v>
      </c>
      <c r="Z5039" t="s">
        <v>31369</v>
      </c>
      <c r="AA5039">
        <v>0.2422627659678433</v>
      </c>
      <c r="AB5039" t="str">
        <f>HYPERLINK("Melting_Curves/meltCurve_Q96EK4_THAP11.pdf", "Melting_Curves/meltCurve_Q96EK4_THAP11.pdf")</f>
        <v>Melting_Curves/meltCurve_Q96EK4_THAP11.pdf</v>
      </c>
    </row>
    <row r="5040" spans="1:28" x14ac:dyDescent="0.25">
      <c r="A5040" t="s">
        <v>5044</v>
      </c>
      <c r="B5040">
        <v>0.99252571173614901</v>
      </c>
      <c r="C5040">
        <v>1.01417445335455</v>
      </c>
      <c r="D5040">
        <v>0.64626744408886905</v>
      </c>
      <c r="E5040">
        <v>0.187153577675714</v>
      </c>
      <c r="F5040">
        <v>0.109647841425901</v>
      </c>
      <c r="G5040">
        <v>6.33902803096031E-2</v>
      </c>
      <c r="H5040">
        <v>4.6779589919651698E-2</v>
      </c>
      <c r="I5040">
        <v>4.58430972061937E-2</v>
      </c>
      <c r="J5040">
        <v>4.37908913747534E-2</v>
      </c>
      <c r="K5040">
        <v>4.2738878849763198E-2</v>
      </c>
      <c r="L5040">
        <v>1590.20799105022</v>
      </c>
      <c r="M5040">
        <v>33.978235609937002</v>
      </c>
      <c r="N5040">
        <v>46.965948631013497</v>
      </c>
      <c r="O5040">
        <v>46.639567856240298</v>
      </c>
      <c r="P5040">
        <v>-0.17187605204657799</v>
      </c>
      <c r="Q5040">
        <v>5.6314470352303803E-2</v>
      </c>
      <c r="R5040">
        <v>0.99627587617898306</v>
      </c>
      <c r="S5040" t="s">
        <v>11686</v>
      </c>
      <c r="T5040" t="s">
        <v>13290</v>
      </c>
      <c r="U5040" t="s">
        <v>13290</v>
      </c>
      <c r="V5040" t="s">
        <v>13290</v>
      </c>
      <c r="W5040" t="s">
        <v>18281</v>
      </c>
      <c r="X5040">
        <v>13</v>
      </c>
      <c r="Y5040" t="s">
        <v>24763</v>
      </c>
      <c r="Z5040" t="s">
        <v>31370</v>
      </c>
      <c r="AA5040">
        <v>0.27457973046249579</v>
      </c>
      <c r="AB5040" t="str">
        <f>HYPERLINK("Melting_Curves/meltCurve_Q96EK5_KIAA1279.pdf", "Melting_Curves/meltCurve_Q96EK5_KIAA1279.pdf")</f>
        <v>Melting_Curves/meltCurve_Q96EK5_KIAA1279.pdf</v>
      </c>
    </row>
    <row r="5041" spans="1:28" x14ac:dyDescent="0.25">
      <c r="A5041" t="s">
        <v>5045</v>
      </c>
      <c r="B5041">
        <v>0.99252571173614901</v>
      </c>
      <c r="C5041">
        <v>1.04063363483587</v>
      </c>
      <c r="D5041">
        <v>0.94978497619100399</v>
      </c>
      <c r="E5041">
        <v>0.89448991278960999</v>
      </c>
      <c r="F5041">
        <v>0.86172668429768495</v>
      </c>
      <c r="G5041">
        <v>0.77794115633043603</v>
      </c>
      <c r="H5041">
        <v>0.47748293195316499</v>
      </c>
      <c r="I5041">
        <v>0.130469982199382</v>
      </c>
      <c r="J5041">
        <v>0.12437190754308999</v>
      </c>
      <c r="K5041">
        <v>0.124014678438257</v>
      </c>
      <c r="L5041">
        <v>1205.84408347774</v>
      </c>
      <c r="M5041">
        <v>20.214522180627601</v>
      </c>
      <c r="N5041">
        <v>59.847632326778502</v>
      </c>
      <c r="O5041">
        <v>59.077784763577803</v>
      </c>
      <c r="P5041">
        <v>-8.2814664167810206E-2</v>
      </c>
      <c r="Q5041">
        <v>3.19129132616887E-2</v>
      </c>
      <c r="R5041">
        <v>0.97642316415478403</v>
      </c>
      <c r="S5041" t="s">
        <v>11687</v>
      </c>
      <c r="T5041" t="s">
        <v>13290</v>
      </c>
      <c r="U5041" t="s">
        <v>13290</v>
      </c>
      <c r="V5041" t="s">
        <v>13290</v>
      </c>
      <c r="W5041" t="s">
        <v>18282</v>
      </c>
      <c r="X5041">
        <v>14</v>
      </c>
      <c r="Y5041" t="s">
        <v>24764</v>
      </c>
      <c r="Z5041" t="s">
        <v>31371</v>
      </c>
      <c r="AA5041">
        <v>0.6747765969284405</v>
      </c>
      <c r="AB5041" t="str">
        <f>HYPERLINK("Melting_Curves/meltCurve_Q96EK6_GNPNAT1.pdf", "Melting_Curves/meltCurve_Q96EK6_GNPNAT1.pdf")</f>
        <v>Melting_Curves/meltCurve_Q96EK6_GNPNAT1.pdf</v>
      </c>
    </row>
    <row r="5042" spans="1:28" x14ac:dyDescent="0.25">
      <c r="A5042" t="s">
        <v>5046</v>
      </c>
      <c r="B5042">
        <v>0.99252571173614901</v>
      </c>
      <c r="C5042">
        <v>0.99955739616763495</v>
      </c>
      <c r="D5042">
        <v>0.643422452172835</v>
      </c>
      <c r="E5042">
        <v>0.24660767112969101</v>
      </c>
      <c r="F5042">
        <v>9.4759958364198399E-2</v>
      </c>
      <c r="G5042">
        <v>5.1398225722623501E-2</v>
      </c>
      <c r="H5042">
        <v>4.1174432336461703E-2</v>
      </c>
      <c r="I5042">
        <v>5.9519008913677597E-2</v>
      </c>
      <c r="J5042">
        <v>4.7776006918593503E-2</v>
      </c>
      <c r="K5042">
        <v>5.6087387350822998E-2</v>
      </c>
      <c r="L5042">
        <v>1343.21893953667</v>
      </c>
      <c r="M5042">
        <v>28.5685081323108</v>
      </c>
      <c r="N5042">
        <v>47.202438830660398</v>
      </c>
      <c r="O5042">
        <v>46.788900143964803</v>
      </c>
      <c r="P5042">
        <v>-0.14456346639644899</v>
      </c>
      <c r="Q5042">
        <v>5.2955494619002001E-2</v>
      </c>
      <c r="R5042">
        <v>0.99667265650691395</v>
      </c>
      <c r="S5042" t="s">
        <v>11688</v>
      </c>
      <c r="T5042" t="s">
        <v>13290</v>
      </c>
      <c r="U5042" t="s">
        <v>13290</v>
      </c>
      <c r="V5042" t="s">
        <v>13290</v>
      </c>
      <c r="W5042" t="s">
        <v>18283</v>
      </c>
      <c r="X5042">
        <v>2</v>
      </c>
      <c r="Y5042" t="s">
        <v>24765</v>
      </c>
      <c r="Z5042" t="s">
        <v>31372</v>
      </c>
      <c r="AA5042">
        <v>0.28079726291716012</v>
      </c>
      <c r="AB5042" t="str">
        <f>HYPERLINK("Melting_Curves/meltCurve_Q96EK9_KTI12.pdf", "Melting_Curves/meltCurve_Q96EK9_KTI12.pdf")</f>
        <v>Melting_Curves/meltCurve_Q96EK9_KTI12.pdf</v>
      </c>
    </row>
    <row r="5043" spans="1:28" x14ac:dyDescent="0.25">
      <c r="A5043" t="s">
        <v>5047</v>
      </c>
      <c r="B5043">
        <v>0.99252571173614901</v>
      </c>
      <c r="C5043">
        <v>0.69702933420157298</v>
      </c>
      <c r="D5043">
        <v>0.42540106960834401</v>
      </c>
      <c r="E5043">
        <v>0.360654899139013</v>
      </c>
      <c r="F5043">
        <v>0.169737660307577</v>
      </c>
      <c r="G5043">
        <v>0.13099582947410701</v>
      </c>
      <c r="H5043">
        <v>0.12640848989171599</v>
      </c>
      <c r="I5043">
        <v>0.14783039603207501</v>
      </c>
      <c r="J5043">
        <v>0.15778533159764199</v>
      </c>
      <c r="K5043">
        <v>0.18707945267039</v>
      </c>
      <c r="L5043">
        <v>839.31331973081296</v>
      </c>
      <c r="M5043">
        <v>18.791951827715501</v>
      </c>
      <c r="N5043">
        <v>45.5412185418216</v>
      </c>
      <c r="O5043">
        <v>44.166888993328897</v>
      </c>
      <c r="P5043">
        <v>-9.0212254625540306E-2</v>
      </c>
      <c r="Q5043">
        <v>0.151928699506093</v>
      </c>
      <c r="R5043">
        <v>0.97178901608068702</v>
      </c>
      <c r="S5043" t="s">
        <v>11689</v>
      </c>
      <c r="T5043" t="s">
        <v>13290</v>
      </c>
      <c r="U5043" t="s">
        <v>13290</v>
      </c>
      <c r="V5043" t="s">
        <v>13290</v>
      </c>
      <c r="W5043" t="s">
        <v>18284</v>
      </c>
      <c r="X5043">
        <v>1</v>
      </c>
      <c r="Y5043" t="s">
        <v>24766</v>
      </c>
      <c r="Z5043" t="s">
        <v>31373</v>
      </c>
      <c r="AA5043">
        <v>0.30102745402731479</v>
      </c>
      <c r="AB5043" t="str">
        <f>HYPERLINK("Melting_Curves/meltCurve_Q96EL2_MRPS24.pdf", "Melting_Curves/meltCurve_Q96EL2_MRPS24.pdf")</f>
        <v>Melting_Curves/meltCurve_Q96EL2_MRPS24.pdf</v>
      </c>
    </row>
    <row r="5044" spans="1:28" x14ac:dyDescent="0.25">
      <c r="A5044" t="s">
        <v>5048</v>
      </c>
      <c r="B5044">
        <v>0.99252571173614901</v>
      </c>
      <c r="C5044">
        <v>1.06992668272111</v>
      </c>
      <c r="D5044">
        <v>0.85285676804691202</v>
      </c>
      <c r="E5044">
        <v>0.49461228589274098</v>
      </c>
      <c r="F5044">
        <v>0.30923834982715498</v>
      </c>
      <c r="G5044">
        <v>0.168143032663916</v>
      </c>
      <c r="H5044">
        <v>0.109224713549261</v>
      </c>
      <c r="I5044">
        <v>8.6911364711115005E-2</v>
      </c>
      <c r="J5044">
        <v>0.123771496125682</v>
      </c>
      <c r="K5044">
        <v>0.11919569781516</v>
      </c>
      <c r="L5044">
        <v>1108.3412706214899</v>
      </c>
      <c r="M5044">
        <v>22.450821747017599</v>
      </c>
      <c r="N5044">
        <v>49.9368414929381</v>
      </c>
      <c r="O5044">
        <v>48.980865102802497</v>
      </c>
      <c r="P5044">
        <v>-0.10165325822802</v>
      </c>
      <c r="Q5044">
        <v>0.112912687048289</v>
      </c>
      <c r="R5044">
        <v>0.98915961714124701</v>
      </c>
      <c r="S5044" t="s">
        <v>11690</v>
      </c>
      <c r="T5044" t="s">
        <v>13290</v>
      </c>
      <c r="U5044" t="s">
        <v>13290</v>
      </c>
      <c r="V5044" t="s">
        <v>13290</v>
      </c>
      <c r="W5044" t="s">
        <v>18285</v>
      </c>
      <c r="X5044">
        <v>5</v>
      </c>
      <c r="Y5044" t="s">
        <v>24767</v>
      </c>
      <c r="Z5044" t="s">
        <v>31374</v>
      </c>
      <c r="AA5044">
        <v>0.39971840792796082</v>
      </c>
      <c r="AB5044" t="str">
        <f>HYPERLINK("Melting_Curves/meltCurve_Q96EL3_MRPL53.pdf", "Melting_Curves/meltCurve_Q96EL3_MRPL53.pdf")</f>
        <v>Melting_Curves/meltCurve_Q96EL3_MRPL53.pdf</v>
      </c>
    </row>
    <row r="5045" spans="1:28" x14ac:dyDescent="0.25">
      <c r="A5045" t="s">
        <v>5049</v>
      </c>
      <c r="B5045">
        <v>0.99252571173614901</v>
      </c>
      <c r="C5045">
        <v>0.92944426943323699</v>
      </c>
      <c r="D5045">
        <v>0.81384928600221396</v>
      </c>
      <c r="E5045">
        <v>0.42636513865030401</v>
      </c>
      <c r="F5045">
        <v>0.18997116247874499</v>
      </c>
      <c r="G5045">
        <v>0.11005601566690899</v>
      </c>
      <c r="H5045">
        <v>0.110911564485495</v>
      </c>
      <c r="I5045">
        <v>8.7407246046356801E-2</v>
      </c>
      <c r="J5045">
        <v>0.11120172565862101</v>
      </c>
      <c r="K5045">
        <v>9.2142189114022194E-2</v>
      </c>
      <c r="L5045">
        <v>1149.8994943954301</v>
      </c>
      <c r="M5045">
        <v>23.724753506172299</v>
      </c>
      <c r="N5045">
        <v>48.899051728958</v>
      </c>
      <c r="O5045">
        <v>48.127951054018901</v>
      </c>
      <c r="P5045">
        <v>-0.111619673909509</v>
      </c>
      <c r="Q5045">
        <v>9.4290340773518805E-2</v>
      </c>
      <c r="R5045">
        <v>0.998713274492949</v>
      </c>
      <c r="S5045" t="s">
        <v>11691</v>
      </c>
      <c r="T5045" t="s">
        <v>13290</v>
      </c>
      <c r="U5045" t="s">
        <v>13290</v>
      </c>
      <c r="V5045" t="s">
        <v>13290</v>
      </c>
      <c r="W5045" t="s">
        <v>18286</v>
      </c>
      <c r="X5045">
        <v>3</v>
      </c>
      <c r="Y5045" t="s">
        <v>24768</v>
      </c>
      <c r="Z5045" t="s">
        <v>31375</v>
      </c>
      <c r="AA5045">
        <v>0.35888601590280378</v>
      </c>
      <c r="AB5045" t="str">
        <f>HYPERLINK("Melting_Curves/meltCurve_Q96EP0_RNF31.pdf", "Melting_Curves/meltCurve_Q96EP0_RNF31.pdf")</f>
        <v>Melting_Curves/meltCurve_Q96EP0_RNF31.pdf</v>
      </c>
    </row>
    <row r="5046" spans="1:28" x14ac:dyDescent="0.25">
      <c r="A5046" t="s">
        <v>5050</v>
      </c>
      <c r="B5046">
        <v>0.99252571173614901</v>
      </c>
      <c r="C5046">
        <v>1.0125134279080701</v>
      </c>
      <c r="D5046">
        <v>0.91461200670267495</v>
      </c>
      <c r="E5046">
        <v>0.67319990506362803</v>
      </c>
      <c r="F5046">
        <v>0.40856635078601</v>
      </c>
      <c r="G5046">
        <v>0.25101951918775101</v>
      </c>
      <c r="H5046">
        <v>0.16003247614723401</v>
      </c>
      <c r="I5046">
        <v>0.155989403414659</v>
      </c>
      <c r="J5046">
        <v>0.16067284733102899</v>
      </c>
      <c r="K5046">
        <v>0.17359881154415999</v>
      </c>
      <c r="L5046">
        <v>1043.5358160487001</v>
      </c>
      <c r="M5046">
        <v>20.512198839700599</v>
      </c>
      <c r="N5046">
        <v>51.796667988804003</v>
      </c>
      <c r="O5046">
        <v>50.3977915082748</v>
      </c>
      <c r="P5046">
        <v>-8.6180839654364003E-2</v>
      </c>
      <c r="Q5046">
        <v>0.15305113315615201</v>
      </c>
      <c r="R5046">
        <v>0.99823569699597303</v>
      </c>
      <c r="S5046" t="s">
        <v>11692</v>
      </c>
      <c r="T5046" t="s">
        <v>13290</v>
      </c>
      <c r="U5046" t="s">
        <v>13290</v>
      </c>
      <c r="V5046" t="s">
        <v>13290</v>
      </c>
      <c r="W5046" t="s">
        <v>18287</v>
      </c>
      <c r="X5046">
        <v>12</v>
      </c>
      <c r="Y5046" t="s">
        <v>24769</v>
      </c>
      <c r="Z5046" t="s">
        <v>31376</v>
      </c>
      <c r="AA5046">
        <v>0.47125154316170897</v>
      </c>
      <c r="AB5046" t="str">
        <f>HYPERLINK("Melting_Curves/meltCurve_Q96EP5_2_DAZAP1.pdf", "Melting_Curves/meltCurve_Q96EP5_2_DAZAP1.pdf")</f>
        <v>Melting_Curves/meltCurve_Q96EP5_2_DAZAP1.pdf</v>
      </c>
    </row>
    <row r="5047" spans="1:28" x14ac:dyDescent="0.25">
      <c r="A5047" t="s">
        <v>5051</v>
      </c>
      <c r="B5047">
        <v>0.99252571173614901</v>
      </c>
      <c r="C5047">
        <v>1.11810578138467</v>
      </c>
      <c r="D5047">
        <v>1.0162374503999301</v>
      </c>
      <c r="E5047">
        <v>0.86932183861428003</v>
      </c>
      <c r="F5047">
        <v>0.415254975722961</v>
      </c>
      <c r="G5047">
        <v>0.23175030925255699</v>
      </c>
      <c r="H5047">
        <v>0.16424895243065701</v>
      </c>
      <c r="I5047">
        <v>0.16891958328978901</v>
      </c>
      <c r="J5047">
        <v>0.145599384529434</v>
      </c>
      <c r="K5047">
        <v>0.14107567202760599</v>
      </c>
      <c r="L5047">
        <v>1783.47417073875</v>
      </c>
      <c r="M5047">
        <v>34.289815962402898</v>
      </c>
      <c r="N5047">
        <v>52.596017293600497</v>
      </c>
      <c r="O5047">
        <v>51.835828942765602</v>
      </c>
      <c r="P5047">
        <v>-0.13918589918625901</v>
      </c>
      <c r="Q5047">
        <v>0.15837531930055301</v>
      </c>
      <c r="R5047">
        <v>0.98964812522037704</v>
      </c>
      <c r="S5047" t="s">
        <v>11693</v>
      </c>
      <c r="T5047" t="s">
        <v>13290</v>
      </c>
      <c r="U5047" t="s">
        <v>13290</v>
      </c>
      <c r="V5047" t="s">
        <v>13290</v>
      </c>
      <c r="W5047" t="s">
        <v>18288</v>
      </c>
      <c r="X5047">
        <v>4</v>
      </c>
      <c r="Y5047" t="s">
        <v>24770</v>
      </c>
      <c r="Z5047" t="s">
        <v>31377</v>
      </c>
      <c r="AA5047">
        <v>0.49947582794438222</v>
      </c>
      <c r="AB5047" t="str">
        <f>HYPERLINK("Melting_Curves/meltCurve_Q96EQ0_SGTB.pdf", "Melting_Curves/meltCurve_Q96EQ0_SGTB.pdf")</f>
        <v>Melting_Curves/meltCurve_Q96EQ0_SGTB.pdf</v>
      </c>
    </row>
    <row r="5048" spans="1:28" x14ac:dyDescent="0.25">
      <c r="A5048" t="s">
        <v>5052</v>
      </c>
      <c r="B5048">
        <v>0.99252571173614901</v>
      </c>
      <c r="C5048">
        <v>0.89792804929020098</v>
      </c>
      <c r="D5048">
        <v>0.67627201268518</v>
      </c>
      <c r="E5048">
        <v>0.397511433148235</v>
      </c>
      <c r="F5048">
        <v>0.16876904961381201</v>
      </c>
      <c r="G5048">
        <v>0.104791902076824</v>
      </c>
      <c r="H5048">
        <v>6.5760572002728002E-2</v>
      </c>
      <c r="I5048">
        <v>4.4990333729196301E-2</v>
      </c>
      <c r="J5048">
        <v>5.5526283833639403E-2</v>
      </c>
      <c r="K5048">
        <v>5.4177682277754199E-2</v>
      </c>
      <c r="L5048">
        <v>859.34782050875504</v>
      </c>
      <c r="M5048">
        <v>17.941585105452099</v>
      </c>
      <c r="N5048">
        <v>48.152136767022697</v>
      </c>
      <c r="O5048">
        <v>47.313845869691498</v>
      </c>
      <c r="P5048">
        <v>-9.0506538351285595E-2</v>
      </c>
      <c r="Q5048">
        <v>4.5346680528085798E-2</v>
      </c>
      <c r="R5048">
        <v>0.99897384068175799</v>
      </c>
      <c r="S5048" t="s">
        <v>11694</v>
      </c>
      <c r="T5048" t="s">
        <v>13290</v>
      </c>
      <c r="U5048" t="s">
        <v>13290</v>
      </c>
      <c r="V5048" t="s">
        <v>13290</v>
      </c>
      <c r="W5048" t="s">
        <v>14379</v>
      </c>
      <c r="X5048">
        <v>6</v>
      </c>
      <c r="Y5048" t="s">
        <v>20962</v>
      </c>
      <c r="Z5048" t="s">
        <v>31378</v>
      </c>
      <c r="AA5048">
        <v>0.31375136941628851</v>
      </c>
      <c r="AB5048" t="str">
        <f>HYPERLINK("Melting_Curves/meltCurve_Q96ER3_SAAL1.pdf", "Melting_Curves/meltCurve_Q96ER3_SAAL1.pdf")</f>
        <v>Melting_Curves/meltCurve_Q96ER3_SAAL1.pdf</v>
      </c>
    </row>
    <row r="5049" spans="1:28" x14ac:dyDescent="0.25">
      <c r="A5049" t="s">
        <v>5053</v>
      </c>
      <c r="B5049">
        <v>0.99252571173614901</v>
      </c>
      <c r="C5049">
        <v>0.85580522377016199</v>
      </c>
      <c r="D5049">
        <v>0.80719702817996797</v>
      </c>
      <c r="E5049">
        <v>0.88376046825044996</v>
      </c>
      <c r="F5049">
        <v>0.70586935048757804</v>
      </c>
      <c r="G5049">
        <v>0.13584726929729801</v>
      </c>
      <c r="H5049">
        <v>0.21840021764173501</v>
      </c>
      <c r="I5049">
        <v>0.110498658272351</v>
      </c>
      <c r="J5049">
        <v>0.138119921145272</v>
      </c>
      <c r="K5049">
        <v>0.11912253809977499</v>
      </c>
      <c r="L5049">
        <v>3893.6276452779098</v>
      </c>
      <c r="M5049">
        <v>72.551683059308004</v>
      </c>
      <c r="N5049">
        <v>53.914157118136004</v>
      </c>
      <c r="O5049">
        <v>53.6262214560141</v>
      </c>
      <c r="P5049">
        <v>-0.29037202170041598</v>
      </c>
      <c r="Q5049">
        <v>0.14149194363395101</v>
      </c>
      <c r="R5049">
        <v>0.93902138890586695</v>
      </c>
      <c r="S5049" t="s">
        <v>11695</v>
      </c>
      <c r="T5049" t="s">
        <v>13290</v>
      </c>
      <c r="U5049" t="s">
        <v>13290</v>
      </c>
      <c r="V5049" t="s">
        <v>13290</v>
      </c>
      <c r="W5049" t="s">
        <v>18289</v>
      </c>
      <c r="X5049">
        <v>18</v>
      </c>
      <c r="Y5049" t="s">
        <v>24771</v>
      </c>
      <c r="Z5049" t="s">
        <v>31379</v>
      </c>
      <c r="AA5049">
        <v>0.53356061067222771</v>
      </c>
      <c r="AB5049" t="str">
        <f>HYPERLINK("Melting_Curves/meltCurve_Q96ER9_CCDC51.pdf", "Melting_Curves/meltCurve_Q96ER9_CCDC51.pdf")</f>
        <v>Melting_Curves/meltCurve_Q96ER9_CCDC51.pdf</v>
      </c>
    </row>
    <row r="5050" spans="1:28" x14ac:dyDescent="0.25">
      <c r="A5050" t="s">
        <v>5054</v>
      </c>
      <c r="B5050">
        <v>0.99252571173614901</v>
      </c>
      <c r="C5050">
        <v>1.0989763045466701</v>
      </c>
      <c r="D5050">
        <v>1.07652134721274</v>
      </c>
      <c r="E5050">
        <v>1.14183126287505</v>
      </c>
      <c r="F5050">
        <v>0.66535098879496002</v>
      </c>
      <c r="G5050">
        <v>0.42631783425578901</v>
      </c>
      <c r="H5050">
        <v>0.33924376063300099</v>
      </c>
      <c r="I5050">
        <v>0.376132929768212</v>
      </c>
      <c r="J5050">
        <v>0.60622894798985805</v>
      </c>
      <c r="K5050">
        <v>0.79218597698359705</v>
      </c>
      <c r="L5050">
        <v>13259.847700829199</v>
      </c>
      <c r="M5050">
        <v>250</v>
      </c>
      <c r="O5050">
        <v>53.035997740629199</v>
      </c>
      <c r="P5050">
        <v>-0.57976910251548597</v>
      </c>
      <c r="Q5050">
        <v>0.50802188586024499</v>
      </c>
      <c r="R5050">
        <v>0.79767781265616999</v>
      </c>
      <c r="S5050" t="s">
        <v>11696</v>
      </c>
      <c r="T5050" t="s">
        <v>13290</v>
      </c>
      <c r="U5050" t="s">
        <v>13290</v>
      </c>
      <c r="V5050" t="s">
        <v>13290</v>
      </c>
      <c r="W5050" t="s">
        <v>18290</v>
      </c>
      <c r="X5050">
        <v>3</v>
      </c>
      <c r="Y5050" t="s">
        <v>24772</v>
      </c>
      <c r="Z5050" t="s">
        <v>31380</v>
      </c>
      <c r="AA5050">
        <v>0.72190417737418777</v>
      </c>
      <c r="AB5050" t="str">
        <f>HYPERLINK("Melting_Curves/meltCurve_Q96EU6_2_RRP36.pdf", "Melting_Curves/meltCurve_Q96EU6_2_RRP36.pdf")</f>
        <v>Melting_Curves/meltCurve_Q96EU6_2_RRP36.pdf</v>
      </c>
    </row>
    <row r="5051" spans="1:28" x14ac:dyDescent="0.25">
      <c r="A5051" t="s">
        <v>5055</v>
      </c>
      <c r="B5051">
        <v>0.99252571173614901</v>
      </c>
      <c r="C5051">
        <v>0.98003637863459803</v>
      </c>
      <c r="D5051">
        <v>0.72472256792323098</v>
      </c>
      <c r="E5051">
        <v>0.51139140536584704</v>
      </c>
      <c r="F5051">
        <v>0.268025619162161</v>
      </c>
      <c r="G5051">
        <v>0.16489036859464601</v>
      </c>
      <c r="H5051">
        <v>0.14399769525053999</v>
      </c>
      <c r="I5051">
        <v>0.16041207365627499</v>
      </c>
      <c r="J5051">
        <v>0.20340651641766599</v>
      </c>
      <c r="K5051">
        <v>0.257969593684587</v>
      </c>
      <c r="L5051">
        <v>1011.07649545155</v>
      </c>
      <c r="M5051">
        <v>21.007724226743701</v>
      </c>
      <c r="N5051">
        <v>49.165316079919101</v>
      </c>
      <c r="O5051">
        <v>47.699052468026302</v>
      </c>
      <c r="P5051">
        <v>-9.0408914851594802E-2</v>
      </c>
      <c r="Q5051">
        <v>0.178910771512199</v>
      </c>
      <c r="R5051">
        <v>0.98328240345152196</v>
      </c>
      <c r="S5051" t="s">
        <v>11697</v>
      </c>
      <c r="T5051" t="s">
        <v>13290</v>
      </c>
      <c r="U5051" t="s">
        <v>13290</v>
      </c>
      <c r="V5051" t="s">
        <v>13290</v>
      </c>
      <c r="W5051" t="s">
        <v>18291</v>
      </c>
      <c r="X5051">
        <v>10</v>
      </c>
      <c r="Y5051" t="s">
        <v>24773</v>
      </c>
      <c r="Z5051" t="s">
        <v>31381</v>
      </c>
      <c r="AA5051">
        <v>0.41188378476074272</v>
      </c>
      <c r="AB5051" t="str">
        <f>HYPERLINK("Melting_Curves/meltCurve_Q96EV2_RBM33.pdf", "Melting_Curves/meltCurve_Q96EV2_RBM33.pdf")</f>
        <v>Melting_Curves/meltCurve_Q96EV2_RBM33.pdf</v>
      </c>
    </row>
    <row r="5052" spans="1:28" x14ac:dyDescent="0.25">
      <c r="A5052" t="s">
        <v>5056</v>
      </c>
      <c r="B5052">
        <v>0.99252571173614901</v>
      </c>
      <c r="C5052">
        <v>1.0044784711886401</v>
      </c>
      <c r="D5052">
        <v>0.93356551364160401</v>
      </c>
      <c r="E5052">
        <v>0.84570849088185696</v>
      </c>
      <c r="F5052">
        <v>0.63737666821863204</v>
      </c>
      <c r="G5052">
        <v>0.39925614307326301</v>
      </c>
      <c r="H5052">
        <v>0.17901628413551099</v>
      </c>
      <c r="I5052">
        <v>0.15580584737894901</v>
      </c>
      <c r="J5052">
        <v>0.17307103589999501</v>
      </c>
      <c r="K5052">
        <v>0.17635828475679399</v>
      </c>
      <c r="L5052">
        <v>1009.63442916991</v>
      </c>
      <c r="M5052">
        <v>18.718393338740398</v>
      </c>
      <c r="N5052">
        <v>54.8578363454086</v>
      </c>
      <c r="O5052">
        <v>53.333787907503002</v>
      </c>
      <c r="P5052">
        <v>-7.5927964553925795E-2</v>
      </c>
      <c r="Q5052">
        <v>0.13467899477338399</v>
      </c>
      <c r="R5052">
        <v>0.99497369547771497</v>
      </c>
      <c r="S5052" t="s">
        <v>11698</v>
      </c>
      <c r="T5052" t="s">
        <v>13290</v>
      </c>
      <c r="U5052" t="s">
        <v>13290</v>
      </c>
      <c r="V5052" t="s">
        <v>13290</v>
      </c>
      <c r="W5052" t="s">
        <v>18292</v>
      </c>
      <c r="X5052">
        <v>10</v>
      </c>
      <c r="Y5052" t="s">
        <v>24774</v>
      </c>
      <c r="Z5052" t="s">
        <v>31382</v>
      </c>
      <c r="AA5052">
        <v>0.5497794389545112</v>
      </c>
      <c r="AB5052" t="str">
        <f>HYPERLINK("Melting_Curves/meltCurve_Q96EV8_DTNBP1.pdf", "Melting_Curves/meltCurve_Q96EV8_DTNBP1.pdf")</f>
        <v>Melting_Curves/meltCurve_Q96EV8_DTNBP1.pdf</v>
      </c>
    </row>
    <row r="5053" spans="1:28" x14ac:dyDescent="0.25">
      <c r="A5053" t="s">
        <v>5057</v>
      </c>
      <c r="B5053">
        <v>0.99252571173614901</v>
      </c>
      <c r="C5053">
        <v>1.01933226128337</v>
      </c>
      <c r="D5053">
        <v>0.95266193188786696</v>
      </c>
      <c r="E5053">
        <v>0.81943547594717403</v>
      </c>
      <c r="F5053">
        <v>0.46209160134013899</v>
      </c>
      <c r="G5053">
        <v>0.14687998399213001</v>
      </c>
      <c r="H5053">
        <v>0.106260317474125</v>
      </c>
      <c r="I5053">
        <v>0.10608956783062699</v>
      </c>
      <c r="J5053">
        <v>0.12534625581963599</v>
      </c>
      <c r="K5053">
        <v>6.8535568687310006E-2</v>
      </c>
      <c r="L5053">
        <v>1421.6767863902801</v>
      </c>
      <c r="M5053">
        <v>27.192893322249901</v>
      </c>
      <c r="N5053">
        <v>52.660928141698001</v>
      </c>
      <c r="O5053">
        <v>52.000914095594297</v>
      </c>
      <c r="P5053">
        <v>-0.11909502627563801</v>
      </c>
      <c r="Q5053">
        <v>8.9028280712598704E-2</v>
      </c>
      <c r="R5053">
        <v>0.99693158229980905</v>
      </c>
      <c r="S5053" t="s">
        <v>11699</v>
      </c>
      <c r="T5053" t="s">
        <v>13290</v>
      </c>
      <c r="U5053" t="s">
        <v>13290</v>
      </c>
      <c r="V5053" t="s">
        <v>13290</v>
      </c>
      <c r="W5053" t="s">
        <v>18293</v>
      </c>
      <c r="X5053">
        <v>2</v>
      </c>
      <c r="Y5053" t="s">
        <v>24775</v>
      </c>
      <c r="Z5053" t="s">
        <v>31383</v>
      </c>
      <c r="AA5053">
        <v>0.46904455731308331</v>
      </c>
      <c r="AB5053" t="str">
        <f>HYPERLINK("Melting_Curves/meltCurve_Q96EW2_HSPBAP1.pdf", "Melting_Curves/meltCurve_Q96EW2_HSPBAP1.pdf")</f>
        <v>Melting_Curves/meltCurve_Q96EW2_HSPBAP1.pdf</v>
      </c>
    </row>
    <row r="5054" spans="1:28" x14ac:dyDescent="0.25">
      <c r="A5054" t="s">
        <v>5058</v>
      </c>
      <c r="B5054">
        <v>0.99252571173614901</v>
      </c>
      <c r="C5054">
        <v>0.97377367724314201</v>
      </c>
      <c r="D5054">
        <v>0.90573784102768196</v>
      </c>
      <c r="E5054">
        <v>0.69560695394084304</v>
      </c>
      <c r="F5054">
        <v>0.581602759557589</v>
      </c>
      <c r="G5054">
        <v>0.50505412357305601</v>
      </c>
      <c r="H5054">
        <v>0.44505355124649498</v>
      </c>
      <c r="I5054">
        <v>0.57072427631369105</v>
      </c>
      <c r="J5054">
        <v>1.0885013073704</v>
      </c>
      <c r="K5054">
        <v>1.0099733469060701</v>
      </c>
      <c r="L5054">
        <v>4096.65075976345</v>
      </c>
      <c r="M5054">
        <v>88.276656207599004</v>
      </c>
      <c r="O5054">
        <v>46.383154499547103</v>
      </c>
      <c r="P5054">
        <v>-0.14304320743684301</v>
      </c>
      <c r="Q5054">
        <v>0.69936357552899198</v>
      </c>
      <c r="R5054">
        <v>0.27269710255328</v>
      </c>
      <c r="S5054" t="s">
        <v>11700</v>
      </c>
      <c r="T5054" t="s">
        <v>13290</v>
      </c>
      <c r="U5054" t="s">
        <v>13290</v>
      </c>
      <c r="V5054" t="s">
        <v>13290</v>
      </c>
      <c r="W5054" t="s">
        <v>18294</v>
      </c>
      <c r="X5054">
        <v>3</v>
      </c>
      <c r="Y5054" t="s">
        <v>24776</v>
      </c>
      <c r="Z5054" t="s">
        <v>31384</v>
      </c>
      <c r="AA5054">
        <v>0.76376572155248046</v>
      </c>
      <c r="AB5054" t="str">
        <f>HYPERLINK("Melting_Curves/meltCurve_Q96EX1_SMIM12.pdf", "Melting_Curves/meltCurve_Q96EX1_SMIM12.pdf")</f>
        <v>Melting_Curves/meltCurve_Q96EX1_SMIM12.pdf</v>
      </c>
    </row>
    <row r="5055" spans="1:28" x14ac:dyDescent="0.25">
      <c r="A5055" t="s">
        <v>5059</v>
      </c>
      <c r="B5055">
        <v>0.99252571173614901</v>
      </c>
      <c r="C5055">
        <v>0.96133685929193502</v>
      </c>
      <c r="D5055">
        <v>0.92368775232007305</v>
      </c>
      <c r="E5055">
        <v>0.58170578834984499</v>
      </c>
      <c r="F5055">
        <v>0.40239716157285998</v>
      </c>
      <c r="G5055">
        <v>0.15026936849618</v>
      </c>
      <c r="H5055">
        <v>7.6128483810932998E-2</v>
      </c>
      <c r="I5055">
        <v>7.6891704844077202E-2</v>
      </c>
      <c r="J5055">
        <v>0.116058697227286</v>
      </c>
      <c r="K5055">
        <v>0.13422335073243499</v>
      </c>
      <c r="L5055">
        <v>999.36407742904396</v>
      </c>
      <c r="M5055">
        <v>19.759767164863099</v>
      </c>
      <c r="N5055">
        <v>51.074446544835702</v>
      </c>
      <c r="O5055">
        <v>50.066247894989601</v>
      </c>
      <c r="P5055">
        <v>-9.00139860685535E-2</v>
      </c>
      <c r="Q5055">
        <v>8.77405303823965E-2</v>
      </c>
      <c r="R5055">
        <v>0.98993096037560602</v>
      </c>
      <c r="S5055" t="s">
        <v>11701</v>
      </c>
      <c r="T5055" t="s">
        <v>13290</v>
      </c>
      <c r="U5055" t="s">
        <v>13290</v>
      </c>
      <c r="V5055" t="s">
        <v>13290</v>
      </c>
      <c r="W5055" t="s">
        <v>18295</v>
      </c>
      <c r="X5055">
        <v>3</v>
      </c>
      <c r="Y5055" t="s">
        <v>24777</v>
      </c>
      <c r="Z5055" t="s">
        <v>31385</v>
      </c>
      <c r="AA5055">
        <v>0.42230505344398561</v>
      </c>
      <c r="AB5055" t="str">
        <f>HYPERLINK("Melting_Curves/meltCurve_Q96EX3_WDR34.pdf", "Melting_Curves/meltCurve_Q96EX3_WDR34.pdf")</f>
        <v>Melting_Curves/meltCurve_Q96EX3_WDR34.pdf</v>
      </c>
    </row>
    <row r="5056" spans="1:28" x14ac:dyDescent="0.25">
      <c r="A5056" t="s">
        <v>5060</v>
      </c>
      <c r="B5056">
        <v>0.99252571173614901</v>
      </c>
      <c r="C5056">
        <v>0.73107498998829001</v>
      </c>
      <c r="D5056">
        <v>0.68239728052510995</v>
      </c>
      <c r="E5056">
        <v>0.47028737219518801</v>
      </c>
      <c r="F5056">
        <v>0.26708580613800398</v>
      </c>
      <c r="G5056">
        <v>0.11680149843922701</v>
      </c>
      <c r="H5056">
        <v>7.2196110713919598E-2</v>
      </c>
      <c r="I5056">
        <v>7.3008428534670294E-2</v>
      </c>
      <c r="J5056">
        <v>8.9188536096636697E-2</v>
      </c>
      <c r="K5056">
        <v>7.5062242490240697E-2</v>
      </c>
      <c r="L5056">
        <v>595.38765282978295</v>
      </c>
      <c r="M5056">
        <v>12.3516457311183</v>
      </c>
      <c r="N5056">
        <v>48.468169978723203</v>
      </c>
      <c r="O5056">
        <v>46.991869354764098</v>
      </c>
      <c r="P5056">
        <v>-6.3579225354865695E-2</v>
      </c>
      <c r="Q5056">
        <v>3.2659130534588403E-2</v>
      </c>
      <c r="R5056">
        <v>0.98112397498019699</v>
      </c>
      <c r="S5056" t="s">
        <v>11702</v>
      </c>
      <c r="T5056" t="s">
        <v>13290</v>
      </c>
      <c r="U5056" t="s">
        <v>13290</v>
      </c>
      <c r="V5056" t="s">
        <v>13290</v>
      </c>
      <c r="W5056" t="s">
        <v>18296</v>
      </c>
      <c r="X5056">
        <v>9</v>
      </c>
      <c r="Y5056" t="s">
        <v>24778</v>
      </c>
      <c r="Z5056" t="s">
        <v>31386</v>
      </c>
      <c r="AA5056">
        <v>0.33266407828321698</v>
      </c>
      <c r="AB5056" t="str">
        <f>HYPERLINK("Melting_Curves/meltCurve_Q96EY1_DNAJA3.pdf", "Melting_Curves/meltCurve_Q96EY1_DNAJA3.pdf")</f>
        <v>Melting_Curves/meltCurve_Q96EY1_DNAJA3.pdf</v>
      </c>
    </row>
    <row r="5057" spans="1:28" x14ac:dyDescent="0.25">
      <c r="A5057" t="s">
        <v>5061</v>
      </c>
      <c r="B5057">
        <v>0.99252571173614901</v>
      </c>
      <c r="C5057">
        <v>0.94525681108674198</v>
      </c>
      <c r="D5057">
        <v>0.77101631672483695</v>
      </c>
      <c r="E5057">
        <v>0.31809911558987097</v>
      </c>
      <c r="F5057">
        <v>0.121892543333846</v>
      </c>
      <c r="G5057">
        <v>6.5050093302045503E-2</v>
      </c>
      <c r="H5057">
        <v>4.2996940847897798E-2</v>
      </c>
      <c r="I5057">
        <v>4.6647467493013198E-2</v>
      </c>
      <c r="J5057">
        <v>5.1673568115941197E-2</v>
      </c>
      <c r="K5057">
        <v>5.0899412257138697E-2</v>
      </c>
      <c r="L5057">
        <v>1261.4537840487601</v>
      </c>
      <c r="M5057">
        <v>26.320718026145201</v>
      </c>
      <c r="N5057">
        <v>48.111156961032201</v>
      </c>
      <c r="O5057">
        <v>47.652180681026998</v>
      </c>
      <c r="P5057">
        <v>-0.13144776786378701</v>
      </c>
      <c r="Q5057">
        <v>4.80951998567372E-2</v>
      </c>
      <c r="R5057">
        <v>0.99966971546743999</v>
      </c>
      <c r="S5057" t="s">
        <v>11703</v>
      </c>
      <c r="T5057" t="s">
        <v>13290</v>
      </c>
      <c r="U5057" t="s">
        <v>13290</v>
      </c>
      <c r="V5057" t="s">
        <v>13290</v>
      </c>
      <c r="W5057" t="s">
        <v>18297</v>
      </c>
      <c r="X5057">
        <v>8</v>
      </c>
      <c r="Y5057" t="s">
        <v>24779</v>
      </c>
      <c r="Z5057" t="s">
        <v>31387</v>
      </c>
      <c r="AA5057">
        <v>0.30714015601820471</v>
      </c>
      <c r="AB5057" t="str">
        <f>HYPERLINK("Melting_Curves/meltCurve_Q96EY5_MVB12A.pdf", "Melting_Curves/meltCurve_Q96EY5_MVB12A.pdf")</f>
        <v>Melting_Curves/meltCurve_Q96EY5_MVB12A.pdf</v>
      </c>
    </row>
    <row r="5058" spans="1:28" x14ac:dyDescent="0.25">
      <c r="A5058" t="s">
        <v>5062</v>
      </c>
      <c r="B5058">
        <v>0.99252571173614901</v>
      </c>
      <c r="C5058">
        <v>0.70403440558178498</v>
      </c>
      <c r="D5058">
        <v>0.37368374035555202</v>
      </c>
      <c r="E5058">
        <v>0.29928274123830001</v>
      </c>
      <c r="F5058">
        <v>0.18330255101056001</v>
      </c>
      <c r="G5058">
        <v>0.11782818320454699</v>
      </c>
      <c r="H5058">
        <v>9.6718077206492101E-2</v>
      </c>
      <c r="I5058">
        <v>9.6414021898361804E-2</v>
      </c>
      <c r="J5058">
        <v>9.4736643299132506E-2</v>
      </c>
      <c r="K5058">
        <v>9.1885686876293393E-2</v>
      </c>
      <c r="L5058">
        <v>861.96971600639802</v>
      </c>
      <c r="M5058">
        <v>19.3088416621565</v>
      </c>
      <c r="N5058">
        <v>45.214313091351798</v>
      </c>
      <c r="O5058">
        <v>44.170641430207198</v>
      </c>
      <c r="P5058">
        <v>-9.7426358440491703E-2</v>
      </c>
      <c r="Q5058">
        <v>0.10854853742077999</v>
      </c>
      <c r="R5058">
        <v>0.97905165347393397</v>
      </c>
      <c r="S5058" t="s">
        <v>11704</v>
      </c>
      <c r="T5058" t="s">
        <v>13290</v>
      </c>
      <c r="U5058" t="s">
        <v>13290</v>
      </c>
      <c r="V5058" t="s">
        <v>13290</v>
      </c>
      <c r="W5058" t="s">
        <v>18298</v>
      </c>
      <c r="X5058">
        <v>9</v>
      </c>
      <c r="Y5058" t="s">
        <v>24780</v>
      </c>
      <c r="Z5058" t="s">
        <v>31388</v>
      </c>
      <c r="AA5058">
        <v>0.26356544102923612</v>
      </c>
      <c r="AB5058" t="str">
        <f>HYPERLINK("Melting_Curves/meltCurve_Q96EY7_PTCD3.pdf", "Melting_Curves/meltCurve_Q96EY7_PTCD3.pdf")</f>
        <v>Melting_Curves/meltCurve_Q96EY7_PTCD3.pdf</v>
      </c>
    </row>
    <row r="5059" spans="1:28" x14ac:dyDescent="0.25">
      <c r="A5059" t="s">
        <v>5063</v>
      </c>
      <c r="B5059">
        <v>0.99252571173614901</v>
      </c>
      <c r="C5059">
        <v>1.06989125999288</v>
      </c>
      <c r="D5059">
        <v>1.0041991157747301</v>
      </c>
      <c r="E5059">
        <v>1.04384409749114</v>
      </c>
      <c r="F5059">
        <v>0.85186943715025198</v>
      </c>
      <c r="G5059">
        <v>0.62204086036288497</v>
      </c>
      <c r="H5059">
        <v>0.42552947583568101</v>
      </c>
      <c r="I5059">
        <v>0.37710266811010401</v>
      </c>
      <c r="J5059">
        <v>0.35963739094946101</v>
      </c>
      <c r="K5059">
        <v>0.28766806500094</v>
      </c>
      <c r="L5059">
        <v>1382.45378057315</v>
      </c>
      <c r="M5059">
        <v>24.5484897174175</v>
      </c>
      <c r="N5059">
        <v>58.8212359517198</v>
      </c>
      <c r="O5059">
        <v>55.945513128055403</v>
      </c>
      <c r="P5059">
        <v>-7.4123611202957407E-2</v>
      </c>
      <c r="Q5059">
        <v>0.324304904766198</v>
      </c>
      <c r="R5059">
        <v>0.98639678347000703</v>
      </c>
      <c r="S5059" t="s">
        <v>11705</v>
      </c>
      <c r="T5059" t="s">
        <v>13290</v>
      </c>
      <c r="U5059" t="s">
        <v>13290</v>
      </c>
      <c r="V5059" t="s">
        <v>13290</v>
      </c>
      <c r="W5059" t="s">
        <v>18299</v>
      </c>
      <c r="X5059">
        <v>11</v>
      </c>
      <c r="Y5059" t="s">
        <v>24781</v>
      </c>
      <c r="Z5059" t="s">
        <v>31389</v>
      </c>
      <c r="AA5059">
        <v>0.69813475925720569</v>
      </c>
      <c r="AB5059" t="str">
        <f>HYPERLINK("Melting_Curves/meltCurve_Q96EY8_MMAB.pdf", "Melting_Curves/meltCurve_Q96EY8_MMAB.pdf")</f>
        <v>Melting_Curves/meltCurve_Q96EY8_MMAB.pdf</v>
      </c>
    </row>
    <row r="5060" spans="1:28" x14ac:dyDescent="0.25">
      <c r="A5060" t="s">
        <v>5064</v>
      </c>
      <c r="B5060">
        <v>0.99252571173614901</v>
      </c>
      <c r="C5060">
        <v>1.0183663494422399</v>
      </c>
      <c r="D5060">
        <v>0.89563240106104902</v>
      </c>
      <c r="E5060">
        <v>0.70160699192619203</v>
      </c>
      <c r="F5060">
        <v>0.44362125864254198</v>
      </c>
      <c r="G5060">
        <v>0.30405588269902301</v>
      </c>
      <c r="H5060">
        <v>0.20683454958557501</v>
      </c>
      <c r="I5060">
        <v>0.122046373851595</v>
      </c>
      <c r="J5060">
        <v>0.120173527353718</v>
      </c>
      <c r="K5060">
        <v>0.125894605528523</v>
      </c>
      <c r="L5060">
        <v>838.27993521705196</v>
      </c>
      <c r="M5060">
        <v>16.181252582302498</v>
      </c>
      <c r="N5060">
        <v>52.598289827163399</v>
      </c>
      <c r="O5060">
        <v>51.033799262082802</v>
      </c>
      <c r="P5060">
        <v>-7.0696112879438902E-2</v>
      </c>
      <c r="Q5060">
        <v>0.108197893664829</v>
      </c>
      <c r="R5060">
        <v>0.996417330870493</v>
      </c>
      <c r="S5060" t="s">
        <v>11706</v>
      </c>
      <c r="T5060" t="s">
        <v>13290</v>
      </c>
      <c r="U5060" t="s">
        <v>13290</v>
      </c>
      <c r="V5060" t="s">
        <v>13290</v>
      </c>
      <c r="W5060" t="s">
        <v>18300</v>
      </c>
      <c r="X5060">
        <v>4</v>
      </c>
      <c r="Y5060" t="s">
        <v>24782</v>
      </c>
      <c r="Z5060" t="s">
        <v>31390</v>
      </c>
      <c r="AA5060">
        <v>0.47693141776457082</v>
      </c>
      <c r="AB5060" t="str">
        <f>HYPERLINK("Melting_Curves/meltCurve_Q96EY9_ADAT3.pdf", "Melting_Curves/meltCurve_Q96EY9_ADAT3.pdf")</f>
        <v>Melting_Curves/meltCurve_Q96EY9_ADAT3.pdf</v>
      </c>
    </row>
    <row r="5061" spans="1:28" x14ac:dyDescent="0.25">
      <c r="A5061" t="s">
        <v>5065</v>
      </c>
      <c r="B5061">
        <v>0.99252571173614901</v>
      </c>
      <c r="C5061">
        <v>0.90278265980474903</v>
      </c>
      <c r="D5061">
        <v>0.797330852975775</v>
      </c>
      <c r="E5061">
        <v>0.46229884809124999</v>
      </c>
      <c r="F5061">
        <v>0.29344632061203402</v>
      </c>
      <c r="G5061">
        <v>0.12489504025748401</v>
      </c>
      <c r="H5061">
        <v>9.7693974061939096E-2</v>
      </c>
      <c r="I5061">
        <v>0.119824870787014</v>
      </c>
      <c r="J5061">
        <v>0.18669910616882199</v>
      </c>
      <c r="K5061">
        <v>0.17991254500713</v>
      </c>
      <c r="L5061">
        <v>977.44399482855601</v>
      </c>
      <c r="M5061">
        <v>20.163249410269501</v>
      </c>
      <c r="N5061">
        <v>49.239572994646501</v>
      </c>
      <c r="O5061">
        <v>48.007237186208201</v>
      </c>
      <c r="P5061">
        <v>-9.0914852839606E-2</v>
      </c>
      <c r="Q5061">
        <v>0.134180498987651</v>
      </c>
      <c r="R5061">
        <v>0.98818013884831701</v>
      </c>
      <c r="S5061" t="s">
        <v>11707</v>
      </c>
      <c r="T5061" t="s">
        <v>13290</v>
      </c>
      <c r="U5061" t="s">
        <v>13290</v>
      </c>
      <c r="V5061" t="s">
        <v>13290</v>
      </c>
      <c r="W5061" t="s">
        <v>18301</v>
      </c>
      <c r="X5061">
        <v>2</v>
      </c>
      <c r="Y5061" t="s">
        <v>24783</v>
      </c>
      <c r="Z5061" t="s">
        <v>31391</v>
      </c>
      <c r="AA5061">
        <v>0.39081648559136511</v>
      </c>
      <c r="AB5061" t="str">
        <f>HYPERLINK("Melting_Curves/meltCurve_Q96F44_3_TRIM11.pdf", "Melting_Curves/meltCurve_Q96F44_3_TRIM11.pdf")</f>
        <v>Melting_Curves/meltCurve_Q96F44_3_TRIM11.pdf</v>
      </c>
    </row>
    <row r="5062" spans="1:28" x14ac:dyDescent="0.25">
      <c r="A5062" t="s">
        <v>5066</v>
      </c>
      <c r="B5062">
        <v>0.99252571173614901</v>
      </c>
      <c r="C5062">
        <v>0.950842890155982</v>
      </c>
      <c r="D5062">
        <v>0.89596150058693003</v>
      </c>
      <c r="E5062">
        <v>0.96067781812136999</v>
      </c>
      <c r="F5062">
        <v>0.70352246669664298</v>
      </c>
      <c r="G5062">
        <v>0.39915268590582298</v>
      </c>
      <c r="H5062">
        <v>0.36560977600587302</v>
      </c>
      <c r="I5062">
        <v>0.37522596237474098</v>
      </c>
      <c r="J5062">
        <v>0.53021256928419203</v>
      </c>
      <c r="K5062">
        <v>0.51045355232677703</v>
      </c>
      <c r="L5062">
        <v>13294.506703851601</v>
      </c>
      <c r="M5062">
        <v>250</v>
      </c>
      <c r="N5062">
        <v>53.619369381781098</v>
      </c>
      <c r="O5062">
        <v>53.174612353957599</v>
      </c>
      <c r="P5062">
        <v>-0.66275633674955403</v>
      </c>
      <c r="Q5062">
        <v>0.43613089848150399</v>
      </c>
      <c r="R5062">
        <v>0.93640284111118</v>
      </c>
      <c r="S5062" t="s">
        <v>11708</v>
      </c>
      <c r="T5062" t="s">
        <v>13290</v>
      </c>
      <c r="U5062" t="s">
        <v>13290</v>
      </c>
      <c r="V5062" t="s">
        <v>13290</v>
      </c>
      <c r="W5062" t="s">
        <v>18302</v>
      </c>
      <c r="X5062">
        <v>6</v>
      </c>
      <c r="Y5062" t="s">
        <v>24784</v>
      </c>
      <c r="Z5062" t="s">
        <v>31392</v>
      </c>
      <c r="AA5062">
        <v>0.68387292714590531</v>
      </c>
      <c r="AB5062" t="str">
        <f>HYPERLINK("Melting_Curves/meltCurve_Q96F45_ZNF503.pdf", "Melting_Curves/meltCurve_Q96F45_ZNF503.pdf")</f>
        <v>Melting_Curves/meltCurve_Q96F45_ZNF503.pdf</v>
      </c>
    </row>
    <row r="5063" spans="1:28" x14ac:dyDescent="0.25">
      <c r="A5063" t="s">
        <v>5067</v>
      </c>
      <c r="B5063">
        <v>0.99252571173614901</v>
      </c>
      <c r="C5063">
        <v>0.82141144658314902</v>
      </c>
      <c r="D5063">
        <v>0.75299694409612605</v>
      </c>
      <c r="E5063">
        <v>0.42643992188489499</v>
      </c>
      <c r="F5063">
        <v>0.380473975908727</v>
      </c>
      <c r="G5063">
        <v>0.29001468721726498</v>
      </c>
      <c r="H5063">
        <v>0.272213173666498</v>
      </c>
      <c r="I5063">
        <v>0.329159797556068</v>
      </c>
      <c r="J5063">
        <v>0.48490317867084398</v>
      </c>
      <c r="K5063">
        <v>0.47129994745815101</v>
      </c>
      <c r="L5063">
        <v>1056.6104621444199</v>
      </c>
      <c r="M5063">
        <v>22.950991965080899</v>
      </c>
      <c r="N5063">
        <v>48.791752989813801</v>
      </c>
      <c r="O5063">
        <v>45.69244127564</v>
      </c>
      <c r="P5063">
        <v>-7.9977021669886905E-2</v>
      </c>
      <c r="Q5063">
        <v>0.36311658042341</v>
      </c>
      <c r="R5063">
        <v>0.89919768060857597</v>
      </c>
      <c r="S5063" t="s">
        <v>11709</v>
      </c>
      <c r="T5063" t="s">
        <v>13290</v>
      </c>
      <c r="U5063" t="s">
        <v>13290</v>
      </c>
      <c r="V5063" t="s">
        <v>13290</v>
      </c>
      <c r="W5063" t="s">
        <v>18303</v>
      </c>
      <c r="X5063">
        <v>1</v>
      </c>
      <c r="Y5063" t="s">
        <v>24785</v>
      </c>
      <c r="Z5063" t="s">
        <v>31393</v>
      </c>
      <c r="AA5063">
        <v>0.49844627553562171</v>
      </c>
      <c r="AB5063" t="str">
        <f>HYPERLINK("Melting_Curves/meltCurve_Q96F63_CCDC97.pdf", "Melting_Curves/meltCurve_Q96F63_CCDC97.pdf")</f>
        <v>Melting_Curves/meltCurve_Q96F63_CCDC97.pdf</v>
      </c>
    </row>
    <row r="5064" spans="1:28" x14ac:dyDescent="0.25">
      <c r="A5064" t="s">
        <v>5068</v>
      </c>
      <c r="B5064">
        <v>0.99252571173614901</v>
      </c>
      <c r="C5064">
        <v>0.95958402022446498</v>
      </c>
      <c r="D5064">
        <v>0.94191721307237097</v>
      </c>
      <c r="E5064">
        <v>0.71961071474685401</v>
      </c>
      <c r="F5064">
        <v>0.39172888737295603</v>
      </c>
      <c r="G5064">
        <v>0.24607603201872999</v>
      </c>
      <c r="H5064">
        <v>0.19020979200809099</v>
      </c>
      <c r="I5064">
        <v>0.17697523515538199</v>
      </c>
      <c r="J5064">
        <v>0.20918138891576599</v>
      </c>
      <c r="K5064">
        <v>0.17856194037126299</v>
      </c>
      <c r="L5064">
        <v>1227.4525259496299</v>
      </c>
      <c r="M5064">
        <v>24.1203569650182</v>
      </c>
      <c r="N5064">
        <v>51.866400828296598</v>
      </c>
      <c r="O5064">
        <v>50.542723255667099</v>
      </c>
      <c r="P5064">
        <v>-9.7513260675172297E-2</v>
      </c>
      <c r="Q5064">
        <v>0.182680312699848</v>
      </c>
      <c r="R5064">
        <v>0.99839611114455895</v>
      </c>
      <c r="S5064" t="s">
        <v>11710</v>
      </c>
      <c r="T5064" t="s">
        <v>13290</v>
      </c>
      <c r="U5064" t="s">
        <v>13290</v>
      </c>
      <c r="V5064" t="s">
        <v>13290</v>
      </c>
      <c r="W5064" t="s">
        <v>18304</v>
      </c>
      <c r="X5064">
        <v>13</v>
      </c>
      <c r="Y5064" t="s">
        <v>24786</v>
      </c>
      <c r="Z5064" t="s">
        <v>31394</v>
      </c>
      <c r="AA5064">
        <v>0.48724375142719412</v>
      </c>
      <c r="AB5064" t="str">
        <f>HYPERLINK("Melting_Curves/meltCurve_Q96F86_EDC3.pdf", "Melting_Curves/meltCurve_Q96F86_EDC3.pdf")</f>
        <v>Melting_Curves/meltCurve_Q96F86_EDC3.pdf</v>
      </c>
    </row>
    <row r="5065" spans="1:28" x14ac:dyDescent="0.25">
      <c r="A5065" t="s">
        <v>5069</v>
      </c>
      <c r="B5065">
        <v>0.99252571173614901</v>
      </c>
      <c r="C5065">
        <v>1.0845878248701399</v>
      </c>
      <c r="D5065">
        <v>0.99469100596004001</v>
      </c>
      <c r="E5065">
        <v>0.59120359934465705</v>
      </c>
      <c r="F5065">
        <v>0.260620919690846</v>
      </c>
      <c r="G5065">
        <v>0.194362381830265</v>
      </c>
      <c r="H5065">
        <v>0.19959297669166601</v>
      </c>
      <c r="I5065">
        <v>0.32745275460468298</v>
      </c>
      <c r="J5065">
        <v>0.429025997067428</v>
      </c>
      <c r="K5065">
        <v>0.43566965010796899</v>
      </c>
      <c r="L5065">
        <v>12381.831473480999</v>
      </c>
      <c r="M5065">
        <v>250</v>
      </c>
      <c r="N5065">
        <v>49.717446131553999</v>
      </c>
      <c r="O5065">
        <v>49.524180568036599</v>
      </c>
      <c r="P5065">
        <v>-0.87357943541764305</v>
      </c>
      <c r="Q5065">
        <v>0.30778744382543699</v>
      </c>
      <c r="R5065">
        <v>0.94000257595974301</v>
      </c>
      <c r="S5065" t="s">
        <v>11711</v>
      </c>
      <c r="T5065" t="s">
        <v>13290</v>
      </c>
      <c r="U5065" t="s">
        <v>13290</v>
      </c>
      <c r="V5065" t="s">
        <v>13290</v>
      </c>
      <c r="W5065" t="s">
        <v>18305</v>
      </c>
      <c r="X5065">
        <v>2</v>
      </c>
      <c r="Y5065" t="s">
        <v>24787</v>
      </c>
      <c r="Z5065" t="s">
        <v>31395</v>
      </c>
      <c r="AA5065">
        <v>0.52767876440826156</v>
      </c>
      <c r="AB5065" t="str">
        <f>HYPERLINK("Melting_Curves/meltCurve_Q96FA3_PELI1.pdf", "Melting_Curves/meltCurve_Q96FA3_PELI1.pdf")</f>
        <v>Melting_Curves/meltCurve_Q96FA3_PELI1.pdf</v>
      </c>
    </row>
    <row r="5066" spans="1:28" x14ac:dyDescent="0.25">
      <c r="A5066" t="s">
        <v>5070</v>
      </c>
      <c r="B5066">
        <v>0.99252571173614901</v>
      </c>
      <c r="C5066">
        <v>0.91583772088458404</v>
      </c>
      <c r="D5066">
        <v>0.81843341863276198</v>
      </c>
      <c r="E5066">
        <v>0.38826720249854002</v>
      </c>
      <c r="F5066">
        <v>0.104234387304402</v>
      </c>
      <c r="G5066">
        <v>6.6599359786462795E-2</v>
      </c>
      <c r="H5066">
        <v>4.6266432756858801E-2</v>
      </c>
      <c r="I5066">
        <v>4.6039547432012801E-2</v>
      </c>
      <c r="J5066">
        <v>5.1919230777654098E-2</v>
      </c>
      <c r="K5066">
        <v>5.01867447099879E-2</v>
      </c>
      <c r="L5066">
        <v>1257.83098718319</v>
      </c>
      <c r="M5066">
        <v>25.968052804080902</v>
      </c>
      <c r="N5066">
        <v>48.607077279115103</v>
      </c>
      <c r="O5066">
        <v>48.153145734981898</v>
      </c>
      <c r="P5066">
        <v>-0.12898743849889299</v>
      </c>
      <c r="Q5066">
        <v>4.3274279532635102E-2</v>
      </c>
      <c r="R5066">
        <v>0.99753441876398696</v>
      </c>
      <c r="S5066" t="s">
        <v>11712</v>
      </c>
      <c r="T5066" t="s">
        <v>13290</v>
      </c>
      <c r="U5066" t="s">
        <v>13290</v>
      </c>
      <c r="V5066" t="s">
        <v>13290</v>
      </c>
      <c r="W5066" t="s">
        <v>18306</v>
      </c>
      <c r="X5066">
        <v>6</v>
      </c>
      <c r="Y5066" t="s">
        <v>24788</v>
      </c>
      <c r="Z5066" t="s">
        <v>31396</v>
      </c>
      <c r="AA5066">
        <v>0.32016794275964389</v>
      </c>
      <c r="AB5066" t="str">
        <f>HYPERLINK("Melting_Curves/meltCurve_Q96FC9_4_DDX11.pdf", "Melting_Curves/meltCurve_Q96FC9_4_DDX11.pdf")</f>
        <v>Melting_Curves/meltCurve_Q96FC9_4_DDX11.pdf</v>
      </c>
    </row>
    <row r="5067" spans="1:28" x14ac:dyDescent="0.25">
      <c r="A5067" t="s">
        <v>5071</v>
      </c>
      <c r="B5067">
        <v>0.99252571173614901</v>
      </c>
      <c r="C5067">
        <v>0.93849168939827299</v>
      </c>
      <c r="D5067">
        <v>0.89613342748389002</v>
      </c>
      <c r="E5067">
        <v>0.76705508494301</v>
      </c>
      <c r="F5067">
        <v>0.58826633621044</v>
      </c>
      <c r="G5067">
        <v>0.20893742223426801</v>
      </c>
      <c r="H5067">
        <v>0.122747651185124</v>
      </c>
      <c r="I5067">
        <v>0.108379149625739</v>
      </c>
      <c r="J5067">
        <v>0.137189975314639</v>
      </c>
      <c r="K5067">
        <v>9.5612556696132098E-2</v>
      </c>
      <c r="L5067">
        <v>974.13616288844798</v>
      </c>
      <c r="M5067">
        <v>18.439387716450099</v>
      </c>
      <c r="N5067">
        <v>53.312633752678302</v>
      </c>
      <c r="O5067">
        <v>52.219513351482398</v>
      </c>
      <c r="P5067">
        <v>-8.1484214000245303E-2</v>
      </c>
      <c r="Q5067">
        <v>7.7002952041871395E-2</v>
      </c>
      <c r="R5067">
        <v>0.98610902030830405</v>
      </c>
      <c r="S5067" t="s">
        <v>11713</v>
      </c>
      <c r="T5067" t="s">
        <v>13290</v>
      </c>
      <c r="U5067" t="s">
        <v>13290</v>
      </c>
      <c r="V5067" t="s">
        <v>13290</v>
      </c>
      <c r="W5067" t="s">
        <v>18307</v>
      </c>
      <c r="X5067">
        <v>5</v>
      </c>
      <c r="Y5067" t="s">
        <v>24789</v>
      </c>
      <c r="Z5067" t="s">
        <v>31397</v>
      </c>
      <c r="AA5067">
        <v>0.48628602245632319</v>
      </c>
      <c r="AB5067" t="str">
        <f>HYPERLINK("Melting_Curves/meltCurve_Q96FE5_2_LINGO1.pdf", "Melting_Curves/meltCurve_Q96FE5_2_LINGO1.pdf")</f>
        <v>Melting_Curves/meltCurve_Q96FE5_2_LINGO1.pdf</v>
      </c>
    </row>
    <row r="5068" spans="1:28" x14ac:dyDescent="0.25">
      <c r="A5068" t="s">
        <v>5072</v>
      </c>
      <c r="B5068">
        <v>0.99252571173614901</v>
      </c>
      <c r="C5068">
        <v>1.10657624127214</v>
      </c>
      <c r="D5068">
        <v>1.02646182258133</v>
      </c>
      <c r="E5068">
        <v>0.76174125077576504</v>
      </c>
      <c r="F5068">
        <v>0.64646509109955197</v>
      </c>
      <c r="G5068">
        <v>0.49902530064176098</v>
      </c>
      <c r="H5068">
        <v>0.57274365269674299</v>
      </c>
      <c r="I5068">
        <v>0.69417969248875899</v>
      </c>
      <c r="J5068">
        <v>0.91223989707069497</v>
      </c>
      <c r="K5068">
        <v>0.79427780452659502</v>
      </c>
      <c r="L5068">
        <v>12342.8357125454</v>
      </c>
      <c r="M5068">
        <v>250</v>
      </c>
      <c r="O5068">
        <v>49.368164007819701</v>
      </c>
      <c r="P5068">
        <v>-0.39690470335088002</v>
      </c>
      <c r="Q5068">
        <v>0.68648857253792195</v>
      </c>
      <c r="R5068">
        <v>0.66677203661269802</v>
      </c>
      <c r="S5068" t="s">
        <v>11714</v>
      </c>
      <c r="T5068" t="s">
        <v>13290</v>
      </c>
      <c r="U5068" t="s">
        <v>13290</v>
      </c>
      <c r="V5068" t="s">
        <v>13290</v>
      </c>
      <c r="W5068" t="s">
        <v>18308</v>
      </c>
      <c r="X5068">
        <v>2</v>
      </c>
      <c r="Y5068" t="s">
        <v>24790</v>
      </c>
      <c r="Z5068" t="s">
        <v>31398</v>
      </c>
      <c r="AA5068">
        <v>0.78444983950295888</v>
      </c>
      <c r="AB5068" t="str">
        <f>HYPERLINK("Melting_Curves/meltCurve_Q96FE7_4_PIK3IP1.pdf", "Melting_Curves/meltCurve_Q96FE7_4_PIK3IP1.pdf")</f>
        <v>Melting_Curves/meltCurve_Q96FE7_4_PIK3IP1.pdf</v>
      </c>
    </row>
    <row r="5069" spans="1:28" x14ac:dyDescent="0.25">
      <c r="A5069" t="s">
        <v>5073</v>
      </c>
      <c r="B5069">
        <v>0.99252571173614901</v>
      </c>
      <c r="C5069">
        <v>1.0042030441101699</v>
      </c>
      <c r="D5069">
        <v>0.87396348368274601</v>
      </c>
      <c r="E5069">
        <v>0.73388874745756705</v>
      </c>
      <c r="F5069">
        <v>0.74129965140083398</v>
      </c>
      <c r="G5069">
        <v>0.57265704835151399</v>
      </c>
      <c r="H5069">
        <v>0.575942876511782</v>
      </c>
      <c r="I5069">
        <v>0.83232073578783605</v>
      </c>
      <c r="J5069">
        <v>2.3733017063368198</v>
      </c>
      <c r="K5069">
        <v>2.99355184134747</v>
      </c>
      <c r="L5069">
        <v>7969.9248467254802</v>
      </c>
      <c r="M5069">
        <v>122.434949089147</v>
      </c>
      <c r="O5069">
        <v>65.077816221051606</v>
      </c>
      <c r="P5069">
        <v>0.235170291614341</v>
      </c>
      <c r="Q5069">
        <v>1.5</v>
      </c>
      <c r="R5069">
        <v>0.414568077773521</v>
      </c>
      <c r="S5069" t="s">
        <v>11715</v>
      </c>
      <c r="T5069" t="s">
        <v>13290</v>
      </c>
      <c r="U5069" t="s">
        <v>13290</v>
      </c>
      <c r="V5069" t="s">
        <v>13290</v>
      </c>
      <c r="W5069" t="s">
        <v>18309</v>
      </c>
      <c r="X5069">
        <v>12</v>
      </c>
      <c r="Z5069" t="s">
        <v>31399</v>
      </c>
      <c r="AA5069">
        <v>1.081510665785864</v>
      </c>
      <c r="AB5069" t="str">
        <f>HYPERLINK("Melting_Curves/meltCurve_Q96FF7_.pdf", "Melting_Curves/meltCurve_Q96FF7_.pdf")</f>
        <v>Melting_Curves/meltCurve_Q96FF7_.pdf</v>
      </c>
    </row>
    <row r="5070" spans="1:28" x14ac:dyDescent="0.25">
      <c r="A5070" t="s">
        <v>5074</v>
      </c>
      <c r="B5070">
        <v>0.99252571173614901</v>
      </c>
      <c r="C5070">
        <v>1.04497596778181</v>
      </c>
      <c r="D5070">
        <v>0.99654349059633995</v>
      </c>
      <c r="E5070">
        <v>0.97913816012826804</v>
      </c>
      <c r="F5070">
        <v>0.77973510877956997</v>
      </c>
      <c r="G5070">
        <v>0.56649482710961196</v>
      </c>
      <c r="H5070">
        <v>0.28471336626310001</v>
      </c>
      <c r="I5070">
        <v>0.225418089483166</v>
      </c>
      <c r="J5070">
        <v>0.21578543888371099</v>
      </c>
      <c r="K5070">
        <v>0.20895595517327201</v>
      </c>
      <c r="L5070">
        <v>1254.04030378228</v>
      </c>
      <c r="M5070">
        <v>22.376269649943001</v>
      </c>
      <c r="N5070">
        <v>57.255210598166002</v>
      </c>
      <c r="O5070">
        <v>55.601463281098297</v>
      </c>
      <c r="P5070">
        <v>-8.1633613849584702E-2</v>
      </c>
      <c r="Q5070">
        <v>0.188630864608754</v>
      </c>
      <c r="R5070">
        <v>0.99546478484026502</v>
      </c>
      <c r="S5070" t="s">
        <v>11716</v>
      </c>
      <c r="T5070" t="s">
        <v>13290</v>
      </c>
      <c r="U5070" t="s">
        <v>13290</v>
      </c>
      <c r="V5070" t="s">
        <v>13290</v>
      </c>
      <c r="W5070" t="s">
        <v>18310</v>
      </c>
      <c r="X5070">
        <v>5</v>
      </c>
      <c r="Y5070" t="s">
        <v>24791</v>
      </c>
      <c r="Z5070" t="s">
        <v>31400</v>
      </c>
      <c r="AA5070">
        <v>0.63141110771022779</v>
      </c>
      <c r="AB5070" t="str">
        <f>HYPERLINK("Melting_Curves/meltCurve_Q96FH0_MEF2BNB.pdf", "Melting_Curves/meltCurve_Q96FH0_MEF2BNB.pdf")</f>
        <v>Melting_Curves/meltCurve_Q96FH0_MEF2BNB.pdf</v>
      </c>
    </row>
    <row r="5071" spans="1:28" x14ac:dyDescent="0.25">
      <c r="A5071" t="s">
        <v>5075</v>
      </c>
      <c r="B5071">
        <v>0.99252571173614901</v>
      </c>
      <c r="C5071">
        <v>1.14042104650993</v>
      </c>
      <c r="D5071">
        <v>1.3843349490652399</v>
      </c>
      <c r="E5071">
        <v>1.6055840306099201</v>
      </c>
      <c r="F5071">
        <v>1.24193341015216</v>
      </c>
      <c r="G5071">
        <v>0.82749669093104505</v>
      </c>
      <c r="H5071">
        <v>0.23707363240589099</v>
      </c>
      <c r="I5071">
        <v>0.11281206678179299</v>
      </c>
      <c r="J5071">
        <v>0.113561671016104</v>
      </c>
      <c r="K5071">
        <v>9.5768704043191794E-2</v>
      </c>
      <c r="L5071">
        <v>3015.4584257603801</v>
      </c>
      <c r="M5071">
        <v>51.4982311324408</v>
      </c>
      <c r="N5071">
        <v>58.828733434294499</v>
      </c>
      <c r="O5071">
        <v>58.466506017931799</v>
      </c>
      <c r="P5071">
        <v>-0.19671382739014701</v>
      </c>
      <c r="Q5071">
        <v>0.106675191957481</v>
      </c>
      <c r="R5071">
        <v>0.80704832082748601</v>
      </c>
      <c r="S5071" t="s">
        <v>11717</v>
      </c>
      <c r="T5071" t="s">
        <v>13290</v>
      </c>
      <c r="U5071" t="s">
        <v>13290</v>
      </c>
      <c r="V5071" t="s">
        <v>13290</v>
      </c>
      <c r="W5071" t="s">
        <v>18311</v>
      </c>
      <c r="X5071">
        <v>7</v>
      </c>
      <c r="Y5071" t="s">
        <v>24792</v>
      </c>
      <c r="Z5071" t="s">
        <v>31401</v>
      </c>
      <c r="AA5071">
        <v>0.66134787617284518</v>
      </c>
      <c r="AB5071" t="str">
        <f>HYPERLINK("Melting_Curves/meltCurve_Q96FK6_WDR89.pdf", "Melting_Curves/meltCurve_Q96FK6_WDR89.pdf")</f>
        <v>Melting_Curves/meltCurve_Q96FK6_WDR89.pdf</v>
      </c>
    </row>
    <row r="5072" spans="1:28" x14ac:dyDescent="0.25">
      <c r="A5072" t="s">
        <v>5076</v>
      </c>
      <c r="B5072">
        <v>0.99252571173614901</v>
      </c>
      <c r="C5072">
        <v>1.07614695016919</v>
      </c>
      <c r="D5072">
        <v>1.03571136358663</v>
      </c>
      <c r="E5072">
        <v>0.97643559263595003</v>
      </c>
      <c r="F5072">
        <v>0.79128345313180004</v>
      </c>
      <c r="G5072">
        <v>0.54257163186850998</v>
      </c>
      <c r="H5072">
        <v>0.34435953367542299</v>
      </c>
      <c r="I5072">
        <v>0.28489752383850597</v>
      </c>
      <c r="J5072">
        <v>0.341378355589599</v>
      </c>
      <c r="K5072">
        <v>0.31336589881592902</v>
      </c>
      <c r="L5072">
        <v>1471.9634533211699</v>
      </c>
      <c r="M5072">
        <v>26.697271860483099</v>
      </c>
      <c r="N5072">
        <v>57.141727936833497</v>
      </c>
      <c r="O5072">
        <v>54.828790024397101</v>
      </c>
      <c r="P5072">
        <v>-8.4703488818689401E-2</v>
      </c>
      <c r="Q5072">
        <v>0.304177355398283</v>
      </c>
      <c r="R5072">
        <v>0.98942334739722204</v>
      </c>
      <c r="S5072" t="s">
        <v>11718</v>
      </c>
      <c r="T5072" t="s">
        <v>13290</v>
      </c>
      <c r="U5072" t="s">
        <v>13290</v>
      </c>
      <c r="V5072" t="s">
        <v>13290</v>
      </c>
      <c r="W5072" t="s">
        <v>18312</v>
      </c>
      <c r="X5072">
        <v>12</v>
      </c>
      <c r="Y5072" t="s">
        <v>24793</v>
      </c>
      <c r="Z5072" t="s">
        <v>31402</v>
      </c>
      <c r="AA5072">
        <v>0.66095581143673887</v>
      </c>
      <c r="AB5072" t="str">
        <f>HYPERLINK("Melting_Curves/meltCurve_Q96FQ6_S100A16.pdf", "Melting_Curves/meltCurve_Q96FQ6_S100A16.pdf")</f>
        <v>Melting_Curves/meltCurve_Q96FQ6_S100A16.pdf</v>
      </c>
    </row>
    <row r="5073" spans="1:28" x14ac:dyDescent="0.25">
      <c r="A5073" t="s">
        <v>5077</v>
      </c>
      <c r="B5073">
        <v>0.99252571173614901</v>
      </c>
      <c r="C5073">
        <v>0.96990799405973205</v>
      </c>
      <c r="D5073">
        <v>1.2162424235401501</v>
      </c>
      <c r="E5073">
        <v>0.99699159935206205</v>
      </c>
      <c r="F5073">
        <v>0.33597412475211402</v>
      </c>
      <c r="G5073">
        <v>0.216184612377051</v>
      </c>
      <c r="H5073">
        <v>0.15167043493688601</v>
      </c>
      <c r="I5073">
        <v>0.156469244416933</v>
      </c>
      <c r="J5073">
        <v>0.243473473970549</v>
      </c>
      <c r="K5073">
        <v>0.295856439334023</v>
      </c>
      <c r="L5073">
        <v>5284.8650305194697</v>
      </c>
      <c r="M5073">
        <v>101.023147957079</v>
      </c>
      <c r="N5073">
        <v>52.601852289922</v>
      </c>
      <c r="O5073">
        <v>52.292918710218402</v>
      </c>
      <c r="P5073">
        <v>-0.38025273335085902</v>
      </c>
      <c r="Q5073">
        <v>0.212674567625181</v>
      </c>
      <c r="R5073">
        <v>0.96200779198789999</v>
      </c>
      <c r="S5073" t="s">
        <v>11719</v>
      </c>
      <c r="T5073" t="s">
        <v>13290</v>
      </c>
      <c r="U5073" t="s">
        <v>13290</v>
      </c>
      <c r="V5073" t="s">
        <v>13290</v>
      </c>
      <c r="W5073" t="s">
        <v>18313</v>
      </c>
      <c r="X5073">
        <v>5</v>
      </c>
      <c r="Y5073" t="s">
        <v>24794</v>
      </c>
      <c r="Z5073" t="s">
        <v>31403</v>
      </c>
      <c r="AA5073">
        <v>0.53627301595136911</v>
      </c>
      <c r="AB5073" t="str">
        <f>HYPERLINK("Melting_Curves/meltCurve_Q96FV9_THOC1.pdf", "Melting_Curves/meltCurve_Q96FV9_THOC1.pdf")</f>
        <v>Melting_Curves/meltCurve_Q96FV9_THOC1.pdf</v>
      </c>
    </row>
    <row r="5074" spans="1:28" x14ac:dyDescent="0.25">
      <c r="A5074" t="s">
        <v>5078</v>
      </c>
      <c r="B5074">
        <v>0.99252571173614901</v>
      </c>
      <c r="C5074">
        <v>1.00306907028728</v>
      </c>
      <c r="D5074">
        <v>0.97378925398668204</v>
      </c>
      <c r="E5074">
        <v>0.73979529649647102</v>
      </c>
      <c r="F5074">
        <v>1.01022592214371</v>
      </c>
      <c r="G5074">
        <v>0.98415035973371401</v>
      </c>
      <c r="H5074">
        <v>1.26918813979727</v>
      </c>
      <c r="I5074">
        <v>1.7130619254670101</v>
      </c>
      <c r="J5074">
        <v>2.4450706040419599</v>
      </c>
      <c r="K5074">
        <v>3.0403163309039498</v>
      </c>
      <c r="L5074">
        <v>15000</v>
      </c>
      <c r="M5074">
        <v>246.86435990651299</v>
      </c>
      <c r="O5074">
        <v>60.7581128219337</v>
      </c>
      <c r="P5074">
        <v>0.507883433908354</v>
      </c>
      <c r="Q5074">
        <v>1.5</v>
      </c>
      <c r="R5074">
        <v>0.34509517271516199</v>
      </c>
      <c r="S5074" t="s">
        <v>11720</v>
      </c>
      <c r="T5074" t="s">
        <v>13290</v>
      </c>
      <c r="U5074" t="s">
        <v>13290</v>
      </c>
      <c r="V5074" t="s">
        <v>13290</v>
      </c>
      <c r="W5074" t="s">
        <v>18314</v>
      </c>
      <c r="X5074">
        <v>1</v>
      </c>
      <c r="Y5074" t="s">
        <v>24795</v>
      </c>
      <c r="Z5074" t="s">
        <v>31404</v>
      </c>
      <c r="AA5074">
        <v>1.153910110589579</v>
      </c>
      <c r="AB5074" t="str">
        <f>HYPERLINK("Melting_Curves/meltCurve_Q96FX2_DPH3.pdf", "Melting_Curves/meltCurve_Q96FX2_DPH3.pdf")</f>
        <v>Melting_Curves/meltCurve_Q96FX2_DPH3.pdf</v>
      </c>
    </row>
    <row r="5075" spans="1:28" x14ac:dyDescent="0.25">
      <c r="A5075" t="s">
        <v>5079</v>
      </c>
      <c r="B5075">
        <v>0.99252571173614901</v>
      </c>
      <c r="C5075">
        <v>0.93735540008151297</v>
      </c>
      <c r="D5075">
        <v>1.0810034939986599</v>
      </c>
      <c r="E5075">
        <v>1.04842238697109</v>
      </c>
      <c r="F5075">
        <v>0.86686073284396203</v>
      </c>
      <c r="G5075">
        <v>0.50542779984006803</v>
      </c>
      <c r="H5075">
        <v>0.174087847374198</v>
      </c>
      <c r="I5075">
        <v>7.9302483544172894E-2</v>
      </c>
      <c r="J5075">
        <v>8.9789068773674804E-2</v>
      </c>
      <c r="K5075">
        <v>7.6750641846849099E-2</v>
      </c>
      <c r="L5075">
        <v>1754.1126396944301</v>
      </c>
      <c r="M5075">
        <v>31.030264981276702</v>
      </c>
      <c r="N5075">
        <v>56.818563832044703</v>
      </c>
      <c r="O5075">
        <v>56.2958694777627</v>
      </c>
      <c r="P5075">
        <v>-0.12772558394534</v>
      </c>
      <c r="Q5075">
        <v>7.31137116799635E-2</v>
      </c>
      <c r="R5075">
        <v>0.99146265364610198</v>
      </c>
      <c r="S5075" t="s">
        <v>11721</v>
      </c>
      <c r="T5075" t="s">
        <v>13290</v>
      </c>
      <c r="U5075" t="s">
        <v>13290</v>
      </c>
      <c r="V5075" t="s">
        <v>13290</v>
      </c>
      <c r="W5075" t="s">
        <v>18315</v>
      </c>
      <c r="X5075">
        <v>5</v>
      </c>
      <c r="Y5075" t="s">
        <v>24796</v>
      </c>
      <c r="Z5075" t="s">
        <v>31405</v>
      </c>
      <c r="AA5075">
        <v>0.58961607752404577</v>
      </c>
      <c r="AB5075" t="str">
        <f>HYPERLINK("Melting_Curves/meltCurve_Q96FX7_TRMT61A.pdf", "Melting_Curves/meltCurve_Q96FX7_TRMT61A.pdf")</f>
        <v>Melting_Curves/meltCurve_Q96FX7_TRMT61A.pdf</v>
      </c>
    </row>
    <row r="5076" spans="1:28" x14ac:dyDescent="0.25">
      <c r="A5076" t="s">
        <v>5080</v>
      </c>
      <c r="B5076">
        <v>0.99252571173614901</v>
      </c>
      <c r="C5076">
        <v>0.85777985743062402</v>
      </c>
      <c r="D5076">
        <v>0.58328094767232197</v>
      </c>
      <c r="E5076">
        <v>0.30520120454122102</v>
      </c>
      <c r="F5076">
        <v>0.173100203490621</v>
      </c>
      <c r="G5076">
        <v>0.108571082525241</v>
      </c>
      <c r="H5076">
        <v>7.5882844702448396E-2</v>
      </c>
      <c r="I5076">
        <v>7.6323330472301595E-2</v>
      </c>
      <c r="J5076">
        <v>8.2351079136578895E-2</v>
      </c>
      <c r="K5076">
        <v>8.3831790047123406E-2</v>
      </c>
      <c r="L5076">
        <v>895.73300509363401</v>
      </c>
      <c r="M5076">
        <v>19.212771099164399</v>
      </c>
      <c r="N5076">
        <v>47.040719025529398</v>
      </c>
      <c r="O5076">
        <v>46.125482181673902</v>
      </c>
      <c r="P5076">
        <v>-9.5947863511298706E-2</v>
      </c>
      <c r="Q5076">
        <v>7.8639385564665001E-2</v>
      </c>
      <c r="R5076">
        <v>0.99851117173006099</v>
      </c>
      <c r="S5076" t="s">
        <v>11722</v>
      </c>
      <c r="T5076" t="s">
        <v>13290</v>
      </c>
      <c r="U5076" t="s">
        <v>13290</v>
      </c>
      <c r="V5076" t="s">
        <v>13290</v>
      </c>
      <c r="W5076" t="s">
        <v>18316</v>
      </c>
      <c r="X5076">
        <v>8</v>
      </c>
      <c r="Y5076" t="s">
        <v>24797</v>
      </c>
      <c r="Z5076" t="s">
        <v>31406</v>
      </c>
      <c r="AA5076">
        <v>0.29701732703654271</v>
      </c>
      <c r="AB5076" t="str">
        <f>HYPERLINK("Melting_Curves/meltCurve_Q96FZ2_C3orf37.pdf", "Melting_Curves/meltCurve_Q96FZ2_C3orf37.pdf")</f>
        <v>Melting_Curves/meltCurve_Q96FZ2_C3orf37.pdf</v>
      </c>
    </row>
    <row r="5077" spans="1:28" x14ac:dyDescent="0.25">
      <c r="A5077" t="s">
        <v>5081</v>
      </c>
      <c r="B5077">
        <v>0.99252571173614901</v>
      </c>
      <c r="C5077">
        <v>0.89093613557788598</v>
      </c>
      <c r="D5077">
        <v>0.82084910270093403</v>
      </c>
      <c r="E5077">
        <v>0.70368668014088398</v>
      </c>
      <c r="F5077">
        <v>0.58555613792981598</v>
      </c>
      <c r="G5077">
        <v>0.36313401347265001</v>
      </c>
      <c r="H5077">
        <v>0.162519772575761</v>
      </c>
      <c r="I5077">
        <v>0.12957929611053901</v>
      </c>
      <c r="J5077">
        <v>0.14656232417748499</v>
      </c>
      <c r="K5077">
        <v>0.135437251678548</v>
      </c>
      <c r="L5077">
        <v>573.151319893802</v>
      </c>
      <c r="M5077">
        <v>10.740535321565</v>
      </c>
      <c r="N5077">
        <v>53.625573847879899</v>
      </c>
      <c r="O5077">
        <v>51.613324114184799</v>
      </c>
      <c r="P5077">
        <v>-5.0712046465966401E-2</v>
      </c>
      <c r="Q5077">
        <v>2.5579328248504899E-2</v>
      </c>
      <c r="R5077">
        <v>0.98546830745419101</v>
      </c>
      <c r="S5077" t="s">
        <v>11723</v>
      </c>
      <c r="T5077" t="s">
        <v>13290</v>
      </c>
      <c r="U5077" t="s">
        <v>13290</v>
      </c>
      <c r="V5077" t="s">
        <v>13290</v>
      </c>
      <c r="W5077" t="s">
        <v>18317</v>
      </c>
      <c r="X5077">
        <v>4</v>
      </c>
      <c r="Y5077" t="s">
        <v>24798</v>
      </c>
      <c r="Z5077" t="s">
        <v>31407</v>
      </c>
      <c r="AA5077">
        <v>0.48966226191659501</v>
      </c>
      <c r="AB5077" t="str">
        <f>HYPERLINK("Melting_Curves/meltCurve_Q96FZ7_CHMP6.pdf", "Melting_Curves/meltCurve_Q96FZ7_CHMP6.pdf")</f>
        <v>Melting_Curves/meltCurve_Q96FZ7_CHMP6.pdf</v>
      </c>
    </row>
    <row r="5078" spans="1:28" x14ac:dyDescent="0.25">
      <c r="A5078" t="s">
        <v>5082</v>
      </c>
      <c r="B5078">
        <v>0.99252571173614901</v>
      </c>
      <c r="C5078">
        <v>1.07008293774371</v>
      </c>
      <c r="D5078">
        <v>0.98713291775363599</v>
      </c>
      <c r="E5078">
        <v>0.924988554397012</v>
      </c>
      <c r="F5078">
        <v>0.86762329123955395</v>
      </c>
      <c r="G5078">
        <v>0.78649926235290402</v>
      </c>
      <c r="H5078">
        <v>0.68165016807943102</v>
      </c>
      <c r="I5078">
        <v>0.57906186628442602</v>
      </c>
      <c r="J5078">
        <v>0.58850376307524499</v>
      </c>
      <c r="K5078">
        <v>0.40214011985736098</v>
      </c>
      <c r="L5078">
        <v>524.79333409135802</v>
      </c>
      <c r="M5078">
        <v>8.0343108534281793</v>
      </c>
      <c r="N5078">
        <v>67.666533452066901</v>
      </c>
      <c r="O5078">
        <v>61.645273413831397</v>
      </c>
      <c r="P5078">
        <v>-2.8651721606158701E-2</v>
      </c>
      <c r="Q5078">
        <v>0.12162755120261499</v>
      </c>
      <c r="R5078">
        <v>0.96436377647776095</v>
      </c>
      <c r="S5078" t="s">
        <v>11724</v>
      </c>
      <c r="T5078" t="s">
        <v>13290</v>
      </c>
      <c r="U5078" t="s">
        <v>13290</v>
      </c>
      <c r="V5078" t="s">
        <v>13290</v>
      </c>
      <c r="W5078" t="s">
        <v>18318</v>
      </c>
      <c r="X5078">
        <v>38</v>
      </c>
      <c r="Y5078" t="s">
        <v>24799</v>
      </c>
      <c r="Z5078" t="s">
        <v>31408</v>
      </c>
      <c r="AA5078">
        <v>0.7929761064071269</v>
      </c>
      <c r="AB5078" t="str">
        <f>HYPERLINK("Melting_Curves/meltCurve_Q96G03_PGM2.pdf", "Melting_Curves/meltCurve_Q96G03_PGM2.pdf")</f>
        <v>Melting_Curves/meltCurve_Q96G03_PGM2.pdf</v>
      </c>
    </row>
    <row r="5079" spans="1:28" x14ac:dyDescent="0.25">
      <c r="A5079" t="s">
        <v>5083</v>
      </c>
      <c r="B5079">
        <v>0.99252571173614901</v>
      </c>
      <c r="C5079">
        <v>1.0759817926989399</v>
      </c>
      <c r="D5079">
        <v>0.903057946102795</v>
      </c>
      <c r="E5079">
        <v>0.58200783663723799</v>
      </c>
      <c r="F5079">
        <v>0.11391881999303199</v>
      </c>
      <c r="G5079">
        <v>5.9750738426847499E-2</v>
      </c>
      <c r="H5079">
        <v>2.6031643162946299E-2</v>
      </c>
      <c r="I5079">
        <v>2.18266385749206E-2</v>
      </c>
      <c r="J5079">
        <v>1.23966710877432E-2</v>
      </c>
      <c r="K5079">
        <v>1.65122746712872E-2</v>
      </c>
      <c r="L5079">
        <v>1629.3180532413501</v>
      </c>
      <c r="M5079">
        <v>32.617742833149102</v>
      </c>
      <c r="N5079">
        <v>50.013030309987897</v>
      </c>
      <c r="O5079">
        <v>49.765252974310997</v>
      </c>
      <c r="P5079">
        <v>-0.16065653196511101</v>
      </c>
      <c r="Q5079">
        <v>1.9542623750425901E-2</v>
      </c>
      <c r="R5079">
        <v>0.99489235629818495</v>
      </c>
      <c r="S5079" t="s">
        <v>11725</v>
      </c>
      <c r="T5079" t="s">
        <v>13290</v>
      </c>
      <c r="U5079" t="s">
        <v>13290</v>
      </c>
      <c r="V5079" t="s">
        <v>13290</v>
      </c>
      <c r="W5079" t="s">
        <v>18319</v>
      </c>
      <c r="X5079">
        <v>4</v>
      </c>
      <c r="Y5079" t="s">
        <v>24800</v>
      </c>
      <c r="Z5079" t="s">
        <v>31409</v>
      </c>
      <c r="AA5079">
        <v>0.34990497566821688</v>
      </c>
      <c r="AB5079" t="str">
        <f>HYPERLINK("Melting_Curves/meltCurve_Q96G04_FAM86A.pdf", "Melting_Curves/meltCurve_Q96G04_FAM86A.pdf")</f>
        <v>Melting_Curves/meltCurve_Q96G04_FAM86A.pdf</v>
      </c>
    </row>
    <row r="5080" spans="1:28" x14ac:dyDescent="0.25">
      <c r="A5080" t="s">
        <v>5084</v>
      </c>
      <c r="B5080">
        <v>0.99252571173614901</v>
      </c>
      <c r="C5080">
        <v>0.883374947343328</v>
      </c>
      <c r="D5080">
        <v>0.949621803466555</v>
      </c>
      <c r="E5080">
        <v>1.0133477110914999</v>
      </c>
      <c r="F5080">
        <v>1.1819790577560301</v>
      </c>
      <c r="G5080">
        <v>1.3852863505448301</v>
      </c>
      <c r="H5080">
        <v>1.43191458360174</v>
      </c>
      <c r="I5080">
        <v>1.6840921331048699</v>
      </c>
      <c r="J5080">
        <v>2.7996316091343298</v>
      </c>
      <c r="K5080">
        <v>3.11988351223382</v>
      </c>
      <c r="L5080">
        <v>2011.0456933879</v>
      </c>
      <c r="M5080">
        <v>37.087493629794999</v>
      </c>
      <c r="O5080">
        <v>54.067436416324902</v>
      </c>
      <c r="P5080">
        <v>8.5743844876237305E-2</v>
      </c>
      <c r="Q5080">
        <v>1.5</v>
      </c>
      <c r="R5080">
        <v>0.22288044433700599</v>
      </c>
      <c r="S5080" t="s">
        <v>11726</v>
      </c>
      <c r="T5080" t="s">
        <v>13290</v>
      </c>
      <c r="U5080" t="s">
        <v>13290</v>
      </c>
      <c r="V5080" t="s">
        <v>13290</v>
      </c>
      <c r="W5080" t="s">
        <v>18320</v>
      </c>
      <c r="X5080">
        <v>5</v>
      </c>
      <c r="Y5080" t="s">
        <v>24801</v>
      </c>
      <c r="Z5080" t="s">
        <v>31410</v>
      </c>
      <c r="AA5080">
        <v>1.26075374786217</v>
      </c>
      <c r="AB5080" t="str">
        <f>HYPERLINK("Melting_Curves/meltCurve_Q96G25_MED8.pdf", "Melting_Curves/meltCurve_Q96G25_MED8.pdf")</f>
        <v>Melting_Curves/meltCurve_Q96G25_MED8.pdf</v>
      </c>
    </row>
    <row r="5081" spans="1:28" x14ac:dyDescent="0.25">
      <c r="A5081" t="s">
        <v>5085</v>
      </c>
      <c r="B5081">
        <v>0.99252571173614901</v>
      </c>
      <c r="C5081">
        <v>0.96875418334461205</v>
      </c>
      <c r="D5081">
        <v>0.66005085819404896</v>
      </c>
      <c r="E5081">
        <v>0.37290848320633102</v>
      </c>
      <c r="F5081">
        <v>0.24793970680195901</v>
      </c>
      <c r="G5081">
        <v>0.14736120330212499</v>
      </c>
      <c r="H5081">
        <v>0.121120894928953</v>
      </c>
      <c r="I5081">
        <v>0.102468930510301</v>
      </c>
      <c r="J5081">
        <v>0.10685490247787301</v>
      </c>
      <c r="K5081">
        <v>0.12835519747176</v>
      </c>
      <c r="L5081">
        <v>972.62633791351402</v>
      </c>
      <c r="M5081">
        <v>20.4912937242065</v>
      </c>
      <c r="N5081">
        <v>48.095854032376501</v>
      </c>
      <c r="O5081">
        <v>47.020213941848702</v>
      </c>
      <c r="P5081">
        <v>-9.6119279528338902E-2</v>
      </c>
      <c r="Q5081">
        <v>0.11778787068407499</v>
      </c>
      <c r="R5081">
        <v>0.99349716512371999</v>
      </c>
      <c r="S5081" t="s">
        <v>11727</v>
      </c>
      <c r="T5081" t="s">
        <v>13290</v>
      </c>
      <c r="U5081" t="s">
        <v>13290</v>
      </c>
      <c r="V5081" t="s">
        <v>13290</v>
      </c>
      <c r="W5081" t="s">
        <v>18321</v>
      </c>
      <c r="X5081">
        <v>6</v>
      </c>
      <c r="Y5081" t="s">
        <v>24802</v>
      </c>
      <c r="Z5081" t="s">
        <v>31411</v>
      </c>
      <c r="AA5081">
        <v>0.34937656696981528</v>
      </c>
      <c r="AB5081" t="str">
        <f>HYPERLINK("Melting_Curves/meltCurve_Q96G28_CCDC104.pdf", "Melting_Curves/meltCurve_Q96G28_CCDC104.pdf")</f>
        <v>Melting_Curves/meltCurve_Q96G28_CCDC104.pdf</v>
      </c>
    </row>
    <row r="5082" spans="1:28" x14ac:dyDescent="0.25">
      <c r="A5082" t="s">
        <v>5086</v>
      </c>
      <c r="B5082">
        <v>0.99252571173614901</v>
      </c>
      <c r="C5082">
        <v>1.00220661943177</v>
      </c>
      <c r="D5082">
        <v>0.85892481183385305</v>
      </c>
      <c r="E5082">
        <v>0.58195209475534704</v>
      </c>
      <c r="F5082">
        <v>0.19090438645607899</v>
      </c>
      <c r="G5082">
        <v>0.10296670900218199</v>
      </c>
      <c r="H5082">
        <v>7.5798018661049904E-2</v>
      </c>
      <c r="I5082">
        <v>8.1427914367121504E-2</v>
      </c>
      <c r="J5082">
        <v>9.7176075301184994E-2</v>
      </c>
      <c r="K5082">
        <v>0.100650999678414</v>
      </c>
      <c r="L5082">
        <v>1312.6283449309601</v>
      </c>
      <c r="M5082">
        <v>26.4158493906952</v>
      </c>
      <c r="N5082">
        <v>50.023505051507698</v>
      </c>
      <c r="O5082">
        <v>49.408790544728397</v>
      </c>
      <c r="P5082">
        <v>-0.122897461103779</v>
      </c>
      <c r="Q5082">
        <v>8.0529480060874195E-2</v>
      </c>
      <c r="R5082">
        <v>0.99686820478650195</v>
      </c>
      <c r="S5082" t="s">
        <v>11728</v>
      </c>
      <c r="T5082" t="s">
        <v>13290</v>
      </c>
      <c r="U5082" t="s">
        <v>13290</v>
      </c>
      <c r="V5082" t="s">
        <v>13290</v>
      </c>
      <c r="W5082" t="s">
        <v>18322</v>
      </c>
      <c r="X5082">
        <v>16</v>
      </c>
      <c r="Y5082" t="s">
        <v>24803</v>
      </c>
      <c r="Z5082" t="s">
        <v>31412</v>
      </c>
      <c r="AA5082">
        <v>0.38487461420291857</v>
      </c>
      <c r="AB5082" t="str">
        <f>HYPERLINK("Melting_Curves/meltCurve_Q96G46_DUS3L.pdf", "Melting_Curves/meltCurve_Q96G46_DUS3L.pdf")</f>
        <v>Melting_Curves/meltCurve_Q96G46_DUS3L.pdf</v>
      </c>
    </row>
    <row r="5083" spans="1:28" x14ac:dyDescent="0.25">
      <c r="A5083" t="s">
        <v>5087</v>
      </c>
      <c r="B5083">
        <v>0.99252571173614901</v>
      </c>
      <c r="C5083">
        <v>1.0300783707463299</v>
      </c>
      <c r="D5083">
        <v>0.842918317567247</v>
      </c>
      <c r="E5083">
        <v>0.66346099382860102</v>
      </c>
      <c r="F5083">
        <v>0.38778057963120899</v>
      </c>
      <c r="G5083">
        <v>0.25531360114966301</v>
      </c>
      <c r="H5083">
        <v>0.18149593572247499</v>
      </c>
      <c r="I5083">
        <v>0.21153530372120199</v>
      </c>
      <c r="J5083">
        <v>0.309361720672719</v>
      </c>
      <c r="K5083">
        <v>0.37872333876008002</v>
      </c>
      <c r="L5083">
        <v>1187.9928468625701</v>
      </c>
      <c r="M5083">
        <v>23.945131522137199</v>
      </c>
      <c r="N5083">
        <v>51.188625506874601</v>
      </c>
      <c r="O5083">
        <v>49.270981970047103</v>
      </c>
      <c r="P5083">
        <v>-8.9821348685899596E-2</v>
      </c>
      <c r="Q5083">
        <v>0.26072397498952998</v>
      </c>
      <c r="R5083">
        <v>0.96402811121652299</v>
      </c>
      <c r="S5083" t="s">
        <v>11729</v>
      </c>
      <c r="T5083" t="s">
        <v>13290</v>
      </c>
      <c r="U5083" t="s">
        <v>13290</v>
      </c>
      <c r="V5083" t="s">
        <v>13290</v>
      </c>
      <c r="W5083" t="s">
        <v>18323</v>
      </c>
      <c r="X5083">
        <v>11</v>
      </c>
      <c r="Y5083" t="s">
        <v>24804</v>
      </c>
      <c r="Z5083" t="s">
        <v>31413</v>
      </c>
      <c r="AA5083">
        <v>0.50479965681035255</v>
      </c>
      <c r="AB5083" t="str">
        <f>HYPERLINK("Melting_Curves/meltCurve_Q96G74_3_OTUD5.pdf", "Melting_Curves/meltCurve_Q96G74_3_OTUD5.pdf")</f>
        <v>Melting_Curves/meltCurve_Q96G74_3_OTUD5.pdf</v>
      </c>
    </row>
    <row r="5084" spans="1:28" x14ac:dyDescent="0.25">
      <c r="A5084" t="s">
        <v>5088</v>
      </c>
      <c r="B5084">
        <v>0.99252571173614901</v>
      </c>
      <c r="C5084">
        <v>0.99149889150034898</v>
      </c>
      <c r="D5084">
        <v>0.99019057140833899</v>
      </c>
      <c r="E5084">
        <v>0.48134162278506198</v>
      </c>
      <c r="F5084">
        <v>0.14371988771682501</v>
      </c>
      <c r="G5084">
        <v>9.8329610486964203E-2</v>
      </c>
      <c r="H5084">
        <v>8.4133974697097005E-2</v>
      </c>
      <c r="I5084">
        <v>7.41543564685581E-2</v>
      </c>
      <c r="J5084">
        <v>0.100135759230129</v>
      </c>
      <c r="K5084">
        <v>0.169247477076261</v>
      </c>
      <c r="L5084">
        <v>2537.8489160643999</v>
      </c>
      <c r="M5084">
        <v>51.483094131528098</v>
      </c>
      <c r="N5084">
        <v>49.5285960641435</v>
      </c>
      <c r="O5084">
        <v>49.220594753478601</v>
      </c>
      <c r="P5084">
        <v>-0.233284123784369</v>
      </c>
      <c r="Q5084">
        <v>0.107872208665714</v>
      </c>
      <c r="R5084">
        <v>0.996047966217527</v>
      </c>
      <c r="S5084" t="s">
        <v>11730</v>
      </c>
      <c r="T5084" t="s">
        <v>13290</v>
      </c>
      <c r="U5084" t="s">
        <v>13290</v>
      </c>
      <c r="V5084" t="s">
        <v>13290</v>
      </c>
      <c r="W5084" t="s">
        <v>18324</v>
      </c>
      <c r="X5084">
        <v>2</v>
      </c>
      <c r="Y5084" t="s">
        <v>24805</v>
      </c>
      <c r="Z5084" t="s">
        <v>31414</v>
      </c>
      <c r="AA5084">
        <v>0.38610645682015371</v>
      </c>
      <c r="AB5084" t="str">
        <f>HYPERLINK("Melting_Curves/meltCurve_Q96GA3_LTV1.pdf", "Melting_Curves/meltCurve_Q96GA3_LTV1.pdf")</f>
        <v>Melting_Curves/meltCurve_Q96GA3_LTV1.pdf</v>
      </c>
    </row>
    <row r="5085" spans="1:28" x14ac:dyDescent="0.25">
      <c r="A5085" t="s">
        <v>5089</v>
      </c>
      <c r="B5085">
        <v>0.99252571173614901</v>
      </c>
      <c r="C5085">
        <v>1.0540593454325899</v>
      </c>
      <c r="D5085">
        <v>0.95008598739487105</v>
      </c>
      <c r="E5085">
        <v>0.87621190345470801</v>
      </c>
      <c r="F5085">
        <v>0.68603740145287495</v>
      </c>
      <c r="G5085">
        <v>0.59538038476077504</v>
      </c>
      <c r="H5085">
        <v>0.54638936619252099</v>
      </c>
      <c r="I5085">
        <v>0.53297425355059302</v>
      </c>
      <c r="J5085">
        <v>0.53226564238840202</v>
      </c>
      <c r="K5085">
        <v>0.440844691815173</v>
      </c>
      <c r="L5085">
        <v>978.59938250441701</v>
      </c>
      <c r="M5085">
        <v>18.729645902332798</v>
      </c>
      <c r="O5085">
        <v>51.663998714937698</v>
      </c>
      <c r="P5085">
        <v>-4.5628971858266303E-2</v>
      </c>
      <c r="Q5085">
        <v>0.49656801275905099</v>
      </c>
      <c r="R5085">
        <v>0.97865445528510797</v>
      </c>
      <c r="S5085" t="s">
        <v>11731</v>
      </c>
      <c r="T5085" t="s">
        <v>13290</v>
      </c>
      <c r="U5085" t="s">
        <v>13290</v>
      </c>
      <c r="V5085" t="s">
        <v>13290</v>
      </c>
      <c r="W5085" t="s">
        <v>18325</v>
      </c>
      <c r="X5085">
        <v>4</v>
      </c>
      <c r="Y5085" t="s">
        <v>24806</v>
      </c>
      <c r="Z5085" t="s">
        <v>31415</v>
      </c>
      <c r="AA5085">
        <v>0.70991700482196762</v>
      </c>
      <c r="AB5085" t="str">
        <f>HYPERLINK("Melting_Curves/meltCurve_Q96GA7_SDSL.pdf", "Melting_Curves/meltCurve_Q96GA7_SDSL.pdf")</f>
        <v>Melting_Curves/meltCurve_Q96GA7_SDSL.pdf</v>
      </c>
    </row>
    <row r="5086" spans="1:28" x14ac:dyDescent="0.25">
      <c r="A5086" t="s">
        <v>5090</v>
      </c>
      <c r="B5086">
        <v>0.99252571173614901</v>
      </c>
      <c r="C5086">
        <v>1.07118495950781</v>
      </c>
      <c r="D5086">
        <v>0.98897896646245198</v>
      </c>
      <c r="E5086">
        <v>0.93901434557279095</v>
      </c>
      <c r="F5086">
        <v>0.784805686489493</v>
      </c>
      <c r="G5086">
        <v>0.69492452530909599</v>
      </c>
      <c r="H5086">
        <v>0.67329300435517503</v>
      </c>
      <c r="I5086">
        <v>0.82016196741540204</v>
      </c>
      <c r="J5086">
        <v>1.00885050583598</v>
      </c>
      <c r="K5086">
        <v>0.91400186590807797</v>
      </c>
      <c r="L5086">
        <v>12434.7999137835</v>
      </c>
      <c r="M5086">
        <v>250</v>
      </c>
      <c r="O5086">
        <v>49.736016740294502</v>
      </c>
      <c r="P5086">
        <v>-0.23121290520299301</v>
      </c>
      <c r="Q5086">
        <v>0.81600625767254797</v>
      </c>
      <c r="R5086">
        <v>0.48561281679569801</v>
      </c>
      <c r="S5086" t="s">
        <v>11732</v>
      </c>
      <c r="T5086" t="s">
        <v>13290</v>
      </c>
      <c r="U5086" t="s">
        <v>13290</v>
      </c>
      <c r="V5086" t="s">
        <v>13290</v>
      </c>
      <c r="W5086" t="s">
        <v>18326</v>
      </c>
      <c r="X5086">
        <v>21</v>
      </c>
      <c r="Y5086" t="s">
        <v>24807</v>
      </c>
      <c r="Z5086" t="s">
        <v>31416</v>
      </c>
      <c r="AA5086">
        <v>0.87575404516029998</v>
      </c>
      <c r="AB5086" t="str">
        <f>HYPERLINK("Melting_Curves/meltCurve_Q96GD0_PDXP.pdf", "Melting_Curves/meltCurve_Q96GD0_PDXP.pdf")</f>
        <v>Melting_Curves/meltCurve_Q96GD0_PDXP.pdf</v>
      </c>
    </row>
    <row r="5087" spans="1:28" x14ac:dyDescent="0.25">
      <c r="A5087" t="s">
        <v>5091</v>
      </c>
      <c r="B5087">
        <v>0.99252571173614901</v>
      </c>
      <c r="C5087">
        <v>0.86176500811251699</v>
      </c>
      <c r="D5087">
        <v>0.836182241725418</v>
      </c>
      <c r="E5087">
        <v>0.84229791632443995</v>
      </c>
      <c r="F5087">
        <v>0.41473714512166698</v>
      </c>
      <c r="G5087">
        <v>0.34289776173230702</v>
      </c>
      <c r="H5087">
        <v>0.289091341971005</v>
      </c>
      <c r="I5087">
        <v>0.32502011694031901</v>
      </c>
      <c r="J5087">
        <v>0.39249896413358398</v>
      </c>
      <c r="K5087">
        <v>0.276241003139791</v>
      </c>
      <c r="S5087" t="s">
        <v>11733</v>
      </c>
      <c r="T5087" t="s">
        <v>13290</v>
      </c>
      <c r="U5087" t="s">
        <v>13291</v>
      </c>
      <c r="V5087" t="s">
        <v>13290</v>
      </c>
      <c r="W5087" t="s">
        <v>18327</v>
      </c>
      <c r="X5087">
        <v>1</v>
      </c>
      <c r="Y5087" t="s">
        <v>24808</v>
      </c>
      <c r="Z5087" t="s">
        <v>31417</v>
      </c>
      <c r="AB5087" t="str">
        <f>HYPERLINK("Melting_Curves/meltCurve_Q96GF1_RNF185.pdf", "Melting_Curves/meltCurve_Q96GF1_RNF185.pdf")</f>
        <v>Melting_Curves/meltCurve_Q96GF1_RNF185.pdf</v>
      </c>
    </row>
    <row r="5088" spans="1:28" x14ac:dyDescent="0.25">
      <c r="A5088" t="s">
        <v>5092</v>
      </c>
      <c r="B5088">
        <v>0.99252571173614901</v>
      </c>
      <c r="C5088">
        <v>0.92522687636175105</v>
      </c>
      <c r="D5088">
        <v>0.87051074058455302</v>
      </c>
      <c r="E5088">
        <v>0.79401779424117203</v>
      </c>
      <c r="F5088">
        <v>0.207891335150099</v>
      </c>
      <c r="G5088">
        <v>9.6711077384568397E-2</v>
      </c>
      <c r="H5088">
        <v>5.97771038371918E-2</v>
      </c>
      <c r="I5088">
        <v>5.6554864910512197E-2</v>
      </c>
      <c r="J5088">
        <v>7.0787309802789397E-2</v>
      </c>
      <c r="K5088">
        <v>6.6870522204270297E-2</v>
      </c>
      <c r="L5088">
        <v>1990.0068875750201</v>
      </c>
      <c r="M5088">
        <v>38.978859900552102</v>
      </c>
      <c r="N5088">
        <v>51.233332137374198</v>
      </c>
      <c r="O5088">
        <v>50.919669568071001</v>
      </c>
      <c r="P5088">
        <v>-0.17913848947896399</v>
      </c>
      <c r="Q5088">
        <v>6.3938579417008895E-2</v>
      </c>
      <c r="R5088">
        <v>0.98720142243222297</v>
      </c>
      <c r="S5088" t="s">
        <v>11734</v>
      </c>
      <c r="T5088" t="s">
        <v>13290</v>
      </c>
      <c r="U5088" t="s">
        <v>13290</v>
      </c>
      <c r="V5088" t="s">
        <v>13290</v>
      </c>
      <c r="W5088" t="s">
        <v>18328</v>
      </c>
      <c r="X5088">
        <v>10</v>
      </c>
      <c r="Y5088" t="s">
        <v>24809</v>
      </c>
      <c r="Z5088" t="s">
        <v>31418</v>
      </c>
      <c r="AA5088">
        <v>0.41230979766267267</v>
      </c>
      <c r="AB5088" t="str">
        <f>HYPERLINK("Melting_Curves/meltCurve_Q96GG9_DCUN1D1.pdf", "Melting_Curves/meltCurve_Q96GG9_DCUN1D1.pdf")</f>
        <v>Melting_Curves/meltCurve_Q96GG9_DCUN1D1.pdf</v>
      </c>
    </row>
    <row r="5089" spans="1:28" x14ac:dyDescent="0.25">
      <c r="A5089" t="s">
        <v>5093</v>
      </c>
      <c r="B5089">
        <v>0.99252571173614901</v>
      </c>
      <c r="C5089">
        <v>1.0317819189307</v>
      </c>
      <c r="D5089">
        <v>0.93331177763183504</v>
      </c>
      <c r="E5089">
        <v>0.78818483393107597</v>
      </c>
      <c r="F5089">
        <v>0.78973200523708897</v>
      </c>
      <c r="G5089">
        <v>0.65312321718370403</v>
      </c>
      <c r="H5089">
        <v>0.491560357641532</v>
      </c>
      <c r="I5089">
        <v>0.33591760569450302</v>
      </c>
      <c r="J5089">
        <v>0.34711532674714701</v>
      </c>
      <c r="K5089">
        <v>0.33380196735943701</v>
      </c>
      <c r="L5089">
        <v>586.73914713303395</v>
      </c>
      <c r="M5089">
        <v>10.219268675023599</v>
      </c>
      <c r="N5089">
        <v>60.297942147175</v>
      </c>
      <c r="O5089">
        <v>55.346694273637397</v>
      </c>
      <c r="P5089">
        <v>-3.7256064123501298E-2</v>
      </c>
      <c r="Q5089">
        <v>0.193258426317864</v>
      </c>
      <c r="R5089">
        <v>0.97520646711894299</v>
      </c>
      <c r="S5089" t="s">
        <v>11735</v>
      </c>
      <c r="T5089" t="s">
        <v>13290</v>
      </c>
      <c r="U5089" t="s">
        <v>13290</v>
      </c>
      <c r="V5089" t="s">
        <v>13290</v>
      </c>
      <c r="W5089" t="s">
        <v>18329</v>
      </c>
      <c r="X5089">
        <v>18</v>
      </c>
      <c r="Y5089" t="s">
        <v>24810</v>
      </c>
      <c r="Z5089" t="s">
        <v>31419</v>
      </c>
      <c r="AA5089">
        <v>0.67266584654723482</v>
      </c>
      <c r="AB5089" t="str">
        <f>HYPERLINK("Melting_Curves/meltCurve_Q96GK7_FAHD2A.pdf", "Melting_Curves/meltCurve_Q96GK7_FAHD2A.pdf")</f>
        <v>Melting_Curves/meltCurve_Q96GK7_FAHD2A.pdf</v>
      </c>
    </row>
    <row r="5090" spans="1:28" x14ac:dyDescent="0.25">
      <c r="A5090" t="s">
        <v>5094</v>
      </c>
      <c r="B5090">
        <v>0.99252571173614901</v>
      </c>
      <c r="C5090">
        <v>1.00434919817935</v>
      </c>
      <c r="D5090">
        <v>0.86682019865485105</v>
      </c>
      <c r="E5090">
        <v>0.74726523006580303</v>
      </c>
      <c r="F5090">
        <v>0.46305012968658799</v>
      </c>
      <c r="G5090">
        <v>0.362430599782191</v>
      </c>
      <c r="H5090">
        <v>0.202478495378935</v>
      </c>
      <c r="I5090">
        <v>0.21055534741387599</v>
      </c>
      <c r="J5090">
        <v>8.8706217977472301E-2</v>
      </c>
      <c r="K5090">
        <v>6.8327545757959907E-2</v>
      </c>
      <c r="L5090">
        <v>683.61596691730801</v>
      </c>
      <c r="M5090">
        <v>12.902893092779401</v>
      </c>
      <c r="N5090">
        <v>53.477934200931003</v>
      </c>
      <c r="O5090">
        <v>51.757387479089203</v>
      </c>
      <c r="P5090">
        <v>-5.8817685328033602E-2</v>
      </c>
      <c r="Q5090">
        <v>5.6429882363701597E-2</v>
      </c>
      <c r="R5090">
        <v>0.99036689627760899</v>
      </c>
      <c r="S5090" t="s">
        <v>11736</v>
      </c>
      <c r="T5090" t="s">
        <v>13290</v>
      </c>
      <c r="U5090" t="s">
        <v>13290</v>
      </c>
      <c r="V5090" t="s">
        <v>13290</v>
      </c>
      <c r="W5090" t="s">
        <v>18330</v>
      </c>
      <c r="X5090">
        <v>4</v>
      </c>
      <c r="Y5090" t="s">
        <v>24811</v>
      </c>
      <c r="Z5090" t="s">
        <v>31420</v>
      </c>
      <c r="AA5090">
        <v>0.48945493143210139</v>
      </c>
      <c r="AB5090" t="str">
        <f>HYPERLINK("Melting_Curves/meltCurve_Q96GM8_TOE1.pdf", "Melting_Curves/meltCurve_Q96GM8_TOE1.pdf")</f>
        <v>Melting_Curves/meltCurve_Q96GM8_TOE1.pdf</v>
      </c>
    </row>
    <row r="5091" spans="1:28" x14ac:dyDescent="0.25">
      <c r="A5091" t="s">
        <v>5095</v>
      </c>
      <c r="B5091">
        <v>0.99252571173614901</v>
      </c>
      <c r="C5091">
        <v>1.1245074234494199</v>
      </c>
      <c r="D5091">
        <v>1.38166243005722</v>
      </c>
      <c r="E5091">
        <v>1.5931978540642</v>
      </c>
      <c r="F5091">
        <v>0.28255085723022499</v>
      </c>
      <c r="G5091">
        <v>0.20375857475606499</v>
      </c>
      <c r="H5091">
        <v>0.14393112065215699</v>
      </c>
      <c r="I5091">
        <v>0.13738549574297601</v>
      </c>
      <c r="J5091">
        <v>9.8989175142358096E-2</v>
      </c>
      <c r="K5091">
        <v>8.3973633272042797E-2</v>
      </c>
      <c r="L5091">
        <v>13216.362487680801</v>
      </c>
      <c r="M5091">
        <v>250</v>
      </c>
      <c r="N5091">
        <v>52.9312772689076</v>
      </c>
      <c r="O5091">
        <v>52.862063202474502</v>
      </c>
      <c r="P5091">
        <v>-1.0243550956735901</v>
      </c>
      <c r="Q5091">
        <v>0.13360755919272399</v>
      </c>
      <c r="R5091">
        <v>0.83812404255370598</v>
      </c>
      <c r="S5091" t="s">
        <v>11737</v>
      </c>
      <c r="T5091" t="s">
        <v>13290</v>
      </c>
      <c r="U5091" t="s">
        <v>13290</v>
      </c>
      <c r="V5091" t="s">
        <v>13290</v>
      </c>
      <c r="W5091" t="s">
        <v>18331</v>
      </c>
      <c r="X5091">
        <v>9</v>
      </c>
      <c r="Y5091" t="s">
        <v>24812</v>
      </c>
      <c r="Z5091" t="s">
        <v>31421</v>
      </c>
      <c r="AA5091">
        <v>0.50523889421659052</v>
      </c>
      <c r="AB5091" t="str">
        <f>HYPERLINK("Melting_Curves/meltCurve_Q96GQ7_DDX27.pdf", "Melting_Curves/meltCurve_Q96GQ7_DDX27.pdf")</f>
        <v>Melting_Curves/meltCurve_Q96GQ7_DDX27.pdf</v>
      </c>
    </row>
    <row r="5092" spans="1:28" x14ac:dyDescent="0.25">
      <c r="A5092" t="s">
        <v>5096</v>
      </c>
      <c r="B5092">
        <v>0.99252571173614901</v>
      </c>
      <c r="C5092">
        <v>1.04587331302471</v>
      </c>
      <c r="D5092">
        <v>0.95111701214835698</v>
      </c>
      <c r="E5092">
        <v>0.95001531206684897</v>
      </c>
      <c r="F5092">
        <v>0.81242061534184795</v>
      </c>
      <c r="G5092">
        <v>0.55559976205123096</v>
      </c>
      <c r="H5092">
        <v>0.25041035548113399</v>
      </c>
      <c r="I5092">
        <v>0.198870193435387</v>
      </c>
      <c r="J5092">
        <v>0.20411862585924101</v>
      </c>
      <c r="K5092">
        <v>0.19969811410741001</v>
      </c>
      <c r="L5092">
        <v>1354.3752835621699</v>
      </c>
      <c r="M5092">
        <v>24.145613106954801</v>
      </c>
      <c r="N5092">
        <v>57.110017341446799</v>
      </c>
      <c r="O5092">
        <v>55.711483117518398</v>
      </c>
      <c r="P5092">
        <v>-8.9403983873212203E-2</v>
      </c>
      <c r="Q5092">
        <v>0.174880923799793</v>
      </c>
      <c r="R5092">
        <v>0.99397256240548704</v>
      </c>
      <c r="S5092" t="s">
        <v>11738</v>
      </c>
      <c r="T5092" t="s">
        <v>13290</v>
      </c>
      <c r="U5092" t="s">
        <v>13290</v>
      </c>
      <c r="V5092" t="s">
        <v>13290</v>
      </c>
      <c r="W5092" t="s">
        <v>18332</v>
      </c>
      <c r="X5092">
        <v>17</v>
      </c>
      <c r="Y5092" t="s">
        <v>24813</v>
      </c>
      <c r="Z5092" t="s">
        <v>31422</v>
      </c>
      <c r="AA5092">
        <v>0.62548109141941377</v>
      </c>
      <c r="AB5092" t="str">
        <f>HYPERLINK("Melting_Curves/meltCurve_Q96GS4_C17orf59.pdf", "Melting_Curves/meltCurve_Q96GS4_C17orf59.pdf")</f>
        <v>Melting_Curves/meltCurve_Q96GS4_C17orf59.pdf</v>
      </c>
    </row>
    <row r="5093" spans="1:28" x14ac:dyDescent="0.25">
      <c r="A5093" t="s">
        <v>5097</v>
      </c>
      <c r="B5093">
        <v>0.99252571173614901</v>
      </c>
      <c r="C5093">
        <v>0.98768121180868595</v>
      </c>
      <c r="D5093">
        <v>0.85078752830586002</v>
      </c>
      <c r="E5093">
        <v>0.77216959320473699</v>
      </c>
      <c r="F5093">
        <v>0.458065168689129</v>
      </c>
      <c r="G5093">
        <v>0.260387748688091</v>
      </c>
      <c r="H5093">
        <v>0.160186832030451</v>
      </c>
      <c r="I5093">
        <v>0.186201403446807</v>
      </c>
      <c r="J5093">
        <v>0.186548555988367</v>
      </c>
      <c r="K5093">
        <v>0.16796057249065999</v>
      </c>
      <c r="L5093">
        <v>984.89383882979701</v>
      </c>
      <c r="M5093">
        <v>19.096656912877499</v>
      </c>
      <c r="N5093">
        <v>52.585261052673097</v>
      </c>
      <c r="O5093">
        <v>51.018588686391702</v>
      </c>
      <c r="P5093">
        <v>-7.9200879933569807E-2</v>
      </c>
      <c r="Q5093">
        <v>0.153661438693834</v>
      </c>
      <c r="R5093">
        <v>0.99169800011412401</v>
      </c>
      <c r="S5093" t="s">
        <v>11739</v>
      </c>
      <c r="T5093" t="s">
        <v>13290</v>
      </c>
      <c r="U5093" t="s">
        <v>13290</v>
      </c>
      <c r="V5093" t="s">
        <v>13290</v>
      </c>
      <c r="W5093" t="s">
        <v>18333</v>
      </c>
      <c r="X5093">
        <v>3</v>
      </c>
      <c r="Y5093" t="s">
        <v>24814</v>
      </c>
      <c r="Z5093" t="s">
        <v>31423</v>
      </c>
      <c r="AA5093">
        <v>0.49293706278449168</v>
      </c>
      <c r="AB5093" t="str">
        <f>HYPERLINK("Melting_Curves/meltCurve_Q96GS6_ABHD17A.pdf", "Melting_Curves/meltCurve_Q96GS6_ABHD17A.pdf")</f>
        <v>Melting_Curves/meltCurve_Q96GS6_ABHD17A.pdf</v>
      </c>
    </row>
    <row r="5094" spans="1:28" x14ac:dyDescent="0.25">
      <c r="A5094" t="s">
        <v>5098</v>
      </c>
      <c r="B5094">
        <v>0.99252571173614901</v>
      </c>
      <c r="C5094">
        <v>0.96088713048920604</v>
      </c>
      <c r="D5094">
        <v>0.65951352004360297</v>
      </c>
      <c r="E5094">
        <v>0.39971758012683101</v>
      </c>
      <c r="F5094">
        <v>0.18639797790573501</v>
      </c>
      <c r="G5094">
        <v>0.10861754932960201</v>
      </c>
      <c r="H5094">
        <v>6.5348256240510605E-2</v>
      </c>
      <c r="I5094">
        <v>4.4163268464023797E-2</v>
      </c>
      <c r="J5094">
        <v>4.4501637954802602E-2</v>
      </c>
      <c r="K5094">
        <v>4.1091477790698397E-2</v>
      </c>
      <c r="L5094">
        <v>884.67011822322502</v>
      </c>
      <c r="M5094">
        <v>18.421133089445298</v>
      </c>
      <c r="N5094">
        <v>48.265295600209797</v>
      </c>
      <c r="O5094">
        <v>47.469516474102797</v>
      </c>
      <c r="P5094">
        <v>-9.2764270257786899E-2</v>
      </c>
      <c r="Q5094">
        <v>4.3864086190485201E-2</v>
      </c>
      <c r="R5094">
        <v>0.99544930954528699</v>
      </c>
      <c r="S5094" t="s">
        <v>11740</v>
      </c>
      <c r="T5094" t="s">
        <v>13290</v>
      </c>
      <c r="U5094" t="s">
        <v>13290</v>
      </c>
      <c r="V5094" t="s">
        <v>13290</v>
      </c>
      <c r="W5094" t="s">
        <v>18334</v>
      </c>
      <c r="X5094">
        <v>1</v>
      </c>
      <c r="Y5094" t="s">
        <v>24815</v>
      </c>
      <c r="Z5094" t="s">
        <v>31424</v>
      </c>
      <c r="AA5094">
        <v>0.31577363597301777</v>
      </c>
      <c r="AB5094" t="str">
        <f>HYPERLINK("Melting_Curves/meltCurve_Q96GV9_C5orf30.pdf", "Melting_Curves/meltCurve_Q96GV9_C5orf30.pdf")</f>
        <v>Melting_Curves/meltCurve_Q96GV9_C5orf30.pdf</v>
      </c>
    </row>
    <row r="5095" spans="1:28" x14ac:dyDescent="0.25">
      <c r="A5095" t="s">
        <v>5099</v>
      </c>
      <c r="B5095">
        <v>0.99252571173614901</v>
      </c>
      <c r="C5095">
        <v>1.03663811951401</v>
      </c>
      <c r="D5095">
        <v>0.989537786082619</v>
      </c>
      <c r="E5095">
        <v>1.0024981835510001</v>
      </c>
      <c r="F5095">
        <v>0.845404410888001</v>
      </c>
      <c r="G5095">
        <v>0.67797352013875101</v>
      </c>
      <c r="H5095">
        <v>0.343870342564151</v>
      </c>
      <c r="I5095">
        <v>0.13153760977026599</v>
      </c>
      <c r="J5095">
        <v>0.13664820467705499</v>
      </c>
      <c r="K5095">
        <v>0.13825168755701001</v>
      </c>
      <c r="L5095">
        <v>1304.2806851961</v>
      </c>
      <c r="M5095">
        <v>22.4852073686029</v>
      </c>
      <c r="N5095">
        <v>58.5204392040594</v>
      </c>
      <c r="O5095">
        <v>57.553203909321603</v>
      </c>
      <c r="P5095">
        <v>-8.8916828708790502E-2</v>
      </c>
      <c r="Q5095">
        <v>8.9651517594437999E-2</v>
      </c>
      <c r="R5095">
        <v>0.99337204485314001</v>
      </c>
      <c r="S5095" t="s">
        <v>11741</v>
      </c>
      <c r="T5095" t="s">
        <v>13290</v>
      </c>
      <c r="U5095" t="s">
        <v>13290</v>
      </c>
      <c r="V5095" t="s">
        <v>13290</v>
      </c>
      <c r="W5095" t="s">
        <v>18335</v>
      </c>
      <c r="X5095">
        <v>15</v>
      </c>
      <c r="Y5095" t="s">
        <v>24816</v>
      </c>
      <c r="Z5095" t="s">
        <v>31425</v>
      </c>
      <c r="AA5095">
        <v>0.64513089332670048</v>
      </c>
      <c r="AB5095" t="str">
        <f>HYPERLINK("Melting_Curves/meltCurve_Q96GW9_MARS2.pdf", "Melting_Curves/meltCurve_Q96GW9_MARS2.pdf")</f>
        <v>Melting_Curves/meltCurve_Q96GW9_MARS2.pdf</v>
      </c>
    </row>
    <row r="5096" spans="1:28" x14ac:dyDescent="0.25">
      <c r="A5096" t="s">
        <v>5100</v>
      </c>
      <c r="B5096">
        <v>0.99252571173614901</v>
      </c>
      <c r="C5096">
        <v>1.0419144904853801</v>
      </c>
      <c r="D5096">
        <v>0.79396609728844503</v>
      </c>
      <c r="E5096">
        <v>0.76215606575207195</v>
      </c>
      <c r="F5096">
        <v>0.38155206217229398</v>
      </c>
      <c r="G5096">
        <v>0.16408119848055999</v>
      </c>
      <c r="H5096">
        <v>0.102218641512486</v>
      </c>
      <c r="I5096">
        <v>9.8615779229867598E-2</v>
      </c>
      <c r="J5096">
        <v>8.1227320665596597E-2</v>
      </c>
      <c r="K5096">
        <v>9.5314944695657794E-2</v>
      </c>
      <c r="L5096">
        <v>1006.45943516102</v>
      </c>
      <c r="M5096">
        <v>19.567283964723</v>
      </c>
      <c r="N5096">
        <v>51.833355643149901</v>
      </c>
      <c r="O5096">
        <v>50.907639303438003</v>
      </c>
      <c r="P5096">
        <v>-8.9400086992610997E-2</v>
      </c>
      <c r="Q5096">
        <v>6.9674462007071794E-2</v>
      </c>
      <c r="R5096">
        <v>0.98301924237134497</v>
      </c>
      <c r="S5096" t="s">
        <v>11742</v>
      </c>
      <c r="T5096" t="s">
        <v>13290</v>
      </c>
      <c r="U5096" t="s">
        <v>13290</v>
      </c>
      <c r="V5096" t="s">
        <v>13290</v>
      </c>
      <c r="W5096" t="s">
        <v>18336</v>
      </c>
      <c r="X5096">
        <v>1</v>
      </c>
      <c r="Y5096" t="s">
        <v>24817</v>
      </c>
      <c r="Z5096" t="s">
        <v>31426</v>
      </c>
      <c r="AA5096">
        <v>0.43773571924181548</v>
      </c>
      <c r="AB5096" t="str">
        <f>HYPERLINK("Melting_Curves/meltCurve_Q96GX2_ATXN7L3B.pdf", "Melting_Curves/meltCurve_Q96GX2_ATXN7L3B.pdf")</f>
        <v>Melting_Curves/meltCurve_Q96GX2_ATXN7L3B.pdf</v>
      </c>
    </row>
    <row r="5097" spans="1:28" x14ac:dyDescent="0.25">
      <c r="A5097" t="s">
        <v>5101</v>
      </c>
      <c r="B5097">
        <v>0.99252571173614901</v>
      </c>
      <c r="C5097">
        <v>0.66088919814174596</v>
      </c>
      <c r="D5097">
        <v>0.38145047294960799</v>
      </c>
      <c r="E5097">
        <v>0.152875223150649</v>
      </c>
      <c r="F5097">
        <v>6.5144919145071006E-2</v>
      </c>
      <c r="G5097">
        <v>3.25392699028604E-2</v>
      </c>
      <c r="H5097">
        <v>2.0751988924375301E-2</v>
      </c>
      <c r="I5097">
        <v>1.6400688348178899E-2</v>
      </c>
      <c r="J5097">
        <v>1.85157339185055E-2</v>
      </c>
      <c r="K5097">
        <v>1.81110923505905E-2</v>
      </c>
      <c r="L5097">
        <v>912.21751791072995</v>
      </c>
      <c r="M5097">
        <v>20.4114985739029</v>
      </c>
      <c r="N5097">
        <v>44.786814161271501</v>
      </c>
      <c r="O5097">
        <v>44.269020295537302</v>
      </c>
      <c r="P5097">
        <v>-0.112819366624069</v>
      </c>
      <c r="Q5097">
        <v>2.1286386462161799E-2</v>
      </c>
      <c r="R5097">
        <v>0.99209217304012898</v>
      </c>
      <c r="S5097" t="s">
        <v>11743</v>
      </c>
      <c r="T5097" t="s">
        <v>13290</v>
      </c>
      <c r="U5097" t="s">
        <v>13290</v>
      </c>
      <c r="V5097" t="s">
        <v>13290</v>
      </c>
      <c r="W5097" t="s">
        <v>18337</v>
      </c>
      <c r="X5097">
        <v>3</v>
      </c>
      <c r="Y5097" t="s">
        <v>24818</v>
      </c>
      <c r="Z5097" t="s">
        <v>31427</v>
      </c>
      <c r="AA5097">
        <v>0.1907334352317058</v>
      </c>
      <c r="AB5097" t="str">
        <f>HYPERLINK("Melting_Curves/meltCurve_Q96GX5_2_MASTL.pdf", "Melting_Curves/meltCurve_Q96GX5_2_MASTL.pdf")</f>
        <v>Melting_Curves/meltCurve_Q96GX5_2_MASTL.pdf</v>
      </c>
    </row>
    <row r="5098" spans="1:28" x14ac:dyDescent="0.25">
      <c r="A5098" t="s">
        <v>5102</v>
      </c>
      <c r="B5098">
        <v>0.99252571173614901</v>
      </c>
      <c r="C5098">
        <v>1.0461145846842199</v>
      </c>
      <c r="D5098">
        <v>1.00233633059687</v>
      </c>
      <c r="E5098">
        <v>1.0763027800665399</v>
      </c>
      <c r="F5098">
        <v>0.94973574614504097</v>
      </c>
      <c r="G5098">
        <v>0.73131742188931304</v>
      </c>
      <c r="H5098">
        <v>0.85651707345189698</v>
      </c>
      <c r="I5098">
        <v>1.17190054343424</v>
      </c>
      <c r="J5098">
        <v>1.59181605650712</v>
      </c>
      <c r="K5098">
        <v>1.4573412228222999</v>
      </c>
      <c r="L5098">
        <v>15000</v>
      </c>
      <c r="M5098">
        <v>233.728722891041</v>
      </c>
      <c r="O5098">
        <v>64.172266122744304</v>
      </c>
      <c r="P5098">
        <v>0.45527596505547602</v>
      </c>
      <c r="Q5098">
        <v>1.5</v>
      </c>
      <c r="R5098">
        <v>0.81550163887819904</v>
      </c>
      <c r="S5098" t="s">
        <v>11744</v>
      </c>
      <c r="T5098" t="s">
        <v>13290</v>
      </c>
      <c r="U5098" t="s">
        <v>13290</v>
      </c>
      <c r="V5098" t="s">
        <v>13290</v>
      </c>
      <c r="W5098" t="s">
        <v>18338</v>
      </c>
      <c r="X5098">
        <v>14</v>
      </c>
      <c r="Y5098" t="s">
        <v>20959</v>
      </c>
      <c r="Z5098" t="s">
        <v>31428</v>
      </c>
      <c r="AA5098">
        <v>1.0969861576414961</v>
      </c>
      <c r="AB5098" t="str">
        <f>HYPERLINK("Melting_Curves/meltCurve_Q96GX9_3_APIP.pdf", "Melting_Curves/meltCurve_Q96GX9_3_APIP.pdf")</f>
        <v>Melting_Curves/meltCurve_Q96GX9_3_APIP.pdf</v>
      </c>
    </row>
    <row r="5099" spans="1:28" x14ac:dyDescent="0.25">
      <c r="A5099" t="s">
        <v>5103</v>
      </c>
      <c r="B5099">
        <v>0.99252571173614901</v>
      </c>
      <c r="C5099">
        <v>1.0271248308979699</v>
      </c>
      <c r="D5099">
        <v>0.95866964539688004</v>
      </c>
      <c r="E5099">
        <v>0.99437380226356697</v>
      </c>
      <c r="F5099">
        <v>0.72596126140387796</v>
      </c>
      <c r="G5099">
        <v>0.57158222156289595</v>
      </c>
      <c r="H5099">
        <v>0.49952904192078501</v>
      </c>
      <c r="I5099">
        <v>0.48907127758427998</v>
      </c>
      <c r="J5099">
        <v>0.55174269720381397</v>
      </c>
      <c r="K5099">
        <v>0.52809245325639698</v>
      </c>
      <c r="L5099">
        <v>2267.2567558258302</v>
      </c>
      <c r="M5099">
        <v>42.8400056334347</v>
      </c>
      <c r="O5099">
        <v>52.8088892189066</v>
      </c>
      <c r="P5099">
        <v>-9.7000157243575802E-2</v>
      </c>
      <c r="Q5099">
        <v>0.52171225148550804</v>
      </c>
      <c r="R5099">
        <v>0.98737733885854995</v>
      </c>
      <c r="S5099" t="s">
        <v>11745</v>
      </c>
      <c r="T5099" t="s">
        <v>13290</v>
      </c>
      <c r="U5099" t="s">
        <v>13290</v>
      </c>
      <c r="V5099" t="s">
        <v>13290</v>
      </c>
      <c r="W5099" t="s">
        <v>18339</v>
      </c>
      <c r="X5099">
        <v>4</v>
      </c>
      <c r="Y5099" t="s">
        <v>24819</v>
      </c>
      <c r="Z5099" t="s">
        <v>31429</v>
      </c>
      <c r="AA5099">
        <v>0.72927879164697329</v>
      </c>
      <c r="AB5099" t="str">
        <f>HYPERLINK("Melting_Curves/meltCurve_Q96GY0_ZC2HC1A.pdf", "Melting_Curves/meltCurve_Q96GY0_ZC2HC1A.pdf")</f>
        <v>Melting_Curves/meltCurve_Q96GY0_ZC2HC1A.pdf</v>
      </c>
    </row>
    <row r="5100" spans="1:28" x14ac:dyDescent="0.25">
      <c r="A5100" t="s">
        <v>5104</v>
      </c>
      <c r="B5100">
        <v>0.99252571173614901</v>
      </c>
      <c r="C5100">
        <v>1.0220277009715499</v>
      </c>
      <c r="D5100">
        <v>0.76466991715438903</v>
      </c>
      <c r="E5100">
        <v>0.77136724412656699</v>
      </c>
      <c r="F5100">
        <v>0.60998095582981104</v>
      </c>
      <c r="G5100">
        <v>0.35948256564937298</v>
      </c>
      <c r="H5100">
        <v>0.29255836808500901</v>
      </c>
      <c r="I5100">
        <v>0.31970639877888601</v>
      </c>
      <c r="J5100">
        <v>0.250452778827991</v>
      </c>
      <c r="K5100">
        <v>0.38520198300091102</v>
      </c>
      <c r="L5100">
        <v>744.13547359847496</v>
      </c>
      <c r="M5100">
        <v>14.506707105290401</v>
      </c>
      <c r="N5100">
        <v>54.294741208720303</v>
      </c>
      <c r="O5100">
        <v>50.350739368512002</v>
      </c>
      <c r="P5100">
        <v>-5.2182464429780202E-2</v>
      </c>
      <c r="Q5100">
        <v>0.27561114522513502</v>
      </c>
      <c r="R5100">
        <v>0.94632413263564596</v>
      </c>
      <c r="S5100" t="s">
        <v>11746</v>
      </c>
      <c r="T5100" t="s">
        <v>13290</v>
      </c>
      <c r="U5100" t="s">
        <v>13290</v>
      </c>
      <c r="V5100" t="s">
        <v>13290</v>
      </c>
      <c r="W5100" t="s">
        <v>18340</v>
      </c>
      <c r="X5100">
        <v>2</v>
      </c>
      <c r="Y5100" t="s">
        <v>24820</v>
      </c>
      <c r="Z5100" t="s">
        <v>31430</v>
      </c>
      <c r="AA5100">
        <v>0.56585857865489997</v>
      </c>
      <c r="AB5100" t="str">
        <f>HYPERLINK("Melting_Curves/meltCurve_Q96GZ6_6_SLC41A3.pdf", "Melting_Curves/meltCurve_Q96GZ6_6_SLC41A3.pdf")</f>
        <v>Melting_Curves/meltCurve_Q96GZ6_6_SLC41A3.pdf</v>
      </c>
    </row>
    <row r="5101" spans="1:28" x14ac:dyDescent="0.25">
      <c r="A5101" t="s">
        <v>5105</v>
      </c>
      <c r="B5101">
        <v>0.99252571173614901</v>
      </c>
      <c r="C5101">
        <v>0.98677000673487003</v>
      </c>
      <c r="D5101">
        <v>0.91600224668548502</v>
      </c>
      <c r="E5101">
        <v>0.73137320185235999</v>
      </c>
      <c r="F5101">
        <v>0.414364633565244</v>
      </c>
      <c r="G5101">
        <v>0.127673064810294</v>
      </c>
      <c r="H5101">
        <v>6.5405835295519493E-2</v>
      </c>
      <c r="I5101">
        <v>6.7539755416169203E-2</v>
      </c>
      <c r="J5101">
        <v>7.3761426360485605E-2</v>
      </c>
      <c r="K5101">
        <v>7.9706325862680893E-2</v>
      </c>
      <c r="L5101">
        <v>1152.7334057493499</v>
      </c>
      <c r="M5101">
        <v>22.295225848963099</v>
      </c>
      <c r="N5101">
        <v>51.969799054777702</v>
      </c>
      <c r="O5101">
        <v>51.292588056705902</v>
      </c>
      <c r="P5101">
        <v>-0.102796057502528</v>
      </c>
      <c r="Q5101">
        <v>5.4046064704579497E-2</v>
      </c>
      <c r="R5101">
        <v>0.997107865708589</v>
      </c>
      <c r="S5101" t="s">
        <v>11747</v>
      </c>
      <c r="T5101" t="s">
        <v>13290</v>
      </c>
      <c r="U5101" t="s">
        <v>13290</v>
      </c>
      <c r="V5101" t="s">
        <v>13290</v>
      </c>
      <c r="W5101" t="s">
        <v>18341</v>
      </c>
      <c r="X5101">
        <v>8</v>
      </c>
      <c r="Y5101" t="s">
        <v>24821</v>
      </c>
      <c r="Z5101" t="s">
        <v>31431</v>
      </c>
      <c r="AA5101">
        <v>0.43378505484857088</v>
      </c>
      <c r="AB5101" t="str">
        <f>HYPERLINK("Melting_Curves/meltCurve_Q96H20_SNF8.pdf", "Melting_Curves/meltCurve_Q96H20_SNF8.pdf")</f>
        <v>Melting_Curves/meltCurve_Q96H20_SNF8.pdf</v>
      </c>
    </row>
    <row r="5102" spans="1:28" x14ac:dyDescent="0.25">
      <c r="A5102" t="s">
        <v>5106</v>
      </c>
      <c r="B5102">
        <v>0.99252571173614901</v>
      </c>
      <c r="C5102">
        <v>1.13021430945493</v>
      </c>
      <c r="D5102">
        <v>0.94012564692970502</v>
      </c>
      <c r="E5102">
        <v>0.75027706818026896</v>
      </c>
      <c r="F5102">
        <v>0.25695443954343</v>
      </c>
      <c r="G5102">
        <v>0.17206001751080599</v>
      </c>
      <c r="H5102">
        <v>0.14660585019894401</v>
      </c>
      <c r="I5102">
        <v>0.168880227627659</v>
      </c>
      <c r="J5102">
        <v>0.21923162116214301</v>
      </c>
      <c r="K5102">
        <v>0.20095551562727901</v>
      </c>
      <c r="L5102">
        <v>2200.5385995913398</v>
      </c>
      <c r="M5102">
        <v>43.568694025812803</v>
      </c>
      <c r="N5102">
        <v>51.0285848295132</v>
      </c>
      <c r="O5102">
        <v>50.4012517468501</v>
      </c>
      <c r="P5102">
        <v>-0.177295403204457</v>
      </c>
      <c r="Q5102">
        <v>0.179603459730378</v>
      </c>
      <c r="R5102">
        <v>0.98432647745907698</v>
      </c>
      <c r="S5102" t="s">
        <v>11748</v>
      </c>
      <c r="T5102" t="s">
        <v>13290</v>
      </c>
      <c r="U5102" t="s">
        <v>13290</v>
      </c>
      <c r="V5102" t="s">
        <v>13290</v>
      </c>
      <c r="W5102" t="s">
        <v>18342</v>
      </c>
      <c r="X5102">
        <v>7</v>
      </c>
      <c r="Y5102" t="s">
        <v>24822</v>
      </c>
      <c r="Z5102" t="s">
        <v>31432</v>
      </c>
      <c r="AA5102">
        <v>0.46935418698247472</v>
      </c>
      <c r="AB5102" t="str">
        <f>HYPERLINK("Melting_Curves/meltCurve_Q96H79_ZC3HAV1L.pdf", "Melting_Curves/meltCurve_Q96H79_ZC3HAV1L.pdf")</f>
        <v>Melting_Curves/meltCurve_Q96H79_ZC3HAV1L.pdf</v>
      </c>
    </row>
    <row r="5103" spans="1:28" x14ac:dyDescent="0.25">
      <c r="A5103" t="s">
        <v>5107</v>
      </c>
      <c r="B5103">
        <v>0.99252571173614901</v>
      </c>
      <c r="C5103">
        <v>1.0474895834784701</v>
      </c>
      <c r="D5103">
        <v>0.92446400314156296</v>
      </c>
      <c r="E5103">
        <v>0.76550627352013101</v>
      </c>
      <c r="F5103">
        <v>0.43769543779195602</v>
      </c>
      <c r="G5103">
        <v>0.20558794767327199</v>
      </c>
      <c r="H5103">
        <v>0.13749061119005601</v>
      </c>
      <c r="I5103">
        <v>0.13994275733147199</v>
      </c>
      <c r="J5103">
        <v>0.17466930109852</v>
      </c>
      <c r="K5103">
        <v>0.17200133685219901</v>
      </c>
      <c r="L5103">
        <v>1271.23132745052</v>
      </c>
      <c r="M5103">
        <v>24.649215984819801</v>
      </c>
      <c r="N5103">
        <v>52.307934774707299</v>
      </c>
      <c r="O5103">
        <v>51.237044280824101</v>
      </c>
      <c r="P5103">
        <v>-0.102667101111241</v>
      </c>
      <c r="Q5103">
        <v>0.14637710512301699</v>
      </c>
      <c r="R5103">
        <v>0.99477894498401498</v>
      </c>
      <c r="S5103" t="s">
        <v>11749</v>
      </c>
      <c r="T5103" t="s">
        <v>13290</v>
      </c>
      <c r="U5103" t="s">
        <v>13290</v>
      </c>
      <c r="V5103" t="s">
        <v>13290</v>
      </c>
      <c r="W5103" t="s">
        <v>18343</v>
      </c>
      <c r="X5103">
        <v>24</v>
      </c>
      <c r="Y5103" t="s">
        <v>24823</v>
      </c>
      <c r="Z5103" t="s">
        <v>31433</v>
      </c>
      <c r="AA5103">
        <v>0.48364809012106807</v>
      </c>
      <c r="AB5103" t="str">
        <f>HYPERLINK("Melting_Curves/meltCurve_Q96HC4_PDLIM5.pdf", "Melting_Curves/meltCurve_Q96HC4_PDLIM5.pdf")</f>
        <v>Melting_Curves/meltCurve_Q96HC4_PDLIM5.pdf</v>
      </c>
    </row>
    <row r="5104" spans="1:28" x14ac:dyDescent="0.25">
      <c r="A5104" t="s">
        <v>5108</v>
      </c>
      <c r="B5104">
        <v>0.99252571173614901</v>
      </c>
      <c r="C5104">
        <v>0.96399503788974195</v>
      </c>
      <c r="D5104">
        <v>0.95721403127066496</v>
      </c>
      <c r="E5104">
        <v>0.89804468547824201</v>
      </c>
      <c r="F5104">
        <v>0.49528006629999199</v>
      </c>
      <c r="G5104">
        <v>0.27210112863630598</v>
      </c>
      <c r="H5104">
        <v>0.19739147292038101</v>
      </c>
      <c r="I5104">
        <v>0.218619133797083</v>
      </c>
      <c r="J5104">
        <v>0.308056173685476</v>
      </c>
      <c r="K5104">
        <v>0.268591091103483</v>
      </c>
      <c r="L5104">
        <v>1914.1562171447799</v>
      </c>
      <c r="M5104">
        <v>36.716268525955599</v>
      </c>
      <c r="N5104">
        <v>53.1113749177795</v>
      </c>
      <c r="O5104">
        <v>51.9798107185973</v>
      </c>
      <c r="P5104">
        <v>-0.13321243239967301</v>
      </c>
      <c r="Q5104">
        <v>0.24563835229004399</v>
      </c>
      <c r="R5104">
        <v>0.99030324122680502</v>
      </c>
      <c r="S5104" t="s">
        <v>11750</v>
      </c>
      <c r="T5104" t="s">
        <v>13290</v>
      </c>
      <c r="U5104" t="s">
        <v>13290</v>
      </c>
      <c r="V5104" t="s">
        <v>13290</v>
      </c>
      <c r="W5104" t="s">
        <v>18344</v>
      </c>
      <c r="X5104">
        <v>6</v>
      </c>
      <c r="Y5104" t="s">
        <v>24824</v>
      </c>
      <c r="Z5104" t="s">
        <v>31434</v>
      </c>
      <c r="AA5104">
        <v>0.55397295681992598</v>
      </c>
      <c r="AB5104" t="str">
        <f>HYPERLINK("Melting_Curves/meltCurve_Q96HD1_CRELD1.pdf", "Melting_Curves/meltCurve_Q96HD1_CRELD1.pdf")</f>
        <v>Melting_Curves/meltCurve_Q96HD1_CRELD1.pdf</v>
      </c>
    </row>
    <row r="5105" spans="1:28" x14ac:dyDescent="0.25">
      <c r="A5105" t="s">
        <v>5109</v>
      </c>
      <c r="B5105">
        <v>0.99252571173614901</v>
      </c>
      <c r="C5105">
        <v>1.0775866521928701</v>
      </c>
      <c r="D5105">
        <v>0.96922404350393898</v>
      </c>
      <c r="E5105">
        <v>0.77284942313601301</v>
      </c>
      <c r="F5105">
        <v>0.28229468947397501</v>
      </c>
      <c r="G5105">
        <v>0.122125961431701</v>
      </c>
      <c r="H5105">
        <v>9.2849178984533806E-2</v>
      </c>
      <c r="I5105">
        <v>9.9138016458241607E-2</v>
      </c>
      <c r="J5105">
        <v>0.12346263621696001</v>
      </c>
      <c r="K5105">
        <v>9.7866987258264995E-2</v>
      </c>
      <c r="L5105">
        <v>1810.69860423967</v>
      </c>
      <c r="M5105">
        <v>35.424980048010603</v>
      </c>
      <c r="N5105">
        <v>51.443074287822</v>
      </c>
      <c r="O5105">
        <v>50.951551412118597</v>
      </c>
      <c r="P5105">
        <v>-0.15617647807088</v>
      </c>
      <c r="Q5105">
        <v>0.10149203209503101</v>
      </c>
      <c r="R5105">
        <v>0.99577958393507104</v>
      </c>
      <c r="S5105" t="s">
        <v>11751</v>
      </c>
      <c r="T5105" t="s">
        <v>13290</v>
      </c>
      <c r="U5105" t="s">
        <v>13290</v>
      </c>
      <c r="V5105" t="s">
        <v>13290</v>
      </c>
      <c r="W5105" t="s">
        <v>18345</v>
      </c>
      <c r="X5105">
        <v>28</v>
      </c>
      <c r="Y5105" t="s">
        <v>24825</v>
      </c>
      <c r="Z5105" t="s">
        <v>31435</v>
      </c>
      <c r="AA5105">
        <v>0.43840130690447521</v>
      </c>
      <c r="AB5105" t="str">
        <f>HYPERLINK("Melting_Curves/meltCurve_Q96HE7_ERO1L.pdf", "Melting_Curves/meltCurve_Q96HE7_ERO1L.pdf")</f>
        <v>Melting_Curves/meltCurve_Q96HE7_ERO1L.pdf</v>
      </c>
    </row>
    <row r="5106" spans="1:28" x14ac:dyDescent="0.25">
      <c r="A5106" t="s">
        <v>5110</v>
      </c>
      <c r="B5106">
        <v>0.99252571173614901</v>
      </c>
      <c r="C5106">
        <v>0.95774054970261602</v>
      </c>
      <c r="D5106">
        <v>0.92785473833875998</v>
      </c>
      <c r="E5106">
        <v>0.80420058416675899</v>
      </c>
      <c r="F5106">
        <v>0.88915640090021697</v>
      </c>
      <c r="G5106">
        <v>0.65458173095863503</v>
      </c>
      <c r="H5106">
        <v>0.36237623027133398</v>
      </c>
      <c r="I5106">
        <v>0.17714895073511899</v>
      </c>
      <c r="J5106">
        <v>0.150356224785024</v>
      </c>
      <c r="K5106">
        <v>0.14514440456931799</v>
      </c>
      <c r="L5106">
        <v>895.50786424283694</v>
      </c>
      <c r="M5106">
        <v>15.340188727991199</v>
      </c>
      <c r="N5106">
        <v>58.656492275255303</v>
      </c>
      <c r="O5106">
        <v>57.411526109293199</v>
      </c>
      <c r="P5106">
        <v>-6.4447632618106807E-2</v>
      </c>
      <c r="Q5106">
        <v>3.5293600619840701E-2</v>
      </c>
      <c r="R5106">
        <v>0.97084937646301395</v>
      </c>
      <c r="S5106" t="s">
        <v>11752</v>
      </c>
      <c r="T5106" t="s">
        <v>13290</v>
      </c>
      <c r="U5106" t="s">
        <v>13290</v>
      </c>
      <c r="V5106" t="s">
        <v>13290</v>
      </c>
      <c r="W5106" t="s">
        <v>18346</v>
      </c>
      <c r="X5106">
        <v>3</v>
      </c>
      <c r="Y5106" t="s">
        <v>24826</v>
      </c>
      <c r="Z5106" t="s">
        <v>31436</v>
      </c>
      <c r="AA5106">
        <v>0.63817736537810887</v>
      </c>
      <c r="AB5106" t="str">
        <f>HYPERLINK("Melting_Curves/meltCurve_Q96HJ9_C7orf55.pdf", "Melting_Curves/meltCurve_Q96HJ9_C7orf55.pdf")</f>
        <v>Melting_Curves/meltCurve_Q96HJ9_C7orf55.pdf</v>
      </c>
    </row>
    <row r="5107" spans="1:28" x14ac:dyDescent="0.25">
      <c r="A5107" t="s">
        <v>5111</v>
      </c>
      <c r="B5107">
        <v>0.99252571173614901</v>
      </c>
      <c r="C5107">
        <v>0.99574769711046696</v>
      </c>
      <c r="D5107">
        <v>0.84443527500984605</v>
      </c>
      <c r="E5107">
        <v>0.70097215169531302</v>
      </c>
      <c r="F5107">
        <v>0.18881985379527499</v>
      </c>
      <c r="G5107">
        <v>0.105777275786203</v>
      </c>
      <c r="H5107">
        <v>7.8474187369895504E-2</v>
      </c>
      <c r="I5107">
        <v>8.1590634157918202E-2</v>
      </c>
      <c r="J5107">
        <v>0.10628112213624299</v>
      </c>
      <c r="K5107">
        <v>0.12098846786817299</v>
      </c>
      <c r="L5107">
        <v>1614.6168023064399</v>
      </c>
      <c r="M5107">
        <v>32.049436037491603</v>
      </c>
      <c r="N5107">
        <v>50.686536355678598</v>
      </c>
      <c r="O5107">
        <v>50.184039426693502</v>
      </c>
      <c r="P5107">
        <v>-0.145550865881067</v>
      </c>
      <c r="Q5107">
        <v>8.8371914255458997E-2</v>
      </c>
      <c r="R5107">
        <v>0.98764878010760804</v>
      </c>
      <c r="S5107" t="s">
        <v>11753</v>
      </c>
      <c r="T5107" t="s">
        <v>13290</v>
      </c>
      <c r="U5107" t="s">
        <v>13290</v>
      </c>
      <c r="V5107" t="s">
        <v>13290</v>
      </c>
      <c r="W5107" t="s">
        <v>18347</v>
      </c>
      <c r="X5107">
        <v>33</v>
      </c>
      <c r="Y5107" t="s">
        <v>24826</v>
      </c>
      <c r="Z5107" t="s">
        <v>31437</v>
      </c>
      <c r="AA5107">
        <v>0.40872881524859239</v>
      </c>
      <c r="AB5107" t="str">
        <f>HYPERLINK("Melting_Curves/meltCurve_Q96HJ9_2_C7orf55.pdf", "Melting_Curves/meltCurve_Q96HJ9_2_C7orf55.pdf")</f>
        <v>Melting_Curves/meltCurve_Q96HJ9_2_C7orf55.pdf</v>
      </c>
    </row>
    <row r="5108" spans="1:28" x14ac:dyDescent="0.25">
      <c r="A5108" t="s">
        <v>5112</v>
      </c>
      <c r="B5108">
        <v>0.99252571173614901</v>
      </c>
      <c r="C5108">
        <v>1.0766551486853899</v>
      </c>
      <c r="D5108">
        <v>1.0208951896284</v>
      </c>
      <c r="E5108">
        <v>0.82825661583100296</v>
      </c>
      <c r="F5108">
        <v>0.53412679489607795</v>
      </c>
      <c r="G5108">
        <v>0.25039109569506002</v>
      </c>
      <c r="H5108">
        <v>0.157571844520181</v>
      </c>
      <c r="I5108">
        <v>0.17162781018133699</v>
      </c>
      <c r="J5108">
        <v>0.20211261241999101</v>
      </c>
      <c r="K5108">
        <v>0.19705326419883001</v>
      </c>
      <c r="L5108">
        <v>1447.8013912875001</v>
      </c>
      <c r="M5108">
        <v>27.5935258959076</v>
      </c>
      <c r="N5108">
        <v>53.299963034707503</v>
      </c>
      <c r="O5108">
        <v>52.195625728378403</v>
      </c>
      <c r="P5108">
        <v>-0.109058943148681</v>
      </c>
      <c r="Q5108">
        <v>0.174828458305609</v>
      </c>
      <c r="R5108">
        <v>0.99152528025266495</v>
      </c>
      <c r="S5108" t="s">
        <v>11754</v>
      </c>
      <c r="T5108" t="s">
        <v>13290</v>
      </c>
      <c r="U5108" t="s">
        <v>13290</v>
      </c>
      <c r="V5108" t="s">
        <v>13290</v>
      </c>
      <c r="W5108" t="s">
        <v>18348</v>
      </c>
      <c r="X5108">
        <v>4</v>
      </c>
      <c r="Y5108" t="s">
        <v>24827</v>
      </c>
      <c r="Z5108" t="s">
        <v>31438</v>
      </c>
      <c r="AA5108">
        <v>0.52404980836496762</v>
      </c>
      <c r="AB5108" t="str">
        <f>HYPERLINK("Melting_Curves/meltCurve_Q96HL8_2_SH3YL1.pdf", "Melting_Curves/meltCurve_Q96HL8_2_SH3YL1.pdf")</f>
        <v>Melting_Curves/meltCurve_Q96HL8_2_SH3YL1.pdf</v>
      </c>
    </row>
    <row r="5109" spans="1:28" x14ac:dyDescent="0.25">
      <c r="A5109" t="s">
        <v>5113</v>
      </c>
      <c r="B5109">
        <v>0.99252571173614901</v>
      </c>
      <c r="C5109">
        <v>0.96226437892136796</v>
      </c>
      <c r="D5109">
        <v>0.88353274873713705</v>
      </c>
      <c r="E5109">
        <v>0.85124544025660798</v>
      </c>
      <c r="F5109">
        <v>0.83096098828810905</v>
      </c>
      <c r="G5109">
        <v>0.663297180554134</v>
      </c>
      <c r="H5109">
        <v>0.54472558792912196</v>
      </c>
      <c r="I5109">
        <v>0.423421287422653</v>
      </c>
      <c r="J5109">
        <v>7.49674251354078E-2</v>
      </c>
      <c r="K5109">
        <v>7.5325676295372804E-2</v>
      </c>
      <c r="L5109">
        <v>755.51669036289798</v>
      </c>
      <c r="M5109">
        <v>12.5662877077832</v>
      </c>
      <c r="N5109">
        <v>60.122504670965697</v>
      </c>
      <c r="O5109">
        <v>58.660886292288097</v>
      </c>
      <c r="P5109">
        <v>-5.3565594138030699E-2</v>
      </c>
      <c r="Q5109">
        <v>0</v>
      </c>
      <c r="R5109">
        <v>0.94471808416493297</v>
      </c>
      <c r="S5109" t="s">
        <v>11755</v>
      </c>
      <c r="T5109" t="s">
        <v>13290</v>
      </c>
      <c r="U5109" t="s">
        <v>13290</v>
      </c>
      <c r="V5109" t="s">
        <v>13290</v>
      </c>
      <c r="W5109" t="s">
        <v>18349</v>
      </c>
      <c r="X5109">
        <v>20</v>
      </c>
      <c r="Y5109" t="s">
        <v>24828</v>
      </c>
      <c r="Z5109" t="s">
        <v>31439</v>
      </c>
      <c r="AA5109">
        <v>0.67365346003776105</v>
      </c>
      <c r="AB5109" t="str">
        <f>HYPERLINK("Melting_Curves/meltCurve_Q96HN2_2_AHCYL2.pdf", "Melting_Curves/meltCurve_Q96HN2_2_AHCYL2.pdf")</f>
        <v>Melting_Curves/meltCurve_Q96HN2_2_AHCYL2.pdf</v>
      </c>
    </row>
    <row r="5110" spans="1:28" x14ac:dyDescent="0.25">
      <c r="A5110" t="s">
        <v>5114</v>
      </c>
      <c r="B5110">
        <v>0.99252571173614901</v>
      </c>
      <c r="C5110">
        <v>1.22906235246498</v>
      </c>
      <c r="D5110">
        <v>0.98663563312631397</v>
      </c>
      <c r="E5110">
        <v>1.1287675453019601</v>
      </c>
      <c r="F5110">
        <v>0.77487095342989298</v>
      </c>
      <c r="G5110">
        <v>0.66871994648504096</v>
      </c>
      <c r="H5110">
        <v>0.66955013697209598</v>
      </c>
      <c r="I5110">
        <v>0.88464420175409897</v>
      </c>
      <c r="J5110">
        <v>1.25203188008536</v>
      </c>
      <c r="K5110">
        <v>1.2620993202322099</v>
      </c>
      <c r="L5110">
        <v>15000</v>
      </c>
      <c r="M5110">
        <v>226.57685770524799</v>
      </c>
      <c r="O5110">
        <v>66.197543511306705</v>
      </c>
      <c r="P5110">
        <v>0.22511411652031199</v>
      </c>
      <c r="Q5110">
        <v>1.2630807338965699</v>
      </c>
      <c r="R5110">
        <v>0.26942997284181303</v>
      </c>
      <c r="S5110" t="s">
        <v>11756</v>
      </c>
      <c r="T5110" t="s">
        <v>13290</v>
      </c>
      <c r="U5110" t="s">
        <v>13290</v>
      </c>
      <c r="V5110" t="s">
        <v>13290</v>
      </c>
      <c r="W5110" t="s">
        <v>18350</v>
      </c>
      <c r="X5110">
        <v>1</v>
      </c>
      <c r="Y5110" t="s">
        <v>24829</v>
      </c>
      <c r="Z5110" t="s">
        <v>31440</v>
      </c>
      <c r="AA5110">
        <v>1.0332626713576101</v>
      </c>
      <c r="AB5110" t="str">
        <f>HYPERLINK("Melting_Curves/meltCurve_Q96HP0_DOCK6.pdf", "Melting_Curves/meltCurve_Q96HP0_DOCK6.pdf")</f>
        <v>Melting_Curves/meltCurve_Q96HP0_DOCK6.pdf</v>
      </c>
    </row>
    <row r="5111" spans="1:28" x14ac:dyDescent="0.25">
      <c r="A5111" t="s">
        <v>5115</v>
      </c>
      <c r="B5111">
        <v>0.99252571173614901</v>
      </c>
      <c r="C5111">
        <v>0.98815505451846697</v>
      </c>
      <c r="D5111">
        <v>1.0526694528146101</v>
      </c>
      <c r="E5111">
        <v>1.18880408444788</v>
      </c>
      <c r="F5111">
        <v>1.2450138638046899</v>
      </c>
      <c r="G5111">
        <v>1.38026203389084</v>
      </c>
      <c r="H5111">
        <v>1.28740874512366</v>
      </c>
      <c r="I5111">
        <v>1.12436415060047</v>
      </c>
      <c r="J5111">
        <v>0.75163286442325905</v>
      </c>
      <c r="K5111">
        <v>0.62200302512549099</v>
      </c>
      <c r="L5111">
        <v>15000</v>
      </c>
      <c r="M5111">
        <v>224.19670929128699</v>
      </c>
      <c r="O5111">
        <v>66.900226449873301</v>
      </c>
      <c r="P5111">
        <v>-0.31671019953658602</v>
      </c>
      <c r="Q5111">
        <v>0.62197521560832603</v>
      </c>
      <c r="R5111">
        <v>0.32523435041322302</v>
      </c>
      <c r="S5111" t="s">
        <v>11757</v>
      </c>
      <c r="T5111" t="s">
        <v>13290</v>
      </c>
      <c r="U5111" t="s">
        <v>13290</v>
      </c>
      <c r="V5111" t="s">
        <v>13290</v>
      </c>
      <c r="W5111" t="s">
        <v>18351</v>
      </c>
      <c r="X5111">
        <v>4</v>
      </c>
      <c r="Y5111" t="s">
        <v>24830</v>
      </c>
      <c r="Z5111" t="s">
        <v>31441</v>
      </c>
      <c r="AA5111">
        <v>0.96106212955413517</v>
      </c>
      <c r="AB5111" t="str">
        <f>HYPERLINK("Melting_Curves/meltCurve_Q96HQ2_2_CDKN2AIPNL.pdf", "Melting_Curves/meltCurve_Q96HQ2_2_CDKN2AIPNL.pdf")</f>
        <v>Melting_Curves/meltCurve_Q96HQ2_2_CDKN2AIPNL.pdf</v>
      </c>
    </row>
    <row r="5112" spans="1:28" x14ac:dyDescent="0.25">
      <c r="A5112" t="s">
        <v>5116</v>
      </c>
      <c r="B5112">
        <v>0.99252571173614901</v>
      </c>
      <c r="C5112">
        <v>0.96057574014436997</v>
      </c>
      <c r="D5112">
        <v>0.87202943054913695</v>
      </c>
      <c r="E5112">
        <v>0.75226847021381205</v>
      </c>
      <c r="F5112">
        <v>0.56529945672689297</v>
      </c>
      <c r="G5112">
        <v>0.30097383590413301</v>
      </c>
      <c r="H5112">
        <v>0.166092140796783</v>
      </c>
      <c r="I5112">
        <v>0.178334100042469</v>
      </c>
      <c r="J5112">
        <v>0.17204436928667299</v>
      </c>
      <c r="K5112">
        <v>0.125393410384469</v>
      </c>
      <c r="L5112">
        <v>797.00012633562699</v>
      </c>
      <c r="M5112">
        <v>15.1329591646384</v>
      </c>
      <c r="N5112">
        <v>53.521453843073303</v>
      </c>
      <c r="O5112">
        <v>51.772508639317202</v>
      </c>
      <c r="P5112">
        <v>-6.5234928530017694E-2</v>
      </c>
      <c r="Q5112">
        <v>0.10736657145492701</v>
      </c>
      <c r="R5112">
        <v>0.993303003829482</v>
      </c>
      <c r="S5112" t="s">
        <v>11758</v>
      </c>
      <c r="T5112" t="s">
        <v>13290</v>
      </c>
      <c r="U5112" t="s">
        <v>13290</v>
      </c>
      <c r="V5112" t="s">
        <v>13290</v>
      </c>
      <c r="W5112" t="s">
        <v>18352</v>
      </c>
      <c r="X5112">
        <v>1</v>
      </c>
      <c r="Y5112" t="s">
        <v>24831</v>
      </c>
      <c r="Z5112" t="s">
        <v>31442</v>
      </c>
      <c r="AA5112">
        <v>0.50347583380217409</v>
      </c>
      <c r="AB5112" t="str">
        <f>HYPERLINK("Melting_Curves/meltCurve_Q96HR8_2_NAF1.pdf", "Melting_Curves/meltCurve_Q96HR8_2_NAF1.pdf")</f>
        <v>Melting_Curves/meltCurve_Q96HR8_2_NAF1.pdf</v>
      </c>
    </row>
    <row r="5113" spans="1:28" x14ac:dyDescent="0.25">
      <c r="A5113" t="s">
        <v>5117</v>
      </c>
      <c r="B5113">
        <v>0.99252571173614901</v>
      </c>
      <c r="C5113">
        <v>0.95313596875609097</v>
      </c>
      <c r="D5113">
        <v>1.1054244555714201</v>
      </c>
      <c r="E5113">
        <v>1.1637559261739701</v>
      </c>
      <c r="F5113">
        <v>1.2739106204316599</v>
      </c>
      <c r="G5113">
        <v>0.99534967104903904</v>
      </c>
      <c r="H5113">
        <v>0.99083550733528902</v>
      </c>
      <c r="I5113">
        <v>0.60188907286249305</v>
      </c>
      <c r="J5113">
        <v>0.319281543454835</v>
      </c>
      <c r="K5113">
        <v>0.28178031325497299</v>
      </c>
      <c r="L5113">
        <v>4732.8716539352999</v>
      </c>
      <c r="M5113">
        <v>74.186047091016604</v>
      </c>
      <c r="N5113">
        <v>64.554336415472505</v>
      </c>
      <c r="O5113">
        <v>63.751018504294102</v>
      </c>
      <c r="P5113">
        <v>-0.206404528351225</v>
      </c>
      <c r="Q5113">
        <v>0.29051368412637202</v>
      </c>
      <c r="R5113">
        <v>0.89286011866621895</v>
      </c>
      <c r="S5113" t="s">
        <v>11759</v>
      </c>
      <c r="T5113" t="s">
        <v>13290</v>
      </c>
      <c r="U5113" t="s">
        <v>13290</v>
      </c>
      <c r="V5113" t="s">
        <v>13290</v>
      </c>
      <c r="W5113" t="s">
        <v>18353</v>
      </c>
      <c r="X5113">
        <v>19</v>
      </c>
      <c r="Y5113" t="s">
        <v>24832</v>
      </c>
      <c r="Z5113" t="s">
        <v>31443</v>
      </c>
      <c r="AA5113">
        <v>0.85417860494015696</v>
      </c>
      <c r="AB5113" t="str">
        <f>HYPERLINK("Melting_Curves/meltCurve_Q96HS1_PGAM5.pdf", "Melting_Curves/meltCurve_Q96HS1_PGAM5.pdf")</f>
        <v>Melting_Curves/meltCurve_Q96HS1_PGAM5.pdf</v>
      </c>
    </row>
    <row r="5114" spans="1:28" x14ac:dyDescent="0.25">
      <c r="A5114" t="s">
        <v>5118</v>
      </c>
      <c r="B5114">
        <v>0.99252571173614901</v>
      </c>
      <c r="C5114">
        <v>0.94994633686514096</v>
      </c>
      <c r="D5114">
        <v>1.04229539022513</v>
      </c>
      <c r="E5114">
        <v>1.2171252382184901</v>
      </c>
      <c r="F5114">
        <v>1.1112691517684401</v>
      </c>
      <c r="G5114">
        <v>0.35467257013266201</v>
      </c>
      <c r="H5114">
        <v>0.26612622310564099</v>
      </c>
      <c r="I5114">
        <v>0.27916018508683799</v>
      </c>
      <c r="J5114">
        <v>0.31255229044527599</v>
      </c>
      <c r="K5114">
        <v>0.23451814450380601</v>
      </c>
      <c r="L5114">
        <v>14082.5305241199</v>
      </c>
      <c r="M5114">
        <v>250</v>
      </c>
      <c r="N5114">
        <v>56.508701521578899</v>
      </c>
      <c r="O5114">
        <v>56.3265178613022</v>
      </c>
      <c r="P5114">
        <v>-0.80658156643094003</v>
      </c>
      <c r="Q5114">
        <v>0.27308911141835401</v>
      </c>
      <c r="R5114">
        <v>0.95669883772756403</v>
      </c>
      <c r="S5114" t="s">
        <v>11760</v>
      </c>
      <c r="T5114" t="s">
        <v>13290</v>
      </c>
      <c r="U5114" t="s">
        <v>13290</v>
      </c>
      <c r="V5114" t="s">
        <v>13290</v>
      </c>
      <c r="W5114" t="s">
        <v>18354</v>
      </c>
      <c r="X5114">
        <v>6</v>
      </c>
      <c r="Y5114" t="s">
        <v>24833</v>
      </c>
      <c r="Z5114" t="s">
        <v>31444</v>
      </c>
      <c r="AA5114">
        <v>0.66884575818936975</v>
      </c>
      <c r="AB5114" t="str">
        <f>HYPERLINK("Melting_Curves/meltCurve_Q96HW7_INTS4.pdf", "Melting_Curves/meltCurve_Q96HW7_INTS4.pdf")</f>
        <v>Melting_Curves/meltCurve_Q96HW7_INTS4.pdf</v>
      </c>
    </row>
    <row r="5115" spans="1:28" x14ac:dyDescent="0.25">
      <c r="A5115" t="s">
        <v>5119</v>
      </c>
      <c r="B5115">
        <v>0.99252571173614901</v>
      </c>
      <c r="C5115">
        <v>0.89612755394422605</v>
      </c>
      <c r="D5115">
        <v>0.77548910242999303</v>
      </c>
      <c r="E5115">
        <v>0.65363904575099896</v>
      </c>
      <c r="F5115">
        <v>0.53992647593315102</v>
      </c>
      <c r="G5115">
        <v>0.37112478621441097</v>
      </c>
      <c r="H5115">
        <v>0.289757715294505</v>
      </c>
      <c r="I5115">
        <v>0.38809413522956399</v>
      </c>
      <c r="J5115">
        <v>0.58828755025374702</v>
      </c>
      <c r="K5115">
        <v>0.53531498409244005</v>
      </c>
      <c r="L5115">
        <v>844.44708865979601</v>
      </c>
      <c r="M5115">
        <v>17.833254416847399</v>
      </c>
      <c r="N5115">
        <v>53.545026064787599</v>
      </c>
      <c r="O5115">
        <v>46.768984677711103</v>
      </c>
      <c r="P5115">
        <v>-5.3725756199093297E-2</v>
      </c>
      <c r="Q5115">
        <v>0.43643019766875601</v>
      </c>
      <c r="R5115">
        <v>0.84883857420586695</v>
      </c>
      <c r="S5115" t="s">
        <v>11761</v>
      </c>
      <c r="T5115" t="s">
        <v>13290</v>
      </c>
      <c r="U5115" t="s">
        <v>13290</v>
      </c>
      <c r="V5115" t="s">
        <v>13290</v>
      </c>
      <c r="W5115" t="s">
        <v>18355</v>
      </c>
      <c r="X5115">
        <v>18</v>
      </c>
      <c r="Y5115" t="s">
        <v>24834</v>
      </c>
      <c r="Z5115" t="s">
        <v>31445</v>
      </c>
      <c r="AA5115">
        <v>0.58498885190474126</v>
      </c>
      <c r="AB5115" t="str">
        <f>HYPERLINK("Melting_Curves/meltCurve_Q96HY6_DDRGK1.pdf", "Melting_Curves/meltCurve_Q96HY6_DDRGK1.pdf")</f>
        <v>Melting_Curves/meltCurve_Q96HY6_DDRGK1.pdf</v>
      </c>
    </row>
    <row r="5116" spans="1:28" x14ac:dyDescent="0.25">
      <c r="A5116" t="s">
        <v>5120</v>
      </c>
      <c r="B5116">
        <v>0.99252571173614901</v>
      </c>
      <c r="C5116">
        <v>0.79349685541639003</v>
      </c>
      <c r="D5116">
        <v>1.0360790150983501</v>
      </c>
      <c r="E5116">
        <v>0.62785270174657903</v>
      </c>
      <c r="F5116">
        <v>0.27412942380441102</v>
      </c>
      <c r="G5116">
        <v>0.15033270853445799</v>
      </c>
      <c r="H5116">
        <v>0.114741715653519</v>
      </c>
      <c r="I5116">
        <v>0.11508282612594301</v>
      </c>
      <c r="J5116">
        <v>0.106023585485404</v>
      </c>
      <c r="K5116">
        <v>0.102202175607462</v>
      </c>
      <c r="L5116">
        <v>1511.7410323351401</v>
      </c>
      <c r="M5116">
        <v>30.037032448214202</v>
      </c>
      <c r="N5116">
        <v>50.757695013622097</v>
      </c>
      <c r="O5116">
        <v>50.107759928082899</v>
      </c>
      <c r="P5116">
        <v>-0.133081727081687</v>
      </c>
      <c r="Q5116">
        <v>0.11197865321774</v>
      </c>
      <c r="R5116">
        <v>0.964080188904613</v>
      </c>
      <c r="S5116" t="s">
        <v>11762</v>
      </c>
      <c r="T5116" t="s">
        <v>13290</v>
      </c>
      <c r="U5116" t="s">
        <v>13290</v>
      </c>
      <c r="V5116" t="s">
        <v>13290</v>
      </c>
      <c r="W5116" t="s">
        <v>18356</v>
      </c>
      <c r="X5116">
        <v>5</v>
      </c>
      <c r="Y5116" t="s">
        <v>24835</v>
      </c>
      <c r="Z5116" t="s">
        <v>31446</v>
      </c>
      <c r="AA5116">
        <v>0.4232399254875478</v>
      </c>
      <c r="AB5116" t="str">
        <f>HYPERLINK("Melting_Curves/meltCurve_Q96HY7_DHTKD1.pdf", "Melting_Curves/meltCurve_Q96HY7_DHTKD1.pdf")</f>
        <v>Melting_Curves/meltCurve_Q96HY7_DHTKD1.pdf</v>
      </c>
    </row>
    <row r="5117" spans="1:28" x14ac:dyDescent="0.25">
      <c r="A5117" t="s">
        <v>5121</v>
      </c>
      <c r="B5117">
        <v>0.99252571173614901</v>
      </c>
      <c r="C5117">
        <v>1.06750232376346</v>
      </c>
      <c r="D5117">
        <v>1.01440001290541</v>
      </c>
      <c r="E5117">
        <v>1.0211287437335701</v>
      </c>
      <c r="F5117">
        <v>0.89499872957645998</v>
      </c>
      <c r="G5117">
        <v>0.73404448427171898</v>
      </c>
      <c r="H5117">
        <v>0.38578841166532202</v>
      </c>
      <c r="I5117">
        <v>0.17249040069833299</v>
      </c>
      <c r="J5117">
        <v>0.142698391186007</v>
      </c>
      <c r="K5117">
        <v>0.11058910728352001</v>
      </c>
      <c r="L5117">
        <v>1385.7776442090801</v>
      </c>
      <c r="M5117">
        <v>23.557962643240302</v>
      </c>
      <c r="N5117">
        <v>59.283945833484402</v>
      </c>
      <c r="O5117">
        <v>58.405213912835997</v>
      </c>
      <c r="P5117">
        <v>-9.2420789109263102E-2</v>
      </c>
      <c r="Q5117">
        <v>8.3492107131837204E-2</v>
      </c>
      <c r="R5117">
        <v>0.99427641337388195</v>
      </c>
      <c r="S5117" t="s">
        <v>11763</v>
      </c>
      <c r="T5117" t="s">
        <v>13290</v>
      </c>
      <c r="U5117" t="s">
        <v>13290</v>
      </c>
      <c r="V5117" t="s">
        <v>13290</v>
      </c>
      <c r="W5117" t="s">
        <v>18357</v>
      </c>
      <c r="X5117">
        <v>22</v>
      </c>
      <c r="Y5117" t="s">
        <v>24836</v>
      </c>
      <c r="Z5117" t="s">
        <v>31447</v>
      </c>
      <c r="AA5117">
        <v>0.66672613052249685</v>
      </c>
      <c r="AB5117" t="str">
        <f>HYPERLINK("Melting_Curves/meltCurve_Q96I15_SCLY.pdf", "Melting_Curves/meltCurve_Q96I15_SCLY.pdf")</f>
        <v>Melting_Curves/meltCurve_Q96I15_SCLY.pdf</v>
      </c>
    </row>
    <row r="5118" spans="1:28" x14ac:dyDescent="0.25">
      <c r="A5118" t="s">
        <v>5122</v>
      </c>
      <c r="B5118">
        <v>0.99252571173614901</v>
      </c>
      <c r="C5118">
        <v>0.89524360336654796</v>
      </c>
      <c r="D5118">
        <v>0.66676153599291199</v>
      </c>
      <c r="E5118">
        <v>0.39799934806533399</v>
      </c>
      <c r="F5118">
        <v>0.16846997738268099</v>
      </c>
      <c r="G5118">
        <v>0.102269173749714</v>
      </c>
      <c r="H5118">
        <v>7.7246113999394697E-2</v>
      </c>
      <c r="I5118">
        <v>7.4927286082527494E-2</v>
      </c>
      <c r="J5118">
        <v>7.5599273337505102E-2</v>
      </c>
      <c r="K5118">
        <v>7.7230134834276501E-2</v>
      </c>
      <c r="L5118">
        <v>881.66712900008201</v>
      </c>
      <c r="M5118">
        <v>18.491931317052799</v>
      </c>
      <c r="N5118">
        <v>48.043124304066602</v>
      </c>
      <c r="O5118">
        <v>47.131391182269702</v>
      </c>
      <c r="P5118">
        <v>-9.1668978709217697E-2</v>
      </c>
      <c r="Q5118">
        <v>6.5474630590360294E-2</v>
      </c>
      <c r="R5118">
        <v>0.99848107005105702</v>
      </c>
      <c r="S5118" t="s">
        <v>11764</v>
      </c>
      <c r="T5118" t="s">
        <v>13290</v>
      </c>
      <c r="U5118" t="s">
        <v>13290</v>
      </c>
      <c r="V5118" t="s">
        <v>13290</v>
      </c>
      <c r="W5118" t="s">
        <v>18358</v>
      </c>
      <c r="X5118">
        <v>22</v>
      </c>
      <c r="Y5118" t="s">
        <v>24837</v>
      </c>
      <c r="Z5118" t="s">
        <v>31448</v>
      </c>
      <c r="AA5118">
        <v>0.32049032283679829</v>
      </c>
      <c r="AB5118" t="str">
        <f>HYPERLINK("Melting_Curves/meltCurve_Q96I24_FUBP3.pdf", "Melting_Curves/meltCurve_Q96I24_FUBP3.pdf")</f>
        <v>Melting_Curves/meltCurve_Q96I24_FUBP3.pdf</v>
      </c>
    </row>
    <row r="5119" spans="1:28" x14ac:dyDescent="0.25">
      <c r="A5119" t="s">
        <v>5123</v>
      </c>
      <c r="B5119">
        <v>0.99252571173614901</v>
      </c>
      <c r="C5119">
        <v>0.91211985823090802</v>
      </c>
      <c r="D5119">
        <v>0.75445858881176697</v>
      </c>
      <c r="E5119">
        <v>0.454214766451007</v>
      </c>
      <c r="F5119">
        <v>0.29846674619774699</v>
      </c>
      <c r="G5119">
        <v>0.18327602519043701</v>
      </c>
      <c r="H5119">
        <v>0.155803420033825</v>
      </c>
      <c r="I5119">
        <v>0.18625917810343201</v>
      </c>
      <c r="J5119">
        <v>0.307903835212962</v>
      </c>
      <c r="K5119">
        <v>0.39586864573356001</v>
      </c>
      <c r="L5119">
        <v>1123.31475054677</v>
      </c>
      <c r="M5119">
        <v>23.711460817723498</v>
      </c>
      <c r="N5119">
        <v>48.754398474939002</v>
      </c>
      <c r="O5119">
        <v>47.041236420853402</v>
      </c>
      <c r="P5119">
        <v>-9.5211771398776304E-2</v>
      </c>
      <c r="Q5119">
        <v>0.244448887837145</v>
      </c>
      <c r="R5119">
        <v>0.94751817227780599</v>
      </c>
      <c r="S5119" t="s">
        <v>11765</v>
      </c>
      <c r="T5119" t="s">
        <v>13290</v>
      </c>
      <c r="U5119" t="s">
        <v>13290</v>
      </c>
      <c r="V5119" t="s">
        <v>13290</v>
      </c>
      <c r="W5119" t="s">
        <v>18359</v>
      </c>
      <c r="X5119">
        <v>9</v>
      </c>
      <c r="Y5119" t="s">
        <v>24838</v>
      </c>
      <c r="Z5119" t="s">
        <v>31449</v>
      </c>
      <c r="AA5119">
        <v>0.43769717293681348</v>
      </c>
      <c r="AB5119" t="str">
        <f>HYPERLINK("Melting_Curves/meltCurve_Q96I25_RBM17.pdf", "Melting_Curves/meltCurve_Q96I25_RBM17.pdf")</f>
        <v>Melting_Curves/meltCurve_Q96I25_RBM17.pdf</v>
      </c>
    </row>
    <row r="5120" spans="1:28" x14ac:dyDescent="0.25">
      <c r="A5120" t="s">
        <v>5124</v>
      </c>
      <c r="B5120">
        <v>0.99252571173614901</v>
      </c>
      <c r="C5120">
        <v>0.89530321737241103</v>
      </c>
      <c r="D5120">
        <v>0.91392556935346103</v>
      </c>
      <c r="E5120">
        <v>1.2148199857602999</v>
      </c>
      <c r="F5120">
        <v>1.0069229164062401</v>
      </c>
      <c r="G5120">
        <v>1.0696178181357301</v>
      </c>
      <c r="H5120">
        <v>1.05739342346775</v>
      </c>
      <c r="I5120">
        <v>1.9200842414653101</v>
      </c>
      <c r="J5120">
        <v>3.30981141191412</v>
      </c>
      <c r="K5120">
        <v>2.5476377025915999</v>
      </c>
      <c r="L5120">
        <v>15000</v>
      </c>
      <c r="M5120">
        <v>244.670515498349</v>
      </c>
      <c r="O5120">
        <v>61.302862541023899</v>
      </c>
      <c r="P5120">
        <v>0.498897174664097</v>
      </c>
      <c r="Q5120">
        <v>1.5</v>
      </c>
      <c r="R5120">
        <v>0.25754860966979998</v>
      </c>
      <c r="S5120" t="s">
        <v>11766</v>
      </c>
      <c r="T5120" t="s">
        <v>13290</v>
      </c>
      <c r="U5120" t="s">
        <v>13290</v>
      </c>
      <c r="V5120" t="s">
        <v>13290</v>
      </c>
      <c r="W5120" t="s">
        <v>18360</v>
      </c>
      <c r="X5120">
        <v>1</v>
      </c>
      <c r="Y5120" t="s">
        <v>24839</v>
      </c>
      <c r="Z5120" t="s">
        <v>31450</v>
      </c>
      <c r="AA5120">
        <v>1.1448282090706809</v>
      </c>
      <c r="AB5120" t="str">
        <f>HYPERLINK("Melting_Curves/meltCurve_Q96I36_COX14.pdf", "Melting_Curves/meltCurve_Q96I36_COX14.pdf")</f>
        <v>Melting_Curves/meltCurve_Q96I36_COX14.pdf</v>
      </c>
    </row>
    <row r="5121" spans="1:28" x14ac:dyDescent="0.25">
      <c r="A5121" t="s">
        <v>5125</v>
      </c>
      <c r="B5121">
        <v>0.99252571173614901</v>
      </c>
      <c r="C5121">
        <v>0.98296121894379695</v>
      </c>
      <c r="D5121">
        <v>0.96183263050738999</v>
      </c>
      <c r="E5121">
        <v>0.85136403802279403</v>
      </c>
      <c r="F5121">
        <v>0.73909762020443004</v>
      </c>
      <c r="G5121">
        <v>0.60659376382502295</v>
      </c>
      <c r="H5121">
        <v>0.567701258260918</v>
      </c>
      <c r="I5121">
        <v>0.59308173829825195</v>
      </c>
      <c r="J5121">
        <v>0.32698365819726499</v>
      </c>
      <c r="K5121">
        <v>0.14526677618587899</v>
      </c>
      <c r="L5121">
        <v>491.80818599423998</v>
      </c>
      <c r="M5121">
        <v>7.9791485881091102</v>
      </c>
      <c r="N5121">
        <v>61.636673528296399</v>
      </c>
      <c r="O5121">
        <v>58.126346205454801</v>
      </c>
      <c r="P5121">
        <v>-3.4357305920977299E-2</v>
      </c>
      <c r="Q5121">
        <v>0</v>
      </c>
      <c r="R5121">
        <v>0.92763357902649701</v>
      </c>
      <c r="S5121" t="s">
        <v>11767</v>
      </c>
      <c r="T5121" t="s">
        <v>13290</v>
      </c>
      <c r="U5121" t="s">
        <v>13290</v>
      </c>
      <c r="V5121" t="s">
        <v>13290</v>
      </c>
      <c r="W5121" t="s">
        <v>18361</v>
      </c>
      <c r="X5121">
        <v>8</v>
      </c>
      <c r="Y5121" t="s">
        <v>24840</v>
      </c>
      <c r="Z5121" t="s">
        <v>31451</v>
      </c>
      <c r="AA5121">
        <v>0.6884322351881812</v>
      </c>
      <c r="AB5121" t="str">
        <f>HYPERLINK("Melting_Curves/meltCurve_Q96I51_WBSCR16.pdf", "Melting_Curves/meltCurve_Q96I51_WBSCR16.pdf")</f>
        <v>Melting_Curves/meltCurve_Q96I51_WBSCR16.pdf</v>
      </c>
    </row>
    <row r="5122" spans="1:28" x14ac:dyDescent="0.25">
      <c r="A5122" t="s">
        <v>5126</v>
      </c>
      <c r="B5122">
        <v>0.99252571173614901</v>
      </c>
      <c r="C5122">
        <v>0.91493367792508296</v>
      </c>
      <c r="D5122">
        <v>1.03327960295688</v>
      </c>
      <c r="E5122">
        <v>0.78739852575813396</v>
      </c>
      <c r="F5122">
        <v>0.24513186169679399</v>
      </c>
      <c r="G5122">
        <v>0.12176564840490101</v>
      </c>
      <c r="H5122">
        <v>9.3761273987306298E-2</v>
      </c>
      <c r="I5122">
        <v>9.2080986330175599E-2</v>
      </c>
      <c r="J5122">
        <v>0.11496380595540399</v>
      </c>
      <c r="K5122">
        <v>0.11591339403857</v>
      </c>
      <c r="L5122">
        <v>2129.7683161382001</v>
      </c>
      <c r="M5122">
        <v>41.744316116757098</v>
      </c>
      <c r="N5122">
        <v>51.309930055154403</v>
      </c>
      <c r="O5122">
        <v>50.902688755160803</v>
      </c>
      <c r="P5122">
        <v>-0.183437878712886</v>
      </c>
      <c r="Q5122">
        <v>0.10527066285490699</v>
      </c>
      <c r="R5122">
        <v>0.99394986985367495</v>
      </c>
      <c r="S5122" t="s">
        <v>11768</v>
      </c>
      <c r="T5122" t="s">
        <v>13290</v>
      </c>
      <c r="U5122" t="s">
        <v>13290</v>
      </c>
      <c r="V5122" t="s">
        <v>13290</v>
      </c>
      <c r="W5122" t="s">
        <v>18362</v>
      </c>
      <c r="X5122">
        <v>12</v>
      </c>
      <c r="Y5122" t="s">
        <v>24841</v>
      </c>
      <c r="Z5122" t="s">
        <v>31452</v>
      </c>
      <c r="AA5122">
        <v>0.43681072088443801</v>
      </c>
      <c r="AB5122" t="str">
        <f>HYPERLINK("Melting_Curves/meltCurve_Q96I59_NARS2.pdf", "Melting_Curves/meltCurve_Q96I59_NARS2.pdf")</f>
        <v>Melting_Curves/meltCurve_Q96I59_NARS2.pdf</v>
      </c>
    </row>
    <row r="5123" spans="1:28" x14ac:dyDescent="0.25">
      <c r="A5123" t="s">
        <v>5127</v>
      </c>
      <c r="B5123">
        <v>0.99252571173614901</v>
      </c>
      <c r="C5123">
        <v>0.98724337332089196</v>
      </c>
      <c r="D5123">
        <v>0.92714879375225701</v>
      </c>
      <c r="E5123">
        <v>0.79599781214326804</v>
      </c>
      <c r="F5123">
        <v>0.30648670738036798</v>
      </c>
      <c r="G5123">
        <v>9.2308500906467805E-2</v>
      </c>
      <c r="H5123">
        <v>6.24637933779238E-2</v>
      </c>
      <c r="I5123">
        <v>6.5692747255833697E-2</v>
      </c>
      <c r="J5123">
        <v>6.92675891899521E-2</v>
      </c>
      <c r="K5123">
        <v>7.1049172553073303E-2</v>
      </c>
      <c r="L5123">
        <v>1652.68975061691</v>
      </c>
      <c r="M5123">
        <v>32.104668070097702</v>
      </c>
      <c r="N5123">
        <v>51.690560276176797</v>
      </c>
      <c r="O5123">
        <v>51.279705252840699</v>
      </c>
      <c r="P5123">
        <v>-0.14684695895285099</v>
      </c>
      <c r="Q5123">
        <v>6.1790300212051903E-2</v>
      </c>
      <c r="R5123">
        <v>0.99793394309550398</v>
      </c>
      <c r="S5123" t="s">
        <v>11769</v>
      </c>
      <c r="T5123" t="s">
        <v>13290</v>
      </c>
      <c r="U5123" t="s">
        <v>13290</v>
      </c>
      <c r="V5123" t="s">
        <v>13290</v>
      </c>
      <c r="W5123" t="s">
        <v>18363</v>
      </c>
      <c r="X5123">
        <v>23</v>
      </c>
      <c r="Y5123" t="s">
        <v>24842</v>
      </c>
      <c r="Z5123" t="s">
        <v>31453</v>
      </c>
      <c r="AA5123">
        <v>0.42594658891327591</v>
      </c>
      <c r="AB5123" t="str">
        <f>HYPERLINK("Melting_Curves/meltCurve_Q96I99_SUCLG2.pdf", "Melting_Curves/meltCurve_Q96I99_SUCLG2.pdf")</f>
        <v>Melting_Curves/meltCurve_Q96I99_SUCLG2.pdf</v>
      </c>
    </row>
    <row r="5124" spans="1:28" x14ac:dyDescent="0.25">
      <c r="A5124" t="s">
        <v>5128</v>
      </c>
      <c r="B5124">
        <v>0.99252571173614901</v>
      </c>
      <c r="C5124">
        <v>0.93016734391215306</v>
      </c>
      <c r="D5124">
        <v>1.1208761773744</v>
      </c>
      <c r="E5124">
        <v>1.1801994737096999</v>
      </c>
      <c r="F5124">
        <v>1.1897960208901199</v>
      </c>
      <c r="G5124">
        <v>0.86108083591095097</v>
      </c>
      <c r="H5124">
        <v>0.60870282965059896</v>
      </c>
      <c r="I5124">
        <v>0.221636460788771</v>
      </c>
      <c r="J5124">
        <v>0.14862343358727301</v>
      </c>
      <c r="K5124">
        <v>0.15838947264080899</v>
      </c>
      <c r="L5124">
        <v>2213.87250826024</v>
      </c>
      <c r="M5124">
        <v>36.3540406167848</v>
      </c>
      <c r="N5124">
        <v>61.391015093888697</v>
      </c>
      <c r="O5124">
        <v>60.714175886525403</v>
      </c>
      <c r="P5124">
        <v>-0.130727794182664</v>
      </c>
      <c r="Q5124">
        <v>0.12669886694549001</v>
      </c>
      <c r="R5124">
        <v>0.93924810907563105</v>
      </c>
      <c r="S5124" t="s">
        <v>11770</v>
      </c>
      <c r="T5124" t="s">
        <v>13290</v>
      </c>
      <c r="U5124" t="s">
        <v>13290</v>
      </c>
      <c r="V5124" t="s">
        <v>13290</v>
      </c>
      <c r="W5124" t="s">
        <v>18364</v>
      </c>
      <c r="X5124">
        <v>8</v>
      </c>
      <c r="Y5124" t="s">
        <v>24843</v>
      </c>
      <c r="Z5124" t="s">
        <v>31454</v>
      </c>
      <c r="AA5124">
        <v>0.73888019433282082</v>
      </c>
      <c r="AB5124" t="str">
        <f>HYPERLINK("Melting_Curves/meltCurve_Q96IJ6_GMPPA.pdf", "Melting_Curves/meltCurve_Q96IJ6_GMPPA.pdf")</f>
        <v>Melting_Curves/meltCurve_Q96IJ6_GMPPA.pdf</v>
      </c>
    </row>
    <row r="5125" spans="1:28" x14ac:dyDescent="0.25">
      <c r="A5125" t="s">
        <v>5129</v>
      </c>
      <c r="B5125">
        <v>0.99252571173614901</v>
      </c>
      <c r="C5125">
        <v>1.0442628023524401</v>
      </c>
      <c r="D5125">
        <v>0.96237457393699699</v>
      </c>
      <c r="E5125">
        <v>0.88598413686803601</v>
      </c>
      <c r="F5125">
        <v>0.72736789646482602</v>
      </c>
      <c r="G5125">
        <v>0.64759714894212705</v>
      </c>
      <c r="H5125">
        <v>0.61120642401791103</v>
      </c>
      <c r="I5125">
        <v>0.75977337808237899</v>
      </c>
      <c r="J5125">
        <v>1.15960890188834</v>
      </c>
      <c r="K5125">
        <v>1.1365422967248699</v>
      </c>
      <c r="L5125">
        <v>2172.7299720691999</v>
      </c>
      <c r="M5125">
        <v>45.585442631263497</v>
      </c>
      <c r="O5125">
        <v>47.571350755024604</v>
      </c>
      <c r="P5125">
        <v>-3.7629927685951199E-2</v>
      </c>
      <c r="Q5125">
        <v>0.84292316446279902</v>
      </c>
      <c r="R5125">
        <v>0.14513372030955499</v>
      </c>
      <c r="S5125" t="s">
        <v>11771</v>
      </c>
      <c r="T5125" t="s">
        <v>13290</v>
      </c>
      <c r="U5125" t="s">
        <v>13290</v>
      </c>
      <c r="V5125" t="s">
        <v>13290</v>
      </c>
      <c r="W5125" t="s">
        <v>18365</v>
      </c>
      <c r="X5125">
        <v>5</v>
      </c>
      <c r="Y5125" t="s">
        <v>24844</v>
      </c>
      <c r="Z5125" t="s">
        <v>31455</v>
      </c>
      <c r="AA5125">
        <v>0.88344314462508611</v>
      </c>
      <c r="AB5125" t="str">
        <f>HYPERLINK("Melting_Curves/meltCurve_Q96IK1_BOD1.pdf", "Melting_Curves/meltCurve_Q96IK1_BOD1.pdf")</f>
        <v>Melting_Curves/meltCurve_Q96IK1_BOD1.pdf</v>
      </c>
    </row>
    <row r="5126" spans="1:28" x14ac:dyDescent="0.25">
      <c r="A5126" t="s">
        <v>5130</v>
      </c>
      <c r="B5126">
        <v>0.99252571173614901</v>
      </c>
      <c r="C5126">
        <v>0.95547410442982905</v>
      </c>
      <c r="D5126">
        <v>0.73106800304191599</v>
      </c>
      <c r="E5126">
        <v>0.51997200840441904</v>
      </c>
      <c r="F5126">
        <v>0.35137103056179803</v>
      </c>
      <c r="G5126">
        <v>0.16324948074790399</v>
      </c>
      <c r="H5126">
        <v>0.12480528717407301</v>
      </c>
      <c r="I5126">
        <v>0.16268061364153599</v>
      </c>
      <c r="J5126">
        <v>0.200406549610288</v>
      </c>
      <c r="K5126">
        <v>0.166745330834183</v>
      </c>
      <c r="L5126">
        <v>840.60376271098903</v>
      </c>
      <c r="M5126">
        <v>17.2672948564202</v>
      </c>
      <c r="N5126">
        <v>49.692003478580602</v>
      </c>
      <c r="O5126">
        <v>48.0429832014865</v>
      </c>
      <c r="P5126">
        <v>-7.6558269683871097E-2</v>
      </c>
      <c r="Q5126">
        <v>0.148013874044264</v>
      </c>
      <c r="R5126">
        <v>0.98842171347561303</v>
      </c>
      <c r="S5126" t="s">
        <v>11772</v>
      </c>
      <c r="T5126" t="s">
        <v>13290</v>
      </c>
      <c r="U5126" t="s">
        <v>13290</v>
      </c>
      <c r="V5126" t="s">
        <v>13290</v>
      </c>
      <c r="W5126" t="s">
        <v>18366</v>
      </c>
      <c r="X5126">
        <v>2</v>
      </c>
      <c r="Y5126" t="s">
        <v>24845</v>
      </c>
      <c r="Z5126" t="s">
        <v>31456</v>
      </c>
      <c r="AA5126">
        <v>0.41072388962616008</v>
      </c>
      <c r="AB5126" t="str">
        <f>HYPERLINK("Melting_Curves/meltCurve_Q96IQ9_ZNF414.pdf", "Melting_Curves/meltCurve_Q96IQ9_ZNF414.pdf")</f>
        <v>Melting_Curves/meltCurve_Q96IQ9_ZNF414.pdf</v>
      </c>
    </row>
    <row r="5127" spans="1:28" x14ac:dyDescent="0.25">
      <c r="A5127" t="s">
        <v>5131</v>
      </c>
      <c r="B5127">
        <v>0.99252571173614901</v>
      </c>
      <c r="C5127">
        <v>0.89551510634356901</v>
      </c>
      <c r="D5127">
        <v>0.74363493195711206</v>
      </c>
      <c r="E5127">
        <v>0.74722716724530402</v>
      </c>
      <c r="F5127">
        <v>0.277313487149486</v>
      </c>
      <c r="G5127">
        <v>0.21380126636597399</v>
      </c>
      <c r="H5127">
        <v>0.15421849197162199</v>
      </c>
      <c r="I5127">
        <v>0.22019259212280801</v>
      </c>
      <c r="J5127">
        <v>0.37010586117296701</v>
      </c>
      <c r="K5127">
        <v>0.42692471866403903</v>
      </c>
      <c r="L5127">
        <v>1006.04056438937</v>
      </c>
      <c r="M5127">
        <v>20.5509149747176</v>
      </c>
      <c r="N5127">
        <v>50.786646610558698</v>
      </c>
      <c r="O5127">
        <v>48.497118408947301</v>
      </c>
      <c r="P5127">
        <v>-7.8199708308719806E-2</v>
      </c>
      <c r="Q5127">
        <v>0.26186270804094502</v>
      </c>
      <c r="R5127">
        <v>0.86751454478021495</v>
      </c>
      <c r="S5127" t="s">
        <v>11773</v>
      </c>
      <c r="T5127" t="s">
        <v>13290</v>
      </c>
      <c r="U5127" t="s">
        <v>13290</v>
      </c>
      <c r="V5127" t="s">
        <v>13290</v>
      </c>
      <c r="W5127" t="s">
        <v>18367</v>
      </c>
      <c r="X5127">
        <v>1</v>
      </c>
      <c r="Y5127" t="s">
        <v>24846</v>
      </c>
      <c r="Z5127" t="s">
        <v>31457</v>
      </c>
      <c r="AA5127">
        <v>0.49194768333605471</v>
      </c>
      <c r="AB5127" t="str">
        <f>HYPERLINK("Melting_Curves/meltCurve_Q96IR2_ZNF845.pdf", "Melting_Curves/meltCurve_Q96IR2_ZNF845.pdf")</f>
        <v>Melting_Curves/meltCurve_Q96IR2_ZNF845.pdf</v>
      </c>
    </row>
    <row r="5128" spans="1:28" x14ac:dyDescent="0.25">
      <c r="A5128" t="s">
        <v>5132</v>
      </c>
      <c r="B5128">
        <v>0.99252571173614901</v>
      </c>
      <c r="C5128">
        <v>1.0232687318384599</v>
      </c>
      <c r="D5128">
        <v>0.94323558446060396</v>
      </c>
      <c r="E5128">
        <v>0.80655491612825003</v>
      </c>
      <c r="F5128">
        <v>0.67121423398274604</v>
      </c>
      <c r="G5128">
        <v>0.481111449962069</v>
      </c>
      <c r="H5128">
        <v>0.33503826050018998</v>
      </c>
      <c r="I5128">
        <v>0.32934252254169299</v>
      </c>
      <c r="J5128">
        <v>0.39046422821683802</v>
      </c>
      <c r="K5128">
        <v>0.32955690372676499</v>
      </c>
      <c r="L5128">
        <v>926.16623664007398</v>
      </c>
      <c r="M5128">
        <v>17.537092014045498</v>
      </c>
      <c r="N5128">
        <v>56.1105974689806</v>
      </c>
      <c r="O5128">
        <v>52.139494830118103</v>
      </c>
      <c r="P5128">
        <v>-5.70415631641637E-2</v>
      </c>
      <c r="Q5128">
        <v>0.32167633964125197</v>
      </c>
      <c r="R5128">
        <v>0.98841553619520295</v>
      </c>
      <c r="S5128" t="s">
        <v>11774</v>
      </c>
      <c r="T5128" t="s">
        <v>13290</v>
      </c>
      <c r="U5128" t="s">
        <v>13290</v>
      </c>
      <c r="V5128" t="s">
        <v>13290</v>
      </c>
      <c r="W5128" t="s">
        <v>18368</v>
      </c>
      <c r="X5128">
        <v>15</v>
      </c>
      <c r="Y5128" t="s">
        <v>24847</v>
      </c>
      <c r="Z5128" t="s">
        <v>31458</v>
      </c>
      <c r="AA5128">
        <v>0.6229846160467466</v>
      </c>
      <c r="AB5128" t="str">
        <f>HYPERLINK("Melting_Curves/meltCurve_Q96IR7_HPDL.pdf", "Melting_Curves/meltCurve_Q96IR7_HPDL.pdf")</f>
        <v>Melting_Curves/meltCurve_Q96IR7_HPDL.pdf</v>
      </c>
    </row>
    <row r="5129" spans="1:28" x14ac:dyDescent="0.25">
      <c r="A5129" t="s">
        <v>5133</v>
      </c>
      <c r="B5129">
        <v>0.99252571173614901</v>
      </c>
      <c r="C5129">
        <v>1.07026176443509</v>
      </c>
      <c r="D5129">
        <v>0.9352378599765</v>
      </c>
      <c r="E5129">
        <v>0.74309352059137901</v>
      </c>
      <c r="F5129">
        <v>0.43962995825777101</v>
      </c>
      <c r="G5129">
        <v>0.26044512315093599</v>
      </c>
      <c r="H5129">
        <v>0.181511915409972</v>
      </c>
      <c r="I5129">
        <v>0.16608829328737201</v>
      </c>
      <c r="J5129">
        <v>0.13751619188855099</v>
      </c>
      <c r="K5129">
        <v>0.12640029720738</v>
      </c>
      <c r="L5129">
        <v>1089.8510476915701</v>
      </c>
      <c r="M5129">
        <v>21.086604901141801</v>
      </c>
      <c r="N5129">
        <v>52.495025973292897</v>
      </c>
      <c r="O5129">
        <v>51.226422734286899</v>
      </c>
      <c r="P5129">
        <v>-8.8612780385448994E-2</v>
      </c>
      <c r="Q5129">
        <v>0.13894231537811999</v>
      </c>
      <c r="R5129">
        <v>0.99456802988468895</v>
      </c>
      <c r="S5129" t="s">
        <v>11775</v>
      </c>
      <c r="T5129" t="s">
        <v>13290</v>
      </c>
      <c r="U5129" t="s">
        <v>13290</v>
      </c>
      <c r="V5129" t="s">
        <v>13290</v>
      </c>
      <c r="W5129" t="s">
        <v>18369</v>
      </c>
      <c r="X5129">
        <v>7</v>
      </c>
      <c r="Y5129" t="s">
        <v>24848</v>
      </c>
      <c r="Z5129" t="s">
        <v>31459</v>
      </c>
      <c r="AA5129">
        <v>0.48513654676685791</v>
      </c>
      <c r="AB5129" t="str">
        <f>HYPERLINK("Melting_Curves/meltCurve_Q96IU4_ABHD14B.pdf", "Melting_Curves/meltCurve_Q96IU4_ABHD14B.pdf")</f>
        <v>Melting_Curves/meltCurve_Q96IU4_ABHD14B.pdf</v>
      </c>
    </row>
    <row r="5130" spans="1:28" x14ac:dyDescent="0.25">
      <c r="A5130" t="s">
        <v>5134</v>
      </c>
      <c r="B5130">
        <v>0.99252571173614901</v>
      </c>
      <c r="C5130">
        <v>0.99245926867684897</v>
      </c>
      <c r="D5130">
        <v>0.85822388458569099</v>
      </c>
      <c r="E5130">
        <v>0.50525212222712901</v>
      </c>
      <c r="F5130">
        <v>0.25837263316361497</v>
      </c>
      <c r="G5130">
        <v>0.12873779045897299</v>
      </c>
      <c r="H5130">
        <v>8.9132683755793696E-2</v>
      </c>
      <c r="I5130">
        <v>8.7368608293937902E-2</v>
      </c>
      <c r="J5130">
        <v>0.117888447055761</v>
      </c>
      <c r="K5130">
        <v>0.111332191616062</v>
      </c>
      <c r="L5130">
        <v>1148.1050180365701</v>
      </c>
      <c r="M5130">
        <v>23.289569357039099</v>
      </c>
      <c r="N5130">
        <v>49.763650056588602</v>
      </c>
      <c r="O5130">
        <v>48.937836196474798</v>
      </c>
      <c r="P5130">
        <v>-0.107305500542344</v>
      </c>
      <c r="Q5130">
        <v>9.8101975362237998E-2</v>
      </c>
      <c r="R5130">
        <v>0.99840118256185595</v>
      </c>
      <c r="S5130" t="s">
        <v>11776</v>
      </c>
      <c r="T5130" t="s">
        <v>13290</v>
      </c>
      <c r="U5130" t="s">
        <v>13290</v>
      </c>
      <c r="V5130" t="s">
        <v>13290</v>
      </c>
      <c r="W5130" t="s">
        <v>18370</v>
      </c>
      <c r="X5130">
        <v>7</v>
      </c>
      <c r="Y5130" t="s">
        <v>24849</v>
      </c>
      <c r="Z5130" t="s">
        <v>31460</v>
      </c>
      <c r="AA5130">
        <v>0.38685572047386507</v>
      </c>
      <c r="AB5130" t="str">
        <f>HYPERLINK("Melting_Curves/meltCurve_Q96IV0_2_NGLY1.pdf", "Melting_Curves/meltCurve_Q96IV0_2_NGLY1.pdf")</f>
        <v>Melting_Curves/meltCurve_Q96IV0_2_NGLY1.pdf</v>
      </c>
    </row>
    <row r="5131" spans="1:28" x14ac:dyDescent="0.25">
      <c r="A5131" t="s">
        <v>5135</v>
      </c>
      <c r="B5131">
        <v>0.99252571173614901</v>
      </c>
      <c r="C5131">
        <v>0.88545538940358304</v>
      </c>
      <c r="D5131">
        <v>0.89240166060549997</v>
      </c>
      <c r="E5131">
        <v>0.81728146415012504</v>
      </c>
      <c r="F5131">
        <v>0.86265778804915105</v>
      </c>
      <c r="G5131">
        <v>0.35050510240812299</v>
      </c>
      <c r="H5131">
        <v>1.0843231507856901</v>
      </c>
      <c r="I5131">
        <v>1.01791027432465</v>
      </c>
      <c r="J5131">
        <v>0.75188581165267998</v>
      </c>
      <c r="K5131">
        <v>0.54098268968665797</v>
      </c>
      <c r="L5131">
        <v>728.88828988122998</v>
      </c>
      <c r="M5131">
        <v>16.214541912034999</v>
      </c>
      <c r="O5131">
        <v>44.285682477058401</v>
      </c>
      <c r="P5131">
        <v>-2.1453357261757299E-2</v>
      </c>
      <c r="Q5131">
        <v>0.76564103298795705</v>
      </c>
      <c r="R5131">
        <v>0.114144259371167</v>
      </c>
      <c r="S5131" t="s">
        <v>11777</v>
      </c>
      <c r="T5131" t="s">
        <v>13290</v>
      </c>
      <c r="U5131" t="s">
        <v>13290</v>
      </c>
      <c r="V5131" t="s">
        <v>13290</v>
      </c>
      <c r="W5131" t="s">
        <v>18371</v>
      </c>
      <c r="X5131">
        <v>4</v>
      </c>
      <c r="Y5131" t="s">
        <v>24850</v>
      </c>
      <c r="Z5131" t="s">
        <v>31461</v>
      </c>
      <c r="AA5131">
        <v>0.81073897777160631</v>
      </c>
      <c r="AB5131" t="str">
        <f>HYPERLINK("Melting_Curves/meltCurve_Q96IX5_USMG5.pdf", "Melting_Curves/meltCurve_Q96IX5_USMG5.pdf")</f>
        <v>Melting_Curves/meltCurve_Q96IX5_USMG5.pdf</v>
      </c>
    </row>
    <row r="5132" spans="1:28" x14ac:dyDescent="0.25">
      <c r="A5132" t="s">
        <v>5136</v>
      </c>
      <c r="B5132">
        <v>0.99252571173614901</v>
      </c>
      <c r="C5132">
        <v>1.02823222388241</v>
      </c>
      <c r="D5132">
        <v>1.01019981147514</v>
      </c>
      <c r="E5132">
        <v>0.39095914587625402</v>
      </c>
      <c r="F5132">
        <v>0.25116739867226501</v>
      </c>
      <c r="G5132">
        <v>0.157812485441266</v>
      </c>
      <c r="H5132">
        <v>0.14831838019483001</v>
      </c>
      <c r="I5132">
        <v>0.119478583188092</v>
      </c>
      <c r="J5132">
        <v>0.102597170955155</v>
      </c>
      <c r="K5132">
        <v>0.109016238672307</v>
      </c>
      <c r="L5132">
        <v>2979.2925591216299</v>
      </c>
      <c r="M5132">
        <v>60.942703950367701</v>
      </c>
      <c r="N5132">
        <v>49.165995797142401</v>
      </c>
      <c r="O5132">
        <v>48.834224921746298</v>
      </c>
      <c r="P5132">
        <v>-0.26635230048397801</v>
      </c>
      <c r="Q5132">
        <v>0.14627334776815701</v>
      </c>
      <c r="R5132">
        <v>0.98961400578538905</v>
      </c>
      <c r="S5132" t="s">
        <v>11778</v>
      </c>
      <c r="T5132" t="s">
        <v>13290</v>
      </c>
      <c r="U5132" t="s">
        <v>13290</v>
      </c>
      <c r="V5132" t="s">
        <v>13290</v>
      </c>
      <c r="W5132" t="s">
        <v>18372</v>
      </c>
      <c r="X5132">
        <v>5</v>
      </c>
      <c r="Y5132" t="s">
        <v>24851</v>
      </c>
      <c r="Z5132" t="s">
        <v>31462</v>
      </c>
      <c r="AA5132">
        <v>0.40040634289535582</v>
      </c>
      <c r="AB5132" t="str">
        <f>HYPERLINK("Melting_Curves/meltCurve_Q96IY1_NSL1.pdf", "Melting_Curves/meltCurve_Q96IY1_NSL1.pdf")</f>
        <v>Melting_Curves/meltCurve_Q96IY1_NSL1.pdf</v>
      </c>
    </row>
    <row r="5133" spans="1:28" x14ac:dyDescent="0.25">
      <c r="A5133" t="s">
        <v>5137</v>
      </c>
      <c r="B5133">
        <v>0.99252571173614901</v>
      </c>
      <c r="C5133">
        <v>1.05627048562054</v>
      </c>
      <c r="D5133">
        <v>1.01894791662554</v>
      </c>
      <c r="E5133">
        <v>1.0300961316386701</v>
      </c>
      <c r="F5133">
        <v>0.86173929974680796</v>
      </c>
      <c r="G5133">
        <v>0.77639247921005095</v>
      </c>
      <c r="H5133">
        <v>0.81902815991884204</v>
      </c>
      <c r="I5133">
        <v>1.1203743487818401</v>
      </c>
      <c r="J5133">
        <v>1.7526281384150399</v>
      </c>
      <c r="K5133">
        <v>1.86659932842309</v>
      </c>
      <c r="L5133">
        <v>15000</v>
      </c>
      <c r="M5133">
        <v>233.227350250477</v>
      </c>
      <c r="O5133">
        <v>64.310197611259895</v>
      </c>
      <c r="P5133">
        <v>0.45332497338982902</v>
      </c>
      <c r="Q5133">
        <v>1.5</v>
      </c>
      <c r="R5133">
        <v>0.76029818508716895</v>
      </c>
      <c r="S5133" t="s">
        <v>11779</v>
      </c>
      <c r="T5133" t="s">
        <v>13290</v>
      </c>
      <c r="U5133" t="s">
        <v>13290</v>
      </c>
      <c r="V5133" t="s">
        <v>13290</v>
      </c>
      <c r="W5133" t="s">
        <v>18373</v>
      </c>
      <c r="X5133">
        <v>17</v>
      </c>
      <c r="Y5133" t="s">
        <v>24852</v>
      </c>
      <c r="Z5133" t="s">
        <v>31463</v>
      </c>
      <c r="AA5133">
        <v>1.09468637002981</v>
      </c>
      <c r="AB5133" t="str">
        <f>HYPERLINK("Melting_Curves/meltCurve_Q96IZ0_PAWR.pdf", "Melting_Curves/meltCurve_Q96IZ0_PAWR.pdf")</f>
        <v>Melting_Curves/meltCurve_Q96IZ0_PAWR.pdf</v>
      </c>
    </row>
    <row r="5134" spans="1:28" x14ac:dyDescent="0.25">
      <c r="A5134" t="s">
        <v>5138</v>
      </c>
      <c r="B5134">
        <v>0.99252571173614901</v>
      </c>
      <c r="C5134">
        <v>0.99039036894273003</v>
      </c>
      <c r="D5134">
        <v>0.91746364124876301</v>
      </c>
      <c r="E5134">
        <v>1.0226800837200301</v>
      </c>
      <c r="F5134">
        <v>0.845786041694222</v>
      </c>
      <c r="G5134">
        <v>0.60466946777962405</v>
      </c>
      <c r="H5134">
        <v>0.43449934319377798</v>
      </c>
      <c r="I5134">
        <v>0.64025273143959605</v>
      </c>
      <c r="J5134">
        <v>1.16247255420035</v>
      </c>
      <c r="K5134">
        <v>1.37515310132891</v>
      </c>
      <c r="L5134">
        <v>15000</v>
      </c>
      <c r="M5134">
        <v>223.27718264947299</v>
      </c>
      <c r="O5134">
        <v>67.175680313232803</v>
      </c>
      <c r="P5134">
        <v>0.311773853098888</v>
      </c>
      <c r="Q5134">
        <v>1.37520395687146</v>
      </c>
      <c r="R5134">
        <v>9.1708127867089997E-2</v>
      </c>
      <c r="S5134" t="s">
        <v>11780</v>
      </c>
      <c r="T5134" t="s">
        <v>13290</v>
      </c>
      <c r="U5134" t="s">
        <v>13290</v>
      </c>
      <c r="V5134" t="s">
        <v>13290</v>
      </c>
      <c r="W5134" t="s">
        <v>18374</v>
      </c>
      <c r="X5134">
        <v>6</v>
      </c>
      <c r="Y5134" t="s">
        <v>24853</v>
      </c>
      <c r="Z5134" t="s">
        <v>31464</v>
      </c>
      <c r="AA5134">
        <v>1.0352008420489749</v>
      </c>
      <c r="AB5134" t="str">
        <f>HYPERLINK("Melting_Curves/meltCurve_Q96IZ7_2_RSRC1.pdf", "Melting_Curves/meltCurve_Q96IZ7_2_RSRC1.pdf")</f>
        <v>Melting_Curves/meltCurve_Q96IZ7_2_RSRC1.pdf</v>
      </c>
    </row>
    <row r="5135" spans="1:28" x14ac:dyDescent="0.25">
      <c r="A5135" t="s">
        <v>5139</v>
      </c>
      <c r="B5135">
        <v>0.99252571173614901</v>
      </c>
      <c r="C5135">
        <v>1.0079322415581</v>
      </c>
      <c r="D5135">
        <v>0.90900277542551999</v>
      </c>
      <c r="E5135">
        <v>0.73618340384813397</v>
      </c>
      <c r="F5135">
        <v>0.61407118653696602</v>
      </c>
      <c r="G5135">
        <v>0.36096563382299501</v>
      </c>
      <c r="H5135">
        <v>0.18582104872522601</v>
      </c>
      <c r="I5135">
        <v>0.14804389308809901</v>
      </c>
      <c r="J5135">
        <v>0.10143845356374399</v>
      </c>
      <c r="K5135">
        <v>0.10536561131094301</v>
      </c>
      <c r="L5135">
        <v>739.65290621986605</v>
      </c>
      <c r="M5135">
        <v>13.718435103002401</v>
      </c>
      <c r="N5135">
        <v>54.3123329084369</v>
      </c>
      <c r="O5135">
        <v>52.809746432374297</v>
      </c>
      <c r="P5135">
        <v>-6.1863692210813802E-2</v>
      </c>
      <c r="Q5135">
        <v>4.7547938685550399E-2</v>
      </c>
      <c r="R5135">
        <v>0.99499304877586903</v>
      </c>
      <c r="S5135" t="s">
        <v>11781</v>
      </c>
      <c r="T5135" t="s">
        <v>13290</v>
      </c>
      <c r="U5135" t="s">
        <v>13290</v>
      </c>
      <c r="V5135" t="s">
        <v>13290</v>
      </c>
      <c r="W5135" t="s">
        <v>18375</v>
      </c>
      <c r="X5135">
        <v>5</v>
      </c>
      <c r="Y5135" t="s">
        <v>24854</v>
      </c>
      <c r="Z5135" t="s">
        <v>31465</v>
      </c>
      <c r="AA5135">
        <v>0.51121285791448112</v>
      </c>
      <c r="AB5135" t="str">
        <f>HYPERLINK("Melting_Curves/meltCurve_Q96J01_THOC3.pdf", "Melting_Curves/meltCurve_Q96J01_THOC3.pdf")</f>
        <v>Melting_Curves/meltCurve_Q96J01_THOC3.pdf</v>
      </c>
    </row>
    <row r="5136" spans="1:28" x14ac:dyDescent="0.25">
      <c r="A5136" t="s">
        <v>5140</v>
      </c>
      <c r="B5136">
        <v>0.99252571173614901</v>
      </c>
      <c r="C5136">
        <v>0.98589963804673497</v>
      </c>
      <c r="D5136">
        <v>0.72279450349406105</v>
      </c>
      <c r="E5136">
        <v>0.236829319567715</v>
      </c>
      <c r="F5136">
        <v>7.8868691933715707E-2</v>
      </c>
      <c r="G5136">
        <v>3.7312397079443803E-2</v>
      </c>
      <c r="H5136">
        <v>2.6873181161749301E-2</v>
      </c>
      <c r="I5136">
        <v>2.58087295278406E-2</v>
      </c>
      <c r="J5136">
        <v>3.6231420162915799E-2</v>
      </c>
      <c r="K5136">
        <v>4.4368021325596203E-2</v>
      </c>
      <c r="L5136">
        <v>1447.2255333620001</v>
      </c>
      <c r="M5136">
        <v>30.516109658010901</v>
      </c>
      <c r="N5136">
        <v>47.536594498731603</v>
      </c>
      <c r="O5136">
        <v>47.222710973993898</v>
      </c>
      <c r="P5136">
        <v>-0.155969122684436</v>
      </c>
      <c r="Q5136">
        <v>3.4576904945880602E-2</v>
      </c>
      <c r="R5136">
        <v>0.99936087226974701</v>
      </c>
      <c r="S5136" t="s">
        <v>11782</v>
      </c>
      <c r="T5136" t="s">
        <v>13290</v>
      </c>
      <c r="U5136" t="s">
        <v>13290</v>
      </c>
      <c r="V5136" t="s">
        <v>13290</v>
      </c>
      <c r="W5136" t="s">
        <v>18376</v>
      </c>
      <c r="X5136">
        <v>5</v>
      </c>
      <c r="Y5136" t="s">
        <v>24855</v>
      </c>
      <c r="Z5136" t="s">
        <v>31466</v>
      </c>
      <c r="AA5136">
        <v>0.27910300511643749</v>
      </c>
      <c r="AB5136" t="str">
        <f>HYPERLINK("Melting_Curves/meltCurve_Q96J02_2_ITCH.pdf", "Melting_Curves/meltCurve_Q96J02_2_ITCH.pdf")</f>
        <v>Melting_Curves/meltCurve_Q96J02_2_ITCH.pdf</v>
      </c>
    </row>
    <row r="5137" spans="1:28" x14ac:dyDescent="0.25">
      <c r="A5137" t="s">
        <v>5141</v>
      </c>
      <c r="B5137">
        <v>0.99252571173614901</v>
      </c>
      <c r="C5137">
        <v>1.0692676225831701</v>
      </c>
      <c r="D5137">
        <v>0.98633440205931999</v>
      </c>
      <c r="E5137">
        <v>0.83967892518744403</v>
      </c>
      <c r="F5137">
        <v>0.67645668816748095</v>
      </c>
      <c r="G5137">
        <v>0.51061150541035705</v>
      </c>
      <c r="H5137">
        <v>0.28892563833648799</v>
      </c>
      <c r="I5137">
        <v>0.23936920580542101</v>
      </c>
      <c r="J5137">
        <v>0.33226242439396497</v>
      </c>
      <c r="K5137">
        <v>0.39257762913630501</v>
      </c>
      <c r="L5137">
        <v>1096.7810325758801</v>
      </c>
      <c r="M5137">
        <v>20.5280206754319</v>
      </c>
      <c r="N5137">
        <v>55.942882524566798</v>
      </c>
      <c r="O5137">
        <v>52.929210749738402</v>
      </c>
      <c r="P5137">
        <v>-6.7750949750560896E-2</v>
      </c>
      <c r="Q5137">
        <v>0.30126744933455601</v>
      </c>
      <c r="R5137">
        <v>0.96841545890818204</v>
      </c>
      <c r="S5137" t="s">
        <v>11783</v>
      </c>
      <c r="T5137" t="s">
        <v>13290</v>
      </c>
      <c r="U5137" t="s">
        <v>13290</v>
      </c>
      <c r="V5137" t="s">
        <v>13290</v>
      </c>
      <c r="W5137" t="s">
        <v>18377</v>
      </c>
      <c r="X5137">
        <v>4</v>
      </c>
      <c r="Y5137" t="s">
        <v>24856</v>
      </c>
      <c r="Z5137" t="s">
        <v>31467</v>
      </c>
      <c r="AA5137">
        <v>0.62319118098900761</v>
      </c>
      <c r="AB5137" t="str">
        <f>HYPERLINK("Melting_Curves/meltCurve_Q96J92_3_WNK4.pdf", "Melting_Curves/meltCurve_Q96J92_3_WNK4.pdf")</f>
        <v>Melting_Curves/meltCurve_Q96J92_3_WNK4.pdf</v>
      </c>
    </row>
    <row r="5138" spans="1:28" x14ac:dyDescent="0.25">
      <c r="A5138" t="s">
        <v>5142</v>
      </c>
      <c r="B5138">
        <v>0.99252571173614901</v>
      </c>
      <c r="C5138">
        <v>0.99010801538461501</v>
      </c>
      <c r="D5138">
        <v>0.930719639932024</v>
      </c>
      <c r="E5138">
        <v>0.74472746164047599</v>
      </c>
      <c r="F5138">
        <v>0.61847816521333798</v>
      </c>
      <c r="G5138">
        <v>0.34339403258987999</v>
      </c>
      <c r="H5138">
        <v>0.288719083724368</v>
      </c>
      <c r="I5138">
        <v>0.27184740783350098</v>
      </c>
      <c r="J5138">
        <v>0.39312849822621498</v>
      </c>
      <c r="K5138">
        <v>0.28125624035014501</v>
      </c>
      <c r="L5138">
        <v>985.235672759252</v>
      </c>
      <c r="M5138">
        <v>19.0725602044323</v>
      </c>
      <c r="N5138">
        <v>54.104517913953799</v>
      </c>
      <c r="O5138">
        <v>51.099394967540299</v>
      </c>
      <c r="P5138">
        <v>-6.6347697296931102E-2</v>
      </c>
      <c r="Q5138">
        <v>0.28899024660955602</v>
      </c>
      <c r="R5138">
        <v>0.97546813070747695</v>
      </c>
      <c r="S5138" t="s">
        <v>11784</v>
      </c>
      <c r="T5138" t="s">
        <v>13290</v>
      </c>
      <c r="U5138" t="s">
        <v>13290</v>
      </c>
      <c r="V5138" t="s">
        <v>13290</v>
      </c>
      <c r="W5138" t="s">
        <v>18378</v>
      </c>
      <c r="X5138">
        <v>4</v>
      </c>
      <c r="Y5138" t="s">
        <v>24857</v>
      </c>
      <c r="Z5138" t="s">
        <v>31468</v>
      </c>
      <c r="AA5138">
        <v>0.57600295808753599</v>
      </c>
      <c r="AB5138" t="str">
        <f>HYPERLINK("Melting_Curves/meltCurve_Q96JA1_LRIG1.pdf", "Melting_Curves/meltCurve_Q96JA1_LRIG1.pdf")</f>
        <v>Melting_Curves/meltCurve_Q96JA1_LRIG1.pdf</v>
      </c>
    </row>
    <row r="5139" spans="1:28" x14ac:dyDescent="0.25">
      <c r="A5139" t="s">
        <v>5143</v>
      </c>
      <c r="B5139">
        <v>0.99252571173614901</v>
      </c>
      <c r="C5139">
        <v>0.70790332586358895</v>
      </c>
      <c r="D5139">
        <v>0.417136946333726</v>
      </c>
      <c r="E5139">
        <v>0.15239922559938601</v>
      </c>
      <c r="F5139">
        <v>8.5568252404126993E-2</v>
      </c>
      <c r="G5139">
        <v>4.8258243036984602E-2</v>
      </c>
      <c r="H5139">
        <v>3.8193238327636297E-2</v>
      </c>
      <c r="I5139">
        <v>4.1973680536104098E-2</v>
      </c>
      <c r="J5139">
        <v>5.1682507325818E-2</v>
      </c>
      <c r="K5139">
        <v>4.7718346972132702E-2</v>
      </c>
      <c r="L5139">
        <v>968.85845164195905</v>
      </c>
      <c r="M5139">
        <v>21.578064360848799</v>
      </c>
      <c r="N5139">
        <v>45.095102182424299</v>
      </c>
      <c r="O5139">
        <v>44.519864482852498</v>
      </c>
      <c r="P5139">
        <v>-0.115777659385425</v>
      </c>
      <c r="Q5139">
        <v>4.4533221073512597E-2</v>
      </c>
      <c r="R5139">
        <v>0.99518804424093199</v>
      </c>
      <c r="S5139" t="s">
        <v>11785</v>
      </c>
      <c r="T5139" t="s">
        <v>13290</v>
      </c>
      <c r="U5139" t="s">
        <v>13290</v>
      </c>
      <c r="V5139" t="s">
        <v>13290</v>
      </c>
      <c r="W5139" t="s">
        <v>18379</v>
      </c>
      <c r="X5139">
        <v>10</v>
      </c>
      <c r="Y5139" t="s">
        <v>24858</v>
      </c>
      <c r="Z5139" t="s">
        <v>31469</v>
      </c>
      <c r="AA5139">
        <v>0.21428392449267669</v>
      </c>
      <c r="AB5139" t="str">
        <f>HYPERLINK("Melting_Curves/meltCurve_Q96JB2_COG3.pdf", "Melting_Curves/meltCurve_Q96JB2_COG3.pdf")</f>
        <v>Melting_Curves/meltCurve_Q96JB2_COG3.pdf</v>
      </c>
    </row>
    <row r="5140" spans="1:28" x14ac:dyDescent="0.25">
      <c r="A5140" t="s">
        <v>5144</v>
      </c>
      <c r="B5140">
        <v>0.99252571173614901</v>
      </c>
      <c r="C5140">
        <v>0.87195815576482105</v>
      </c>
      <c r="D5140">
        <v>0.77259193923093905</v>
      </c>
      <c r="E5140">
        <v>0.375900719321557</v>
      </c>
      <c r="F5140">
        <v>0.123782921423012</v>
      </c>
      <c r="G5140">
        <v>7.7537051800724899E-2</v>
      </c>
      <c r="H5140">
        <v>5.6176685446370403E-2</v>
      </c>
      <c r="I5140">
        <v>6.24556177521449E-2</v>
      </c>
      <c r="J5140">
        <v>7.6077932598475007E-2</v>
      </c>
      <c r="K5140">
        <v>8.4504340578689205E-2</v>
      </c>
      <c r="L5140">
        <v>1086.1134415521301</v>
      </c>
      <c r="M5140">
        <v>22.616020397575799</v>
      </c>
      <c r="N5140">
        <v>48.294607741473698</v>
      </c>
      <c r="O5140">
        <v>47.653330542685602</v>
      </c>
      <c r="P5140">
        <v>-0.111591432853717</v>
      </c>
      <c r="Q5140">
        <v>5.9499071856824098E-2</v>
      </c>
      <c r="R5140">
        <v>0.99430804376946103</v>
      </c>
      <c r="S5140" t="s">
        <v>11786</v>
      </c>
      <c r="T5140" t="s">
        <v>13290</v>
      </c>
      <c r="U5140" t="s">
        <v>13290</v>
      </c>
      <c r="V5140" t="s">
        <v>13290</v>
      </c>
      <c r="W5140" t="s">
        <v>18380</v>
      </c>
      <c r="X5140">
        <v>15</v>
      </c>
      <c r="Y5140" t="s">
        <v>24859</v>
      </c>
      <c r="Z5140" t="s">
        <v>31470</v>
      </c>
      <c r="AA5140">
        <v>0.32134086460214673</v>
      </c>
      <c r="AB5140" t="str">
        <f>HYPERLINK("Melting_Curves/meltCurve_Q96JB5_CDK5RAP3.pdf", "Melting_Curves/meltCurve_Q96JB5_CDK5RAP3.pdf")</f>
        <v>Melting_Curves/meltCurve_Q96JB5_CDK5RAP3.pdf</v>
      </c>
    </row>
    <row r="5141" spans="1:28" x14ac:dyDescent="0.25">
      <c r="A5141" t="s">
        <v>5145</v>
      </c>
      <c r="B5141">
        <v>0.99252571173614901</v>
      </c>
      <c r="C5141">
        <v>0.87957409977666401</v>
      </c>
      <c r="D5141">
        <v>0.77541913778279803</v>
      </c>
      <c r="E5141">
        <v>0.34400153143614398</v>
      </c>
      <c r="F5141">
        <v>0.13299355614312999</v>
      </c>
      <c r="G5141">
        <v>4.71776828470604E-2</v>
      </c>
      <c r="H5141">
        <v>4.0807328404696301E-2</v>
      </c>
      <c r="I5141">
        <v>3.53234242526645E-2</v>
      </c>
      <c r="J5141">
        <v>4.07501312927884E-2</v>
      </c>
      <c r="K5141">
        <v>5.4599169726367698E-2</v>
      </c>
      <c r="L5141">
        <v>1089.0952773915701</v>
      </c>
      <c r="M5141">
        <v>22.660490166609002</v>
      </c>
      <c r="N5141">
        <v>48.215733569553201</v>
      </c>
      <c r="O5141">
        <v>47.691821312390502</v>
      </c>
      <c r="P5141">
        <v>-0.11463392369723201</v>
      </c>
      <c r="Q5141">
        <v>3.4973721512932002E-2</v>
      </c>
      <c r="R5141">
        <v>0.99600884613373697</v>
      </c>
      <c r="S5141" t="s">
        <v>11787</v>
      </c>
      <c r="T5141" t="s">
        <v>13290</v>
      </c>
      <c r="U5141" t="s">
        <v>13290</v>
      </c>
      <c r="V5141" t="s">
        <v>13290</v>
      </c>
      <c r="W5141" t="s">
        <v>18381</v>
      </c>
      <c r="X5141">
        <v>4</v>
      </c>
      <c r="Y5141" t="s">
        <v>24860</v>
      </c>
      <c r="Z5141" t="s">
        <v>31471</v>
      </c>
      <c r="AA5141">
        <v>0.30479706308706772</v>
      </c>
      <c r="AB5141" t="str">
        <f>HYPERLINK("Melting_Curves/meltCurve_Q96JC1_2_VPS39.pdf", "Melting_Curves/meltCurve_Q96JC1_2_VPS39.pdf")</f>
        <v>Melting_Curves/meltCurve_Q96JC1_2_VPS39.pdf</v>
      </c>
    </row>
    <row r="5142" spans="1:28" x14ac:dyDescent="0.25">
      <c r="A5142" t="s">
        <v>5146</v>
      </c>
      <c r="B5142">
        <v>0.99252571173614901</v>
      </c>
      <c r="C5142">
        <v>0.99250524870674195</v>
      </c>
      <c r="D5142">
        <v>0.81054356916616599</v>
      </c>
      <c r="E5142">
        <v>0.57384820190339503</v>
      </c>
      <c r="F5142">
        <v>0.59026635407058003</v>
      </c>
      <c r="G5142">
        <v>0.40640035711263001</v>
      </c>
      <c r="H5142">
        <v>0.53903500090984802</v>
      </c>
      <c r="I5142">
        <v>0.72965412928565099</v>
      </c>
      <c r="J5142">
        <v>0.88918986231577901</v>
      </c>
      <c r="K5142">
        <v>1.0485747832638399</v>
      </c>
      <c r="L5142">
        <v>11482.0049864219</v>
      </c>
      <c r="M5142">
        <v>250</v>
      </c>
      <c r="O5142">
        <v>45.925081555702498</v>
      </c>
      <c r="P5142">
        <v>-0.43219289994186799</v>
      </c>
      <c r="Q5142">
        <v>0.68242409836038598</v>
      </c>
      <c r="R5142">
        <v>0.34005336442860801</v>
      </c>
      <c r="S5142" t="s">
        <v>11788</v>
      </c>
      <c r="T5142" t="s">
        <v>13290</v>
      </c>
      <c r="U5142" t="s">
        <v>13290</v>
      </c>
      <c r="V5142" t="s">
        <v>13290</v>
      </c>
      <c r="W5142" t="s">
        <v>18382</v>
      </c>
      <c r="X5142">
        <v>3</v>
      </c>
      <c r="Y5142" t="s">
        <v>24861</v>
      </c>
      <c r="Z5142" t="s">
        <v>31472</v>
      </c>
      <c r="AA5142">
        <v>0.74520290522446042</v>
      </c>
      <c r="AB5142" t="str">
        <f>HYPERLINK("Melting_Curves/meltCurve_Q96JC9_EAF1.pdf", "Melting_Curves/meltCurve_Q96JC9_EAF1.pdf")</f>
        <v>Melting_Curves/meltCurve_Q96JC9_EAF1.pdf</v>
      </c>
    </row>
    <row r="5143" spans="1:28" x14ac:dyDescent="0.25">
      <c r="A5143" t="s">
        <v>5147</v>
      </c>
      <c r="B5143">
        <v>0.99252571173614901</v>
      </c>
      <c r="C5143">
        <v>0.650773766264236</v>
      </c>
      <c r="D5143">
        <v>0.285113835318835</v>
      </c>
      <c r="E5143">
        <v>0.22425974601746301</v>
      </c>
      <c r="F5143">
        <v>0.165388831161984</v>
      </c>
      <c r="G5143">
        <v>0.102464811698074</v>
      </c>
      <c r="H5143">
        <v>8.2766710310474306E-2</v>
      </c>
      <c r="I5143">
        <v>9.5300509438254896E-2</v>
      </c>
      <c r="J5143">
        <v>0.104718462509151</v>
      </c>
      <c r="K5143">
        <v>0.100510938895938</v>
      </c>
      <c r="L5143">
        <v>1198.2982160182601</v>
      </c>
      <c r="M5143">
        <v>27.4096224466888</v>
      </c>
      <c r="N5143">
        <v>44.146548016095899</v>
      </c>
      <c r="O5143">
        <v>43.487439910326302</v>
      </c>
      <c r="P5143">
        <v>-0.13917335866297201</v>
      </c>
      <c r="Q5143">
        <v>0.116772002970348</v>
      </c>
      <c r="R5143">
        <v>0.98382623310801198</v>
      </c>
      <c r="S5143" t="s">
        <v>11789</v>
      </c>
      <c r="T5143" t="s">
        <v>13290</v>
      </c>
      <c r="U5143" t="s">
        <v>13290</v>
      </c>
      <c r="V5143" t="s">
        <v>13290</v>
      </c>
      <c r="W5143" t="s">
        <v>18383</v>
      </c>
      <c r="X5143">
        <v>12</v>
      </c>
      <c r="Y5143" t="s">
        <v>24862</v>
      </c>
      <c r="Z5143" t="s">
        <v>31473</v>
      </c>
      <c r="AA5143">
        <v>0.23475610596681459</v>
      </c>
      <c r="AB5143" t="str">
        <f>HYPERLINK("Melting_Curves/meltCurve_Q96JH7_VCPIP1.pdf", "Melting_Curves/meltCurve_Q96JH7_VCPIP1.pdf")</f>
        <v>Melting_Curves/meltCurve_Q96JH7_VCPIP1.pdf</v>
      </c>
    </row>
    <row r="5144" spans="1:28" x14ac:dyDescent="0.25">
      <c r="A5144" t="s">
        <v>5148</v>
      </c>
      <c r="B5144">
        <v>0.99252571173614901</v>
      </c>
      <c r="C5144">
        <v>0.96126951732461696</v>
      </c>
      <c r="D5144">
        <v>1.0027400477553701</v>
      </c>
      <c r="E5144">
        <v>1.01291914541828</v>
      </c>
      <c r="F5144">
        <v>0.44810468847621499</v>
      </c>
      <c r="G5144">
        <v>0.20158332643542601</v>
      </c>
      <c r="H5144">
        <v>0.102902323049176</v>
      </c>
      <c r="I5144">
        <v>0.102499418067153</v>
      </c>
      <c r="J5144">
        <v>0.113976821575259</v>
      </c>
      <c r="K5144">
        <v>0.11539564958335</v>
      </c>
      <c r="L5144">
        <v>3032.8922493293599</v>
      </c>
      <c r="M5144">
        <v>57.500490518099902</v>
      </c>
      <c r="N5144">
        <v>53.006562524450203</v>
      </c>
      <c r="O5144">
        <v>52.681829234424598</v>
      </c>
      <c r="P5144">
        <v>-0.239219156138883</v>
      </c>
      <c r="Q5144">
        <v>0.123312240285767</v>
      </c>
      <c r="R5144">
        <v>0.99523184584301105</v>
      </c>
      <c r="S5144" t="s">
        <v>11790</v>
      </c>
      <c r="T5144" t="s">
        <v>13290</v>
      </c>
      <c r="U5144" t="s">
        <v>13290</v>
      </c>
      <c r="V5144" t="s">
        <v>13290</v>
      </c>
      <c r="W5144" t="s">
        <v>18384</v>
      </c>
      <c r="X5144">
        <v>11</v>
      </c>
      <c r="Y5144" t="s">
        <v>24863</v>
      </c>
      <c r="Z5144" t="s">
        <v>31474</v>
      </c>
      <c r="AA5144">
        <v>0.49731325053519021</v>
      </c>
      <c r="AB5144" t="str">
        <f>HYPERLINK("Melting_Curves/meltCurve_Q96JJ7_TMX3.pdf", "Melting_Curves/meltCurve_Q96JJ7_TMX3.pdf")</f>
        <v>Melting_Curves/meltCurve_Q96JJ7_TMX3.pdf</v>
      </c>
    </row>
    <row r="5145" spans="1:28" x14ac:dyDescent="0.25">
      <c r="A5145" t="s">
        <v>5149</v>
      </c>
      <c r="B5145">
        <v>0.99252571173614901</v>
      </c>
      <c r="C5145">
        <v>1.11189655940266</v>
      </c>
      <c r="D5145">
        <v>0.98767118819558597</v>
      </c>
      <c r="E5145">
        <v>0.92894438759530695</v>
      </c>
      <c r="F5145">
        <v>0.56611136739985601</v>
      </c>
      <c r="G5145">
        <v>0.48298555422627898</v>
      </c>
      <c r="H5145">
        <v>0.56688387404028695</v>
      </c>
      <c r="I5145">
        <v>0.83623320869636097</v>
      </c>
      <c r="J5145">
        <v>1.47335693583258</v>
      </c>
      <c r="K5145">
        <v>1.82885264560361</v>
      </c>
      <c r="L5145">
        <v>15000</v>
      </c>
      <c r="M5145">
        <v>226.384305228579</v>
      </c>
      <c r="O5145">
        <v>66.253854334963805</v>
      </c>
      <c r="P5145">
        <v>0.427115445972585</v>
      </c>
      <c r="Q5145">
        <v>1.5</v>
      </c>
      <c r="R5145">
        <v>0.50058568491715905</v>
      </c>
      <c r="S5145" t="s">
        <v>11791</v>
      </c>
      <c r="T5145" t="s">
        <v>13290</v>
      </c>
      <c r="U5145" t="s">
        <v>13290</v>
      </c>
      <c r="V5145" t="s">
        <v>13290</v>
      </c>
      <c r="W5145" t="s">
        <v>18385</v>
      </c>
      <c r="X5145">
        <v>1</v>
      </c>
      <c r="Y5145" t="s">
        <v>24864</v>
      </c>
      <c r="Z5145" t="s">
        <v>31475</v>
      </c>
      <c r="AA5145">
        <v>1.062278951568226</v>
      </c>
      <c r="AB5145" t="str">
        <f>HYPERLINK("Melting_Curves/meltCurve_Q96JK9_MAML3.pdf", "Melting_Curves/meltCurve_Q96JK9_MAML3.pdf")</f>
        <v>Melting_Curves/meltCurve_Q96JK9_MAML3.pdf</v>
      </c>
    </row>
    <row r="5146" spans="1:28" x14ac:dyDescent="0.25">
      <c r="A5146" t="s">
        <v>5150</v>
      </c>
      <c r="B5146">
        <v>0.99252571173614901</v>
      </c>
      <c r="C5146">
        <v>0.856790456395359</v>
      </c>
      <c r="D5146">
        <v>0.65311890413458396</v>
      </c>
      <c r="E5146">
        <v>0.40391432885366402</v>
      </c>
      <c r="F5146">
        <v>0.204685580348343</v>
      </c>
      <c r="G5146">
        <v>0.12619008950072</v>
      </c>
      <c r="H5146">
        <v>0.103132943295596</v>
      </c>
      <c r="I5146">
        <v>0.11484356136543999</v>
      </c>
      <c r="J5146">
        <v>0.176526207038082</v>
      </c>
      <c r="K5146">
        <v>0.32947141702238902</v>
      </c>
      <c r="L5146">
        <v>951.974990158747</v>
      </c>
      <c r="M5146">
        <v>20.345698391263898</v>
      </c>
      <c r="N5146">
        <v>47.720546905080099</v>
      </c>
      <c r="O5146">
        <v>46.345002839011897</v>
      </c>
      <c r="P5146">
        <v>-9.1782796227049601E-2</v>
      </c>
      <c r="Q5146">
        <v>0.163745673778942</v>
      </c>
      <c r="R5146">
        <v>0.95665891051324303</v>
      </c>
      <c r="S5146" t="s">
        <v>11792</v>
      </c>
      <c r="T5146" t="s">
        <v>13290</v>
      </c>
      <c r="U5146" t="s">
        <v>13290</v>
      </c>
      <c r="V5146" t="s">
        <v>13290</v>
      </c>
      <c r="W5146" t="s">
        <v>18386</v>
      </c>
      <c r="X5146">
        <v>9</v>
      </c>
      <c r="Y5146" t="s">
        <v>24865</v>
      </c>
      <c r="Z5146" t="s">
        <v>31476</v>
      </c>
      <c r="AA5146">
        <v>0.36490743101539441</v>
      </c>
      <c r="AB5146" t="str">
        <f>HYPERLINK("Melting_Curves/meltCurve_Q96JM3_CHAMP1.pdf", "Melting_Curves/meltCurve_Q96JM3_CHAMP1.pdf")</f>
        <v>Melting_Curves/meltCurve_Q96JM3_CHAMP1.pdf</v>
      </c>
    </row>
    <row r="5147" spans="1:28" x14ac:dyDescent="0.25">
      <c r="A5147" t="s">
        <v>5151</v>
      </c>
      <c r="B5147">
        <v>0.99252571173614901</v>
      </c>
      <c r="C5147">
        <v>0.96700603912731697</v>
      </c>
      <c r="D5147">
        <v>0.81961858521961894</v>
      </c>
      <c r="E5147">
        <v>0.67780811889619297</v>
      </c>
      <c r="F5147">
        <v>0.30119475604033502</v>
      </c>
      <c r="G5147">
        <v>0.20043565173368899</v>
      </c>
      <c r="H5147">
        <v>0.172322842600661</v>
      </c>
      <c r="I5147">
        <v>0.206311859713529</v>
      </c>
      <c r="J5147">
        <v>0.32704169448960202</v>
      </c>
      <c r="K5147">
        <v>0.39013866533671299</v>
      </c>
      <c r="L5147">
        <v>1280.63250695855</v>
      </c>
      <c r="M5147">
        <v>25.934200184627201</v>
      </c>
      <c r="N5147">
        <v>50.737558357578997</v>
      </c>
      <c r="O5147">
        <v>49.089272170828799</v>
      </c>
      <c r="P5147">
        <v>-9.9034378494639405E-2</v>
      </c>
      <c r="Q5147">
        <v>0.25018412098118098</v>
      </c>
      <c r="R5147">
        <v>0.94246706634094102</v>
      </c>
      <c r="S5147" t="s">
        <v>11793</v>
      </c>
      <c r="T5147" t="s">
        <v>13290</v>
      </c>
      <c r="U5147" t="s">
        <v>13290</v>
      </c>
      <c r="V5147" t="s">
        <v>13290</v>
      </c>
      <c r="W5147" t="s">
        <v>18387</v>
      </c>
      <c r="X5147">
        <v>6</v>
      </c>
      <c r="Y5147" t="s">
        <v>24866</v>
      </c>
      <c r="Z5147" t="s">
        <v>31477</v>
      </c>
      <c r="AA5147">
        <v>0.49081055902725751</v>
      </c>
      <c r="AB5147" t="str">
        <f>HYPERLINK("Melting_Curves/meltCurve_Q96JP5_ZFP91.pdf", "Melting_Curves/meltCurve_Q96JP5_ZFP91.pdf")</f>
        <v>Melting_Curves/meltCurve_Q96JP5_ZFP91.pdf</v>
      </c>
    </row>
    <row r="5148" spans="1:28" x14ac:dyDescent="0.25">
      <c r="A5148" t="s">
        <v>5152</v>
      </c>
      <c r="B5148">
        <v>0.99252571173614901</v>
      </c>
      <c r="C5148">
        <v>0.87449180532593895</v>
      </c>
      <c r="D5148">
        <v>0.82904280309044898</v>
      </c>
      <c r="E5148">
        <v>0.81050770110141102</v>
      </c>
      <c r="F5148">
        <v>0.55976122142006202</v>
      </c>
      <c r="G5148">
        <v>0.35718204335709203</v>
      </c>
      <c r="H5148">
        <v>0.32692341673865799</v>
      </c>
      <c r="I5148">
        <v>0.40521835939048101</v>
      </c>
      <c r="J5148">
        <v>0.440634749845425</v>
      </c>
      <c r="K5148">
        <v>0.348386598519003</v>
      </c>
      <c r="L5148">
        <v>782.91396518980605</v>
      </c>
      <c r="M5148">
        <v>15.519947013344201</v>
      </c>
      <c r="N5148">
        <v>54.635933960406497</v>
      </c>
      <c r="O5148">
        <v>49.630402570707602</v>
      </c>
      <c r="P5148">
        <v>-5.0981537839331098E-2</v>
      </c>
      <c r="Q5148">
        <v>0.34793318580308102</v>
      </c>
      <c r="R5148">
        <v>0.934761293331136</v>
      </c>
      <c r="S5148" t="s">
        <v>11794</v>
      </c>
      <c r="T5148" t="s">
        <v>13290</v>
      </c>
      <c r="U5148" t="s">
        <v>13290</v>
      </c>
      <c r="V5148" t="s">
        <v>13290</v>
      </c>
      <c r="W5148" t="s">
        <v>18388</v>
      </c>
      <c r="X5148">
        <v>2</v>
      </c>
      <c r="Y5148" t="s">
        <v>24867</v>
      </c>
      <c r="Z5148" t="s">
        <v>31478</v>
      </c>
      <c r="AA5148">
        <v>0.58942637380143359</v>
      </c>
      <c r="AB5148" t="str">
        <f>HYPERLINK("Melting_Curves/meltCurve_Q96K19_2_RNF170.pdf", "Melting_Curves/meltCurve_Q96K19_2_RNF170.pdf")</f>
        <v>Melting_Curves/meltCurve_Q96K19_2_RNF170.pdf</v>
      </c>
    </row>
    <row r="5149" spans="1:28" x14ac:dyDescent="0.25">
      <c r="A5149" t="s">
        <v>5153</v>
      </c>
      <c r="B5149">
        <v>0.99252571173614901</v>
      </c>
      <c r="C5149">
        <v>1.04920288810461</v>
      </c>
      <c r="D5149">
        <v>0.92984982776110803</v>
      </c>
      <c r="E5149">
        <v>0.91826171473547002</v>
      </c>
      <c r="F5149">
        <v>0.75394563641054702</v>
      </c>
      <c r="G5149">
        <v>0.47258979757375302</v>
      </c>
      <c r="H5149">
        <v>0.41342429500288902</v>
      </c>
      <c r="I5149">
        <v>0.60480551231608104</v>
      </c>
      <c r="J5149">
        <v>0.78559368250902195</v>
      </c>
      <c r="K5149">
        <v>0.76671162032571005</v>
      </c>
      <c r="L5149">
        <v>2125.79747728345</v>
      </c>
      <c r="M5149">
        <v>41.029053151094999</v>
      </c>
      <c r="O5149">
        <v>51.689376881821701</v>
      </c>
      <c r="P5149">
        <v>-7.6857100673348E-2</v>
      </c>
      <c r="Q5149">
        <v>0.61269512134874604</v>
      </c>
      <c r="R5149">
        <v>0.69874414635029503</v>
      </c>
      <c r="S5149" t="s">
        <v>11795</v>
      </c>
      <c r="T5149" t="s">
        <v>13290</v>
      </c>
      <c r="U5149" t="s">
        <v>13290</v>
      </c>
      <c r="V5149" t="s">
        <v>13290</v>
      </c>
      <c r="W5149" t="s">
        <v>18389</v>
      </c>
      <c r="X5149">
        <v>2</v>
      </c>
      <c r="Y5149" t="s">
        <v>24868</v>
      </c>
      <c r="Z5149" t="s">
        <v>31479</v>
      </c>
      <c r="AA5149">
        <v>0.76650750258466782</v>
      </c>
      <c r="AB5149" t="str">
        <f>HYPERLINK("Melting_Curves/meltCurve_Q96K80_ZC3H10.pdf", "Melting_Curves/meltCurve_Q96K80_ZC3H10.pdf")</f>
        <v>Melting_Curves/meltCurve_Q96K80_ZC3H10.pdf</v>
      </c>
    </row>
    <row r="5150" spans="1:28" x14ac:dyDescent="0.25">
      <c r="A5150" t="s">
        <v>5154</v>
      </c>
      <c r="B5150">
        <v>0.99252571173614901</v>
      </c>
      <c r="C5150">
        <v>0.91394142630002895</v>
      </c>
      <c r="D5150">
        <v>0.85943454191181401</v>
      </c>
      <c r="E5150">
        <v>0.74406578927320999</v>
      </c>
      <c r="F5150">
        <v>0.35424364451912599</v>
      </c>
      <c r="G5150">
        <v>0.20247416898988699</v>
      </c>
      <c r="H5150">
        <v>0.136187059313399</v>
      </c>
      <c r="I5150">
        <v>0.138904324558453</v>
      </c>
      <c r="J5150">
        <v>0.161078615236493</v>
      </c>
      <c r="K5150">
        <v>0.16336671321818699</v>
      </c>
      <c r="L5150">
        <v>1100.7177986812101</v>
      </c>
      <c r="M5150">
        <v>21.625398258699899</v>
      </c>
      <c r="N5150">
        <v>51.651536150631202</v>
      </c>
      <c r="O5150">
        <v>50.470081692568002</v>
      </c>
      <c r="P5150">
        <v>-9.2652180357616395E-2</v>
      </c>
      <c r="Q5150">
        <v>0.135081966641726</v>
      </c>
      <c r="R5150">
        <v>0.987625665457461</v>
      </c>
      <c r="S5150" t="s">
        <v>11796</v>
      </c>
      <c r="T5150" t="s">
        <v>13290</v>
      </c>
      <c r="U5150" t="s">
        <v>13290</v>
      </c>
      <c r="V5150" t="s">
        <v>13290</v>
      </c>
      <c r="W5150" t="s">
        <v>18390</v>
      </c>
      <c r="X5150">
        <v>11</v>
      </c>
      <c r="Y5150" t="s">
        <v>24869</v>
      </c>
      <c r="Z5150" t="s">
        <v>31480</v>
      </c>
      <c r="AA5150">
        <v>0.45966787634829598</v>
      </c>
      <c r="AB5150" t="str">
        <f>HYPERLINK("Melting_Curves/meltCurve_Q96KA5_2_CLPTM1L.pdf", "Melting_Curves/meltCurve_Q96KA5_2_CLPTM1L.pdf")</f>
        <v>Melting_Curves/meltCurve_Q96KA5_2_CLPTM1L.pdf</v>
      </c>
    </row>
    <row r="5151" spans="1:28" x14ac:dyDescent="0.25">
      <c r="A5151" t="s">
        <v>5155</v>
      </c>
      <c r="B5151">
        <v>0.99252571173614901</v>
      </c>
      <c r="C5151">
        <v>1.0522570974297001</v>
      </c>
      <c r="D5151">
        <v>0.73615184432896796</v>
      </c>
      <c r="E5151">
        <v>0.363195043280926</v>
      </c>
      <c r="F5151">
        <v>0.25645183058808202</v>
      </c>
      <c r="G5151">
        <v>0.12618826036158101</v>
      </c>
      <c r="H5151">
        <v>9.2315113709184701E-2</v>
      </c>
      <c r="I5151">
        <v>9.2908798323441996E-2</v>
      </c>
      <c r="J5151">
        <v>0.108599004663976</v>
      </c>
      <c r="K5151">
        <v>9.6303716370820996E-2</v>
      </c>
      <c r="L5151">
        <v>1159.1077280310701</v>
      </c>
      <c r="M5151">
        <v>24.160526931548599</v>
      </c>
      <c r="N5151">
        <v>48.459411369926798</v>
      </c>
      <c r="O5151">
        <v>47.650222932991397</v>
      </c>
      <c r="P5151">
        <v>-0.113169313027928</v>
      </c>
      <c r="Q5151">
        <v>0.107228074138558</v>
      </c>
      <c r="R5151">
        <v>0.98689417081458097</v>
      </c>
      <c r="S5151" t="s">
        <v>11797</v>
      </c>
      <c r="T5151" t="s">
        <v>13290</v>
      </c>
      <c r="U5151" t="s">
        <v>13290</v>
      </c>
      <c r="V5151" t="s">
        <v>13290</v>
      </c>
      <c r="W5151" t="s">
        <v>18391</v>
      </c>
      <c r="X5151">
        <v>9</v>
      </c>
      <c r="Y5151" t="s">
        <v>24870</v>
      </c>
      <c r="Z5151" t="s">
        <v>31481</v>
      </c>
      <c r="AA5151">
        <v>0.35305069908818959</v>
      </c>
      <c r="AB5151" t="str">
        <f>HYPERLINK("Melting_Curves/meltCurve_Q96KB5_PBK.pdf", "Melting_Curves/meltCurve_Q96KB5_PBK.pdf")</f>
        <v>Melting_Curves/meltCurve_Q96KB5_PBK.pdf</v>
      </c>
    </row>
    <row r="5152" spans="1:28" x14ac:dyDescent="0.25">
      <c r="A5152" t="s">
        <v>5156</v>
      </c>
      <c r="B5152">
        <v>0.99252571173614901</v>
      </c>
      <c r="C5152">
        <v>1.0134111447051399</v>
      </c>
      <c r="D5152">
        <v>0.85353821093650395</v>
      </c>
      <c r="E5152">
        <v>0.59021870797700404</v>
      </c>
      <c r="F5152">
        <v>0.26108756950356898</v>
      </c>
      <c r="G5152">
        <v>0.15258564126489299</v>
      </c>
      <c r="H5152">
        <v>9.0497188962900904E-2</v>
      </c>
      <c r="I5152">
        <v>9.2699792495620603E-2</v>
      </c>
      <c r="J5152">
        <v>0.15595832850796301</v>
      </c>
      <c r="K5152">
        <v>0.16636368409522301</v>
      </c>
      <c r="L5152">
        <v>1201.8222005047401</v>
      </c>
      <c r="M5152">
        <v>24.188081105902</v>
      </c>
      <c r="N5152">
        <v>50.258814697555202</v>
      </c>
      <c r="O5152">
        <v>49.350667156858002</v>
      </c>
      <c r="P5152">
        <v>-0.10778438076437</v>
      </c>
      <c r="Q5152">
        <v>0.120368509389084</v>
      </c>
      <c r="R5152">
        <v>0.99349936457706101</v>
      </c>
      <c r="S5152" t="s">
        <v>11798</v>
      </c>
      <c r="T5152" t="s">
        <v>13290</v>
      </c>
      <c r="U5152" t="s">
        <v>13290</v>
      </c>
      <c r="V5152" t="s">
        <v>13290</v>
      </c>
      <c r="W5152" t="s">
        <v>18392</v>
      </c>
      <c r="X5152">
        <v>1</v>
      </c>
      <c r="Y5152" t="s">
        <v>24871</v>
      </c>
      <c r="Z5152" t="s">
        <v>31482</v>
      </c>
      <c r="AA5152">
        <v>0.41276766334490628</v>
      </c>
      <c r="AB5152" t="str">
        <f>HYPERLINK("Melting_Curves/meltCurve_Q96KC2_ARL5B.pdf", "Melting_Curves/meltCurve_Q96KC2_ARL5B.pdf")</f>
        <v>Melting_Curves/meltCurve_Q96KC2_ARL5B.pdf</v>
      </c>
    </row>
    <row r="5153" spans="1:28" x14ac:dyDescent="0.25">
      <c r="A5153" t="s">
        <v>5157</v>
      </c>
      <c r="B5153">
        <v>0.99252571173614901</v>
      </c>
      <c r="C5153">
        <v>1.0665552678989101</v>
      </c>
      <c r="D5153">
        <v>0.97919831073546904</v>
      </c>
      <c r="E5153">
        <v>0.97832027290244095</v>
      </c>
      <c r="F5153">
        <v>0.46834099829426501</v>
      </c>
      <c r="G5153">
        <v>0.182204994602405</v>
      </c>
      <c r="H5153">
        <v>0.114659142721467</v>
      </c>
      <c r="I5153">
        <v>0.12001421516388</v>
      </c>
      <c r="J5153">
        <v>0.167542647927822</v>
      </c>
      <c r="K5153">
        <v>0.16763498831557799</v>
      </c>
      <c r="L5153">
        <v>2781.6892066590699</v>
      </c>
      <c r="M5153">
        <v>52.775214597314502</v>
      </c>
      <c r="N5153">
        <v>53.055873283823701</v>
      </c>
      <c r="O5153">
        <v>52.632747028231201</v>
      </c>
      <c r="P5153">
        <v>-0.21403462469394299</v>
      </c>
      <c r="Q5153">
        <v>0.14617346184587501</v>
      </c>
      <c r="R5153">
        <v>0.99514132898477903</v>
      </c>
      <c r="S5153" t="s">
        <v>11799</v>
      </c>
      <c r="T5153" t="s">
        <v>13290</v>
      </c>
      <c r="U5153" t="s">
        <v>13290</v>
      </c>
      <c r="V5153" t="s">
        <v>13290</v>
      </c>
      <c r="W5153" t="s">
        <v>18393</v>
      </c>
      <c r="X5153">
        <v>10</v>
      </c>
      <c r="Y5153" t="s">
        <v>24872</v>
      </c>
      <c r="Z5153" t="s">
        <v>31483</v>
      </c>
      <c r="AA5153">
        <v>0.50964220191109699</v>
      </c>
      <c r="AB5153" t="str">
        <f>HYPERLINK("Melting_Curves/meltCurve_Q96KC8_DNAJC1.pdf", "Melting_Curves/meltCurve_Q96KC8_DNAJC1.pdf")</f>
        <v>Melting_Curves/meltCurve_Q96KC8_DNAJC1.pdf</v>
      </c>
    </row>
    <row r="5154" spans="1:28" x14ac:dyDescent="0.25">
      <c r="A5154" t="s">
        <v>5158</v>
      </c>
      <c r="B5154">
        <v>0.99252571173614901</v>
      </c>
      <c r="C5154">
        <v>0.98747681569745804</v>
      </c>
      <c r="D5154">
        <v>0.91947955216632804</v>
      </c>
      <c r="E5154">
        <v>0.72756774194007401</v>
      </c>
      <c r="F5154">
        <v>0.27168598916904801</v>
      </c>
      <c r="G5154">
        <v>0.103177036243327</v>
      </c>
      <c r="H5154">
        <v>7.2343912868527802E-2</v>
      </c>
      <c r="I5154">
        <v>7.4524427803137894E-2</v>
      </c>
      <c r="J5154">
        <v>8.8578262483848702E-2</v>
      </c>
      <c r="K5154">
        <v>8.6913802729880293E-2</v>
      </c>
      <c r="L5154">
        <v>1519.16280621174</v>
      </c>
      <c r="M5154">
        <v>29.830419670463701</v>
      </c>
      <c r="N5154">
        <v>51.2048907718818</v>
      </c>
      <c r="O5154">
        <v>50.699413484685103</v>
      </c>
      <c r="P5154">
        <v>-0.13608941846313499</v>
      </c>
      <c r="Q5154">
        <v>7.4822617170710704E-2</v>
      </c>
      <c r="R5154">
        <v>0.99817022637674002</v>
      </c>
      <c r="S5154" t="s">
        <v>11800</v>
      </c>
      <c r="T5154" t="s">
        <v>13290</v>
      </c>
      <c r="U5154" t="s">
        <v>13290</v>
      </c>
      <c r="V5154" t="s">
        <v>13290</v>
      </c>
      <c r="W5154" t="s">
        <v>18394</v>
      </c>
      <c r="X5154">
        <v>22</v>
      </c>
      <c r="Y5154" t="s">
        <v>24873</v>
      </c>
      <c r="Z5154" t="s">
        <v>31484</v>
      </c>
      <c r="AA5154">
        <v>0.41766808877267342</v>
      </c>
      <c r="AB5154" t="str">
        <f>HYPERLINK("Melting_Curves/meltCurve_Q96KN1_FAM84B.pdf", "Melting_Curves/meltCurve_Q96KN1_FAM84B.pdf")</f>
        <v>Melting_Curves/meltCurve_Q96KN1_FAM84B.pdf</v>
      </c>
    </row>
    <row r="5155" spans="1:28" x14ac:dyDescent="0.25">
      <c r="A5155" t="s">
        <v>5159</v>
      </c>
      <c r="B5155">
        <v>0.99252571173614901</v>
      </c>
      <c r="C5155">
        <v>0.81098015353506503</v>
      </c>
      <c r="D5155">
        <v>0.88910944636770906</v>
      </c>
      <c r="E5155">
        <v>0.291912549153927</v>
      </c>
      <c r="F5155">
        <v>0.123796499343792</v>
      </c>
      <c r="G5155">
        <v>6.77216284355322E-2</v>
      </c>
      <c r="H5155">
        <v>4.42528390422912E-2</v>
      </c>
      <c r="I5155">
        <v>5.6623862831643099E-2</v>
      </c>
      <c r="J5155">
        <v>4.5319571154627203E-2</v>
      </c>
      <c r="K5155">
        <v>4.0446575410659401E-2</v>
      </c>
      <c r="L5155">
        <v>1625.13011910566</v>
      </c>
      <c r="M5155">
        <v>33.714572324773201</v>
      </c>
      <c r="N5155">
        <v>48.3635476880902</v>
      </c>
      <c r="O5155">
        <v>48.033954539533703</v>
      </c>
      <c r="P5155">
        <v>-0.166161695971248</v>
      </c>
      <c r="Q5155">
        <v>5.3065592060582201E-2</v>
      </c>
      <c r="R5155">
        <v>0.97546278358323901</v>
      </c>
      <c r="S5155" t="s">
        <v>11801</v>
      </c>
      <c r="T5155" t="s">
        <v>13290</v>
      </c>
      <c r="U5155" t="s">
        <v>13290</v>
      </c>
      <c r="V5155" t="s">
        <v>13290</v>
      </c>
      <c r="W5155" t="s">
        <v>18395</v>
      </c>
      <c r="X5155">
        <v>6</v>
      </c>
      <c r="Y5155" t="s">
        <v>24874</v>
      </c>
      <c r="Z5155" t="s">
        <v>31485</v>
      </c>
      <c r="AA5155">
        <v>0.3164617672356847</v>
      </c>
      <c r="AB5155" t="str">
        <f>HYPERLINK("Melting_Curves/meltCurve_Q96KP1_EXOC2.pdf", "Melting_Curves/meltCurve_Q96KP1_EXOC2.pdf")</f>
        <v>Melting_Curves/meltCurve_Q96KP1_EXOC2.pdf</v>
      </c>
    </row>
    <row r="5156" spans="1:28" x14ac:dyDescent="0.25">
      <c r="A5156" t="s">
        <v>5160</v>
      </c>
      <c r="B5156">
        <v>0.99252571173614901</v>
      </c>
      <c r="C5156">
        <v>1.01637579653523</v>
      </c>
      <c r="D5156">
        <v>1.0039370165889501</v>
      </c>
      <c r="E5156">
        <v>0.95758240752744395</v>
      </c>
      <c r="F5156">
        <v>0.89042836829105598</v>
      </c>
      <c r="G5156">
        <v>0.74523735562890203</v>
      </c>
      <c r="H5156">
        <v>0.72051705536117605</v>
      </c>
      <c r="I5156">
        <v>0.79228380303477197</v>
      </c>
      <c r="J5156">
        <v>0.79963226018292499</v>
      </c>
      <c r="K5156">
        <v>0.69144224758644701</v>
      </c>
      <c r="L5156">
        <v>2303.3365724238602</v>
      </c>
      <c r="M5156">
        <v>43.184301598175203</v>
      </c>
      <c r="O5156">
        <v>53.223366883633503</v>
      </c>
      <c r="P5156">
        <v>-5.1301741969279398E-2</v>
      </c>
      <c r="Q5156">
        <v>0.74708892600347199</v>
      </c>
      <c r="R5156">
        <v>0.92602568166381805</v>
      </c>
      <c r="S5156" t="s">
        <v>11802</v>
      </c>
      <c r="T5156" t="s">
        <v>13290</v>
      </c>
      <c r="U5156" t="s">
        <v>13290</v>
      </c>
      <c r="V5156" t="s">
        <v>13290</v>
      </c>
      <c r="W5156" t="s">
        <v>18396</v>
      </c>
      <c r="X5156">
        <v>37</v>
      </c>
      <c r="Y5156" t="s">
        <v>24875</v>
      </c>
      <c r="Z5156" t="s">
        <v>31486</v>
      </c>
      <c r="AA5156">
        <v>0.86032634609910041</v>
      </c>
      <c r="AB5156" t="str">
        <f>HYPERLINK("Melting_Curves/meltCurve_Q96KP4_CNDP2.pdf", "Melting_Curves/meltCurve_Q96KP4_CNDP2.pdf")</f>
        <v>Melting_Curves/meltCurve_Q96KP4_CNDP2.pdf</v>
      </c>
    </row>
    <row r="5157" spans="1:28" x14ac:dyDescent="0.25">
      <c r="A5157" t="s">
        <v>5161</v>
      </c>
      <c r="B5157">
        <v>0.99252571173614901</v>
      </c>
      <c r="C5157">
        <v>0.98328066259745095</v>
      </c>
      <c r="D5157">
        <v>0.92426423211763298</v>
      </c>
      <c r="E5157">
        <v>0.929773144372535</v>
      </c>
      <c r="F5157">
        <v>0.61562573956807598</v>
      </c>
      <c r="G5157">
        <v>0.33953490758695198</v>
      </c>
      <c r="H5157">
        <v>0.23774176974237199</v>
      </c>
      <c r="I5157">
        <v>0.34058682693645798</v>
      </c>
      <c r="J5157">
        <v>0.51661536925042495</v>
      </c>
      <c r="K5157">
        <v>0.50568338343393304</v>
      </c>
      <c r="L5157">
        <v>2403.1771844313398</v>
      </c>
      <c r="M5157">
        <v>45.817567480696098</v>
      </c>
      <c r="N5157">
        <v>54.2060756831264</v>
      </c>
      <c r="O5157">
        <v>52.351372815826899</v>
      </c>
      <c r="P5157">
        <v>-0.13421634509421199</v>
      </c>
      <c r="Q5157">
        <v>0.38657577507252899</v>
      </c>
      <c r="R5157">
        <v>0.91436098063126703</v>
      </c>
      <c r="S5157" t="s">
        <v>11803</v>
      </c>
      <c r="T5157" t="s">
        <v>13290</v>
      </c>
      <c r="U5157" t="s">
        <v>13290</v>
      </c>
      <c r="V5157" t="s">
        <v>13290</v>
      </c>
      <c r="W5157" t="s">
        <v>18397</v>
      </c>
      <c r="X5157">
        <v>11</v>
      </c>
      <c r="Y5157" t="s">
        <v>24876</v>
      </c>
      <c r="Z5157" t="s">
        <v>31487</v>
      </c>
      <c r="AA5157">
        <v>0.64285880812342555</v>
      </c>
      <c r="AB5157" t="str">
        <f>HYPERLINK("Melting_Curves/meltCurve_Q96KR1_ZFR.pdf", "Melting_Curves/meltCurve_Q96KR1_ZFR.pdf")</f>
        <v>Melting_Curves/meltCurve_Q96KR1_ZFR.pdf</v>
      </c>
    </row>
    <row r="5158" spans="1:28" x14ac:dyDescent="0.25">
      <c r="A5158" t="s">
        <v>5162</v>
      </c>
      <c r="B5158">
        <v>0.99252571173614901</v>
      </c>
      <c r="C5158">
        <v>0.851431687210775</v>
      </c>
      <c r="D5158">
        <v>0.59665772808538398</v>
      </c>
      <c r="E5158">
        <v>0.33551011719468099</v>
      </c>
      <c r="F5158">
        <v>0.199013344371297</v>
      </c>
      <c r="G5158">
        <v>6.5563920724029404E-2</v>
      </c>
      <c r="H5158">
        <v>3.3269279659001498E-2</v>
      </c>
      <c r="I5158">
        <v>3.9968999660918797E-2</v>
      </c>
      <c r="J5158">
        <v>4.8603764130879003E-2</v>
      </c>
      <c r="K5158">
        <v>1.4940845682331399E-2</v>
      </c>
      <c r="L5158">
        <v>768.51933908353499</v>
      </c>
      <c r="M5158">
        <v>16.248169643163099</v>
      </c>
      <c r="N5158">
        <v>47.437514239771403</v>
      </c>
      <c r="O5158">
        <v>46.599748471486201</v>
      </c>
      <c r="P5158">
        <v>-8.5152663227597097E-2</v>
      </c>
      <c r="Q5158">
        <v>2.3200338007223101E-2</v>
      </c>
      <c r="R5158">
        <v>0.99607835439375703</v>
      </c>
      <c r="S5158" t="s">
        <v>11804</v>
      </c>
      <c r="T5158" t="s">
        <v>13290</v>
      </c>
      <c r="U5158" t="s">
        <v>13290</v>
      </c>
      <c r="V5158" t="s">
        <v>13290</v>
      </c>
      <c r="W5158" t="s">
        <v>18398</v>
      </c>
      <c r="X5158">
        <v>1</v>
      </c>
      <c r="Y5158" t="s">
        <v>24877</v>
      </c>
      <c r="Z5158" t="s">
        <v>31488</v>
      </c>
      <c r="AA5158">
        <v>0.28294837644269522</v>
      </c>
      <c r="AB5158" t="str">
        <f>HYPERLINK("Melting_Curves/meltCurve_Q96L50_LRR1.pdf", "Melting_Curves/meltCurve_Q96L50_LRR1.pdf")</f>
        <v>Melting_Curves/meltCurve_Q96L50_LRR1.pdf</v>
      </c>
    </row>
    <row r="5159" spans="1:28" x14ac:dyDescent="0.25">
      <c r="A5159" t="s">
        <v>5163</v>
      </c>
      <c r="B5159">
        <v>0.99252571173614901</v>
      </c>
      <c r="C5159">
        <v>0.90731757150231096</v>
      </c>
      <c r="D5159">
        <v>0.81955892107985195</v>
      </c>
      <c r="E5159">
        <v>0.46806060478764999</v>
      </c>
      <c r="F5159">
        <v>0.44886801952938399</v>
      </c>
      <c r="G5159">
        <v>0.20231502636620599</v>
      </c>
      <c r="H5159">
        <v>0.20517591792916801</v>
      </c>
      <c r="I5159">
        <v>0.272708376666986</v>
      </c>
      <c r="J5159">
        <v>0.125584381670693</v>
      </c>
      <c r="K5159">
        <v>0.14124695561636599</v>
      </c>
      <c r="L5159">
        <v>740.25607770414899</v>
      </c>
      <c r="M5159">
        <v>15.0711945583824</v>
      </c>
      <c r="N5159">
        <v>50.401579892003802</v>
      </c>
      <c r="O5159">
        <v>48.276872217724701</v>
      </c>
      <c r="P5159">
        <v>-6.5608082332518899E-2</v>
      </c>
      <c r="Q5159">
        <v>0.15944580837237801</v>
      </c>
      <c r="R5159">
        <v>0.96937304696842197</v>
      </c>
      <c r="S5159" t="s">
        <v>11805</v>
      </c>
      <c r="T5159" t="s">
        <v>13290</v>
      </c>
      <c r="U5159" t="s">
        <v>13290</v>
      </c>
      <c r="V5159" t="s">
        <v>13290</v>
      </c>
      <c r="W5159" t="s">
        <v>18399</v>
      </c>
      <c r="X5159">
        <v>1</v>
      </c>
      <c r="Y5159" t="s">
        <v>24878</v>
      </c>
      <c r="Z5159" t="s">
        <v>31489</v>
      </c>
      <c r="AA5159">
        <v>0.43537175580961618</v>
      </c>
      <c r="AB5159" t="str">
        <f>HYPERLINK("Melting_Curves/meltCurve_Q96L58_B3GALT6.pdf", "Melting_Curves/meltCurve_Q96L58_B3GALT6.pdf")</f>
        <v>Melting_Curves/meltCurve_Q96L58_B3GALT6.pdf</v>
      </c>
    </row>
    <row r="5160" spans="1:28" x14ac:dyDescent="0.25">
      <c r="A5160" t="s">
        <v>5164</v>
      </c>
      <c r="B5160">
        <v>0.99252571173614901</v>
      </c>
      <c r="C5160">
        <v>0.85919494086540604</v>
      </c>
      <c r="D5160">
        <v>0.508546412060908</v>
      </c>
      <c r="E5160">
        <v>0.26820964472248199</v>
      </c>
      <c r="F5160">
        <v>0.19426511459207299</v>
      </c>
      <c r="G5160">
        <v>0.13749094652993199</v>
      </c>
      <c r="H5160">
        <v>8.8586980908398699E-2</v>
      </c>
      <c r="I5160">
        <v>9.8321191534318397E-2</v>
      </c>
      <c r="J5160">
        <v>0.14597007233023501</v>
      </c>
      <c r="K5160">
        <v>0.16646438135897099</v>
      </c>
      <c r="L5160">
        <v>1073.8903930414699</v>
      </c>
      <c r="M5160">
        <v>23.503860862472401</v>
      </c>
      <c r="N5160">
        <v>46.294992490688998</v>
      </c>
      <c r="O5160">
        <v>45.363060987818102</v>
      </c>
      <c r="P5160">
        <v>-0.112404681990637</v>
      </c>
      <c r="Q5160">
        <v>0.13223899184219001</v>
      </c>
      <c r="R5160">
        <v>0.99259420780506202</v>
      </c>
      <c r="S5160" t="s">
        <v>11806</v>
      </c>
      <c r="T5160" t="s">
        <v>13290</v>
      </c>
      <c r="U5160" t="s">
        <v>13290</v>
      </c>
      <c r="V5160" t="s">
        <v>13290</v>
      </c>
      <c r="W5160" t="s">
        <v>18400</v>
      </c>
      <c r="X5160">
        <v>2</v>
      </c>
      <c r="Y5160" t="s">
        <v>24879</v>
      </c>
      <c r="Z5160" t="s">
        <v>31490</v>
      </c>
      <c r="AA5160">
        <v>0.30625340734635748</v>
      </c>
      <c r="AB5160" t="str">
        <f>HYPERLINK("Melting_Curves/meltCurve_Q96L91_4_EP400.pdf", "Melting_Curves/meltCurve_Q96L91_4_EP400.pdf")</f>
        <v>Melting_Curves/meltCurve_Q96L91_4_EP400.pdf</v>
      </c>
    </row>
    <row r="5161" spans="1:28" x14ac:dyDescent="0.25">
      <c r="A5161" t="s">
        <v>5165</v>
      </c>
      <c r="B5161">
        <v>0.99252571173614901</v>
      </c>
      <c r="C5161">
        <v>0.97698372845951797</v>
      </c>
      <c r="D5161">
        <v>0.79324871491112603</v>
      </c>
      <c r="E5161">
        <v>0.300198673113444</v>
      </c>
      <c r="F5161">
        <v>0.244998318078921</v>
      </c>
      <c r="G5161">
        <v>0.116582071654782</v>
      </c>
      <c r="H5161">
        <v>8.8710914774373401E-2</v>
      </c>
      <c r="I5161">
        <v>9.1806760174102206E-2</v>
      </c>
      <c r="J5161">
        <v>9.2136092396120806E-2</v>
      </c>
      <c r="K5161">
        <v>8.30656783964559E-2</v>
      </c>
      <c r="L5161">
        <v>1337.08920049986</v>
      </c>
      <c r="M5161">
        <v>27.966559856222801</v>
      </c>
      <c r="N5161">
        <v>48.210599227601598</v>
      </c>
      <c r="O5161">
        <v>47.5678333385817</v>
      </c>
      <c r="P5161">
        <v>-0.131754214154579</v>
      </c>
      <c r="Q5161">
        <v>0.10361391373584899</v>
      </c>
      <c r="R5161">
        <v>0.99123698612523603</v>
      </c>
      <c r="S5161" t="s">
        <v>11807</v>
      </c>
      <c r="T5161" t="s">
        <v>13290</v>
      </c>
      <c r="U5161" t="s">
        <v>13290</v>
      </c>
      <c r="V5161" t="s">
        <v>13290</v>
      </c>
      <c r="W5161" t="s">
        <v>18401</v>
      </c>
      <c r="X5161">
        <v>9</v>
      </c>
      <c r="Y5161" t="s">
        <v>24880</v>
      </c>
      <c r="Z5161" t="s">
        <v>31491</v>
      </c>
      <c r="AA5161">
        <v>0.34322716176226681</v>
      </c>
      <c r="AB5161" t="str">
        <f>HYPERLINK("Melting_Curves/meltCurve_Q96L92_SNX27.pdf", "Melting_Curves/meltCurve_Q96L92_SNX27.pdf")</f>
        <v>Melting_Curves/meltCurve_Q96L92_SNX27.pdf</v>
      </c>
    </row>
    <row r="5162" spans="1:28" x14ac:dyDescent="0.25">
      <c r="A5162" t="s">
        <v>5166</v>
      </c>
      <c r="B5162">
        <v>0.99252571173614901</v>
      </c>
      <c r="C5162">
        <v>0.81723583925037002</v>
      </c>
      <c r="D5162">
        <v>0.50865419720363803</v>
      </c>
      <c r="E5162">
        <v>0.377525120924664</v>
      </c>
      <c r="F5162">
        <v>0.31797706494737699</v>
      </c>
      <c r="G5162">
        <v>0.202967888613276</v>
      </c>
      <c r="H5162">
        <v>0.159134608705744</v>
      </c>
      <c r="I5162">
        <v>0.19300971464474201</v>
      </c>
      <c r="J5162">
        <v>0.31262173680275501</v>
      </c>
      <c r="K5162">
        <v>0.23017391931723899</v>
      </c>
      <c r="L5162">
        <v>929.083370909461</v>
      </c>
      <c r="M5162">
        <v>20.538359056209401</v>
      </c>
      <c r="N5162">
        <v>46.629641232672697</v>
      </c>
      <c r="O5162">
        <v>44.814192633384103</v>
      </c>
      <c r="P5162">
        <v>-8.8305023858427201E-2</v>
      </c>
      <c r="Q5162">
        <v>0.22930505709486201</v>
      </c>
      <c r="R5162">
        <v>0.96776505403202195</v>
      </c>
      <c r="S5162" t="s">
        <v>11808</v>
      </c>
      <c r="T5162" t="s">
        <v>13290</v>
      </c>
      <c r="U5162" t="s">
        <v>13290</v>
      </c>
      <c r="V5162" t="s">
        <v>13290</v>
      </c>
      <c r="W5162" t="s">
        <v>18402</v>
      </c>
      <c r="X5162">
        <v>3</v>
      </c>
      <c r="Y5162" t="s">
        <v>24881</v>
      </c>
      <c r="Z5162" t="s">
        <v>31492</v>
      </c>
      <c r="AA5162">
        <v>0.375785092668591</v>
      </c>
      <c r="AB5162" t="str">
        <f>HYPERLINK("Melting_Curves/meltCurve_Q96L93_6_KIF16B.pdf", "Melting_Curves/meltCurve_Q96L93_6_KIF16B.pdf")</f>
        <v>Melting_Curves/meltCurve_Q96L93_6_KIF16B.pdf</v>
      </c>
    </row>
    <row r="5163" spans="1:28" x14ac:dyDescent="0.25">
      <c r="A5163" t="s">
        <v>5167</v>
      </c>
      <c r="B5163">
        <v>0.99252571173614901</v>
      </c>
      <c r="C5163">
        <v>0.97313835385028002</v>
      </c>
      <c r="D5163">
        <v>0.82353581673528897</v>
      </c>
      <c r="E5163">
        <v>0.70798310280375998</v>
      </c>
      <c r="F5163">
        <v>0.37658982715547701</v>
      </c>
      <c r="G5163">
        <v>0.20805402978014401</v>
      </c>
      <c r="H5163">
        <v>0.13402480470966799</v>
      </c>
      <c r="I5163">
        <v>0.126032982825869</v>
      </c>
      <c r="J5163">
        <v>0.12401792818858701</v>
      </c>
      <c r="K5163">
        <v>0.10824088327001199</v>
      </c>
      <c r="L5163">
        <v>894.00160437415798</v>
      </c>
      <c r="M5163">
        <v>17.5312212349417</v>
      </c>
      <c r="N5163">
        <v>51.622415387570101</v>
      </c>
      <c r="O5163">
        <v>50.345193580489202</v>
      </c>
      <c r="P5163">
        <v>-7.8704282811381795E-2</v>
      </c>
      <c r="Q5163">
        <v>9.5975118831805595E-2</v>
      </c>
      <c r="R5163">
        <v>0.99445287168889496</v>
      </c>
      <c r="S5163" t="s">
        <v>11809</v>
      </c>
      <c r="T5163" t="s">
        <v>13290</v>
      </c>
      <c r="U5163" t="s">
        <v>13290</v>
      </c>
      <c r="V5163" t="s">
        <v>13290</v>
      </c>
      <c r="W5163" t="s">
        <v>18403</v>
      </c>
      <c r="X5163">
        <v>1</v>
      </c>
      <c r="Y5163" t="s">
        <v>24882</v>
      </c>
      <c r="Z5163" t="s">
        <v>31493</v>
      </c>
      <c r="AA5163">
        <v>0.44326692364660741</v>
      </c>
      <c r="AB5163" t="str">
        <f>HYPERLINK("Melting_Curves/meltCurve_Q96L96_ALPK3.pdf", "Melting_Curves/meltCurve_Q96L96_ALPK3.pdf")</f>
        <v>Melting_Curves/meltCurve_Q96L96_ALPK3.pdf</v>
      </c>
    </row>
    <row r="5164" spans="1:28" x14ac:dyDescent="0.25">
      <c r="A5164" t="s">
        <v>5168</v>
      </c>
      <c r="B5164">
        <v>0.99252571173614901</v>
      </c>
      <c r="C5164">
        <v>0.96208299894341898</v>
      </c>
      <c r="D5164">
        <v>0.93728433938769595</v>
      </c>
      <c r="E5164">
        <v>0.86166261084555196</v>
      </c>
      <c r="F5164">
        <v>0.41744919074186099</v>
      </c>
      <c r="G5164">
        <v>0.17880462976316</v>
      </c>
      <c r="H5164">
        <v>0.14353758706247</v>
      </c>
      <c r="I5164">
        <v>0.12872766271850899</v>
      </c>
      <c r="J5164">
        <v>0.13046424389675801</v>
      </c>
      <c r="K5164">
        <v>0.12882700551929599</v>
      </c>
      <c r="L5164">
        <v>1665.11600701161</v>
      </c>
      <c r="M5164">
        <v>31.990477133626602</v>
      </c>
      <c r="N5164">
        <v>52.5382136518108</v>
      </c>
      <c r="O5164">
        <v>51.848237610121501</v>
      </c>
      <c r="P5164">
        <v>-0.134430495926774</v>
      </c>
      <c r="Q5164">
        <v>0.128497010524702</v>
      </c>
      <c r="R5164">
        <v>0.99711792458378201</v>
      </c>
      <c r="S5164" t="s">
        <v>11810</v>
      </c>
      <c r="T5164" t="s">
        <v>13290</v>
      </c>
      <c r="U5164" t="s">
        <v>13290</v>
      </c>
      <c r="V5164" t="s">
        <v>13290</v>
      </c>
      <c r="W5164" t="s">
        <v>18404</v>
      </c>
      <c r="X5164">
        <v>6</v>
      </c>
      <c r="Y5164" t="s">
        <v>24883</v>
      </c>
      <c r="Z5164" t="s">
        <v>31494</v>
      </c>
      <c r="AA5164">
        <v>0.48346593795103432</v>
      </c>
      <c r="AB5164" t="str">
        <f>HYPERLINK("Melting_Curves/meltCurve_Q96LA8_PRMT6.pdf", "Melting_Curves/meltCurve_Q96LA8_PRMT6.pdf")</f>
        <v>Melting_Curves/meltCurve_Q96LA8_PRMT6.pdf</v>
      </c>
    </row>
    <row r="5165" spans="1:28" x14ac:dyDescent="0.25">
      <c r="A5165" t="s">
        <v>5169</v>
      </c>
      <c r="B5165">
        <v>0.99252571173614901</v>
      </c>
      <c r="C5165">
        <v>0.79767416837683602</v>
      </c>
      <c r="D5165">
        <v>0.52979138320589103</v>
      </c>
      <c r="E5165">
        <v>0.29601091800234203</v>
      </c>
      <c r="F5165">
        <v>0.15864081583655301</v>
      </c>
      <c r="G5165">
        <v>0.105143140443547</v>
      </c>
      <c r="H5165">
        <v>0.103616440745358</v>
      </c>
      <c r="I5165">
        <v>0.14011873139766001</v>
      </c>
      <c r="J5165">
        <v>0.13239877089395899</v>
      </c>
      <c r="K5165">
        <v>0.15486462706324999</v>
      </c>
      <c r="L5165">
        <v>931.65301368896405</v>
      </c>
      <c r="M5165">
        <v>20.382700365975101</v>
      </c>
      <c r="N5165">
        <v>46.352083750712801</v>
      </c>
      <c r="O5165">
        <v>45.274883490034597</v>
      </c>
      <c r="P5165">
        <v>-9.8672925618322999E-2</v>
      </c>
      <c r="Q5165">
        <v>0.123321211816581</v>
      </c>
      <c r="R5165">
        <v>0.99397463726693702</v>
      </c>
      <c r="S5165" t="s">
        <v>11811</v>
      </c>
      <c r="T5165" t="s">
        <v>13290</v>
      </c>
      <c r="U5165" t="s">
        <v>13290</v>
      </c>
      <c r="V5165" t="s">
        <v>13290</v>
      </c>
      <c r="W5165" t="s">
        <v>18405</v>
      </c>
      <c r="X5165">
        <v>7</v>
      </c>
      <c r="Y5165" t="s">
        <v>24884</v>
      </c>
      <c r="Z5165" t="s">
        <v>31495</v>
      </c>
      <c r="AA5165">
        <v>0.30338785651907668</v>
      </c>
      <c r="AB5165" t="str">
        <f>HYPERLINK("Melting_Curves/meltCurve_Q96LB3_IFT74.pdf", "Melting_Curves/meltCurve_Q96LB3_IFT74.pdf")</f>
        <v>Melting_Curves/meltCurve_Q96LB3_IFT74.pdf</v>
      </c>
    </row>
    <row r="5166" spans="1:28" x14ac:dyDescent="0.25">
      <c r="A5166" t="s">
        <v>5170</v>
      </c>
      <c r="B5166">
        <v>0.99252571173614901</v>
      </c>
      <c r="C5166">
        <v>0.83774539557491001</v>
      </c>
      <c r="D5166">
        <v>0.53999581690842102</v>
      </c>
      <c r="E5166">
        <v>0.57409109053983498</v>
      </c>
      <c r="F5166">
        <v>0.37331669336825501</v>
      </c>
      <c r="G5166">
        <v>0.27445054883334802</v>
      </c>
      <c r="H5166">
        <v>0.29402417927810998</v>
      </c>
      <c r="I5166">
        <v>0.29241455009352701</v>
      </c>
      <c r="J5166">
        <v>0.33683867481232999</v>
      </c>
      <c r="K5166">
        <v>0.35345488790739199</v>
      </c>
      <c r="L5166">
        <v>745.16581917898895</v>
      </c>
      <c r="M5166">
        <v>16.308986112449102</v>
      </c>
      <c r="N5166">
        <v>48.574273573733997</v>
      </c>
      <c r="O5166">
        <v>45.020136853105498</v>
      </c>
      <c r="P5166">
        <v>-6.2483215900064198E-2</v>
      </c>
      <c r="Q5166">
        <v>0.31012324256637802</v>
      </c>
      <c r="R5166">
        <v>0.94122889554276601</v>
      </c>
      <c r="S5166" t="s">
        <v>11812</v>
      </c>
      <c r="T5166" t="s">
        <v>13290</v>
      </c>
      <c r="U5166" t="s">
        <v>13290</v>
      </c>
      <c r="V5166" t="s">
        <v>13290</v>
      </c>
      <c r="W5166" t="s">
        <v>18406</v>
      </c>
      <c r="X5166">
        <v>6</v>
      </c>
      <c r="Y5166" t="s">
        <v>24885</v>
      </c>
      <c r="Z5166" t="s">
        <v>31496</v>
      </c>
      <c r="AA5166">
        <v>0.45827446813970812</v>
      </c>
      <c r="AB5166" t="str">
        <f>HYPERLINK("Melting_Curves/meltCurve_Q96LD4_TRIM47.pdf", "Melting_Curves/meltCurve_Q96LD4_TRIM47.pdf")</f>
        <v>Melting_Curves/meltCurve_Q96LD4_TRIM47.pdf</v>
      </c>
    </row>
    <row r="5167" spans="1:28" x14ac:dyDescent="0.25">
      <c r="A5167" t="s">
        <v>5171</v>
      </c>
      <c r="B5167">
        <v>0.99252571173614901</v>
      </c>
      <c r="C5167">
        <v>0.96661606877903905</v>
      </c>
      <c r="D5167">
        <v>0.80461377703817005</v>
      </c>
      <c r="E5167">
        <v>0.40340784672277602</v>
      </c>
      <c r="F5167">
        <v>0.25237558244129199</v>
      </c>
      <c r="G5167">
        <v>0.15275926852310601</v>
      </c>
      <c r="H5167">
        <v>0.13378987748314999</v>
      </c>
      <c r="I5167">
        <v>5.39889149676279E-2</v>
      </c>
      <c r="J5167">
        <v>5.3069629369712198E-2</v>
      </c>
      <c r="K5167">
        <v>5.3671514269889802E-2</v>
      </c>
      <c r="L5167">
        <v>981.86631645822399</v>
      </c>
      <c r="M5167">
        <v>20.1667763542156</v>
      </c>
      <c r="N5167">
        <v>49.082701390279603</v>
      </c>
      <c r="O5167">
        <v>48.216178863036703</v>
      </c>
      <c r="P5167">
        <v>-9.6728110704222006E-2</v>
      </c>
      <c r="Q5167">
        <v>7.4971192704265194E-2</v>
      </c>
      <c r="R5167">
        <v>0.99302076075519197</v>
      </c>
      <c r="S5167" t="s">
        <v>11813</v>
      </c>
      <c r="T5167" t="s">
        <v>13290</v>
      </c>
      <c r="U5167" t="s">
        <v>13290</v>
      </c>
      <c r="V5167" t="s">
        <v>13290</v>
      </c>
      <c r="W5167" t="s">
        <v>18407</v>
      </c>
      <c r="X5167">
        <v>2</v>
      </c>
      <c r="Y5167" t="s">
        <v>24886</v>
      </c>
      <c r="Z5167" t="s">
        <v>31497</v>
      </c>
      <c r="AA5167">
        <v>0.35561897718455437</v>
      </c>
      <c r="AB5167" t="str">
        <f>HYPERLINK("Melting_Curves/meltCurve_Q96LD8_SENP8.pdf", "Melting_Curves/meltCurve_Q96LD8_SENP8.pdf")</f>
        <v>Melting_Curves/meltCurve_Q96LD8_SENP8.pdf</v>
      </c>
    </row>
    <row r="5168" spans="1:28" x14ac:dyDescent="0.25">
      <c r="A5168" t="s">
        <v>5172</v>
      </c>
      <c r="B5168">
        <v>0.99252571173614901</v>
      </c>
      <c r="C5168">
        <v>1.01593445653935</v>
      </c>
      <c r="D5168">
        <v>0.83653841717113497</v>
      </c>
      <c r="E5168">
        <v>0.51488620599158297</v>
      </c>
      <c r="F5168">
        <v>0.21240508242386799</v>
      </c>
      <c r="G5168">
        <v>0.14794467202057399</v>
      </c>
      <c r="H5168">
        <v>0.103252639023484</v>
      </c>
      <c r="I5168">
        <v>0.13987138863117399</v>
      </c>
      <c r="J5168">
        <v>0.16586836543904901</v>
      </c>
      <c r="K5168">
        <v>0.136845202036248</v>
      </c>
      <c r="L5168">
        <v>1278.0019603964399</v>
      </c>
      <c r="M5168">
        <v>26.092806763440699</v>
      </c>
      <c r="N5168">
        <v>49.557151049519099</v>
      </c>
      <c r="O5168">
        <v>48.694130143892899</v>
      </c>
      <c r="P5168">
        <v>-0.116387831374461</v>
      </c>
      <c r="Q5168">
        <v>0.13120292779401799</v>
      </c>
      <c r="R5168">
        <v>0.99601450765186805</v>
      </c>
      <c r="S5168" t="s">
        <v>11814</v>
      </c>
      <c r="T5168" t="s">
        <v>13290</v>
      </c>
      <c r="U5168" t="s">
        <v>13290</v>
      </c>
      <c r="V5168" t="s">
        <v>13290</v>
      </c>
      <c r="W5168" t="s">
        <v>18408</v>
      </c>
      <c r="X5168">
        <v>5</v>
      </c>
      <c r="Y5168" t="s">
        <v>24887</v>
      </c>
      <c r="Z5168" t="s">
        <v>31498</v>
      </c>
      <c r="AA5168">
        <v>0.39828447193883759</v>
      </c>
      <c r="AB5168" t="str">
        <f>HYPERLINK("Melting_Curves/meltCurve_Q96LJ7_DHRS1.pdf", "Melting_Curves/meltCurve_Q96LJ7_DHRS1.pdf")</f>
        <v>Melting_Curves/meltCurve_Q96LJ7_DHRS1.pdf</v>
      </c>
    </row>
    <row r="5169" spans="1:28" x14ac:dyDescent="0.25">
      <c r="A5169" t="s">
        <v>5173</v>
      </c>
      <c r="B5169">
        <v>0.99252571173614901</v>
      </c>
      <c r="C5169">
        <v>1.06611185555698</v>
      </c>
      <c r="D5169">
        <v>0.87806563237175805</v>
      </c>
      <c r="E5169">
        <v>0.493860158929528</v>
      </c>
      <c r="F5169">
        <v>0.179118074426137</v>
      </c>
      <c r="G5169">
        <v>0.10523416822604099</v>
      </c>
      <c r="H5169">
        <v>7.8629678260916394E-2</v>
      </c>
      <c r="I5169">
        <v>7.34902213897205E-2</v>
      </c>
      <c r="J5169">
        <v>0.101672618600195</v>
      </c>
      <c r="K5169">
        <v>8.1771347172718403E-2</v>
      </c>
      <c r="L5169">
        <v>1441.2930592647499</v>
      </c>
      <c r="M5169">
        <v>29.278846302072601</v>
      </c>
      <c r="N5169">
        <v>49.537760523078198</v>
      </c>
      <c r="O5169">
        <v>48.998497961574799</v>
      </c>
      <c r="P5169">
        <v>-0.136833990992068</v>
      </c>
      <c r="Q5169">
        <v>8.4033181101820703E-2</v>
      </c>
      <c r="R5169">
        <v>0.99553151260117501</v>
      </c>
      <c r="S5169" t="s">
        <v>11815</v>
      </c>
      <c r="T5169" t="s">
        <v>13290</v>
      </c>
      <c r="U5169" t="s">
        <v>13290</v>
      </c>
      <c r="V5169" t="s">
        <v>13290</v>
      </c>
      <c r="W5169" t="s">
        <v>18409</v>
      </c>
      <c r="X5169">
        <v>5</v>
      </c>
      <c r="Y5169" t="s">
        <v>24888</v>
      </c>
      <c r="Z5169" t="s">
        <v>31499</v>
      </c>
      <c r="AA5169">
        <v>0.37161925878972363</v>
      </c>
      <c r="AB5169" t="str">
        <f>HYPERLINK("Melting_Curves/meltCurve_Q96LR5_UBE2E2.pdf", "Melting_Curves/meltCurve_Q96LR5_UBE2E2.pdf")</f>
        <v>Melting_Curves/meltCurve_Q96LR5_UBE2E2.pdf</v>
      </c>
    </row>
    <row r="5170" spans="1:28" x14ac:dyDescent="0.25">
      <c r="A5170" t="s">
        <v>5174</v>
      </c>
      <c r="B5170">
        <v>0.99252571173614901</v>
      </c>
      <c r="C5170">
        <v>0.95927705906534899</v>
      </c>
      <c r="D5170">
        <v>0.98250204052464996</v>
      </c>
      <c r="E5170">
        <v>0.86049870900991898</v>
      </c>
      <c r="F5170">
        <v>0.522826388317431</v>
      </c>
      <c r="G5170">
        <v>0.25655316655838001</v>
      </c>
      <c r="H5170">
        <v>0.12106696758952901</v>
      </c>
      <c r="I5170">
        <v>0.104402414643053</v>
      </c>
      <c r="J5170">
        <v>0.122507914136315</v>
      </c>
      <c r="K5170">
        <v>9.9377682615419696E-2</v>
      </c>
      <c r="L5170">
        <v>1294.1778844257201</v>
      </c>
      <c r="M5170">
        <v>24.4231482250594</v>
      </c>
      <c r="N5170">
        <v>53.4736740980128</v>
      </c>
      <c r="O5170">
        <v>52.638384681197799</v>
      </c>
      <c r="P5170">
        <v>-0.10449665753776601</v>
      </c>
      <c r="Q5170">
        <v>9.9140883501049007E-2</v>
      </c>
      <c r="R5170">
        <v>0.99845054189170301</v>
      </c>
      <c r="S5170" t="s">
        <v>11816</v>
      </c>
      <c r="T5170" t="s">
        <v>13290</v>
      </c>
      <c r="U5170" t="s">
        <v>13290</v>
      </c>
      <c r="V5170" t="s">
        <v>13290</v>
      </c>
      <c r="W5170" t="s">
        <v>18410</v>
      </c>
      <c r="X5170">
        <v>2</v>
      </c>
      <c r="Y5170" t="s">
        <v>24889</v>
      </c>
      <c r="Z5170" t="s">
        <v>31500</v>
      </c>
      <c r="AA5170">
        <v>0.49787111654976912</v>
      </c>
      <c r="AB5170" t="str">
        <f>HYPERLINK("Melting_Curves/meltCurve_Q96LT7_C9orf72.pdf", "Melting_Curves/meltCurve_Q96LT7_C9orf72.pdf")</f>
        <v>Melting_Curves/meltCurve_Q96LT7_C9orf72.pdf</v>
      </c>
    </row>
    <row r="5171" spans="1:28" x14ac:dyDescent="0.25">
      <c r="A5171" t="s">
        <v>5175</v>
      </c>
      <c r="B5171">
        <v>0.99252571173614901</v>
      </c>
      <c r="C5171">
        <v>1.18523742935851</v>
      </c>
      <c r="D5171">
        <v>1.44847675142402</v>
      </c>
      <c r="E5171">
        <v>4.2002908197127899</v>
      </c>
      <c r="F5171">
        <v>1.5214599236070301</v>
      </c>
      <c r="G5171">
        <v>1.1619261186085199</v>
      </c>
      <c r="H5171">
        <v>0.815943156950246</v>
      </c>
      <c r="I5171">
        <v>1.06296362002926</v>
      </c>
      <c r="J5171">
        <v>1.38588721687834</v>
      </c>
      <c r="K5171">
        <v>2.6681978627954801</v>
      </c>
      <c r="L5171">
        <v>3087.8243279048402</v>
      </c>
      <c r="M5171">
        <v>71.434580325873895</v>
      </c>
      <c r="O5171">
        <v>43.192065046343302</v>
      </c>
      <c r="P5171">
        <v>0.206735296435377</v>
      </c>
      <c r="Q5171">
        <v>1.5</v>
      </c>
      <c r="R5171">
        <v>1.5497671702404899E-2</v>
      </c>
      <c r="S5171" t="s">
        <v>11817</v>
      </c>
      <c r="T5171" t="s">
        <v>13290</v>
      </c>
      <c r="U5171" t="s">
        <v>13290</v>
      </c>
      <c r="V5171" t="s">
        <v>13290</v>
      </c>
      <c r="W5171" t="s">
        <v>18411</v>
      </c>
      <c r="X5171">
        <v>1</v>
      </c>
      <c r="Y5171" t="s">
        <v>24890</v>
      </c>
      <c r="Z5171" t="s">
        <v>31501</v>
      </c>
      <c r="AA5171">
        <v>1.4457427327902079</v>
      </c>
      <c r="AB5171" t="str">
        <f>HYPERLINK("Melting_Curves/meltCurve_Q96M20_2_CNBD2.pdf", "Melting_Curves/meltCurve_Q96M20_2_CNBD2.pdf")</f>
        <v>Melting_Curves/meltCurve_Q96M20_2_CNBD2.pdf</v>
      </c>
    </row>
    <row r="5172" spans="1:28" x14ac:dyDescent="0.25">
      <c r="A5172" t="s">
        <v>5176</v>
      </c>
      <c r="B5172">
        <v>0.99252571173614901</v>
      </c>
      <c r="C5172">
        <v>1.0972119600872901</v>
      </c>
      <c r="D5172">
        <v>1.02076976825958</v>
      </c>
      <c r="E5172">
        <v>1.07472938404645</v>
      </c>
      <c r="F5172">
        <v>0.86936542204178202</v>
      </c>
      <c r="G5172">
        <v>0.81068241806067498</v>
      </c>
      <c r="H5172">
        <v>0.77317656355726905</v>
      </c>
      <c r="I5172">
        <v>1.1561814813759601</v>
      </c>
      <c r="J5172">
        <v>1.43158323322696</v>
      </c>
      <c r="K5172">
        <v>1.0133663584611401</v>
      </c>
      <c r="L5172">
        <v>15000</v>
      </c>
      <c r="M5172">
        <v>235.23187132937801</v>
      </c>
      <c r="O5172">
        <v>63.762260949525697</v>
      </c>
      <c r="P5172">
        <v>0.205188505785381</v>
      </c>
      <c r="Q5172">
        <v>1.2224746641113999</v>
      </c>
      <c r="R5172">
        <v>0.36200151299793698</v>
      </c>
      <c r="S5172" t="s">
        <v>11818</v>
      </c>
      <c r="T5172" t="s">
        <v>13290</v>
      </c>
      <c r="U5172" t="s">
        <v>13290</v>
      </c>
      <c r="V5172" t="s">
        <v>13290</v>
      </c>
      <c r="W5172" t="s">
        <v>18412</v>
      </c>
      <c r="X5172">
        <v>11</v>
      </c>
      <c r="Y5172" t="s">
        <v>24891</v>
      </c>
      <c r="Z5172" t="s">
        <v>31502</v>
      </c>
      <c r="AA5172">
        <v>1.046195666264095</v>
      </c>
      <c r="AB5172" t="str">
        <f>HYPERLINK("Melting_Curves/meltCurve_Q96M27_PRRC1.pdf", "Melting_Curves/meltCurve_Q96M27_PRRC1.pdf")</f>
        <v>Melting_Curves/meltCurve_Q96M27_PRRC1.pdf</v>
      </c>
    </row>
    <row r="5173" spans="1:28" x14ac:dyDescent="0.25">
      <c r="A5173" t="s">
        <v>5177</v>
      </c>
      <c r="B5173">
        <v>0.99252571173614901</v>
      </c>
      <c r="C5173">
        <v>1.1173129237133299</v>
      </c>
      <c r="D5173">
        <v>0.86928961370326796</v>
      </c>
      <c r="E5173">
        <v>0.51167467898756003</v>
      </c>
      <c r="F5173">
        <v>0.24816095468145299</v>
      </c>
      <c r="G5173">
        <v>0.107134007626525</v>
      </c>
      <c r="H5173">
        <v>0.10092866111483</v>
      </c>
      <c r="I5173">
        <v>0.12648469725398001</v>
      </c>
      <c r="J5173">
        <v>0.151996437676061</v>
      </c>
      <c r="K5173">
        <v>0.18991291142748501</v>
      </c>
      <c r="L5173">
        <v>1440.3060950172601</v>
      </c>
      <c r="M5173">
        <v>29.296567039166501</v>
      </c>
      <c r="N5173">
        <v>49.700929153935199</v>
      </c>
      <c r="O5173">
        <v>48.935605907299603</v>
      </c>
      <c r="P5173">
        <v>-0.12933346306815</v>
      </c>
      <c r="Q5173">
        <v>0.13587604808036199</v>
      </c>
      <c r="R5173">
        <v>0.98280661948095205</v>
      </c>
      <c r="S5173" t="s">
        <v>11819</v>
      </c>
      <c r="T5173" t="s">
        <v>13290</v>
      </c>
      <c r="U5173" t="s">
        <v>13290</v>
      </c>
      <c r="V5173" t="s">
        <v>13290</v>
      </c>
      <c r="W5173" t="s">
        <v>18413</v>
      </c>
      <c r="X5173">
        <v>3</v>
      </c>
      <c r="Y5173" t="s">
        <v>24892</v>
      </c>
      <c r="Z5173" t="s">
        <v>31503</v>
      </c>
      <c r="AA5173">
        <v>0.40534516876902121</v>
      </c>
      <c r="AB5173" t="str">
        <f>HYPERLINK("Melting_Curves/meltCurve_Q96M32_AK7.pdf", "Melting_Curves/meltCurve_Q96M32_AK7.pdf")</f>
        <v>Melting_Curves/meltCurve_Q96M32_AK7.pdf</v>
      </c>
    </row>
    <row r="5174" spans="1:28" x14ac:dyDescent="0.25">
      <c r="A5174" t="s">
        <v>5178</v>
      </c>
      <c r="B5174">
        <v>0.99252571173614901</v>
      </c>
      <c r="C5174">
        <v>1.0045137239750901</v>
      </c>
      <c r="D5174">
        <v>0.97550306482617899</v>
      </c>
      <c r="E5174">
        <v>0.84008069190835799</v>
      </c>
      <c r="F5174">
        <v>0.51078846711862902</v>
      </c>
      <c r="G5174">
        <v>0.16854596687399101</v>
      </c>
      <c r="H5174">
        <v>0.104875732610583</v>
      </c>
      <c r="I5174">
        <v>0.100771391067527</v>
      </c>
      <c r="J5174">
        <v>8.0949769407591105E-2</v>
      </c>
      <c r="K5174">
        <v>7.3415577733964898E-2</v>
      </c>
      <c r="L5174">
        <v>1403.0973594096399</v>
      </c>
      <c r="M5174">
        <v>26.588619910821201</v>
      </c>
      <c r="N5174">
        <v>53.099996987325298</v>
      </c>
      <c r="O5174">
        <v>52.4748029225454</v>
      </c>
      <c r="P5174">
        <v>-0.117043867677275</v>
      </c>
      <c r="Q5174">
        <v>7.6027372481468097E-2</v>
      </c>
      <c r="R5174">
        <v>0.99873146223679699</v>
      </c>
      <c r="S5174" t="s">
        <v>11820</v>
      </c>
      <c r="T5174" t="s">
        <v>13290</v>
      </c>
      <c r="U5174" t="s">
        <v>13290</v>
      </c>
      <c r="V5174" t="s">
        <v>13290</v>
      </c>
      <c r="W5174" t="s">
        <v>18414</v>
      </c>
      <c r="X5174">
        <v>16</v>
      </c>
      <c r="Y5174" t="s">
        <v>24893</v>
      </c>
      <c r="Z5174" t="s">
        <v>31504</v>
      </c>
      <c r="AA5174">
        <v>0.47690237595884732</v>
      </c>
      <c r="AB5174" t="str">
        <f>HYPERLINK("Melting_Curves/meltCurve_Q96ME1_4_FBXL18.pdf", "Melting_Curves/meltCurve_Q96ME1_4_FBXL18.pdf")</f>
        <v>Melting_Curves/meltCurve_Q96ME1_4_FBXL18.pdf</v>
      </c>
    </row>
    <row r="5175" spans="1:28" x14ac:dyDescent="0.25">
      <c r="A5175" t="s">
        <v>5179</v>
      </c>
      <c r="B5175">
        <v>0.99252571173614901</v>
      </c>
      <c r="C5175">
        <v>1.0571378008171699</v>
      </c>
      <c r="D5175">
        <v>0.96688015500781099</v>
      </c>
      <c r="E5175">
        <v>1.06672123400923</v>
      </c>
      <c r="F5175">
        <v>0.91022565551376999</v>
      </c>
      <c r="G5175">
        <v>0.68973573946942301</v>
      </c>
      <c r="H5175">
        <v>0.62382033010874705</v>
      </c>
      <c r="I5175">
        <v>0.71276184142146104</v>
      </c>
      <c r="J5175">
        <v>1.0502239853967501</v>
      </c>
      <c r="K5175">
        <v>0.97265470596076897</v>
      </c>
      <c r="L5175">
        <v>13305.943796403501</v>
      </c>
      <c r="M5175">
        <v>250</v>
      </c>
      <c r="O5175">
        <v>53.220350366864601</v>
      </c>
      <c r="P5175">
        <v>-0.22331754524494499</v>
      </c>
      <c r="Q5175">
        <v>0.80983932448047202</v>
      </c>
      <c r="R5175">
        <v>0.39070103460348699</v>
      </c>
      <c r="S5175" t="s">
        <v>11821</v>
      </c>
      <c r="T5175" t="s">
        <v>13290</v>
      </c>
      <c r="U5175" t="s">
        <v>13290</v>
      </c>
      <c r="V5175" t="s">
        <v>13290</v>
      </c>
      <c r="W5175" t="s">
        <v>18415</v>
      </c>
      <c r="X5175">
        <v>11</v>
      </c>
      <c r="Y5175" t="s">
        <v>24894</v>
      </c>
      <c r="Z5175" t="s">
        <v>31505</v>
      </c>
      <c r="AA5175">
        <v>0.89367848753961499</v>
      </c>
      <c r="AB5175" t="str">
        <f>HYPERLINK("Melting_Curves/meltCurve_Q96MG2_JSRP1.pdf", "Melting_Curves/meltCurve_Q96MG2_JSRP1.pdf")</f>
        <v>Melting_Curves/meltCurve_Q96MG2_JSRP1.pdf</v>
      </c>
    </row>
    <row r="5176" spans="1:28" x14ac:dyDescent="0.25">
      <c r="A5176" t="s">
        <v>5180</v>
      </c>
      <c r="B5176">
        <v>0.99252571173614901</v>
      </c>
      <c r="C5176">
        <v>0.88629320080962404</v>
      </c>
      <c r="D5176">
        <v>0.75911521582155295</v>
      </c>
      <c r="E5176">
        <v>0.74592472948606803</v>
      </c>
      <c r="F5176">
        <v>0.47998549183674899</v>
      </c>
      <c r="G5176">
        <v>0.29260984539712898</v>
      </c>
      <c r="H5176">
        <v>0.22765023569068499</v>
      </c>
      <c r="I5176">
        <v>0.26575827748505298</v>
      </c>
      <c r="J5176">
        <v>0.36114989862729502</v>
      </c>
      <c r="K5176">
        <v>0.334589521662009</v>
      </c>
      <c r="L5176">
        <v>730.28059384558298</v>
      </c>
      <c r="M5176">
        <v>14.6906601852608</v>
      </c>
      <c r="N5176">
        <v>52.436576973760197</v>
      </c>
      <c r="O5176">
        <v>48.816669632799901</v>
      </c>
      <c r="P5176">
        <v>-5.51496484791048E-2</v>
      </c>
      <c r="Q5176">
        <v>0.26703714716958299</v>
      </c>
      <c r="R5176">
        <v>0.942036443226552</v>
      </c>
      <c r="S5176" t="s">
        <v>11822</v>
      </c>
      <c r="T5176" t="s">
        <v>13290</v>
      </c>
      <c r="U5176" t="s">
        <v>13290</v>
      </c>
      <c r="V5176" t="s">
        <v>13290</v>
      </c>
      <c r="W5176" t="s">
        <v>18416</v>
      </c>
      <c r="X5176">
        <v>3</v>
      </c>
      <c r="Y5176" t="s">
        <v>24895</v>
      </c>
      <c r="Z5176" t="s">
        <v>31506</v>
      </c>
      <c r="AA5176">
        <v>0.52260333202409925</v>
      </c>
      <c r="AB5176" t="str">
        <f>HYPERLINK("Melting_Curves/meltCurve_Q96MG7_NDNL2.pdf", "Melting_Curves/meltCurve_Q96MG7_NDNL2.pdf")</f>
        <v>Melting_Curves/meltCurve_Q96MG7_NDNL2.pdf</v>
      </c>
    </row>
    <row r="5177" spans="1:28" x14ac:dyDescent="0.25">
      <c r="A5177" t="s">
        <v>5181</v>
      </c>
      <c r="B5177">
        <v>0.99252571173614901</v>
      </c>
      <c r="C5177">
        <v>1.0061662413783801</v>
      </c>
      <c r="D5177">
        <v>0.97508428011025305</v>
      </c>
      <c r="E5177">
        <v>0.99775527065772396</v>
      </c>
      <c r="F5177">
        <v>0.96381546151513198</v>
      </c>
      <c r="G5177">
        <v>0.80869809075892396</v>
      </c>
      <c r="H5177">
        <v>0.78855701931729305</v>
      </c>
      <c r="I5177">
        <v>1.18589116760459</v>
      </c>
      <c r="J5177">
        <v>1.8069617714446</v>
      </c>
      <c r="K5177">
        <v>2.1467530562926198</v>
      </c>
      <c r="L5177">
        <v>15000</v>
      </c>
      <c r="M5177">
        <v>233.850778782514</v>
      </c>
      <c r="O5177">
        <v>64.138777902057399</v>
      </c>
      <c r="P5177">
        <v>0.45575155532950101</v>
      </c>
      <c r="Q5177">
        <v>1.5</v>
      </c>
      <c r="R5177">
        <v>0.669790830493184</v>
      </c>
      <c r="S5177" t="s">
        <v>11823</v>
      </c>
      <c r="T5177" t="s">
        <v>13290</v>
      </c>
      <c r="U5177" t="s">
        <v>13290</v>
      </c>
      <c r="V5177" t="s">
        <v>13290</v>
      </c>
      <c r="W5177" t="s">
        <v>18417</v>
      </c>
      <c r="X5177">
        <v>7</v>
      </c>
      <c r="Y5177" t="s">
        <v>24896</v>
      </c>
      <c r="Z5177" t="s">
        <v>31507</v>
      </c>
      <c r="AA5177">
        <v>1.097544533064496</v>
      </c>
      <c r="AB5177" t="str">
        <f>HYPERLINK("Melting_Curves/meltCurve_Q96MH2_HEXIM2.pdf", "Melting_Curves/meltCurve_Q96MH2_HEXIM2.pdf")</f>
        <v>Melting_Curves/meltCurve_Q96MH2_HEXIM2.pdf</v>
      </c>
    </row>
    <row r="5178" spans="1:28" x14ac:dyDescent="0.25">
      <c r="A5178" t="s">
        <v>5182</v>
      </c>
      <c r="B5178">
        <v>0.99252571173614901</v>
      </c>
      <c r="C5178">
        <v>1.0198007130322699</v>
      </c>
      <c r="D5178">
        <v>0.93778342881583598</v>
      </c>
      <c r="E5178">
        <v>0.85898682576229102</v>
      </c>
      <c r="F5178">
        <v>0.83379215570835297</v>
      </c>
      <c r="G5178">
        <v>0.64671577562469496</v>
      </c>
      <c r="H5178">
        <v>0.30626827327441197</v>
      </c>
      <c r="I5178">
        <v>9.6823477306157105E-2</v>
      </c>
      <c r="J5178">
        <v>8.5736441311673101E-2</v>
      </c>
      <c r="K5178">
        <v>7.9040532651948103E-2</v>
      </c>
      <c r="L5178">
        <v>1029.2146250323599</v>
      </c>
      <c r="M5178">
        <v>17.732658290476301</v>
      </c>
      <c r="N5178">
        <v>58.040629172725097</v>
      </c>
      <c r="O5178">
        <v>57.317589197816403</v>
      </c>
      <c r="P5178">
        <v>-7.7347925147002103E-2</v>
      </c>
      <c r="Q5178">
        <v>0</v>
      </c>
      <c r="R5178">
        <v>0.98611214039408301</v>
      </c>
      <c r="S5178" t="s">
        <v>11824</v>
      </c>
      <c r="T5178" t="s">
        <v>13290</v>
      </c>
      <c r="U5178" t="s">
        <v>13290</v>
      </c>
      <c r="V5178" t="s">
        <v>13290</v>
      </c>
      <c r="W5178" t="s">
        <v>18418</v>
      </c>
      <c r="X5178">
        <v>4</v>
      </c>
      <c r="Y5178" t="s">
        <v>24897</v>
      </c>
      <c r="Z5178" t="s">
        <v>31508</v>
      </c>
      <c r="AA5178">
        <v>0.61378491913302102</v>
      </c>
      <c r="AB5178" t="str">
        <f>HYPERLINK("Melting_Curves/meltCurve_Q96MH6_TMEM68.pdf", "Melting_Curves/meltCurve_Q96MH6_TMEM68.pdf")</f>
        <v>Melting_Curves/meltCurve_Q96MH6_TMEM68.pdf</v>
      </c>
    </row>
    <row r="5179" spans="1:28" x14ac:dyDescent="0.25">
      <c r="A5179" t="s">
        <v>5183</v>
      </c>
      <c r="B5179">
        <v>0.99252571173614901</v>
      </c>
      <c r="C5179">
        <v>0.937451005166684</v>
      </c>
      <c r="D5179">
        <v>0.96869634318198505</v>
      </c>
      <c r="E5179">
        <v>0.76737170200682903</v>
      </c>
      <c r="F5179">
        <v>0.51313838211380003</v>
      </c>
      <c r="G5179">
        <v>0.29770367067381698</v>
      </c>
      <c r="H5179">
        <v>0.110232736468791</v>
      </c>
      <c r="I5179">
        <v>9.9608090145780204E-2</v>
      </c>
      <c r="J5179">
        <v>0.121001918758991</v>
      </c>
      <c r="K5179">
        <v>0.122751724679726</v>
      </c>
      <c r="L5179">
        <v>987.76964756848997</v>
      </c>
      <c r="M5179">
        <v>18.739941888630199</v>
      </c>
      <c r="N5179">
        <v>53.255498251858199</v>
      </c>
      <c r="O5179">
        <v>52.120117275766397</v>
      </c>
      <c r="P5179">
        <v>-8.2033136315343105E-2</v>
      </c>
      <c r="Q5179">
        <v>8.74258310095756E-2</v>
      </c>
      <c r="R5179">
        <v>0.99441747613613696</v>
      </c>
      <c r="S5179" t="s">
        <v>11825</v>
      </c>
      <c r="T5179" t="s">
        <v>13290</v>
      </c>
      <c r="U5179" t="s">
        <v>13290</v>
      </c>
      <c r="V5179" t="s">
        <v>13290</v>
      </c>
      <c r="W5179" t="s">
        <v>18419</v>
      </c>
      <c r="X5179">
        <v>8</v>
      </c>
      <c r="Y5179" t="s">
        <v>24898</v>
      </c>
      <c r="Z5179" t="s">
        <v>31509</v>
      </c>
      <c r="AA5179">
        <v>0.48808640669712389</v>
      </c>
      <c r="AB5179" t="str">
        <f>HYPERLINK("Melting_Curves/meltCurve_Q96MX6_WDR92.pdf", "Melting_Curves/meltCurve_Q96MX6_WDR92.pdf")</f>
        <v>Melting_Curves/meltCurve_Q96MX6_WDR92.pdf</v>
      </c>
    </row>
    <row r="5180" spans="1:28" x14ac:dyDescent="0.25">
      <c r="A5180" t="s">
        <v>5184</v>
      </c>
      <c r="B5180">
        <v>0.99252571173614901</v>
      </c>
      <c r="C5180">
        <v>0.89195120769686398</v>
      </c>
      <c r="D5180">
        <v>0.67723319493492695</v>
      </c>
      <c r="E5180">
        <v>0.42853708274919899</v>
      </c>
      <c r="F5180">
        <v>0.264853124513723</v>
      </c>
      <c r="G5180">
        <v>0.133258844204731</v>
      </c>
      <c r="H5180">
        <v>0.106952058290292</v>
      </c>
      <c r="I5180">
        <v>9.8852853789531403E-2</v>
      </c>
      <c r="J5180">
        <v>9.8572578947556305E-2</v>
      </c>
      <c r="K5180">
        <v>8.7658088233855694E-2</v>
      </c>
      <c r="L5180">
        <v>773.78451607015302</v>
      </c>
      <c r="M5180">
        <v>16.112274482005901</v>
      </c>
      <c r="N5180">
        <v>48.567515485915997</v>
      </c>
      <c r="O5180">
        <v>47.3030392449174</v>
      </c>
      <c r="P5180">
        <v>-7.81418384881402E-2</v>
      </c>
      <c r="Q5180">
        <v>8.2422822585928104E-2</v>
      </c>
      <c r="R5180">
        <v>0.99797079451618897</v>
      </c>
      <c r="S5180" t="s">
        <v>11826</v>
      </c>
      <c r="T5180" t="s">
        <v>13290</v>
      </c>
      <c r="U5180" t="s">
        <v>13290</v>
      </c>
      <c r="V5180" t="s">
        <v>13290</v>
      </c>
      <c r="W5180" t="s">
        <v>18420</v>
      </c>
      <c r="X5180">
        <v>1</v>
      </c>
      <c r="Y5180" t="s">
        <v>24899</v>
      </c>
      <c r="Z5180" t="s">
        <v>31510</v>
      </c>
      <c r="AA5180">
        <v>0.34829722133537322</v>
      </c>
      <c r="AB5180" t="str">
        <f>HYPERLINK("Melting_Curves/meltCurve_Q96N21_2_ENTHD2.pdf", "Melting_Curves/meltCurve_Q96N21_2_ENTHD2.pdf")</f>
        <v>Melting_Curves/meltCurve_Q96N21_2_ENTHD2.pdf</v>
      </c>
    </row>
    <row r="5181" spans="1:28" x14ac:dyDescent="0.25">
      <c r="A5181" t="s">
        <v>5185</v>
      </c>
      <c r="B5181">
        <v>0.99252571173614901</v>
      </c>
      <c r="C5181">
        <v>1.05622353575537</v>
      </c>
      <c r="D5181">
        <v>0.89521468405728499</v>
      </c>
      <c r="E5181">
        <v>0.76016191127349997</v>
      </c>
      <c r="F5181">
        <v>0.50939058274913496</v>
      </c>
      <c r="G5181">
        <v>0.326256653991288</v>
      </c>
      <c r="H5181">
        <v>0.24340492133094199</v>
      </c>
      <c r="I5181">
        <v>0.24119694431727601</v>
      </c>
      <c r="J5181">
        <v>0.19347274243496801</v>
      </c>
      <c r="K5181">
        <v>0.17653649430401999</v>
      </c>
      <c r="L5181">
        <v>929.31141051633801</v>
      </c>
      <c r="M5181">
        <v>17.888677066968398</v>
      </c>
      <c r="N5181">
        <v>53.338982634555997</v>
      </c>
      <c r="O5181">
        <v>51.313550229949797</v>
      </c>
      <c r="P5181">
        <v>-7.0927097568499506E-2</v>
      </c>
      <c r="Q5181">
        <v>0.186225531069591</v>
      </c>
      <c r="R5181">
        <v>0.99310115229780105</v>
      </c>
      <c r="S5181" t="s">
        <v>11827</v>
      </c>
      <c r="T5181" t="s">
        <v>13290</v>
      </c>
      <c r="U5181" t="s">
        <v>13290</v>
      </c>
      <c r="V5181" t="s">
        <v>13290</v>
      </c>
      <c r="W5181" t="s">
        <v>18421</v>
      </c>
      <c r="X5181">
        <v>1</v>
      </c>
      <c r="Y5181" t="s">
        <v>24900</v>
      </c>
      <c r="Z5181" t="s">
        <v>31511</v>
      </c>
      <c r="AA5181">
        <v>0.5240665029704995</v>
      </c>
      <c r="AB5181" t="str">
        <f>HYPERLINK("Melting_Curves/meltCurve_Q96N46_TTC14.pdf", "Melting_Curves/meltCurve_Q96N46_TTC14.pdf")</f>
        <v>Melting_Curves/meltCurve_Q96N46_TTC14.pdf</v>
      </c>
    </row>
    <row r="5182" spans="1:28" x14ac:dyDescent="0.25">
      <c r="A5182" t="s">
        <v>5186</v>
      </c>
      <c r="B5182">
        <v>0.99252571173614901</v>
      </c>
      <c r="C5182">
        <v>0.99856755758416904</v>
      </c>
      <c r="D5182">
        <v>0.88216718833975305</v>
      </c>
      <c r="E5182">
        <v>0.68317758235162496</v>
      </c>
      <c r="F5182">
        <v>0.65474061213865398</v>
      </c>
      <c r="G5182">
        <v>0.44452911686765201</v>
      </c>
      <c r="H5182">
        <v>0.35184085097513401</v>
      </c>
      <c r="I5182">
        <v>0.238442351081598</v>
      </c>
      <c r="J5182">
        <v>0.21477303511339799</v>
      </c>
      <c r="K5182">
        <v>0.19272174926428901</v>
      </c>
      <c r="L5182">
        <v>557.02391708801201</v>
      </c>
      <c r="M5182">
        <v>10.2430337966693</v>
      </c>
      <c r="N5182">
        <v>55.648270130455998</v>
      </c>
      <c r="O5182">
        <v>52.430312887476802</v>
      </c>
      <c r="P5182">
        <v>-4.37788945343466E-2</v>
      </c>
      <c r="Q5182">
        <v>0.104045450052031</v>
      </c>
      <c r="R5182">
        <v>0.98664297556125802</v>
      </c>
      <c r="S5182" t="s">
        <v>11828</v>
      </c>
      <c r="T5182" t="s">
        <v>13290</v>
      </c>
      <c r="U5182" t="s">
        <v>13290</v>
      </c>
      <c r="V5182" t="s">
        <v>13290</v>
      </c>
      <c r="W5182" t="s">
        <v>18422</v>
      </c>
      <c r="X5182">
        <v>3</v>
      </c>
      <c r="Y5182" t="s">
        <v>24901</v>
      </c>
      <c r="Z5182" t="s">
        <v>31512</v>
      </c>
      <c r="AA5182">
        <v>0.55879373755987771</v>
      </c>
      <c r="AB5182" t="str">
        <f>HYPERLINK("Melting_Curves/meltCurve_Q96N66_2_MBOAT7.pdf", "Melting_Curves/meltCurve_Q96N66_2_MBOAT7.pdf")</f>
        <v>Melting_Curves/meltCurve_Q96N66_2_MBOAT7.pdf</v>
      </c>
    </row>
    <row r="5183" spans="1:28" x14ac:dyDescent="0.25">
      <c r="A5183" t="s">
        <v>5187</v>
      </c>
      <c r="B5183">
        <v>0.99252571173614901</v>
      </c>
      <c r="C5183">
        <v>0.885820359335875</v>
      </c>
      <c r="D5183">
        <v>0.83059810803356005</v>
      </c>
      <c r="E5183">
        <v>0.81050086815807698</v>
      </c>
      <c r="F5183">
        <v>0.66287833435964405</v>
      </c>
      <c r="G5183">
        <v>0.20735619469091199</v>
      </c>
      <c r="H5183">
        <v>0.111178278978706</v>
      </c>
      <c r="I5183">
        <v>0.107247036441438</v>
      </c>
      <c r="J5183">
        <v>9.4868670253232396E-2</v>
      </c>
      <c r="K5183">
        <v>8.0685648541563404E-2</v>
      </c>
      <c r="L5183">
        <v>959.23383638831694</v>
      </c>
      <c r="M5183">
        <v>17.9072259391301</v>
      </c>
      <c r="N5183">
        <v>53.855801765138402</v>
      </c>
      <c r="O5183">
        <v>52.912236551067302</v>
      </c>
      <c r="P5183">
        <v>-8.0737169831473096E-2</v>
      </c>
      <c r="Q5183">
        <v>4.5799922658510198E-2</v>
      </c>
      <c r="R5183">
        <v>0.964017218637787</v>
      </c>
      <c r="S5183" t="s">
        <v>11829</v>
      </c>
      <c r="T5183" t="s">
        <v>13290</v>
      </c>
      <c r="U5183" t="s">
        <v>13290</v>
      </c>
      <c r="V5183" t="s">
        <v>13290</v>
      </c>
      <c r="W5183" t="s">
        <v>18423</v>
      </c>
      <c r="X5183">
        <v>6</v>
      </c>
      <c r="Y5183" t="s">
        <v>24902</v>
      </c>
      <c r="Z5183" t="s">
        <v>31513</v>
      </c>
      <c r="AA5183">
        <v>0.49287648751045599</v>
      </c>
      <c r="AB5183" t="str">
        <f>HYPERLINK("Melting_Curves/meltCurve_Q96NB2_SFXN2.pdf", "Melting_Curves/meltCurve_Q96NB2_SFXN2.pdf")</f>
        <v>Melting_Curves/meltCurve_Q96NB2_SFXN2.pdf</v>
      </c>
    </row>
    <row r="5184" spans="1:28" x14ac:dyDescent="0.25">
      <c r="A5184" t="s">
        <v>5188</v>
      </c>
      <c r="B5184">
        <v>0.99252571173614901</v>
      </c>
      <c r="C5184">
        <v>1.1033117755684101</v>
      </c>
      <c r="D5184">
        <v>1.1555488915857901</v>
      </c>
      <c r="E5184">
        <v>1.0769445586422199</v>
      </c>
      <c r="F5184">
        <v>1.1110468622148499</v>
      </c>
      <c r="G5184">
        <v>0.815232300817192</v>
      </c>
      <c r="H5184">
        <v>0.76931193731799496</v>
      </c>
      <c r="I5184">
        <v>0.96308039943569801</v>
      </c>
      <c r="J5184">
        <v>1.3130810848607799</v>
      </c>
      <c r="K5184">
        <v>1.3532118715702599</v>
      </c>
      <c r="L5184">
        <v>15000</v>
      </c>
      <c r="M5184">
        <v>225.598464327258</v>
      </c>
      <c r="O5184">
        <v>66.484589306818705</v>
      </c>
      <c r="P5184">
        <v>0.29967486588659797</v>
      </c>
      <c r="Q5184">
        <v>1.3532605667743101</v>
      </c>
      <c r="R5184">
        <v>0.55931028883376599</v>
      </c>
      <c r="S5184" t="s">
        <v>11830</v>
      </c>
      <c r="T5184" t="s">
        <v>13290</v>
      </c>
      <c r="U5184" t="s">
        <v>13290</v>
      </c>
      <c r="V5184" t="s">
        <v>13290</v>
      </c>
      <c r="W5184" t="s">
        <v>18424</v>
      </c>
      <c r="X5184">
        <v>9</v>
      </c>
      <c r="Y5184" t="s">
        <v>24903</v>
      </c>
      <c r="Z5184" t="s">
        <v>31514</v>
      </c>
      <c r="AA5184">
        <v>1.041283096783445</v>
      </c>
      <c r="AB5184" t="str">
        <f>HYPERLINK("Melting_Curves/meltCurve_Q96NB3_ZNF830.pdf", "Melting_Curves/meltCurve_Q96NB3_ZNF830.pdf")</f>
        <v>Melting_Curves/meltCurve_Q96NB3_ZNF830.pdf</v>
      </c>
    </row>
    <row r="5185" spans="1:28" x14ac:dyDescent="0.25">
      <c r="A5185" t="s">
        <v>5189</v>
      </c>
      <c r="B5185">
        <v>0.99252571173614901</v>
      </c>
      <c r="C5185">
        <v>1.1600450812788199</v>
      </c>
      <c r="D5185">
        <v>1.13356361824693</v>
      </c>
      <c r="E5185">
        <v>1.20871282642163</v>
      </c>
      <c r="F5185">
        <v>0.88582272537111395</v>
      </c>
      <c r="G5185">
        <v>0.79516332355653596</v>
      </c>
      <c r="H5185">
        <v>0.78514521510250601</v>
      </c>
      <c r="I5185">
        <v>1.04562956284092</v>
      </c>
      <c r="J5185">
        <v>1.47074618968676</v>
      </c>
      <c r="K5185">
        <v>1.48399276266224</v>
      </c>
      <c r="L5185">
        <v>8357.5551730127208</v>
      </c>
      <c r="M5185">
        <v>128.31260040667101</v>
      </c>
      <c r="O5185">
        <v>65.118511357292803</v>
      </c>
      <c r="P5185">
        <v>0.237897627567832</v>
      </c>
      <c r="Q5185">
        <v>1.4829311843106201</v>
      </c>
      <c r="R5185">
        <v>0.660035138549248</v>
      </c>
      <c r="S5185" t="s">
        <v>11831</v>
      </c>
      <c r="T5185" t="s">
        <v>13290</v>
      </c>
      <c r="U5185" t="s">
        <v>13290</v>
      </c>
      <c r="V5185" t="s">
        <v>13290</v>
      </c>
      <c r="W5185" t="s">
        <v>18425</v>
      </c>
      <c r="X5185">
        <v>12</v>
      </c>
      <c r="Y5185" t="s">
        <v>24904</v>
      </c>
      <c r="Z5185" t="s">
        <v>31515</v>
      </c>
      <c r="AA5185">
        <v>1.078117730674369</v>
      </c>
      <c r="AB5185" t="str">
        <f>HYPERLINK("Melting_Curves/meltCurve_Q96NC0_ZMAT2.pdf", "Melting_Curves/meltCurve_Q96NC0_ZMAT2.pdf")</f>
        <v>Melting_Curves/meltCurve_Q96NC0_ZMAT2.pdf</v>
      </c>
    </row>
    <row r="5186" spans="1:28" x14ac:dyDescent="0.25">
      <c r="A5186" t="s">
        <v>5190</v>
      </c>
      <c r="B5186">
        <v>0.99252571173614901</v>
      </c>
      <c r="C5186">
        <v>1.08925401625132</v>
      </c>
      <c r="D5186">
        <v>0.94935358366714195</v>
      </c>
      <c r="E5186">
        <v>0.785990493587297</v>
      </c>
      <c r="F5186">
        <v>0.64279169987533902</v>
      </c>
      <c r="G5186">
        <v>0.553326115960455</v>
      </c>
      <c r="H5186">
        <v>0.51751536219164795</v>
      </c>
      <c r="I5186">
        <v>0.84057950251319902</v>
      </c>
      <c r="J5186">
        <v>1.37131676495028</v>
      </c>
      <c r="K5186">
        <v>1.5230744681586901</v>
      </c>
      <c r="L5186">
        <v>15000</v>
      </c>
      <c r="M5186">
        <v>224.60618897405399</v>
      </c>
      <c r="O5186">
        <v>66.778284767649495</v>
      </c>
      <c r="P5186">
        <v>0.42043283285161398</v>
      </c>
      <c r="Q5186">
        <v>1.5</v>
      </c>
      <c r="R5186">
        <v>0.35728368336482902</v>
      </c>
      <c r="S5186" t="s">
        <v>11832</v>
      </c>
      <c r="T5186" t="s">
        <v>13290</v>
      </c>
      <c r="U5186" t="s">
        <v>13290</v>
      </c>
      <c r="V5186" t="s">
        <v>13290</v>
      </c>
      <c r="W5186" t="s">
        <v>18426</v>
      </c>
      <c r="X5186">
        <v>4</v>
      </c>
      <c r="Y5186" t="s">
        <v>24905</v>
      </c>
      <c r="Z5186" t="s">
        <v>31516</v>
      </c>
      <c r="AA5186">
        <v>1.053534975072312</v>
      </c>
      <c r="AB5186" t="str">
        <f>HYPERLINK("Melting_Curves/meltCurve_Q96NT1_NAP1L5.pdf", "Melting_Curves/meltCurve_Q96NT1_NAP1L5.pdf")</f>
        <v>Melting_Curves/meltCurve_Q96NT1_NAP1L5.pdf</v>
      </c>
    </row>
    <row r="5187" spans="1:28" x14ac:dyDescent="0.25">
      <c r="A5187" t="s">
        <v>5191</v>
      </c>
      <c r="B5187">
        <v>0.99252571173614901</v>
      </c>
      <c r="C5187">
        <v>1.0077871892231101</v>
      </c>
      <c r="D5187">
        <v>0.73050710705722</v>
      </c>
      <c r="E5187">
        <v>0.67868070909181799</v>
      </c>
      <c r="F5187">
        <v>0.48234687995954101</v>
      </c>
      <c r="G5187">
        <v>0.16180650996583801</v>
      </c>
      <c r="H5187">
        <v>5.4961626330020497E-2</v>
      </c>
      <c r="I5187">
        <v>5.7948351406178301E-2</v>
      </c>
      <c r="J5187">
        <v>2.7591168265739398E-2</v>
      </c>
      <c r="K5187">
        <v>4.2629682401745098E-2</v>
      </c>
      <c r="L5187">
        <v>738.49392959364502</v>
      </c>
      <c r="M5187">
        <v>14.2826979438754</v>
      </c>
      <c r="N5187">
        <v>51.705492389214598</v>
      </c>
      <c r="O5187">
        <v>50.723568477979804</v>
      </c>
      <c r="P5187">
        <v>-7.0403393114992399E-2</v>
      </c>
      <c r="Q5187">
        <v>0</v>
      </c>
      <c r="R5187">
        <v>0.97779039260032496</v>
      </c>
      <c r="S5187" t="s">
        <v>11833</v>
      </c>
      <c r="T5187" t="s">
        <v>13290</v>
      </c>
      <c r="U5187" t="s">
        <v>13290</v>
      </c>
      <c r="V5187" t="s">
        <v>13290</v>
      </c>
      <c r="W5187" t="s">
        <v>18427</v>
      </c>
      <c r="X5187">
        <v>2</v>
      </c>
      <c r="Y5187" t="s">
        <v>24906</v>
      </c>
      <c r="Z5187" t="s">
        <v>31517</v>
      </c>
      <c r="AA5187">
        <v>0.41453722035600921</v>
      </c>
      <c r="AB5187" t="str">
        <f>HYPERLINK("Melting_Curves/meltCurve_Q96NU7_AMDHD1.pdf", "Melting_Curves/meltCurve_Q96NU7_AMDHD1.pdf")</f>
        <v>Melting_Curves/meltCurve_Q96NU7_AMDHD1.pdf</v>
      </c>
    </row>
    <row r="5188" spans="1:28" x14ac:dyDescent="0.25">
      <c r="A5188" t="s">
        <v>5192</v>
      </c>
      <c r="B5188">
        <v>0.99252571173614901</v>
      </c>
      <c r="C5188">
        <v>1.09700745104568</v>
      </c>
      <c r="D5188">
        <v>0.967465513168286</v>
      </c>
      <c r="E5188">
        <v>0.68940292980170204</v>
      </c>
      <c r="F5188">
        <v>0.32461547888050202</v>
      </c>
      <c r="G5188">
        <v>0.14694806362616</v>
      </c>
      <c r="H5188">
        <v>9.6219571288350805E-2</v>
      </c>
      <c r="I5188">
        <v>0.100746828371219</v>
      </c>
      <c r="J5188">
        <v>0.100101933616099</v>
      </c>
      <c r="K5188">
        <v>9.5020778296635605E-2</v>
      </c>
      <c r="L5188">
        <v>1387.41877618034</v>
      </c>
      <c r="M5188">
        <v>27.2417732824007</v>
      </c>
      <c r="N5188">
        <v>51.329927363045996</v>
      </c>
      <c r="O5188">
        <v>50.657755923228301</v>
      </c>
      <c r="P5188">
        <v>-0.121581393218512</v>
      </c>
      <c r="Q5188">
        <v>9.5656297381006103E-2</v>
      </c>
      <c r="R5188">
        <v>0.99309855831199101</v>
      </c>
      <c r="S5188" t="s">
        <v>11834</v>
      </c>
      <c r="T5188" t="s">
        <v>13290</v>
      </c>
      <c r="U5188" t="s">
        <v>13290</v>
      </c>
      <c r="V5188" t="s">
        <v>13290</v>
      </c>
      <c r="W5188" t="s">
        <v>18428</v>
      </c>
      <c r="X5188">
        <v>11</v>
      </c>
      <c r="Y5188" t="s">
        <v>24907</v>
      </c>
      <c r="Z5188" t="s">
        <v>31518</v>
      </c>
      <c r="AA5188">
        <v>0.43202004738380573</v>
      </c>
      <c r="AB5188" t="str">
        <f>HYPERLINK("Melting_Curves/meltCurve_Q96NY7_2_CLIC6.pdf", "Melting_Curves/meltCurve_Q96NY7_2_CLIC6.pdf")</f>
        <v>Melting_Curves/meltCurve_Q96NY7_2_CLIC6.pdf</v>
      </c>
    </row>
    <row r="5189" spans="1:28" x14ac:dyDescent="0.25">
      <c r="A5189" t="s">
        <v>5193</v>
      </c>
      <c r="B5189">
        <v>0.99252571173614901</v>
      </c>
      <c r="C5189">
        <v>0.99720392994108897</v>
      </c>
      <c r="D5189">
        <v>0.70009470517045302</v>
      </c>
      <c r="E5189">
        <v>0.39263593603570901</v>
      </c>
      <c r="F5189">
        <v>0.26125166319700099</v>
      </c>
      <c r="G5189">
        <v>0.175512192240387</v>
      </c>
      <c r="H5189">
        <v>0.123077160962726</v>
      </c>
      <c r="I5189">
        <v>0.12549598856472499</v>
      </c>
      <c r="J5189">
        <v>0.13290878669148801</v>
      </c>
      <c r="K5189">
        <v>0.12970717482970601</v>
      </c>
      <c r="L5189">
        <v>1025.47215753055</v>
      </c>
      <c r="M5189">
        <v>21.481406754315401</v>
      </c>
      <c r="N5189">
        <v>48.442114733015302</v>
      </c>
      <c r="O5189">
        <v>47.329730953692703</v>
      </c>
      <c r="P5189">
        <v>-9.8247558507065597E-2</v>
      </c>
      <c r="Q5189">
        <v>0.134150341126476</v>
      </c>
      <c r="R5189">
        <v>0.99287099893880204</v>
      </c>
      <c r="S5189" t="s">
        <v>11835</v>
      </c>
      <c r="T5189" t="s">
        <v>13290</v>
      </c>
      <c r="U5189" t="s">
        <v>13290</v>
      </c>
      <c r="V5189" t="s">
        <v>13290</v>
      </c>
      <c r="W5189" t="s">
        <v>18429</v>
      </c>
      <c r="X5189">
        <v>9</v>
      </c>
      <c r="Y5189" t="s">
        <v>24908</v>
      </c>
      <c r="Z5189" t="s">
        <v>31519</v>
      </c>
      <c r="AA5189">
        <v>0.36808836549481488</v>
      </c>
      <c r="AB5189" t="str">
        <f>HYPERLINK("Melting_Curves/meltCurve_Q96P11_2_NSUN5.pdf", "Melting_Curves/meltCurve_Q96P11_2_NSUN5.pdf")</f>
        <v>Melting_Curves/meltCurve_Q96P11_2_NSUN5.pdf</v>
      </c>
    </row>
    <row r="5190" spans="1:28" x14ac:dyDescent="0.25">
      <c r="A5190" t="s">
        <v>5194</v>
      </c>
      <c r="B5190">
        <v>0.99252571173614901</v>
      </c>
      <c r="C5190">
        <v>0.90738353019165097</v>
      </c>
      <c r="D5190">
        <v>0.673018293072287</v>
      </c>
      <c r="E5190">
        <v>0.33386275756263301</v>
      </c>
      <c r="F5190">
        <v>0.22838553396453501</v>
      </c>
      <c r="G5190">
        <v>0.15255756000355</v>
      </c>
      <c r="H5190">
        <v>0.119855232031957</v>
      </c>
      <c r="I5190">
        <v>9.6052590286276607E-2</v>
      </c>
      <c r="J5190">
        <v>0.108630436027379</v>
      </c>
      <c r="K5190">
        <v>0.10115298176210601</v>
      </c>
      <c r="L5190">
        <v>953.04572070069901</v>
      </c>
      <c r="M5190">
        <v>20.1719493952744</v>
      </c>
      <c r="N5190">
        <v>47.832006513811699</v>
      </c>
      <c r="O5190">
        <v>46.789117155624901</v>
      </c>
      <c r="P5190">
        <v>-9.5985725701123806E-2</v>
      </c>
      <c r="Q5190">
        <v>0.109467120282127</v>
      </c>
      <c r="R5190">
        <v>0.99762521663381698</v>
      </c>
      <c r="S5190" t="s">
        <v>11836</v>
      </c>
      <c r="T5190" t="s">
        <v>13290</v>
      </c>
      <c r="U5190" t="s">
        <v>13290</v>
      </c>
      <c r="V5190" t="s">
        <v>13290</v>
      </c>
      <c r="W5190" t="s">
        <v>18430</v>
      </c>
      <c r="X5190">
        <v>9</v>
      </c>
      <c r="Y5190" t="s">
        <v>24909</v>
      </c>
      <c r="Z5190" t="s">
        <v>31520</v>
      </c>
      <c r="AA5190">
        <v>0.33724089179812838</v>
      </c>
      <c r="AB5190" t="str">
        <f>HYPERLINK("Melting_Curves/meltCurve_Q96P16_RPRD1A.pdf", "Melting_Curves/meltCurve_Q96P16_RPRD1A.pdf")</f>
        <v>Melting_Curves/meltCurve_Q96P16_RPRD1A.pdf</v>
      </c>
    </row>
    <row r="5191" spans="1:28" x14ac:dyDescent="0.25">
      <c r="A5191" t="s">
        <v>5195</v>
      </c>
      <c r="B5191">
        <v>0.99252571173614901</v>
      </c>
      <c r="C5191">
        <v>0.88445860685482303</v>
      </c>
      <c r="D5191">
        <v>0.57480023784495604</v>
      </c>
      <c r="E5191">
        <v>0.33966186993083902</v>
      </c>
      <c r="F5191">
        <v>0.26920130949479798</v>
      </c>
      <c r="G5191">
        <v>0.12215865002107899</v>
      </c>
      <c r="H5191">
        <v>0.101799647774754</v>
      </c>
      <c r="I5191">
        <v>8.9168632468276901E-2</v>
      </c>
      <c r="J5191">
        <v>7.7221443030193695E-2</v>
      </c>
      <c r="K5191">
        <v>6.6448177162794303E-2</v>
      </c>
      <c r="L5191">
        <v>779.04215909883499</v>
      </c>
      <c r="M5191">
        <v>16.5689384775037</v>
      </c>
      <c r="N5191">
        <v>47.526124315453899</v>
      </c>
      <c r="O5191">
        <v>46.349365991893698</v>
      </c>
      <c r="P5191">
        <v>-8.2124362528650394E-2</v>
      </c>
      <c r="Q5191">
        <v>8.1136094881462395E-2</v>
      </c>
      <c r="R5191">
        <v>0.98953399466800496</v>
      </c>
      <c r="S5191" t="s">
        <v>11837</v>
      </c>
      <c r="T5191" t="s">
        <v>13290</v>
      </c>
      <c r="U5191" t="s">
        <v>13290</v>
      </c>
      <c r="V5191" t="s">
        <v>13290</v>
      </c>
      <c r="W5191" t="s">
        <v>18431</v>
      </c>
      <c r="X5191">
        <v>2</v>
      </c>
      <c r="Y5191" t="s">
        <v>24910</v>
      </c>
      <c r="Z5191" t="s">
        <v>31521</v>
      </c>
      <c r="AA5191">
        <v>0.31634170204919948</v>
      </c>
      <c r="AB5191" t="str">
        <f>HYPERLINK("Melting_Curves/meltCurve_Q96P47_AGAP3.pdf", "Melting_Curves/meltCurve_Q96P47_AGAP3.pdf")</f>
        <v>Melting_Curves/meltCurve_Q96P47_AGAP3.pdf</v>
      </c>
    </row>
    <row r="5192" spans="1:28" x14ac:dyDescent="0.25">
      <c r="A5192" t="s">
        <v>5196</v>
      </c>
      <c r="B5192">
        <v>0.99252571173614901</v>
      </c>
      <c r="C5192">
        <v>0.84030968792096405</v>
      </c>
      <c r="D5192">
        <v>0.44811194269607002</v>
      </c>
      <c r="E5192">
        <v>0.234444731213452</v>
      </c>
      <c r="F5192">
        <v>0.170603482239508</v>
      </c>
      <c r="G5192">
        <v>9.6071759786134206E-2</v>
      </c>
      <c r="H5192">
        <v>7.5029757586877105E-2</v>
      </c>
      <c r="I5192">
        <v>8.2092609294854194E-2</v>
      </c>
      <c r="J5192">
        <v>5.9059495571259002E-2</v>
      </c>
      <c r="K5192">
        <v>5.4440598017187501E-2</v>
      </c>
      <c r="L5192">
        <v>1020.10908991067</v>
      </c>
      <c r="M5192">
        <v>22.397883007892101</v>
      </c>
      <c r="N5192">
        <v>45.909654649088999</v>
      </c>
      <c r="O5192">
        <v>45.1865016626056</v>
      </c>
      <c r="P5192">
        <v>-0.1138207053651</v>
      </c>
      <c r="Q5192">
        <v>8.1511144536302496E-2</v>
      </c>
      <c r="R5192">
        <v>0.99218258431196305</v>
      </c>
      <c r="S5192" t="s">
        <v>11838</v>
      </c>
      <c r="T5192" t="s">
        <v>13290</v>
      </c>
      <c r="U5192" t="s">
        <v>13290</v>
      </c>
      <c r="V5192" t="s">
        <v>13290</v>
      </c>
      <c r="W5192" t="s">
        <v>18432</v>
      </c>
      <c r="X5192">
        <v>17</v>
      </c>
      <c r="Y5192" t="s">
        <v>24911</v>
      </c>
      <c r="Z5192" t="s">
        <v>31522</v>
      </c>
      <c r="AA5192">
        <v>0.26257618812936367</v>
      </c>
      <c r="AB5192" t="str">
        <f>HYPERLINK("Melting_Curves/meltCurve_Q96P48_3_ARAP1.pdf", "Melting_Curves/meltCurve_Q96P48_3_ARAP1.pdf")</f>
        <v>Melting_Curves/meltCurve_Q96P48_3_ARAP1.pdf</v>
      </c>
    </row>
    <row r="5193" spans="1:28" x14ac:dyDescent="0.25">
      <c r="A5193" t="s">
        <v>5197</v>
      </c>
      <c r="B5193">
        <v>0.99252571173614901</v>
      </c>
      <c r="C5193">
        <v>0.95250949871306501</v>
      </c>
      <c r="D5193">
        <v>0.83479747943236704</v>
      </c>
      <c r="E5193">
        <v>0.48165020366203698</v>
      </c>
      <c r="F5193">
        <v>0.19756823173693699</v>
      </c>
      <c r="G5193">
        <v>9.0604410719454104E-2</v>
      </c>
      <c r="H5193">
        <v>6.37108831292615E-2</v>
      </c>
      <c r="I5193">
        <v>6.7446003552320596E-2</v>
      </c>
      <c r="J5193">
        <v>8.35034358302012E-2</v>
      </c>
      <c r="K5193">
        <v>7.8811686883604307E-2</v>
      </c>
      <c r="L5193">
        <v>1137.0169504533701</v>
      </c>
      <c r="M5193">
        <v>23.171296506577299</v>
      </c>
      <c r="N5193">
        <v>49.372357203541299</v>
      </c>
      <c r="O5193">
        <v>48.7089629897891</v>
      </c>
      <c r="P5193">
        <v>-0.111064174018186</v>
      </c>
      <c r="Q5193">
        <v>6.6133850159209501E-2</v>
      </c>
      <c r="R5193">
        <v>0.99927326257192295</v>
      </c>
      <c r="S5193" t="s">
        <v>11839</v>
      </c>
      <c r="T5193" t="s">
        <v>13290</v>
      </c>
      <c r="U5193" t="s">
        <v>13290</v>
      </c>
      <c r="V5193" t="s">
        <v>13290</v>
      </c>
      <c r="W5193" t="s">
        <v>18433</v>
      </c>
      <c r="X5193">
        <v>18</v>
      </c>
      <c r="Y5193" t="s">
        <v>24912</v>
      </c>
      <c r="Z5193" t="s">
        <v>31523</v>
      </c>
      <c r="AA5193">
        <v>0.35815301444439418</v>
      </c>
      <c r="AB5193" t="str">
        <f>HYPERLINK("Melting_Curves/meltCurve_Q96P70_IPO9.pdf", "Melting_Curves/meltCurve_Q96P70_IPO9.pdf")</f>
        <v>Melting_Curves/meltCurve_Q96P70_IPO9.pdf</v>
      </c>
    </row>
    <row r="5194" spans="1:28" x14ac:dyDescent="0.25">
      <c r="A5194" t="s">
        <v>5198</v>
      </c>
      <c r="B5194">
        <v>0.99252571173614901</v>
      </c>
      <c r="C5194">
        <v>1.0567068404117601</v>
      </c>
      <c r="D5194">
        <v>1.24760383675493</v>
      </c>
      <c r="E5194">
        <v>1.2212948564105801</v>
      </c>
      <c r="F5194">
        <v>0.818285221067237</v>
      </c>
      <c r="G5194">
        <v>0.65018866824653498</v>
      </c>
      <c r="H5194">
        <v>0.48682988252967402</v>
      </c>
      <c r="I5194">
        <v>0.69737923953261005</v>
      </c>
      <c r="J5194">
        <v>1.0459591591352799</v>
      </c>
      <c r="K5194">
        <v>1.00539339739773</v>
      </c>
      <c r="L5194">
        <v>13220.9675294343</v>
      </c>
      <c r="M5194">
        <v>250</v>
      </c>
      <c r="O5194">
        <v>52.880505227100599</v>
      </c>
      <c r="P5194">
        <v>-0.26338867831552398</v>
      </c>
      <c r="Q5194">
        <v>0.77715005915495405</v>
      </c>
      <c r="R5194">
        <v>0.390500485177323</v>
      </c>
      <c r="S5194" t="s">
        <v>11840</v>
      </c>
      <c r="T5194" t="s">
        <v>13290</v>
      </c>
      <c r="U5194" t="s">
        <v>13290</v>
      </c>
      <c r="V5194" t="s">
        <v>13290</v>
      </c>
      <c r="W5194" t="s">
        <v>18434</v>
      </c>
      <c r="X5194">
        <v>2</v>
      </c>
      <c r="Y5194" t="s">
        <v>24913</v>
      </c>
      <c r="Z5194" t="s">
        <v>31524</v>
      </c>
      <c r="AA5194">
        <v>0.87287639839329545</v>
      </c>
      <c r="AB5194" t="str">
        <f>HYPERLINK("Melting_Curves/meltCurve_Q96PD2_DCBLD2.pdf", "Melting_Curves/meltCurve_Q96PD2_DCBLD2.pdf")</f>
        <v>Melting_Curves/meltCurve_Q96PD2_DCBLD2.pdf</v>
      </c>
    </row>
    <row r="5195" spans="1:28" x14ac:dyDescent="0.25">
      <c r="A5195" t="s">
        <v>5199</v>
      </c>
      <c r="B5195">
        <v>0.99252571173614901</v>
      </c>
      <c r="C5195">
        <v>0.965152883221017</v>
      </c>
      <c r="D5195">
        <v>0.70362950573258798</v>
      </c>
      <c r="E5195">
        <v>0.72408008970885795</v>
      </c>
      <c r="F5195">
        <v>0.55882300275941299</v>
      </c>
      <c r="G5195">
        <v>0.37083574071976799</v>
      </c>
      <c r="H5195">
        <v>0.27228622000667801</v>
      </c>
      <c r="I5195">
        <v>0.267598994344318</v>
      </c>
      <c r="J5195">
        <v>0.36527355460365302</v>
      </c>
      <c r="K5195">
        <v>0.31110017319264099</v>
      </c>
      <c r="L5195">
        <v>620.03793271570896</v>
      </c>
      <c r="M5195">
        <v>12.3527477779382</v>
      </c>
      <c r="N5195">
        <v>53.451438355503001</v>
      </c>
      <c r="O5195">
        <v>48.933280935824797</v>
      </c>
      <c r="P5195">
        <v>-4.6430088233107798E-2</v>
      </c>
      <c r="Q5195">
        <v>0.26445931156984898</v>
      </c>
      <c r="R5195">
        <v>0.94851528954194997</v>
      </c>
      <c r="S5195" t="s">
        <v>11841</v>
      </c>
      <c r="T5195" t="s">
        <v>13290</v>
      </c>
      <c r="U5195" t="s">
        <v>13290</v>
      </c>
      <c r="V5195" t="s">
        <v>13290</v>
      </c>
      <c r="W5195" t="s">
        <v>18435</v>
      </c>
      <c r="X5195">
        <v>1</v>
      </c>
      <c r="Y5195" t="s">
        <v>24914</v>
      </c>
      <c r="Z5195" t="s">
        <v>31525</v>
      </c>
      <c r="AA5195">
        <v>0.53846918195004223</v>
      </c>
      <c r="AB5195" t="str">
        <f>HYPERLINK("Melting_Curves/meltCurve_Q96PE2_ARHGEF17.pdf", "Melting_Curves/meltCurve_Q96PE2_ARHGEF17.pdf")</f>
        <v>Melting_Curves/meltCurve_Q96PE2_ARHGEF17.pdf</v>
      </c>
    </row>
    <row r="5196" spans="1:28" x14ac:dyDescent="0.25">
      <c r="A5196" t="s">
        <v>5200</v>
      </c>
      <c r="B5196">
        <v>0.99252571173614901</v>
      </c>
      <c r="C5196">
        <v>1.1383645069102999</v>
      </c>
      <c r="D5196">
        <v>1.04272163840219</v>
      </c>
      <c r="E5196">
        <v>1.01935122358464</v>
      </c>
      <c r="F5196">
        <v>0.83307523346923795</v>
      </c>
      <c r="G5196">
        <v>0.79065213724067795</v>
      </c>
      <c r="H5196">
        <v>0.70371956429038596</v>
      </c>
      <c r="I5196">
        <v>0.68942913679771101</v>
      </c>
      <c r="J5196">
        <v>0.47166744681102302</v>
      </c>
      <c r="K5196">
        <v>0.27751217323188998</v>
      </c>
      <c r="L5196">
        <v>689.37173495561206</v>
      </c>
      <c r="M5196">
        <v>10.4444980803665</v>
      </c>
      <c r="N5196">
        <v>66.003332103023993</v>
      </c>
      <c r="O5196">
        <v>63.7213602455382</v>
      </c>
      <c r="P5196">
        <v>-4.0994097685834799E-2</v>
      </c>
      <c r="Q5196">
        <v>0</v>
      </c>
      <c r="R5196">
        <v>0.91701915306906401</v>
      </c>
      <c r="S5196" t="s">
        <v>11842</v>
      </c>
      <c r="T5196" t="s">
        <v>13290</v>
      </c>
      <c r="U5196" t="s">
        <v>13290</v>
      </c>
      <c r="V5196" t="s">
        <v>13290</v>
      </c>
      <c r="W5196" t="s">
        <v>18436</v>
      </c>
      <c r="X5196">
        <v>8</v>
      </c>
      <c r="Y5196" t="s">
        <v>24915</v>
      </c>
      <c r="Z5196" t="s">
        <v>31526</v>
      </c>
      <c r="AA5196">
        <v>0.8030819451585034</v>
      </c>
      <c r="AB5196" t="str">
        <f>HYPERLINK("Melting_Curves/meltCurve_Q96PE7_MCEE.pdf", "Melting_Curves/meltCurve_Q96PE7_MCEE.pdf")</f>
        <v>Melting_Curves/meltCurve_Q96PE7_MCEE.pdf</v>
      </c>
    </row>
    <row r="5197" spans="1:28" x14ac:dyDescent="0.25">
      <c r="A5197" t="s">
        <v>5201</v>
      </c>
      <c r="B5197">
        <v>0.99252571173614901</v>
      </c>
      <c r="C5197">
        <v>0.853714778721687</v>
      </c>
      <c r="D5197">
        <v>0.48528429001479401</v>
      </c>
      <c r="E5197">
        <v>0.31875001560684602</v>
      </c>
      <c r="F5197">
        <v>0.17862100600127201</v>
      </c>
      <c r="G5197">
        <v>0.14399675435984499</v>
      </c>
      <c r="H5197">
        <v>0.13503866845498</v>
      </c>
      <c r="I5197">
        <v>0.18397636814945201</v>
      </c>
      <c r="J5197">
        <v>0.28498944910458801</v>
      </c>
      <c r="K5197">
        <v>0.369747002732637</v>
      </c>
      <c r="L5197">
        <v>1296.6567413755599</v>
      </c>
      <c r="M5197">
        <v>28.783092586927399</v>
      </c>
      <c r="N5197">
        <v>45.977010156594403</v>
      </c>
      <c r="O5197">
        <v>44.833501111616698</v>
      </c>
      <c r="P5197">
        <v>-0.12514701226365901</v>
      </c>
      <c r="Q5197">
        <v>0.22027382189275299</v>
      </c>
      <c r="R5197">
        <v>0.94314010923972003</v>
      </c>
      <c r="S5197" t="s">
        <v>11843</v>
      </c>
      <c r="T5197" t="s">
        <v>13290</v>
      </c>
      <c r="U5197" t="s">
        <v>13290</v>
      </c>
      <c r="V5197" t="s">
        <v>13290</v>
      </c>
      <c r="W5197" t="s">
        <v>18437</v>
      </c>
      <c r="X5197">
        <v>7</v>
      </c>
      <c r="Y5197" t="s">
        <v>24916</v>
      </c>
      <c r="Z5197" t="s">
        <v>31527</v>
      </c>
      <c r="AA5197">
        <v>0.35702353938400821</v>
      </c>
      <c r="AB5197" t="str">
        <f>HYPERLINK("Melting_Curves/meltCurve_Q96PK6_RBM14.pdf", "Melting_Curves/meltCurve_Q96PK6_RBM14.pdf")</f>
        <v>Melting_Curves/meltCurve_Q96PK6_RBM14.pdf</v>
      </c>
    </row>
    <row r="5198" spans="1:28" x14ac:dyDescent="0.25">
      <c r="A5198" t="s">
        <v>5202</v>
      </c>
      <c r="B5198">
        <v>0.99252571173614901</v>
      </c>
      <c r="C5198">
        <v>1.0246004026622799</v>
      </c>
      <c r="D5198">
        <v>0.86431869639840397</v>
      </c>
      <c r="E5198">
        <v>0.78798732773394298</v>
      </c>
      <c r="F5198">
        <v>0.48848594922823402</v>
      </c>
      <c r="G5198">
        <v>0.301137042097815</v>
      </c>
      <c r="H5198">
        <v>0.203026882997136</v>
      </c>
      <c r="I5198">
        <v>0.196762739708811</v>
      </c>
      <c r="J5198">
        <v>0.239440219886005</v>
      </c>
      <c r="K5198">
        <v>0.25841599939697102</v>
      </c>
      <c r="L5198">
        <v>1074.9254788911201</v>
      </c>
      <c r="M5198">
        <v>20.850757177647601</v>
      </c>
      <c r="N5198">
        <v>52.944181735323099</v>
      </c>
      <c r="O5198">
        <v>51.086132927701499</v>
      </c>
      <c r="P5198">
        <v>-8.0521892074231702E-2</v>
      </c>
      <c r="Q5198">
        <v>0.210879787770959</v>
      </c>
      <c r="R5198">
        <v>0.98780420769512001</v>
      </c>
      <c r="S5198" t="s">
        <v>11844</v>
      </c>
      <c r="T5198" t="s">
        <v>13290</v>
      </c>
      <c r="U5198" t="s">
        <v>13290</v>
      </c>
      <c r="V5198" t="s">
        <v>13290</v>
      </c>
      <c r="W5198" t="s">
        <v>18438</v>
      </c>
      <c r="X5198">
        <v>7</v>
      </c>
      <c r="Y5198" t="s">
        <v>24917</v>
      </c>
      <c r="Z5198" t="s">
        <v>31528</v>
      </c>
      <c r="AA5198">
        <v>0.52490815707081018</v>
      </c>
      <c r="AB5198" t="str">
        <f>HYPERLINK("Melting_Curves/meltCurve_Q96PM5_RCHY1.pdf", "Melting_Curves/meltCurve_Q96PM5_RCHY1.pdf")</f>
        <v>Melting_Curves/meltCurve_Q96PM5_RCHY1.pdf</v>
      </c>
    </row>
    <row r="5199" spans="1:28" x14ac:dyDescent="0.25">
      <c r="A5199" t="s">
        <v>5203</v>
      </c>
      <c r="B5199">
        <v>0.99252571173614901</v>
      </c>
      <c r="C5199">
        <v>0.84731651832936306</v>
      </c>
      <c r="D5199">
        <v>0.62180024933856104</v>
      </c>
      <c r="E5199">
        <v>0.32114891598384399</v>
      </c>
      <c r="F5199">
        <v>0.28546300758730198</v>
      </c>
      <c r="G5199">
        <v>0.14012040982468699</v>
      </c>
      <c r="H5199">
        <v>0.14967542429382799</v>
      </c>
      <c r="I5199">
        <v>7.9108140811694705E-2</v>
      </c>
      <c r="J5199">
        <v>9.12841971528284E-2</v>
      </c>
      <c r="K5199">
        <v>7.0297306177476801E-2</v>
      </c>
      <c r="L5199">
        <v>756.81092341564897</v>
      </c>
      <c r="M5199">
        <v>16.086400296797901</v>
      </c>
      <c r="N5199">
        <v>47.647106965942498</v>
      </c>
      <c r="O5199">
        <v>46.3376160702432</v>
      </c>
      <c r="P5199">
        <v>-7.8832310426783903E-2</v>
      </c>
      <c r="Q5199">
        <v>9.1749710370573195E-2</v>
      </c>
      <c r="R5199">
        <v>0.98864506210776104</v>
      </c>
      <c r="S5199" t="s">
        <v>11845</v>
      </c>
      <c r="T5199" t="s">
        <v>13290</v>
      </c>
      <c r="U5199" t="s">
        <v>13290</v>
      </c>
      <c r="V5199" t="s">
        <v>13290</v>
      </c>
      <c r="W5199" t="s">
        <v>18439</v>
      </c>
      <c r="X5199">
        <v>2</v>
      </c>
      <c r="Y5199" t="s">
        <v>24918</v>
      </c>
      <c r="Z5199" t="s">
        <v>31529</v>
      </c>
      <c r="AA5199">
        <v>0.32635805397732598</v>
      </c>
      <c r="AB5199" t="str">
        <f>HYPERLINK("Melting_Curves/meltCurve_Q96PU5_9_NEDD4L.pdf", "Melting_Curves/meltCurve_Q96PU5_9_NEDD4L.pdf")</f>
        <v>Melting_Curves/meltCurve_Q96PU5_9_NEDD4L.pdf</v>
      </c>
    </row>
    <row r="5200" spans="1:28" x14ac:dyDescent="0.25">
      <c r="A5200" t="s">
        <v>5204</v>
      </c>
      <c r="B5200">
        <v>0.99252571173614901</v>
      </c>
      <c r="C5200">
        <v>0.89062409562718503</v>
      </c>
      <c r="D5200">
        <v>1.0107343661430399</v>
      </c>
      <c r="E5200">
        <v>0.54043092465954101</v>
      </c>
      <c r="F5200">
        <v>0.179259455900038</v>
      </c>
      <c r="G5200">
        <v>0.11518517893840199</v>
      </c>
      <c r="H5200">
        <v>9.3348489435930604E-2</v>
      </c>
      <c r="I5200">
        <v>4.09636791513572E-2</v>
      </c>
      <c r="J5200">
        <v>9.2674656303665795E-2</v>
      </c>
      <c r="K5200">
        <v>4.85518449546588E-2</v>
      </c>
      <c r="L5200">
        <v>1821.91717373144</v>
      </c>
      <c r="M5200">
        <v>36.651347817075603</v>
      </c>
      <c r="N5200">
        <v>49.944059104286502</v>
      </c>
      <c r="O5200">
        <v>49.562132380202101</v>
      </c>
      <c r="P5200">
        <v>-0.17025431470211799</v>
      </c>
      <c r="Q5200">
        <v>7.90907220023878E-2</v>
      </c>
      <c r="R5200">
        <v>0.98781119199719303</v>
      </c>
      <c r="S5200" t="s">
        <v>11846</v>
      </c>
      <c r="T5200" t="s">
        <v>13290</v>
      </c>
      <c r="U5200" t="s">
        <v>13290</v>
      </c>
      <c r="V5200" t="s">
        <v>13290</v>
      </c>
      <c r="W5200" t="s">
        <v>18440</v>
      </c>
      <c r="X5200">
        <v>3</v>
      </c>
      <c r="Y5200" t="s">
        <v>24919</v>
      </c>
      <c r="Z5200" t="s">
        <v>31530</v>
      </c>
      <c r="AA5200">
        <v>0.38091830745285188</v>
      </c>
      <c r="AB5200" t="str">
        <f>HYPERLINK("Melting_Curves/meltCurve_Q96PY5_FMNL2.pdf", "Melting_Curves/meltCurve_Q96PY5_FMNL2.pdf")</f>
        <v>Melting_Curves/meltCurve_Q96PY5_FMNL2.pdf</v>
      </c>
    </row>
    <row r="5201" spans="1:28" x14ac:dyDescent="0.25">
      <c r="A5201" t="s">
        <v>5205</v>
      </c>
      <c r="B5201">
        <v>0.99252571173614901</v>
      </c>
      <c r="C5201">
        <v>0.95460019504251503</v>
      </c>
      <c r="D5201">
        <v>0.78305082170453499</v>
      </c>
      <c r="E5201">
        <v>0.54028329536838005</v>
      </c>
      <c r="F5201">
        <v>0.248473948399385</v>
      </c>
      <c r="G5201">
        <v>0.115876295139607</v>
      </c>
      <c r="H5201">
        <v>9.4098718182992605E-2</v>
      </c>
      <c r="I5201">
        <v>0.10035508359342001</v>
      </c>
      <c r="J5201">
        <v>9.5821651797149798E-2</v>
      </c>
      <c r="K5201">
        <v>9.0667939681915805E-2</v>
      </c>
      <c r="L5201">
        <v>947.67449097695601</v>
      </c>
      <c r="M5201">
        <v>19.238287367242702</v>
      </c>
      <c r="N5201">
        <v>49.702347759746203</v>
      </c>
      <c r="O5201">
        <v>48.736819802786997</v>
      </c>
      <c r="P5201">
        <v>-9.0920364806020407E-2</v>
      </c>
      <c r="Q5201">
        <v>7.8711659124267294E-2</v>
      </c>
      <c r="R5201">
        <v>0.99753841205232197</v>
      </c>
      <c r="S5201" t="s">
        <v>11847</v>
      </c>
      <c r="T5201" t="s">
        <v>13290</v>
      </c>
      <c r="U5201" t="s">
        <v>13290</v>
      </c>
      <c r="V5201" t="s">
        <v>13290</v>
      </c>
      <c r="W5201" t="s">
        <v>18441</v>
      </c>
      <c r="X5201">
        <v>36</v>
      </c>
      <c r="Y5201" t="s">
        <v>24920</v>
      </c>
      <c r="Z5201" t="s">
        <v>31531</v>
      </c>
      <c r="AA5201">
        <v>0.37699652668024808</v>
      </c>
      <c r="AB5201" t="str">
        <f>HYPERLINK("Melting_Curves/meltCurve_Q96PZ0_PUS7.pdf", "Melting_Curves/meltCurve_Q96PZ0_PUS7.pdf")</f>
        <v>Melting_Curves/meltCurve_Q96PZ0_PUS7.pdf</v>
      </c>
    </row>
    <row r="5202" spans="1:28" x14ac:dyDescent="0.25">
      <c r="A5202" t="s">
        <v>5206</v>
      </c>
      <c r="B5202">
        <v>0.99252571173614901</v>
      </c>
      <c r="C5202">
        <v>0.955250720046388</v>
      </c>
      <c r="D5202">
        <v>0.87302480681671402</v>
      </c>
      <c r="E5202">
        <v>0.60691616030252005</v>
      </c>
      <c r="F5202">
        <v>0.17852677398748901</v>
      </c>
      <c r="G5202">
        <v>0.10829747565332599</v>
      </c>
      <c r="H5202">
        <v>9.2236422594871498E-2</v>
      </c>
      <c r="I5202">
        <v>7.7485667961033095E-2</v>
      </c>
      <c r="J5202">
        <v>7.9673483405876003E-2</v>
      </c>
      <c r="K5202">
        <v>7.3156709503858899E-2</v>
      </c>
      <c r="L5202">
        <v>1340.82064639801</v>
      </c>
      <c r="M5202">
        <v>26.8835414476506</v>
      </c>
      <c r="N5202">
        <v>50.169329716815</v>
      </c>
      <c r="O5202">
        <v>49.601632821066602</v>
      </c>
      <c r="P5202">
        <v>-0.12561808352661599</v>
      </c>
      <c r="Q5202">
        <v>7.2919934189367E-2</v>
      </c>
      <c r="R5202">
        <v>0.99605027049611705</v>
      </c>
      <c r="S5202" t="s">
        <v>11848</v>
      </c>
      <c r="T5202" t="s">
        <v>13290</v>
      </c>
      <c r="U5202" t="s">
        <v>13290</v>
      </c>
      <c r="V5202" t="s">
        <v>13290</v>
      </c>
      <c r="W5202" t="s">
        <v>18442</v>
      </c>
      <c r="X5202">
        <v>23</v>
      </c>
      <c r="Y5202" t="s">
        <v>24921</v>
      </c>
      <c r="Z5202" t="s">
        <v>31532</v>
      </c>
      <c r="AA5202">
        <v>0.38523455344876151</v>
      </c>
      <c r="AB5202" t="str">
        <f>HYPERLINK("Melting_Curves/meltCurve_Q96Q11_2_TRNT1.pdf", "Melting_Curves/meltCurve_Q96Q11_2_TRNT1.pdf")</f>
        <v>Melting_Curves/meltCurve_Q96Q11_2_TRNT1.pdf</v>
      </c>
    </row>
    <row r="5203" spans="1:28" x14ac:dyDescent="0.25">
      <c r="A5203" t="s">
        <v>5207</v>
      </c>
      <c r="B5203">
        <v>0.99252571173614901</v>
      </c>
      <c r="C5203">
        <v>0.95573403123360201</v>
      </c>
      <c r="D5203">
        <v>0.85310578909635904</v>
      </c>
      <c r="E5203">
        <v>1.0036741957741699</v>
      </c>
      <c r="F5203">
        <v>0.66489459143483198</v>
      </c>
      <c r="G5203">
        <v>0.44522811277938101</v>
      </c>
      <c r="H5203">
        <v>0.39522965298682999</v>
      </c>
      <c r="I5203">
        <v>0.48568174103699102</v>
      </c>
      <c r="J5203">
        <v>0.60307436764214595</v>
      </c>
      <c r="K5203">
        <v>0.59670975565920203</v>
      </c>
      <c r="L5203">
        <v>13260.5742015739</v>
      </c>
      <c r="M5203">
        <v>250</v>
      </c>
      <c r="O5203">
        <v>53.038903672899202</v>
      </c>
      <c r="P5203">
        <v>-0.58308059634747</v>
      </c>
      <c r="Q5203">
        <v>0.50518472264290903</v>
      </c>
      <c r="R5203">
        <v>0.88278010005807495</v>
      </c>
      <c r="S5203" t="s">
        <v>11849</v>
      </c>
      <c r="T5203" t="s">
        <v>13290</v>
      </c>
      <c r="U5203" t="s">
        <v>13290</v>
      </c>
      <c r="V5203" t="s">
        <v>13290</v>
      </c>
      <c r="W5203" t="s">
        <v>18443</v>
      </c>
      <c r="X5203">
        <v>1</v>
      </c>
      <c r="Y5203" t="s">
        <v>24922</v>
      </c>
      <c r="Z5203" t="s">
        <v>31533</v>
      </c>
      <c r="AA5203">
        <v>0.72034837459405487</v>
      </c>
      <c r="AB5203" t="str">
        <f>HYPERLINK("Melting_Curves/meltCurve_Q96Q45_2_TMEM237.pdf", "Melting_Curves/meltCurve_Q96Q45_2_TMEM237.pdf")</f>
        <v>Melting_Curves/meltCurve_Q96Q45_2_TMEM237.pdf</v>
      </c>
    </row>
    <row r="5204" spans="1:28" x14ac:dyDescent="0.25">
      <c r="A5204" t="s">
        <v>5208</v>
      </c>
      <c r="B5204">
        <v>0.99252571173614901</v>
      </c>
      <c r="C5204">
        <v>1.08822151058822</v>
      </c>
      <c r="D5204">
        <v>0.92410290180107402</v>
      </c>
      <c r="E5204">
        <v>0.89561259420051098</v>
      </c>
      <c r="F5204">
        <v>0.59443407456506103</v>
      </c>
      <c r="G5204">
        <v>0.44922979979931499</v>
      </c>
      <c r="H5204">
        <v>0.39977938485870401</v>
      </c>
      <c r="I5204">
        <v>0.51243273208030504</v>
      </c>
      <c r="J5204">
        <v>0.63009832301739399</v>
      </c>
      <c r="K5204">
        <v>0.40546298044002599</v>
      </c>
      <c r="L5204">
        <v>1982.19639494953</v>
      </c>
      <c r="M5204">
        <v>38.608516516895598</v>
      </c>
      <c r="N5204">
        <v>55.872288482877899</v>
      </c>
      <c r="O5204">
        <v>51.203753394150397</v>
      </c>
      <c r="P5204">
        <v>-9.8367778046411003E-2</v>
      </c>
      <c r="Q5204">
        <v>0.47816825620884101</v>
      </c>
      <c r="R5204">
        <v>0.91791406110648499</v>
      </c>
      <c r="S5204" t="s">
        <v>11850</v>
      </c>
      <c r="T5204" t="s">
        <v>13290</v>
      </c>
      <c r="U5204" t="s">
        <v>13290</v>
      </c>
      <c r="V5204" t="s">
        <v>13290</v>
      </c>
      <c r="W5204" t="s">
        <v>18444</v>
      </c>
      <c r="X5204">
        <v>3</v>
      </c>
      <c r="Y5204" t="s">
        <v>24923</v>
      </c>
      <c r="Z5204" t="s">
        <v>31534</v>
      </c>
      <c r="AA5204">
        <v>0.67742481969961943</v>
      </c>
      <c r="AB5204" t="str">
        <f>HYPERLINK("Melting_Curves/meltCurve_Q96Q83_ALKBH3.pdf", "Melting_Curves/meltCurve_Q96Q83_ALKBH3.pdf")</f>
        <v>Melting_Curves/meltCurve_Q96Q83_ALKBH3.pdf</v>
      </c>
    </row>
    <row r="5205" spans="1:28" x14ac:dyDescent="0.25">
      <c r="A5205" t="s">
        <v>5209</v>
      </c>
      <c r="B5205">
        <v>0.99252571173614901</v>
      </c>
      <c r="C5205">
        <v>0.922504060862683</v>
      </c>
      <c r="D5205">
        <v>0.79432284400337305</v>
      </c>
      <c r="E5205">
        <v>0.81399050264018602</v>
      </c>
      <c r="F5205">
        <v>0.42069555793131702</v>
      </c>
      <c r="G5205">
        <v>0.29656502708561699</v>
      </c>
      <c r="H5205">
        <v>0.19754337684085799</v>
      </c>
      <c r="I5205">
        <v>0.157438451857974</v>
      </c>
      <c r="J5205">
        <v>0.206500543382379</v>
      </c>
      <c r="K5205">
        <v>0.31658628864629401</v>
      </c>
      <c r="L5205">
        <v>947.84289532301705</v>
      </c>
      <c r="M5205">
        <v>18.561786002407899</v>
      </c>
      <c r="N5205">
        <v>52.509186734037101</v>
      </c>
      <c r="O5205">
        <v>50.4825898453972</v>
      </c>
      <c r="P5205">
        <v>-7.3541455966420102E-2</v>
      </c>
      <c r="Q5205">
        <v>0.19999058711845499</v>
      </c>
      <c r="R5205">
        <v>0.95237619298078402</v>
      </c>
      <c r="S5205" t="s">
        <v>11851</v>
      </c>
      <c r="T5205" t="s">
        <v>13290</v>
      </c>
      <c r="U5205" t="s">
        <v>13290</v>
      </c>
      <c r="V5205" t="s">
        <v>13290</v>
      </c>
      <c r="W5205" t="s">
        <v>18445</v>
      </c>
      <c r="X5205">
        <v>17</v>
      </c>
      <c r="Y5205" t="s">
        <v>24924</v>
      </c>
      <c r="Z5205" t="s">
        <v>31535</v>
      </c>
      <c r="AA5205">
        <v>0.50778094958024322</v>
      </c>
      <c r="AB5205" t="str">
        <f>HYPERLINK("Melting_Curves/meltCurve_Q96QC0_PPP1R10.pdf", "Melting_Curves/meltCurve_Q96QC0_PPP1R10.pdf")</f>
        <v>Melting_Curves/meltCurve_Q96QC0_PPP1R10.pdf</v>
      </c>
    </row>
    <row r="5206" spans="1:28" x14ac:dyDescent="0.25">
      <c r="A5206" t="s">
        <v>5210</v>
      </c>
      <c r="B5206">
        <v>0.99252571173614901</v>
      </c>
      <c r="C5206">
        <v>0.95026406790877005</v>
      </c>
      <c r="D5206">
        <v>0.90910554046809799</v>
      </c>
      <c r="E5206">
        <v>0.91047931694651196</v>
      </c>
      <c r="F5206">
        <v>0.74765814585027202</v>
      </c>
      <c r="G5206">
        <v>0.49520414300202598</v>
      </c>
      <c r="H5206">
        <v>0.423897050169939</v>
      </c>
      <c r="I5206">
        <v>0.56928856836543595</v>
      </c>
      <c r="J5206">
        <v>0.872817001292994</v>
      </c>
      <c r="K5206">
        <v>0.763116072262083</v>
      </c>
      <c r="L5206">
        <v>1930.2120602759501</v>
      </c>
      <c r="M5206">
        <v>37.630453194174699</v>
      </c>
      <c r="O5206">
        <v>51.149668391425301</v>
      </c>
      <c r="P5206">
        <v>-6.8132640238705106E-2</v>
      </c>
      <c r="Q5206">
        <v>0.62956037267175602</v>
      </c>
      <c r="R5206">
        <v>0.57598177812565299</v>
      </c>
      <c r="S5206" t="s">
        <v>11852</v>
      </c>
      <c r="T5206" t="s">
        <v>13290</v>
      </c>
      <c r="U5206" t="s">
        <v>13290</v>
      </c>
      <c r="V5206" t="s">
        <v>13290</v>
      </c>
      <c r="W5206" t="s">
        <v>18446</v>
      </c>
      <c r="X5206">
        <v>4</v>
      </c>
      <c r="Y5206" t="s">
        <v>24925</v>
      </c>
      <c r="Z5206" t="s">
        <v>31536</v>
      </c>
      <c r="AA5206">
        <v>0.77050207431189466</v>
      </c>
      <c r="AB5206" t="str">
        <f>HYPERLINK("Melting_Curves/meltCurve_Q96QC4_MICA.pdf", "Melting_Curves/meltCurve_Q96QC4_MICA.pdf")</f>
        <v>Melting_Curves/meltCurve_Q96QC4_MICA.pdf</v>
      </c>
    </row>
    <row r="5207" spans="1:28" x14ac:dyDescent="0.25">
      <c r="A5207" t="s">
        <v>5211</v>
      </c>
      <c r="B5207">
        <v>0.99252571173614901</v>
      </c>
      <c r="C5207">
        <v>0.96084956031102897</v>
      </c>
      <c r="D5207">
        <v>0.83026425385764002</v>
      </c>
      <c r="E5207">
        <v>0.76298471196698503</v>
      </c>
      <c r="F5207">
        <v>0.58561781106370103</v>
      </c>
      <c r="G5207">
        <v>0.45982474333906598</v>
      </c>
      <c r="H5207">
        <v>0.41230097525375797</v>
      </c>
      <c r="I5207">
        <v>0.53487160578896398</v>
      </c>
      <c r="J5207">
        <v>0.8347104755086</v>
      </c>
      <c r="K5207">
        <v>0.63483337285705499</v>
      </c>
      <c r="L5207">
        <v>1076.00518225873</v>
      </c>
      <c r="M5207">
        <v>22.633219925233199</v>
      </c>
      <c r="O5207">
        <v>47.174506007017399</v>
      </c>
      <c r="P5207">
        <v>-5.0874472636038101E-2</v>
      </c>
      <c r="Q5207">
        <v>0.57585705209421501</v>
      </c>
      <c r="R5207">
        <v>0.67669620818233001</v>
      </c>
      <c r="S5207" t="s">
        <v>11853</v>
      </c>
      <c r="T5207" t="s">
        <v>13290</v>
      </c>
      <c r="U5207" t="s">
        <v>13290</v>
      </c>
      <c r="V5207" t="s">
        <v>13290</v>
      </c>
      <c r="W5207" t="s">
        <v>18447</v>
      </c>
      <c r="X5207">
        <v>4</v>
      </c>
      <c r="Y5207" t="s">
        <v>24926</v>
      </c>
      <c r="Z5207" t="s">
        <v>31537</v>
      </c>
      <c r="AA5207">
        <v>0.68713355308766444</v>
      </c>
      <c r="AB5207" t="str">
        <f>HYPERLINK("Melting_Curves/meltCurve_Q96QD8_SLC38A2.pdf", "Melting_Curves/meltCurve_Q96QD8_SLC38A2.pdf")</f>
        <v>Melting_Curves/meltCurve_Q96QD8_SLC38A2.pdf</v>
      </c>
    </row>
    <row r="5208" spans="1:28" x14ac:dyDescent="0.25">
      <c r="A5208" t="s">
        <v>5212</v>
      </c>
      <c r="B5208">
        <v>0.99252571173614901</v>
      </c>
      <c r="C5208">
        <v>0.94319772487698705</v>
      </c>
      <c r="D5208">
        <v>0.89140231968742401</v>
      </c>
      <c r="E5208">
        <v>0.98636886109972899</v>
      </c>
      <c r="F5208">
        <v>0.88711358333757295</v>
      </c>
      <c r="G5208">
        <v>0.74135597719471102</v>
      </c>
      <c r="H5208">
        <v>0.66645295418042705</v>
      </c>
      <c r="I5208">
        <v>0.83559440323927003</v>
      </c>
      <c r="J5208">
        <v>1.35919297351987</v>
      </c>
      <c r="K5208">
        <v>1.06824977608751</v>
      </c>
      <c r="L5208">
        <v>2431.9138379465198</v>
      </c>
      <c r="M5208">
        <v>58.3369426041777</v>
      </c>
      <c r="O5208">
        <v>41.638471705860297</v>
      </c>
      <c r="P5208">
        <v>-2.4637423607843399E-2</v>
      </c>
      <c r="Q5208">
        <v>0.92965938160115602</v>
      </c>
      <c r="R5208">
        <v>1.08276376696017E-2</v>
      </c>
      <c r="S5208" t="s">
        <v>11854</v>
      </c>
      <c r="T5208" t="s">
        <v>13290</v>
      </c>
      <c r="U5208" t="s">
        <v>13290</v>
      </c>
      <c r="V5208" t="s">
        <v>13290</v>
      </c>
      <c r="W5208" t="s">
        <v>18448</v>
      </c>
      <c r="X5208">
        <v>3</v>
      </c>
      <c r="Y5208" t="s">
        <v>24927</v>
      </c>
      <c r="Z5208" t="s">
        <v>31538</v>
      </c>
      <c r="AA5208">
        <v>0.93383292878690483</v>
      </c>
      <c r="AB5208" t="str">
        <f>HYPERLINK("Melting_Curves/meltCurve_Q96QE2_SLC2A13.pdf", "Melting_Curves/meltCurve_Q96QE2_SLC2A13.pdf")</f>
        <v>Melting_Curves/meltCurve_Q96QE2_SLC2A13.pdf</v>
      </c>
    </row>
    <row r="5209" spans="1:28" x14ac:dyDescent="0.25">
      <c r="A5209" t="s">
        <v>5213</v>
      </c>
      <c r="B5209">
        <v>0.99252571173614901</v>
      </c>
      <c r="C5209">
        <v>1.1323122792296201</v>
      </c>
      <c r="D5209">
        <v>0.819539903685499</v>
      </c>
      <c r="E5209">
        <v>1.81223650271137</v>
      </c>
      <c r="F5209">
        <v>0.25938175103087902</v>
      </c>
      <c r="G5209">
        <v>0.158194690178871</v>
      </c>
      <c r="H5209">
        <v>7.4573444910791195E-2</v>
      </c>
      <c r="I5209">
        <v>3.2129928771290603E-2</v>
      </c>
      <c r="J5209">
        <v>0</v>
      </c>
      <c r="K5209">
        <v>3.2599996970102803E-2</v>
      </c>
      <c r="L5209">
        <v>13230.321016173701</v>
      </c>
      <c r="M5209">
        <v>250</v>
      </c>
      <c r="N5209">
        <v>52.948118277501202</v>
      </c>
      <c r="O5209">
        <v>52.917918885762198</v>
      </c>
      <c r="P5209">
        <v>-1.11080143348893</v>
      </c>
      <c r="Q5209">
        <v>5.94995771161929E-2</v>
      </c>
      <c r="R5209">
        <v>0.79288728952225795</v>
      </c>
      <c r="S5209" t="s">
        <v>11855</v>
      </c>
      <c r="T5209" t="s">
        <v>13290</v>
      </c>
      <c r="U5209" t="s">
        <v>13290</v>
      </c>
      <c r="V5209" t="s">
        <v>13290</v>
      </c>
      <c r="W5209" t="s">
        <v>18449</v>
      </c>
      <c r="X5209">
        <v>1</v>
      </c>
      <c r="Y5209" t="s">
        <v>24928</v>
      </c>
      <c r="Z5209" t="s">
        <v>31539</v>
      </c>
      <c r="AA5209">
        <v>0.46466936462983022</v>
      </c>
      <c r="AB5209" t="str">
        <f>HYPERLINK("Melting_Curves/meltCurve_Q96QE5_TEFM.pdf", "Melting_Curves/meltCurve_Q96QE5_TEFM.pdf")</f>
        <v>Melting_Curves/meltCurve_Q96QE5_TEFM.pdf</v>
      </c>
    </row>
    <row r="5210" spans="1:28" x14ac:dyDescent="0.25">
      <c r="A5210" t="s">
        <v>5214</v>
      </c>
      <c r="B5210">
        <v>0.99252571173614901</v>
      </c>
      <c r="C5210">
        <v>0.95817601000813402</v>
      </c>
      <c r="D5210">
        <v>0.94055737802028405</v>
      </c>
      <c r="E5210">
        <v>0.76849796873047904</v>
      </c>
      <c r="F5210">
        <v>0.45118770197906499</v>
      </c>
      <c r="G5210">
        <v>0.186666507961784</v>
      </c>
      <c r="H5210">
        <v>0.115859930683662</v>
      </c>
      <c r="I5210">
        <v>0.101131285330419</v>
      </c>
      <c r="J5210">
        <v>0.108167226879404</v>
      </c>
      <c r="K5210">
        <v>0.106790871061685</v>
      </c>
      <c r="L5210">
        <v>1165.8767475168499</v>
      </c>
      <c r="M5210">
        <v>22.4212708416343</v>
      </c>
      <c r="N5210">
        <v>52.471191255083198</v>
      </c>
      <c r="O5210">
        <v>51.590332991024098</v>
      </c>
      <c r="P5210">
        <v>-9.8720779296640193E-2</v>
      </c>
      <c r="Q5210">
        <v>9.1410242420443405E-2</v>
      </c>
      <c r="R5210">
        <v>0.99815164501168396</v>
      </c>
      <c r="S5210" t="s">
        <v>11856</v>
      </c>
      <c r="T5210" t="s">
        <v>13290</v>
      </c>
      <c r="U5210" t="s">
        <v>13290</v>
      </c>
      <c r="V5210" t="s">
        <v>13290</v>
      </c>
      <c r="W5210" t="s">
        <v>18450</v>
      </c>
      <c r="X5210">
        <v>8</v>
      </c>
      <c r="Y5210" t="s">
        <v>24929</v>
      </c>
      <c r="Z5210" t="s">
        <v>31540</v>
      </c>
      <c r="AA5210">
        <v>0.46500505636029171</v>
      </c>
      <c r="AB5210" t="str">
        <f>HYPERLINK("Melting_Curves/meltCurve_Q96QF0_2_RAB3IP.pdf", "Melting_Curves/meltCurve_Q96QF0_2_RAB3IP.pdf")</f>
        <v>Melting_Curves/meltCurve_Q96QF0_2_RAB3IP.pdf</v>
      </c>
    </row>
    <row r="5211" spans="1:28" x14ac:dyDescent="0.25">
      <c r="A5211" t="s">
        <v>5215</v>
      </c>
      <c r="B5211">
        <v>0.99252571173614901</v>
      </c>
      <c r="C5211">
        <v>0.97742962461362703</v>
      </c>
      <c r="D5211">
        <v>1.0069571331737599</v>
      </c>
      <c r="E5211">
        <v>0.90716132370691804</v>
      </c>
      <c r="F5211">
        <v>0.57610081677387504</v>
      </c>
      <c r="G5211">
        <v>0.126352077924926</v>
      </c>
      <c r="H5211">
        <v>8.8016520638459605E-2</v>
      </c>
      <c r="I5211">
        <v>9.3082653522456704E-2</v>
      </c>
      <c r="J5211">
        <v>0.114124877873861</v>
      </c>
      <c r="K5211">
        <v>0.11341103624835799</v>
      </c>
      <c r="L5211">
        <v>2153.7380736526702</v>
      </c>
      <c r="M5211">
        <v>40.438834088326999</v>
      </c>
      <c r="N5211">
        <v>53.534770585578102</v>
      </c>
      <c r="O5211">
        <v>53.1294083909861</v>
      </c>
      <c r="P5211">
        <v>-0.17240255305526</v>
      </c>
      <c r="Q5211">
        <v>9.3977094915689605E-2</v>
      </c>
      <c r="R5211">
        <v>0.99667627528520597</v>
      </c>
      <c r="S5211" t="s">
        <v>11857</v>
      </c>
      <c r="T5211" t="s">
        <v>13290</v>
      </c>
      <c r="U5211" t="s">
        <v>13290</v>
      </c>
      <c r="V5211" t="s">
        <v>13290</v>
      </c>
      <c r="W5211" t="s">
        <v>18451</v>
      </c>
      <c r="X5211">
        <v>28</v>
      </c>
      <c r="Y5211" t="s">
        <v>24930</v>
      </c>
      <c r="Z5211" t="s">
        <v>31541</v>
      </c>
      <c r="AA5211">
        <v>0.49767281072503727</v>
      </c>
      <c r="AB5211" t="str">
        <f>HYPERLINK("Melting_Curves/meltCurve_Q96QK1_VPS35.pdf", "Melting_Curves/meltCurve_Q96QK1_VPS35.pdf")</f>
        <v>Melting_Curves/meltCurve_Q96QK1_VPS35.pdf</v>
      </c>
    </row>
    <row r="5212" spans="1:28" x14ac:dyDescent="0.25">
      <c r="A5212" t="s">
        <v>5216</v>
      </c>
      <c r="B5212">
        <v>0.99252571173614901</v>
      </c>
      <c r="C5212">
        <v>1.1267102454934399</v>
      </c>
      <c r="D5212">
        <v>1.0002696566533</v>
      </c>
      <c r="E5212">
        <v>1.03962479841772</v>
      </c>
      <c r="F5212">
        <v>0.73450266244103102</v>
      </c>
      <c r="G5212">
        <v>0.54841047484981598</v>
      </c>
      <c r="H5212">
        <v>0.49373042407312001</v>
      </c>
      <c r="I5212">
        <v>0.53997841045262795</v>
      </c>
      <c r="J5212">
        <v>0.53228961952089204</v>
      </c>
      <c r="K5212">
        <v>0.46215052768277898</v>
      </c>
      <c r="L5212">
        <v>4442.0108981661297</v>
      </c>
      <c r="M5212">
        <v>83.677526028596503</v>
      </c>
      <c r="O5212">
        <v>53.054592295520798</v>
      </c>
      <c r="P5212">
        <v>-0.19131694724246401</v>
      </c>
      <c r="Q5212">
        <v>0.51479260810415906</v>
      </c>
      <c r="R5212">
        <v>0.96346729939770304</v>
      </c>
      <c r="S5212" t="s">
        <v>11858</v>
      </c>
      <c r="T5212" t="s">
        <v>13290</v>
      </c>
      <c r="U5212" t="s">
        <v>13290</v>
      </c>
      <c r="V5212" t="s">
        <v>13290</v>
      </c>
      <c r="W5212" t="s">
        <v>18452</v>
      </c>
      <c r="X5212">
        <v>5</v>
      </c>
      <c r="Y5212" t="s">
        <v>24931</v>
      </c>
      <c r="Z5212" t="s">
        <v>31542</v>
      </c>
      <c r="AA5212">
        <v>0.72682605699970126</v>
      </c>
      <c r="AB5212" t="str">
        <f>HYPERLINK("Melting_Curves/meltCurve_Q96QR8_PURB.pdf", "Melting_Curves/meltCurve_Q96QR8_PURB.pdf")</f>
        <v>Melting_Curves/meltCurve_Q96QR8_PURB.pdf</v>
      </c>
    </row>
    <row r="5213" spans="1:28" x14ac:dyDescent="0.25">
      <c r="A5213" t="s">
        <v>5217</v>
      </c>
      <c r="B5213">
        <v>0.99252571173614901</v>
      </c>
      <c r="C5213">
        <v>0.97806751218038501</v>
      </c>
      <c r="D5213">
        <v>0.827778437112756</v>
      </c>
      <c r="E5213">
        <v>0.43273793056910198</v>
      </c>
      <c r="F5213">
        <v>0.152075839590193</v>
      </c>
      <c r="G5213">
        <v>9.1459036413866504E-2</v>
      </c>
      <c r="H5213">
        <v>6.3682655717409997E-2</v>
      </c>
      <c r="I5213">
        <v>7.3122176856815796E-2</v>
      </c>
      <c r="J5213">
        <v>8.0324103812953004E-2</v>
      </c>
      <c r="K5213">
        <v>7.5670942951485104E-2</v>
      </c>
      <c r="L5213">
        <v>1275.1300302311599</v>
      </c>
      <c r="M5213">
        <v>26.189082261803101</v>
      </c>
      <c r="N5213">
        <v>48.971601521766999</v>
      </c>
      <c r="O5213">
        <v>48.408167295301602</v>
      </c>
      <c r="P5213">
        <v>-0.12577903941416299</v>
      </c>
      <c r="Q5213">
        <v>7.0045755277448496E-2</v>
      </c>
      <c r="R5213">
        <v>0.99967340023511797</v>
      </c>
      <c r="S5213" t="s">
        <v>11859</v>
      </c>
      <c r="T5213" t="s">
        <v>13290</v>
      </c>
      <c r="U5213" t="s">
        <v>13290</v>
      </c>
      <c r="V5213" t="s">
        <v>13290</v>
      </c>
      <c r="W5213" t="s">
        <v>18453</v>
      </c>
      <c r="X5213">
        <v>10</v>
      </c>
      <c r="Y5213" t="s">
        <v>24932</v>
      </c>
      <c r="Z5213" t="s">
        <v>31543</v>
      </c>
      <c r="AA5213">
        <v>0.34687305140772678</v>
      </c>
      <c r="AB5213" t="str">
        <f>HYPERLINK("Melting_Curves/meltCurve_Q96QU8_XPO6.pdf", "Melting_Curves/meltCurve_Q96QU8_XPO6.pdf")</f>
        <v>Melting_Curves/meltCurve_Q96QU8_XPO6.pdf</v>
      </c>
    </row>
    <row r="5214" spans="1:28" x14ac:dyDescent="0.25">
      <c r="A5214" t="s">
        <v>5218</v>
      </c>
      <c r="B5214">
        <v>0.99252571173614901</v>
      </c>
      <c r="C5214">
        <v>0.98553672121456404</v>
      </c>
      <c r="D5214">
        <v>0.91755463539461601</v>
      </c>
      <c r="E5214">
        <v>0.63545951066822903</v>
      </c>
      <c r="F5214">
        <v>0.23062951770252599</v>
      </c>
      <c r="G5214">
        <v>0.135006670180464</v>
      </c>
      <c r="H5214">
        <v>0.10244296476862701</v>
      </c>
      <c r="I5214">
        <v>0.11820201249047101</v>
      </c>
      <c r="J5214">
        <v>0.14405784980210401</v>
      </c>
      <c r="K5214">
        <v>0.14803680989810999</v>
      </c>
      <c r="L5214">
        <v>1556.5177941203699</v>
      </c>
      <c r="M5214">
        <v>31.106235101688199</v>
      </c>
      <c r="N5214">
        <v>50.497960804856199</v>
      </c>
      <c r="O5214">
        <v>49.833327674466403</v>
      </c>
      <c r="P5214">
        <v>-0.136828825953487</v>
      </c>
      <c r="Q5214">
        <v>0.123185783299227</v>
      </c>
      <c r="R5214">
        <v>0.99781411753385496</v>
      </c>
      <c r="S5214" t="s">
        <v>11860</v>
      </c>
      <c r="T5214" t="s">
        <v>13290</v>
      </c>
      <c r="U5214" t="s">
        <v>13290</v>
      </c>
      <c r="V5214" t="s">
        <v>13290</v>
      </c>
      <c r="W5214" t="s">
        <v>18454</v>
      </c>
      <c r="X5214">
        <v>24</v>
      </c>
      <c r="Y5214" t="s">
        <v>24933</v>
      </c>
      <c r="Z5214" t="s">
        <v>31544</v>
      </c>
      <c r="AA5214">
        <v>0.42163369797251682</v>
      </c>
      <c r="AB5214" t="str">
        <f>HYPERLINK("Melting_Curves/meltCurve_Q96QZ7_6_MAGI1.pdf", "Melting_Curves/meltCurve_Q96QZ7_6_MAGI1.pdf")</f>
        <v>Melting_Curves/meltCurve_Q96QZ7_6_MAGI1.pdf</v>
      </c>
    </row>
    <row r="5215" spans="1:28" x14ac:dyDescent="0.25">
      <c r="A5215" t="s">
        <v>5219</v>
      </c>
      <c r="B5215">
        <v>0.99252571173614901</v>
      </c>
      <c r="C5215">
        <v>1.0430619921237001</v>
      </c>
      <c r="D5215">
        <v>1.03145116895241</v>
      </c>
      <c r="E5215">
        <v>1.0426097308803499</v>
      </c>
      <c r="F5215">
        <v>0.87277348694909695</v>
      </c>
      <c r="G5215">
        <v>0.63319709860407303</v>
      </c>
      <c r="H5215">
        <v>0.71812761033063999</v>
      </c>
      <c r="I5215">
        <v>0.77914656464175303</v>
      </c>
      <c r="J5215">
        <v>1.04312231088125</v>
      </c>
      <c r="K5215">
        <v>1.0445996967659399</v>
      </c>
      <c r="L5215">
        <v>13221.5813061592</v>
      </c>
      <c r="M5215">
        <v>250</v>
      </c>
      <c r="O5215">
        <v>52.8829215307928</v>
      </c>
      <c r="P5215">
        <v>-0.18479652465806601</v>
      </c>
      <c r="Q5215">
        <v>0.84363866093055895</v>
      </c>
      <c r="R5215">
        <v>0.33328379766189897</v>
      </c>
      <c r="S5215" t="s">
        <v>11861</v>
      </c>
      <c r="T5215" t="s">
        <v>13290</v>
      </c>
      <c r="U5215" t="s">
        <v>13290</v>
      </c>
      <c r="V5215" t="s">
        <v>13290</v>
      </c>
      <c r="W5215" t="s">
        <v>18455</v>
      </c>
      <c r="X5215">
        <v>2</v>
      </c>
      <c r="Y5215" t="s">
        <v>24934</v>
      </c>
      <c r="Z5215" t="s">
        <v>31545</v>
      </c>
      <c r="AA5215">
        <v>0.91081727581812977</v>
      </c>
      <c r="AB5215" t="str">
        <f>HYPERLINK("Melting_Curves/meltCurve_Q96RD7_2_PANX1.pdf", "Melting_Curves/meltCurve_Q96RD7_2_PANX1.pdf")</f>
        <v>Melting_Curves/meltCurve_Q96RD7_2_PANX1.pdf</v>
      </c>
    </row>
    <row r="5216" spans="1:28" x14ac:dyDescent="0.25">
      <c r="A5216" t="s">
        <v>5220</v>
      </c>
      <c r="B5216">
        <v>0.99252571173614901</v>
      </c>
      <c r="C5216">
        <v>0.89771367365424104</v>
      </c>
      <c r="D5216">
        <v>0.62084716419378905</v>
      </c>
      <c r="E5216">
        <v>0.206158237790734</v>
      </c>
      <c r="F5216">
        <v>0.11273901581121799</v>
      </c>
      <c r="G5216">
        <v>6.3650914191450705E-2</v>
      </c>
      <c r="H5216">
        <v>4.8027720809471798E-2</v>
      </c>
      <c r="I5216">
        <v>5.0617740246326197E-2</v>
      </c>
      <c r="J5216">
        <v>5.6907613922488103E-2</v>
      </c>
      <c r="K5216">
        <v>5.2929845987838099E-2</v>
      </c>
      <c r="L5216">
        <v>1199.61331638452</v>
      </c>
      <c r="M5216">
        <v>25.7196871592175</v>
      </c>
      <c r="N5216">
        <v>46.8493312086838</v>
      </c>
      <c r="O5216">
        <v>46.362612538557499</v>
      </c>
      <c r="P5216">
        <v>-0.131223332588844</v>
      </c>
      <c r="Q5216">
        <v>5.3832578494581403E-2</v>
      </c>
      <c r="R5216">
        <v>0.99919921209578899</v>
      </c>
      <c r="S5216" t="s">
        <v>11862</v>
      </c>
      <c r="T5216" t="s">
        <v>13290</v>
      </c>
      <c r="U5216" t="s">
        <v>13290</v>
      </c>
      <c r="V5216" t="s">
        <v>13290</v>
      </c>
      <c r="W5216" t="s">
        <v>18456</v>
      </c>
      <c r="X5216">
        <v>7</v>
      </c>
      <c r="Y5216" t="s">
        <v>24935</v>
      </c>
      <c r="Z5216" t="s">
        <v>31546</v>
      </c>
      <c r="AA5216">
        <v>0.27130590194113108</v>
      </c>
      <c r="AB5216" t="str">
        <f>HYPERLINK("Melting_Curves/meltCurve_Q96RE7_NACC1.pdf", "Melting_Curves/meltCurve_Q96RE7_NACC1.pdf")</f>
        <v>Melting_Curves/meltCurve_Q96RE7_NACC1.pdf</v>
      </c>
    </row>
    <row r="5217" spans="1:28" x14ac:dyDescent="0.25">
      <c r="A5217" t="s">
        <v>5221</v>
      </c>
      <c r="B5217">
        <v>0.99252571173614901</v>
      </c>
      <c r="C5217">
        <v>1.2269389008549201</v>
      </c>
      <c r="D5217">
        <v>1.1057945693328799</v>
      </c>
      <c r="E5217">
        <v>1.1709880568120099</v>
      </c>
      <c r="F5217">
        <v>0.70683784744925804</v>
      </c>
      <c r="G5217">
        <v>0.37142674214253801</v>
      </c>
      <c r="H5217">
        <v>0.38787587958647302</v>
      </c>
      <c r="I5217">
        <v>0.53265169693454895</v>
      </c>
      <c r="J5217">
        <v>0.92743219840160696</v>
      </c>
      <c r="K5217">
        <v>0.67307111538859299</v>
      </c>
      <c r="L5217">
        <v>13256.0571209425</v>
      </c>
      <c r="M5217">
        <v>250</v>
      </c>
      <c r="O5217">
        <v>53.020833885792499</v>
      </c>
      <c r="P5217">
        <v>-0.49686654901039301</v>
      </c>
      <c r="Q5217">
        <v>0.57849152923130898</v>
      </c>
      <c r="R5217">
        <v>0.66797345561784305</v>
      </c>
      <c r="S5217" t="s">
        <v>11863</v>
      </c>
      <c r="T5217" t="s">
        <v>13290</v>
      </c>
      <c r="U5217" t="s">
        <v>13290</v>
      </c>
      <c r="V5217" t="s">
        <v>13290</v>
      </c>
      <c r="W5217" t="s">
        <v>18457</v>
      </c>
      <c r="X5217">
        <v>2</v>
      </c>
      <c r="Y5217" t="s">
        <v>24936</v>
      </c>
      <c r="Z5217" t="s">
        <v>31547</v>
      </c>
      <c r="AA5217">
        <v>0.76152484112135987</v>
      </c>
      <c r="AB5217" t="str">
        <f>HYPERLINK("Melting_Curves/meltCurve_Q96RG2_PASK.pdf", "Melting_Curves/meltCurve_Q96RG2_PASK.pdf")</f>
        <v>Melting_Curves/meltCurve_Q96RG2_PASK.pdf</v>
      </c>
    </row>
    <row r="5218" spans="1:28" x14ac:dyDescent="0.25">
      <c r="A5218" t="s">
        <v>5222</v>
      </c>
      <c r="B5218">
        <v>0.99252571173614901</v>
      </c>
      <c r="C5218">
        <v>0.87197023175950705</v>
      </c>
      <c r="D5218">
        <v>0.965607017148015</v>
      </c>
      <c r="E5218">
        <v>0.78757873950312796</v>
      </c>
      <c r="F5218">
        <v>0.51876997283315995</v>
      </c>
      <c r="G5218">
        <v>0.26605602407473999</v>
      </c>
      <c r="H5218">
        <v>0.12731276354840901</v>
      </c>
      <c r="I5218">
        <v>0.148633752476271</v>
      </c>
      <c r="J5218">
        <v>0.12850565743422199</v>
      </c>
      <c r="K5218">
        <v>0.107012887570633</v>
      </c>
      <c r="L5218">
        <v>1023.1911549733099</v>
      </c>
      <c r="M5218">
        <v>19.441336449579101</v>
      </c>
      <c r="N5218">
        <v>53.247108496569403</v>
      </c>
      <c r="O5218">
        <v>52.082322056472897</v>
      </c>
      <c r="P5218">
        <v>-8.3905824685682306E-2</v>
      </c>
      <c r="Q5218">
        <v>0.100915495914359</v>
      </c>
      <c r="R5218">
        <v>0.98743106209473297</v>
      </c>
      <c r="S5218" t="s">
        <v>11864</v>
      </c>
      <c r="T5218" t="s">
        <v>13290</v>
      </c>
      <c r="U5218" t="s">
        <v>13290</v>
      </c>
      <c r="V5218" t="s">
        <v>13290</v>
      </c>
      <c r="W5218" t="s">
        <v>18458</v>
      </c>
      <c r="X5218">
        <v>14</v>
      </c>
      <c r="Y5218" t="s">
        <v>24937</v>
      </c>
      <c r="Z5218" t="s">
        <v>31548</v>
      </c>
      <c r="AA5218">
        <v>0.49244256556603888</v>
      </c>
      <c r="AB5218" t="str">
        <f>HYPERLINK("Melting_Curves/meltCurve_Q96RL7_4_VPS13A.pdf", "Melting_Curves/meltCurve_Q96RL7_4_VPS13A.pdf")</f>
        <v>Melting_Curves/meltCurve_Q96RL7_4_VPS13A.pdf</v>
      </c>
    </row>
    <row r="5219" spans="1:28" x14ac:dyDescent="0.25">
      <c r="A5219" t="s">
        <v>5223</v>
      </c>
      <c r="B5219">
        <v>0.99252571173614901</v>
      </c>
      <c r="C5219">
        <v>0.99767436176190405</v>
      </c>
      <c r="D5219">
        <v>0.95351698212668501</v>
      </c>
      <c r="E5219">
        <v>0.81291056225011604</v>
      </c>
      <c r="F5219">
        <v>0.47610202483449898</v>
      </c>
      <c r="G5219">
        <v>0.28243115842025601</v>
      </c>
      <c r="H5219">
        <v>0.16315444576166599</v>
      </c>
      <c r="I5219">
        <v>0.15010822026906001</v>
      </c>
      <c r="J5219">
        <v>0.15136592227904899</v>
      </c>
      <c r="K5219">
        <v>0.15561780023594701</v>
      </c>
      <c r="L5219">
        <v>1183.17872667553</v>
      </c>
      <c r="M5219">
        <v>22.6395037954995</v>
      </c>
      <c r="N5219">
        <v>53.056619698444202</v>
      </c>
      <c r="O5219">
        <v>51.859058018411098</v>
      </c>
      <c r="P5219">
        <v>-9.3443888544866002E-2</v>
      </c>
      <c r="Q5219">
        <v>0.143830091735377</v>
      </c>
      <c r="R5219">
        <v>0.99921785136642804</v>
      </c>
      <c r="S5219" t="s">
        <v>11865</v>
      </c>
      <c r="T5219" t="s">
        <v>13290</v>
      </c>
      <c r="U5219" t="s">
        <v>13290</v>
      </c>
      <c r="V5219" t="s">
        <v>13290</v>
      </c>
      <c r="W5219" t="s">
        <v>18459</v>
      </c>
      <c r="X5219">
        <v>7</v>
      </c>
      <c r="Y5219" t="s">
        <v>24938</v>
      </c>
      <c r="Z5219" t="s">
        <v>31549</v>
      </c>
      <c r="AA5219">
        <v>0.50321447162850597</v>
      </c>
      <c r="AB5219" t="str">
        <f>HYPERLINK("Melting_Curves/meltCurve_Q96RN5_3_MED15.pdf", "Melting_Curves/meltCurve_Q96RN5_3_MED15.pdf")</f>
        <v>Melting_Curves/meltCurve_Q96RN5_3_MED15.pdf</v>
      </c>
    </row>
    <row r="5220" spans="1:28" x14ac:dyDescent="0.25">
      <c r="A5220" t="s">
        <v>5224</v>
      </c>
      <c r="B5220">
        <v>0.99252571173614901</v>
      </c>
      <c r="C5220">
        <v>1.01462064450321</v>
      </c>
      <c r="D5220">
        <v>0.91039467155134302</v>
      </c>
      <c r="E5220">
        <v>0.58671602183534999</v>
      </c>
      <c r="F5220">
        <v>0.125918465577782</v>
      </c>
      <c r="G5220">
        <v>8.2728963506502204E-2</v>
      </c>
      <c r="H5220">
        <v>5.6744762495621201E-2</v>
      </c>
      <c r="I5220">
        <v>5.8631467738707199E-2</v>
      </c>
      <c r="J5220">
        <v>6.5116836453505106E-2</v>
      </c>
      <c r="K5220">
        <v>6.5654215005022498E-2</v>
      </c>
      <c r="L5220">
        <v>1736.0972163398901</v>
      </c>
      <c r="M5220">
        <v>34.830930639075</v>
      </c>
      <c r="N5220">
        <v>50.023704697193402</v>
      </c>
      <c r="O5220">
        <v>49.680108959684098</v>
      </c>
      <c r="P5220">
        <v>-0.16494504803878701</v>
      </c>
      <c r="Q5220">
        <v>5.8944646009130401E-2</v>
      </c>
      <c r="R5220">
        <v>0.99801134219147303</v>
      </c>
      <c r="S5220" t="s">
        <v>11866</v>
      </c>
      <c r="T5220" t="s">
        <v>13290</v>
      </c>
      <c r="U5220" t="s">
        <v>13290</v>
      </c>
      <c r="V5220" t="s">
        <v>13290</v>
      </c>
      <c r="W5220" t="s">
        <v>18460</v>
      </c>
      <c r="X5220">
        <v>33</v>
      </c>
      <c r="Y5220" t="s">
        <v>24939</v>
      </c>
      <c r="Z5220" t="s">
        <v>31550</v>
      </c>
      <c r="AA5220">
        <v>0.37201257351693567</v>
      </c>
      <c r="AB5220" t="str">
        <f>HYPERLINK("Melting_Curves/meltCurve_Q96RP9_GFM1.pdf", "Melting_Curves/meltCurve_Q96RP9_GFM1.pdf")</f>
        <v>Melting_Curves/meltCurve_Q96RP9_GFM1.pdf</v>
      </c>
    </row>
    <row r="5221" spans="1:28" x14ac:dyDescent="0.25">
      <c r="A5221" t="s">
        <v>5225</v>
      </c>
      <c r="B5221">
        <v>0.99252571173614901</v>
      </c>
      <c r="C5221">
        <v>0.89183612672010404</v>
      </c>
      <c r="D5221">
        <v>0.85124821872371503</v>
      </c>
      <c r="E5221">
        <v>0.83353345577604998</v>
      </c>
      <c r="F5221">
        <v>0.60485289086196103</v>
      </c>
      <c r="G5221">
        <v>0.37834080084014898</v>
      </c>
      <c r="H5221">
        <v>0.18915992538783999</v>
      </c>
      <c r="I5221">
        <v>0.21472511143011999</v>
      </c>
      <c r="J5221">
        <v>0.24529295154618</v>
      </c>
      <c r="K5221">
        <v>0.23873057890119601</v>
      </c>
      <c r="L5221">
        <v>844.53307621627096</v>
      </c>
      <c r="M5221">
        <v>15.970953781803299</v>
      </c>
      <c r="N5221">
        <v>54.4236426276251</v>
      </c>
      <c r="O5221">
        <v>52.0711121096396</v>
      </c>
      <c r="P5221">
        <v>-6.2712487451326404E-2</v>
      </c>
      <c r="Q5221">
        <v>0.18220269104207401</v>
      </c>
      <c r="R5221">
        <v>0.97083230541407195</v>
      </c>
      <c r="S5221" t="s">
        <v>11867</v>
      </c>
      <c r="T5221" t="s">
        <v>13290</v>
      </c>
      <c r="U5221" t="s">
        <v>13290</v>
      </c>
      <c r="V5221" t="s">
        <v>13290</v>
      </c>
      <c r="W5221" t="s">
        <v>18461</v>
      </c>
      <c r="X5221">
        <v>3</v>
      </c>
      <c r="Y5221" t="s">
        <v>24940</v>
      </c>
      <c r="Z5221" t="s">
        <v>31551</v>
      </c>
      <c r="AA5221">
        <v>0.54944477573256501</v>
      </c>
      <c r="AB5221" t="str">
        <f>HYPERLINK("Melting_Curves/meltCurve_Q96RQ1_ERGIC2.pdf", "Melting_Curves/meltCurve_Q96RQ1_ERGIC2.pdf")</f>
        <v>Melting_Curves/meltCurve_Q96RQ1_ERGIC2.pdf</v>
      </c>
    </row>
    <row r="5222" spans="1:28" x14ac:dyDescent="0.25">
      <c r="A5222" t="s">
        <v>5226</v>
      </c>
      <c r="B5222">
        <v>0.99252571173614901</v>
      </c>
      <c r="C5222">
        <v>0.94754878024192102</v>
      </c>
      <c r="D5222">
        <v>0.71054084969947795</v>
      </c>
      <c r="E5222">
        <v>0.39031563475815001</v>
      </c>
      <c r="F5222">
        <v>8.5976376459790296E-2</v>
      </c>
      <c r="G5222">
        <v>5.2366978797940902E-2</v>
      </c>
      <c r="H5222">
        <v>3.23752965293541E-2</v>
      </c>
      <c r="I5222">
        <v>3.6439560321967601E-2</v>
      </c>
      <c r="J5222">
        <v>4.6457677789881899E-2</v>
      </c>
      <c r="K5222">
        <v>3.6524742621833299E-2</v>
      </c>
      <c r="L5222">
        <v>1067.49067582828</v>
      </c>
      <c r="M5222">
        <v>22.217074815810701</v>
      </c>
      <c r="N5222">
        <v>48.172250532496797</v>
      </c>
      <c r="O5222">
        <v>47.664017436693001</v>
      </c>
      <c r="P5222">
        <v>-0.113291802225068</v>
      </c>
      <c r="Q5222">
        <v>2.78060364883858E-2</v>
      </c>
      <c r="R5222">
        <v>0.99682118639740602</v>
      </c>
      <c r="S5222" t="s">
        <v>11868</v>
      </c>
      <c r="T5222" t="s">
        <v>13290</v>
      </c>
      <c r="U5222" t="s">
        <v>13290</v>
      </c>
      <c r="V5222" t="s">
        <v>13290</v>
      </c>
      <c r="W5222" t="s">
        <v>18462</v>
      </c>
      <c r="X5222">
        <v>7</v>
      </c>
      <c r="Y5222" t="s">
        <v>24941</v>
      </c>
      <c r="Z5222" t="s">
        <v>31552</v>
      </c>
      <c r="AA5222">
        <v>0.29966131911445271</v>
      </c>
      <c r="AB5222" t="str">
        <f>HYPERLINK("Melting_Curves/meltCurve_Q96RR4_2_CAMKK2.pdf", "Melting_Curves/meltCurve_Q96RR4_2_CAMKK2.pdf")</f>
        <v>Melting_Curves/meltCurve_Q96RR4_2_CAMKK2.pdf</v>
      </c>
    </row>
    <row r="5223" spans="1:28" x14ac:dyDescent="0.25">
      <c r="A5223" t="s">
        <v>5227</v>
      </c>
      <c r="B5223">
        <v>0.99252571173614901</v>
      </c>
      <c r="C5223">
        <v>0.971268755217781</v>
      </c>
      <c r="D5223">
        <v>0.92654404703516602</v>
      </c>
      <c r="E5223">
        <v>0.82421461222229697</v>
      </c>
      <c r="F5223">
        <v>0.33021144232445598</v>
      </c>
      <c r="G5223">
        <v>0.150552698993069</v>
      </c>
      <c r="H5223">
        <v>0.11506736188665601</v>
      </c>
      <c r="I5223">
        <v>0.124237900155009</v>
      </c>
      <c r="J5223">
        <v>0.111042137661717</v>
      </c>
      <c r="K5223">
        <v>9.8166328138027198E-2</v>
      </c>
      <c r="L5223">
        <v>1737.5513073516099</v>
      </c>
      <c r="M5223">
        <v>33.7270281712645</v>
      </c>
      <c r="N5223">
        <v>51.901312023072698</v>
      </c>
      <c r="O5223">
        <v>51.337984627450602</v>
      </c>
      <c r="P5223">
        <v>-0.146136991881753</v>
      </c>
      <c r="Q5223">
        <v>0.110227612528762</v>
      </c>
      <c r="R5223">
        <v>0.996789561188133</v>
      </c>
      <c r="S5223" t="s">
        <v>11869</v>
      </c>
      <c r="T5223" t="s">
        <v>13290</v>
      </c>
      <c r="U5223" t="s">
        <v>13290</v>
      </c>
      <c r="V5223" t="s">
        <v>13290</v>
      </c>
      <c r="W5223" t="s">
        <v>18463</v>
      </c>
      <c r="X5223">
        <v>8</v>
      </c>
      <c r="Y5223" t="s">
        <v>24942</v>
      </c>
      <c r="Z5223" t="s">
        <v>31553</v>
      </c>
      <c r="AA5223">
        <v>0.45630646236078931</v>
      </c>
      <c r="AB5223" t="str">
        <f>HYPERLINK("Melting_Curves/meltCurve_Q96RS6_NUDCD1.pdf", "Melting_Curves/meltCurve_Q96RS6_NUDCD1.pdf")</f>
        <v>Melting_Curves/meltCurve_Q96RS6_NUDCD1.pdf</v>
      </c>
    </row>
    <row r="5224" spans="1:28" x14ac:dyDescent="0.25">
      <c r="A5224" t="s">
        <v>5228</v>
      </c>
      <c r="B5224">
        <v>0.99252571173614901</v>
      </c>
      <c r="C5224">
        <v>0.852411758742743</v>
      </c>
      <c r="D5224">
        <v>0.68906604949154104</v>
      </c>
      <c r="E5224">
        <v>0.74983505504516001</v>
      </c>
      <c r="F5224">
        <v>0.305754512811793</v>
      </c>
      <c r="G5224">
        <v>0.20643827489856501</v>
      </c>
      <c r="H5224">
        <v>0.20754280268686001</v>
      </c>
      <c r="I5224">
        <v>0.49956819425114302</v>
      </c>
      <c r="J5224">
        <v>1.15757603820577</v>
      </c>
      <c r="K5224">
        <v>1.56443034988503</v>
      </c>
      <c r="L5224">
        <v>1861.27235575747</v>
      </c>
      <c r="M5224">
        <v>43.163594556517097</v>
      </c>
      <c r="O5224">
        <v>43.029103305197999</v>
      </c>
      <c r="P5224">
        <v>-8.2824935395998195E-2</v>
      </c>
      <c r="Q5224">
        <v>0.66973308916583596</v>
      </c>
      <c r="R5224">
        <v>6.3149158716854406E-2</v>
      </c>
      <c r="S5224" t="s">
        <v>11870</v>
      </c>
      <c r="T5224" t="s">
        <v>13290</v>
      </c>
      <c r="U5224" t="s">
        <v>13290</v>
      </c>
      <c r="V5224" t="s">
        <v>13290</v>
      </c>
      <c r="W5224" t="s">
        <v>18464</v>
      </c>
      <c r="X5224">
        <v>6</v>
      </c>
      <c r="Y5224" t="s">
        <v>24943</v>
      </c>
      <c r="Z5224" t="s">
        <v>31554</v>
      </c>
      <c r="AA5224">
        <v>0.7052477393764508</v>
      </c>
      <c r="AB5224" t="str">
        <f>HYPERLINK("Melting_Curves/meltCurve_Q96RT1_4_ERBB2IP.pdf", "Melting_Curves/meltCurve_Q96RT1_4_ERBB2IP.pdf")</f>
        <v>Melting_Curves/meltCurve_Q96RT1_4_ERBB2IP.pdf</v>
      </c>
    </row>
    <row r="5225" spans="1:28" x14ac:dyDescent="0.25">
      <c r="A5225" t="s">
        <v>5229</v>
      </c>
      <c r="B5225">
        <v>0.99252571173614901</v>
      </c>
      <c r="C5225">
        <v>0.95659110918727097</v>
      </c>
      <c r="D5225">
        <v>0.78849739539048203</v>
      </c>
      <c r="E5225">
        <v>0.52086966688238201</v>
      </c>
      <c r="F5225">
        <v>0.414732665170711</v>
      </c>
      <c r="G5225">
        <v>0.27899213125029199</v>
      </c>
      <c r="H5225">
        <v>0.25363050244371999</v>
      </c>
      <c r="I5225">
        <v>0.173074127512307</v>
      </c>
      <c r="J5225">
        <v>0.208380248941023</v>
      </c>
      <c r="K5225">
        <v>0.21506927685229499</v>
      </c>
      <c r="L5225">
        <v>789.32723542499798</v>
      </c>
      <c r="M5225">
        <v>16.117172864318999</v>
      </c>
      <c r="N5225">
        <v>50.5702956803459</v>
      </c>
      <c r="O5225">
        <v>48.2389601513242</v>
      </c>
      <c r="P5225">
        <v>-6.6881736171247902E-2</v>
      </c>
      <c r="Q5225">
        <v>0.19934852017473101</v>
      </c>
      <c r="R5225">
        <v>0.992648598795562</v>
      </c>
      <c r="S5225" t="s">
        <v>11871</v>
      </c>
      <c r="T5225" t="s">
        <v>13290</v>
      </c>
      <c r="U5225" t="s">
        <v>13290</v>
      </c>
      <c r="V5225" t="s">
        <v>13290</v>
      </c>
      <c r="W5225" t="s">
        <v>18465</v>
      </c>
      <c r="X5225">
        <v>3</v>
      </c>
      <c r="Y5225" t="s">
        <v>24944</v>
      </c>
      <c r="Z5225" t="s">
        <v>31555</v>
      </c>
      <c r="AA5225">
        <v>0.45610162701337048</v>
      </c>
      <c r="AB5225" t="str">
        <f>HYPERLINK("Melting_Curves/meltCurve_Q96S16_JMJD8.pdf", "Melting_Curves/meltCurve_Q96S16_JMJD8.pdf")</f>
        <v>Melting_Curves/meltCurve_Q96S16_JMJD8.pdf</v>
      </c>
    </row>
    <row r="5226" spans="1:28" x14ac:dyDescent="0.25">
      <c r="A5226" t="s">
        <v>5230</v>
      </c>
      <c r="B5226">
        <v>0.99252571173614901</v>
      </c>
      <c r="C5226">
        <v>1.0673874267607899</v>
      </c>
      <c r="D5226">
        <v>0.93918936839382905</v>
      </c>
      <c r="E5226">
        <v>0.52812945443048898</v>
      </c>
      <c r="F5226">
        <v>0.157882886948428</v>
      </c>
      <c r="G5226">
        <v>9.7311889818109704E-2</v>
      </c>
      <c r="H5226">
        <v>7.5226855598666001E-2</v>
      </c>
      <c r="I5226">
        <v>8.9513046433542007E-2</v>
      </c>
      <c r="J5226">
        <v>0.120345800534785</v>
      </c>
      <c r="K5226">
        <v>0.12728004931964801</v>
      </c>
      <c r="L5226">
        <v>1879.8411057436299</v>
      </c>
      <c r="M5226">
        <v>38.008076423990801</v>
      </c>
      <c r="N5226">
        <v>49.752591389913597</v>
      </c>
      <c r="O5226">
        <v>49.322671314533302</v>
      </c>
      <c r="P5226">
        <v>-0.17329699706269799</v>
      </c>
      <c r="Q5226">
        <v>0.10045968204216001</v>
      </c>
      <c r="R5226">
        <v>0.99556336285035496</v>
      </c>
      <c r="S5226" t="s">
        <v>11872</v>
      </c>
      <c r="T5226" t="s">
        <v>13290</v>
      </c>
      <c r="U5226" t="s">
        <v>13290</v>
      </c>
      <c r="V5226" t="s">
        <v>13290</v>
      </c>
      <c r="W5226" t="s">
        <v>18466</v>
      </c>
      <c r="X5226">
        <v>9</v>
      </c>
      <c r="Y5226" t="s">
        <v>24945</v>
      </c>
      <c r="Z5226" t="s">
        <v>31556</v>
      </c>
      <c r="AA5226">
        <v>0.38749666062731641</v>
      </c>
      <c r="AB5226" t="str">
        <f>HYPERLINK("Melting_Curves/meltCurve_Q96S19_C16orf13.pdf", "Melting_Curves/meltCurve_Q96S19_C16orf13.pdf")</f>
        <v>Melting_Curves/meltCurve_Q96S19_C16orf13.pdf</v>
      </c>
    </row>
    <row r="5227" spans="1:28" x14ac:dyDescent="0.25">
      <c r="A5227" t="s">
        <v>5231</v>
      </c>
      <c r="B5227">
        <v>0.99252571173614901</v>
      </c>
      <c r="C5227">
        <v>0.99824749034587001</v>
      </c>
      <c r="D5227">
        <v>0.98912126023538505</v>
      </c>
      <c r="E5227">
        <v>0.82699484047843097</v>
      </c>
      <c r="F5227">
        <v>0.78295600404271604</v>
      </c>
      <c r="G5227">
        <v>0.50554657661208002</v>
      </c>
      <c r="H5227">
        <v>0.16584644318946201</v>
      </c>
      <c r="I5227">
        <v>7.1903290268878595E-2</v>
      </c>
      <c r="J5227">
        <v>6.4847248179203704E-2</v>
      </c>
      <c r="K5227">
        <v>5.9182834917148597E-2</v>
      </c>
      <c r="L5227">
        <v>1031.2852669981301</v>
      </c>
      <c r="M5227">
        <v>18.286559303750099</v>
      </c>
      <c r="N5227">
        <v>56.399905295410903</v>
      </c>
      <c r="O5227">
        <v>55.7343597577187</v>
      </c>
      <c r="P5227">
        <v>-8.1974856715712599E-2</v>
      </c>
      <c r="Q5227">
        <v>6.6397940641574099E-4</v>
      </c>
      <c r="R5227">
        <v>0.98973902342869802</v>
      </c>
      <c r="S5227" t="s">
        <v>11873</v>
      </c>
      <c r="T5227" t="s">
        <v>13290</v>
      </c>
      <c r="U5227" t="s">
        <v>13290</v>
      </c>
      <c r="V5227" t="s">
        <v>13290</v>
      </c>
      <c r="W5227" t="s">
        <v>18467</v>
      </c>
      <c r="X5227">
        <v>6</v>
      </c>
      <c r="Y5227" t="s">
        <v>24946</v>
      </c>
      <c r="Z5227" t="s">
        <v>31557</v>
      </c>
      <c r="AA5227">
        <v>0.56093364524697786</v>
      </c>
      <c r="AB5227" t="str">
        <f>HYPERLINK("Melting_Curves/meltCurve_Q96S44_TP53RK.pdf", "Melting_Curves/meltCurve_Q96S44_TP53RK.pdf")</f>
        <v>Melting_Curves/meltCurve_Q96S44_TP53RK.pdf</v>
      </c>
    </row>
    <row r="5228" spans="1:28" x14ac:dyDescent="0.25">
      <c r="A5228" t="s">
        <v>5232</v>
      </c>
      <c r="B5228">
        <v>0.99252571173614901</v>
      </c>
      <c r="C5228">
        <v>0.90491848200098701</v>
      </c>
      <c r="D5228">
        <v>0.95967843248334295</v>
      </c>
      <c r="E5228">
        <v>0.85934795907452299</v>
      </c>
      <c r="F5228">
        <v>0.38285712740469102</v>
      </c>
      <c r="G5228">
        <v>0.18791310206417</v>
      </c>
      <c r="H5228">
        <v>0.11358585270149001</v>
      </c>
      <c r="I5228">
        <v>0.120327421748289</v>
      </c>
      <c r="J5228">
        <v>0.15057536027489801</v>
      </c>
      <c r="K5228">
        <v>0.11599461294904501</v>
      </c>
      <c r="L5228">
        <v>1752.7637065680599</v>
      </c>
      <c r="M5228">
        <v>33.776533635638799</v>
      </c>
      <c r="N5228">
        <v>52.3430070167487</v>
      </c>
      <c r="O5228">
        <v>51.712054128427503</v>
      </c>
      <c r="P5228">
        <v>-0.142712830912504</v>
      </c>
      <c r="Q5228">
        <v>0.12602711403644401</v>
      </c>
      <c r="R5228">
        <v>0.99197990085684096</v>
      </c>
      <c r="S5228" t="s">
        <v>11874</v>
      </c>
      <c r="T5228" t="s">
        <v>13290</v>
      </c>
      <c r="U5228" t="s">
        <v>13290</v>
      </c>
      <c r="V5228" t="s">
        <v>13290</v>
      </c>
      <c r="W5228" t="s">
        <v>18468</v>
      </c>
      <c r="X5228">
        <v>8</v>
      </c>
      <c r="Y5228" t="s">
        <v>24947</v>
      </c>
      <c r="Z5228" t="s">
        <v>31558</v>
      </c>
      <c r="AA5228">
        <v>0.47689804304750549</v>
      </c>
      <c r="AB5228" t="str">
        <f>HYPERLINK("Melting_Curves/meltCurve_Q96S52_PIGS.pdf", "Melting_Curves/meltCurve_Q96S52_PIGS.pdf")</f>
        <v>Melting_Curves/meltCurve_Q96S52_PIGS.pdf</v>
      </c>
    </row>
    <row r="5229" spans="1:28" x14ac:dyDescent="0.25">
      <c r="A5229" t="s">
        <v>5233</v>
      </c>
      <c r="B5229">
        <v>0.99252571173614901</v>
      </c>
      <c r="C5229">
        <v>0.85618983363065604</v>
      </c>
      <c r="D5229">
        <v>0.753848311435251</v>
      </c>
      <c r="E5229">
        <v>0.331584451023476</v>
      </c>
      <c r="F5229">
        <v>0.19209711254078499</v>
      </c>
      <c r="G5229">
        <v>0.106794113977439</v>
      </c>
      <c r="H5229">
        <v>0.10035864282028099</v>
      </c>
      <c r="I5229">
        <v>0.121082018279041</v>
      </c>
      <c r="J5229">
        <v>0.16610438503849201</v>
      </c>
      <c r="K5229">
        <v>0.170034689934278</v>
      </c>
      <c r="L5229">
        <v>1122.51907304713</v>
      </c>
      <c r="M5229">
        <v>23.7021632795201</v>
      </c>
      <c r="N5229">
        <v>47.956718872984901</v>
      </c>
      <c r="O5229">
        <v>47.026097048817498</v>
      </c>
      <c r="P5229">
        <v>-0.109900588051635</v>
      </c>
      <c r="Q5229">
        <v>0.12782478319709301</v>
      </c>
      <c r="R5229">
        <v>0.98750673845019199</v>
      </c>
      <c r="S5229" t="s">
        <v>11875</v>
      </c>
      <c r="T5229" t="s">
        <v>13290</v>
      </c>
      <c r="U5229" t="s">
        <v>13290</v>
      </c>
      <c r="V5229" t="s">
        <v>13290</v>
      </c>
      <c r="W5229" t="s">
        <v>18469</v>
      </c>
      <c r="X5229">
        <v>5</v>
      </c>
      <c r="Y5229" t="s">
        <v>24948</v>
      </c>
      <c r="Z5229" t="s">
        <v>31559</v>
      </c>
      <c r="AA5229">
        <v>0.35047607416164089</v>
      </c>
      <c r="AB5229" t="str">
        <f>HYPERLINK("Melting_Curves/meltCurve_Q96S55_2_WRNIP1.pdf", "Melting_Curves/meltCurve_Q96S55_2_WRNIP1.pdf")</f>
        <v>Melting_Curves/meltCurve_Q96S55_2_WRNIP1.pdf</v>
      </c>
    </row>
    <row r="5230" spans="1:28" x14ac:dyDescent="0.25">
      <c r="A5230" t="s">
        <v>5234</v>
      </c>
      <c r="B5230">
        <v>0.99252571173614901</v>
      </c>
      <c r="C5230">
        <v>0.92304858291056702</v>
      </c>
      <c r="D5230">
        <v>1.0157438083544299</v>
      </c>
      <c r="E5230">
        <v>0.953786858074258</v>
      </c>
      <c r="F5230">
        <v>0.59676734605985504</v>
      </c>
      <c r="G5230">
        <v>0.31360828979692501</v>
      </c>
      <c r="H5230">
        <v>0.24344079119998299</v>
      </c>
      <c r="I5230">
        <v>0.24311928810876901</v>
      </c>
      <c r="J5230">
        <v>0.27546044051840501</v>
      </c>
      <c r="K5230">
        <v>0.27095708831625898</v>
      </c>
      <c r="L5230">
        <v>2092.2723357719301</v>
      </c>
      <c r="M5230">
        <v>39.495074700908198</v>
      </c>
      <c r="N5230">
        <v>53.968703099516297</v>
      </c>
      <c r="O5230">
        <v>52.840263985271797</v>
      </c>
      <c r="P5230">
        <v>-0.138598964335547</v>
      </c>
      <c r="Q5230">
        <v>0.25827826206573101</v>
      </c>
      <c r="R5230">
        <v>0.99328867228824402</v>
      </c>
      <c r="S5230" t="s">
        <v>11876</v>
      </c>
      <c r="T5230" t="s">
        <v>13290</v>
      </c>
      <c r="U5230" t="s">
        <v>13290</v>
      </c>
      <c r="V5230" t="s">
        <v>13290</v>
      </c>
      <c r="W5230" t="s">
        <v>18470</v>
      </c>
      <c r="X5230">
        <v>5</v>
      </c>
      <c r="Y5230" t="s">
        <v>24949</v>
      </c>
      <c r="Z5230" t="s">
        <v>31560</v>
      </c>
      <c r="AA5230">
        <v>0.5818691488695894</v>
      </c>
      <c r="AB5230" t="str">
        <f>HYPERLINK("Melting_Curves/meltCurve_Q96S59_RANBP9.pdf", "Melting_Curves/meltCurve_Q96S59_RANBP9.pdf")</f>
        <v>Melting_Curves/meltCurve_Q96S59_RANBP9.pdf</v>
      </c>
    </row>
    <row r="5231" spans="1:28" x14ac:dyDescent="0.25">
      <c r="A5231" t="s">
        <v>5235</v>
      </c>
      <c r="B5231">
        <v>0.99252571173614901</v>
      </c>
      <c r="C5231">
        <v>0.99314687152560399</v>
      </c>
      <c r="D5231">
        <v>0.95045492409129795</v>
      </c>
      <c r="E5231">
        <v>0.92535243854663296</v>
      </c>
      <c r="F5231">
        <v>0.575283043168902</v>
      </c>
      <c r="G5231">
        <v>0.40051945888421803</v>
      </c>
      <c r="H5231">
        <v>0.3377970509314</v>
      </c>
      <c r="I5231">
        <v>0.47378402093405098</v>
      </c>
      <c r="J5231">
        <v>0.829172697549035</v>
      </c>
      <c r="K5231">
        <v>0.79339311986301797</v>
      </c>
      <c r="L5231">
        <v>4170.8214065472703</v>
      </c>
      <c r="M5231">
        <v>82.522468384143593</v>
      </c>
      <c r="O5231">
        <v>50.511988696152201</v>
      </c>
      <c r="P5231">
        <v>-0.17678163775153299</v>
      </c>
      <c r="Q5231">
        <v>0.56716801211805501</v>
      </c>
      <c r="R5231">
        <v>0.64194531004917199</v>
      </c>
      <c r="S5231" t="s">
        <v>11877</v>
      </c>
      <c r="T5231" t="s">
        <v>13290</v>
      </c>
      <c r="U5231" t="s">
        <v>13290</v>
      </c>
      <c r="V5231" t="s">
        <v>13290</v>
      </c>
      <c r="W5231" t="s">
        <v>18471</v>
      </c>
      <c r="X5231">
        <v>9</v>
      </c>
      <c r="Y5231" t="s">
        <v>24950</v>
      </c>
      <c r="Z5231" t="s">
        <v>31561</v>
      </c>
      <c r="AA5231">
        <v>0.71961306201338182</v>
      </c>
      <c r="AB5231" t="str">
        <f>HYPERLINK("Melting_Curves/meltCurve_Q96S66_CLCC1.pdf", "Melting_Curves/meltCurve_Q96S66_CLCC1.pdf")</f>
        <v>Melting_Curves/meltCurve_Q96S66_CLCC1.pdf</v>
      </c>
    </row>
    <row r="5232" spans="1:28" x14ac:dyDescent="0.25">
      <c r="A5232" t="s">
        <v>5236</v>
      </c>
      <c r="B5232">
        <v>0.99252571173614901</v>
      </c>
      <c r="C5232">
        <v>0.997680444494495</v>
      </c>
      <c r="D5232">
        <v>0.91866450390509402</v>
      </c>
      <c r="E5232">
        <v>0.66770987469279397</v>
      </c>
      <c r="F5232">
        <v>0.26855993796143102</v>
      </c>
      <c r="G5232">
        <v>0.14772956997144901</v>
      </c>
      <c r="H5232">
        <v>8.9735856913669504E-2</v>
      </c>
      <c r="I5232">
        <v>0.100151996260178</v>
      </c>
      <c r="J5232">
        <v>0.111914154405062</v>
      </c>
      <c r="K5232">
        <v>0.117673978308576</v>
      </c>
      <c r="L5232">
        <v>1383.9626896623499</v>
      </c>
      <c r="M5232">
        <v>27.426178267344898</v>
      </c>
      <c r="N5232">
        <v>50.884637311032002</v>
      </c>
      <c r="O5232">
        <v>50.195388248136403</v>
      </c>
      <c r="P5232">
        <v>-0.12266691372350701</v>
      </c>
      <c r="Q5232">
        <v>0.10198847400377101</v>
      </c>
      <c r="R5232">
        <v>0.99890726774858396</v>
      </c>
      <c r="S5232" t="s">
        <v>11878</v>
      </c>
      <c r="T5232" t="s">
        <v>13290</v>
      </c>
      <c r="U5232" t="s">
        <v>13290</v>
      </c>
      <c r="V5232" t="s">
        <v>13290</v>
      </c>
      <c r="W5232" t="s">
        <v>18472</v>
      </c>
      <c r="X5232">
        <v>5</v>
      </c>
      <c r="Y5232" t="s">
        <v>24951</v>
      </c>
      <c r="Z5232" t="s">
        <v>31562</v>
      </c>
      <c r="AA5232">
        <v>0.42183850147370061</v>
      </c>
      <c r="AB5232" t="str">
        <f>HYPERLINK("Melting_Curves/meltCurve_Q96S82_UBL7.pdf", "Melting_Curves/meltCurve_Q96S82_UBL7.pdf")</f>
        <v>Melting_Curves/meltCurve_Q96S82_UBL7.pdf</v>
      </c>
    </row>
    <row r="5233" spans="1:28" x14ac:dyDescent="0.25">
      <c r="A5233" t="s">
        <v>5237</v>
      </c>
      <c r="B5233">
        <v>0.99252571173614901</v>
      </c>
      <c r="C5233">
        <v>1.1096323437789899</v>
      </c>
      <c r="D5233">
        <v>0.94435022373849797</v>
      </c>
      <c r="E5233">
        <v>0.76250675390550904</v>
      </c>
      <c r="F5233">
        <v>0.38117872556897597</v>
      </c>
      <c r="G5233">
        <v>0.25182104216640799</v>
      </c>
      <c r="H5233">
        <v>0.209739547804947</v>
      </c>
      <c r="I5233">
        <v>0.23873833740740999</v>
      </c>
      <c r="J5233">
        <v>0.339535985303766</v>
      </c>
      <c r="K5233">
        <v>0.352906726100636</v>
      </c>
      <c r="L5233">
        <v>1872.8395465946901</v>
      </c>
      <c r="M5233">
        <v>37.064720620778303</v>
      </c>
      <c r="N5233">
        <v>51.655369435573498</v>
      </c>
      <c r="O5233">
        <v>50.382498250224003</v>
      </c>
      <c r="P5233">
        <v>-0.132937325601137</v>
      </c>
      <c r="Q5233">
        <v>0.27718928261676101</v>
      </c>
      <c r="R5233">
        <v>0.97239917887748395</v>
      </c>
      <c r="S5233" t="s">
        <v>11879</v>
      </c>
      <c r="T5233" t="s">
        <v>13290</v>
      </c>
      <c r="U5233" t="s">
        <v>13290</v>
      </c>
      <c r="V5233" t="s">
        <v>13290</v>
      </c>
      <c r="W5233" t="s">
        <v>18473</v>
      </c>
      <c r="X5233">
        <v>4</v>
      </c>
      <c r="Y5233" t="s">
        <v>24952</v>
      </c>
      <c r="Z5233" t="s">
        <v>31563</v>
      </c>
      <c r="AA5233">
        <v>0.53381363132977377</v>
      </c>
      <c r="AB5233" t="str">
        <f>HYPERLINK("Melting_Curves/meltCurve_Q96S90_LYSMD1.pdf", "Melting_Curves/meltCurve_Q96S90_LYSMD1.pdf")</f>
        <v>Melting_Curves/meltCurve_Q96S90_LYSMD1.pdf</v>
      </c>
    </row>
    <row r="5234" spans="1:28" x14ac:dyDescent="0.25">
      <c r="A5234" t="s">
        <v>5238</v>
      </c>
      <c r="B5234">
        <v>0.99252571173614901</v>
      </c>
      <c r="C5234">
        <v>0.96102533468279605</v>
      </c>
      <c r="D5234">
        <v>0.79371451680965499</v>
      </c>
      <c r="E5234">
        <v>0.40024137923167802</v>
      </c>
      <c r="F5234">
        <v>0.18970921497888901</v>
      </c>
      <c r="G5234">
        <v>0.11888936348173799</v>
      </c>
      <c r="H5234">
        <v>9.4842375670031606E-2</v>
      </c>
      <c r="I5234">
        <v>0.102475062487264</v>
      </c>
      <c r="J5234">
        <v>0.12087609518440701</v>
      </c>
      <c r="K5234">
        <v>0.12411387489431</v>
      </c>
      <c r="L5234">
        <v>1214.4738418531699</v>
      </c>
      <c r="M5234">
        <v>25.200608200596101</v>
      </c>
      <c r="N5234">
        <v>48.661580358177403</v>
      </c>
      <c r="O5234">
        <v>47.891853218742298</v>
      </c>
      <c r="P5234">
        <v>-0.117358609966419</v>
      </c>
      <c r="Q5234">
        <v>0.107886928800884</v>
      </c>
      <c r="R5234">
        <v>0.99931403500377103</v>
      </c>
      <c r="S5234" t="s">
        <v>11880</v>
      </c>
      <c r="T5234" t="s">
        <v>13290</v>
      </c>
      <c r="U5234" t="s">
        <v>13290</v>
      </c>
      <c r="V5234" t="s">
        <v>13290</v>
      </c>
      <c r="W5234" t="s">
        <v>18474</v>
      </c>
      <c r="X5234">
        <v>4</v>
      </c>
      <c r="Y5234" t="s">
        <v>24953</v>
      </c>
      <c r="Z5234" t="s">
        <v>31564</v>
      </c>
      <c r="AA5234">
        <v>0.35925191379478483</v>
      </c>
      <c r="AB5234" t="str">
        <f>HYPERLINK("Melting_Curves/meltCurve_Q96S94_CCNL2.pdf", "Melting_Curves/meltCurve_Q96S94_CCNL2.pdf")</f>
        <v>Melting_Curves/meltCurve_Q96S94_CCNL2.pdf</v>
      </c>
    </row>
    <row r="5235" spans="1:28" x14ac:dyDescent="0.25">
      <c r="A5235" t="s">
        <v>5239</v>
      </c>
      <c r="B5235">
        <v>0.99252571173614901</v>
      </c>
      <c r="C5235">
        <v>1.03091592803387</v>
      </c>
      <c r="D5235">
        <v>0.57040418541922999</v>
      </c>
      <c r="E5235">
        <v>0.221585663351548</v>
      </c>
      <c r="F5235">
        <v>0.180321693007503</v>
      </c>
      <c r="G5235">
        <v>8.6839029072797905E-2</v>
      </c>
      <c r="H5235">
        <v>6.4261336804387406E-2</v>
      </c>
      <c r="I5235">
        <v>5.1568096588122898E-2</v>
      </c>
      <c r="J5235">
        <v>6.5290846168848699E-2</v>
      </c>
      <c r="K5235">
        <v>5.8626529676863701E-2</v>
      </c>
      <c r="L5235">
        <v>1480.6931503866899</v>
      </c>
      <c r="M5235">
        <v>31.8779142872196</v>
      </c>
      <c r="N5235">
        <v>46.7172986505689</v>
      </c>
      <c r="O5235">
        <v>46.2672282758503</v>
      </c>
      <c r="P5235">
        <v>-0.15783532866533201</v>
      </c>
      <c r="Q5235">
        <v>8.3683350156898206E-2</v>
      </c>
      <c r="R5235">
        <v>0.98530481176554796</v>
      </c>
      <c r="S5235" t="s">
        <v>11881</v>
      </c>
      <c r="T5235" t="s">
        <v>13290</v>
      </c>
      <c r="U5235" t="s">
        <v>13290</v>
      </c>
      <c r="V5235" t="s">
        <v>13290</v>
      </c>
      <c r="W5235" t="s">
        <v>18475</v>
      </c>
      <c r="X5235">
        <v>4</v>
      </c>
      <c r="Y5235" t="s">
        <v>24954</v>
      </c>
      <c r="Z5235" t="s">
        <v>31565</v>
      </c>
      <c r="AA5235">
        <v>0.28549521473053119</v>
      </c>
      <c r="AB5235" t="str">
        <f>HYPERLINK("Melting_Curves/meltCurve_Q96S99_PLEKHF1.pdf", "Melting_Curves/meltCurve_Q96S99_PLEKHF1.pdf")</f>
        <v>Melting_Curves/meltCurve_Q96S99_PLEKHF1.pdf</v>
      </c>
    </row>
    <row r="5236" spans="1:28" x14ac:dyDescent="0.25">
      <c r="A5236" t="s">
        <v>5240</v>
      </c>
      <c r="B5236">
        <v>0.99252571173614901</v>
      </c>
      <c r="C5236">
        <v>0.95760609473926905</v>
      </c>
      <c r="D5236">
        <v>0.81047945062127402</v>
      </c>
      <c r="E5236">
        <v>0.68882853449971704</v>
      </c>
      <c r="F5236">
        <v>0.22277267436729001</v>
      </c>
      <c r="G5236">
        <v>0.106891692192278</v>
      </c>
      <c r="H5236">
        <v>7.8605676622191298E-2</v>
      </c>
      <c r="I5236">
        <v>7.7825967659544304E-2</v>
      </c>
      <c r="J5236">
        <v>0.10408536052867701</v>
      </c>
      <c r="K5236">
        <v>0.10343054450596401</v>
      </c>
      <c r="L5236">
        <v>1190.5489955396099</v>
      </c>
      <c r="M5236">
        <v>23.683794662913101</v>
      </c>
      <c r="N5236">
        <v>50.615742631435801</v>
      </c>
      <c r="O5236">
        <v>49.914262706075803</v>
      </c>
      <c r="P5236">
        <v>-0.10972974705460101</v>
      </c>
      <c r="Q5236">
        <v>7.4981747216318007E-2</v>
      </c>
      <c r="R5236">
        <v>0.98515978663021697</v>
      </c>
      <c r="S5236" t="s">
        <v>11882</v>
      </c>
      <c r="T5236" t="s">
        <v>13290</v>
      </c>
      <c r="U5236" t="s">
        <v>13290</v>
      </c>
      <c r="V5236" t="s">
        <v>13290</v>
      </c>
      <c r="W5236" t="s">
        <v>18476</v>
      </c>
      <c r="X5236">
        <v>8</v>
      </c>
      <c r="Y5236" t="s">
        <v>24955</v>
      </c>
      <c r="Z5236" t="s">
        <v>31566</v>
      </c>
      <c r="AA5236">
        <v>0.40083472010423382</v>
      </c>
      <c r="AB5236" t="str">
        <f>HYPERLINK("Melting_Curves/meltCurve_Q96SB4_SRPK1.pdf", "Melting_Curves/meltCurve_Q96SB4_SRPK1.pdf")</f>
        <v>Melting_Curves/meltCurve_Q96SB4_SRPK1.pdf</v>
      </c>
    </row>
    <row r="5237" spans="1:28" x14ac:dyDescent="0.25">
      <c r="A5237" t="s">
        <v>5241</v>
      </c>
      <c r="B5237">
        <v>0.99252571173614901</v>
      </c>
      <c r="C5237">
        <v>0.96214260008269503</v>
      </c>
      <c r="D5237">
        <v>1.00959312366941</v>
      </c>
      <c r="E5237">
        <v>1.1307855009796599</v>
      </c>
      <c r="F5237">
        <v>0.27007868667134799</v>
      </c>
      <c r="G5237">
        <v>0.193428508919439</v>
      </c>
      <c r="H5237">
        <v>0.162094671201966</v>
      </c>
      <c r="I5237">
        <v>0.237249849319873</v>
      </c>
      <c r="J5237">
        <v>0.39398967936580098</v>
      </c>
      <c r="K5237">
        <v>0.29833560859542302</v>
      </c>
      <c r="L5237">
        <v>13085.991448630501</v>
      </c>
      <c r="M5237">
        <v>250</v>
      </c>
      <c r="N5237">
        <v>52.495494292930303</v>
      </c>
      <c r="O5237">
        <v>52.340622042304602</v>
      </c>
      <c r="P5237">
        <v>-0.88719566134559702</v>
      </c>
      <c r="Q5237">
        <v>0.25701812006986302</v>
      </c>
      <c r="R5237">
        <v>0.96381014947808996</v>
      </c>
      <c r="S5237" t="s">
        <v>11883</v>
      </c>
      <c r="T5237" t="s">
        <v>13290</v>
      </c>
      <c r="U5237" t="s">
        <v>13290</v>
      </c>
      <c r="V5237" t="s">
        <v>13290</v>
      </c>
      <c r="W5237" t="s">
        <v>18477</v>
      </c>
      <c r="X5237">
        <v>6</v>
      </c>
      <c r="Y5237" t="s">
        <v>24956</v>
      </c>
      <c r="Z5237" t="s">
        <v>31567</v>
      </c>
      <c r="AA5237">
        <v>0.56279780289294801</v>
      </c>
      <c r="AB5237" t="str">
        <f>HYPERLINK("Melting_Curves/meltCurve_Q96SB8_SMC6.pdf", "Melting_Curves/meltCurve_Q96SB8_SMC6.pdf")</f>
        <v>Melting_Curves/meltCurve_Q96SB8_SMC6.pdf</v>
      </c>
    </row>
    <row r="5238" spans="1:28" x14ac:dyDescent="0.25">
      <c r="A5238" t="s">
        <v>5242</v>
      </c>
      <c r="B5238">
        <v>0.99252571173614901</v>
      </c>
      <c r="C5238">
        <v>0.97376935806009102</v>
      </c>
      <c r="D5238">
        <v>0.87062574484692301</v>
      </c>
      <c r="E5238">
        <v>0.66751533878259794</v>
      </c>
      <c r="F5238">
        <v>0.247343563797391</v>
      </c>
      <c r="G5238">
        <v>0.14769849019839601</v>
      </c>
      <c r="H5238">
        <v>0.110771474290974</v>
      </c>
      <c r="I5238">
        <v>0.101425536391143</v>
      </c>
      <c r="J5238">
        <v>9.7870288549227705E-2</v>
      </c>
      <c r="K5238">
        <v>4.8199450549841802E-2</v>
      </c>
      <c r="L5238">
        <v>1198.39084909539</v>
      </c>
      <c r="M5238">
        <v>23.777179945223001</v>
      </c>
      <c r="N5238">
        <v>50.776824049277998</v>
      </c>
      <c r="O5238">
        <v>50.0484356840632</v>
      </c>
      <c r="P5238">
        <v>-0.109186847738066</v>
      </c>
      <c r="Q5238">
        <v>8.0708288658480898E-2</v>
      </c>
      <c r="R5238">
        <v>0.99516543195709795</v>
      </c>
      <c r="S5238" t="s">
        <v>11884</v>
      </c>
      <c r="T5238" t="s">
        <v>13290</v>
      </c>
      <c r="U5238" t="s">
        <v>13290</v>
      </c>
      <c r="V5238" t="s">
        <v>13290</v>
      </c>
      <c r="W5238" t="s">
        <v>18478</v>
      </c>
      <c r="X5238">
        <v>3</v>
      </c>
      <c r="Y5238" t="s">
        <v>24957</v>
      </c>
      <c r="Z5238" t="s">
        <v>31568</v>
      </c>
      <c r="AA5238">
        <v>0.4085388375043561</v>
      </c>
      <c r="AB5238" t="str">
        <f>HYPERLINK("Melting_Curves/meltCurve_Q96SH1_TFAP2A.pdf", "Melting_Curves/meltCurve_Q96SH1_TFAP2A.pdf")</f>
        <v>Melting_Curves/meltCurve_Q96SH1_TFAP2A.pdf</v>
      </c>
    </row>
    <row r="5239" spans="1:28" x14ac:dyDescent="0.25">
      <c r="A5239" t="s">
        <v>5243</v>
      </c>
      <c r="B5239">
        <v>0.99252571173614901</v>
      </c>
      <c r="C5239">
        <v>0.95840800897369605</v>
      </c>
      <c r="D5239">
        <v>0.95990791016231303</v>
      </c>
      <c r="E5239">
        <v>0.88816177941910002</v>
      </c>
      <c r="F5239">
        <v>0.79914968757626603</v>
      </c>
      <c r="G5239">
        <v>0.62826302591372196</v>
      </c>
      <c r="H5239">
        <v>0.50627699481895905</v>
      </c>
      <c r="I5239">
        <v>0.26687826456557001</v>
      </c>
      <c r="J5239">
        <v>0.20807015359763001</v>
      </c>
      <c r="K5239">
        <v>0.17981932655960201</v>
      </c>
      <c r="L5239">
        <v>663.40981346811202</v>
      </c>
      <c r="M5239">
        <v>11.123419784659299</v>
      </c>
      <c r="N5239">
        <v>59.640814289755703</v>
      </c>
      <c r="O5239">
        <v>57.810564681556897</v>
      </c>
      <c r="P5239">
        <v>-4.8118431308085498E-2</v>
      </c>
      <c r="Q5239">
        <v>0</v>
      </c>
      <c r="R5239">
        <v>0.991692317764725</v>
      </c>
      <c r="S5239" t="s">
        <v>11885</v>
      </c>
      <c r="T5239" t="s">
        <v>13290</v>
      </c>
      <c r="U5239" t="s">
        <v>13290</v>
      </c>
      <c r="V5239" t="s">
        <v>13290</v>
      </c>
      <c r="W5239" t="s">
        <v>18479</v>
      </c>
      <c r="X5239">
        <v>2</v>
      </c>
      <c r="Y5239" t="s">
        <v>24958</v>
      </c>
      <c r="Z5239" t="s">
        <v>31569</v>
      </c>
      <c r="AA5239">
        <v>0.65706641167492363</v>
      </c>
      <c r="AB5239" t="str">
        <f>HYPERLINK("Melting_Curves/meltCurve_Q96SI1_KCTD15.pdf", "Melting_Curves/meltCurve_Q96SI1_KCTD15.pdf")</f>
        <v>Melting_Curves/meltCurve_Q96SI1_KCTD15.pdf</v>
      </c>
    </row>
    <row r="5240" spans="1:28" x14ac:dyDescent="0.25">
      <c r="A5240" t="s">
        <v>5244</v>
      </c>
      <c r="B5240">
        <v>0.99252571173614901</v>
      </c>
      <c r="C5240">
        <v>1.0657651237196599</v>
      </c>
      <c r="D5240">
        <v>0.98901249184224105</v>
      </c>
      <c r="E5240">
        <v>0.88862583142044604</v>
      </c>
      <c r="F5240">
        <v>0.60219911749136701</v>
      </c>
      <c r="G5240">
        <v>0.30269208472139297</v>
      </c>
      <c r="H5240">
        <v>0.233716703109318</v>
      </c>
      <c r="I5240">
        <v>0.25190642617784298</v>
      </c>
      <c r="J5240">
        <v>0.40786676237031699</v>
      </c>
      <c r="K5240">
        <v>0.41937098389991301</v>
      </c>
      <c r="L5240">
        <v>1919.17949293317</v>
      </c>
      <c r="M5240">
        <v>36.598071276049801</v>
      </c>
      <c r="N5240">
        <v>53.928442330294303</v>
      </c>
      <c r="O5240">
        <v>52.2835332885859</v>
      </c>
      <c r="P5240">
        <v>-0.119350827709128</v>
      </c>
      <c r="Q5240">
        <v>0.31798979174243303</v>
      </c>
      <c r="R5240">
        <v>0.96035597855383303</v>
      </c>
      <c r="S5240" t="s">
        <v>11886</v>
      </c>
      <c r="T5240" t="s">
        <v>13290</v>
      </c>
      <c r="U5240" t="s">
        <v>13290</v>
      </c>
      <c r="V5240" t="s">
        <v>13290</v>
      </c>
      <c r="W5240" t="s">
        <v>18480</v>
      </c>
      <c r="X5240">
        <v>3</v>
      </c>
      <c r="Y5240" t="s">
        <v>24959</v>
      </c>
      <c r="Z5240" t="s">
        <v>31570</v>
      </c>
      <c r="AA5240">
        <v>0.60373498204339349</v>
      </c>
      <c r="AB5240" t="str">
        <f>HYPERLINK("Melting_Curves/meltCurve_Q96SI9_2_STRBP.pdf", "Melting_Curves/meltCurve_Q96SI9_2_STRBP.pdf")</f>
        <v>Melting_Curves/meltCurve_Q96SI9_2_STRBP.pdf</v>
      </c>
    </row>
    <row r="5241" spans="1:28" x14ac:dyDescent="0.25">
      <c r="A5241" t="s">
        <v>5245</v>
      </c>
      <c r="B5241">
        <v>0.99252571173614901</v>
      </c>
      <c r="C5241">
        <v>0.77514752323648595</v>
      </c>
      <c r="D5241">
        <v>0.875885172623727</v>
      </c>
      <c r="E5241">
        <v>1.3062765765559901</v>
      </c>
      <c r="F5241">
        <v>0.28977861215306699</v>
      </c>
      <c r="G5241">
        <v>3.7924861150846902E-2</v>
      </c>
      <c r="H5241">
        <v>3.4766817746803999E-2</v>
      </c>
      <c r="I5241">
        <v>2.2851665822725801E-2</v>
      </c>
      <c r="J5241">
        <v>6.1863778932324497E-2</v>
      </c>
      <c r="K5241">
        <v>3.0011670119050399E-2</v>
      </c>
      <c r="L5241">
        <v>13244.939179135799</v>
      </c>
      <c r="M5241">
        <v>250</v>
      </c>
      <c r="N5241">
        <v>52.996288334080603</v>
      </c>
      <c r="O5241">
        <v>52.976366617131802</v>
      </c>
      <c r="P5241">
        <v>-1.1355491232113599</v>
      </c>
      <c r="Q5241">
        <v>3.7483739127575799E-2</v>
      </c>
      <c r="R5241">
        <v>0.92667298909634099</v>
      </c>
      <c r="S5241" t="s">
        <v>11887</v>
      </c>
      <c r="T5241" t="s">
        <v>13290</v>
      </c>
      <c r="U5241" t="s">
        <v>13290</v>
      </c>
      <c r="V5241" t="s">
        <v>13290</v>
      </c>
      <c r="W5241" t="s">
        <v>18481</v>
      </c>
      <c r="X5241">
        <v>1</v>
      </c>
      <c r="Y5241" t="s">
        <v>24960</v>
      </c>
      <c r="Z5241" t="s">
        <v>31571</v>
      </c>
      <c r="AA5241">
        <v>0.45401412931669199</v>
      </c>
      <c r="AB5241" t="str">
        <f>HYPERLINK("Melting_Curves/meltCurve_Q96SK2_2_TMEM209.pdf", "Melting_Curves/meltCurve_Q96SK2_2_TMEM209.pdf")</f>
        <v>Melting_Curves/meltCurve_Q96SK2_2_TMEM209.pdf</v>
      </c>
    </row>
    <row r="5242" spans="1:28" x14ac:dyDescent="0.25">
      <c r="A5242" t="s">
        <v>5246</v>
      </c>
      <c r="B5242">
        <v>0.99252571173614901</v>
      </c>
      <c r="C5242">
        <v>0.87911674775341797</v>
      </c>
      <c r="D5242">
        <v>0.88461212878000905</v>
      </c>
      <c r="E5242">
        <v>0.78988268506630099</v>
      </c>
      <c r="F5242">
        <v>0.750040902680574</v>
      </c>
      <c r="G5242">
        <v>0.56515529390931396</v>
      </c>
      <c r="H5242">
        <v>0.41626403440362703</v>
      </c>
      <c r="I5242">
        <v>0.29882058601490202</v>
      </c>
      <c r="J5242">
        <v>0.27534172181900701</v>
      </c>
      <c r="K5242">
        <v>0.154648727673524</v>
      </c>
      <c r="L5242">
        <v>490.37329899105498</v>
      </c>
      <c r="M5242">
        <v>8.4098486544819302</v>
      </c>
      <c r="N5242">
        <v>58.309391988884698</v>
      </c>
      <c r="O5242">
        <v>55.292241852297202</v>
      </c>
      <c r="P5242">
        <v>-3.8060221167038402E-2</v>
      </c>
      <c r="Q5242">
        <v>0</v>
      </c>
      <c r="R5242">
        <v>0.98353637098825997</v>
      </c>
      <c r="S5242" t="s">
        <v>11888</v>
      </c>
      <c r="T5242" t="s">
        <v>13290</v>
      </c>
      <c r="U5242" t="s">
        <v>13290</v>
      </c>
      <c r="V5242" t="s">
        <v>13290</v>
      </c>
      <c r="W5242" t="s">
        <v>18482</v>
      </c>
      <c r="X5242">
        <v>1</v>
      </c>
      <c r="Y5242" t="s">
        <v>24961</v>
      </c>
      <c r="Z5242" t="s">
        <v>31572</v>
      </c>
      <c r="AA5242">
        <v>0.61304556057529458</v>
      </c>
      <c r="AB5242" t="str">
        <f>HYPERLINK("Melting_Curves/meltCurve_Q96SL1_2_DIRC2.pdf", "Melting_Curves/meltCurve_Q96SL1_2_DIRC2.pdf")</f>
        <v>Melting_Curves/meltCurve_Q96SL1_2_DIRC2.pdf</v>
      </c>
    </row>
    <row r="5243" spans="1:28" x14ac:dyDescent="0.25">
      <c r="A5243" t="s">
        <v>5247</v>
      </c>
      <c r="B5243">
        <v>0.99252571173614901</v>
      </c>
      <c r="C5243">
        <v>1.1905509491956301</v>
      </c>
      <c r="D5243">
        <v>0.640895728077853</v>
      </c>
      <c r="E5243">
        <v>0.32424646820794201</v>
      </c>
      <c r="F5243">
        <v>0.16886538252559199</v>
      </c>
      <c r="G5243">
        <v>0.10666343610759201</v>
      </c>
      <c r="H5243">
        <v>6.1222493313390101E-2</v>
      </c>
      <c r="I5243">
        <v>0.100176019893884</v>
      </c>
      <c r="J5243">
        <v>8.0735460434636294E-2</v>
      </c>
      <c r="K5243">
        <v>9.7815030334597694E-2</v>
      </c>
      <c r="L5243">
        <v>1421.7548013713399</v>
      </c>
      <c r="M5243">
        <v>30.0687635286722</v>
      </c>
      <c r="N5243">
        <v>47.635446794336502</v>
      </c>
      <c r="O5243">
        <v>47.075787792141398</v>
      </c>
      <c r="P5243">
        <v>-0.143776298318606</v>
      </c>
      <c r="Q5243">
        <v>9.9618593478897399E-2</v>
      </c>
      <c r="R5243">
        <v>0.95776582503177199</v>
      </c>
      <c r="S5243" t="s">
        <v>11889</v>
      </c>
      <c r="T5243" t="s">
        <v>13290</v>
      </c>
      <c r="U5243" t="s">
        <v>13290</v>
      </c>
      <c r="V5243" t="s">
        <v>13290</v>
      </c>
      <c r="W5243" t="s">
        <v>18483</v>
      </c>
      <c r="X5243">
        <v>1</v>
      </c>
      <c r="Y5243" t="s">
        <v>24962</v>
      </c>
      <c r="Z5243" t="s">
        <v>31573</v>
      </c>
      <c r="AA5243">
        <v>0.32358734185895038</v>
      </c>
      <c r="AB5243" t="str">
        <f>HYPERLINK("Melting_Curves/meltCurve_Q96SL4_GPX7.pdf", "Melting_Curves/meltCurve_Q96SL4_GPX7.pdf")</f>
        <v>Melting_Curves/meltCurve_Q96SL4_GPX7.pdf</v>
      </c>
    </row>
    <row r="5244" spans="1:28" x14ac:dyDescent="0.25">
      <c r="A5244" t="s">
        <v>5248</v>
      </c>
      <c r="B5244">
        <v>0.99252571173614901</v>
      </c>
      <c r="C5244">
        <v>1.0305355144063399</v>
      </c>
      <c r="D5244">
        <v>0.75302567009347099</v>
      </c>
      <c r="E5244">
        <v>0.50507414700112996</v>
      </c>
      <c r="F5244">
        <v>0.28157757410274498</v>
      </c>
      <c r="G5244">
        <v>0.19714049015343199</v>
      </c>
      <c r="H5244">
        <v>0.173406612546605</v>
      </c>
      <c r="I5244">
        <v>0.196301333163062</v>
      </c>
      <c r="J5244">
        <v>0.26151375826853501</v>
      </c>
      <c r="K5244">
        <v>0.30941177888481303</v>
      </c>
      <c r="L5244">
        <v>1178.5941159366901</v>
      </c>
      <c r="M5244">
        <v>24.545172171401902</v>
      </c>
      <c r="N5244">
        <v>49.2141911258013</v>
      </c>
      <c r="O5244">
        <v>47.702026337808398</v>
      </c>
      <c r="P5244">
        <v>-9.9728534674495703E-2</v>
      </c>
      <c r="Q5244">
        <v>0.224746200187776</v>
      </c>
      <c r="R5244">
        <v>0.97699290654471804</v>
      </c>
      <c r="S5244" t="s">
        <v>11890</v>
      </c>
      <c r="T5244" t="s">
        <v>13290</v>
      </c>
      <c r="U5244" t="s">
        <v>13290</v>
      </c>
      <c r="V5244" t="s">
        <v>13290</v>
      </c>
      <c r="W5244" t="s">
        <v>18484</v>
      </c>
      <c r="X5244">
        <v>10</v>
      </c>
      <c r="Y5244" t="s">
        <v>24963</v>
      </c>
      <c r="Z5244" t="s">
        <v>31574</v>
      </c>
      <c r="AA5244">
        <v>0.43905322326011398</v>
      </c>
      <c r="AB5244" t="str">
        <f>HYPERLINK("Melting_Curves/meltCurve_Q96ST2_IWS1.pdf", "Melting_Curves/meltCurve_Q96ST2_IWS1.pdf")</f>
        <v>Melting_Curves/meltCurve_Q96ST2_IWS1.pdf</v>
      </c>
    </row>
    <row r="5245" spans="1:28" x14ac:dyDescent="0.25">
      <c r="A5245" t="s">
        <v>5249</v>
      </c>
      <c r="B5245">
        <v>0.99252571173614901</v>
      </c>
      <c r="C5245">
        <v>0.84370498180951403</v>
      </c>
      <c r="D5245">
        <v>0.73429912197752001</v>
      </c>
      <c r="E5245">
        <v>0.46316467586480298</v>
      </c>
      <c r="F5245">
        <v>0.21107067728985299</v>
      </c>
      <c r="G5245">
        <v>0.12723068332449999</v>
      </c>
      <c r="H5245">
        <v>9.9887263906285606E-2</v>
      </c>
      <c r="I5245">
        <v>0.111705967574995</v>
      </c>
      <c r="J5245">
        <v>0.14351321978748199</v>
      </c>
      <c r="K5245">
        <v>0.16522507118518701</v>
      </c>
      <c r="L5245">
        <v>863.20083606199296</v>
      </c>
      <c r="M5245">
        <v>17.995986207009501</v>
      </c>
      <c r="N5245">
        <v>48.648762871597903</v>
      </c>
      <c r="O5245">
        <v>47.385770698388299</v>
      </c>
      <c r="P5245">
        <v>-8.4356686399852401E-2</v>
      </c>
      <c r="Q5245">
        <v>0.111555396326894</v>
      </c>
      <c r="R5245">
        <v>0.98873437808449005</v>
      </c>
      <c r="S5245" t="s">
        <v>11891</v>
      </c>
      <c r="T5245" t="s">
        <v>13290</v>
      </c>
      <c r="U5245" t="s">
        <v>13290</v>
      </c>
      <c r="V5245" t="s">
        <v>13290</v>
      </c>
      <c r="W5245" t="s">
        <v>18485</v>
      </c>
      <c r="X5245">
        <v>14</v>
      </c>
      <c r="Y5245" t="s">
        <v>24964</v>
      </c>
      <c r="Z5245" t="s">
        <v>31575</v>
      </c>
      <c r="AA5245">
        <v>0.36326277211376062</v>
      </c>
      <c r="AB5245" t="str">
        <f>HYPERLINK("Melting_Curves/meltCurve_Q96ST3_SIN3A.pdf", "Melting_Curves/meltCurve_Q96ST3_SIN3A.pdf")</f>
        <v>Melting_Curves/meltCurve_Q96ST3_SIN3A.pdf</v>
      </c>
    </row>
    <row r="5246" spans="1:28" x14ac:dyDescent="0.25">
      <c r="A5246" t="s">
        <v>5250</v>
      </c>
      <c r="B5246">
        <v>0.99252571173614901</v>
      </c>
      <c r="C5246">
        <v>1.12194024268974</v>
      </c>
      <c r="D5246">
        <v>0.99923041132074697</v>
      </c>
      <c r="E5246">
        <v>0.92165210328356395</v>
      </c>
      <c r="F5246">
        <v>0.71901049183599897</v>
      </c>
      <c r="G5246">
        <v>0.54338037954664398</v>
      </c>
      <c r="H5246">
        <v>0.41412210919095299</v>
      </c>
      <c r="I5246">
        <v>0.25242100953291602</v>
      </c>
      <c r="J5246">
        <v>0.182047516206544</v>
      </c>
      <c r="K5246">
        <v>0.15635539068343501</v>
      </c>
      <c r="L5246">
        <v>806.02010020920898</v>
      </c>
      <c r="M5246">
        <v>14.144718906674299</v>
      </c>
      <c r="N5246">
        <v>57.903663177592698</v>
      </c>
      <c r="O5246">
        <v>55.881120941756102</v>
      </c>
      <c r="P5246">
        <v>-5.6920235665510202E-2</v>
      </c>
      <c r="Q5246">
        <v>0.100621998709197</v>
      </c>
      <c r="R5246">
        <v>0.98117056992929197</v>
      </c>
      <c r="S5246" t="s">
        <v>11892</v>
      </c>
      <c r="T5246" t="s">
        <v>13290</v>
      </c>
      <c r="U5246" t="s">
        <v>13290</v>
      </c>
      <c r="V5246" t="s">
        <v>13290</v>
      </c>
      <c r="W5246" t="s">
        <v>18486</v>
      </c>
      <c r="X5246">
        <v>12</v>
      </c>
      <c r="Y5246" t="s">
        <v>24965</v>
      </c>
      <c r="Z5246" t="s">
        <v>31576</v>
      </c>
      <c r="AA5246">
        <v>0.62447054861059237</v>
      </c>
      <c r="AB5246" t="str">
        <f>HYPERLINK("Melting_Curves/meltCurve_Q96SZ5_ADO.pdf", "Melting_Curves/meltCurve_Q96SZ5_ADO.pdf")</f>
        <v>Melting_Curves/meltCurve_Q96SZ5_ADO.pdf</v>
      </c>
    </row>
    <row r="5247" spans="1:28" x14ac:dyDescent="0.25">
      <c r="A5247" t="s">
        <v>5251</v>
      </c>
      <c r="B5247">
        <v>0.99252571173614901</v>
      </c>
      <c r="C5247">
        <v>0.84323472464489901</v>
      </c>
      <c r="D5247">
        <v>0.61752525971331196</v>
      </c>
      <c r="E5247">
        <v>0.39777613049113603</v>
      </c>
      <c r="F5247">
        <v>0.238766599259709</v>
      </c>
      <c r="G5247">
        <v>0.14251991549402901</v>
      </c>
      <c r="H5247">
        <v>0.119518054214017</v>
      </c>
      <c r="I5247">
        <v>8.1417444718874896E-2</v>
      </c>
      <c r="J5247">
        <v>6.0137046559478401E-2</v>
      </c>
      <c r="K5247">
        <v>5.4530905298310402E-2</v>
      </c>
      <c r="L5247">
        <v>693.62799728002597</v>
      </c>
      <c r="M5247">
        <v>14.580431613133699</v>
      </c>
      <c r="N5247">
        <v>47.995453813027197</v>
      </c>
      <c r="O5247">
        <v>46.704523474956098</v>
      </c>
      <c r="P5247">
        <v>-7.3349471217649301E-2</v>
      </c>
      <c r="Q5247">
        <v>6.0284419305625697E-2</v>
      </c>
      <c r="R5247">
        <v>0.99617735399026397</v>
      </c>
      <c r="S5247" t="s">
        <v>11893</v>
      </c>
      <c r="T5247" t="s">
        <v>13290</v>
      </c>
      <c r="U5247" t="s">
        <v>13290</v>
      </c>
      <c r="V5247" t="s">
        <v>13290</v>
      </c>
      <c r="W5247" t="s">
        <v>18487</v>
      </c>
      <c r="X5247">
        <v>12</v>
      </c>
      <c r="Y5247" t="s">
        <v>24966</v>
      </c>
      <c r="Z5247" t="s">
        <v>31577</v>
      </c>
      <c r="AA5247">
        <v>0.32363490172473408</v>
      </c>
      <c r="AB5247" t="str">
        <f>HYPERLINK("Melting_Curves/meltCurve_Q96SZ6_3_CDK5RAP1.pdf", "Melting_Curves/meltCurve_Q96SZ6_3_CDK5RAP1.pdf")</f>
        <v>Melting_Curves/meltCurve_Q96SZ6_3_CDK5RAP1.pdf</v>
      </c>
    </row>
    <row r="5248" spans="1:28" x14ac:dyDescent="0.25">
      <c r="A5248" t="s">
        <v>5252</v>
      </c>
      <c r="B5248">
        <v>0.99252571173614901</v>
      </c>
      <c r="C5248">
        <v>1.0295673139725701</v>
      </c>
      <c r="D5248">
        <v>0.76856896162671196</v>
      </c>
      <c r="E5248">
        <v>0.64838373194930399</v>
      </c>
      <c r="F5248">
        <v>0.46224217301666598</v>
      </c>
      <c r="G5248">
        <v>0.43707303826363098</v>
      </c>
      <c r="H5248">
        <v>0.44147103197855603</v>
      </c>
      <c r="I5248">
        <v>0.66244647577768201</v>
      </c>
      <c r="J5248">
        <v>0.85667512203801699</v>
      </c>
      <c r="K5248">
        <v>1.1956584577238201</v>
      </c>
      <c r="L5248">
        <v>11459.7982742362</v>
      </c>
      <c r="M5248">
        <v>250</v>
      </c>
      <c r="O5248">
        <v>45.8362498555204</v>
      </c>
      <c r="P5248">
        <v>-0.44725390641129098</v>
      </c>
      <c r="Q5248">
        <v>0.67199286090296895</v>
      </c>
      <c r="R5248">
        <v>0.27913116763325502</v>
      </c>
      <c r="S5248" t="s">
        <v>11894</v>
      </c>
      <c r="T5248" t="s">
        <v>13290</v>
      </c>
      <c r="U5248" t="s">
        <v>13290</v>
      </c>
      <c r="V5248" t="s">
        <v>13290</v>
      </c>
      <c r="W5248" t="s">
        <v>18488</v>
      </c>
      <c r="X5248">
        <v>5</v>
      </c>
      <c r="Y5248" t="s">
        <v>24967</v>
      </c>
      <c r="Z5248" t="s">
        <v>31578</v>
      </c>
      <c r="AA5248">
        <v>0.73586248219520223</v>
      </c>
      <c r="AB5248" t="str">
        <f>HYPERLINK("Melting_Curves/meltCurve_Q96T17_MAP7D2.pdf", "Melting_Curves/meltCurve_Q96T17_MAP7D2.pdf")</f>
        <v>Melting_Curves/meltCurve_Q96T17_MAP7D2.pdf</v>
      </c>
    </row>
    <row r="5249" spans="1:28" x14ac:dyDescent="0.25">
      <c r="A5249" t="s">
        <v>5253</v>
      </c>
      <c r="B5249">
        <v>0.99252571173614901</v>
      </c>
      <c r="C5249">
        <v>1.0346754246459999</v>
      </c>
      <c r="D5249">
        <v>0.97255266318063105</v>
      </c>
      <c r="E5249">
        <v>0.79902696424994402</v>
      </c>
      <c r="F5249">
        <v>0.62366803122704195</v>
      </c>
      <c r="G5249">
        <v>0.472215041166059</v>
      </c>
      <c r="H5249">
        <v>0.45289581189179301</v>
      </c>
      <c r="I5249">
        <v>0.56645925809556796</v>
      </c>
      <c r="J5249">
        <v>0.79407059199145202</v>
      </c>
      <c r="K5249">
        <v>0.88101601738266799</v>
      </c>
      <c r="L5249">
        <v>3023.8744589288899</v>
      </c>
      <c r="M5249">
        <v>61.164649134181701</v>
      </c>
      <c r="O5249">
        <v>49.385505024931398</v>
      </c>
      <c r="P5249">
        <v>-0.114234665939662</v>
      </c>
      <c r="Q5249">
        <v>0.63105914322630396</v>
      </c>
      <c r="R5249">
        <v>0.64200536258945995</v>
      </c>
      <c r="S5249" t="s">
        <v>11895</v>
      </c>
      <c r="T5249" t="s">
        <v>13290</v>
      </c>
      <c r="U5249" t="s">
        <v>13290</v>
      </c>
      <c r="V5249" t="s">
        <v>13290</v>
      </c>
      <c r="W5249" t="s">
        <v>18489</v>
      </c>
      <c r="X5249">
        <v>10</v>
      </c>
      <c r="Y5249" t="s">
        <v>24968</v>
      </c>
      <c r="Z5249" t="s">
        <v>31579</v>
      </c>
      <c r="AA5249">
        <v>0.74766791416648271</v>
      </c>
      <c r="AB5249" t="str">
        <f>HYPERLINK("Melting_Curves/meltCurve_Q96T23_2_RSF1.pdf", "Melting_Curves/meltCurve_Q96T23_2_RSF1.pdf")</f>
        <v>Melting_Curves/meltCurve_Q96T23_2_RSF1.pdf</v>
      </c>
    </row>
    <row r="5250" spans="1:28" x14ac:dyDescent="0.25">
      <c r="A5250" t="s">
        <v>5254</v>
      </c>
      <c r="B5250">
        <v>0.99252571173614901</v>
      </c>
      <c r="C5250">
        <v>0.99574518161118097</v>
      </c>
      <c r="D5250">
        <v>0.76713571081794696</v>
      </c>
      <c r="E5250">
        <v>0.57144194819445204</v>
      </c>
      <c r="F5250">
        <v>0.250749066857342</v>
      </c>
      <c r="G5250">
        <v>0.15270814965981899</v>
      </c>
      <c r="H5250">
        <v>0.1136268004319</v>
      </c>
      <c r="I5250">
        <v>0.10153010358412</v>
      </c>
      <c r="J5250">
        <v>0.20696831538617799</v>
      </c>
      <c r="K5250">
        <v>0.27378997359946899</v>
      </c>
      <c r="L5250">
        <v>1081.7865754429599</v>
      </c>
      <c r="M5250">
        <v>22.1403560522634</v>
      </c>
      <c r="N5250">
        <v>49.722586523140002</v>
      </c>
      <c r="O5250">
        <v>48.467050016847601</v>
      </c>
      <c r="P5250">
        <v>-9.6000744232287299E-2</v>
      </c>
      <c r="Q5250">
        <v>0.15940465840200299</v>
      </c>
      <c r="R5250">
        <v>0.97123208103891401</v>
      </c>
      <c r="S5250" t="s">
        <v>11896</v>
      </c>
      <c r="T5250" t="s">
        <v>13290</v>
      </c>
      <c r="U5250" t="s">
        <v>13290</v>
      </c>
      <c r="V5250" t="s">
        <v>13290</v>
      </c>
      <c r="W5250" t="s">
        <v>18490</v>
      </c>
      <c r="X5250">
        <v>4</v>
      </c>
      <c r="Y5250" t="s">
        <v>24969</v>
      </c>
      <c r="Z5250" t="s">
        <v>31580</v>
      </c>
      <c r="AA5250">
        <v>0.41723901094376431</v>
      </c>
      <c r="AB5250" t="str">
        <f>HYPERLINK("Melting_Curves/meltCurve_Q96T25_ZIC5.pdf", "Melting_Curves/meltCurve_Q96T25_ZIC5.pdf")</f>
        <v>Melting_Curves/meltCurve_Q96T25_ZIC5.pdf</v>
      </c>
    </row>
    <row r="5251" spans="1:28" x14ac:dyDescent="0.25">
      <c r="A5251" t="s">
        <v>5255</v>
      </c>
      <c r="B5251">
        <v>0.99252571173614901</v>
      </c>
      <c r="C5251">
        <v>0.89109024182698804</v>
      </c>
      <c r="D5251">
        <v>0.53102546027344799</v>
      </c>
      <c r="E5251">
        <v>0.32194537073028701</v>
      </c>
      <c r="F5251">
        <v>0.193586038542436</v>
      </c>
      <c r="G5251">
        <v>0.10248766008759699</v>
      </c>
      <c r="H5251">
        <v>8.9207999138231506E-2</v>
      </c>
      <c r="I5251">
        <v>8.11089789521489E-2</v>
      </c>
      <c r="J5251">
        <v>8.77697526813115E-2</v>
      </c>
      <c r="K5251">
        <v>8.9753704052050104E-2</v>
      </c>
      <c r="L5251">
        <v>908.59359763743305</v>
      </c>
      <c r="M5251">
        <v>19.562977570791801</v>
      </c>
      <c r="N5251">
        <v>46.915777411648897</v>
      </c>
      <c r="O5251">
        <v>45.967407157170697</v>
      </c>
      <c r="P5251">
        <v>-9.6909131190327805E-2</v>
      </c>
      <c r="Q5251">
        <v>8.9197286660967295E-2</v>
      </c>
      <c r="R5251">
        <v>0.99250071970313503</v>
      </c>
      <c r="S5251" t="s">
        <v>11897</v>
      </c>
      <c r="T5251" t="s">
        <v>13290</v>
      </c>
      <c r="U5251" t="s">
        <v>13290</v>
      </c>
      <c r="V5251" t="s">
        <v>13290</v>
      </c>
      <c r="W5251" t="s">
        <v>18491</v>
      </c>
      <c r="X5251">
        <v>13</v>
      </c>
      <c r="Y5251" t="s">
        <v>24970</v>
      </c>
      <c r="Z5251" t="s">
        <v>31581</v>
      </c>
      <c r="AA5251">
        <v>0.29924484752780472</v>
      </c>
      <c r="AB5251" t="str">
        <f>HYPERLINK("Melting_Curves/meltCurve_Q96T37_2_RBM15.pdf", "Melting_Curves/meltCurve_Q96T37_2_RBM15.pdf")</f>
        <v>Melting_Curves/meltCurve_Q96T37_2_RBM15.pdf</v>
      </c>
    </row>
    <row r="5252" spans="1:28" x14ac:dyDescent="0.25">
      <c r="A5252" t="s">
        <v>5256</v>
      </c>
      <c r="B5252">
        <v>0.99252571173614901</v>
      </c>
      <c r="C5252">
        <v>0.91612072739841599</v>
      </c>
      <c r="D5252">
        <v>0.44059865264048298</v>
      </c>
      <c r="E5252">
        <v>0.226806600472514</v>
      </c>
      <c r="F5252">
        <v>0.13621413887974601</v>
      </c>
      <c r="G5252">
        <v>9.2273789661774297E-2</v>
      </c>
      <c r="H5252">
        <v>7.6967343294845794E-2</v>
      </c>
      <c r="I5252">
        <v>7.3963397483122695E-2</v>
      </c>
      <c r="J5252">
        <v>9.3132835030764194E-2</v>
      </c>
      <c r="K5252">
        <v>9.6759880981198407E-2</v>
      </c>
      <c r="L5252">
        <v>1384.0182070389701</v>
      </c>
      <c r="M5252">
        <v>30.409243774247301</v>
      </c>
      <c r="N5252">
        <v>45.845941235844698</v>
      </c>
      <c r="O5252">
        <v>45.317611166608899</v>
      </c>
      <c r="P5252">
        <v>-0.15114039377418501</v>
      </c>
      <c r="Q5252">
        <v>9.9052999398902095E-2</v>
      </c>
      <c r="R5252">
        <v>0.99261733123329898</v>
      </c>
      <c r="S5252" t="s">
        <v>11898</v>
      </c>
      <c r="T5252" t="s">
        <v>13290</v>
      </c>
      <c r="U5252" t="s">
        <v>13290</v>
      </c>
      <c r="V5252" t="s">
        <v>13290</v>
      </c>
      <c r="W5252" t="s">
        <v>18492</v>
      </c>
      <c r="X5252">
        <v>13</v>
      </c>
      <c r="Y5252" t="s">
        <v>24971</v>
      </c>
      <c r="Z5252" t="s">
        <v>31582</v>
      </c>
      <c r="AA5252">
        <v>0.27004785564020067</v>
      </c>
      <c r="AB5252" t="str">
        <f>HYPERLINK("Melting_Curves/meltCurve_Q96T51_RUFY1.pdf", "Melting_Curves/meltCurve_Q96T51_RUFY1.pdf")</f>
        <v>Melting_Curves/meltCurve_Q96T51_RUFY1.pdf</v>
      </c>
    </row>
    <row r="5253" spans="1:28" x14ac:dyDescent="0.25">
      <c r="A5253" t="s">
        <v>5257</v>
      </c>
      <c r="B5253">
        <v>0.99252571173614901</v>
      </c>
      <c r="C5253">
        <v>0.87046613427987796</v>
      </c>
      <c r="D5253">
        <v>0.72160460379885005</v>
      </c>
      <c r="E5253">
        <v>0.542326720116728</v>
      </c>
      <c r="F5253">
        <v>0.39724387968980901</v>
      </c>
      <c r="G5253">
        <v>0.25606823267281498</v>
      </c>
      <c r="H5253">
        <v>0.211123639202004</v>
      </c>
      <c r="I5253">
        <v>0.22378502753389301</v>
      </c>
      <c r="J5253">
        <v>0.31795083238761301</v>
      </c>
      <c r="K5253">
        <v>0.35488676543817599</v>
      </c>
      <c r="L5253">
        <v>786.83192293271702</v>
      </c>
      <c r="M5253">
        <v>16.5371541091246</v>
      </c>
      <c r="N5253">
        <v>49.832768177439704</v>
      </c>
      <c r="O5253">
        <v>46.900242346440898</v>
      </c>
      <c r="P5253">
        <v>-6.4947368198170999E-2</v>
      </c>
      <c r="Q5253">
        <v>0.26327433296365099</v>
      </c>
      <c r="R5253">
        <v>0.96698463428508397</v>
      </c>
      <c r="S5253" t="s">
        <v>11899</v>
      </c>
      <c r="T5253" t="s">
        <v>13290</v>
      </c>
      <c r="U5253" t="s">
        <v>13290</v>
      </c>
      <c r="V5253" t="s">
        <v>13290</v>
      </c>
      <c r="W5253" t="s">
        <v>18493</v>
      </c>
      <c r="X5253">
        <v>11</v>
      </c>
      <c r="Y5253" t="s">
        <v>24972</v>
      </c>
      <c r="Z5253" t="s">
        <v>31583</v>
      </c>
      <c r="AA5253">
        <v>0.46526119818806327</v>
      </c>
      <c r="AB5253" t="str">
        <f>HYPERLINK("Melting_Curves/meltCurve_Q96T58_SPEN.pdf", "Melting_Curves/meltCurve_Q96T58_SPEN.pdf")</f>
        <v>Melting_Curves/meltCurve_Q96T58_SPEN.pdf</v>
      </c>
    </row>
    <row r="5254" spans="1:28" x14ac:dyDescent="0.25">
      <c r="A5254" t="s">
        <v>5258</v>
      </c>
      <c r="B5254">
        <v>0.99252571173614901</v>
      </c>
      <c r="C5254">
        <v>0.99660253411341304</v>
      </c>
      <c r="D5254">
        <v>0.87605873400677503</v>
      </c>
      <c r="E5254">
        <v>0.41320622461471401</v>
      </c>
      <c r="F5254">
        <v>0.16302379708724901</v>
      </c>
      <c r="G5254">
        <v>9.1985630306646401E-2</v>
      </c>
      <c r="H5254">
        <v>7.0456692791751305E-2</v>
      </c>
      <c r="I5254">
        <v>6.2646345362628794E-2</v>
      </c>
      <c r="J5254">
        <v>6.8812688640583597E-2</v>
      </c>
      <c r="K5254">
        <v>7.0755213255964303E-2</v>
      </c>
      <c r="L5254">
        <v>1453.52742564298</v>
      </c>
      <c r="M5254">
        <v>29.797046440738299</v>
      </c>
      <c r="N5254">
        <v>49.036349654611399</v>
      </c>
      <c r="O5254">
        <v>48.5628052747685</v>
      </c>
      <c r="P5254">
        <v>-0.142369110653985</v>
      </c>
      <c r="Q5254">
        <v>7.1881817697577302E-2</v>
      </c>
      <c r="R5254">
        <v>0.99941481612610095</v>
      </c>
      <c r="S5254" t="s">
        <v>11900</v>
      </c>
      <c r="T5254" t="s">
        <v>13290</v>
      </c>
      <c r="U5254" t="s">
        <v>13290</v>
      </c>
      <c r="V5254" t="s">
        <v>13290</v>
      </c>
      <c r="W5254" t="s">
        <v>18494</v>
      </c>
      <c r="X5254">
        <v>11</v>
      </c>
      <c r="Y5254" t="s">
        <v>24973</v>
      </c>
      <c r="Z5254" t="s">
        <v>31584</v>
      </c>
      <c r="AA5254">
        <v>0.34925460939611042</v>
      </c>
      <c r="AB5254" t="str">
        <f>HYPERLINK("Melting_Curves/meltCurve_Q96T60_PNKP.pdf", "Melting_Curves/meltCurve_Q96T60_PNKP.pdf")</f>
        <v>Melting_Curves/meltCurve_Q96T60_PNKP.pdf</v>
      </c>
    </row>
    <row r="5255" spans="1:28" x14ac:dyDescent="0.25">
      <c r="A5255" t="s">
        <v>5259</v>
      </c>
      <c r="B5255">
        <v>0.99252571173614901</v>
      </c>
      <c r="C5255">
        <v>0.79285376005888997</v>
      </c>
      <c r="D5255">
        <v>0.82585079632062997</v>
      </c>
      <c r="E5255">
        <v>0.73376795602654898</v>
      </c>
      <c r="F5255">
        <v>0.28943323667466098</v>
      </c>
      <c r="G5255">
        <v>8.6751832959769196E-2</v>
      </c>
      <c r="H5255">
        <v>6.4422428717368696E-2</v>
      </c>
      <c r="I5255">
        <v>6.2091327499346101E-2</v>
      </c>
      <c r="J5255">
        <v>7.4440903656348104E-2</v>
      </c>
      <c r="K5255">
        <v>6.6652891911343798E-2</v>
      </c>
      <c r="L5255">
        <v>964.471437630418</v>
      </c>
      <c r="M5255">
        <v>18.979372916089101</v>
      </c>
      <c r="N5255">
        <v>51.013439322234198</v>
      </c>
      <c r="O5255">
        <v>50.262781432330101</v>
      </c>
      <c r="P5255">
        <v>-9.1074956885462896E-2</v>
      </c>
      <c r="Q5255">
        <v>3.5269456443601403E-2</v>
      </c>
      <c r="R5255">
        <v>0.96038690471288601</v>
      </c>
      <c r="S5255" t="s">
        <v>11901</v>
      </c>
      <c r="T5255" t="s">
        <v>13290</v>
      </c>
      <c r="U5255" t="s">
        <v>13290</v>
      </c>
      <c r="V5255" t="s">
        <v>13290</v>
      </c>
      <c r="W5255" t="s">
        <v>18495</v>
      </c>
      <c r="X5255">
        <v>15</v>
      </c>
      <c r="Y5255" t="s">
        <v>24974</v>
      </c>
      <c r="Z5255" t="s">
        <v>31585</v>
      </c>
      <c r="AA5255">
        <v>0.3978911558954657</v>
      </c>
      <c r="AB5255" t="str">
        <f>HYPERLINK("Melting_Curves/meltCurve_Q96T66_NMNAT3.pdf", "Melting_Curves/meltCurve_Q96T66_NMNAT3.pdf")</f>
        <v>Melting_Curves/meltCurve_Q96T66_NMNAT3.pdf</v>
      </c>
    </row>
    <row r="5256" spans="1:28" x14ac:dyDescent="0.25">
      <c r="A5256" t="s">
        <v>5260</v>
      </c>
      <c r="B5256">
        <v>0.99252571173614901</v>
      </c>
      <c r="C5256">
        <v>0.85556849055133299</v>
      </c>
      <c r="D5256">
        <v>0.72242280370782996</v>
      </c>
      <c r="E5256">
        <v>0.22521881186314099</v>
      </c>
      <c r="F5256">
        <v>0.12583280922899401</v>
      </c>
      <c r="G5256">
        <v>6.04107613955105E-2</v>
      </c>
      <c r="H5256">
        <v>3.9518838852541899E-2</v>
      </c>
      <c r="I5256">
        <v>4.1706439633679898E-2</v>
      </c>
      <c r="J5256">
        <v>4.0977708055850298E-2</v>
      </c>
      <c r="K5256">
        <v>3.7859227476085597E-2</v>
      </c>
      <c r="L5256">
        <v>1154.4741033734899</v>
      </c>
      <c r="M5256">
        <v>24.4402095641295</v>
      </c>
      <c r="N5256">
        <v>47.400352734439998</v>
      </c>
      <c r="O5256">
        <v>46.923842587842302</v>
      </c>
      <c r="P5256">
        <v>-0.12494437008536199</v>
      </c>
      <c r="Q5256">
        <v>4.0469351211879098E-2</v>
      </c>
      <c r="R5256">
        <v>0.99243640463007099</v>
      </c>
      <c r="S5256" t="s">
        <v>11902</v>
      </c>
      <c r="T5256" t="s">
        <v>13290</v>
      </c>
      <c r="U5256" t="s">
        <v>13290</v>
      </c>
      <c r="V5256" t="s">
        <v>13290</v>
      </c>
      <c r="W5256" t="s">
        <v>18496</v>
      </c>
      <c r="X5256">
        <v>11</v>
      </c>
      <c r="Y5256" t="s">
        <v>24975</v>
      </c>
      <c r="Z5256" t="s">
        <v>31586</v>
      </c>
      <c r="AA5256">
        <v>0.28089518328823709</v>
      </c>
      <c r="AB5256" t="str">
        <f>HYPERLINK("Melting_Curves/meltCurve_Q96T76_MMS19.pdf", "Melting_Curves/meltCurve_Q96T76_MMS19.pdf")</f>
        <v>Melting_Curves/meltCurve_Q96T76_MMS19.pdf</v>
      </c>
    </row>
    <row r="5257" spans="1:28" x14ac:dyDescent="0.25">
      <c r="A5257" t="s">
        <v>5261</v>
      </c>
      <c r="B5257">
        <v>0.99252571173614901</v>
      </c>
      <c r="C5257">
        <v>0.68084193297724804</v>
      </c>
      <c r="D5257">
        <v>0.27970536811222801</v>
      </c>
      <c r="E5257">
        <v>0.19182490587727299</v>
      </c>
      <c r="F5257">
        <v>0.14395777446757199</v>
      </c>
      <c r="G5257">
        <v>7.6365160745845803E-2</v>
      </c>
      <c r="H5257">
        <v>7.28071888531093E-2</v>
      </c>
      <c r="I5257">
        <v>6.9179218114594002E-2</v>
      </c>
      <c r="J5257">
        <v>9.8004354459252499E-2</v>
      </c>
      <c r="K5257">
        <v>8.6483509433031902E-2</v>
      </c>
      <c r="L5257">
        <v>1241.4778940200799</v>
      </c>
      <c r="M5257">
        <v>28.275157970428999</v>
      </c>
      <c r="N5257">
        <v>44.2462366094476</v>
      </c>
      <c r="O5257">
        <v>43.689156005276502</v>
      </c>
      <c r="P5257">
        <v>-0.14603216604483499</v>
      </c>
      <c r="Q5257">
        <v>9.7445244682927395E-2</v>
      </c>
      <c r="R5257">
        <v>0.98903799065703601</v>
      </c>
      <c r="S5257" t="s">
        <v>11903</v>
      </c>
      <c r="T5257" t="s">
        <v>13290</v>
      </c>
      <c r="U5257" t="s">
        <v>13290</v>
      </c>
      <c r="V5257" t="s">
        <v>13290</v>
      </c>
      <c r="W5257" t="s">
        <v>18497</v>
      </c>
      <c r="X5257">
        <v>5</v>
      </c>
      <c r="Y5257" t="s">
        <v>24976</v>
      </c>
      <c r="Z5257" t="s">
        <v>31587</v>
      </c>
      <c r="AA5257">
        <v>0.2227519436601228</v>
      </c>
      <c r="AB5257" t="str">
        <f>HYPERLINK("Melting_Curves/meltCurve_Q96T88_UHRF1.pdf", "Melting_Curves/meltCurve_Q96T88_UHRF1.pdf")</f>
        <v>Melting_Curves/meltCurve_Q96T88_UHRF1.pdf</v>
      </c>
    </row>
    <row r="5258" spans="1:28" x14ac:dyDescent="0.25">
      <c r="A5258" t="s">
        <v>5262</v>
      </c>
      <c r="B5258">
        <v>0.99252571173614901</v>
      </c>
      <c r="C5258">
        <v>1.0793176449385899</v>
      </c>
      <c r="D5258">
        <v>0.99701255784244702</v>
      </c>
      <c r="E5258">
        <v>0.90476866584052695</v>
      </c>
      <c r="F5258">
        <v>0.43261905894105501</v>
      </c>
      <c r="G5258">
        <v>0.14458143523393999</v>
      </c>
      <c r="H5258">
        <v>9.6652363477206196E-2</v>
      </c>
      <c r="I5258">
        <v>0.105259298464736</v>
      </c>
      <c r="J5258">
        <v>0.128172490473174</v>
      </c>
      <c r="K5258">
        <v>0.12694948687395499</v>
      </c>
      <c r="L5258">
        <v>2038.55430496553</v>
      </c>
      <c r="M5258">
        <v>38.908863018519298</v>
      </c>
      <c r="N5258">
        <v>52.7352429411457</v>
      </c>
      <c r="O5258">
        <v>52.255232300290203</v>
      </c>
      <c r="P5258">
        <v>-0.16538185046870199</v>
      </c>
      <c r="Q5258">
        <v>0.111560057102794</v>
      </c>
      <c r="R5258">
        <v>0.99568014963502804</v>
      </c>
      <c r="S5258" t="s">
        <v>11904</v>
      </c>
      <c r="T5258" t="s">
        <v>13290</v>
      </c>
      <c r="U5258" t="s">
        <v>13290</v>
      </c>
      <c r="V5258" t="s">
        <v>13290</v>
      </c>
      <c r="W5258" t="s">
        <v>18498</v>
      </c>
      <c r="X5258">
        <v>28</v>
      </c>
      <c r="Y5258" t="s">
        <v>24977</v>
      </c>
      <c r="Z5258" t="s">
        <v>31588</v>
      </c>
      <c r="AA5258">
        <v>0.48197536423790072</v>
      </c>
      <c r="AB5258" t="str">
        <f>HYPERLINK("Melting_Curves/meltCurve_Q96TA1_2_FAM129B.pdf", "Melting_Curves/meltCurve_Q96TA1_2_FAM129B.pdf")</f>
        <v>Melting_Curves/meltCurve_Q96TA1_2_FAM129B.pdf</v>
      </c>
    </row>
    <row r="5259" spans="1:28" x14ac:dyDescent="0.25">
      <c r="A5259" t="s">
        <v>5263</v>
      </c>
      <c r="B5259">
        <v>0.99252571173614901</v>
      </c>
      <c r="C5259">
        <v>0.87794055017547801</v>
      </c>
      <c r="D5259">
        <v>0.76382870053178598</v>
      </c>
      <c r="E5259">
        <v>0.60900749526390596</v>
      </c>
      <c r="F5259">
        <v>0.35267016756712499</v>
      </c>
      <c r="G5259">
        <v>0.17315123142570901</v>
      </c>
      <c r="H5259">
        <v>0.114844707097441</v>
      </c>
      <c r="I5259">
        <v>0.13146374928134799</v>
      </c>
      <c r="J5259">
        <v>0.16428725306467701</v>
      </c>
      <c r="K5259">
        <v>0.163324261767645</v>
      </c>
      <c r="L5259">
        <v>752.35136127070405</v>
      </c>
      <c r="M5259">
        <v>15.180008290051299</v>
      </c>
      <c r="N5259">
        <v>50.407367078118902</v>
      </c>
      <c r="O5259">
        <v>48.725747760461303</v>
      </c>
      <c r="P5259">
        <v>-6.9138879955483498E-2</v>
      </c>
      <c r="Q5259">
        <v>0.112380263174927</v>
      </c>
      <c r="R5259">
        <v>0.98675680963437995</v>
      </c>
      <c r="S5259" t="s">
        <v>11905</v>
      </c>
      <c r="T5259" t="s">
        <v>13290</v>
      </c>
      <c r="U5259" t="s">
        <v>13290</v>
      </c>
      <c r="V5259" t="s">
        <v>13290</v>
      </c>
      <c r="W5259" t="s">
        <v>18499</v>
      </c>
      <c r="X5259">
        <v>9</v>
      </c>
      <c r="Y5259" t="s">
        <v>24978</v>
      </c>
      <c r="Z5259" t="s">
        <v>31589</v>
      </c>
      <c r="AA5259">
        <v>0.41630604735480697</v>
      </c>
      <c r="AB5259" t="str">
        <f>HYPERLINK("Melting_Curves/meltCurve_Q96TA2_3_YME1L1.pdf", "Melting_Curves/meltCurve_Q96TA2_3_YME1L1.pdf")</f>
        <v>Melting_Curves/meltCurve_Q96TA2_3_YME1L1.pdf</v>
      </c>
    </row>
    <row r="5260" spans="1:28" x14ac:dyDescent="0.25">
      <c r="A5260" t="s">
        <v>5264</v>
      </c>
      <c r="B5260">
        <v>0.99252571173614901</v>
      </c>
      <c r="C5260">
        <v>0.83605519673164197</v>
      </c>
      <c r="D5260">
        <v>0.54060288082224905</v>
      </c>
      <c r="E5260">
        <v>0.29190022459473702</v>
      </c>
      <c r="F5260">
        <v>0.130920365337691</v>
      </c>
      <c r="G5260">
        <v>8.1587678240859204E-2</v>
      </c>
      <c r="H5260">
        <v>6.9054213324057895E-2</v>
      </c>
      <c r="I5260">
        <v>7.7456382675862398E-2</v>
      </c>
      <c r="J5260">
        <v>0.116272879276671</v>
      </c>
      <c r="K5260">
        <v>0.13650192390312499</v>
      </c>
      <c r="L5260">
        <v>962.55347100922904</v>
      </c>
      <c r="M5260">
        <v>20.8842507350892</v>
      </c>
      <c r="N5260">
        <v>46.542684716817497</v>
      </c>
      <c r="O5260">
        <v>45.673571809918997</v>
      </c>
      <c r="P5260">
        <v>-0.10380738828797199</v>
      </c>
      <c r="Q5260">
        <v>9.1923481210868394E-2</v>
      </c>
      <c r="R5260">
        <v>0.99378764223564697</v>
      </c>
      <c r="S5260" t="s">
        <v>11906</v>
      </c>
      <c r="T5260" t="s">
        <v>13290</v>
      </c>
      <c r="U5260" t="s">
        <v>13290</v>
      </c>
      <c r="V5260" t="s">
        <v>13290</v>
      </c>
      <c r="W5260" t="s">
        <v>18500</v>
      </c>
      <c r="X5260">
        <v>7</v>
      </c>
      <c r="Y5260" t="s">
        <v>24979</v>
      </c>
      <c r="Z5260" t="s">
        <v>31590</v>
      </c>
      <c r="AA5260">
        <v>0.28889577228504409</v>
      </c>
      <c r="AB5260" t="str">
        <f>HYPERLINK("Melting_Curves/meltCurve_Q99081_TCF12.pdf", "Melting_Curves/meltCurve_Q99081_TCF12.pdf")</f>
        <v>Melting_Curves/meltCurve_Q99081_TCF12.pdf</v>
      </c>
    </row>
    <row r="5261" spans="1:28" x14ac:dyDescent="0.25">
      <c r="A5261" t="s">
        <v>5265</v>
      </c>
      <c r="B5261">
        <v>0.99252571173614901</v>
      </c>
      <c r="C5261">
        <v>1.0588016929520001</v>
      </c>
      <c r="D5261">
        <v>0.99509367187729303</v>
      </c>
      <c r="E5261">
        <v>0.96762015779017896</v>
      </c>
      <c r="F5261">
        <v>0.77941861353405195</v>
      </c>
      <c r="G5261">
        <v>0.69423929559984499</v>
      </c>
      <c r="H5261">
        <v>0.63073921708886205</v>
      </c>
      <c r="I5261">
        <v>0.79957555501921096</v>
      </c>
      <c r="J5261">
        <v>1.22521256280437</v>
      </c>
      <c r="K5261">
        <v>1.1766960737255401</v>
      </c>
      <c r="L5261">
        <v>12446.871477950601</v>
      </c>
      <c r="M5261">
        <v>250</v>
      </c>
      <c r="O5261">
        <v>49.784299787330902</v>
      </c>
      <c r="P5261">
        <v>-0.14523459863347599</v>
      </c>
      <c r="Q5261">
        <v>0.88431355524059596</v>
      </c>
      <c r="R5261">
        <v>9.7780586725336099E-2</v>
      </c>
      <c r="S5261" t="s">
        <v>11907</v>
      </c>
      <c r="T5261" t="s">
        <v>13290</v>
      </c>
      <c r="U5261" t="s">
        <v>13290</v>
      </c>
      <c r="V5261" t="s">
        <v>13290</v>
      </c>
      <c r="W5261" t="s">
        <v>18501</v>
      </c>
      <c r="X5261">
        <v>6</v>
      </c>
      <c r="Y5261" t="s">
        <v>24980</v>
      </c>
      <c r="Z5261" t="s">
        <v>31591</v>
      </c>
      <c r="AA5261">
        <v>0.92206631176544285</v>
      </c>
      <c r="AB5261" t="str">
        <f>HYPERLINK("Melting_Curves/meltCurve_Q99417_MYCBP.pdf", "Melting_Curves/meltCurve_Q99417_MYCBP.pdf")</f>
        <v>Melting_Curves/meltCurve_Q99417_MYCBP.pdf</v>
      </c>
    </row>
    <row r="5262" spans="1:28" x14ac:dyDescent="0.25">
      <c r="A5262" t="s">
        <v>5266</v>
      </c>
      <c r="B5262">
        <v>0.99252571173614901</v>
      </c>
      <c r="C5262">
        <v>1.02250646450653</v>
      </c>
      <c r="D5262">
        <v>0.83800408360710299</v>
      </c>
      <c r="E5262">
        <v>0.42826322699897401</v>
      </c>
      <c r="F5262">
        <v>0.144647401694665</v>
      </c>
      <c r="G5262">
        <v>8.6605208931158306E-2</v>
      </c>
      <c r="H5262">
        <v>6.2621738594653198E-2</v>
      </c>
      <c r="I5262">
        <v>7.0184007406604798E-2</v>
      </c>
      <c r="J5262">
        <v>0.101434432945329</v>
      </c>
      <c r="K5262">
        <v>0.101260806422612</v>
      </c>
      <c r="L5262">
        <v>1410.4162967770701</v>
      </c>
      <c r="M5262">
        <v>28.978268953469001</v>
      </c>
      <c r="N5262">
        <v>48.967044302855001</v>
      </c>
      <c r="O5262">
        <v>48.4414996533283</v>
      </c>
      <c r="P5262">
        <v>-0.13755593720957099</v>
      </c>
      <c r="Q5262">
        <v>8.0225798319832606E-2</v>
      </c>
      <c r="R5262">
        <v>0.99756022139544298</v>
      </c>
      <c r="S5262" t="s">
        <v>11908</v>
      </c>
      <c r="T5262" t="s">
        <v>13290</v>
      </c>
      <c r="U5262" t="s">
        <v>13290</v>
      </c>
      <c r="V5262" t="s">
        <v>13290</v>
      </c>
      <c r="W5262" t="s">
        <v>18502</v>
      </c>
      <c r="X5262">
        <v>18</v>
      </c>
      <c r="Y5262" t="s">
        <v>24981</v>
      </c>
      <c r="Z5262" t="s">
        <v>31592</v>
      </c>
      <c r="AA5262">
        <v>0.35207733738279767</v>
      </c>
      <c r="AB5262" t="str">
        <f>HYPERLINK("Melting_Curves/meltCurve_Q99426_TBCB.pdf", "Melting_Curves/meltCurve_Q99426_TBCB.pdf")</f>
        <v>Melting_Curves/meltCurve_Q99426_TBCB.pdf</v>
      </c>
    </row>
    <row r="5263" spans="1:28" x14ac:dyDescent="0.25">
      <c r="A5263" t="s">
        <v>5267</v>
      </c>
      <c r="B5263">
        <v>0.99252571173614901</v>
      </c>
      <c r="C5263">
        <v>1.0099877274578299</v>
      </c>
      <c r="D5263">
        <v>1.30996587918194</v>
      </c>
      <c r="E5263">
        <v>1.5843671620720601</v>
      </c>
      <c r="F5263">
        <v>1.51263009928378</v>
      </c>
      <c r="G5263">
        <v>1.4527608519776001</v>
      </c>
      <c r="H5263">
        <v>3.0077019831234599</v>
      </c>
      <c r="I5263">
        <v>4.3727623190347504</v>
      </c>
      <c r="J5263">
        <v>5.2562773130942197</v>
      </c>
      <c r="K5263">
        <v>5.2996395284581803</v>
      </c>
      <c r="L5263">
        <v>11477.4941035786</v>
      </c>
      <c r="M5263">
        <v>250</v>
      </c>
      <c r="O5263">
        <v>45.907038912692599</v>
      </c>
      <c r="P5263">
        <v>0.68072350277990801</v>
      </c>
      <c r="Q5263">
        <v>1.5</v>
      </c>
      <c r="R5263">
        <v>-0.39804666243342701</v>
      </c>
      <c r="S5263" t="s">
        <v>11909</v>
      </c>
      <c r="T5263" t="s">
        <v>13290</v>
      </c>
      <c r="U5263" t="s">
        <v>13290</v>
      </c>
      <c r="V5263" t="s">
        <v>13290</v>
      </c>
      <c r="W5263" t="s">
        <v>18503</v>
      </c>
      <c r="X5263">
        <v>5</v>
      </c>
      <c r="Y5263" t="s">
        <v>24982</v>
      </c>
      <c r="Z5263" t="s">
        <v>31593</v>
      </c>
      <c r="AA5263">
        <v>1.401460107447718</v>
      </c>
      <c r="AB5263" t="str">
        <f>HYPERLINK("Melting_Curves/meltCurve_Q99436_PSMB7.pdf", "Melting_Curves/meltCurve_Q99436_PSMB7.pdf")</f>
        <v>Melting_Curves/meltCurve_Q99436_PSMB7.pdf</v>
      </c>
    </row>
    <row r="5264" spans="1:28" x14ac:dyDescent="0.25">
      <c r="A5264" t="s">
        <v>5268</v>
      </c>
      <c r="B5264">
        <v>0.99252571173614901</v>
      </c>
      <c r="C5264">
        <v>1.03135967337371</v>
      </c>
      <c r="D5264">
        <v>0.96511441093097305</v>
      </c>
      <c r="E5264">
        <v>0.85712143539961705</v>
      </c>
      <c r="F5264">
        <v>0.75458809635751301</v>
      </c>
      <c r="G5264">
        <v>0.45445900734185501</v>
      </c>
      <c r="H5264">
        <v>0.14145583447416499</v>
      </c>
      <c r="I5264">
        <v>0.124921284822421</v>
      </c>
      <c r="J5264">
        <v>0.14056713544958499</v>
      </c>
      <c r="K5264">
        <v>0.122934379195557</v>
      </c>
      <c r="L5264">
        <v>1175.1534447766301</v>
      </c>
      <c r="M5264">
        <v>21.2368246268334</v>
      </c>
      <c r="N5264">
        <v>55.860560839137499</v>
      </c>
      <c r="O5264">
        <v>54.852005079221797</v>
      </c>
      <c r="P5264">
        <v>-8.8038555786228503E-2</v>
      </c>
      <c r="Q5264">
        <v>9.0454028311648699E-2</v>
      </c>
      <c r="R5264">
        <v>0.99009405507570403</v>
      </c>
      <c r="S5264" t="s">
        <v>11910</v>
      </c>
      <c r="T5264" t="s">
        <v>13290</v>
      </c>
      <c r="U5264" t="s">
        <v>13290</v>
      </c>
      <c r="V5264" t="s">
        <v>13290</v>
      </c>
      <c r="W5264" t="s">
        <v>18504</v>
      </c>
      <c r="X5264">
        <v>25</v>
      </c>
      <c r="Y5264" t="s">
        <v>24983</v>
      </c>
      <c r="Z5264" t="s">
        <v>31594</v>
      </c>
      <c r="AA5264">
        <v>0.56636995814722657</v>
      </c>
      <c r="AB5264" t="str">
        <f>HYPERLINK("Melting_Curves/meltCurve_Q99447_PCYT2.pdf", "Melting_Curves/meltCurve_Q99447_PCYT2.pdf")</f>
        <v>Melting_Curves/meltCurve_Q99447_PCYT2.pdf</v>
      </c>
    </row>
    <row r="5265" spans="1:28" x14ac:dyDescent="0.25">
      <c r="A5265" t="s">
        <v>5269</v>
      </c>
      <c r="B5265">
        <v>0.99252571173614901</v>
      </c>
      <c r="C5265">
        <v>0.88164568664389298</v>
      </c>
      <c r="D5265">
        <v>0.784279957225825</v>
      </c>
      <c r="E5265">
        <v>0.36114502315510499</v>
      </c>
      <c r="F5265">
        <v>0.220097133924579</v>
      </c>
      <c r="G5265">
        <v>0.139255969811131</v>
      </c>
      <c r="H5265">
        <v>0.112900238619457</v>
      </c>
      <c r="I5265">
        <v>0.13621060172062199</v>
      </c>
      <c r="J5265">
        <v>0.18426170272867501</v>
      </c>
      <c r="K5265">
        <v>0.220106700007594</v>
      </c>
      <c r="L5265">
        <v>1205.73711332926</v>
      </c>
      <c r="M5265">
        <v>25.341558274413799</v>
      </c>
      <c r="N5265">
        <v>48.289658419092703</v>
      </c>
      <c r="O5265">
        <v>47.286143814640198</v>
      </c>
      <c r="P5265">
        <v>-0.113138389125677</v>
      </c>
      <c r="Q5265">
        <v>0.155567687696856</v>
      </c>
      <c r="R5265">
        <v>0.98634098446701501</v>
      </c>
      <c r="S5265" t="s">
        <v>11911</v>
      </c>
      <c r="T5265" t="s">
        <v>13290</v>
      </c>
      <c r="U5265" t="s">
        <v>13290</v>
      </c>
      <c r="V5265" t="s">
        <v>13290</v>
      </c>
      <c r="W5265" t="s">
        <v>18505</v>
      </c>
      <c r="X5265">
        <v>23</v>
      </c>
      <c r="Y5265" t="s">
        <v>24984</v>
      </c>
      <c r="Z5265" t="s">
        <v>31595</v>
      </c>
      <c r="AA5265">
        <v>0.37617613493185331</v>
      </c>
      <c r="AB5265" t="str">
        <f>HYPERLINK("Melting_Curves/meltCurve_Q99459_CDC5L.pdf", "Melting_Curves/meltCurve_Q99459_CDC5L.pdf")</f>
        <v>Melting_Curves/meltCurve_Q99459_CDC5L.pdf</v>
      </c>
    </row>
    <row r="5266" spans="1:28" x14ac:dyDescent="0.25">
      <c r="A5266" t="s">
        <v>5270</v>
      </c>
      <c r="B5266">
        <v>0.99252571173614901</v>
      </c>
      <c r="C5266">
        <v>0.86291847889901496</v>
      </c>
      <c r="D5266">
        <v>1.1699476294134501</v>
      </c>
      <c r="E5266">
        <v>1.10739930568861</v>
      </c>
      <c r="F5266">
        <v>0.891917420660856</v>
      </c>
      <c r="G5266">
        <v>0.34749682394926601</v>
      </c>
      <c r="H5266">
        <v>0.187033929084335</v>
      </c>
      <c r="I5266">
        <v>0.16229086105617299</v>
      </c>
      <c r="J5266">
        <v>0.182242534866148</v>
      </c>
      <c r="K5266">
        <v>0.17433733192515499</v>
      </c>
      <c r="L5266">
        <v>2779.5081323227901</v>
      </c>
      <c r="M5266">
        <v>50.278074761936303</v>
      </c>
      <c r="N5266">
        <v>55.758387304443602</v>
      </c>
      <c r="O5266">
        <v>55.195461149613301</v>
      </c>
      <c r="P5266">
        <v>-0.18801286029747999</v>
      </c>
      <c r="Q5266">
        <v>0.17439575694176301</v>
      </c>
      <c r="R5266">
        <v>0.96402712552321801</v>
      </c>
      <c r="S5266" t="s">
        <v>11912</v>
      </c>
      <c r="T5266" t="s">
        <v>13290</v>
      </c>
      <c r="U5266" t="s">
        <v>13290</v>
      </c>
      <c r="V5266" t="s">
        <v>13290</v>
      </c>
      <c r="W5266" t="s">
        <v>18506</v>
      </c>
      <c r="X5266">
        <v>30</v>
      </c>
      <c r="Y5266" t="s">
        <v>24985</v>
      </c>
      <c r="Z5266" t="s">
        <v>31596</v>
      </c>
      <c r="AA5266">
        <v>0.5969676747576288</v>
      </c>
      <c r="AB5266" t="str">
        <f>HYPERLINK("Melting_Curves/meltCurve_Q99460_PSMD1.pdf", "Melting_Curves/meltCurve_Q99460_PSMD1.pdf")</f>
        <v>Melting_Curves/meltCurve_Q99460_PSMD1.pdf</v>
      </c>
    </row>
    <row r="5267" spans="1:28" x14ac:dyDescent="0.25">
      <c r="A5267" t="s">
        <v>5271</v>
      </c>
      <c r="B5267">
        <v>0.99252571173614901</v>
      </c>
      <c r="C5267">
        <v>0.84013942886789394</v>
      </c>
      <c r="D5267">
        <v>0.98849655110166701</v>
      </c>
      <c r="E5267">
        <v>0.81037033651169299</v>
      </c>
      <c r="F5267">
        <v>0.60715163749569401</v>
      </c>
      <c r="G5267">
        <v>0.35959121862370003</v>
      </c>
      <c r="H5267">
        <v>0.20899927230437601</v>
      </c>
      <c r="I5267">
        <v>0.17291970315402599</v>
      </c>
      <c r="J5267">
        <v>0.217423301506592</v>
      </c>
      <c r="K5267">
        <v>0.20199634769535099</v>
      </c>
      <c r="L5267">
        <v>994.12056616219002</v>
      </c>
      <c r="M5267">
        <v>18.703693573683001</v>
      </c>
      <c r="N5267">
        <v>54.360275800266301</v>
      </c>
      <c r="O5267">
        <v>52.5546218777259</v>
      </c>
      <c r="P5267">
        <v>-7.3834195129721794E-2</v>
      </c>
      <c r="Q5267">
        <v>0.17018234664534501</v>
      </c>
      <c r="R5267">
        <v>0.97368796090316501</v>
      </c>
      <c r="S5267" t="s">
        <v>11913</v>
      </c>
      <c r="T5267" t="s">
        <v>13290</v>
      </c>
      <c r="U5267" t="s">
        <v>13290</v>
      </c>
      <c r="V5267" t="s">
        <v>13290</v>
      </c>
      <c r="W5267" t="s">
        <v>18507</v>
      </c>
      <c r="X5267">
        <v>4</v>
      </c>
      <c r="Y5267" t="s">
        <v>24986</v>
      </c>
      <c r="Z5267" t="s">
        <v>31597</v>
      </c>
      <c r="AA5267">
        <v>0.5466860169616693</v>
      </c>
      <c r="AB5267" t="str">
        <f>HYPERLINK("Melting_Curves/meltCurve_Q99470_SDF2.pdf", "Melting_Curves/meltCurve_Q99470_SDF2.pdf")</f>
        <v>Melting_Curves/meltCurve_Q99470_SDF2.pdf</v>
      </c>
    </row>
    <row r="5268" spans="1:28" x14ac:dyDescent="0.25">
      <c r="A5268" t="s">
        <v>5272</v>
      </c>
      <c r="B5268">
        <v>0.99252571173614901</v>
      </c>
      <c r="C5268">
        <v>1.06348347046477</v>
      </c>
      <c r="D5268">
        <v>1.07197283992296</v>
      </c>
      <c r="E5268">
        <v>1.1883814745621499</v>
      </c>
      <c r="F5268">
        <v>0.94671732380380502</v>
      </c>
      <c r="G5268">
        <v>0.86787124261941195</v>
      </c>
      <c r="H5268">
        <v>0.76498775485986004</v>
      </c>
      <c r="I5268">
        <v>0.49357552212414502</v>
      </c>
      <c r="J5268">
        <v>0.208730784303086</v>
      </c>
      <c r="K5268">
        <v>0.20842807774198499</v>
      </c>
      <c r="L5268">
        <v>1439.0431760755</v>
      </c>
      <c r="M5268">
        <v>22.7793103779725</v>
      </c>
      <c r="N5268">
        <v>63.664909070141199</v>
      </c>
      <c r="O5268">
        <v>62.692439037279499</v>
      </c>
      <c r="P5268">
        <v>-8.3512677319773701E-2</v>
      </c>
      <c r="Q5268">
        <v>8.0654940333692193E-2</v>
      </c>
      <c r="R5268">
        <v>0.94910759585873194</v>
      </c>
      <c r="S5268" t="s">
        <v>11914</v>
      </c>
      <c r="T5268" t="s">
        <v>13290</v>
      </c>
      <c r="U5268" t="s">
        <v>13290</v>
      </c>
      <c r="V5268" t="s">
        <v>13290</v>
      </c>
      <c r="W5268" t="s">
        <v>18508</v>
      </c>
      <c r="X5268">
        <v>13</v>
      </c>
      <c r="Y5268" t="s">
        <v>24987</v>
      </c>
      <c r="Z5268" t="s">
        <v>31598</v>
      </c>
      <c r="AA5268">
        <v>0.79140276837051604</v>
      </c>
      <c r="AB5268" t="str">
        <f>HYPERLINK("Melting_Curves/meltCurve_Q99471_PFDN5.pdf", "Melting_Curves/meltCurve_Q99471_PFDN5.pdf")</f>
        <v>Melting_Curves/meltCurve_Q99471_PFDN5.pdf</v>
      </c>
    </row>
    <row r="5269" spans="1:28" x14ac:dyDescent="0.25">
      <c r="A5269" t="s">
        <v>5273</v>
      </c>
      <c r="B5269">
        <v>0.99252571173614901</v>
      </c>
      <c r="C5269">
        <v>0.93546095948069596</v>
      </c>
      <c r="D5269">
        <v>0.97256482988776405</v>
      </c>
      <c r="E5269">
        <v>0.91760574952228102</v>
      </c>
      <c r="F5269">
        <v>0.81817621820458997</v>
      </c>
      <c r="G5269">
        <v>0.59408054557804302</v>
      </c>
      <c r="H5269">
        <v>0.28986895590617101</v>
      </c>
      <c r="I5269">
        <v>0.177416414970898</v>
      </c>
      <c r="J5269">
        <v>0.10272865891359199</v>
      </c>
      <c r="K5269">
        <v>0.124964506790664</v>
      </c>
      <c r="L5269">
        <v>1045.1430156592601</v>
      </c>
      <c r="M5269">
        <v>18.232413619657301</v>
      </c>
      <c r="N5269">
        <v>57.743782583401</v>
      </c>
      <c r="O5269">
        <v>56.647102309890201</v>
      </c>
      <c r="P5269">
        <v>-7.5466892052244702E-2</v>
      </c>
      <c r="Q5269">
        <v>6.21581244772198E-2</v>
      </c>
      <c r="R5269">
        <v>0.99432865083896005</v>
      </c>
      <c r="S5269" t="s">
        <v>11915</v>
      </c>
      <c r="T5269" t="s">
        <v>13290</v>
      </c>
      <c r="U5269" t="s">
        <v>13290</v>
      </c>
      <c r="V5269" t="s">
        <v>13290</v>
      </c>
      <c r="W5269" t="s">
        <v>18509</v>
      </c>
      <c r="X5269">
        <v>4</v>
      </c>
      <c r="Y5269" t="s">
        <v>24988</v>
      </c>
      <c r="Z5269" t="s">
        <v>31599</v>
      </c>
      <c r="AA5269">
        <v>0.61606247756329191</v>
      </c>
      <c r="AB5269" t="str">
        <f>HYPERLINK("Melting_Curves/meltCurve_Q99487_PAFAH2.pdf", "Melting_Curves/meltCurve_Q99487_PAFAH2.pdf")</f>
        <v>Melting_Curves/meltCurve_Q99487_PAFAH2.pdf</v>
      </c>
    </row>
    <row r="5270" spans="1:28" x14ac:dyDescent="0.25">
      <c r="A5270" t="s">
        <v>5274</v>
      </c>
      <c r="B5270">
        <v>0.99252571173614901</v>
      </c>
      <c r="C5270">
        <v>1.03435708307935</v>
      </c>
      <c r="D5270">
        <v>0.91802989909622801</v>
      </c>
      <c r="E5270">
        <v>0.86362802304199504</v>
      </c>
      <c r="F5270">
        <v>0.713121664911609</v>
      </c>
      <c r="G5270">
        <v>0.401456510138539</v>
      </c>
      <c r="H5270">
        <v>0.391210500302765</v>
      </c>
      <c r="I5270">
        <v>0.54257062973687398</v>
      </c>
      <c r="J5270">
        <v>0.58742594213394905</v>
      </c>
      <c r="K5270">
        <v>0.46290692475168599</v>
      </c>
      <c r="L5270">
        <v>1524.80860359543</v>
      </c>
      <c r="M5270">
        <v>29.395625603478202</v>
      </c>
      <c r="N5270">
        <v>57.932112880398101</v>
      </c>
      <c r="O5270">
        <v>51.633657549506303</v>
      </c>
      <c r="P5270">
        <v>-7.4451427969871406E-2</v>
      </c>
      <c r="Q5270">
        <v>0.47690536184100801</v>
      </c>
      <c r="R5270">
        <v>0.91043307569330101</v>
      </c>
      <c r="S5270" t="s">
        <v>11916</v>
      </c>
      <c r="T5270" t="s">
        <v>13290</v>
      </c>
      <c r="U5270" t="s">
        <v>13290</v>
      </c>
      <c r="V5270" t="s">
        <v>13290</v>
      </c>
      <c r="W5270" t="s">
        <v>18510</v>
      </c>
      <c r="X5270">
        <v>8</v>
      </c>
      <c r="Y5270" t="s">
        <v>24989</v>
      </c>
      <c r="Z5270" t="s">
        <v>31600</v>
      </c>
      <c r="AA5270">
        <v>0.68738348862710663</v>
      </c>
      <c r="AB5270" t="str">
        <f>HYPERLINK("Melting_Curves/meltCurve_Q99496_RNF2.pdf", "Melting_Curves/meltCurve_Q99496_RNF2.pdf")</f>
        <v>Melting_Curves/meltCurve_Q99496_RNF2.pdf</v>
      </c>
    </row>
    <row r="5271" spans="1:28" x14ac:dyDescent="0.25">
      <c r="A5271" t="s">
        <v>5275</v>
      </c>
      <c r="B5271">
        <v>0.99252571173614901</v>
      </c>
      <c r="C5271">
        <v>1.12539693951261</v>
      </c>
      <c r="D5271">
        <v>0.93504821169550101</v>
      </c>
      <c r="E5271">
        <v>0.869706749880093</v>
      </c>
      <c r="F5271">
        <v>0.73706480831897503</v>
      </c>
      <c r="G5271">
        <v>0.49407654099519199</v>
      </c>
      <c r="H5271">
        <v>0.28681315020058201</v>
      </c>
      <c r="I5271">
        <v>0.195320232392345</v>
      </c>
      <c r="J5271">
        <v>0.17081070260407599</v>
      </c>
      <c r="K5271">
        <v>0.15763103607430801</v>
      </c>
      <c r="L5271">
        <v>919.69798082724299</v>
      </c>
      <c r="M5271">
        <v>16.516165243375902</v>
      </c>
      <c r="N5271">
        <v>56.6040074880475</v>
      </c>
      <c r="O5271">
        <v>54.8875867502815</v>
      </c>
      <c r="P5271">
        <v>-6.6382412608015695E-2</v>
      </c>
      <c r="Q5271">
        <v>0.11763581009148801</v>
      </c>
      <c r="R5271">
        <v>0.98420094981063999</v>
      </c>
      <c r="S5271" t="s">
        <v>11917</v>
      </c>
      <c r="T5271" t="s">
        <v>13290</v>
      </c>
      <c r="U5271" t="s">
        <v>13290</v>
      </c>
      <c r="V5271" t="s">
        <v>13290</v>
      </c>
      <c r="W5271" t="s">
        <v>18511</v>
      </c>
      <c r="X5271">
        <v>22</v>
      </c>
      <c r="Y5271" t="s">
        <v>24990</v>
      </c>
      <c r="Z5271" t="s">
        <v>31601</v>
      </c>
      <c r="AA5271">
        <v>0.59358214653273367</v>
      </c>
      <c r="AB5271" t="str">
        <f>HYPERLINK("Melting_Curves/meltCurve_Q99497_PARK7.pdf", "Melting_Curves/meltCurve_Q99497_PARK7.pdf")</f>
        <v>Melting_Curves/meltCurve_Q99497_PARK7.pdf</v>
      </c>
    </row>
    <row r="5272" spans="1:28" x14ac:dyDescent="0.25">
      <c r="A5272" t="s">
        <v>5276</v>
      </c>
      <c r="B5272">
        <v>0.99252571173614901</v>
      </c>
      <c r="C5272">
        <v>0.874056799623668</v>
      </c>
      <c r="D5272">
        <v>0.30649601502358598</v>
      </c>
      <c r="E5272">
        <v>0.18631816742263499</v>
      </c>
      <c r="F5272">
        <v>0.13382319407585599</v>
      </c>
      <c r="G5272">
        <v>8.1757600692944202E-2</v>
      </c>
      <c r="H5272">
        <v>6.24423762938063E-2</v>
      </c>
      <c r="I5272">
        <v>4.8876615289377902E-2</v>
      </c>
      <c r="J5272">
        <v>5.0351574836570101E-2</v>
      </c>
      <c r="K5272">
        <v>4.54062910336301E-2</v>
      </c>
      <c r="L5272">
        <v>1720.02775496138</v>
      </c>
      <c r="M5272">
        <v>38.395693904507503</v>
      </c>
      <c r="N5272">
        <v>45.005621679877002</v>
      </c>
      <c r="O5272">
        <v>44.676410201238397</v>
      </c>
      <c r="P5272">
        <v>-0.19737140486545801</v>
      </c>
      <c r="Q5272">
        <v>8.1373586220230706E-2</v>
      </c>
      <c r="R5272">
        <v>0.98785482958833404</v>
      </c>
      <c r="S5272" t="s">
        <v>11918</v>
      </c>
      <c r="T5272" t="s">
        <v>13290</v>
      </c>
      <c r="U5272" t="s">
        <v>13290</v>
      </c>
      <c r="V5272" t="s">
        <v>13290</v>
      </c>
      <c r="W5272" t="s">
        <v>18512</v>
      </c>
      <c r="X5272">
        <v>6</v>
      </c>
      <c r="Y5272" t="s">
        <v>24991</v>
      </c>
      <c r="Z5272" t="s">
        <v>31602</v>
      </c>
      <c r="AA5272">
        <v>0.23163607216537149</v>
      </c>
      <c r="AB5272" t="str">
        <f>HYPERLINK("Melting_Curves/meltCurve_Q99504_2_EYA3.pdf", "Melting_Curves/meltCurve_Q99504_2_EYA3.pdf")</f>
        <v>Melting_Curves/meltCurve_Q99504_2_EYA3.pdf</v>
      </c>
    </row>
    <row r="5273" spans="1:28" x14ac:dyDescent="0.25">
      <c r="A5273" t="s">
        <v>5277</v>
      </c>
      <c r="B5273">
        <v>0.99252571173614901</v>
      </c>
      <c r="C5273">
        <v>0.96385506644857299</v>
      </c>
      <c r="D5273">
        <v>0.93351815224520296</v>
      </c>
      <c r="E5273">
        <v>0.77824758726823695</v>
      </c>
      <c r="F5273">
        <v>0.70047865121712405</v>
      </c>
      <c r="G5273">
        <v>0.54112677615517402</v>
      </c>
      <c r="H5273">
        <v>0.27272286283576103</v>
      </c>
      <c r="I5273">
        <v>0.132099333051308</v>
      </c>
      <c r="J5273">
        <v>0.14933840983186</v>
      </c>
      <c r="K5273">
        <v>0.13426870098893201</v>
      </c>
      <c r="L5273">
        <v>660.66354449770097</v>
      </c>
      <c r="M5273">
        <v>11.7025259607917</v>
      </c>
      <c r="N5273">
        <v>56.464867276790898</v>
      </c>
      <c r="O5273">
        <v>54.881876319928203</v>
      </c>
      <c r="P5273">
        <v>-5.32662858047495E-2</v>
      </c>
      <c r="Q5273">
        <v>1.04395259320613E-3</v>
      </c>
      <c r="R5273">
        <v>0.98717739345345101</v>
      </c>
      <c r="S5273" t="s">
        <v>11919</v>
      </c>
      <c r="T5273" t="s">
        <v>13290</v>
      </c>
      <c r="U5273" t="s">
        <v>13290</v>
      </c>
      <c r="V5273" t="s">
        <v>13290</v>
      </c>
      <c r="W5273" t="s">
        <v>18513</v>
      </c>
      <c r="X5273">
        <v>7</v>
      </c>
      <c r="Y5273" t="s">
        <v>24992</v>
      </c>
      <c r="Z5273" t="s">
        <v>31603</v>
      </c>
      <c r="AA5273">
        <v>0.56786583862024931</v>
      </c>
      <c r="AB5273" t="str">
        <f>HYPERLINK("Melting_Curves/meltCurve_Q99519_NEU1.pdf", "Melting_Curves/meltCurve_Q99519_NEU1.pdf")</f>
        <v>Melting_Curves/meltCurve_Q99519_NEU1.pdf</v>
      </c>
    </row>
    <row r="5274" spans="1:28" x14ac:dyDescent="0.25">
      <c r="A5274" t="s">
        <v>5278</v>
      </c>
      <c r="B5274">
        <v>0.99252571173614901</v>
      </c>
      <c r="C5274">
        <v>0.93425843077009396</v>
      </c>
      <c r="D5274">
        <v>0.91651752781469698</v>
      </c>
      <c r="E5274">
        <v>0.86307097908085995</v>
      </c>
      <c r="F5274">
        <v>0.70972401989755896</v>
      </c>
      <c r="G5274">
        <v>0.51962300860921096</v>
      </c>
      <c r="H5274">
        <v>0.293994302895281</v>
      </c>
      <c r="I5274">
        <v>0.20857016312867599</v>
      </c>
      <c r="J5274">
        <v>0.252257927529631</v>
      </c>
      <c r="K5274">
        <v>0.17722587687990701</v>
      </c>
      <c r="L5274">
        <v>770.244013970281</v>
      </c>
      <c r="M5274">
        <v>13.8788161054448</v>
      </c>
      <c r="N5274">
        <v>56.7338564488917</v>
      </c>
      <c r="O5274">
        <v>54.383706868503097</v>
      </c>
      <c r="P5274">
        <v>-5.54840884028193E-2</v>
      </c>
      <c r="Q5274">
        <v>0.13046838702285701</v>
      </c>
      <c r="R5274">
        <v>0.98973869090662103</v>
      </c>
      <c r="S5274" t="s">
        <v>11920</v>
      </c>
      <c r="T5274" t="s">
        <v>13290</v>
      </c>
      <c r="U5274" t="s">
        <v>13290</v>
      </c>
      <c r="V5274" t="s">
        <v>13290</v>
      </c>
      <c r="W5274" t="s">
        <v>18514</v>
      </c>
      <c r="X5274">
        <v>15</v>
      </c>
      <c r="Y5274" t="s">
        <v>24993</v>
      </c>
      <c r="Z5274" t="s">
        <v>31604</v>
      </c>
      <c r="AA5274">
        <v>0.59695832241913194</v>
      </c>
      <c r="AB5274" t="str">
        <f>HYPERLINK("Melting_Curves/meltCurve_Q99523_SORT1.pdf", "Melting_Curves/meltCurve_Q99523_SORT1.pdf")</f>
        <v>Melting_Curves/meltCurve_Q99523_SORT1.pdf</v>
      </c>
    </row>
    <row r="5275" spans="1:28" x14ac:dyDescent="0.25">
      <c r="A5275" t="s">
        <v>5279</v>
      </c>
      <c r="B5275">
        <v>0.99252571173614901</v>
      </c>
      <c r="C5275">
        <v>1.0599613394207199</v>
      </c>
      <c r="D5275">
        <v>0.96724808045583999</v>
      </c>
      <c r="E5275">
        <v>0.882423155869272</v>
      </c>
      <c r="F5275">
        <v>0.76804349894104496</v>
      </c>
      <c r="G5275">
        <v>0.61674941131868399</v>
      </c>
      <c r="H5275">
        <v>0.34851986256147599</v>
      </c>
      <c r="I5275">
        <v>0.16978697133311799</v>
      </c>
      <c r="J5275">
        <v>0.15584285689498401</v>
      </c>
      <c r="K5275">
        <v>0.132342381435475</v>
      </c>
      <c r="L5275">
        <v>842.28325742307402</v>
      </c>
      <c r="M5275">
        <v>14.6053342916116</v>
      </c>
      <c r="N5275">
        <v>57.997699686456002</v>
      </c>
      <c r="O5275">
        <v>56.620795089577904</v>
      </c>
      <c r="P5275">
        <v>-6.1937156325240002E-2</v>
      </c>
      <c r="Q5275">
        <v>3.9655588433969602E-2</v>
      </c>
      <c r="R5275">
        <v>0.99106041049548599</v>
      </c>
      <c r="S5275" t="s">
        <v>11921</v>
      </c>
      <c r="T5275" t="s">
        <v>13290</v>
      </c>
      <c r="U5275" t="s">
        <v>13290</v>
      </c>
      <c r="V5275" t="s">
        <v>13290</v>
      </c>
      <c r="W5275" t="s">
        <v>18515</v>
      </c>
      <c r="X5275">
        <v>16</v>
      </c>
      <c r="Y5275" t="s">
        <v>24994</v>
      </c>
      <c r="Z5275" t="s">
        <v>31605</v>
      </c>
      <c r="AA5275">
        <v>0.61910049203981876</v>
      </c>
      <c r="AB5275" t="str">
        <f>HYPERLINK("Melting_Curves/meltCurve_Q99536_VAT1.pdf", "Melting_Curves/meltCurve_Q99536_VAT1.pdf")</f>
        <v>Melting_Curves/meltCurve_Q99536_VAT1.pdf</v>
      </c>
    </row>
    <row r="5276" spans="1:28" x14ac:dyDescent="0.25">
      <c r="A5276" t="s">
        <v>5280</v>
      </c>
      <c r="B5276">
        <v>0.99252571173614901</v>
      </c>
      <c r="C5276">
        <v>1.05189972691373</v>
      </c>
      <c r="D5276">
        <v>0.96499799944554898</v>
      </c>
      <c r="E5276">
        <v>0.82932304234890097</v>
      </c>
      <c r="F5276">
        <v>0.487832403222698</v>
      </c>
      <c r="G5276">
        <v>0.209633376137388</v>
      </c>
      <c r="H5276">
        <v>0.10561159256337301</v>
      </c>
      <c r="I5276">
        <v>0.12670471892589899</v>
      </c>
      <c r="J5276">
        <v>0.24973485854010899</v>
      </c>
      <c r="K5276">
        <v>0.34680362181285102</v>
      </c>
      <c r="L5276">
        <v>1641.8250679783901</v>
      </c>
      <c r="M5276">
        <v>31.619940779627498</v>
      </c>
      <c r="N5276">
        <v>52.7757584996628</v>
      </c>
      <c r="O5276">
        <v>51.717345584919798</v>
      </c>
      <c r="P5276">
        <v>-0.122296224787833</v>
      </c>
      <c r="Q5276">
        <v>0.19989664087411399</v>
      </c>
      <c r="R5276">
        <v>0.96486096170326296</v>
      </c>
      <c r="S5276" t="s">
        <v>11922</v>
      </c>
      <c r="T5276" t="s">
        <v>13290</v>
      </c>
      <c r="U5276" t="s">
        <v>13290</v>
      </c>
      <c r="V5276" t="s">
        <v>13290</v>
      </c>
      <c r="W5276" t="s">
        <v>18516</v>
      </c>
      <c r="X5276">
        <v>11</v>
      </c>
      <c r="Y5276" t="s">
        <v>24995</v>
      </c>
      <c r="Z5276" t="s">
        <v>31606</v>
      </c>
      <c r="AA5276">
        <v>0.52250255214538321</v>
      </c>
      <c r="AB5276" t="str">
        <f>HYPERLINK("Melting_Curves/meltCurve_Q99538_LGMN.pdf", "Melting_Curves/meltCurve_Q99538_LGMN.pdf")</f>
        <v>Melting_Curves/meltCurve_Q99538_LGMN.pdf</v>
      </c>
    </row>
    <row r="5277" spans="1:28" x14ac:dyDescent="0.25">
      <c r="A5277" t="s">
        <v>5281</v>
      </c>
      <c r="B5277">
        <v>0.99252571173614901</v>
      </c>
      <c r="C5277">
        <v>1.03054437609347</v>
      </c>
      <c r="D5277">
        <v>0.82836439030837605</v>
      </c>
      <c r="E5277">
        <v>0.63793391709436198</v>
      </c>
      <c r="F5277">
        <v>0.37143851829942298</v>
      </c>
      <c r="G5277">
        <v>0.26864728883879702</v>
      </c>
      <c r="H5277">
        <v>0.21321838823952399</v>
      </c>
      <c r="I5277">
        <v>0.22227740307500701</v>
      </c>
      <c r="J5277">
        <v>0.29608086892497198</v>
      </c>
      <c r="K5277">
        <v>0.26112924760848</v>
      </c>
      <c r="L5277">
        <v>1083.22724964448</v>
      </c>
      <c r="M5277">
        <v>21.892558117564999</v>
      </c>
      <c r="N5277">
        <v>51.008629191908902</v>
      </c>
      <c r="O5277">
        <v>49.071934064105598</v>
      </c>
      <c r="P5277">
        <v>-8.4695391769868095E-2</v>
      </c>
      <c r="Q5277">
        <v>0.24064170374882601</v>
      </c>
      <c r="R5277">
        <v>0.98772744335441298</v>
      </c>
      <c r="S5277" t="s">
        <v>11923</v>
      </c>
      <c r="T5277" t="s">
        <v>13290</v>
      </c>
      <c r="U5277" t="s">
        <v>13290</v>
      </c>
      <c r="V5277" t="s">
        <v>13290</v>
      </c>
      <c r="W5277" t="s">
        <v>18517</v>
      </c>
      <c r="X5277">
        <v>13</v>
      </c>
      <c r="Y5277" t="s">
        <v>24996</v>
      </c>
      <c r="Z5277" t="s">
        <v>31607</v>
      </c>
      <c r="AA5277">
        <v>0.48941975551274131</v>
      </c>
      <c r="AB5277" t="str">
        <f>HYPERLINK("Melting_Curves/meltCurve_Q99541_PLIN2.pdf", "Melting_Curves/meltCurve_Q99541_PLIN2.pdf")</f>
        <v>Melting_Curves/meltCurve_Q99541_PLIN2.pdf</v>
      </c>
    </row>
    <row r="5278" spans="1:28" x14ac:dyDescent="0.25">
      <c r="A5278" t="s">
        <v>5282</v>
      </c>
      <c r="B5278">
        <v>0.99252571173614901</v>
      </c>
      <c r="C5278">
        <v>0.90546263294726703</v>
      </c>
      <c r="D5278">
        <v>0.46363088633353899</v>
      </c>
      <c r="E5278">
        <v>0.24361395621534601</v>
      </c>
      <c r="F5278">
        <v>0.12888290424385199</v>
      </c>
      <c r="G5278">
        <v>7.9605348844285606E-2</v>
      </c>
      <c r="H5278">
        <v>5.34574876498412E-2</v>
      </c>
      <c r="I5278">
        <v>5.0162857991245598E-2</v>
      </c>
      <c r="J5278">
        <v>6.5496800458902896E-2</v>
      </c>
      <c r="K5278">
        <v>6.5761129963787801E-2</v>
      </c>
      <c r="L5278">
        <v>1137.9661418598901</v>
      </c>
      <c r="M5278">
        <v>24.819998662902901</v>
      </c>
      <c r="N5278">
        <v>46.132999470182298</v>
      </c>
      <c r="O5278">
        <v>45.554242877721599</v>
      </c>
      <c r="P5278">
        <v>-0.126555197577946</v>
      </c>
      <c r="Q5278">
        <v>7.0903128630801504E-2</v>
      </c>
      <c r="R5278">
        <v>0.991930554035093</v>
      </c>
      <c r="S5278" t="s">
        <v>11924</v>
      </c>
      <c r="T5278" t="s">
        <v>13290</v>
      </c>
      <c r="U5278" t="s">
        <v>13290</v>
      </c>
      <c r="V5278" t="s">
        <v>13290</v>
      </c>
      <c r="W5278" t="s">
        <v>18518</v>
      </c>
      <c r="X5278">
        <v>17</v>
      </c>
      <c r="Y5278" t="s">
        <v>24997</v>
      </c>
      <c r="Z5278" t="s">
        <v>31608</v>
      </c>
      <c r="AA5278">
        <v>0.2608392081852729</v>
      </c>
      <c r="AB5278" t="str">
        <f>HYPERLINK("Melting_Curves/meltCurve_Q99543_DNAJC2.pdf", "Melting_Curves/meltCurve_Q99543_DNAJC2.pdf")</f>
        <v>Melting_Curves/meltCurve_Q99543_DNAJC2.pdf</v>
      </c>
    </row>
    <row r="5279" spans="1:28" x14ac:dyDescent="0.25">
      <c r="A5279" t="s">
        <v>5283</v>
      </c>
      <c r="B5279">
        <v>0.99252571173614901</v>
      </c>
      <c r="C5279">
        <v>0.95086877025705996</v>
      </c>
      <c r="D5279">
        <v>0.78691433989119997</v>
      </c>
      <c r="E5279">
        <v>0.66442559309641203</v>
      </c>
      <c r="F5279">
        <v>0.42763905738043101</v>
      </c>
      <c r="G5279">
        <v>0.300108557738966</v>
      </c>
      <c r="H5279">
        <v>0.26204001885332801</v>
      </c>
      <c r="I5279">
        <v>0.30903163232194503</v>
      </c>
      <c r="J5279">
        <v>0.43427957723996802</v>
      </c>
      <c r="K5279">
        <v>0.47644421762076999</v>
      </c>
      <c r="L5279">
        <v>992.16366092672297</v>
      </c>
      <c r="M5279">
        <v>20.496066783092999</v>
      </c>
      <c r="N5279">
        <v>51.456927868088201</v>
      </c>
      <c r="O5279">
        <v>47.953770164414699</v>
      </c>
      <c r="P5279">
        <v>-6.9286802633943795E-2</v>
      </c>
      <c r="Q5279">
        <v>0.35158966604882302</v>
      </c>
      <c r="R5279">
        <v>0.92832802572549999</v>
      </c>
      <c r="S5279" t="s">
        <v>11925</v>
      </c>
      <c r="T5279" t="s">
        <v>13290</v>
      </c>
      <c r="U5279" t="s">
        <v>13290</v>
      </c>
      <c r="V5279" t="s">
        <v>13290</v>
      </c>
      <c r="W5279" t="s">
        <v>18519</v>
      </c>
      <c r="X5279">
        <v>4</v>
      </c>
      <c r="Y5279" t="s">
        <v>24998</v>
      </c>
      <c r="Z5279" t="s">
        <v>31609</v>
      </c>
      <c r="AA5279">
        <v>0.5419990745333555</v>
      </c>
      <c r="AB5279" t="str">
        <f>HYPERLINK("Melting_Curves/meltCurve_Q99549_MPHOSPH8.pdf", "Melting_Curves/meltCurve_Q99549_MPHOSPH8.pdf")</f>
        <v>Melting_Curves/meltCurve_Q99549_MPHOSPH8.pdf</v>
      </c>
    </row>
    <row r="5280" spans="1:28" x14ac:dyDescent="0.25">
      <c r="A5280" t="s">
        <v>5284</v>
      </c>
      <c r="B5280">
        <v>0.99252571173614901</v>
      </c>
      <c r="C5280">
        <v>0.81833786996146496</v>
      </c>
      <c r="D5280">
        <v>0.86007764082705096</v>
      </c>
      <c r="E5280">
        <v>0.69363099268921402</v>
      </c>
      <c r="F5280">
        <v>0.27245571285451198</v>
      </c>
      <c r="G5280">
        <v>0.156618522109367</v>
      </c>
      <c r="H5280">
        <v>0.114220478892506</v>
      </c>
      <c r="I5280">
        <v>0.125420262152728</v>
      </c>
      <c r="J5280">
        <v>0.16510296694012999</v>
      </c>
      <c r="K5280">
        <v>0.20077576544587</v>
      </c>
      <c r="L5280">
        <v>1150.0949447053799</v>
      </c>
      <c r="M5280">
        <v>22.932465027929599</v>
      </c>
      <c r="N5280">
        <v>50.8450916365871</v>
      </c>
      <c r="O5280">
        <v>49.774699707756703</v>
      </c>
      <c r="P5280">
        <v>-9.9710464224604001E-2</v>
      </c>
      <c r="Q5280">
        <v>0.13433388214939099</v>
      </c>
      <c r="R5280">
        <v>0.961635162160699</v>
      </c>
      <c r="S5280" t="s">
        <v>11926</v>
      </c>
      <c r="T5280" t="s">
        <v>13290</v>
      </c>
      <c r="U5280" t="s">
        <v>13290</v>
      </c>
      <c r="V5280" t="s">
        <v>13290</v>
      </c>
      <c r="W5280" t="s">
        <v>18520</v>
      </c>
      <c r="X5280">
        <v>9</v>
      </c>
      <c r="Y5280" t="s">
        <v>24999</v>
      </c>
      <c r="Z5280" t="s">
        <v>31610</v>
      </c>
      <c r="AA5280">
        <v>0.43646359535950169</v>
      </c>
      <c r="AB5280" t="str">
        <f>HYPERLINK("Melting_Curves/meltCurve_Q99567_NUP88.pdf", "Melting_Curves/meltCurve_Q99567_NUP88.pdf")</f>
        <v>Melting_Curves/meltCurve_Q99567_NUP88.pdf</v>
      </c>
    </row>
    <row r="5281" spans="1:28" x14ac:dyDescent="0.25">
      <c r="A5281" t="s">
        <v>5285</v>
      </c>
      <c r="B5281">
        <v>0.99252571173614901</v>
      </c>
      <c r="C5281">
        <v>0.93563657987526505</v>
      </c>
      <c r="D5281">
        <v>0.82303952663880098</v>
      </c>
      <c r="E5281">
        <v>0.72368748464869603</v>
      </c>
      <c r="F5281">
        <v>0.56703616255289002</v>
      </c>
      <c r="G5281">
        <v>0.39858081892382902</v>
      </c>
      <c r="H5281">
        <v>0.35226259811967398</v>
      </c>
      <c r="I5281">
        <v>0.33231870615401499</v>
      </c>
      <c r="J5281">
        <v>0.537618564091498</v>
      </c>
      <c r="K5281">
        <v>0.65071542359576195</v>
      </c>
      <c r="L5281">
        <v>929.26593114396906</v>
      </c>
      <c r="M5281">
        <v>19.140505527633302</v>
      </c>
      <c r="N5281">
        <v>55.446284327958502</v>
      </c>
      <c r="O5281">
        <v>48.029075414430501</v>
      </c>
      <c r="P5281">
        <v>-5.4423918422871698E-2</v>
      </c>
      <c r="Q5281">
        <v>0.45375959891616102</v>
      </c>
      <c r="R5281">
        <v>0.82824028568324204</v>
      </c>
      <c r="S5281" t="s">
        <v>11927</v>
      </c>
      <c r="T5281" t="s">
        <v>13290</v>
      </c>
      <c r="U5281" t="s">
        <v>13290</v>
      </c>
      <c r="V5281" t="s">
        <v>13290</v>
      </c>
      <c r="W5281" t="s">
        <v>18521</v>
      </c>
      <c r="X5281">
        <v>3</v>
      </c>
      <c r="Y5281" t="s">
        <v>25000</v>
      </c>
      <c r="Z5281" t="s">
        <v>31611</v>
      </c>
      <c r="AA5281">
        <v>0.6178541607799416</v>
      </c>
      <c r="AB5281" t="str">
        <f>HYPERLINK("Melting_Curves/meltCurve_Q99569_2_PKP4.pdf", "Melting_Curves/meltCurve_Q99569_2_PKP4.pdf")</f>
        <v>Melting_Curves/meltCurve_Q99569_2_PKP4.pdf</v>
      </c>
    </row>
    <row r="5282" spans="1:28" x14ac:dyDescent="0.25">
      <c r="A5282" t="s">
        <v>5286</v>
      </c>
      <c r="B5282">
        <v>0.99252571173614901</v>
      </c>
      <c r="C5282">
        <v>0.76932218807993802</v>
      </c>
      <c r="D5282">
        <v>0.95190583879437796</v>
      </c>
      <c r="E5282">
        <v>0.75015466686851096</v>
      </c>
      <c r="F5282">
        <v>0.258751536133561</v>
      </c>
      <c r="G5282">
        <v>9.5097276571123407E-2</v>
      </c>
      <c r="H5282">
        <v>6.6821033755379206E-2</v>
      </c>
      <c r="I5282">
        <v>6.4217875855638207E-2</v>
      </c>
      <c r="J5282">
        <v>7.7146684302034793E-2</v>
      </c>
      <c r="K5282">
        <v>8.0147254194941106E-2</v>
      </c>
      <c r="L5282">
        <v>1640.8583214934999</v>
      </c>
      <c r="M5282">
        <v>32.1485978383283</v>
      </c>
      <c r="N5282">
        <v>51.271846052939097</v>
      </c>
      <c r="O5282">
        <v>50.843539349549097</v>
      </c>
      <c r="P5282">
        <v>-0.14737484827866401</v>
      </c>
      <c r="Q5282">
        <v>6.7701570959520702E-2</v>
      </c>
      <c r="R5282">
        <v>0.96338107779358595</v>
      </c>
      <c r="S5282" t="s">
        <v>11928</v>
      </c>
      <c r="T5282" t="s">
        <v>13290</v>
      </c>
      <c r="U5282" t="s">
        <v>13290</v>
      </c>
      <c r="V5282" t="s">
        <v>13290</v>
      </c>
      <c r="W5282" t="s">
        <v>18522</v>
      </c>
      <c r="X5282">
        <v>8</v>
      </c>
      <c r="Y5282" t="s">
        <v>25001</v>
      </c>
      <c r="Z5282" t="s">
        <v>31612</v>
      </c>
      <c r="AA5282">
        <v>0.41588725177076002</v>
      </c>
      <c r="AB5282" t="str">
        <f>HYPERLINK("Melting_Curves/meltCurve_Q99570_PIK3R4.pdf", "Melting_Curves/meltCurve_Q99570_PIK3R4.pdf")</f>
        <v>Melting_Curves/meltCurve_Q99570_PIK3R4.pdf</v>
      </c>
    </row>
    <row r="5283" spans="1:28" x14ac:dyDescent="0.25">
      <c r="A5283" t="s">
        <v>5287</v>
      </c>
      <c r="B5283">
        <v>0.99252571173614901</v>
      </c>
      <c r="C5283">
        <v>1.0006575891007701</v>
      </c>
      <c r="D5283">
        <v>0.92347294027839499</v>
      </c>
      <c r="E5283">
        <v>0.78129453147012295</v>
      </c>
      <c r="F5283">
        <v>0.72108673526251998</v>
      </c>
      <c r="G5283">
        <v>0.578481912304187</v>
      </c>
      <c r="H5283">
        <v>0.37007866326500599</v>
      </c>
      <c r="I5283">
        <v>0.28783949537574999</v>
      </c>
      <c r="J5283">
        <v>0.254999555768683</v>
      </c>
      <c r="K5283">
        <v>0.21373535952864101</v>
      </c>
      <c r="L5283">
        <v>582.29181375531698</v>
      </c>
      <c r="M5283">
        <v>10.2498612935007</v>
      </c>
      <c r="N5283">
        <v>57.915344571118403</v>
      </c>
      <c r="O5283">
        <v>54.774719261187599</v>
      </c>
      <c r="P5283">
        <v>-4.2643758584433797E-2</v>
      </c>
      <c r="Q5283">
        <v>8.8859217866394197E-2</v>
      </c>
      <c r="R5283">
        <v>0.99243133964673302</v>
      </c>
      <c r="S5283" t="s">
        <v>11929</v>
      </c>
      <c r="T5283" t="s">
        <v>13290</v>
      </c>
      <c r="U5283" t="s">
        <v>13290</v>
      </c>
      <c r="V5283" t="s">
        <v>13290</v>
      </c>
      <c r="W5283" t="s">
        <v>18523</v>
      </c>
      <c r="X5283">
        <v>9</v>
      </c>
      <c r="Y5283" t="s">
        <v>25002</v>
      </c>
      <c r="Z5283" t="s">
        <v>31613</v>
      </c>
      <c r="AA5283">
        <v>0.61493526134164822</v>
      </c>
      <c r="AB5283" t="str">
        <f>HYPERLINK("Melting_Curves/meltCurve_Q99574_SERPINI1.pdf", "Melting_Curves/meltCurve_Q99574_SERPINI1.pdf")</f>
        <v>Melting_Curves/meltCurve_Q99574_SERPINI1.pdf</v>
      </c>
    </row>
    <row r="5284" spans="1:28" x14ac:dyDescent="0.25">
      <c r="A5284" t="s">
        <v>5288</v>
      </c>
      <c r="B5284">
        <v>0.99252571173614901</v>
      </c>
      <c r="C5284">
        <v>0.89480596165584503</v>
      </c>
      <c r="D5284">
        <v>1.3672901559911399</v>
      </c>
      <c r="E5284">
        <v>1.7064493871042199</v>
      </c>
      <c r="F5284">
        <v>1.3915866787062801</v>
      </c>
      <c r="G5284">
        <v>0.57222215779883001</v>
      </c>
      <c r="H5284">
        <v>0.20599426568485599</v>
      </c>
      <c r="I5284">
        <v>0.203964560265853</v>
      </c>
      <c r="J5284">
        <v>0.27821047599314902</v>
      </c>
      <c r="K5284">
        <v>0.30849335767192998</v>
      </c>
      <c r="L5284">
        <v>14184.0519099009</v>
      </c>
      <c r="M5284">
        <v>250</v>
      </c>
      <c r="N5284">
        <v>56.893174095033203</v>
      </c>
      <c r="O5284">
        <v>56.732576928387402</v>
      </c>
      <c r="P5284">
        <v>-0.82716402937354705</v>
      </c>
      <c r="Q5284">
        <v>0.24916565041253</v>
      </c>
      <c r="R5284">
        <v>0.71319291158570497</v>
      </c>
      <c r="S5284" t="s">
        <v>11930</v>
      </c>
      <c r="T5284" t="s">
        <v>13290</v>
      </c>
      <c r="U5284" t="s">
        <v>13290</v>
      </c>
      <c r="V5284" t="s">
        <v>13290</v>
      </c>
      <c r="W5284" t="s">
        <v>18524</v>
      </c>
      <c r="X5284">
        <v>5</v>
      </c>
      <c r="Y5284" t="s">
        <v>25003</v>
      </c>
      <c r="Z5284" t="s">
        <v>31614</v>
      </c>
      <c r="AA5284">
        <v>0.66811106444882251</v>
      </c>
      <c r="AB5284" t="str">
        <f>HYPERLINK("Melting_Curves/meltCurve_Q99575_POP1.pdf", "Melting_Curves/meltCurve_Q99575_POP1.pdf")</f>
        <v>Melting_Curves/meltCurve_Q99575_POP1.pdf</v>
      </c>
    </row>
    <row r="5285" spans="1:28" x14ac:dyDescent="0.25">
      <c r="A5285" t="s">
        <v>5289</v>
      </c>
      <c r="B5285">
        <v>0.99252571173614901</v>
      </c>
      <c r="C5285">
        <v>1.0262123067925499</v>
      </c>
      <c r="D5285">
        <v>0.85971652722286296</v>
      </c>
      <c r="E5285">
        <v>0.98509953363908498</v>
      </c>
      <c r="F5285">
        <v>0.49681526773368001</v>
      </c>
      <c r="G5285">
        <v>0.34796731770558997</v>
      </c>
      <c r="H5285">
        <v>0.31784906895556098</v>
      </c>
      <c r="I5285">
        <v>0.45221335510183502</v>
      </c>
      <c r="J5285">
        <v>0.69927185280331705</v>
      </c>
      <c r="K5285">
        <v>0.70748842744992602</v>
      </c>
      <c r="L5285">
        <v>12572.384492654501</v>
      </c>
      <c r="M5285">
        <v>250</v>
      </c>
      <c r="O5285">
        <v>50.286328903575303</v>
      </c>
      <c r="P5285">
        <v>-0.61696602252378296</v>
      </c>
      <c r="Q5285">
        <v>0.50360078915596496</v>
      </c>
      <c r="R5285">
        <v>0.75872753881598398</v>
      </c>
      <c r="S5285" t="s">
        <v>11931</v>
      </c>
      <c r="T5285" t="s">
        <v>13290</v>
      </c>
      <c r="U5285" t="s">
        <v>13290</v>
      </c>
      <c r="V5285" t="s">
        <v>13290</v>
      </c>
      <c r="W5285" t="s">
        <v>18525</v>
      </c>
      <c r="X5285">
        <v>5</v>
      </c>
      <c r="Y5285" t="s">
        <v>25004</v>
      </c>
      <c r="Z5285" t="s">
        <v>31615</v>
      </c>
      <c r="AA5285">
        <v>0.67390188432354658</v>
      </c>
      <c r="AB5285" t="str">
        <f>HYPERLINK("Melting_Curves/meltCurve_Q99583_MNT.pdf", "Melting_Curves/meltCurve_Q99583_MNT.pdf")</f>
        <v>Melting_Curves/meltCurve_Q99583_MNT.pdf</v>
      </c>
    </row>
    <row r="5286" spans="1:28" x14ac:dyDescent="0.25">
      <c r="A5286" t="s">
        <v>5290</v>
      </c>
      <c r="B5286">
        <v>0.99252571173614901</v>
      </c>
      <c r="C5286">
        <v>1.06017486209693</v>
      </c>
      <c r="D5286">
        <v>0.99184298348259503</v>
      </c>
      <c r="E5286">
        <v>0.87477492980451699</v>
      </c>
      <c r="F5286">
        <v>0.73073349475367999</v>
      </c>
      <c r="G5286">
        <v>0.59620225824649797</v>
      </c>
      <c r="H5286">
        <v>0.43448956290028501</v>
      </c>
      <c r="I5286">
        <v>0.43371918189140102</v>
      </c>
      <c r="J5286">
        <v>0.51234062245918099</v>
      </c>
      <c r="K5286">
        <v>0.51178487088974101</v>
      </c>
      <c r="L5286">
        <v>1169.24273549646</v>
      </c>
      <c r="M5286">
        <v>22.082938262464399</v>
      </c>
      <c r="N5286">
        <v>60.532862515473902</v>
      </c>
      <c r="O5286">
        <v>52.5193371348714</v>
      </c>
      <c r="P5286">
        <v>-5.5863310418924401E-2</v>
      </c>
      <c r="Q5286">
        <v>0.46857813435368301</v>
      </c>
      <c r="R5286">
        <v>0.97245242130019405</v>
      </c>
      <c r="S5286" t="s">
        <v>11932</v>
      </c>
      <c r="T5286" t="s">
        <v>13290</v>
      </c>
      <c r="U5286" t="s">
        <v>13290</v>
      </c>
      <c r="V5286" t="s">
        <v>13290</v>
      </c>
      <c r="W5286" t="s">
        <v>18526</v>
      </c>
      <c r="X5286">
        <v>10</v>
      </c>
      <c r="Y5286" t="s">
        <v>25005</v>
      </c>
      <c r="Z5286" t="s">
        <v>31616</v>
      </c>
      <c r="AA5286">
        <v>0.70408146543582861</v>
      </c>
      <c r="AB5286" t="str">
        <f>HYPERLINK("Melting_Curves/meltCurve_Q99584_S100A13.pdf", "Melting_Curves/meltCurve_Q99584_S100A13.pdf")</f>
        <v>Melting_Curves/meltCurve_Q99584_S100A13.pdf</v>
      </c>
    </row>
    <row r="5287" spans="1:28" x14ac:dyDescent="0.25">
      <c r="A5287" t="s">
        <v>5291</v>
      </c>
      <c r="B5287">
        <v>0.99252571173614901</v>
      </c>
      <c r="C5287">
        <v>1.2255309771699101</v>
      </c>
      <c r="D5287">
        <v>0.94078459371809797</v>
      </c>
      <c r="E5287">
        <v>1.17605646945443</v>
      </c>
      <c r="F5287">
        <v>0.92345320315267798</v>
      </c>
      <c r="G5287">
        <v>0.84341508868321502</v>
      </c>
      <c r="H5287">
        <v>0.98027585008353302</v>
      </c>
      <c r="I5287">
        <v>1.0936135686400701</v>
      </c>
      <c r="J5287">
        <v>1.30113556120082</v>
      </c>
      <c r="K5287">
        <v>1.4131864777872201</v>
      </c>
      <c r="L5287">
        <v>3153.46466008056</v>
      </c>
      <c r="M5287">
        <v>47.849928173506797</v>
      </c>
      <c r="O5287">
        <v>65.788426767981704</v>
      </c>
      <c r="P5287">
        <v>7.92763219135664E-2</v>
      </c>
      <c r="Q5287">
        <v>1.4359847047413401</v>
      </c>
      <c r="R5287">
        <v>0.61997977329069398</v>
      </c>
      <c r="S5287" t="s">
        <v>11933</v>
      </c>
      <c r="T5287" t="s">
        <v>13290</v>
      </c>
      <c r="U5287" t="s">
        <v>13290</v>
      </c>
      <c r="V5287" t="s">
        <v>13290</v>
      </c>
      <c r="W5287" t="s">
        <v>18527</v>
      </c>
      <c r="X5287">
        <v>1</v>
      </c>
      <c r="Y5287" t="s">
        <v>25006</v>
      </c>
      <c r="Z5287" t="s">
        <v>31617</v>
      </c>
      <c r="AA5287">
        <v>1.0595500661921451</v>
      </c>
      <c r="AB5287" t="str">
        <f>HYPERLINK("Melting_Curves/meltCurve_Q99592_ZBTB18.pdf", "Melting_Curves/meltCurve_Q99592_ZBTB18.pdf")</f>
        <v>Melting_Curves/meltCurve_Q99592_ZBTB18.pdf</v>
      </c>
    </row>
    <row r="5288" spans="1:28" x14ac:dyDescent="0.25">
      <c r="A5288" t="s">
        <v>5292</v>
      </c>
      <c r="B5288">
        <v>0.99252571173614901</v>
      </c>
      <c r="C5288">
        <v>0.93138850296932696</v>
      </c>
      <c r="D5288">
        <v>0.85104548423416004</v>
      </c>
      <c r="E5288">
        <v>0.730482729162795</v>
      </c>
      <c r="F5288">
        <v>0.684761800181517</v>
      </c>
      <c r="G5288">
        <v>0.51393564404658398</v>
      </c>
      <c r="H5288">
        <v>0.42436345822805999</v>
      </c>
      <c r="I5288">
        <v>0.34604072085527798</v>
      </c>
      <c r="J5288">
        <v>0.20510113576057001</v>
      </c>
      <c r="K5288">
        <v>0.13716522217357</v>
      </c>
      <c r="L5288">
        <v>455.11807992072198</v>
      </c>
      <c r="M5288">
        <v>7.9401655836765404</v>
      </c>
      <c r="N5288">
        <v>57.318481843616198</v>
      </c>
      <c r="O5288">
        <v>54.024945353203499</v>
      </c>
      <c r="P5288">
        <v>-3.67857937434913E-2</v>
      </c>
      <c r="Q5288">
        <v>0</v>
      </c>
      <c r="R5288">
        <v>0.98577778527142201</v>
      </c>
      <c r="S5288" t="s">
        <v>11934</v>
      </c>
      <c r="T5288" t="s">
        <v>13290</v>
      </c>
      <c r="U5288" t="s">
        <v>13290</v>
      </c>
      <c r="V5288" t="s">
        <v>13290</v>
      </c>
      <c r="W5288" t="s">
        <v>18528</v>
      </c>
      <c r="X5288">
        <v>1</v>
      </c>
      <c r="Y5288" t="s">
        <v>25007</v>
      </c>
      <c r="Z5288" t="s">
        <v>31618</v>
      </c>
      <c r="AA5288">
        <v>0.58644993455819294</v>
      </c>
      <c r="AB5288" t="str">
        <f>HYPERLINK("Melting_Curves/meltCurve_Q99595_TIMM17A.pdf", "Melting_Curves/meltCurve_Q99595_TIMM17A.pdf")</f>
        <v>Melting_Curves/meltCurve_Q99595_TIMM17A.pdf</v>
      </c>
    </row>
    <row r="5289" spans="1:28" x14ac:dyDescent="0.25">
      <c r="A5289" t="s">
        <v>5293</v>
      </c>
      <c r="B5289">
        <v>0.99252571173614901</v>
      </c>
      <c r="C5289">
        <v>0.96789224990823097</v>
      </c>
      <c r="D5289">
        <v>1.04598048003121</v>
      </c>
      <c r="E5289">
        <v>1.0414697057956399</v>
      </c>
      <c r="F5289">
        <v>0.94394475318556403</v>
      </c>
      <c r="G5289">
        <v>0.703612455767895</v>
      </c>
      <c r="H5289">
        <v>0.58468817318075295</v>
      </c>
      <c r="I5289">
        <v>0.392404992052858</v>
      </c>
      <c r="J5289">
        <v>0.17171389213846899</v>
      </c>
      <c r="K5289">
        <v>0.16006716698081</v>
      </c>
      <c r="L5289">
        <v>931.55069693615701</v>
      </c>
      <c r="M5289">
        <v>15.124519538001101</v>
      </c>
      <c r="N5289">
        <v>61.592085264302099</v>
      </c>
      <c r="O5289">
        <v>60.545432374655498</v>
      </c>
      <c r="P5289">
        <v>-6.24572161542985E-2</v>
      </c>
      <c r="Q5289">
        <v>0</v>
      </c>
      <c r="R5289">
        <v>0.98195743608594999</v>
      </c>
      <c r="S5289" t="s">
        <v>11935</v>
      </c>
      <c r="T5289" t="s">
        <v>13290</v>
      </c>
      <c r="U5289" t="s">
        <v>13290</v>
      </c>
      <c r="V5289" t="s">
        <v>13290</v>
      </c>
      <c r="W5289" t="s">
        <v>18529</v>
      </c>
      <c r="X5289">
        <v>17</v>
      </c>
      <c r="Y5289" t="s">
        <v>25008</v>
      </c>
      <c r="Z5289" t="s">
        <v>31619</v>
      </c>
      <c r="AA5289">
        <v>0.71941373024981914</v>
      </c>
      <c r="AB5289" t="str">
        <f>HYPERLINK("Melting_Curves/meltCurve_Q99598_TSNAX.pdf", "Melting_Curves/meltCurve_Q99598_TSNAX.pdf")</f>
        <v>Melting_Curves/meltCurve_Q99598_TSNAX.pdf</v>
      </c>
    </row>
    <row r="5290" spans="1:28" x14ac:dyDescent="0.25">
      <c r="A5290" t="s">
        <v>5294</v>
      </c>
      <c r="B5290">
        <v>0.99252571173614901</v>
      </c>
      <c r="C5290">
        <v>1.0043389254223301</v>
      </c>
      <c r="D5290">
        <v>1.01045830836621</v>
      </c>
      <c r="E5290">
        <v>0.94606005836491702</v>
      </c>
      <c r="F5290">
        <v>0.85439676044935298</v>
      </c>
      <c r="G5290">
        <v>0.76333417688163996</v>
      </c>
      <c r="H5290">
        <v>0.72185696795268095</v>
      </c>
      <c r="I5290">
        <v>0.82485376924210896</v>
      </c>
      <c r="J5290">
        <v>0.70966790156160098</v>
      </c>
      <c r="K5290">
        <v>0.38135873971753198</v>
      </c>
      <c r="L5290">
        <v>464.77681665029297</v>
      </c>
      <c r="M5290">
        <v>6.5111522883738404</v>
      </c>
      <c r="O5290">
        <v>65.544923571086898</v>
      </c>
      <c r="P5290">
        <v>-2.4894635120649398E-2</v>
      </c>
      <c r="Q5290">
        <v>0</v>
      </c>
      <c r="R5290">
        <v>0.80050048791297901</v>
      </c>
      <c r="S5290" t="s">
        <v>11936</v>
      </c>
      <c r="T5290" t="s">
        <v>13290</v>
      </c>
      <c r="U5290" t="s">
        <v>13290</v>
      </c>
      <c r="V5290" t="s">
        <v>13290</v>
      </c>
      <c r="W5290" t="s">
        <v>18530</v>
      </c>
      <c r="X5290">
        <v>9</v>
      </c>
      <c r="Y5290" t="s">
        <v>25009</v>
      </c>
      <c r="Z5290" t="s">
        <v>31620</v>
      </c>
      <c r="AA5290">
        <v>0.83267878292536546</v>
      </c>
      <c r="AB5290" t="str">
        <f>HYPERLINK("Melting_Curves/meltCurve_Q99611_SEPHS2.pdf", "Melting_Curves/meltCurve_Q99611_SEPHS2.pdf")</f>
        <v>Melting_Curves/meltCurve_Q99611_SEPHS2.pdf</v>
      </c>
    </row>
    <row r="5291" spans="1:28" x14ac:dyDescent="0.25">
      <c r="A5291" t="s">
        <v>5295</v>
      </c>
      <c r="B5291">
        <v>0.99252571173614901</v>
      </c>
      <c r="C5291">
        <v>1.07171579786138</v>
      </c>
      <c r="D5291">
        <v>0.99451804837088997</v>
      </c>
      <c r="E5291">
        <v>0.95945927447158097</v>
      </c>
      <c r="F5291">
        <v>0.77468432323094505</v>
      </c>
      <c r="G5291">
        <v>0.68248373479468505</v>
      </c>
      <c r="H5291">
        <v>0.54287912015131101</v>
      </c>
      <c r="I5291">
        <v>0.66517579906090596</v>
      </c>
      <c r="J5291">
        <v>1.2536653656274801</v>
      </c>
      <c r="K5291">
        <v>1.37353895113248</v>
      </c>
      <c r="L5291">
        <v>15000</v>
      </c>
      <c r="M5291">
        <v>224.29534480622101</v>
      </c>
      <c r="O5291">
        <v>66.870792740701901</v>
      </c>
      <c r="P5291">
        <v>0.31326633084383898</v>
      </c>
      <c r="Q5291">
        <v>1.3735854233645299</v>
      </c>
      <c r="R5291">
        <v>0.245873706910927</v>
      </c>
      <c r="S5291" t="s">
        <v>11937</v>
      </c>
      <c r="T5291" t="s">
        <v>13290</v>
      </c>
      <c r="U5291" t="s">
        <v>13290</v>
      </c>
      <c r="V5291" t="s">
        <v>13290</v>
      </c>
      <c r="W5291" t="s">
        <v>18531</v>
      </c>
      <c r="X5291">
        <v>12</v>
      </c>
      <c r="Y5291" t="s">
        <v>25010</v>
      </c>
      <c r="Z5291" t="s">
        <v>31621</v>
      </c>
      <c r="AA5291">
        <v>1.038847043705589</v>
      </c>
      <c r="AB5291" t="str">
        <f>HYPERLINK("Melting_Curves/meltCurve_Q99614_TTC1.pdf", "Melting_Curves/meltCurve_Q99614_TTC1.pdf")</f>
        <v>Melting_Curves/meltCurve_Q99614_TTC1.pdf</v>
      </c>
    </row>
    <row r="5292" spans="1:28" x14ac:dyDescent="0.25">
      <c r="A5292" t="s">
        <v>5296</v>
      </c>
      <c r="B5292">
        <v>0.99252571173614901</v>
      </c>
      <c r="C5292">
        <v>1.15479761559275</v>
      </c>
      <c r="D5292">
        <v>0.72423263361335399</v>
      </c>
      <c r="E5292">
        <v>0.37833152581787199</v>
      </c>
      <c r="F5292">
        <v>0.13352836326126999</v>
      </c>
      <c r="G5292">
        <v>8.3355343908336904E-2</v>
      </c>
      <c r="H5292">
        <v>6.4009411173476999E-2</v>
      </c>
      <c r="I5292">
        <v>6.6422053178175303E-2</v>
      </c>
      <c r="J5292">
        <v>7.5234278075558894E-2</v>
      </c>
      <c r="K5292">
        <v>7.5194716327970798E-2</v>
      </c>
      <c r="L5292">
        <v>1335.44062400094</v>
      </c>
      <c r="M5292">
        <v>27.7746256877811</v>
      </c>
      <c r="N5292">
        <v>48.351585545379301</v>
      </c>
      <c r="O5292">
        <v>47.834146166680299</v>
      </c>
      <c r="P5292">
        <v>-0.13472530811380201</v>
      </c>
      <c r="Q5292">
        <v>7.1899293488110499E-2</v>
      </c>
      <c r="R5292">
        <v>0.97505289961340003</v>
      </c>
      <c r="S5292" t="s">
        <v>11938</v>
      </c>
      <c r="T5292" t="s">
        <v>13290</v>
      </c>
      <c r="U5292" t="s">
        <v>13290</v>
      </c>
      <c r="V5292" t="s">
        <v>13290</v>
      </c>
      <c r="W5292" t="s">
        <v>18532</v>
      </c>
      <c r="X5292">
        <v>38</v>
      </c>
      <c r="Y5292" t="s">
        <v>25011</v>
      </c>
      <c r="Z5292" t="s">
        <v>31622</v>
      </c>
      <c r="AA5292">
        <v>0.32847714237433129</v>
      </c>
      <c r="AB5292" t="str">
        <f>HYPERLINK("Melting_Curves/meltCurve_Q99615_DNAJC7.pdf", "Melting_Curves/meltCurve_Q99615_DNAJC7.pdf")</f>
        <v>Melting_Curves/meltCurve_Q99615_DNAJC7.pdf</v>
      </c>
    </row>
    <row r="5293" spans="1:28" x14ac:dyDescent="0.25">
      <c r="A5293" t="s">
        <v>5297</v>
      </c>
      <c r="B5293">
        <v>0.99252571173614901</v>
      </c>
      <c r="C5293">
        <v>1.08705672015484</v>
      </c>
      <c r="D5293">
        <v>0.993105451643018</v>
      </c>
      <c r="E5293">
        <v>1.0904675291763599</v>
      </c>
      <c r="F5293">
        <v>0.88169307524827001</v>
      </c>
      <c r="G5293">
        <v>0.68514856928151602</v>
      </c>
      <c r="H5293">
        <v>0.69459989349903595</v>
      </c>
      <c r="I5293">
        <v>1.00627847250361</v>
      </c>
      <c r="J5293">
        <v>1.7279106992283799</v>
      </c>
      <c r="K5293">
        <v>1.6794310828441401</v>
      </c>
      <c r="L5293">
        <v>15000</v>
      </c>
      <c r="M5293">
        <v>230.750179539654</v>
      </c>
      <c r="O5293">
        <v>65.000483727211005</v>
      </c>
      <c r="P5293">
        <v>0.44374704381189001</v>
      </c>
      <c r="Q5293">
        <v>1.5</v>
      </c>
      <c r="R5293">
        <v>0.73186616435768703</v>
      </c>
      <c r="S5293" t="s">
        <v>11939</v>
      </c>
      <c r="T5293" t="s">
        <v>13290</v>
      </c>
      <c r="U5293" t="s">
        <v>13290</v>
      </c>
      <c r="V5293" t="s">
        <v>13290</v>
      </c>
      <c r="W5293" t="s">
        <v>18533</v>
      </c>
      <c r="X5293">
        <v>7</v>
      </c>
      <c r="Y5293" t="s">
        <v>25012</v>
      </c>
      <c r="Z5293" t="s">
        <v>31623</v>
      </c>
      <c r="AA5293">
        <v>1.083176932992832</v>
      </c>
      <c r="AB5293" t="str">
        <f>HYPERLINK("Melting_Curves/meltCurve_Q99618_CDCA3.pdf", "Melting_Curves/meltCurve_Q99618_CDCA3.pdf")</f>
        <v>Melting_Curves/meltCurve_Q99618_CDCA3.pdf</v>
      </c>
    </row>
    <row r="5294" spans="1:28" x14ac:dyDescent="0.25">
      <c r="A5294" t="s">
        <v>5298</v>
      </c>
      <c r="B5294">
        <v>0.99252571173614901</v>
      </c>
      <c r="C5294">
        <v>0.94402875287065302</v>
      </c>
      <c r="D5294">
        <v>0.59547617459994595</v>
      </c>
      <c r="E5294">
        <v>0.28395164490996</v>
      </c>
      <c r="F5294">
        <v>0.12768509070227699</v>
      </c>
      <c r="G5294">
        <v>9.2932649484361807E-2</v>
      </c>
      <c r="H5294">
        <v>7.5791795360652295E-2</v>
      </c>
      <c r="I5294">
        <v>8.5257768960317407E-2</v>
      </c>
      <c r="J5294">
        <v>0.11296328111363001</v>
      </c>
      <c r="K5294">
        <v>0.127600926115265</v>
      </c>
      <c r="L5294">
        <v>1196.31569014723</v>
      </c>
      <c r="M5294">
        <v>25.676170945168099</v>
      </c>
      <c r="N5294">
        <v>46.993298324861001</v>
      </c>
      <c r="O5294">
        <v>46.312583090446701</v>
      </c>
      <c r="P5294">
        <v>-0.12497365851771</v>
      </c>
      <c r="Q5294">
        <v>9.8341755469770906E-2</v>
      </c>
      <c r="R5294">
        <v>0.99597898155003906</v>
      </c>
      <c r="S5294" t="s">
        <v>11940</v>
      </c>
      <c r="T5294" t="s">
        <v>13290</v>
      </c>
      <c r="U5294" t="s">
        <v>13290</v>
      </c>
      <c r="V5294" t="s">
        <v>13290</v>
      </c>
      <c r="W5294" t="s">
        <v>18534</v>
      </c>
      <c r="X5294">
        <v>4</v>
      </c>
      <c r="Y5294" t="s">
        <v>25013</v>
      </c>
      <c r="Z5294" t="s">
        <v>31624</v>
      </c>
      <c r="AA5294">
        <v>0.30413974526289389</v>
      </c>
      <c r="AB5294" t="str">
        <f>HYPERLINK("Melting_Curves/meltCurve_Q99622_C12orf57.pdf", "Melting_Curves/meltCurve_Q99622_C12orf57.pdf")</f>
        <v>Melting_Curves/meltCurve_Q99622_C12orf57.pdf</v>
      </c>
    </row>
    <row r="5295" spans="1:28" x14ac:dyDescent="0.25">
      <c r="A5295" t="s">
        <v>5299</v>
      </c>
      <c r="B5295">
        <v>0.99252571173614901</v>
      </c>
      <c r="C5295">
        <v>0.911787453696141</v>
      </c>
      <c r="D5295">
        <v>0.98885354253541602</v>
      </c>
      <c r="E5295">
        <v>0.98218989314578498</v>
      </c>
      <c r="F5295">
        <v>0.75737275127243797</v>
      </c>
      <c r="G5295">
        <v>0.44683710881264199</v>
      </c>
      <c r="H5295">
        <v>0.28603918872669698</v>
      </c>
      <c r="I5295">
        <v>0.26920569589622101</v>
      </c>
      <c r="J5295">
        <v>0.31959715773705499</v>
      </c>
      <c r="K5295">
        <v>0.20305601879881399</v>
      </c>
      <c r="L5295">
        <v>1582.5161261524299</v>
      </c>
      <c r="M5295">
        <v>28.972668114529899</v>
      </c>
      <c r="N5295">
        <v>56.017124690294303</v>
      </c>
      <c r="O5295">
        <v>54.362768092451503</v>
      </c>
      <c r="P5295">
        <v>-9.8978712341651495E-2</v>
      </c>
      <c r="Q5295">
        <v>0.25713206771508801</v>
      </c>
      <c r="R5295">
        <v>0.98558827431577301</v>
      </c>
      <c r="S5295" t="s">
        <v>11941</v>
      </c>
      <c r="T5295" t="s">
        <v>13290</v>
      </c>
      <c r="U5295" t="s">
        <v>13290</v>
      </c>
      <c r="V5295" t="s">
        <v>13290</v>
      </c>
      <c r="W5295" t="s">
        <v>18535</v>
      </c>
      <c r="X5295">
        <v>24</v>
      </c>
      <c r="Y5295" t="s">
        <v>25014</v>
      </c>
      <c r="Z5295" t="s">
        <v>31625</v>
      </c>
      <c r="AA5295">
        <v>0.62442807627784513</v>
      </c>
      <c r="AB5295" t="str">
        <f>HYPERLINK("Melting_Curves/meltCurve_Q99623_PHB2.pdf", "Melting_Curves/meltCurve_Q99623_PHB2.pdf")</f>
        <v>Melting_Curves/meltCurve_Q99623_PHB2.pdf</v>
      </c>
    </row>
    <row r="5296" spans="1:28" x14ac:dyDescent="0.25">
      <c r="A5296" t="s">
        <v>5300</v>
      </c>
      <c r="B5296">
        <v>0.99252571173614901</v>
      </c>
      <c r="C5296">
        <v>0.88584461988416996</v>
      </c>
      <c r="D5296">
        <v>1.2147360779693299</v>
      </c>
      <c r="E5296">
        <v>1.2586218517499199</v>
      </c>
      <c r="F5296">
        <v>1.0432223073336999</v>
      </c>
      <c r="G5296">
        <v>0.40542912837495199</v>
      </c>
      <c r="H5296">
        <v>0.81444825136042198</v>
      </c>
      <c r="I5296">
        <v>0.31579301376573399</v>
      </c>
      <c r="J5296">
        <v>0.17541428394525099</v>
      </c>
      <c r="K5296">
        <v>0.14950389845466899</v>
      </c>
      <c r="L5296">
        <v>932.22209932471696</v>
      </c>
      <c r="M5296">
        <v>15.126950095311701</v>
      </c>
      <c r="N5296">
        <v>61.626573333925997</v>
      </c>
      <c r="O5296">
        <v>60.579658676575399</v>
      </c>
      <c r="P5296">
        <v>-6.2431953779415197E-2</v>
      </c>
      <c r="Q5296">
        <v>0</v>
      </c>
      <c r="R5296">
        <v>0.77062403190949902</v>
      </c>
      <c r="S5296" t="s">
        <v>11942</v>
      </c>
      <c r="T5296" t="s">
        <v>13290</v>
      </c>
      <c r="U5296" t="s">
        <v>13290</v>
      </c>
      <c r="V5296" t="s">
        <v>13290</v>
      </c>
      <c r="W5296" t="s">
        <v>18536</v>
      </c>
      <c r="X5296">
        <v>5</v>
      </c>
      <c r="Y5296" t="s">
        <v>25015</v>
      </c>
      <c r="Z5296" t="s">
        <v>31626</v>
      </c>
      <c r="AA5296">
        <v>0.72038383284961827</v>
      </c>
      <c r="AB5296" t="str">
        <f>HYPERLINK("Melting_Curves/meltCurve_Q99627_COPS8.pdf", "Melting_Curves/meltCurve_Q99627_COPS8.pdf")</f>
        <v>Melting_Curves/meltCurve_Q99627_COPS8.pdf</v>
      </c>
    </row>
    <row r="5297" spans="1:28" x14ac:dyDescent="0.25">
      <c r="A5297" t="s">
        <v>5301</v>
      </c>
      <c r="B5297">
        <v>0.99252571173614901</v>
      </c>
      <c r="C5297">
        <v>1.0268351785723799</v>
      </c>
      <c r="D5297">
        <v>0.80924692811556198</v>
      </c>
      <c r="E5297">
        <v>0.457623086970329</v>
      </c>
      <c r="F5297">
        <v>0.179585733895679</v>
      </c>
      <c r="G5297">
        <v>0.120872841865033</v>
      </c>
      <c r="H5297">
        <v>0.10516875601076101</v>
      </c>
      <c r="I5297">
        <v>0.132618171377617</v>
      </c>
      <c r="J5297">
        <v>0.17254874720388899</v>
      </c>
      <c r="K5297">
        <v>0.18168327391362099</v>
      </c>
      <c r="L5297">
        <v>1358.4675186699001</v>
      </c>
      <c r="M5297">
        <v>28.043336477333501</v>
      </c>
      <c r="N5297">
        <v>49.002754790073404</v>
      </c>
      <c r="O5297">
        <v>48.1974233734351</v>
      </c>
      <c r="P5297">
        <v>-0.12548822276240101</v>
      </c>
      <c r="Q5297">
        <v>0.13731308649507801</v>
      </c>
      <c r="R5297">
        <v>0.992307503980005</v>
      </c>
      <c r="S5297" t="s">
        <v>11943</v>
      </c>
      <c r="T5297" t="s">
        <v>13290</v>
      </c>
      <c r="U5297" t="s">
        <v>13290</v>
      </c>
      <c r="V5297" t="s">
        <v>13290</v>
      </c>
      <c r="W5297" t="s">
        <v>18537</v>
      </c>
      <c r="X5297">
        <v>6</v>
      </c>
      <c r="Y5297" t="s">
        <v>25016</v>
      </c>
      <c r="Z5297" t="s">
        <v>31627</v>
      </c>
      <c r="AA5297">
        <v>0.38606468225985568</v>
      </c>
      <c r="AB5297" t="str">
        <f>HYPERLINK("Melting_Curves/meltCurve_Q99633_PRPF18.pdf", "Melting_Curves/meltCurve_Q99633_PRPF18.pdf")</f>
        <v>Melting_Curves/meltCurve_Q99633_PRPF18.pdf</v>
      </c>
    </row>
    <row r="5298" spans="1:28" x14ac:dyDescent="0.25">
      <c r="A5298" t="s">
        <v>5302</v>
      </c>
      <c r="B5298">
        <v>0.99252571173614901</v>
      </c>
      <c r="C5298">
        <v>1.0434695936396201</v>
      </c>
      <c r="D5298">
        <v>0.90936229675412195</v>
      </c>
      <c r="E5298">
        <v>0.89698941008946698</v>
      </c>
      <c r="F5298">
        <v>0.65231449431237598</v>
      </c>
      <c r="G5298">
        <v>0.43279655624066299</v>
      </c>
      <c r="H5298">
        <v>0.29206930545284199</v>
      </c>
      <c r="I5298">
        <v>0.27780407688053999</v>
      </c>
      <c r="J5298">
        <v>0.21915251422938201</v>
      </c>
      <c r="K5298">
        <v>0.205616375619421</v>
      </c>
      <c r="L5298">
        <v>978.65175554676898</v>
      </c>
      <c r="M5298">
        <v>18.108691396507499</v>
      </c>
      <c r="N5298">
        <v>55.655759332856199</v>
      </c>
      <c r="O5298">
        <v>53.3970875921705</v>
      </c>
      <c r="P5298">
        <v>-6.7479808715129999E-2</v>
      </c>
      <c r="Q5298">
        <v>0.20412765990061699</v>
      </c>
      <c r="R5298">
        <v>0.99255124654710503</v>
      </c>
      <c r="S5298" t="s">
        <v>11944</v>
      </c>
      <c r="T5298" t="s">
        <v>13290</v>
      </c>
      <c r="U5298" t="s">
        <v>13290</v>
      </c>
      <c r="V5298" t="s">
        <v>13290</v>
      </c>
      <c r="W5298" t="s">
        <v>18538</v>
      </c>
      <c r="X5298">
        <v>3</v>
      </c>
      <c r="Y5298" t="s">
        <v>25017</v>
      </c>
      <c r="Z5298" t="s">
        <v>31628</v>
      </c>
      <c r="AA5298">
        <v>0.58928647868901618</v>
      </c>
      <c r="AB5298" t="str">
        <f>HYPERLINK("Melting_Curves/meltCurve_Q99638_RAD9A.pdf", "Melting_Curves/meltCurve_Q99638_RAD9A.pdf")</f>
        <v>Melting_Curves/meltCurve_Q99638_RAD9A.pdf</v>
      </c>
    </row>
    <row r="5299" spans="1:28" x14ac:dyDescent="0.25">
      <c r="A5299" t="s">
        <v>5303</v>
      </c>
      <c r="B5299">
        <v>0.99252571173614901</v>
      </c>
      <c r="C5299">
        <v>1.0197726897851001</v>
      </c>
      <c r="D5299">
        <v>0.96666761606931395</v>
      </c>
      <c r="E5299">
        <v>0.86086005429708201</v>
      </c>
      <c r="F5299">
        <v>0.54505587661641397</v>
      </c>
      <c r="G5299">
        <v>0.28659160540189699</v>
      </c>
      <c r="H5299">
        <v>0.19759283061580099</v>
      </c>
      <c r="I5299">
        <v>0.17979013412877401</v>
      </c>
      <c r="J5299">
        <v>0.19919182684258999</v>
      </c>
      <c r="K5299">
        <v>0.18838426664958999</v>
      </c>
      <c r="L5299">
        <v>1363.99435716117</v>
      </c>
      <c r="M5299">
        <v>25.891311207788199</v>
      </c>
      <c r="N5299">
        <v>53.616612837342103</v>
      </c>
      <c r="O5299">
        <v>52.370314923717103</v>
      </c>
      <c r="P5299">
        <v>-0.101143753875418</v>
      </c>
      <c r="Q5299">
        <v>0.181676692340205</v>
      </c>
      <c r="R5299">
        <v>0.99903419386478398</v>
      </c>
      <c r="S5299" t="s">
        <v>11945</v>
      </c>
      <c r="T5299" t="s">
        <v>13290</v>
      </c>
      <c r="U5299" t="s">
        <v>13290</v>
      </c>
      <c r="V5299" t="s">
        <v>13290</v>
      </c>
      <c r="W5299" t="s">
        <v>18539</v>
      </c>
      <c r="X5299">
        <v>12</v>
      </c>
      <c r="Y5299" t="s">
        <v>25018</v>
      </c>
      <c r="Z5299" t="s">
        <v>31629</v>
      </c>
      <c r="AA5299">
        <v>0.53462862013375279</v>
      </c>
      <c r="AB5299" t="str">
        <f>HYPERLINK("Melting_Curves/meltCurve_Q99653_CHP1.pdf", "Melting_Curves/meltCurve_Q99653_CHP1.pdf")</f>
        <v>Melting_Curves/meltCurve_Q99653_CHP1.pdf</v>
      </c>
    </row>
    <row r="5300" spans="1:28" x14ac:dyDescent="0.25">
      <c r="A5300" t="s">
        <v>5304</v>
      </c>
      <c r="B5300">
        <v>0.99252571173614901</v>
      </c>
      <c r="C5300">
        <v>0.95022246258516196</v>
      </c>
      <c r="D5300">
        <v>0.73303807723780601</v>
      </c>
      <c r="E5300">
        <v>0.40202949784297498</v>
      </c>
      <c r="F5300">
        <v>0.14662386577223499</v>
      </c>
      <c r="G5300">
        <v>8.9822429959399097E-2</v>
      </c>
      <c r="H5300">
        <v>8.3930540413823695E-2</v>
      </c>
      <c r="I5300">
        <v>9.6598590335916695E-2</v>
      </c>
      <c r="J5300">
        <v>0.118276716459849</v>
      </c>
      <c r="K5300">
        <v>0.103830350098502</v>
      </c>
      <c r="L5300">
        <v>1116.5825438884699</v>
      </c>
      <c r="M5300">
        <v>23.298668475188101</v>
      </c>
      <c r="N5300">
        <v>48.3365165363467</v>
      </c>
      <c r="O5300">
        <v>47.575848492698</v>
      </c>
      <c r="P5300">
        <v>-0.111411048095524</v>
      </c>
      <c r="Q5300">
        <v>9.0011060944921895E-2</v>
      </c>
      <c r="R5300">
        <v>0.99734730852173104</v>
      </c>
      <c r="S5300" t="s">
        <v>11946</v>
      </c>
      <c r="T5300" t="s">
        <v>13290</v>
      </c>
      <c r="U5300" t="s">
        <v>13290</v>
      </c>
      <c r="V5300" t="s">
        <v>13290</v>
      </c>
      <c r="W5300" t="s">
        <v>18540</v>
      </c>
      <c r="X5300">
        <v>15</v>
      </c>
      <c r="Y5300" t="s">
        <v>25019</v>
      </c>
      <c r="Z5300" t="s">
        <v>31630</v>
      </c>
      <c r="AA5300">
        <v>0.33974172110978101</v>
      </c>
      <c r="AB5300" t="str">
        <f>HYPERLINK("Melting_Curves/meltCurve_Q99661_KIF2C.pdf", "Melting_Curves/meltCurve_Q99661_KIF2C.pdf")</f>
        <v>Melting_Curves/meltCurve_Q99661_KIF2C.pdf</v>
      </c>
    </row>
    <row r="5301" spans="1:28" x14ac:dyDescent="0.25">
      <c r="A5301" t="s">
        <v>5305</v>
      </c>
      <c r="B5301">
        <v>0.99252571173614901</v>
      </c>
      <c r="C5301">
        <v>1.1165943142964501</v>
      </c>
      <c r="D5301">
        <v>0.90057038340132101</v>
      </c>
      <c r="E5301">
        <v>0.75615575956165804</v>
      </c>
      <c r="F5301">
        <v>0.60383348059469599</v>
      </c>
      <c r="G5301">
        <v>0.426344108515267</v>
      </c>
      <c r="H5301">
        <v>0.40181563498419898</v>
      </c>
      <c r="I5301">
        <v>0.53508009911911503</v>
      </c>
      <c r="J5301">
        <v>0.85271518724092699</v>
      </c>
      <c r="K5301">
        <v>0.854935654422179</v>
      </c>
      <c r="L5301">
        <v>1700.5157786837501</v>
      </c>
      <c r="M5301">
        <v>35.1597290146726</v>
      </c>
      <c r="O5301">
        <v>48.209786207244498</v>
      </c>
      <c r="P5301">
        <v>-7.0649637558733797E-2</v>
      </c>
      <c r="Q5301">
        <v>0.61251215682333404</v>
      </c>
      <c r="R5301">
        <v>0.58438358089785603</v>
      </c>
      <c r="S5301" t="s">
        <v>11947</v>
      </c>
      <c r="T5301" t="s">
        <v>13290</v>
      </c>
      <c r="U5301" t="s">
        <v>13290</v>
      </c>
      <c r="V5301" t="s">
        <v>13290</v>
      </c>
      <c r="W5301" t="s">
        <v>18541</v>
      </c>
      <c r="X5301">
        <v>16</v>
      </c>
      <c r="Y5301" t="s">
        <v>25020</v>
      </c>
      <c r="Z5301" t="s">
        <v>31631</v>
      </c>
      <c r="AA5301">
        <v>0.72225060058841284</v>
      </c>
      <c r="AB5301" t="str">
        <f>HYPERLINK("Melting_Curves/meltCurve_Q99674_CGREF1.pdf", "Melting_Curves/meltCurve_Q99674_CGREF1.pdf")</f>
        <v>Melting_Curves/meltCurve_Q99674_CGREF1.pdf</v>
      </c>
    </row>
    <row r="5302" spans="1:28" x14ac:dyDescent="0.25">
      <c r="A5302" t="s">
        <v>5306</v>
      </c>
      <c r="B5302">
        <v>0.99252571173614901</v>
      </c>
      <c r="C5302">
        <v>0.94916137819841995</v>
      </c>
      <c r="D5302">
        <v>0.91026708387354005</v>
      </c>
      <c r="E5302">
        <v>0.75479998948362004</v>
      </c>
      <c r="F5302">
        <v>0.28493088800030197</v>
      </c>
      <c r="G5302">
        <v>9.9714641057572106E-2</v>
      </c>
      <c r="H5302">
        <v>7.6935013356538906E-2</v>
      </c>
      <c r="I5302">
        <v>6.5954485585637906E-2</v>
      </c>
      <c r="J5302">
        <v>8.1891186120958304E-2</v>
      </c>
      <c r="K5302">
        <v>8.22366826468173E-2</v>
      </c>
      <c r="L5302">
        <v>1524.56756960446</v>
      </c>
      <c r="M5302">
        <v>29.8173414289835</v>
      </c>
      <c r="N5302">
        <v>51.389533386460997</v>
      </c>
      <c r="O5302">
        <v>50.901904281990703</v>
      </c>
      <c r="P5302">
        <v>-0.13621818648907</v>
      </c>
      <c r="Q5302">
        <v>6.9840788621595304E-2</v>
      </c>
      <c r="R5302">
        <v>0.99572992039510499</v>
      </c>
      <c r="S5302" t="s">
        <v>11948</v>
      </c>
      <c r="T5302" t="s">
        <v>13290</v>
      </c>
      <c r="U5302" t="s">
        <v>13290</v>
      </c>
      <c r="V5302" t="s">
        <v>13290</v>
      </c>
      <c r="W5302" t="s">
        <v>18542</v>
      </c>
      <c r="X5302">
        <v>16</v>
      </c>
      <c r="Y5302" t="s">
        <v>25021</v>
      </c>
      <c r="Z5302" t="s">
        <v>31632</v>
      </c>
      <c r="AA5302">
        <v>0.42086986880221439</v>
      </c>
      <c r="AB5302" t="str">
        <f>HYPERLINK("Melting_Curves/meltCurve_Q99700_4_ATXN2.pdf", "Melting_Curves/meltCurve_Q99700_4_ATXN2.pdf")</f>
        <v>Melting_Curves/meltCurve_Q99700_4_ATXN2.pdf</v>
      </c>
    </row>
    <row r="5303" spans="1:28" x14ac:dyDescent="0.25">
      <c r="A5303" t="s">
        <v>5307</v>
      </c>
      <c r="B5303">
        <v>0.99252571173614901</v>
      </c>
      <c r="C5303">
        <v>0.986297970392501</v>
      </c>
      <c r="D5303">
        <v>0.74626004365007603</v>
      </c>
      <c r="E5303">
        <v>0.463903958355319</v>
      </c>
      <c r="F5303">
        <v>0.26442311959367398</v>
      </c>
      <c r="G5303">
        <v>0.18128416650075599</v>
      </c>
      <c r="H5303">
        <v>0.132030451381172</v>
      </c>
      <c r="I5303">
        <v>0.13688362919097799</v>
      </c>
      <c r="J5303">
        <v>0.18153682359223799</v>
      </c>
      <c r="K5303">
        <v>0.16953478203606401</v>
      </c>
      <c r="L5303">
        <v>1024.3857989102401</v>
      </c>
      <c r="M5303">
        <v>21.248631372354701</v>
      </c>
      <c r="N5303">
        <v>49.048755957865801</v>
      </c>
      <c r="O5303">
        <v>47.788595042392402</v>
      </c>
      <c r="P5303">
        <v>-9.4220301705597503E-2</v>
      </c>
      <c r="Q5303">
        <v>0.15240836731240301</v>
      </c>
      <c r="R5303">
        <v>0.995278071915221</v>
      </c>
      <c r="S5303" t="s">
        <v>11949</v>
      </c>
      <c r="T5303" t="s">
        <v>13290</v>
      </c>
      <c r="U5303" t="s">
        <v>13290</v>
      </c>
      <c r="V5303" t="s">
        <v>13290</v>
      </c>
      <c r="W5303" t="s">
        <v>18543</v>
      </c>
      <c r="X5303">
        <v>4</v>
      </c>
      <c r="Y5303" t="s">
        <v>25022</v>
      </c>
      <c r="Z5303" t="s">
        <v>31633</v>
      </c>
      <c r="AA5303">
        <v>0.39491167469453808</v>
      </c>
      <c r="AB5303" t="str">
        <f>HYPERLINK("Melting_Curves/meltCurve_Q99704_DOK1.pdf", "Melting_Curves/meltCurve_Q99704_DOK1.pdf")</f>
        <v>Melting_Curves/meltCurve_Q99704_DOK1.pdf</v>
      </c>
    </row>
    <row r="5304" spans="1:28" x14ac:dyDescent="0.25">
      <c r="A5304" t="s">
        <v>5308</v>
      </c>
      <c r="B5304">
        <v>0.99252571173614901</v>
      </c>
      <c r="C5304">
        <v>0.86549514579993803</v>
      </c>
      <c r="D5304">
        <v>0.69061931430569901</v>
      </c>
      <c r="E5304">
        <v>0.35353442395169898</v>
      </c>
      <c r="F5304">
        <v>0.29684930758175199</v>
      </c>
      <c r="G5304">
        <v>0.20157798672108199</v>
      </c>
      <c r="H5304">
        <v>0.10694473795101</v>
      </c>
      <c r="I5304">
        <v>5.6843762467938701E-2</v>
      </c>
      <c r="J5304">
        <v>5.2158079761106202E-2</v>
      </c>
      <c r="K5304">
        <v>4.8280919526402399E-2</v>
      </c>
      <c r="L5304">
        <v>679.78096851131397</v>
      </c>
      <c r="M5304">
        <v>14.1170942402108</v>
      </c>
      <c r="N5304">
        <v>48.528255854932503</v>
      </c>
      <c r="O5304">
        <v>47.217694186467497</v>
      </c>
      <c r="P5304">
        <v>-7.0889054574359803E-2</v>
      </c>
      <c r="Q5304">
        <v>5.1706051894969102E-2</v>
      </c>
      <c r="R5304">
        <v>0.98783639859629402</v>
      </c>
      <c r="S5304" t="s">
        <v>11950</v>
      </c>
      <c r="T5304" t="s">
        <v>13290</v>
      </c>
      <c r="U5304" t="s">
        <v>13290</v>
      </c>
      <c r="V5304" t="s">
        <v>13290</v>
      </c>
      <c r="W5304" t="s">
        <v>18544</v>
      </c>
      <c r="X5304">
        <v>29</v>
      </c>
      <c r="Y5304" t="s">
        <v>25023</v>
      </c>
      <c r="Z5304" t="s">
        <v>31634</v>
      </c>
      <c r="AA5304">
        <v>0.33667995490691582</v>
      </c>
      <c r="AB5304" t="str">
        <f>HYPERLINK("Melting_Curves/meltCurve_Q99707_MTR.pdf", "Melting_Curves/meltCurve_Q99707_MTR.pdf")</f>
        <v>Melting_Curves/meltCurve_Q99707_MTR.pdf</v>
      </c>
    </row>
    <row r="5305" spans="1:28" x14ac:dyDescent="0.25">
      <c r="A5305" t="s">
        <v>5309</v>
      </c>
      <c r="B5305">
        <v>0.99252571173614901</v>
      </c>
      <c r="C5305">
        <v>0.96456466294212095</v>
      </c>
      <c r="D5305">
        <v>1.1163169152672301</v>
      </c>
      <c r="E5305">
        <v>1.1194054975057599</v>
      </c>
      <c r="F5305">
        <v>1.1313479087323799</v>
      </c>
      <c r="G5305">
        <v>0.52004963527130299</v>
      </c>
      <c r="H5305">
        <v>9.9643411011992603E-2</v>
      </c>
      <c r="I5305">
        <v>6.4091213041103295E-2</v>
      </c>
      <c r="J5305">
        <v>5.5563535122825101E-2</v>
      </c>
      <c r="K5305">
        <v>5.8001467827624997E-2</v>
      </c>
      <c r="L5305">
        <v>14196.431500163</v>
      </c>
      <c r="M5305">
        <v>250</v>
      </c>
      <c r="N5305">
        <v>56.819648422538698</v>
      </c>
      <c r="O5305">
        <v>56.782109395105898</v>
      </c>
      <c r="P5305">
        <v>-1.0243932984491499</v>
      </c>
      <c r="Q5305">
        <v>6.9324885985441606E-2</v>
      </c>
      <c r="R5305">
        <v>0.97872724738616301</v>
      </c>
      <c r="S5305" t="s">
        <v>11951</v>
      </c>
      <c r="T5305" t="s">
        <v>13290</v>
      </c>
      <c r="U5305" t="s">
        <v>13290</v>
      </c>
      <c r="V5305" t="s">
        <v>13290</v>
      </c>
      <c r="W5305" t="s">
        <v>18545</v>
      </c>
      <c r="X5305">
        <v>15</v>
      </c>
      <c r="Y5305" t="s">
        <v>25024</v>
      </c>
      <c r="Z5305" t="s">
        <v>31635</v>
      </c>
      <c r="AA5305">
        <v>0.59015288391590492</v>
      </c>
      <c r="AB5305" t="str">
        <f>HYPERLINK("Melting_Curves/meltCurve_Q99714_HSD17B10.pdf", "Melting_Curves/meltCurve_Q99714_HSD17B10.pdf")</f>
        <v>Melting_Curves/meltCurve_Q99714_HSD17B10.pdf</v>
      </c>
    </row>
    <row r="5306" spans="1:28" x14ac:dyDescent="0.25">
      <c r="A5306" t="s">
        <v>5310</v>
      </c>
      <c r="B5306">
        <v>0.99252571173614901</v>
      </c>
      <c r="C5306">
        <v>0.93178976639815603</v>
      </c>
      <c r="D5306">
        <v>0.99923517440430198</v>
      </c>
      <c r="E5306">
        <v>0.73608838836458801</v>
      </c>
      <c r="F5306">
        <v>0.85781023602444895</v>
      </c>
      <c r="G5306">
        <v>0.622628142770834</v>
      </c>
      <c r="H5306">
        <v>0.72256823473756604</v>
      </c>
      <c r="I5306">
        <v>0.49503844699420302</v>
      </c>
      <c r="J5306">
        <v>0.77348817157271199</v>
      </c>
      <c r="K5306">
        <v>0.70713973535865904</v>
      </c>
      <c r="L5306">
        <v>863.974970576641</v>
      </c>
      <c r="M5306">
        <v>17.485932475296799</v>
      </c>
      <c r="O5306">
        <v>48.777075570588899</v>
      </c>
      <c r="P5306">
        <v>-2.99426155719161E-2</v>
      </c>
      <c r="Q5306">
        <v>0.66591831500508902</v>
      </c>
      <c r="R5306">
        <v>0.66273161206487596</v>
      </c>
      <c r="S5306" t="s">
        <v>11952</v>
      </c>
      <c r="T5306" t="s">
        <v>13290</v>
      </c>
      <c r="U5306" t="s">
        <v>13290</v>
      </c>
      <c r="V5306" t="s">
        <v>13290</v>
      </c>
      <c r="W5306" t="s">
        <v>18546</v>
      </c>
      <c r="X5306">
        <v>5</v>
      </c>
      <c r="Y5306" t="s">
        <v>25025</v>
      </c>
      <c r="Z5306" t="s">
        <v>31636</v>
      </c>
      <c r="AA5306">
        <v>0.7767846957204696</v>
      </c>
      <c r="AB5306" t="str">
        <f>HYPERLINK("Melting_Curves/meltCurve_Q99720_SIGMAR1.pdf", "Melting_Curves/meltCurve_Q99720_SIGMAR1.pdf")</f>
        <v>Melting_Curves/meltCurve_Q99720_SIGMAR1.pdf</v>
      </c>
    </row>
    <row r="5307" spans="1:28" x14ac:dyDescent="0.25">
      <c r="A5307" t="s">
        <v>5311</v>
      </c>
      <c r="B5307">
        <v>0.99252571173614901</v>
      </c>
      <c r="C5307">
        <v>1.1235163177649099</v>
      </c>
      <c r="D5307">
        <v>1.08981773899402</v>
      </c>
      <c r="E5307">
        <v>1.15081268154405</v>
      </c>
      <c r="F5307">
        <v>0.950239507893057</v>
      </c>
      <c r="G5307">
        <v>0.77192035028866701</v>
      </c>
      <c r="H5307">
        <v>0.68430702474544203</v>
      </c>
      <c r="I5307">
        <v>0.77041129927026497</v>
      </c>
      <c r="J5307">
        <v>1.12782678729679</v>
      </c>
      <c r="K5307">
        <v>1.8182093970612501</v>
      </c>
      <c r="L5307">
        <v>15000</v>
      </c>
      <c r="M5307">
        <v>222.48299806992</v>
      </c>
      <c r="O5307">
        <v>67.415425146278594</v>
      </c>
      <c r="P5307">
        <v>0.41252236925293101</v>
      </c>
      <c r="Q5307">
        <v>1.5</v>
      </c>
      <c r="R5307">
        <v>0.613081227499222</v>
      </c>
      <c r="S5307" t="s">
        <v>11953</v>
      </c>
      <c r="T5307" t="s">
        <v>13290</v>
      </c>
      <c r="U5307" t="s">
        <v>13290</v>
      </c>
      <c r="V5307" t="s">
        <v>13290</v>
      </c>
      <c r="W5307" t="s">
        <v>18547</v>
      </c>
      <c r="X5307">
        <v>18</v>
      </c>
      <c r="Y5307" t="s">
        <v>25026</v>
      </c>
      <c r="Z5307" t="s">
        <v>31637</v>
      </c>
      <c r="AA5307">
        <v>1.0429121054469039</v>
      </c>
      <c r="AB5307" t="str">
        <f>HYPERLINK("Melting_Curves/meltCurve_Q99729_3_HNRNPAB.pdf", "Melting_Curves/meltCurve_Q99729_3_HNRNPAB.pdf")</f>
        <v>Melting_Curves/meltCurve_Q99729_3_HNRNPAB.pdf</v>
      </c>
    </row>
    <row r="5308" spans="1:28" x14ac:dyDescent="0.25">
      <c r="A5308" t="s">
        <v>5312</v>
      </c>
      <c r="B5308">
        <v>0.99252571173614901</v>
      </c>
      <c r="C5308">
        <v>0.92811872853565303</v>
      </c>
      <c r="D5308">
        <v>0.84293302528973302</v>
      </c>
      <c r="E5308">
        <v>0.87661031772077602</v>
      </c>
      <c r="F5308">
        <v>0.60512730107136703</v>
      </c>
      <c r="G5308">
        <v>0.19533132178447901</v>
      </c>
      <c r="H5308">
        <v>8.8915685265036806E-2</v>
      </c>
      <c r="I5308">
        <v>7.5463634918570999E-2</v>
      </c>
      <c r="J5308">
        <v>8.0817148322824398E-2</v>
      </c>
      <c r="K5308">
        <v>7.6964149106966001E-2</v>
      </c>
      <c r="L5308">
        <v>1339.5784408888801</v>
      </c>
      <c r="M5308">
        <v>25.035281972533799</v>
      </c>
      <c r="N5308">
        <v>53.7773329326821</v>
      </c>
      <c r="O5308">
        <v>53.169730005054603</v>
      </c>
      <c r="P5308">
        <v>-0.110770533697417</v>
      </c>
      <c r="Q5308">
        <v>5.8998361274261502E-2</v>
      </c>
      <c r="R5308">
        <v>0.98032066338448498</v>
      </c>
      <c r="S5308" t="s">
        <v>11954</v>
      </c>
      <c r="T5308" t="s">
        <v>13290</v>
      </c>
      <c r="U5308" t="s">
        <v>13290</v>
      </c>
      <c r="V5308" t="s">
        <v>13290</v>
      </c>
      <c r="W5308" t="s">
        <v>18548</v>
      </c>
      <c r="X5308">
        <v>17</v>
      </c>
      <c r="Y5308" t="s">
        <v>25027</v>
      </c>
      <c r="Z5308" t="s">
        <v>31638</v>
      </c>
      <c r="AA5308">
        <v>0.49135642308026117</v>
      </c>
      <c r="AB5308" t="str">
        <f>HYPERLINK("Melting_Curves/meltCurve_Q99733_NAP1L4.pdf", "Melting_Curves/meltCurve_Q99733_NAP1L4.pdf")</f>
        <v>Melting_Curves/meltCurve_Q99733_NAP1L4.pdf</v>
      </c>
    </row>
    <row r="5309" spans="1:28" x14ac:dyDescent="0.25">
      <c r="A5309" t="s">
        <v>5313</v>
      </c>
      <c r="B5309">
        <v>0.99252571173614901</v>
      </c>
      <c r="C5309">
        <v>0.87492575552859597</v>
      </c>
      <c r="D5309">
        <v>0.82226190789041098</v>
      </c>
      <c r="E5309">
        <v>0.68526112877971102</v>
      </c>
      <c r="F5309">
        <v>0.47011371872928798</v>
      </c>
      <c r="G5309">
        <v>0.39287619119116601</v>
      </c>
      <c r="H5309">
        <v>0.32256398664506403</v>
      </c>
      <c r="I5309">
        <v>0.393556679970262</v>
      </c>
      <c r="J5309">
        <v>0.51843825326959003</v>
      </c>
      <c r="K5309">
        <v>0.54429589596822403</v>
      </c>
      <c r="L5309">
        <v>904.11791369032198</v>
      </c>
      <c r="M5309">
        <v>18.873978023243701</v>
      </c>
      <c r="N5309">
        <v>53.338717474739397</v>
      </c>
      <c r="O5309">
        <v>47.374842259252901</v>
      </c>
      <c r="P5309">
        <v>-5.70775283426663E-2</v>
      </c>
      <c r="Q5309">
        <v>0.42695105414125001</v>
      </c>
      <c r="R5309">
        <v>0.89626042063922595</v>
      </c>
      <c r="S5309" t="s">
        <v>11955</v>
      </c>
      <c r="T5309" t="s">
        <v>13290</v>
      </c>
      <c r="U5309" t="s">
        <v>13290</v>
      </c>
      <c r="V5309" t="s">
        <v>13290</v>
      </c>
      <c r="W5309" t="s">
        <v>18549</v>
      </c>
      <c r="X5309">
        <v>1</v>
      </c>
      <c r="Y5309" t="s">
        <v>25028</v>
      </c>
      <c r="Z5309" t="s">
        <v>31639</v>
      </c>
      <c r="AA5309">
        <v>0.58713778148093654</v>
      </c>
      <c r="AB5309" t="str">
        <f>HYPERLINK("Melting_Curves/meltCurve_Q99735_2_MGST2.pdf", "Melting_Curves/meltCurve_Q99735_2_MGST2.pdf")</f>
        <v>Melting_Curves/meltCurve_Q99735_2_MGST2.pdf</v>
      </c>
    </row>
    <row r="5310" spans="1:28" x14ac:dyDescent="0.25">
      <c r="A5310" t="s">
        <v>5314</v>
      </c>
      <c r="B5310">
        <v>0.99252571173614901</v>
      </c>
      <c r="C5310">
        <v>0.982106495016837</v>
      </c>
      <c r="D5310">
        <v>0.84371646684128998</v>
      </c>
      <c r="E5310">
        <v>0.34008078672754499</v>
      </c>
      <c r="F5310">
        <v>0.15985080379727701</v>
      </c>
      <c r="G5310">
        <v>9.4789721120527998E-2</v>
      </c>
      <c r="H5310">
        <v>8.2700161124997701E-2</v>
      </c>
      <c r="I5310">
        <v>9.2383075446034302E-2</v>
      </c>
      <c r="J5310">
        <v>0.11973817294731</v>
      </c>
      <c r="K5310">
        <v>0.125989796563554</v>
      </c>
      <c r="L5310">
        <v>1599.97775661131</v>
      </c>
      <c r="M5310">
        <v>33.2567229667834</v>
      </c>
      <c r="N5310">
        <v>48.452672999121198</v>
      </c>
      <c r="O5310">
        <v>47.936953281126598</v>
      </c>
      <c r="P5310">
        <v>-0.15526072751884601</v>
      </c>
      <c r="Q5310">
        <v>0.10481934575685101</v>
      </c>
      <c r="R5310">
        <v>0.998512372105408</v>
      </c>
      <c r="S5310" t="s">
        <v>11956</v>
      </c>
      <c r="T5310" t="s">
        <v>13290</v>
      </c>
      <c r="U5310" t="s">
        <v>13290</v>
      </c>
      <c r="V5310" t="s">
        <v>13290</v>
      </c>
      <c r="W5310" t="s">
        <v>18550</v>
      </c>
      <c r="X5310">
        <v>18</v>
      </c>
      <c r="Y5310" t="s">
        <v>25029</v>
      </c>
      <c r="Z5310" t="s">
        <v>31640</v>
      </c>
      <c r="AA5310">
        <v>0.35116921951493751</v>
      </c>
      <c r="AB5310" t="str">
        <f>HYPERLINK("Melting_Curves/meltCurve_Q99747_NAPG.pdf", "Melting_Curves/meltCurve_Q99747_NAPG.pdf")</f>
        <v>Melting_Curves/meltCurve_Q99747_NAPG.pdf</v>
      </c>
    </row>
    <row r="5311" spans="1:28" x14ac:dyDescent="0.25">
      <c r="A5311" t="s">
        <v>5315</v>
      </c>
      <c r="B5311">
        <v>0.99252571173614901</v>
      </c>
      <c r="C5311">
        <v>1.09559823615318</v>
      </c>
      <c r="D5311">
        <v>0.983079305718213</v>
      </c>
      <c r="E5311">
        <v>0.91678819904317099</v>
      </c>
      <c r="F5311">
        <v>0.68908137023548399</v>
      </c>
      <c r="G5311">
        <v>0.52868011205238796</v>
      </c>
      <c r="H5311">
        <v>0.45461519860102401</v>
      </c>
      <c r="I5311">
        <v>0.54174323489954102</v>
      </c>
      <c r="J5311">
        <v>0.64725469122936097</v>
      </c>
      <c r="K5311">
        <v>0.55520245262816503</v>
      </c>
      <c r="L5311">
        <v>1916.0043061240001</v>
      </c>
      <c r="M5311">
        <v>36.941523913518303</v>
      </c>
      <c r="O5311">
        <v>51.714585242892497</v>
      </c>
      <c r="P5311">
        <v>-8.1492424084589593E-2</v>
      </c>
      <c r="Q5311">
        <v>0.54367503140754603</v>
      </c>
      <c r="R5311">
        <v>0.93893235145645004</v>
      </c>
      <c r="S5311" t="s">
        <v>11957</v>
      </c>
      <c r="T5311" t="s">
        <v>13290</v>
      </c>
      <c r="U5311" t="s">
        <v>13290</v>
      </c>
      <c r="V5311" t="s">
        <v>13290</v>
      </c>
      <c r="W5311" t="s">
        <v>18551</v>
      </c>
      <c r="X5311">
        <v>3</v>
      </c>
      <c r="Y5311" t="s">
        <v>25030</v>
      </c>
      <c r="Z5311" t="s">
        <v>31641</v>
      </c>
      <c r="AA5311">
        <v>0.72608367428466158</v>
      </c>
      <c r="AB5311" t="str">
        <f>HYPERLINK("Melting_Curves/meltCurve_Q99757_TXN2.pdf", "Melting_Curves/meltCurve_Q99757_TXN2.pdf")</f>
        <v>Melting_Curves/meltCurve_Q99757_TXN2.pdf</v>
      </c>
    </row>
    <row r="5312" spans="1:28" x14ac:dyDescent="0.25">
      <c r="A5312" t="s">
        <v>5316</v>
      </c>
      <c r="B5312">
        <v>0.99252571173614901</v>
      </c>
      <c r="C5312">
        <v>0.98480285708769999</v>
      </c>
      <c r="D5312">
        <v>0.89190119987554495</v>
      </c>
      <c r="E5312">
        <v>0.71905705452193602</v>
      </c>
      <c r="F5312">
        <v>0.34474641939327699</v>
      </c>
      <c r="G5312">
        <v>0.14319558931372001</v>
      </c>
      <c r="H5312">
        <v>9.2313697570535896E-2</v>
      </c>
      <c r="I5312">
        <v>9.1044857811816801E-2</v>
      </c>
      <c r="J5312">
        <v>0.100448374408276</v>
      </c>
      <c r="K5312">
        <v>6.93614532422131E-2</v>
      </c>
      <c r="L5312">
        <v>1168.21227334627</v>
      </c>
      <c r="M5312">
        <v>22.834266129742002</v>
      </c>
      <c r="N5312">
        <v>51.526566870395399</v>
      </c>
      <c r="O5312">
        <v>50.772950616393501</v>
      </c>
      <c r="P5312">
        <v>-0.104016357184032</v>
      </c>
      <c r="Q5312">
        <v>7.4878787178859901E-2</v>
      </c>
      <c r="R5312">
        <v>0.99779722771555202</v>
      </c>
      <c r="S5312" t="s">
        <v>11958</v>
      </c>
      <c r="T5312" t="s">
        <v>13290</v>
      </c>
      <c r="U5312" t="s">
        <v>13290</v>
      </c>
      <c r="V5312" t="s">
        <v>13290</v>
      </c>
      <c r="W5312" t="s">
        <v>18552</v>
      </c>
      <c r="X5312">
        <v>9</v>
      </c>
      <c r="Y5312" t="s">
        <v>25031</v>
      </c>
      <c r="Z5312" t="s">
        <v>31642</v>
      </c>
      <c r="AA5312">
        <v>0.42902464328999651</v>
      </c>
      <c r="AB5312" t="str">
        <f>HYPERLINK("Melting_Curves/meltCurve_Q99766_ATP5S.pdf", "Melting_Curves/meltCurve_Q99766_ATP5S.pdf")</f>
        <v>Melting_Curves/meltCurve_Q99766_ATP5S.pdf</v>
      </c>
    </row>
    <row r="5313" spans="1:28" x14ac:dyDescent="0.25">
      <c r="A5313" t="s">
        <v>5317</v>
      </c>
      <c r="B5313">
        <v>0.99252571173614901</v>
      </c>
      <c r="C5313">
        <v>1.0375050444210701</v>
      </c>
      <c r="D5313">
        <v>0.94349900481759796</v>
      </c>
      <c r="E5313">
        <v>0.75344041237367898</v>
      </c>
      <c r="F5313">
        <v>0.238432269551582</v>
      </c>
      <c r="G5313">
        <v>0.125510622637169</v>
      </c>
      <c r="H5313">
        <v>9.0554708518692698E-2</v>
      </c>
      <c r="I5313">
        <v>9.5598297237179497E-2</v>
      </c>
      <c r="J5313">
        <v>0.10206505798757901</v>
      </c>
      <c r="K5313">
        <v>8.9449331763115897E-2</v>
      </c>
      <c r="L5313">
        <v>1860.55867543262</v>
      </c>
      <c r="M5313">
        <v>36.574678072147897</v>
      </c>
      <c r="N5313">
        <v>51.165013611274297</v>
      </c>
      <c r="O5313">
        <v>50.718783666518497</v>
      </c>
      <c r="P5313">
        <v>-0.16315000821435299</v>
      </c>
      <c r="Q5313">
        <v>9.5030301667812997E-2</v>
      </c>
      <c r="R5313">
        <v>0.997932243423167</v>
      </c>
      <c r="S5313" t="s">
        <v>11959</v>
      </c>
      <c r="T5313" t="s">
        <v>13290</v>
      </c>
      <c r="U5313" t="s">
        <v>13290</v>
      </c>
      <c r="V5313" t="s">
        <v>13290</v>
      </c>
      <c r="W5313" t="s">
        <v>18553</v>
      </c>
      <c r="X5313">
        <v>30</v>
      </c>
      <c r="Y5313" t="s">
        <v>25032</v>
      </c>
      <c r="Z5313" t="s">
        <v>31643</v>
      </c>
      <c r="AA5313">
        <v>0.42674607367008832</v>
      </c>
      <c r="AB5313" t="str">
        <f>HYPERLINK("Melting_Curves/meltCurve_Q99797_MIPEP.pdf", "Melting_Curves/meltCurve_Q99797_MIPEP.pdf")</f>
        <v>Melting_Curves/meltCurve_Q99797_MIPEP.pdf</v>
      </c>
    </row>
    <row r="5314" spans="1:28" x14ac:dyDescent="0.25">
      <c r="A5314" t="s">
        <v>5318</v>
      </c>
      <c r="B5314">
        <v>0.99252571173614901</v>
      </c>
      <c r="C5314">
        <v>0.91202343782907402</v>
      </c>
      <c r="D5314">
        <v>0.84658970367768205</v>
      </c>
      <c r="E5314">
        <v>0.68015266755958004</v>
      </c>
      <c r="F5314">
        <v>0.503409282773987</v>
      </c>
      <c r="G5314">
        <v>0.24848512321377</v>
      </c>
      <c r="H5314">
        <v>0.159088876083989</v>
      </c>
      <c r="I5314">
        <v>0.1569182319679</v>
      </c>
      <c r="J5314">
        <v>0.164338332791405</v>
      </c>
      <c r="K5314">
        <v>0.15772852207266</v>
      </c>
      <c r="L5314">
        <v>743.05318488114904</v>
      </c>
      <c r="M5314">
        <v>14.4468892752103</v>
      </c>
      <c r="N5314">
        <v>52.3606629543563</v>
      </c>
      <c r="O5314">
        <v>50.478081928223702</v>
      </c>
      <c r="P5314">
        <v>-6.3482346610804194E-2</v>
      </c>
      <c r="Q5314">
        <v>0.112863114958896</v>
      </c>
      <c r="R5314">
        <v>0.99126800574406804</v>
      </c>
      <c r="S5314" t="s">
        <v>11960</v>
      </c>
      <c r="T5314" t="s">
        <v>13290</v>
      </c>
      <c r="U5314" t="s">
        <v>13290</v>
      </c>
      <c r="V5314" t="s">
        <v>13290</v>
      </c>
      <c r="W5314" t="s">
        <v>18554</v>
      </c>
      <c r="X5314">
        <v>16</v>
      </c>
      <c r="Y5314" t="s">
        <v>25033</v>
      </c>
      <c r="Z5314" t="s">
        <v>31644</v>
      </c>
      <c r="AA5314">
        <v>0.47241652537319218</v>
      </c>
      <c r="AB5314" t="str">
        <f>HYPERLINK("Melting_Curves/meltCurve_Q99805_TM9SF2.pdf", "Melting_Curves/meltCurve_Q99805_TM9SF2.pdf")</f>
        <v>Melting_Curves/meltCurve_Q99805_TM9SF2.pdf</v>
      </c>
    </row>
    <row r="5315" spans="1:28" x14ac:dyDescent="0.25">
      <c r="A5315" t="s">
        <v>5319</v>
      </c>
      <c r="B5315">
        <v>0.99252571173614901</v>
      </c>
      <c r="C5315">
        <v>0.86878891589154705</v>
      </c>
      <c r="D5315">
        <v>0.813948169790498</v>
      </c>
      <c r="E5315">
        <v>0.72330162944788101</v>
      </c>
      <c r="F5315">
        <v>0.70565333054008295</v>
      </c>
      <c r="G5315">
        <v>0.51078121217318695</v>
      </c>
      <c r="H5315">
        <v>0.52787371262973803</v>
      </c>
      <c r="I5315">
        <v>0.61758950894453801</v>
      </c>
      <c r="J5315">
        <v>0.881393916566929</v>
      </c>
      <c r="K5315">
        <v>0.62640284424688797</v>
      </c>
      <c r="L5315">
        <v>815.48180022217798</v>
      </c>
      <c r="M5315">
        <v>17.994995960106799</v>
      </c>
      <c r="O5315">
        <v>44.768618618556097</v>
      </c>
      <c r="P5315">
        <v>-3.6019669662830101E-2</v>
      </c>
      <c r="Q5315">
        <v>0.64157342202262602</v>
      </c>
      <c r="R5315">
        <v>0.58693700122145898</v>
      </c>
      <c r="S5315" t="s">
        <v>11961</v>
      </c>
      <c r="T5315" t="s">
        <v>13290</v>
      </c>
      <c r="U5315" t="s">
        <v>13290</v>
      </c>
      <c r="V5315" t="s">
        <v>13290</v>
      </c>
      <c r="W5315" t="s">
        <v>18555</v>
      </c>
      <c r="X5315">
        <v>2</v>
      </c>
      <c r="Y5315" t="s">
        <v>25034</v>
      </c>
      <c r="Z5315" t="s">
        <v>31645</v>
      </c>
      <c r="AA5315">
        <v>0.71257848881857977</v>
      </c>
      <c r="AB5315" t="str">
        <f>HYPERLINK("Melting_Curves/meltCurve_Q99808_SLC29A1.pdf", "Melting_Curves/meltCurve_Q99808_SLC29A1.pdf")</f>
        <v>Melting_Curves/meltCurve_Q99808_SLC29A1.pdf</v>
      </c>
    </row>
    <row r="5316" spans="1:28" x14ac:dyDescent="0.25">
      <c r="A5316" t="s">
        <v>5320</v>
      </c>
      <c r="B5316">
        <v>0.99252571173614901</v>
      </c>
      <c r="C5316">
        <v>0.95649455787044801</v>
      </c>
      <c r="D5316">
        <v>0.85379224811158905</v>
      </c>
      <c r="E5316">
        <v>0.517139892171538</v>
      </c>
      <c r="F5316">
        <v>0.18327618524096401</v>
      </c>
      <c r="G5316">
        <v>8.9447277500354097E-2</v>
      </c>
      <c r="H5316">
        <v>5.5499245443174701E-2</v>
      </c>
      <c r="I5316">
        <v>5.3732266124452498E-2</v>
      </c>
      <c r="J5316">
        <v>5.5229925878406298E-2</v>
      </c>
      <c r="K5316">
        <v>5.4928328470081E-2</v>
      </c>
      <c r="L5316">
        <v>1168.7375003887</v>
      </c>
      <c r="M5316">
        <v>23.6482104496313</v>
      </c>
      <c r="N5316">
        <v>49.635062528354801</v>
      </c>
      <c r="O5316">
        <v>49.072494181228301</v>
      </c>
      <c r="P5316">
        <v>-0.114658347695029</v>
      </c>
      <c r="Q5316">
        <v>4.8304309301771597E-2</v>
      </c>
      <c r="R5316">
        <v>0.99943440514538295</v>
      </c>
      <c r="S5316" t="s">
        <v>11962</v>
      </c>
      <c r="T5316" t="s">
        <v>13290</v>
      </c>
      <c r="U5316" t="s">
        <v>13290</v>
      </c>
      <c r="V5316" t="s">
        <v>13290</v>
      </c>
      <c r="W5316" t="s">
        <v>18556</v>
      </c>
      <c r="X5316">
        <v>9</v>
      </c>
      <c r="Y5316" t="s">
        <v>25035</v>
      </c>
      <c r="Z5316" t="s">
        <v>31646</v>
      </c>
      <c r="AA5316">
        <v>0.35666833790433039</v>
      </c>
      <c r="AB5316" t="str">
        <f>HYPERLINK("Melting_Curves/meltCurve_Q99816_TSG101.pdf", "Melting_Curves/meltCurve_Q99816_TSG101.pdf")</f>
        <v>Melting_Curves/meltCurve_Q99816_TSG101.pdf</v>
      </c>
    </row>
    <row r="5317" spans="1:28" x14ac:dyDescent="0.25">
      <c r="A5317" t="s">
        <v>5321</v>
      </c>
      <c r="B5317">
        <v>0.99252571173614901</v>
      </c>
      <c r="C5317">
        <v>1.0360991983224901</v>
      </c>
      <c r="D5317">
        <v>0.94736991643472301</v>
      </c>
      <c r="E5317">
        <v>0.75930196180325105</v>
      </c>
      <c r="F5317">
        <v>0.68194315803348504</v>
      </c>
      <c r="G5317">
        <v>0.51409230597779698</v>
      </c>
      <c r="H5317">
        <v>0.35357943213602999</v>
      </c>
      <c r="I5317">
        <v>0.39263442863599801</v>
      </c>
      <c r="J5317">
        <v>0.34605039376865498</v>
      </c>
      <c r="K5317">
        <v>0.16373957567533301</v>
      </c>
      <c r="L5317">
        <v>614.96525456578695</v>
      </c>
      <c r="M5317">
        <v>11.181234612013499</v>
      </c>
      <c r="N5317">
        <v>57.3538963238693</v>
      </c>
      <c r="O5317">
        <v>53.328478706970301</v>
      </c>
      <c r="P5317">
        <v>-4.2784360066966398E-2</v>
      </c>
      <c r="Q5317">
        <v>0.18402489910568201</v>
      </c>
      <c r="R5317">
        <v>0.96820454543527501</v>
      </c>
      <c r="S5317" t="s">
        <v>11963</v>
      </c>
      <c r="T5317" t="s">
        <v>13290</v>
      </c>
      <c r="U5317" t="s">
        <v>13290</v>
      </c>
      <c r="V5317" t="s">
        <v>13290</v>
      </c>
      <c r="W5317" t="s">
        <v>18557</v>
      </c>
      <c r="X5317">
        <v>1</v>
      </c>
      <c r="Y5317" t="s">
        <v>25036</v>
      </c>
      <c r="Z5317" t="s">
        <v>31647</v>
      </c>
      <c r="AA5317">
        <v>0.61201466440840879</v>
      </c>
      <c r="AB5317" t="str">
        <f>HYPERLINK("Melting_Curves/meltCurve_Q99828_CIB1.pdf", "Melting_Curves/meltCurve_Q99828_CIB1.pdf")</f>
        <v>Melting_Curves/meltCurve_Q99828_CIB1.pdf</v>
      </c>
    </row>
    <row r="5318" spans="1:28" x14ac:dyDescent="0.25">
      <c r="A5318" t="s">
        <v>5322</v>
      </c>
      <c r="B5318">
        <v>0.99252571173614901</v>
      </c>
      <c r="C5318">
        <v>1.0459805078565001</v>
      </c>
      <c r="D5318">
        <v>0.95082117012886103</v>
      </c>
      <c r="E5318">
        <v>0.77055770563003001</v>
      </c>
      <c r="F5318">
        <v>0.26048932434377298</v>
      </c>
      <c r="G5318">
        <v>0.10214558474928501</v>
      </c>
      <c r="H5318">
        <v>7.3223240431954301E-2</v>
      </c>
      <c r="I5318">
        <v>7.3949698224935204E-2</v>
      </c>
      <c r="J5318">
        <v>6.89251669311855E-2</v>
      </c>
      <c r="K5318">
        <v>6.4148334578436994E-2</v>
      </c>
      <c r="L5318">
        <v>1760.2129340875799</v>
      </c>
      <c r="M5318">
        <v>34.407088955210803</v>
      </c>
      <c r="N5318">
        <v>51.380068801056098</v>
      </c>
      <c r="O5318">
        <v>50.986555306815099</v>
      </c>
      <c r="P5318">
        <v>-0.157072569070833</v>
      </c>
      <c r="Q5318">
        <v>6.89641587606908E-2</v>
      </c>
      <c r="R5318">
        <v>0.99810128611286697</v>
      </c>
      <c r="S5318" t="s">
        <v>11964</v>
      </c>
      <c r="T5318" t="s">
        <v>13290</v>
      </c>
      <c r="U5318" t="s">
        <v>13290</v>
      </c>
      <c r="V5318" t="s">
        <v>13290</v>
      </c>
      <c r="W5318" t="s">
        <v>18558</v>
      </c>
      <c r="X5318">
        <v>20</v>
      </c>
      <c r="Y5318" t="s">
        <v>25037</v>
      </c>
      <c r="Z5318" t="s">
        <v>31648</v>
      </c>
      <c r="AA5318">
        <v>0.41971891930699629</v>
      </c>
      <c r="AB5318" t="str">
        <f>HYPERLINK("Melting_Curves/meltCurve_Q99829_CPNE1.pdf", "Melting_Curves/meltCurve_Q99829_CPNE1.pdf")</f>
        <v>Melting_Curves/meltCurve_Q99829_CPNE1.pdf</v>
      </c>
    </row>
    <row r="5319" spans="1:28" x14ac:dyDescent="0.25">
      <c r="A5319" t="s">
        <v>5323</v>
      </c>
      <c r="B5319">
        <v>0.99252571173614901</v>
      </c>
      <c r="C5319">
        <v>1.08645305554972</v>
      </c>
      <c r="D5319">
        <v>1.02963456814065</v>
      </c>
      <c r="E5319">
        <v>0.96786334242825101</v>
      </c>
      <c r="F5319">
        <v>1.2405837111034099</v>
      </c>
      <c r="G5319">
        <v>1.3878619325946799</v>
      </c>
      <c r="H5319">
        <v>1.3604686010871501</v>
      </c>
      <c r="I5319">
        <v>0.49891991332093999</v>
      </c>
      <c r="J5319">
        <v>0.16891536464141499</v>
      </c>
      <c r="K5319">
        <v>0.15301767848282699</v>
      </c>
      <c r="L5319">
        <v>15000</v>
      </c>
      <c r="M5319">
        <v>234.76878510889901</v>
      </c>
      <c r="N5319">
        <v>63.998533833557303</v>
      </c>
      <c r="O5319">
        <v>63.888038168927999</v>
      </c>
      <c r="P5319">
        <v>-0.77080435742196396</v>
      </c>
      <c r="Q5319">
        <v>0.160958985599574</v>
      </c>
      <c r="R5319">
        <v>0.815262499075459</v>
      </c>
      <c r="S5319" t="s">
        <v>11965</v>
      </c>
      <c r="T5319" t="s">
        <v>13290</v>
      </c>
      <c r="U5319" t="s">
        <v>13290</v>
      </c>
      <c r="V5319" t="s">
        <v>13290</v>
      </c>
      <c r="W5319" t="s">
        <v>18559</v>
      </c>
      <c r="X5319">
        <v>45</v>
      </c>
      <c r="Y5319" t="s">
        <v>25038</v>
      </c>
      <c r="Z5319" t="s">
        <v>31649</v>
      </c>
      <c r="AA5319">
        <v>0.82929613935060476</v>
      </c>
      <c r="AB5319" t="str">
        <f>HYPERLINK("Melting_Curves/meltCurve_Q99832_CCT7.pdf", "Melting_Curves/meltCurve_Q99832_CCT7.pdf")</f>
        <v>Melting_Curves/meltCurve_Q99832_CCT7.pdf</v>
      </c>
    </row>
    <row r="5320" spans="1:28" x14ac:dyDescent="0.25">
      <c r="A5320" t="s">
        <v>5324</v>
      </c>
      <c r="B5320">
        <v>0.99252571173614901</v>
      </c>
      <c r="C5320">
        <v>0.61789202810991894</v>
      </c>
      <c r="D5320">
        <v>0.514920573784586</v>
      </c>
      <c r="E5320">
        <v>0.47704709220827701</v>
      </c>
      <c r="F5320">
        <v>0.32590208458411002</v>
      </c>
      <c r="G5320">
        <v>0.32411102526803798</v>
      </c>
      <c r="H5320">
        <v>0.29311379397336501</v>
      </c>
      <c r="I5320">
        <v>0.29937649995195498</v>
      </c>
      <c r="J5320">
        <v>0.39970579605062001</v>
      </c>
      <c r="K5320">
        <v>0.29963215646778302</v>
      </c>
      <c r="L5320">
        <v>852.685692844659</v>
      </c>
      <c r="M5320">
        <v>19.6319075184227</v>
      </c>
      <c r="N5320">
        <v>45.976596739533797</v>
      </c>
      <c r="O5320">
        <v>42.990534189182199</v>
      </c>
      <c r="P5320">
        <v>-7.6356958333992794E-2</v>
      </c>
      <c r="Q5320">
        <v>0.33118850014178602</v>
      </c>
      <c r="R5320">
        <v>0.91859349620920105</v>
      </c>
      <c r="S5320" t="s">
        <v>11966</v>
      </c>
      <c r="T5320" t="s">
        <v>13290</v>
      </c>
      <c r="U5320" t="s">
        <v>13290</v>
      </c>
      <c r="V5320" t="s">
        <v>13290</v>
      </c>
      <c r="W5320" t="s">
        <v>18560</v>
      </c>
      <c r="X5320">
        <v>1</v>
      </c>
      <c r="Y5320" t="s">
        <v>25039</v>
      </c>
      <c r="Z5320" t="s">
        <v>31650</v>
      </c>
      <c r="AA5320">
        <v>0.42273982823179229</v>
      </c>
      <c r="AB5320" t="str">
        <f>HYPERLINK("Melting_Curves/meltCurve_Q99856_ARID3A.pdf", "Melting_Curves/meltCurve_Q99856_ARID3A.pdf")</f>
        <v>Melting_Curves/meltCurve_Q99856_ARID3A.pdf</v>
      </c>
    </row>
    <row r="5321" spans="1:28" x14ac:dyDescent="0.25">
      <c r="A5321" t="s">
        <v>5325</v>
      </c>
      <c r="B5321">
        <v>0.99252571173614901</v>
      </c>
      <c r="C5321">
        <v>0.96022117340257396</v>
      </c>
      <c r="D5321">
        <v>0.91549088818945501</v>
      </c>
      <c r="E5321">
        <v>0.66013463253164995</v>
      </c>
      <c r="F5321">
        <v>0.75209610688297501</v>
      </c>
      <c r="G5321">
        <v>0.69020925168435299</v>
      </c>
      <c r="H5321">
        <v>0.98524539555981105</v>
      </c>
      <c r="I5321">
        <v>1.58334267865636</v>
      </c>
      <c r="J5321">
        <v>2.8237482481596299</v>
      </c>
      <c r="K5321">
        <v>2.8810768280909</v>
      </c>
      <c r="L5321">
        <v>15000</v>
      </c>
      <c r="M5321">
        <v>241.342187776922</v>
      </c>
      <c r="O5321">
        <v>62.148165109995801</v>
      </c>
      <c r="P5321">
        <v>0.48541709537592098</v>
      </c>
      <c r="Q5321">
        <v>1.5</v>
      </c>
      <c r="R5321">
        <v>0.38630405675814899</v>
      </c>
      <c r="S5321" t="s">
        <v>11967</v>
      </c>
      <c r="T5321" t="s">
        <v>13290</v>
      </c>
      <c r="U5321" t="s">
        <v>13290</v>
      </c>
      <c r="V5321" t="s">
        <v>13290</v>
      </c>
      <c r="W5321" t="s">
        <v>18561</v>
      </c>
      <c r="X5321">
        <v>7</v>
      </c>
      <c r="Y5321" t="s">
        <v>25040</v>
      </c>
      <c r="Z5321" t="s">
        <v>31651</v>
      </c>
      <c r="AA5321">
        <v>1.130734547970895</v>
      </c>
      <c r="AB5321" t="str">
        <f>HYPERLINK("Melting_Curves/meltCurve_Q99878_HIST1H2AJ.pdf", "Melting_Curves/meltCurve_Q99878_HIST1H2AJ.pdf")</f>
        <v>Melting_Curves/meltCurve_Q99878_HIST1H2AJ.pdf</v>
      </c>
    </row>
    <row r="5322" spans="1:28" x14ac:dyDescent="0.25">
      <c r="A5322" t="s">
        <v>5326</v>
      </c>
      <c r="B5322">
        <v>0.99252571173614901</v>
      </c>
      <c r="C5322">
        <v>0.890435252803495</v>
      </c>
      <c r="D5322">
        <v>0.74171596828500697</v>
      </c>
      <c r="E5322">
        <v>0.41580170647537001</v>
      </c>
      <c r="F5322">
        <v>0.20656745023690201</v>
      </c>
      <c r="G5322">
        <v>0.11823020251277799</v>
      </c>
      <c r="H5322">
        <v>9.9024099299543505E-2</v>
      </c>
      <c r="I5322">
        <v>0.12676565065100101</v>
      </c>
      <c r="J5322">
        <v>0.17546397391819299</v>
      </c>
      <c r="K5322">
        <v>0.19614733806319901</v>
      </c>
      <c r="L5322">
        <v>1032.52891401439</v>
      </c>
      <c r="M5322">
        <v>21.642664738590501</v>
      </c>
      <c r="N5322">
        <v>48.4147168392251</v>
      </c>
      <c r="O5322">
        <v>47.306305939342103</v>
      </c>
      <c r="P5322">
        <v>-9.8886872528543404E-2</v>
      </c>
      <c r="Q5322">
        <v>0.135436713506429</v>
      </c>
      <c r="R5322">
        <v>0.98967561406412796</v>
      </c>
      <c r="S5322" t="s">
        <v>11968</v>
      </c>
      <c r="T5322" t="s">
        <v>13290</v>
      </c>
      <c r="U5322" t="s">
        <v>13290</v>
      </c>
      <c r="V5322" t="s">
        <v>13290</v>
      </c>
      <c r="W5322" t="s">
        <v>18562</v>
      </c>
      <c r="X5322">
        <v>8</v>
      </c>
      <c r="Y5322" t="s">
        <v>25041</v>
      </c>
      <c r="Z5322" t="s">
        <v>31652</v>
      </c>
      <c r="AA5322">
        <v>0.36800949265542282</v>
      </c>
      <c r="AB5322" t="str">
        <f>HYPERLINK("Melting_Curves/meltCurve_Q99959_2_PKP2.pdf", "Melting_Curves/meltCurve_Q99959_2_PKP2.pdf")</f>
        <v>Melting_Curves/meltCurve_Q99959_2_PKP2.pdf</v>
      </c>
    </row>
    <row r="5323" spans="1:28" x14ac:dyDescent="0.25">
      <c r="A5323" t="s">
        <v>5327</v>
      </c>
      <c r="B5323">
        <v>0.99252571173614901</v>
      </c>
      <c r="C5323">
        <v>1.0290736120908199</v>
      </c>
      <c r="D5323">
        <v>0.68676024319054196</v>
      </c>
      <c r="E5323">
        <v>0.31215064411387899</v>
      </c>
      <c r="F5323">
        <v>0.12382127042025801</v>
      </c>
      <c r="G5323">
        <v>7.6175493172092504E-2</v>
      </c>
      <c r="H5323">
        <v>6.5261948559502805E-2</v>
      </c>
      <c r="I5323">
        <v>7.5345423662369002E-2</v>
      </c>
      <c r="J5323">
        <v>8.7268286082136701E-2</v>
      </c>
      <c r="K5323">
        <v>0.11627006351959999</v>
      </c>
      <c r="L5323">
        <v>1325.7711999497601</v>
      </c>
      <c r="M5323">
        <v>27.9834346244965</v>
      </c>
      <c r="N5323">
        <v>47.690439776357003</v>
      </c>
      <c r="O5323">
        <v>47.137038950924101</v>
      </c>
      <c r="P5323">
        <v>-0.13594994641693001</v>
      </c>
      <c r="Q5323">
        <v>8.3997736858023295E-2</v>
      </c>
      <c r="R5323">
        <v>0.99314777372586305</v>
      </c>
      <c r="S5323" t="s">
        <v>11969</v>
      </c>
      <c r="T5323" t="s">
        <v>13290</v>
      </c>
      <c r="U5323" t="s">
        <v>13290</v>
      </c>
      <c r="V5323" t="s">
        <v>13290</v>
      </c>
      <c r="W5323" t="s">
        <v>18563</v>
      </c>
      <c r="X5323">
        <v>18</v>
      </c>
      <c r="Y5323" t="s">
        <v>25042</v>
      </c>
      <c r="Z5323" t="s">
        <v>31653</v>
      </c>
      <c r="AA5323">
        <v>0.31561606151530558</v>
      </c>
      <c r="AB5323" t="str">
        <f>HYPERLINK("Melting_Curves/meltCurve_Q99961_SH3GL1.pdf", "Melting_Curves/meltCurve_Q99961_SH3GL1.pdf")</f>
        <v>Melting_Curves/meltCurve_Q99961_SH3GL1.pdf</v>
      </c>
    </row>
    <row r="5324" spans="1:28" x14ac:dyDescent="0.25">
      <c r="A5324" t="s">
        <v>5328</v>
      </c>
      <c r="B5324">
        <v>0.99252571173614901</v>
      </c>
      <c r="C5324">
        <v>0.98532153121186505</v>
      </c>
      <c r="D5324">
        <v>0.76228779731673502</v>
      </c>
      <c r="E5324">
        <v>0.38180598530075899</v>
      </c>
      <c r="F5324">
        <v>0.145104867405147</v>
      </c>
      <c r="G5324">
        <v>8.4846134947975604E-2</v>
      </c>
      <c r="H5324">
        <v>6.5248278909162696E-2</v>
      </c>
      <c r="I5324">
        <v>6.5592953049957894E-2</v>
      </c>
      <c r="J5324">
        <v>6.1274528919169499E-2</v>
      </c>
      <c r="K5324">
        <v>5.8356764837151603E-2</v>
      </c>
      <c r="L5324">
        <v>1175.4202411864401</v>
      </c>
      <c r="M5324">
        <v>24.385186241322899</v>
      </c>
      <c r="N5324">
        <v>48.459324710814798</v>
      </c>
      <c r="O5324">
        <v>47.881568088328599</v>
      </c>
      <c r="P5324">
        <v>-0.119596589059267</v>
      </c>
      <c r="Q5324">
        <v>6.06777155416637E-2</v>
      </c>
      <c r="R5324">
        <v>0.99919821528169805</v>
      </c>
      <c r="S5324" t="s">
        <v>11970</v>
      </c>
      <c r="T5324" t="s">
        <v>13290</v>
      </c>
      <c r="U5324" t="s">
        <v>13290</v>
      </c>
      <c r="V5324" t="s">
        <v>13290</v>
      </c>
      <c r="W5324" t="s">
        <v>18564</v>
      </c>
      <c r="X5324">
        <v>16</v>
      </c>
      <c r="Y5324" t="s">
        <v>25043</v>
      </c>
      <c r="Z5324" t="s">
        <v>31654</v>
      </c>
      <c r="AA5324">
        <v>0.32624378304667812</v>
      </c>
      <c r="AB5324" t="str">
        <f>HYPERLINK("Melting_Curves/meltCurve_Q99986_VRK1.pdf", "Melting_Curves/meltCurve_Q99986_VRK1.pdf")</f>
        <v>Melting_Curves/meltCurve_Q99986_VRK1.pdf</v>
      </c>
    </row>
    <row r="5325" spans="1:28" x14ac:dyDescent="0.25">
      <c r="A5325" t="s">
        <v>5329</v>
      </c>
      <c r="B5325">
        <v>0.99252571173614901</v>
      </c>
      <c r="C5325">
        <v>1.0234192670353499</v>
      </c>
      <c r="D5325">
        <v>0.95735330874354596</v>
      </c>
      <c r="E5325">
        <v>0.79110489514390303</v>
      </c>
      <c r="F5325">
        <v>0.56002219287898802</v>
      </c>
      <c r="G5325">
        <v>0.33809497795274901</v>
      </c>
      <c r="H5325">
        <v>0.26076811475838702</v>
      </c>
      <c r="I5325">
        <v>0.26301734336634203</v>
      </c>
      <c r="J5325">
        <v>0.36156240844899201</v>
      </c>
      <c r="K5325">
        <v>0.32896660019740598</v>
      </c>
      <c r="L5325">
        <v>1264.14019676935</v>
      </c>
      <c r="M5325">
        <v>24.4878862614041</v>
      </c>
      <c r="N5325">
        <v>53.582701071154403</v>
      </c>
      <c r="O5325">
        <v>51.282513423889398</v>
      </c>
      <c r="P5325">
        <v>-8.4065383092605903E-2</v>
      </c>
      <c r="Q5325">
        <v>0.295811639060929</v>
      </c>
      <c r="R5325">
        <v>0.98656677509345003</v>
      </c>
      <c r="S5325" t="s">
        <v>11971</v>
      </c>
      <c r="T5325" t="s">
        <v>13290</v>
      </c>
      <c r="U5325" t="s">
        <v>13290</v>
      </c>
      <c r="V5325" t="s">
        <v>13290</v>
      </c>
      <c r="W5325" t="s">
        <v>18565</v>
      </c>
      <c r="X5325">
        <v>8</v>
      </c>
      <c r="Y5325" t="s">
        <v>25044</v>
      </c>
      <c r="Z5325" t="s">
        <v>31655</v>
      </c>
      <c r="AA5325">
        <v>0.57530577679964634</v>
      </c>
      <c r="AB5325" t="str">
        <f>HYPERLINK("Melting_Curves/meltCurve_Q99988_GDF15.pdf", "Melting_Curves/meltCurve_Q99988_GDF15.pdf")</f>
        <v>Melting_Curves/meltCurve_Q99988_GDF15.pdf</v>
      </c>
    </row>
    <row r="5326" spans="1:28" x14ac:dyDescent="0.25">
      <c r="A5326" t="s">
        <v>5330</v>
      </c>
      <c r="B5326">
        <v>0.99252571173614901</v>
      </c>
      <c r="C5326">
        <v>0.87297872194757098</v>
      </c>
      <c r="D5326">
        <v>0.74999831909239401</v>
      </c>
      <c r="E5326">
        <v>0.48683555408126999</v>
      </c>
      <c r="F5326">
        <v>0.37558401031445399</v>
      </c>
      <c r="G5326">
        <v>0.29376259951051398</v>
      </c>
      <c r="H5326">
        <v>0.24567243624872601</v>
      </c>
      <c r="I5326">
        <v>0.224548684458937</v>
      </c>
      <c r="J5326">
        <v>0.253639654924808</v>
      </c>
      <c r="K5326">
        <v>0.210845412159854</v>
      </c>
      <c r="L5326">
        <v>748.73243886392402</v>
      </c>
      <c r="M5326">
        <v>15.6272943674555</v>
      </c>
      <c r="N5326">
        <v>49.788827589918398</v>
      </c>
      <c r="O5326">
        <v>47.147844603028403</v>
      </c>
      <c r="P5326">
        <v>-6.4423707323159399E-2</v>
      </c>
      <c r="Q5326">
        <v>0.22259651412081399</v>
      </c>
      <c r="R5326">
        <v>0.99582048931102696</v>
      </c>
      <c r="S5326" t="s">
        <v>11972</v>
      </c>
      <c r="T5326" t="s">
        <v>13290</v>
      </c>
      <c r="U5326" t="s">
        <v>13290</v>
      </c>
      <c r="V5326" t="s">
        <v>13290</v>
      </c>
      <c r="W5326" t="s">
        <v>18566</v>
      </c>
      <c r="X5326">
        <v>4</v>
      </c>
      <c r="Y5326" t="s">
        <v>25045</v>
      </c>
      <c r="Z5326" t="s">
        <v>31656</v>
      </c>
      <c r="AA5326">
        <v>0.44612679982097692</v>
      </c>
      <c r="AB5326" t="str">
        <f>HYPERLINK("Melting_Curves/meltCurve_Q99996_5_AKAP9.pdf", "Melting_Curves/meltCurve_Q99996_5_AKAP9.pdf")</f>
        <v>Melting_Curves/meltCurve_Q99996_5_AKAP9.pdf</v>
      </c>
    </row>
    <row r="5327" spans="1:28" x14ac:dyDescent="0.25">
      <c r="A5327" t="s">
        <v>5331</v>
      </c>
      <c r="B5327">
        <v>0.99252571173614901</v>
      </c>
      <c r="C5327">
        <v>0.94561826859460996</v>
      </c>
      <c r="D5327">
        <v>1.03585772483478</v>
      </c>
      <c r="E5327">
        <v>0.985742966377949</v>
      </c>
      <c r="F5327">
        <v>0.90805469206354505</v>
      </c>
      <c r="G5327">
        <v>0.61204900378290605</v>
      </c>
      <c r="H5327">
        <v>0.168374188671498</v>
      </c>
      <c r="I5327">
        <v>0.10960379361505999</v>
      </c>
      <c r="J5327">
        <v>0.104611674646992</v>
      </c>
      <c r="K5327">
        <v>9.1683165245908194E-2</v>
      </c>
      <c r="L5327">
        <v>1984.5371942167901</v>
      </c>
      <c r="M5327">
        <v>34.709241964740997</v>
      </c>
      <c r="N5327">
        <v>57.4951805996442</v>
      </c>
      <c r="O5327">
        <v>56.987250857801499</v>
      </c>
      <c r="P5327">
        <v>-0.13892754362621701</v>
      </c>
      <c r="Q5327">
        <v>8.7612464876050206E-2</v>
      </c>
      <c r="R5327">
        <v>0.996284148342515</v>
      </c>
      <c r="S5327" t="s">
        <v>11973</v>
      </c>
      <c r="T5327" t="s">
        <v>13290</v>
      </c>
      <c r="U5327" t="s">
        <v>13290</v>
      </c>
      <c r="V5327" t="s">
        <v>13290</v>
      </c>
      <c r="W5327" t="s">
        <v>18567</v>
      </c>
      <c r="X5327">
        <v>22</v>
      </c>
      <c r="Y5327" t="s">
        <v>20900</v>
      </c>
      <c r="Z5327" t="s">
        <v>31657</v>
      </c>
      <c r="AA5327">
        <v>0.61465039516061537</v>
      </c>
      <c r="AB5327" t="str">
        <f>HYPERLINK("Melting_Curves/meltCurve_Q9BPW8_NIPSNAP1.pdf", "Melting_Curves/meltCurve_Q9BPW8_NIPSNAP1.pdf")</f>
        <v>Melting_Curves/meltCurve_Q9BPW8_NIPSNAP1.pdf</v>
      </c>
    </row>
    <row r="5328" spans="1:28" x14ac:dyDescent="0.25">
      <c r="A5328" t="s">
        <v>5332</v>
      </c>
      <c r="B5328">
        <v>0.99252571173614901</v>
      </c>
      <c r="C5328">
        <v>0.87933812080710205</v>
      </c>
      <c r="D5328">
        <v>0.84720966913164697</v>
      </c>
      <c r="E5328">
        <v>0.24983629243997599</v>
      </c>
      <c r="F5328">
        <v>0.18760735203550899</v>
      </c>
      <c r="G5328">
        <v>0.132728343545295</v>
      </c>
      <c r="H5328">
        <v>0.11447780833435101</v>
      </c>
      <c r="I5328">
        <v>0.14278961518125</v>
      </c>
      <c r="J5328">
        <v>0.17087956786526501</v>
      </c>
      <c r="K5328">
        <v>0.17009605823402901</v>
      </c>
      <c r="L5328">
        <v>2083.7094992408101</v>
      </c>
      <c r="M5328">
        <v>43.8902177352793</v>
      </c>
      <c r="N5328">
        <v>47.864873747124498</v>
      </c>
      <c r="O5328">
        <v>47.377246363445202</v>
      </c>
      <c r="P5328">
        <v>-0.196829462251707</v>
      </c>
      <c r="Q5328">
        <v>0.15013184279983599</v>
      </c>
      <c r="R5328">
        <v>0.98588407365657305</v>
      </c>
      <c r="S5328" t="s">
        <v>11974</v>
      </c>
      <c r="T5328" t="s">
        <v>13290</v>
      </c>
      <c r="U5328" t="s">
        <v>13290</v>
      </c>
      <c r="V5328" t="s">
        <v>13290</v>
      </c>
      <c r="W5328" t="s">
        <v>18568</v>
      </c>
      <c r="X5328">
        <v>13</v>
      </c>
      <c r="Y5328" t="s">
        <v>25046</v>
      </c>
      <c r="Z5328" t="s">
        <v>31658</v>
      </c>
      <c r="AA5328">
        <v>0.36422382275682169</v>
      </c>
      <c r="AB5328" t="str">
        <f>HYPERLINK("Melting_Curves/meltCurve_Q9BPX3_NCAPG.pdf", "Melting_Curves/meltCurve_Q9BPX3_NCAPG.pdf")</f>
        <v>Melting_Curves/meltCurve_Q9BPX3_NCAPG.pdf</v>
      </c>
    </row>
    <row r="5329" spans="1:28" x14ac:dyDescent="0.25">
      <c r="A5329" t="s">
        <v>5333</v>
      </c>
      <c r="B5329">
        <v>0.99252571173614901</v>
      </c>
      <c r="C5329">
        <v>0.97323061920227705</v>
      </c>
      <c r="D5329">
        <v>1.0360718645351801</v>
      </c>
      <c r="E5329">
        <v>0.91665161627357805</v>
      </c>
      <c r="F5329">
        <v>0.91075256290068296</v>
      </c>
      <c r="G5329">
        <v>0.83182597768839195</v>
      </c>
      <c r="H5329">
        <v>0.74786560360602805</v>
      </c>
      <c r="I5329">
        <v>0.52468287578182804</v>
      </c>
      <c r="J5329">
        <v>0.31931835418459498</v>
      </c>
      <c r="K5329">
        <v>0.28935488780942298</v>
      </c>
      <c r="L5329">
        <v>830.95833979428699</v>
      </c>
      <c r="M5329">
        <v>12.889185427109499</v>
      </c>
      <c r="N5329">
        <v>64.469398017477303</v>
      </c>
      <c r="O5329">
        <v>62.976714405354798</v>
      </c>
      <c r="P5329">
        <v>-5.1175818587925401E-2</v>
      </c>
      <c r="Q5329">
        <v>0</v>
      </c>
      <c r="R5329">
        <v>0.97817040016548695</v>
      </c>
      <c r="S5329" t="s">
        <v>11975</v>
      </c>
      <c r="T5329" t="s">
        <v>13290</v>
      </c>
      <c r="U5329" t="s">
        <v>13290</v>
      </c>
      <c r="V5329" t="s">
        <v>13290</v>
      </c>
      <c r="W5329" t="s">
        <v>18569</v>
      </c>
      <c r="X5329">
        <v>5</v>
      </c>
      <c r="Y5329" t="s">
        <v>25047</v>
      </c>
      <c r="Z5329" t="s">
        <v>31659</v>
      </c>
      <c r="AA5329">
        <v>0.78629726535431554</v>
      </c>
      <c r="AB5329" t="str">
        <f>HYPERLINK("Melting_Curves/meltCurve_Q9BPX5_ARPC5L.pdf", "Melting_Curves/meltCurve_Q9BPX5_ARPC5L.pdf")</f>
        <v>Melting_Curves/meltCurve_Q9BPX5_ARPC5L.pdf</v>
      </c>
    </row>
    <row r="5330" spans="1:28" x14ac:dyDescent="0.25">
      <c r="A5330" t="s">
        <v>5334</v>
      </c>
      <c r="B5330">
        <v>0.99252571173614901</v>
      </c>
      <c r="C5330">
        <v>0.94888873945177699</v>
      </c>
      <c r="D5330">
        <v>0.85606110840082095</v>
      </c>
      <c r="E5330">
        <v>0.74204333695861202</v>
      </c>
      <c r="F5330">
        <v>0.70626802142223799</v>
      </c>
      <c r="G5330">
        <v>0.569377533750131</v>
      </c>
      <c r="H5330">
        <v>0.51495032560144605</v>
      </c>
      <c r="I5330">
        <v>0.60063113860280404</v>
      </c>
      <c r="J5330">
        <v>0.81671839813835601</v>
      </c>
      <c r="K5330">
        <v>0.80434084625938695</v>
      </c>
      <c r="L5330">
        <v>1102.7937722052</v>
      </c>
      <c r="M5330">
        <v>23.701142882786201</v>
      </c>
      <c r="O5330">
        <v>46.201681723552198</v>
      </c>
      <c r="P5330">
        <v>-4.2762507040166799E-2</v>
      </c>
      <c r="Q5330">
        <v>0.66657006226300397</v>
      </c>
      <c r="R5330">
        <v>0.648716884472049</v>
      </c>
      <c r="S5330" t="s">
        <v>11976</v>
      </c>
      <c r="T5330" t="s">
        <v>13290</v>
      </c>
      <c r="U5330" t="s">
        <v>13290</v>
      </c>
      <c r="V5330" t="s">
        <v>13290</v>
      </c>
      <c r="W5330" t="s">
        <v>18570</v>
      </c>
      <c r="X5330">
        <v>9</v>
      </c>
      <c r="Y5330" t="s">
        <v>25048</v>
      </c>
      <c r="Z5330" t="s">
        <v>31660</v>
      </c>
      <c r="AA5330">
        <v>0.74253592947491964</v>
      </c>
      <c r="AB5330" t="str">
        <f>HYPERLINK("Melting_Curves/meltCurve_Q9BQ13_KCTD14.pdf", "Melting_Curves/meltCurve_Q9BQ13_KCTD14.pdf")</f>
        <v>Melting_Curves/meltCurve_Q9BQ13_KCTD14.pdf</v>
      </c>
    </row>
    <row r="5331" spans="1:28" x14ac:dyDescent="0.25">
      <c r="A5331" t="s">
        <v>5335</v>
      </c>
      <c r="B5331">
        <v>0.99252571173614901</v>
      </c>
      <c r="C5331">
        <v>1.0989343171791801</v>
      </c>
      <c r="D5331">
        <v>0.74761797038851996</v>
      </c>
      <c r="E5331">
        <v>0.36961106659734799</v>
      </c>
      <c r="F5331">
        <v>0.17735818158082101</v>
      </c>
      <c r="G5331">
        <v>0.123084322498221</v>
      </c>
      <c r="H5331">
        <v>0.106959139524131</v>
      </c>
      <c r="I5331">
        <v>0.133966515274348</v>
      </c>
      <c r="J5331">
        <v>0.10341775280984</v>
      </c>
      <c r="K5331">
        <v>6.3133137851703394E-2</v>
      </c>
      <c r="L5331">
        <v>1348.86188300651</v>
      </c>
      <c r="M5331">
        <v>28.134819566654901</v>
      </c>
      <c r="N5331">
        <v>48.357325317859498</v>
      </c>
      <c r="O5331">
        <v>47.702523688729897</v>
      </c>
      <c r="P5331">
        <v>-0.131650631121701</v>
      </c>
      <c r="Q5331">
        <v>0.107153646205283</v>
      </c>
      <c r="R5331">
        <v>0.98470624106483196</v>
      </c>
      <c r="S5331" t="s">
        <v>11977</v>
      </c>
      <c r="T5331" t="s">
        <v>13290</v>
      </c>
      <c r="U5331" t="s">
        <v>13290</v>
      </c>
      <c r="V5331" t="s">
        <v>13290</v>
      </c>
      <c r="W5331" t="s">
        <v>18571</v>
      </c>
      <c r="X5331">
        <v>1</v>
      </c>
      <c r="Y5331" t="s">
        <v>25049</v>
      </c>
      <c r="Z5331" t="s">
        <v>31661</v>
      </c>
      <c r="AA5331">
        <v>0.34968928335455851</v>
      </c>
      <c r="AB5331" t="str">
        <f>HYPERLINK("Melting_Curves/meltCurve_Q9BQ24_ZFYVE21.pdf", "Melting_Curves/meltCurve_Q9BQ24_ZFYVE21.pdf")</f>
        <v>Melting_Curves/meltCurve_Q9BQ24_ZFYVE21.pdf</v>
      </c>
    </row>
    <row r="5332" spans="1:28" x14ac:dyDescent="0.25">
      <c r="A5332" t="s">
        <v>5336</v>
      </c>
      <c r="B5332">
        <v>0.99252571173614901</v>
      </c>
      <c r="C5332">
        <v>0.93725225155146696</v>
      </c>
      <c r="D5332">
        <v>0.71947692911093597</v>
      </c>
      <c r="E5332">
        <v>0.42864429227402401</v>
      </c>
      <c r="F5332">
        <v>0.27950794046460298</v>
      </c>
      <c r="G5332">
        <v>0.143864550293171</v>
      </c>
      <c r="H5332">
        <v>0.119913522568819</v>
      </c>
      <c r="I5332">
        <v>0.12894407228563001</v>
      </c>
      <c r="J5332">
        <v>0.16854538528941501</v>
      </c>
      <c r="K5332">
        <v>0.16382210202306299</v>
      </c>
      <c r="L5332">
        <v>940.05247168762901</v>
      </c>
      <c r="M5332">
        <v>19.624295785922602</v>
      </c>
      <c r="N5332">
        <v>48.705508963549804</v>
      </c>
      <c r="O5332">
        <v>47.413384454690501</v>
      </c>
      <c r="P5332">
        <v>-8.9176091571720004E-2</v>
      </c>
      <c r="Q5332">
        <v>0.13821274989721899</v>
      </c>
      <c r="R5332">
        <v>0.99502673281256504</v>
      </c>
      <c r="S5332" t="s">
        <v>11978</v>
      </c>
      <c r="T5332" t="s">
        <v>13290</v>
      </c>
      <c r="U5332" t="s">
        <v>13290</v>
      </c>
      <c r="V5332" t="s">
        <v>13290</v>
      </c>
      <c r="W5332" t="s">
        <v>18572</v>
      </c>
      <c r="X5332">
        <v>7</v>
      </c>
      <c r="Y5332" t="s">
        <v>25050</v>
      </c>
      <c r="Z5332" t="s">
        <v>31662</v>
      </c>
      <c r="AA5332">
        <v>0.3779993654661149</v>
      </c>
      <c r="AB5332" t="str">
        <f>HYPERLINK("Melting_Curves/meltCurve_Q9BQ39_DDX50.pdf", "Melting_Curves/meltCurve_Q9BQ39_DDX50.pdf")</f>
        <v>Melting_Curves/meltCurve_Q9BQ39_DDX50.pdf</v>
      </c>
    </row>
    <row r="5333" spans="1:28" x14ac:dyDescent="0.25">
      <c r="A5333" t="s">
        <v>5337</v>
      </c>
      <c r="B5333">
        <v>0.99252571173614901</v>
      </c>
      <c r="C5333">
        <v>0.95377713425994304</v>
      </c>
      <c r="D5333">
        <v>0.96410048974913098</v>
      </c>
      <c r="E5333">
        <v>0.94157093596283203</v>
      </c>
      <c r="F5333">
        <v>0.87244196080356395</v>
      </c>
      <c r="G5333">
        <v>0.71177694234768996</v>
      </c>
      <c r="H5333">
        <v>0.64044359805724305</v>
      </c>
      <c r="I5333">
        <v>0.62124635213783097</v>
      </c>
      <c r="J5333">
        <v>0.37222957937603501</v>
      </c>
      <c r="K5333">
        <v>0.15032262331920501</v>
      </c>
      <c r="L5333">
        <v>679.04178768903705</v>
      </c>
      <c r="M5333">
        <v>10.669996782726599</v>
      </c>
      <c r="N5333">
        <v>63.640314266557297</v>
      </c>
      <c r="O5333">
        <v>61.527025834497202</v>
      </c>
      <c r="P5333">
        <v>-4.3371359474016297E-2</v>
      </c>
      <c r="Q5333">
        <v>0</v>
      </c>
      <c r="R5333">
        <v>0.94171105027945801</v>
      </c>
      <c r="S5333" t="s">
        <v>11979</v>
      </c>
      <c r="T5333" t="s">
        <v>13290</v>
      </c>
      <c r="U5333" t="s">
        <v>13290</v>
      </c>
      <c r="V5333" t="s">
        <v>13290</v>
      </c>
      <c r="W5333" t="s">
        <v>18573</v>
      </c>
      <c r="X5333">
        <v>41</v>
      </c>
      <c r="Y5333" t="s">
        <v>25051</v>
      </c>
      <c r="Z5333" t="s">
        <v>31663</v>
      </c>
      <c r="AA5333">
        <v>0.75458611475886017</v>
      </c>
      <c r="AB5333" t="str">
        <f>HYPERLINK("Melting_Curves/meltCurve_Q9BQ52_ELAC2.pdf", "Melting_Curves/meltCurve_Q9BQ52_ELAC2.pdf")</f>
        <v>Melting_Curves/meltCurve_Q9BQ52_ELAC2.pdf</v>
      </c>
    </row>
    <row r="5334" spans="1:28" x14ac:dyDescent="0.25">
      <c r="A5334" t="s">
        <v>5338</v>
      </c>
      <c r="B5334">
        <v>0.99252571173614901</v>
      </c>
      <c r="C5334">
        <v>1.08209540965599</v>
      </c>
      <c r="D5334">
        <v>1.04937985472744</v>
      </c>
      <c r="E5334">
        <v>1.0005286526497199</v>
      </c>
      <c r="F5334">
        <v>0.98627787208459605</v>
      </c>
      <c r="G5334">
        <v>0.90462204214075304</v>
      </c>
      <c r="H5334">
        <v>0.992398815755278</v>
      </c>
      <c r="I5334">
        <v>1.33370767643635</v>
      </c>
      <c r="J5334">
        <v>2.1361032786581902</v>
      </c>
      <c r="K5334">
        <v>2.3719261774247098</v>
      </c>
      <c r="L5334">
        <v>15000</v>
      </c>
      <c r="M5334">
        <v>235.07177065773899</v>
      </c>
      <c r="O5334">
        <v>63.805684677761903</v>
      </c>
      <c r="P5334">
        <v>0.4605228105052</v>
      </c>
      <c r="Q5334">
        <v>1.5</v>
      </c>
      <c r="R5334">
        <v>0.52487413586893195</v>
      </c>
      <c r="S5334" t="s">
        <v>11980</v>
      </c>
      <c r="T5334" t="s">
        <v>13290</v>
      </c>
      <c r="U5334" t="s">
        <v>13290</v>
      </c>
      <c r="V5334" t="s">
        <v>13290</v>
      </c>
      <c r="W5334" t="s">
        <v>18574</v>
      </c>
      <c r="X5334">
        <v>13</v>
      </c>
      <c r="Y5334" t="s">
        <v>25052</v>
      </c>
      <c r="Z5334" t="s">
        <v>31664</v>
      </c>
      <c r="AA5334">
        <v>1.1030983489974</v>
      </c>
      <c r="AB5334" t="str">
        <f>HYPERLINK("Melting_Curves/meltCurve_Q9BQ61_C19orf43.pdf", "Melting_Curves/meltCurve_Q9BQ61_C19orf43.pdf")</f>
        <v>Melting_Curves/meltCurve_Q9BQ61_C19orf43.pdf</v>
      </c>
    </row>
    <row r="5335" spans="1:28" x14ac:dyDescent="0.25">
      <c r="A5335" t="s">
        <v>5339</v>
      </c>
      <c r="B5335">
        <v>0.99252571173614901</v>
      </c>
      <c r="C5335">
        <v>0.91218965160967702</v>
      </c>
      <c r="D5335">
        <v>0.61290578900624404</v>
      </c>
      <c r="E5335">
        <v>0.54540022759609796</v>
      </c>
      <c r="F5335">
        <v>0.443012688900635</v>
      </c>
      <c r="G5335">
        <v>0.20492063322315199</v>
      </c>
      <c r="H5335">
        <v>0.113519185082291</v>
      </c>
      <c r="I5335">
        <v>0.138853484661597</v>
      </c>
      <c r="J5335">
        <v>0.13612394907803499</v>
      </c>
      <c r="K5335">
        <v>0.12725405881509599</v>
      </c>
      <c r="L5335">
        <v>571.23213211249197</v>
      </c>
      <c r="M5335">
        <v>11.577268314793599</v>
      </c>
      <c r="N5335">
        <v>50.076346252561898</v>
      </c>
      <c r="O5335">
        <v>47.937629198731599</v>
      </c>
      <c r="P5335">
        <v>-5.5671527038089898E-2</v>
      </c>
      <c r="Q5335">
        <v>7.8185995188883403E-2</v>
      </c>
      <c r="R5335">
        <v>0.96978728801070102</v>
      </c>
      <c r="S5335" t="s">
        <v>11981</v>
      </c>
      <c r="T5335" t="s">
        <v>13290</v>
      </c>
      <c r="U5335" t="s">
        <v>13290</v>
      </c>
      <c r="V5335" t="s">
        <v>13290</v>
      </c>
      <c r="W5335" t="s">
        <v>18575</v>
      </c>
      <c r="X5335">
        <v>3</v>
      </c>
      <c r="Y5335" t="s">
        <v>25053</v>
      </c>
      <c r="Z5335" t="s">
        <v>31665</v>
      </c>
      <c r="AA5335">
        <v>0.40036461105856619</v>
      </c>
      <c r="AB5335" t="str">
        <f>HYPERLINK("Melting_Curves/meltCurve_Q9BQ67_GRWD1.pdf", "Melting_Curves/meltCurve_Q9BQ67_GRWD1.pdf")</f>
        <v>Melting_Curves/meltCurve_Q9BQ67_GRWD1.pdf</v>
      </c>
    </row>
    <row r="5336" spans="1:28" x14ac:dyDescent="0.25">
      <c r="A5336" t="s">
        <v>5340</v>
      </c>
      <c r="B5336">
        <v>0.99252571173614901</v>
      </c>
      <c r="C5336">
        <v>1.0238013855632599</v>
      </c>
      <c r="D5336">
        <v>0.80895114304947902</v>
      </c>
      <c r="E5336">
        <v>0.364759470915203</v>
      </c>
      <c r="F5336">
        <v>0.15839741086588899</v>
      </c>
      <c r="G5336">
        <v>8.02387654040283E-2</v>
      </c>
      <c r="H5336">
        <v>5.7982632711630303E-2</v>
      </c>
      <c r="I5336">
        <v>6.20363498684516E-2</v>
      </c>
      <c r="J5336">
        <v>8.1018692157645497E-2</v>
      </c>
      <c r="K5336">
        <v>7.5558916746567298E-2</v>
      </c>
      <c r="L5336">
        <v>1370.0104570528199</v>
      </c>
      <c r="M5336">
        <v>28.367517090379099</v>
      </c>
      <c r="N5336">
        <v>48.5592875711747</v>
      </c>
      <c r="O5336">
        <v>48.056955329271297</v>
      </c>
      <c r="P5336">
        <v>-0.13701892130408799</v>
      </c>
      <c r="Q5336">
        <v>7.1521383118062207E-2</v>
      </c>
      <c r="R5336">
        <v>0.99758359541982999</v>
      </c>
      <c r="S5336" t="s">
        <v>11982</v>
      </c>
      <c r="T5336" t="s">
        <v>13290</v>
      </c>
      <c r="U5336" t="s">
        <v>13290</v>
      </c>
      <c r="V5336" t="s">
        <v>13290</v>
      </c>
      <c r="W5336" t="s">
        <v>18576</v>
      </c>
      <c r="X5336">
        <v>15</v>
      </c>
      <c r="Y5336" t="s">
        <v>25054</v>
      </c>
      <c r="Z5336" t="s">
        <v>31666</v>
      </c>
      <c r="AA5336">
        <v>0.33454342759891759</v>
      </c>
      <c r="AB5336" t="str">
        <f>HYPERLINK("Melting_Curves/meltCurve_Q9BQ69_MACROD1.pdf", "Melting_Curves/meltCurve_Q9BQ69_MACROD1.pdf")</f>
        <v>Melting_Curves/meltCurve_Q9BQ69_MACROD1.pdf</v>
      </c>
    </row>
    <row r="5337" spans="1:28" x14ac:dyDescent="0.25">
      <c r="A5337" t="s">
        <v>5341</v>
      </c>
      <c r="B5337">
        <v>0.99252571173614901</v>
      </c>
      <c r="C5337">
        <v>0.98383834942838699</v>
      </c>
      <c r="D5337">
        <v>0.77040679695041703</v>
      </c>
      <c r="E5337">
        <v>0.40461813042165201</v>
      </c>
      <c r="F5337">
        <v>0.14703529852125999</v>
      </c>
      <c r="G5337">
        <v>8.8055497700433402E-2</v>
      </c>
      <c r="H5337">
        <v>7.6966950450660807E-2</v>
      </c>
      <c r="I5337">
        <v>9.0024176630763494E-2</v>
      </c>
      <c r="J5337">
        <v>0.13474128822819301</v>
      </c>
      <c r="K5337">
        <v>0.141690058613096</v>
      </c>
      <c r="L5337">
        <v>1260.8245992069301</v>
      </c>
      <c r="M5337">
        <v>26.211463786520699</v>
      </c>
      <c r="N5337">
        <v>48.517750749056603</v>
      </c>
      <c r="O5337">
        <v>47.824664862856302</v>
      </c>
      <c r="P5337">
        <v>-0.12323824846246501</v>
      </c>
      <c r="Q5337">
        <v>0.100582535681751</v>
      </c>
      <c r="R5337">
        <v>0.99521186977362897</v>
      </c>
      <c r="S5337" t="s">
        <v>11983</v>
      </c>
      <c r="T5337" t="s">
        <v>13290</v>
      </c>
      <c r="U5337" t="s">
        <v>13290</v>
      </c>
      <c r="V5337" t="s">
        <v>13290</v>
      </c>
      <c r="W5337" t="s">
        <v>18577</v>
      </c>
      <c r="X5337">
        <v>7</v>
      </c>
      <c r="Y5337" t="s">
        <v>25055</v>
      </c>
      <c r="Z5337" t="s">
        <v>31667</v>
      </c>
      <c r="AA5337">
        <v>0.35067791598639902</v>
      </c>
      <c r="AB5337" t="str">
        <f>HYPERLINK("Melting_Curves/meltCurve_Q9BQ70_TCF25.pdf", "Melting_Curves/meltCurve_Q9BQ70_TCF25.pdf")</f>
        <v>Melting_Curves/meltCurve_Q9BQ70_TCF25.pdf</v>
      </c>
    </row>
    <row r="5338" spans="1:28" x14ac:dyDescent="0.25">
      <c r="A5338" t="s">
        <v>5342</v>
      </c>
      <c r="B5338">
        <v>0.99252571173614901</v>
      </c>
      <c r="C5338">
        <v>0.90395356486170697</v>
      </c>
      <c r="D5338">
        <v>0.850865887151532</v>
      </c>
      <c r="E5338">
        <v>0.83080839798047101</v>
      </c>
      <c r="F5338">
        <v>0.79182293655647595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5526.7255156156698</v>
      </c>
      <c r="M5338">
        <v>102.55173381041099</v>
      </c>
      <c r="N5338">
        <v>53.892078285395101</v>
      </c>
      <c r="O5338">
        <v>53.8715888007738</v>
      </c>
      <c r="P5338">
        <v>-0.47590827384601098</v>
      </c>
      <c r="Q5338">
        <v>0</v>
      </c>
      <c r="R5338">
        <v>0.968906542776102</v>
      </c>
      <c r="S5338" t="s">
        <v>11984</v>
      </c>
      <c r="T5338" t="s">
        <v>13290</v>
      </c>
      <c r="U5338" t="s">
        <v>13290</v>
      </c>
      <c r="V5338" t="s">
        <v>13290</v>
      </c>
      <c r="W5338" t="s">
        <v>18578</v>
      </c>
      <c r="X5338">
        <v>1</v>
      </c>
      <c r="Y5338" t="s">
        <v>25056</v>
      </c>
      <c r="Z5338" t="s">
        <v>31668</v>
      </c>
      <c r="AA5338">
        <v>0.46363178550374712</v>
      </c>
      <c r="AB5338" t="str">
        <f>HYPERLINK("Melting_Curves/meltCurve_Q9BQ90_KLHDC3.pdf", "Melting_Curves/meltCurve_Q9BQ90_KLHDC3.pdf")</f>
        <v>Melting_Curves/meltCurve_Q9BQ90_KLHDC3.pdf</v>
      </c>
    </row>
    <row r="5339" spans="1:28" x14ac:dyDescent="0.25">
      <c r="A5339" t="s">
        <v>5343</v>
      </c>
      <c r="B5339">
        <v>0.99252571173614901</v>
      </c>
      <c r="C5339">
        <v>0.76037879995498003</v>
      </c>
      <c r="D5339">
        <v>0.72243777136074605</v>
      </c>
      <c r="E5339">
        <v>0.71697122687263104</v>
      </c>
      <c r="F5339">
        <v>0.62157226399902499</v>
      </c>
      <c r="G5339">
        <v>0.47980351516349101</v>
      </c>
      <c r="H5339">
        <v>0.25548107978871398</v>
      </c>
      <c r="I5339">
        <v>0.11389546492290401</v>
      </c>
      <c r="J5339">
        <v>7.2601262302137495E-2</v>
      </c>
      <c r="K5339">
        <v>5.5859259295613597E-2</v>
      </c>
      <c r="L5339">
        <v>480.35355289842602</v>
      </c>
      <c r="M5339">
        <v>8.9266968475008692</v>
      </c>
      <c r="N5339">
        <v>53.810895415997003</v>
      </c>
      <c r="O5339">
        <v>51.315976653937803</v>
      </c>
      <c r="P5339">
        <v>-4.35214525273332E-2</v>
      </c>
      <c r="Q5339">
        <v>0</v>
      </c>
      <c r="R5339">
        <v>0.93358911203767503</v>
      </c>
      <c r="S5339" t="s">
        <v>11985</v>
      </c>
      <c r="T5339" t="s">
        <v>13290</v>
      </c>
      <c r="U5339" t="s">
        <v>13290</v>
      </c>
      <c r="V5339" t="s">
        <v>13290</v>
      </c>
      <c r="W5339" t="s">
        <v>18579</v>
      </c>
      <c r="X5339">
        <v>8</v>
      </c>
      <c r="Y5339" t="s">
        <v>25057</v>
      </c>
      <c r="Z5339" t="s">
        <v>31669</v>
      </c>
      <c r="AA5339">
        <v>0.49374624073851542</v>
      </c>
      <c r="AB5339" t="str">
        <f>HYPERLINK("Melting_Curves/meltCurve_Q9BQ95_ECSIT.pdf", "Melting_Curves/meltCurve_Q9BQ95_ECSIT.pdf")</f>
        <v>Melting_Curves/meltCurve_Q9BQ95_ECSIT.pdf</v>
      </c>
    </row>
    <row r="5340" spans="1:28" x14ac:dyDescent="0.25">
      <c r="A5340" t="s">
        <v>5344</v>
      </c>
      <c r="B5340">
        <v>0.99252571173614901</v>
      </c>
      <c r="C5340">
        <v>0.83593092943150205</v>
      </c>
      <c r="D5340">
        <v>1.24539298824066</v>
      </c>
      <c r="E5340">
        <v>1.2103048193105601</v>
      </c>
      <c r="F5340">
        <v>1.0320336298157999</v>
      </c>
      <c r="G5340">
        <v>0.34190488219632198</v>
      </c>
      <c r="H5340">
        <v>0.13571238406607899</v>
      </c>
      <c r="I5340">
        <v>0.13890351008017501</v>
      </c>
      <c r="J5340">
        <v>0.100855531840716</v>
      </c>
      <c r="K5340">
        <v>8.4804764864726503E-2</v>
      </c>
      <c r="L5340">
        <v>14139.501031080599</v>
      </c>
      <c r="M5340">
        <v>250</v>
      </c>
      <c r="N5340">
        <v>56.617252330405798</v>
      </c>
      <c r="O5340">
        <v>56.554384807068203</v>
      </c>
      <c r="P5340">
        <v>-0.977964584673923</v>
      </c>
      <c r="Q5340">
        <v>0.115069034158815</v>
      </c>
      <c r="R5340">
        <v>0.93865160491830202</v>
      </c>
      <c r="S5340" t="s">
        <v>11986</v>
      </c>
      <c r="T5340" t="s">
        <v>13290</v>
      </c>
      <c r="U5340" t="s">
        <v>13290</v>
      </c>
      <c r="V5340" t="s">
        <v>13290</v>
      </c>
      <c r="W5340" t="s">
        <v>18580</v>
      </c>
      <c r="X5340">
        <v>7</v>
      </c>
      <c r="Y5340" t="s">
        <v>25058</v>
      </c>
      <c r="Z5340" t="s">
        <v>31670</v>
      </c>
      <c r="AA5340">
        <v>0.60357989041027116</v>
      </c>
      <c r="AB5340" t="str">
        <f>HYPERLINK("Melting_Curves/meltCurve_Q9BQA1_WDR77.pdf", "Melting_Curves/meltCurve_Q9BQA1_WDR77.pdf")</f>
        <v>Melting_Curves/meltCurve_Q9BQA1_WDR77.pdf</v>
      </c>
    </row>
    <row r="5341" spans="1:28" x14ac:dyDescent="0.25">
      <c r="A5341" t="s">
        <v>5345</v>
      </c>
      <c r="B5341">
        <v>0.99252571173614901</v>
      </c>
      <c r="C5341">
        <v>0.99869762399759898</v>
      </c>
      <c r="D5341">
        <v>0.97542137061729595</v>
      </c>
      <c r="E5341">
        <v>0.90702288251118501</v>
      </c>
      <c r="F5341">
        <v>0.69087352124772805</v>
      </c>
      <c r="G5341">
        <v>0.38277270071061997</v>
      </c>
      <c r="H5341">
        <v>0.180533492492954</v>
      </c>
      <c r="I5341">
        <v>0.17001363313442699</v>
      </c>
      <c r="J5341">
        <v>0.12937035701959701</v>
      </c>
      <c r="K5341">
        <v>0.12514499554303099</v>
      </c>
      <c r="L5341">
        <v>1214.95882268113</v>
      </c>
      <c r="M5341">
        <v>22.253127608303199</v>
      </c>
      <c r="N5341">
        <v>55.269724830667897</v>
      </c>
      <c r="O5341">
        <v>54.162037614612103</v>
      </c>
      <c r="P5341">
        <v>-9.0534702370488607E-2</v>
      </c>
      <c r="Q5341">
        <v>0.118606459856975</v>
      </c>
      <c r="R5341">
        <v>0.99921774723520795</v>
      </c>
      <c r="S5341" t="s">
        <v>11987</v>
      </c>
      <c r="T5341" t="s">
        <v>13290</v>
      </c>
      <c r="U5341" t="s">
        <v>13290</v>
      </c>
      <c r="V5341" t="s">
        <v>13290</v>
      </c>
      <c r="W5341" t="s">
        <v>18581</v>
      </c>
      <c r="X5341">
        <v>10</v>
      </c>
      <c r="Y5341" t="s">
        <v>25059</v>
      </c>
      <c r="Z5341" t="s">
        <v>31671</v>
      </c>
      <c r="AA5341">
        <v>0.55744815193252206</v>
      </c>
      <c r="AB5341" t="str">
        <f>HYPERLINK("Melting_Curves/meltCurve_Q9BQC3_DPH2.pdf", "Melting_Curves/meltCurve_Q9BQC3_DPH2.pdf")</f>
        <v>Melting_Curves/meltCurve_Q9BQC3_DPH2.pdf</v>
      </c>
    </row>
    <row r="5342" spans="1:28" x14ac:dyDescent="0.25">
      <c r="A5342" t="s">
        <v>5346</v>
      </c>
      <c r="B5342">
        <v>0.99252571173614901</v>
      </c>
      <c r="C5342">
        <v>1.0278443002915401</v>
      </c>
      <c r="D5342">
        <v>0.88024234552728198</v>
      </c>
      <c r="E5342">
        <v>0.62440207903246003</v>
      </c>
      <c r="F5342">
        <v>0.30627492006686302</v>
      </c>
      <c r="G5342">
        <v>0.196792967652789</v>
      </c>
      <c r="H5342">
        <v>0.181227580717123</v>
      </c>
      <c r="I5342">
        <v>0.28471162212102702</v>
      </c>
      <c r="J5342">
        <v>0.25583180455167598</v>
      </c>
      <c r="K5342">
        <v>0.29735575425507499</v>
      </c>
      <c r="L5342">
        <v>1479.77986019525</v>
      </c>
      <c r="M5342">
        <v>29.940462028894501</v>
      </c>
      <c r="N5342">
        <v>50.520640600057199</v>
      </c>
      <c r="O5342">
        <v>49.205171351489298</v>
      </c>
      <c r="P5342">
        <v>-0.115773985128174</v>
      </c>
      <c r="Q5342">
        <v>0.23893741202312199</v>
      </c>
      <c r="R5342">
        <v>0.98404496671520503</v>
      </c>
      <c r="S5342" t="s">
        <v>11988</v>
      </c>
      <c r="T5342" t="s">
        <v>13290</v>
      </c>
      <c r="U5342" t="s">
        <v>13290</v>
      </c>
      <c r="V5342" t="s">
        <v>13290</v>
      </c>
      <c r="W5342" t="s">
        <v>18582</v>
      </c>
      <c r="X5342">
        <v>9</v>
      </c>
      <c r="Y5342" t="s">
        <v>25060</v>
      </c>
      <c r="Z5342" t="s">
        <v>31672</v>
      </c>
      <c r="AA5342">
        <v>0.48269813588577748</v>
      </c>
      <c r="AB5342" t="str">
        <f>HYPERLINK("Melting_Curves/meltCurve_Q9BQG0_MYBBP1A.pdf", "Melting_Curves/meltCurve_Q9BQG0_MYBBP1A.pdf")</f>
        <v>Melting_Curves/meltCurve_Q9BQG0_MYBBP1A.pdf</v>
      </c>
    </row>
    <row r="5343" spans="1:28" x14ac:dyDescent="0.25">
      <c r="A5343" t="s">
        <v>5347</v>
      </c>
      <c r="B5343">
        <v>0.99252571173614901</v>
      </c>
      <c r="C5343">
        <v>1.04205059676505</v>
      </c>
      <c r="D5343">
        <v>0.86539270788973599</v>
      </c>
      <c r="E5343">
        <v>0.50036473063630005</v>
      </c>
      <c r="F5343">
        <v>0.186753670803563</v>
      </c>
      <c r="G5343">
        <v>0.113170811593238</v>
      </c>
      <c r="H5343">
        <v>8.3166585083141606E-2</v>
      </c>
      <c r="I5343">
        <v>8.7907652565860597E-2</v>
      </c>
      <c r="J5343">
        <v>8.9635913597769207E-2</v>
      </c>
      <c r="K5343">
        <v>8.0448273375732196E-2</v>
      </c>
      <c r="L5343">
        <v>1349.1720511178601</v>
      </c>
      <c r="M5343">
        <v>27.405790711127601</v>
      </c>
      <c r="N5343">
        <v>49.564392801635996</v>
      </c>
      <c r="O5343">
        <v>48.969586134091799</v>
      </c>
      <c r="P5343">
        <v>-0.12808684249636601</v>
      </c>
      <c r="Q5343">
        <v>8.4529289296529406E-2</v>
      </c>
      <c r="R5343">
        <v>0.99746128689505398</v>
      </c>
      <c r="S5343" t="s">
        <v>11989</v>
      </c>
      <c r="T5343" t="s">
        <v>13290</v>
      </c>
      <c r="U5343" t="s">
        <v>13290</v>
      </c>
      <c r="V5343" t="s">
        <v>13290</v>
      </c>
      <c r="W5343" t="s">
        <v>18583</v>
      </c>
      <c r="X5343">
        <v>13</v>
      </c>
      <c r="Y5343" t="s">
        <v>25061</v>
      </c>
      <c r="Z5343" t="s">
        <v>31673</v>
      </c>
      <c r="AA5343">
        <v>0.3729038204273597</v>
      </c>
      <c r="AB5343" t="str">
        <f>HYPERLINK("Melting_Curves/meltCurve_Q9BQL6_FERMT1.pdf", "Melting_Curves/meltCurve_Q9BQL6_FERMT1.pdf")</f>
        <v>Melting_Curves/meltCurve_Q9BQL6_FERMT1.pdf</v>
      </c>
    </row>
    <row r="5344" spans="1:28" x14ac:dyDescent="0.25">
      <c r="A5344" t="s">
        <v>5348</v>
      </c>
      <c r="B5344">
        <v>0.99252571173614901</v>
      </c>
      <c r="C5344">
        <v>1.1169938804005899</v>
      </c>
      <c r="D5344">
        <v>0.93986455243419298</v>
      </c>
      <c r="E5344">
        <v>0.85284373338626196</v>
      </c>
      <c r="F5344">
        <v>0.54733588172594905</v>
      </c>
      <c r="G5344">
        <v>0.168576538061079</v>
      </c>
      <c r="H5344">
        <v>6.7188183945798299E-2</v>
      </c>
      <c r="I5344">
        <v>6.0839862403565502E-2</v>
      </c>
      <c r="J5344">
        <v>6.5721134564345807E-2</v>
      </c>
      <c r="K5344">
        <v>6.59780493961869E-2</v>
      </c>
      <c r="L5344">
        <v>1418.7021124959499</v>
      </c>
      <c r="M5344">
        <v>26.693303670193099</v>
      </c>
      <c r="N5344">
        <v>53.360151262345902</v>
      </c>
      <c r="O5344">
        <v>52.852639943224297</v>
      </c>
      <c r="P5344">
        <v>-0.119914180859619</v>
      </c>
      <c r="Q5344">
        <v>5.0291361331910402E-2</v>
      </c>
      <c r="R5344">
        <v>0.98957929279424095</v>
      </c>
      <c r="S5344" t="s">
        <v>11990</v>
      </c>
      <c r="T5344" t="s">
        <v>13290</v>
      </c>
      <c r="U5344" t="s">
        <v>13290</v>
      </c>
      <c r="V5344" t="s">
        <v>13290</v>
      </c>
      <c r="W5344" t="s">
        <v>18584</v>
      </c>
      <c r="X5344">
        <v>14</v>
      </c>
      <c r="Y5344" t="s">
        <v>25062</v>
      </c>
      <c r="Z5344" t="s">
        <v>31674</v>
      </c>
      <c r="AA5344">
        <v>0.47425851122908458</v>
      </c>
      <c r="AB5344" t="str">
        <f>HYPERLINK("Melting_Curves/meltCurve_Q9BQP7_MGME1.pdf", "Melting_Curves/meltCurve_Q9BQP7_MGME1.pdf")</f>
        <v>Melting_Curves/meltCurve_Q9BQP7_MGME1.pdf</v>
      </c>
    </row>
    <row r="5345" spans="1:28" x14ac:dyDescent="0.25">
      <c r="A5345" t="s">
        <v>5349</v>
      </c>
      <c r="B5345">
        <v>0.99252571173614901</v>
      </c>
      <c r="C5345">
        <v>0.76848394426738498</v>
      </c>
      <c r="D5345">
        <v>0.613195202615191</v>
      </c>
      <c r="E5345">
        <v>0.47622039873736199</v>
      </c>
      <c r="F5345">
        <v>0.42206890958501803</v>
      </c>
      <c r="G5345">
        <v>0.23233397625545499</v>
      </c>
      <c r="H5345">
        <v>0.171888395561313</v>
      </c>
      <c r="I5345">
        <v>0.11759987808087299</v>
      </c>
      <c r="J5345">
        <v>0.14421230580203001</v>
      </c>
      <c r="K5345">
        <v>0.16640586005038099</v>
      </c>
      <c r="L5345">
        <v>507.02003719437897</v>
      </c>
      <c r="M5345">
        <v>10.5310886496463</v>
      </c>
      <c r="N5345">
        <v>49.187569280397</v>
      </c>
      <c r="O5345">
        <v>46.506262469215102</v>
      </c>
      <c r="P5345">
        <v>-5.0969149162110101E-2</v>
      </c>
      <c r="Q5345">
        <v>0.100021088372024</v>
      </c>
      <c r="R5345">
        <v>0.97409778316921802</v>
      </c>
      <c r="S5345" t="s">
        <v>11991</v>
      </c>
      <c r="T5345" t="s">
        <v>13290</v>
      </c>
      <c r="U5345" t="s">
        <v>13290</v>
      </c>
      <c r="V5345" t="s">
        <v>13290</v>
      </c>
      <c r="W5345" t="s">
        <v>18585</v>
      </c>
      <c r="X5345">
        <v>3</v>
      </c>
      <c r="Y5345" t="s">
        <v>25063</v>
      </c>
      <c r="Z5345" t="s">
        <v>31675</v>
      </c>
      <c r="AA5345">
        <v>0.38780820383777909</v>
      </c>
      <c r="AB5345" t="str">
        <f>HYPERLINK("Melting_Curves/meltCurve_Q9BQQ3_GORASP1.pdf", "Melting_Curves/meltCurve_Q9BQQ3_GORASP1.pdf")</f>
        <v>Melting_Curves/meltCurve_Q9BQQ3_GORASP1.pdf</v>
      </c>
    </row>
    <row r="5346" spans="1:28" x14ac:dyDescent="0.25">
      <c r="A5346" t="s">
        <v>5350</v>
      </c>
      <c r="B5346">
        <v>0.99252571173614901</v>
      </c>
      <c r="C5346">
        <v>0.938616214202183</v>
      </c>
      <c r="D5346">
        <v>0.67041189928189404</v>
      </c>
      <c r="E5346">
        <v>0.35637481203103999</v>
      </c>
      <c r="F5346">
        <v>0.21060562883749601</v>
      </c>
      <c r="G5346">
        <v>0.101731988151643</v>
      </c>
      <c r="H5346">
        <v>8.8743696109342601E-2</v>
      </c>
      <c r="I5346">
        <v>0.10039752279263001</v>
      </c>
      <c r="J5346">
        <v>0.119914642013064</v>
      </c>
      <c r="K5346">
        <v>0.124404790058253</v>
      </c>
      <c r="L5346">
        <v>1015.71526761685</v>
      </c>
      <c r="M5346">
        <v>21.441280218066598</v>
      </c>
      <c r="N5346">
        <v>47.895327975605802</v>
      </c>
      <c r="O5346">
        <v>46.965656282491103</v>
      </c>
      <c r="P5346">
        <v>-0.10221521673143</v>
      </c>
      <c r="Q5346">
        <v>0.10444040087228899</v>
      </c>
      <c r="R5346">
        <v>0.99670662089605899</v>
      </c>
      <c r="S5346" t="s">
        <v>11992</v>
      </c>
      <c r="T5346" t="s">
        <v>13290</v>
      </c>
      <c r="U5346" t="s">
        <v>13290</v>
      </c>
      <c r="V5346" t="s">
        <v>13290</v>
      </c>
      <c r="W5346" t="s">
        <v>18586</v>
      </c>
      <c r="X5346">
        <v>18</v>
      </c>
      <c r="Y5346" t="s">
        <v>25064</v>
      </c>
      <c r="Z5346" t="s">
        <v>31676</v>
      </c>
      <c r="AA5346">
        <v>0.3356216460197135</v>
      </c>
      <c r="AB5346" t="str">
        <f>HYPERLINK("Melting_Curves/meltCurve_Q9BQS8_FYCO1.pdf", "Melting_Curves/meltCurve_Q9BQS8_FYCO1.pdf")</f>
        <v>Melting_Curves/meltCurve_Q9BQS8_FYCO1.pdf</v>
      </c>
    </row>
    <row r="5347" spans="1:28" x14ac:dyDescent="0.25">
      <c r="A5347" t="s">
        <v>5351</v>
      </c>
      <c r="B5347">
        <v>0.99252571173614901</v>
      </c>
      <c r="C5347">
        <v>0.95189970391428202</v>
      </c>
      <c r="D5347">
        <v>0.749570066328344</v>
      </c>
      <c r="E5347">
        <v>0.89731596976980599</v>
      </c>
      <c r="F5347">
        <v>0.54726235454771699</v>
      </c>
      <c r="G5347">
        <v>0.45188593455493498</v>
      </c>
      <c r="H5347">
        <v>0.45208565198360501</v>
      </c>
      <c r="I5347">
        <v>0.69061108702836504</v>
      </c>
      <c r="J5347">
        <v>0.90913589171134002</v>
      </c>
      <c r="K5347">
        <v>0.83126535133899604</v>
      </c>
      <c r="L5347">
        <v>991.78940468501401</v>
      </c>
      <c r="M5347">
        <v>21.716985426108401</v>
      </c>
      <c r="O5347">
        <v>45.286875522433199</v>
      </c>
      <c r="P5347">
        <v>-4.0166491653468903E-2</v>
      </c>
      <c r="Q5347">
        <v>0.66496771377060804</v>
      </c>
      <c r="R5347">
        <v>0.36912998302597799</v>
      </c>
      <c r="S5347" t="s">
        <v>11993</v>
      </c>
      <c r="T5347" t="s">
        <v>13290</v>
      </c>
      <c r="U5347" t="s">
        <v>13290</v>
      </c>
      <c r="V5347" t="s">
        <v>13290</v>
      </c>
      <c r="W5347" t="s">
        <v>18587</v>
      </c>
      <c r="X5347">
        <v>2</v>
      </c>
      <c r="Y5347" t="s">
        <v>25065</v>
      </c>
      <c r="Z5347" t="s">
        <v>31677</v>
      </c>
      <c r="AA5347">
        <v>0.73266331855491917</v>
      </c>
      <c r="AB5347" t="str">
        <f>HYPERLINK("Melting_Curves/meltCurve_Q9BQT8_2_SLC25A21.pdf", "Melting_Curves/meltCurve_Q9BQT8_2_SLC25A21.pdf")</f>
        <v>Melting_Curves/meltCurve_Q9BQT8_2_SLC25A21.pdf</v>
      </c>
    </row>
    <row r="5348" spans="1:28" x14ac:dyDescent="0.25">
      <c r="A5348" t="s">
        <v>5352</v>
      </c>
      <c r="B5348">
        <v>0.99252571173614901</v>
      </c>
      <c r="C5348">
        <v>0.896880005178321</v>
      </c>
      <c r="D5348">
        <v>0.81598905916311704</v>
      </c>
      <c r="E5348">
        <v>0.76766265081138196</v>
      </c>
      <c r="F5348">
        <v>0.43149731365632399</v>
      </c>
      <c r="G5348">
        <v>0.23930979035514899</v>
      </c>
      <c r="H5348">
        <v>0.187618471248782</v>
      </c>
      <c r="I5348">
        <v>0.149145146569861</v>
      </c>
      <c r="J5348">
        <v>0.25222385244508899</v>
      </c>
      <c r="K5348">
        <v>0.24286475246206601</v>
      </c>
      <c r="L5348">
        <v>921.68427722923298</v>
      </c>
      <c r="M5348">
        <v>18.121923303345</v>
      </c>
      <c r="N5348">
        <v>52.169810232060399</v>
      </c>
      <c r="O5348">
        <v>50.253004785476797</v>
      </c>
      <c r="P5348">
        <v>-7.3681439674931501E-2</v>
      </c>
      <c r="Q5348">
        <v>0.18275022416068001</v>
      </c>
      <c r="R5348">
        <v>0.96765006773997797</v>
      </c>
      <c r="S5348" t="s">
        <v>11994</v>
      </c>
      <c r="T5348" t="s">
        <v>13290</v>
      </c>
      <c r="U5348" t="s">
        <v>13290</v>
      </c>
      <c r="V5348" t="s">
        <v>13290</v>
      </c>
      <c r="W5348" t="s">
        <v>18588</v>
      </c>
      <c r="X5348">
        <v>1</v>
      </c>
      <c r="Y5348" t="s">
        <v>25066</v>
      </c>
      <c r="Z5348" t="s">
        <v>31678</v>
      </c>
      <c r="AA5348">
        <v>0.49222375191028722</v>
      </c>
      <c r="AB5348" t="str">
        <f>HYPERLINK("Melting_Curves/meltCurve_Q9BQT9_CLSTN3.pdf", "Melting_Curves/meltCurve_Q9BQT9_CLSTN3.pdf")</f>
        <v>Melting_Curves/meltCurve_Q9BQT9_CLSTN3.pdf</v>
      </c>
    </row>
    <row r="5349" spans="1:28" x14ac:dyDescent="0.25">
      <c r="A5349" t="s">
        <v>5353</v>
      </c>
      <c r="B5349">
        <v>0.99252571173614901</v>
      </c>
      <c r="C5349">
        <v>0.96786155064782098</v>
      </c>
      <c r="D5349">
        <v>0.49267139883813998</v>
      </c>
      <c r="E5349">
        <v>0.314076655543303</v>
      </c>
      <c r="F5349">
        <v>0.27435959673945198</v>
      </c>
      <c r="G5349">
        <v>0.134679836107579</v>
      </c>
      <c r="H5349">
        <v>0.151261206055747</v>
      </c>
      <c r="I5349">
        <v>0.19899154317321099</v>
      </c>
      <c r="J5349">
        <v>0.63513632752979798</v>
      </c>
      <c r="K5349">
        <v>0.37965140483243598</v>
      </c>
      <c r="L5349">
        <v>2503.8294174499702</v>
      </c>
      <c r="M5349">
        <v>55.380913183824497</v>
      </c>
      <c r="N5349">
        <v>45.9610477391969</v>
      </c>
      <c r="O5349">
        <v>45.152217213894801</v>
      </c>
      <c r="P5349">
        <v>-0.21542178649669599</v>
      </c>
      <c r="Q5349">
        <v>0.29746439353115001</v>
      </c>
      <c r="R5349">
        <v>0.80199371259888297</v>
      </c>
      <c r="S5349" t="s">
        <v>11995</v>
      </c>
      <c r="T5349" t="s">
        <v>13290</v>
      </c>
      <c r="U5349" t="s">
        <v>13290</v>
      </c>
      <c r="V5349" t="s">
        <v>13290</v>
      </c>
      <c r="W5349" t="s">
        <v>18589</v>
      </c>
      <c r="X5349">
        <v>5</v>
      </c>
      <c r="Y5349" t="s">
        <v>25067</v>
      </c>
      <c r="Z5349" t="s">
        <v>31679</v>
      </c>
      <c r="AA5349">
        <v>0.4206475780333282</v>
      </c>
      <c r="AB5349" t="str">
        <f>HYPERLINK("Melting_Curves/meltCurve_Q9BR61_ACBD6.pdf", "Melting_Curves/meltCurve_Q9BR61_ACBD6.pdf")</f>
        <v>Melting_Curves/meltCurve_Q9BR61_ACBD6.pdf</v>
      </c>
    </row>
    <row r="5350" spans="1:28" x14ac:dyDescent="0.25">
      <c r="A5350" t="s">
        <v>5354</v>
      </c>
      <c r="B5350">
        <v>0.99252571173614901</v>
      </c>
      <c r="C5350">
        <v>0.87121503818442803</v>
      </c>
      <c r="D5350">
        <v>1.0180519028056501</v>
      </c>
      <c r="E5350">
        <v>0.84821984884595802</v>
      </c>
      <c r="F5350">
        <v>0.18593881157450601</v>
      </c>
      <c r="G5350">
        <v>0.101291095610928</v>
      </c>
      <c r="H5350">
        <v>7.6615475167130104E-2</v>
      </c>
      <c r="I5350">
        <v>7.9043022919666903E-2</v>
      </c>
      <c r="J5350">
        <v>9.5109290580396702E-2</v>
      </c>
      <c r="K5350">
        <v>9.7802991404504297E-2</v>
      </c>
      <c r="L5350">
        <v>2742.4247290210101</v>
      </c>
      <c r="M5350">
        <v>53.676895428667699</v>
      </c>
      <c r="N5350">
        <v>51.278777836095301</v>
      </c>
      <c r="O5350">
        <v>51.020577305015898</v>
      </c>
      <c r="P5350">
        <v>-0.239587333925463</v>
      </c>
      <c r="Q5350">
        <v>8.9077253344630403E-2</v>
      </c>
      <c r="R5350">
        <v>0.98952420779370998</v>
      </c>
      <c r="S5350" t="s">
        <v>11996</v>
      </c>
      <c r="T5350" t="s">
        <v>13290</v>
      </c>
      <c r="U5350" t="s">
        <v>13290</v>
      </c>
      <c r="V5350" t="s">
        <v>13290</v>
      </c>
      <c r="W5350" t="s">
        <v>18590</v>
      </c>
      <c r="X5350">
        <v>23</v>
      </c>
      <c r="Y5350" t="s">
        <v>25068</v>
      </c>
      <c r="Z5350" t="s">
        <v>31680</v>
      </c>
      <c r="AA5350">
        <v>0.42763578223683057</v>
      </c>
      <c r="AB5350" t="str">
        <f>HYPERLINK("Melting_Curves/meltCurve_Q9BR76_CORO1B.pdf", "Melting_Curves/meltCurve_Q9BR76_CORO1B.pdf")</f>
        <v>Melting_Curves/meltCurve_Q9BR76_CORO1B.pdf</v>
      </c>
    </row>
    <row r="5351" spans="1:28" x14ac:dyDescent="0.25">
      <c r="A5351" t="s">
        <v>5355</v>
      </c>
      <c r="B5351">
        <v>0.99252571173614901</v>
      </c>
      <c r="C5351">
        <v>0.99910653836447805</v>
      </c>
      <c r="D5351">
        <v>0.91757218112437799</v>
      </c>
      <c r="E5351">
        <v>0.73723374597907798</v>
      </c>
      <c r="F5351">
        <v>0.314574970703072</v>
      </c>
      <c r="G5351">
        <v>0.19952331613859001</v>
      </c>
      <c r="H5351">
        <v>0.12163550746469</v>
      </c>
      <c r="I5351">
        <v>0.10714378580178199</v>
      </c>
      <c r="J5351">
        <v>0.132914856262594</v>
      </c>
      <c r="K5351">
        <v>0.16209257311858999</v>
      </c>
      <c r="L5351">
        <v>1403.3293628220099</v>
      </c>
      <c r="M5351">
        <v>27.5630993574717</v>
      </c>
      <c r="N5351">
        <v>51.4762298837882</v>
      </c>
      <c r="O5351">
        <v>50.647604587011003</v>
      </c>
      <c r="P5351">
        <v>-0.118352106239699</v>
      </c>
      <c r="Q5351">
        <v>0.13011294181791699</v>
      </c>
      <c r="R5351">
        <v>0.99649129854348095</v>
      </c>
      <c r="S5351" t="s">
        <v>11997</v>
      </c>
      <c r="T5351" t="s">
        <v>13290</v>
      </c>
      <c r="U5351" t="s">
        <v>13290</v>
      </c>
      <c r="V5351" t="s">
        <v>13290</v>
      </c>
      <c r="W5351" t="s">
        <v>18591</v>
      </c>
      <c r="X5351">
        <v>3</v>
      </c>
      <c r="Y5351" t="s">
        <v>25069</v>
      </c>
      <c r="Z5351" t="s">
        <v>31681</v>
      </c>
      <c r="AA5351">
        <v>0.45302825282257603</v>
      </c>
      <c r="AB5351" t="str">
        <f>HYPERLINK("Melting_Curves/meltCurve_Q9BRA0_2_LSMD1.pdf", "Melting_Curves/meltCurve_Q9BRA0_2_LSMD1.pdf")</f>
        <v>Melting_Curves/meltCurve_Q9BRA0_2_LSMD1.pdf</v>
      </c>
    </row>
    <row r="5352" spans="1:28" x14ac:dyDescent="0.25">
      <c r="A5352" t="s">
        <v>5356</v>
      </c>
      <c r="B5352">
        <v>0.99252571173614901</v>
      </c>
      <c r="C5352">
        <v>1.1470056342347901</v>
      </c>
      <c r="D5352">
        <v>1.0322551580092001</v>
      </c>
      <c r="E5352">
        <v>0.79035352618193599</v>
      </c>
      <c r="F5352">
        <v>0.29460877936706398</v>
      </c>
      <c r="G5352">
        <v>0.174267964610656</v>
      </c>
      <c r="H5352">
        <v>0.12600777929534901</v>
      </c>
      <c r="I5352">
        <v>0.11449022373383</v>
      </c>
      <c r="J5352">
        <v>0.12585848525871601</v>
      </c>
      <c r="K5352">
        <v>0.116869764435898</v>
      </c>
      <c r="L5352">
        <v>1921.0080962883701</v>
      </c>
      <c r="M5352">
        <v>37.534493447754699</v>
      </c>
      <c r="N5352">
        <v>51.579894871582297</v>
      </c>
      <c r="O5352">
        <v>51.035180951243603</v>
      </c>
      <c r="P5352">
        <v>-0.160644103257609</v>
      </c>
      <c r="Q5352">
        <v>0.12629925378976101</v>
      </c>
      <c r="R5352">
        <v>0.98578931105075995</v>
      </c>
      <c r="S5352" t="s">
        <v>11998</v>
      </c>
      <c r="T5352" t="s">
        <v>13290</v>
      </c>
      <c r="U5352" t="s">
        <v>13290</v>
      </c>
      <c r="V5352" t="s">
        <v>13290</v>
      </c>
      <c r="W5352" t="s">
        <v>18592</v>
      </c>
      <c r="X5352">
        <v>7</v>
      </c>
      <c r="Y5352" t="s">
        <v>25070</v>
      </c>
      <c r="Z5352" t="s">
        <v>31682</v>
      </c>
      <c r="AA5352">
        <v>0.45540562085285913</v>
      </c>
      <c r="AB5352" t="str">
        <f>HYPERLINK("Melting_Curves/meltCurve_Q9BRA2_TXNDC17.pdf", "Melting_Curves/meltCurve_Q9BRA2_TXNDC17.pdf")</f>
        <v>Melting_Curves/meltCurve_Q9BRA2_TXNDC17.pdf</v>
      </c>
    </row>
    <row r="5353" spans="1:28" x14ac:dyDescent="0.25">
      <c r="A5353" t="s">
        <v>5357</v>
      </c>
      <c r="B5353">
        <v>0.99252571173614901</v>
      </c>
      <c r="C5353">
        <v>1.0455011096175399</v>
      </c>
      <c r="D5353">
        <v>0.90546814078837601</v>
      </c>
      <c r="E5353">
        <v>0.912675990133894</v>
      </c>
      <c r="F5353">
        <v>0.56779082451511598</v>
      </c>
      <c r="G5353">
        <v>0.40902760266844601</v>
      </c>
      <c r="H5353">
        <v>0.39046133965977903</v>
      </c>
      <c r="I5353">
        <v>0.48746988385533502</v>
      </c>
      <c r="J5353">
        <v>0.75739917804470402</v>
      </c>
      <c r="K5353">
        <v>0.93352346382464002</v>
      </c>
      <c r="L5353">
        <v>12464.682807421101</v>
      </c>
      <c r="M5353">
        <v>250</v>
      </c>
      <c r="O5353">
        <v>49.8555316627493</v>
      </c>
      <c r="P5353">
        <v>-0.51279985921470195</v>
      </c>
      <c r="Q5353">
        <v>0.59094537304842998</v>
      </c>
      <c r="R5353">
        <v>0.58305413394640304</v>
      </c>
      <c r="S5353" t="s">
        <v>11999</v>
      </c>
      <c r="T5353" t="s">
        <v>13290</v>
      </c>
      <c r="U5353" t="s">
        <v>13290</v>
      </c>
      <c r="V5353" t="s">
        <v>13290</v>
      </c>
      <c r="W5353" t="s">
        <v>18593</v>
      </c>
      <c r="X5353">
        <v>11</v>
      </c>
      <c r="Y5353" t="s">
        <v>25071</v>
      </c>
      <c r="Z5353" t="s">
        <v>31683</v>
      </c>
      <c r="AA5353">
        <v>0.7254064867047807</v>
      </c>
      <c r="AB5353" t="str">
        <f>HYPERLINK("Melting_Curves/meltCurve_Q9BRD0_BUD13.pdf", "Melting_Curves/meltCurve_Q9BRD0_BUD13.pdf")</f>
        <v>Melting_Curves/meltCurve_Q9BRD0_BUD13.pdf</v>
      </c>
    </row>
    <row r="5354" spans="1:28" x14ac:dyDescent="0.25">
      <c r="A5354" t="s">
        <v>5358</v>
      </c>
      <c r="B5354">
        <v>0.99252571173614901</v>
      </c>
      <c r="C5354">
        <v>1.03765141117686</v>
      </c>
      <c r="D5354">
        <v>0.92630491328096298</v>
      </c>
      <c r="E5354">
        <v>0.79137385930963899</v>
      </c>
      <c r="F5354">
        <v>0.77372925438806095</v>
      </c>
      <c r="G5354">
        <v>0.659053717854304</v>
      </c>
      <c r="H5354">
        <v>0.82174381159107601</v>
      </c>
      <c r="I5354">
        <v>0.59861621044180302</v>
      </c>
      <c r="J5354">
        <v>0.81359941409829095</v>
      </c>
      <c r="K5354">
        <v>0.74762294410534003</v>
      </c>
      <c r="L5354">
        <v>1567.94772964257</v>
      </c>
      <c r="M5354">
        <v>32.921312909076903</v>
      </c>
      <c r="O5354">
        <v>47.452431538504797</v>
      </c>
      <c r="P5354">
        <v>-4.6156188292024801E-2</v>
      </c>
      <c r="Q5354">
        <v>0.733885044646305</v>
      </c>
      <c r="R5354">
        <v>0.75810043933656701</v>
      </c>
      <c r="S5354" t="s">
        <v>12000</v>
      </c>
      <c r="T5354" t="s">
        <v>13290</v>
      </c>
      <c r="U5354" t="s">
        <v>13290</v>
      </c>
      <c r="V5354" t="s">
        <v>13290</v>
      </c>
      <c r="W5354" t="s">
        <v>18594</v>
      </c>
      <c r="X5354">
        <v>8</v>
      </c>
      <c r="Y5354" t="s">
        <v>25072</v>
      </c>
      <c r="Z5354" t="s">
        <v>31684</v>
      </c>
      <c r="AA5354">
        <v>0.80285612318611621</v>
      </c>
      <c r="AB5354" t="str">
        <f>HYPERLINK("Melting_Curves/meltCurve_Q9BRF8_CPPED1.pdf", "Melting_Curves/meltCurve_Q9BRF8_CPPED1.pdf")</f>
        <v>Melting_Curves/meltCurve_Q9BRF8_CPPED1.pdf</v>
      </c>
    </row>
    <row r="5355" spans="1:28" x14ac:dyDescent="0.25">
      <c r="A5355" t="s">
        <v>5359</v>
      </c>
      <c r="B5355">
        <v>0.99252571173614901</v>
      </c>
      <c r="C5355">
        <v>0.99702342676199296</v>
      </c>
      <c r="D5355">
        <v>0.91964195694137296</v>
      </c>
      <c r="E5355">
        <v>0.70519095475751403</v>
      </c>
      <c r="F5355">
        <v>0.31795484953651199</v>
      </c>
      <c r="G5355">
        <v>0.114821732024562</v>
      </c>
      <c r="H5355">
        <v>6.3794650320552607E-2</v>
      </c>
      <c r="I5355">
        <v>6.2619787341503003E-2</v>
      </c>
      <c r="J5355">
        <v>7.4491649483984707E-2</v>
      </c>
      <c r="K5355">
        <v>7.9210849441615994E-2</v>
      </c>
      <c r="L5355">
        <v>1282.5790496903301</v>
      </c>
      <c r="M5355">
        <v>25.113581062687</v>
      </c>
      <c r="N5355">
        <v>51.3381917520881</v>
      </c>
      <c r="O5355">
        <v>50.750611295763299</v>
      </c>
      <c r="P5355">
        <v>-0.116137140085889</v>
      </c>
      <c r="Q5355">
        <v>6.1232577200870601E-2</v>
      </c>
      <c r="R5355">
        <v>0.99896977815531096</v>
      </c>
      <c r="S5355" t="s">
        <v>12001</v>
      </c>
      <c r="T5355" t="s">
        <v>13290</v>
      </c>
      <c r="U5355" t="s">
        <v>13290</v>
      </c>
      <c r="V5355" t="s">
        <v>13290</v>
      </c>
      <c r="W5355" t="s">
        <v>18595</v>
      </c>
      <c r="X5355">
        <v>7</v>
      </c>
      <c r="Y5355" t="s">
        <v>25073</v>
      </c>
      <c r="Z5355" t="s">
        <v>31685</v>
      </c>
      <c r="AA5355">
        <v>0.41608531171611479</v>
      </c>
      <c r="AB5355" t="str">
        <f>HYPERLINK("Melting_Curves/meltCurve_Q9BRG1_VPS25.pdf", "Melting_Curves/meltCurve_Q9BRG1_VPS25.pdf")</f>
        <v>Melting_Curves/meltCurve_Q9BRG1_VPS25.pdf</v>
      </c>
    </row>
    <row r="5356" spans="1:28" x14ac:dyDescent="0.25">
      <c r="A5356" t="s">
        <v>5360</v>
      </c>
      <c r="B5356">
        <v>0.99252571173614901</v>
      </c>
      <c r="C5356">
        <v>0.93476746307922898</v>
      </c>
      <c r="D5356">
        <v>0.58843490417662803</v>
      </c>
      <c r="E5356">
        <v>0.42260624566857802</v>
      </c>
      <c r="F5356">
        <v>0.41670869996123799</v>
      </c>
      <c r="G5356">
        <v>0.21451250554861201</v>
      </c>
      <c r="H5356">
        <v>0.148117557059427</v>
      </c>
      <c r="I5356">
        <v>0.137245935757141</v>
      </c>
      <c r="J5356">
        <v>0.247108017204546</v>
      </c>
      <c r="K5356">
        <v>0.12773529696232699</v>
      </c>
      <c r="L5356">
        <v>709.64115309749604</v>
      </c>
      <c r="M5356">
        <v>14.962856745332401</v>
      </c>
      <c r="N5356">
        <v>48.701911354595403</v>
      </c>
      <c r="O5356">
        <v>46.603923873851897</v>
      </c>
      <c r="P5356">
        <v>-6.7264984776007897E-2</v>
      </c>
      <c r="Q5356">
        <v>0.16206066610901099</v>
      </c>
      <c r="R5356">
        <v>0.95605783170451697</v>
      </c>
      <c r="S5356" t="s">
        <v>12002</v>
      </c>
      <c r="T5356" t="s">
        <v>13290</v>
      </c>
      <c r="U5356" t="s">
        <v>13290</v>
      </c>
      <c r="V5356" t="s">
        <v>13290</v>
      </c>
      <c r="W5356" t="s">
        <v>18596</v>
      </c>
      <c r="X5356">
        <v>4</v>
      </c>
      <c r="Y5356" t="s">
        <v>25074</v>
      </c>
      <c r="Z5356" t="s">
        <v>31686</v>
      </c>
      <c r="AA5356">
        <v>0.39181712413597702</v>
      </c>
      <c r="AB5356" t="str">
        <f>HYPERLINK("Melting_Curves/meltCurve_Q9BRJ2_MRPL45.pdf", "Melting_Curves/meltCurve_Q9BRJ2_MRPL45.pdf")</f>
        <v>Melting_Curves/meltCurve_Q9BRJ2_MRPL45.pdf</v>
      </c>
    </row>
    <row r="5357" spans="1:28" x14ac:dyDescent="0.25">
      <c r="A5357" t="s">
        <v>5361</v>
      </c>
      <c r="B5357">
        <v>0.99252571173614901</v>
      </c>
      <c r="C5357">
        <v>0.97902751880979999</v>
      </c>
      <c r="D5357">
        <v>0.81625139202609098</v>
      </c>
      <c r="E5357">
        <v>0.59333775236235198</v>
      </c>
      <c r="F5357">
        <v>0.40826538424350101</v>
      </c>
      <c r="G5357">
        <v>0.28533792246592099</v>
      </c>
      <c r="H5357">
        <v>0.26595456664806999</v>
      </c>
      <c r="I5357">
        <v>0.32720693940864598</v>
      </c>
      <c r="J5357">
        <v>0.50905631745834601</v>
      </c>
      <c r="K5357">
        <v>0.54588250250241299</v>
      </c>
      <c r="L5357">
        <v>1272.8500022268599</v>
      </c>
      <c r="M5357">
        <v>26.6180944471553</v>
      </c>
      <c r="N5357">
        <v>50.6256615556496</v>
      </c>
      <c r="O5357">
        <v>47.551518539584002</v>
      </c>
      <c r="P5357">
        <v>-8.5969353838157195E-2</v>
      </c>
      <c r="Q5357">
        <v>0.38569142123387901</v>
      </c>
      <c r="R5357">
        <v>0.89043947715806004</v>
      </c>
      <c r="S5357" t="s">
        <v>12003</v>
      </c>
      <c r="T5357" t="s">
        <v>13290</v>
      </c>
      <c r="U5357" t="s">
        <v>13290</v>
      </c>
      <c r="V5357" t="s">
        <v>13290</v>
      </c>
      <c r="W5357" t="s">
        <v>18597</v>
      </c>
      <c r="X5357">
        <v>13</v>
      </c>
      <c r="Y5357" t="s">
        <v>25075</v>
      </c>
      <c r="Z5357" t="s">
        <v>31687</v>
      </c>
      <c r="AA5357">
        <v>0.55055339027250627</v>
      </c>
      <c r="AB5357" t="str">
        <f>HYPERLINK("Melting_Curves/meltCurve_Q9BRK5_SDF4.pdf", "Melting_Curves/meltCurve_Q9BRK5_SDF4.pdf")</f>
        <v>Melting_Curves/meltCurve_Q9BRK5_SDF4.pdf</v>
      </c>
    </row>
    <row r="5358" spans="1:28" x14ac:dyDescent="0.25">
      <c r="A5358" t="s">
        <v>5362</v>
      </c>
      <c r="B5358">
        <v>0.99252571173614901</v>
      </c>
      <c r="C5358">
        <v>0.95946874779841795</v>
      </c>
      <c r="D5358">
        <v>0.92289962143656601</v>
      </c>
      <c r="E5358">
        <v>0.66374983510880903</v>
      </c>
      <c r="F5358">
        <v>9.5696163884332899E-2</v>
      </c>
      <c r="G5358">
        <v>6.0005850195605601E-2</v>
      </c>
      <c r="H5358">
        <v>4.4572097394876699E-2</v>
      </c>
      <c r="I5358">
        <v>5.4451333510266403E-2</v>
      </c>
      <c r="J5358">
        <v>7.5013030757488497E-2</v>
      </c>
      <c r="K5358">
        <v>8.45444099472724E-2</v>
      </c>
      <c r="L5358">
        <v>2490.4168697567402</v>
      </c>
      <c r="M5358">
        <v>49.657287946424397</v>
      </c>
      <c r="N5358">
        <v>50.282443326781397</v>
      </c>
      <c r="O5358">
        <v>50.0709575958588</v>
      </c>
      <c r="P5358">
        <v>-0.23296129207161601</v>
      </c>
      <c r="Q5358">
        <v>6.0392945920749397E-2</v>
      </c>
      <c r="R5358">
        <v>0.99548091696970897</v>
      </c>
      <c r="S5358" t="s">
        <v>12004</v>
      </c>
      <c r="T5358" t="s">
        <v>13290</v>
      </c>
      <c r="U5358" t="s">
        <v>13290</v>
      </c>
      <c r="V5358" t="s">
        <v>13290</v>
      </c>
      <c r="W5358" t="s">
        <v>18598</v>
      </c>
      <c r="X5358">
        <v>9</v>
      </c>
      <c r="Y5358" t="s">
        <v>25076</v>
      </c>
      <c r="Z5358" t="s">
        <v>31688</v>
      </c>
      <c r="AA5358">
        <v>0.38046645060563539</v>
      </c>
      <c r="AB5358" t="str">
        <f>HYPERLINK("Melting_Curves/meltCurve_Q9BRP1_PDCD2L.pdf", "Melting_Curves/meltCurve_Q9BRP1_PDCD2L.pdf")</f>
        <v>Melting_Curves/meltCurve_Q9BRP1_PDCD2L.pdf</v>
      </c>
    </row>
    <row r="5359" spans="1:28" x14ac:dyDescent="0.25">
      <c r="A5359" t="s">
        <v>5363</v>
      </c>
      <c r="B5359">
        <v>0.99252571173614901</v>
      </c>
      <c r="C5359">
        <v>0.84243325162142402</v>
      </c>
      <c r="D5359">
        <v>1.05662468057879</v>
      </c>
      <c r="E5359">
        <v>0.80529557312612898</v>
      </c>
      <c r="F5359">
        <v>0.83665413027938296</v>
      </c>
      <c r="G5359">
        <v>0.61575723334034405</v>
      </c>
      <c r="H5359">
        <v>0.65566068039889702</v>
      </c>
      <c r="I5359">
        <v>0.16067577573814801</v>
      </c>
      <c r="J5359">
        <v>0.126489272198261</v>
      </c>
      <c r="K5359">
        <v>0.111755026268855</v>
      </c>
      <c r="L5359">
        <v>793.14676937958404</v>
      </c>
      <c r="M5359">
        <v>13.2948604486095</v>
      </c>
      <c r="N5359">
        <v>59.658149417650897</v>
      </c>
      <c r="O5359">
        <v>58.3568686528847</v>
      </c>
      <c r="P5359">
        <v>-5.6964215177103997E-2</v>
      </c>
      <c r="Q5359">
        <v>0</v>
      </c>
      <c r="R5359">
        <v>0.90144759129573604</v>
      </c>
      <c r="S5359" t="s">
        <v>12005</v>
      </c>
      <c r="T5359" t="s">
        <v>13290</v>
      </c>
      <c r="U5359" t="s">
        <v>13290</v>
      </c>
      <c r="V5359" t="s">
        <v>13290</v>
      </c>
      <c r="W5359" t="s">
        <v>18599</v>
      </c>
      <c r="X5359">
        <v>9</v>
      </c>
      <c r="Y5359" t="s">
        <v>25077</v>
      </c>
      <c r="Z5359" t="s">
        <v>31689</v>
      </c>
      <c r="AA5359">
        <v>0.66180045187641434</v>
      </c>
      <c r="AB5359" t="str">
        <f>HYPERLINK("Melting_Curves/meltCurve_Q9BRP4_PAAF1.pdf", "Melting_Curves/meltCurve_Q9BRP4_PAAF1.pdf")</f>
        <v>Melting_Curves/meltCurve_Q9BRP4_PAAF1.pdf</v>
      </c>
    </row>
    <row r="5360" spans="1:28" x14ac:dyDescent="0.25">
      <c r="A5360" t="s">
        <v>5364</v>
      </c>
      <c r="B5360">
        <v>0.99252571173614901</v>
      </c>
      <c r="C5360">
        <v>1.12850517931086</v>
      </c>
      <c r="D5360">
        <v>1.0018227671442499</v>
      </c>
      <c r="E5360">
        <v>1.08313748361345</v>
      </c>
      <c r="F5360">
        <v>0.87794712417987397</v>
      </c>
      <c r="G5360">
        <v>0.75499616588103502</v>
      </c>
      <c r="H5360">
        <v>0.84985592697160195</v>
      </c>
      <c r="I5360">
        <v>1.14782523869256</v>
      </c>
      <c r="J5360">
        <v>1.68578543901835</v>
      </c>
      <c r="K5360">
        <v>1.88859222274092</v>
      </c>
      <c r="L5360">
        <v>15000</v>
      </c>
      <c r="M5360">
        <v>233.50729518601401</v>
      </c>
      <c r="O5360">
        <v>64.233102243604705</v>
      </c>
      <c r="P5360">
        <v>0.45441380664120501</v>
      </c>
      <c r="Q5360">
        <v>1.5</v>
      </c>
      <c r="R5360">
        <v>0.74536565558246104</v>
      </c>
      <c r="S5360" t="s">
        <v>12006</v>
      </c>
      <c r="T5360" t="s">
        <v>13290</v>
      </c>
      <c r="U5360" t="s">
        <v>13290</v>
      </c>
      <c r="V5360" t="s">
        <v>13290</v>
      </c>
      <c r="W5360" t="s">
        <v>18600</v>
      </c>
      <c r="X5360">
        <v>16</v>
      </c>
      <c r="Y5360" t="s">
        <v>25078</v>
      </c>
      <c r="Z5360" t="s">
        <v>31690</v>
      </c>
      <c r="AA5360">
        <v>1.095971690490992</v>
      </c>
      <c r="AB5360" t="str">
        <f>HYPERLINK("Melting_Curves/meltCurve_Q9BRP8_2_WIBG.pdf", "Melting_Curves/meltCurve_Q9BRP8_2_WIBG.pdf")</f>
        <v>Melting_Curves/meltCurve_Q9BRP8_2_WIBG.pdf</v>
      </c>
    </row>
    <row r="5361" spans="1:28" x14ac:dyDescent="0.25">
      <c r="A5361" t="s">
        <v>5365</v>
      </c>
      <c r="B5361">
        <v>0.99252571173614901</v>
      </c>
      <c r="C5361">
        <v>0.88083657136092897</v>
      </c>
      <c r="D5361">
        <v>0.78652513039032002</v>
      </c>
      <c r="E5361">
        <v>0.59936434639627101</v>
      </c>
      <c r="F5361">
        <v>0.42621054635032102</v>
      </c>
      <c r="G5361">
        <v>0.21401496554320701</v>
      </c>
      <c r="H5361">
        <v>0.118575771921322</v>
      </c>
      <c r="I5361">
        <v>0.115617098596161</v>
      </c>
      <c r="J5361">
        <v>0.135051796835264</v>
      </c>
      <c r="K5361">
        <v>0.11411141480647601</v>
      </c>
      <c r="L5361">
        <v>659.28629135676795</v>
      </c>
      <c r="M5361">
        <v>13.0603575040977</v>
      </c>
      <c r="N5361">
        <v>51.073087489970597</v>
      </c>
      <c r="O5361">
        <v>49.340462866784598</v>
      </c>
      <c r="P5361">
        <v>-6.15289037483139E-2</v>
      </c>
      <c r="Q5361">
        <v>7.0366062035115404E-2</v>
      </c>
      <c r="R5361">
        <v>0.99287598034899305</v>
      </c>
      <c r="S5361" t="s">
        <v>12007</v>
      </c>
      <c r="T5361" t="s">
        <v>13290</v>
      </c>
      <c r="U5361" t="s">
        <v>13290</v>
      </c>
      <c r="V5361" t="s">
        <v>13290</v>
      </c>
      <c r="W5361" t="s">
        <v>18601</v>
      </c>
      <c r="X5361">
        <v>2</v>
      </c>
      <c r="Y5361" t="s">
        <v>25079</v>
      </c>
      <c r="Z5361" t="s">
        <v>31691</v>
      </c>
      <c r="AA5361">
        <v>0.42256420115797139</v>
      </c>
      <c r="AB5361" t="str">
        <f>HYPERLINK("Melting_Curves/meltCurve_Q9BRQ8_AIFM2.pdf", "Melting_Curves/meltCurve_Q9BRQ8_AIFM2.pdf")</f>
        <v>Melting_Curves/meltCurve_Q9BRQ8_AIFM2.pdf</v>
      </c>
    </row>
    <row r="5362" spans="1:28" x14ac:dyDescent="0.25">
      <c r="A5362" t="s">
        <v>5366</v>
      </c>
      <c r="B5362">
        <v>0.99252571173614901</v>
      </c>
      <c r="C5362">
        <v>0.83561970857071</v>
      </c>
      <c r="D5362">
        <v>0.55837878450647505</v>
      </c>
      <c r="E5362">
        <v>0.423229803357005</v>
      </c>
      <c r="F5362">
        <v>0.37928983396578497</v>
      </c>
      <c r="G5362">
        <v>0.20401813286984</v>
      </c>
      <c r="H5362">
        <v>0.21750933300266501</v>
      </c>
      <c r="I5362">
        <v>0.19383337462813599</v>
      </c>
      <c r="J5362">
        <v>0.25908035974933702</v>
      </c>
      <c r="K5362">
        <v>0.22145564172356999</v>
      </c>
      <c r="L5362">
        <v>757.58265722158603</v>
      </c>
      <c r="M5362">
        <v>16.4439364734496</v>
      </c>
      <c r="N5362">
        <v>47.759016381236798</v>
      </c>
      <c r="O5362">
        <v>45.405467769527398</v>
      </c>
      <c r="P5362">
        <v>-7.0587497599640101E-2</v>
      </c>
      <c r="Q5362">
        <v>0.220422048356926</v>
      </c>
      <c r="R5362">
        <v>0.97491165788274903</v>
      </c>
      <c r="S5362" t="s">
        <v>12008</v>
      </c>
      <c r="T5362" t="s">
        <v>13290</v>
      </c>
      <c r="U5362" t="s">
        <v>13290</v>
      </c>
      <c r="V5362" t="s">
        <v>13290</v>
      </c>
      <c r="W5362" t="s">
        <v>18602</v>
      </c>
      <c r="X5362">
        <v>2</v>
      </c>
      <c r="Y5362" t="s">
        <v>25080</v>
      </c>
      <c r="Z5362" t="s">
        <v>31692</v>
      </c>
      <c r="AA5362">
        <v>0.39676473650946542</v>
      </c>
      <c r="AB5362" t="str">
        <f>HYPERLINK("Melting_Curves/meltCurve_Q9BRR0_2_ZKSCAN3.pdf", "Melting_Curves/meltCurve_Q9BRR0_2_ZKSCAN3.pdf")</f>
        <v>Melting_Curves/meltCurve_Q9BRR0_2_ZKSCAN3.pdf</v>
      </c>
    </row>
    <row r="5363" spans="1:28" x14ac:dyDescent="0.25">
      <c r="A5363" t="s">
        <v>5367</v>
      </c>
      <c r="B5363">
        <v>0.99252571173614901</v>
      </c>
      <c r="C5363">
        <v>0.94485367332588899</v>
      </c>
      <c r="D5363">
        <v>0.91065533749564098</v>
      </c>
      <c r="E5363">
        <v>0.86972001680241895</v>
      </c>
      <c r="F5363">
        <v>0.67402950982981702</v>
      </c>
      <c r="G5363">
        <v>0.41398902622844502</v>
      </c>
      <c r="H5363">
        <v>0.23384233527353299</v>
      </c>
      <c r="I5363">
        <v>9.3628427727300401E-2</v>
      </c>
      <c r="J5363">
        <v>0.12663177539479201</v>
      </c>
      <c r="K5363">
        <v>0.12708823241734901</v>
      </c>
      <c r="L5363">
        <v>895.62686663681097</v>
      </c>
      <c r="M5363">
        <v>16.295784904502302</v>
      </c>
      <c r="N5363">
        <v>55.4528661205795</v>
      </c>
      <c r="O5363">
        <v>54.152977452104402</v>
      </c>
      <c r="P5363">
        <v>-7.0169719345605897E-2</v>
      </c>
      <c r="Q5363">
        <v>6.7336250306232304E-2</v>
      </c>
      <c r="R5363">
        <v>0.99233259957186404</v>
      </c>
      <c r="S5363" t="s">
        <v>12009</v>
      </c>
      <c r="T5363" t="s">
        <v>13290</v>
      </c>
      <c r="U5363" t="s">
        <v>13290</v>
      </c>
      <c r="V5363" t="s">
        <v>13290</v>
      </c>
      <c r="W5363" t="s">
        <v>18603</v>
      </c>
      <c r="X5363">
        <v>6</v>
      </c>
      <c r="Y5363" t="s">
        <v>25081</v>
      </c>
      <c r="Z5363" t="s">
        <v>31693</v>
      </c>
      <c r="AA5363">
        <v>0.5488574009363365</v>
      </c>
      <c r="AB5363" t="str">
        <f>HYPERLINK("Melting_Curves/meltCurve_Q9BRR6_2_ADPGK.pdf", "Melting_Curves/meltCurve_Q9BRR6_2_ADPGK.pdf")</f>
        <v>Melting_Curves/meltCurve_Q9BRR6_2_ADPGK.pdf</v>
      </c>
    </row>
    <row r="5364" spans="1:28" x14ac:dyDescent="0.25">
      <c r="A5364" t="s">
        <v>5368</v>
      </c>
      <c r="B5364">
        <v>0.99252571173614901</v>
      </c>
      <c r="C5364">
        <v>0.85057431921978</v>
      </c>
      <c r="D5364">
        <v>0.76305768510264105</v>
      </c>
      <c r="E5364">
        <v>0.66554213740053503</v>
      </c>
      <c r="F5364">
        <v>0.82535163182068505</v>
      </c>
      <c r="G5364">
        <v>0.49519016969751301</v>
      </c>
      <c r="H5364">
        <v>0.43239465525627102</v>
      </c>
      <c r="I5364">
        <v>0.43252817349129102</v>
      </c>
      <c r="J5364">
        <v>0.74128669640506895</v>
      </c>
      <c r="K5364">
        <v>1.2053693609071801</v>
      </c>
      <c r="L5364">
        <v>1157.97622635421</v>
      </c>
      <c r="M5364">
        <v>26.662327245723599</v>
      </c>
      <c r="O5364">
        <v>43.189067395957998</v>
      </c>
      <c r="P5364">
        <v>-4.8616762653959797E-2</v>
      </c>
      <c r="Q5364">
        <v>0.684995152687913</v>
      </c>
      <c r="R5364">
        <v>0.17298486193763399</v>
      </c>
      <c r="S5364" t="s">
        <v>12010</v>
      </c>
      <c r="T5364" t="s">
        <v>13290</v>
      </c>
      <c r="U5364" t="s">
        <v>13290</v>
      </c>
      <c r="V5364" t="s">
        <v>13290</v>
      </c>
      <c r="W5364" t="s">
        <v>18604</v>
      </c>
      <c r="X5364">
        <v>2</v>
      </c>
      <c r="Y5364" t="s">
        <v>25082</v>
      </c>
      <c r="Z5364" t="s">
        <v>31694</v>
      </c>
      <c r="AA5364">
        <v>0.72448769918385381</v>
      </c>
      <c r="AB5364" t="str">
        <f>HYPERLINK("Melting_Curves/meltCurve_Q9BRR8_GPATCH1.pdf", "Melting_Curves/meltCurve_Q9BRR8_GPATCH1.pdf")</f>
        <v>Melting_Curves/meltCurve_Q9BRR8_GPATCH1.pdf</v>
      </c>
    </row>
    <row r="5365" spans="1:28" x14ac:dyDescent="0.25">
      <c r="A5365" t="s">
        <v>5369</v>
      </c>
      <c r="B5365">
        <v>0.99252571173614901</v>
      </c>
      <c r="C5365">
        <v>1.02375793074638</v>
      </c>
      <c r="D5365">
        <v>1.0199290795210101</v>
      </c>
      <c r="E5365">
        <v>0.92858550429553899</v>
      </c>
      <c r="F5365">
        <v>0.727140260062347</v>
      </c>
      <c r="G5365">
        <v>0.60169085512384901</v>
      </c>
      <c r="H5365">
        <v>0.76321733356830301</v>
      </c>
      <c r="I5365">
        <v>0.382875301711808</v>
      </c>
      <c r="J5365">
        <v>0.21662205209958199</v>
      </c>
      <c r="K5365">
        <v>0.197364662380515</v>
      </c>
      <c r="L5365">
        <v>619.55147612859298</v>
      </c>
      <c r="M5365">
        <v>10.078526679022501</v>
      </c>
      <c r="N5365">
        <v>61.472440281440598</v>
      </c>
      <c r="O5365">
        <v>59.199453955928099</v>
      </c>
      <c r="P5365">
        <v>-4.2581827980762099E-2</v>
      </c>
      <c r="Q5365">
        <v>0</v>
      </c>
      <c r="R5365">
        <v>0.90804527060032003</v>
      </c>
      <c r="S5365" t="s">
        <v>12011</v>
      </c>
      <c r="T5365" t="s">
        <v>13290</v>
      </c>
      <c r="U5365" t="s">
        <v>13290</v>
      </c>
      <c r="V5365" t="s">
        <v>13290</v>
      </c>
      <c r="W5365" t="s">
        <v>18605</v>
      </c>
      <c r="X5365">
        <v>13</v>
      </c>
      <c r="Y5365" t="s">
        <v>25083</v>
      </c>
      <c r="Z5365" t="s">
        <v>31695</v>
      </c>
      <c r="AA5365">
        <v>0.69987091357885645</v>
      </c>
      <c r="AB5365" t="str">
        <f>HYPERLINK("Melting_Curves/meltCurve_Q9BRS2_RIOK1.pdf", "Melting_Curves/meltCurve_Q9BRS2_RIOK1.pdf")</f>
        <v>Melting_Curves/meltCurve_Q9BRS2_RIOK1.pdf</v>
      </c>
    </row>
    <row r="5366" spans="1:28" x14ac:dyDescent="0.25">
      <c r="A5366" t="s">
        <v>5370</v>
      </c>
      <c r="B5366">
        <v>0.99252571173614901</v>
      </c>
      <c r="C5366">
        <v>0.89573034640816096</v>
      </c>
      <c r="D5366">
        <v>0.86267539075272104</v>
      </c>
      <c r="E5366">
        <v>0.74483293812115403</v>
      </c>
      <c r="F5366">
        <v>0.53841278480055299</v>
      </c>
      <c r="G5366">
        <v>0.34601581047580998</v>
      </c>
      <c r="H5366">
        <v>0.167658221331696</v>
      </c>
      <c r="I5366">
        <v>0.13369384308931201</v>
      </c>
      <c r="J5366">
        <v>0.18235430346313</v>
      </c>
      <c r="K5366">
        <v>0.18705025069267001</v>
      </c>
      <c r="L5366">
        <v>723.93938435298503</v>
      </c>
      <c r="M5366">
        <v>13.8097104627871</v>
      </c>
      <c r="N5366">
        <v>53.405558528648797</v>
      </c>
      <c r="O5366">
        <v>51.359902196671698</v>
      </c>
      <c r="P5366">
        <v>-5.96842735493344E-2</v>
      </c>
      <c r="Q5366">
        <v>0.112233113466968</v>
      </c>
      <c r="R5366">
        <v>0.98591293880067499</v>
      </c>
      <c r="S5366" t="s">
        <v>12012</v>
      </c>
      <c r="T5366" t="s">
        <v>13290</v>
      </c>
      <c r="U5366" t="s">
        <v>13290</v>
      </c>
      <c r="V5366" t="s">
        <v>13290</v>
      </c>
      <c r="W5366" t="s">
        <v>18606</v>
      </c>
      <c r="X5366">
        <v>7</v>
      </c>
      <c r="Y5366" t="s">
        <v>25084</v>
      </c>
      <c r="Z5366" t="s">
        <v>31696</v>
      </c>
      <c r="AA5366">
        <v>0.5018340216823437</v>
      </c>
      <c r="AB5366" t="str">
        <f>HYPERLINK("Melting_Curves/meltCurve_Q9BRT2_MNF1.pdf", "Melting_Curves/meltCurve_Q9BRT2_MNF1.pdf")</f>
        <v>Melting_Curves/meltCurve_Q9BRT2_MNF1.pdf</v>
      </c>
    </row>
    <row r="5367" spans="1:28" x14ac:dyDescent="0.25">
      <c r="A5367" t="s">
        <v>5371</v>
      </c>
      <c r="B5367">
        <v>0.99252571173614901</v>
      </c>
      <c r="C5367">
        <v>0.97053335052821099</v>
      </c>
      <c r="D5367">
        <v>0.79467206507417598</v>
      </c>
      <c r="E5367">
        <v>0.52880059479175501</v>
      </c>
      <c r="F5367">
        <v>0.38658685332472098</v>
      </c>
      <c r="G5367">
        <v>0.24481070000296201</v>
      </c>
      <c r="H5367">
        <v>0.19487248208320099</v>
      </c>
      <c r="I5367">
        <v>0.237942157644013</v>
      </c>
      <c r="J5367">
        <v>0.35441864493636299</v>
      </c>
      <c r="K5367">
        <v>0.298056690769326</v>
      </c>
      <c r="L5367">
        <v>1048.1343256064199</v>
      </c>
      <c r="M5367">
        <v>21.727728424586498</v>
      </c>
      <c r="N5367">
        <v>49.971383850005999</v>
      </c>
      <c r="O5367">
        <v>47.836432625267101</v>
      </c>
      <c r="P5367">
        <v>-8.3515777670951905E-2</v>
      </c>
      <c r="Q5367">
        <v>0.264533675511197</v>
      </c>
      <c r="R5367">
        <v>0.97675007428787597</v>
      </c>
      <c r="S5367" t="s">
        <v>12013</v>
      </c>
      <c r="T5367" t="s">
        <v>13290</v>
      </c>
      <c r="U5367" t="s">
        <v>13290</v>
      </c>
      <c r="V5367" t="s">
        <v>13290</v>
      </c>
      <c r="W5367" t="s">
        <v>18607</v>
      </c>
      <c r="X5367">
        <v>2</v>
      </c>
      <c r="Y5367" t="s">
        <v>25085</v>
      </c>
      <c r="Z5367" t="s">
        <v>31697</v>
      </c>
      <c r="AA5367">
        <v>0.47526781209046698</v>
      </c>
      <c r="AB5367" t="str">
        <f>HYPERLINK("Melting_Curves/meltCurve_Q9BRT3_MIEN1.pdf", "Melting_Curves/meltCurve_Q9BRT3_MIEN1.pdf")</f>
        <v>Melting_Curves/meltCurve_Q9BRT3_MIEN1.pdf</v>
      </c>
    </row>
    <row r="5368" spans="1:28" x14ac:dyDescent="0.25">
      <c r="A5368" t="s">
        <v>5372</v>
      </c>
      <c r="B5368">
        <v>0.99252571173614901</v>
      </c>
      <c r="C5368">
        <v>0.91698637237830505</v>
      </c>
      <c r="D5368">
        <v>0.58965634496496999</v>
      </c>
      <c r="E5368">
        <v>0.364981346420168</v>
      </c>
      <c r="F5368">
        <v>0.24034239609939601</v>
      </c>
      <c r="G5368">
        <v>0.12827015890818899</v>
      </c>
      <c r="H5368">
        <v>0.110026009575865</v>
      </c>
      <c r="I5368">
        <v>9.9729483352694201E-2</v>
      </c>
      <c r="J5368">
        <v>0.126042171357024</v>
      </c>
      <c r="K5368">
        <v>9.7239365193046295E-2</v>
      </c>
      <c r="L5368">
        <v>872.92316631192205</v>
      </c>
      <c r="M5368">
        <v>18.576406220953199</v>
      </c>
      <c r="N5368">
        <v>47.610101280906598</v>
      </c>
      <c r="O5368">
        <v>46.456562511716498</v>
      </c>
      <c r="P5368">
        <v>-8.9243504321862205E-2</v>
      </c>
      <c r="Q5368">
        <v>0.107305095344897</v>
      </c>
      <c r="R5368">
        <v>0.99230874492333299</v>
      </c>
      <c r="S5368" t="s">
        <v>12014</v>
      </c>
      <c r="T5368" t="s">
        <v>13290</v>
      </c>
      <c r="U5368" t="s">
        <v>13290</v>
      </c>
      <c r="V5368" t="s">
        <v>13290</v>
      </c>
      <c r="W5368" t="s">
        <v>18608</v>
      </c>
      <c r="X5368">
        <v>12</v>
      </c>
      <c r="Y5368" t="s">
        <v>25086</v>
      </c>
      <c r="Z5368" t="s">
        <v>31698</v>
      </c>
      <c r="AA5368">
        <v>0.33071273333499662</v>
      </c>
      <c r="AB5368" t="str">
        <f>HYPERLINK("Melting_Curves/meltCurve_Q9BRT8_3_CBWD1.pdf", "Melting_Curves/meltCurve_Q9BRT8_3_CBWD1.pdf")</f>
        <v>Melting_Curves/meltCurve_Q9BRT8_3_CBWD1.pdf</v>
      </c>
    </row>
    <row r="5369" spans="1:28" x14ac:dyDescent="0.25">
      <c r="A5369" t="s">
        <v>5373</v>
      </c>
      <c r="B5369">
        <v>0.99252571173614901</v>
      </c>
      <c r="C5369">
        <v>1.05425958722167</v>
      </c>
      <c r="D5369">
        <v>0.43317280919892598</v>
      </c>
      <c r="E5369">
        <v>0.58648012174403596</v>
      </c>
      <c r="F5369">
        <v>0.18291611356368401</v>
      </c>
      <c r="G5369">
        <v>0.10822740163092</v>
      </c>
      <c r="H5369">
        <v>8.1187509921277407E-2</v>
      </c>
      <c r="I5369">
        <v>8.7077694605684E-2</v>
      </c>
      <c r="J5369">
        <v>0.110365890211594</v>
      </c>
      <c r="K5369">
        <v>0.119604105912829</v>
      </c>
      <c r="L5369">
        <v>784.55686986435501</v>
      </c>
      <c r="M5369">
        <v>16.4478679461231</v>
      </c>
      <c r="N5369">
        <v>48.239438122191103</v>
      </c>
      <c r="O5369">
        <v>47.011239977421802</v>
      </c>
      <c r="P5369">
        <v>-8.0121016470265496E-2</v>
      </c>
      <c r="Q5369">
        <v>8.40579986349866E-2</v>
      </c>
      <c r="R5369">
        <v>0.89873000658706603</v>
      </c>
      <c r="S5369" t="s">
        <v>12015</v>
      </c>
      <c r="T5369" t="s">
        <v>13290</v>
      </c>
      <c r="U5369" t="s">
        <v>13290</v>
      </c>
      <c r="V5369" t="s">
        <v>13290</v>
      </c>
      <c r="W5369" t="s">
        <v>18609</v>
      </c>
      <c r="X5369">
        <v>6</v>
      </c>
      <c r="Y5369" t="s">
        <v>25087</v>
      </c>
      <c r="Z5369" t="s">
        <v>31699</v>
      </c>
      <c r="AA5369">
        <v>0.33896098081817411</v>
      </c>
      <c r="AB5369" t="str">
        <f>HYPERLINK("Melting_Curves/meltCurve_Q9BRT9_GINS4.pdf", "Melting_Curves/meltCurve_Q9BRT9_GINS4.pdf")</f>
        <v>Melting_Curves/meltCurve_Q9BRT9_GINS4.pdf</v>
      </c>
    </row>
    <row r="5370" spans="1:28" x14ac:dyDescent="0.25">
      <c r="A5370" t="s">
        <v>5374</v>
      </c>
      <c r="B5370">
        <v>0.99252571173614901</v>
      </c>
      <c r="C5370">
        <v>0.86590854195065603</v>
      </c>
      <c r="D5370">
        <v>0.78063847002102005</v>
      </c>
      <c r="E5370">
        <v>0.62295960730372002</v>
      </c>
      <c r="F5370">
        <v>0.53369638683186305</v>
      </c>
      <c r="G5370">
        <v>0.38002577786210601</v>
      </c>
      <c r="H5370">
        <v>0.44179990469624902</v>
      </c>
      <c r="I5370">
        <v>0.63727855548882695</v>
      </c>
      <c r="J5370">
        <v>0.955207622530862</v>
      </c>
      <c r="K5370">
        <v>1.0976180302762799</v>
      </c>
      <c r="L5370">
        <v>1313.98231490797</v>
      </c>
      <c r="M5370">
        <v>29.960406919118299</v>
      </c>
      <c r="O5370">
        <v>43.6632961795843</v>
      </c>
      <c r="P5370">
        <v>-5.6645700649319002E-2</v>
      </c>
      <c r="Q5370">
        <v>0.66978796892050796</v>
      </c>
      <c r="R5370">
        <v>0.209927288506538</v>
      </c>
      <c r="S5370" t="s">
        <v>12016</v>
      </c>
      <c r="T5370" t="s">
        <v>13290</v>
      </c>
      <c r="U5370" t="s">
        <v>13290</v>
      </c>
      <c r="V5370" t="s">
        <v>13290</v>
      </c>
      <c r="W5370" t="s">
        <v>18610</v>
      </c>
      <c r="X5370">
        <v>2</v>
      </c>
      <c r="Y5370" t="s">
        <v>25088</v>
      </c>
      <c r="Z5370" t="s">
        <v>31700</v>
      </c>
      <c r="AA5370">
        <v>0.71472676169089588</v>
      </c>
      <c r="AB5370" t="str">
        <f>HYPERLINK("Melting_Curves/meltCurve_Q9BRV8_SIKE1.pdf", "Melting_Curves/meltCurve_Q9BRV8_SIKE1.pdf")</f>
        <v>Melting_Curves/meltCurve_Q9BRV8_SIKE1.pdf</v>
      </c>
    </row>
    <row r="5371" spans="1:28" x14ac:dyDescent="0.25">
      <c r="A5371" t="s">
        <v>5375</v>
      </c>
      <c r="B5371">
        <v>0.99252571173614901</v>
      </c>
      <c r="C5371">
        <v>0.88939062764281995</v>
      </c>
      <c r="D5371">
        <v>0.46785447747019898</v>
      </c>
      <c r="E5371">
        <v>0.16538711942363299</v>
      </c>
      <c r="F5371">
        <v>9.5760272714656397E-2</v>
      </c>
      <c r="G5371">
        <v>5.48157979012057E-2</v>
      </c>
      <c r="H5371">
        <v>4.6643791758487603E-2</v>
      </c>
      <c r="I5371">
        <v>5.2388569110045899E-2</v>
      </c>
      <c r="J5371">
        <v>6.0984745326793301E-2</v>
      </c>
      <c r="K5371">
        <v>6.5914344733989494E-2</v>
      </c>
      <c r="L5371">
        <v>1321.9842246482799</v>
      </c>
      <c r="M5371">
        <v>28.944931564454599</v>
      </c>
      <c r="N5371">
        <v>45.879249862027798</v>
      </c>
      <c r="O5371">
        <v>45.456053829593102</v>
      </c>
      <c r="P5371">
        <v>-0.14945449640272801</v>
      </c>
      <c r="Q5371">
        <v>6.1174412274005302E-2</v>
      </c>
      <c r="R5371">
        <v>0.99867150388567305</v>
      </c>
      <c r="S5371" t="s">
        <v>12017</v>
      </c>
      <c r="T5371" t="s">
        <v>13290</v>
      </c>
      <c r="U5371" t="s">
        <v>13290</v>
      </c>
      <c r="V5371" t="s">
        <v>13290</v>
      </c>
      <c r="W5371" t="s">
        <v>18611</v>
      </c>
      <c r="X5371">
        <v>15</v>
      </c>
      <c r="Y5371" t="s">
        <v>25089</v>
      </c>
      <c r="Z5371" t="s">
        <v>31701</v>
      </c>
      <c r="AA5371">
        <v>0.2449754556250798</v>
      </c>
      <c r="AB5371" t="str">
        <f>HYPERLINK("Melting_Curves/meltCurve_Q9BRX2_PELO.pdf", "Melting_Curves/meltCurve_Q9BRX2_PELO.pdf")</f>
        <v>Melting_Curves/meltCurve_Q9BRX2_PELO.pdf</v>
      </c>
    </row>
    <row r="5372" spans="1:28" x14ac:dyDescent="0.25">
      <c r="A5372" t="s">
        <v>5376</v>
      </c>
      <c r="B5372">
        <v>0.99252571173614901</v>
      </c>
      <c r="C5372">
        <v>1.03398265521054</v>
      </c>
      <c r="D5372">
        <v>1.00963784746782</v>
      </c>
      <c r="E5372">
        <v>0.79923126527228805</v>
      </c>
      <c r="F5372">
        <v>0.217550374455663</v>
      </c>
      <c r="G5372">
        <v>0.126467341624698</v>
      </c>
      <c r="H5372">
        <v>8.1851498690326305E-2</v>
      </c>
      <c r="I5372">
        <v>9.2791544848111807E-2</v>
      </c>
      <c r="J5372">
        <v>0.110477604948143</v>
      </c>
      <c r="K5372">
        <v>0.144616745585011</v>
      </c>
      <c r="L5372">
        <v>2365.4554270030799</v>
      </c>
      <c r="M5372">
        <v>46.448923914601998</v>
      </c>
      <c r="N5372">
        <v>51.198955694222803</v>
      </c>
      <c r="O5372">
        <v>50.831821081294102</v>
      </c>
      <c r="P5372">
        <v>-0.203383852360491</v>
      </c>
      <c r="Q5372">
        <v>0.109700814118142</v>
      </c>
      <c r="R5372">
        <v>0.99772249515436195</v>
      </c>
      <c r="S5372" t="s">
        <v>12018</v>
      </c>
      <c r="T5372" t="s">
        <v>13290</v>
      </c>
      <c r="U5372" t="s">
        <v>13290</v>
      </c>
      <c r="V5372" t="s">
        <v>13290</v>
      </c>
      <c r="W5372" t="s">
        <v>18612</v>
      </c>
      <c r="X5372">
        <v>8</v>
      </c>
      <c r="Y5372" t="s">
        <v>25090</v>
      </c>
      <c r="Z5372" t="s">
        <v>31702</v>
      </c>
      <c r="AA5372">
        <v>0.43626555069487372</v>
      </c>
      <c r="AB5372" t="str">
        <f>HYPERLINK("Melting_Curves/meltCurve_Q9BRX5_GINS3.pdf", "Melting_Curves/meltCurve_Q9BRX5_GINS3.pdf")</f>
        <v>Melting_Curves/meltCurve_Q9BRX5_GINS3.pdf</v>
      </c>
    </row>
    <row r="5373" spans="1:28" x14ac:dyDescent="0.25">
      <c r="A5373" t="s">
        <v>5377</v>
      </c>
      <c r="B5373">
        <v>0.99252571173614901</v>
      </c>
      <c r="C5373">
        <v>0.97119748430347597</v>
      </c>
      <c r="D5373">
        <v>0.92965804321791901</v>
      </c>
      <c r="E5373">
        <v>0.731401506563227</v>
      </c>
      <c r="F5373">
        <v>0.62570529113512996</v>
      </c>
      <c r="G5373">
        <v>0.46455122920019098</v>
      </c>
      <c r="H5373">
        <v>0.16499043051493201</v>
      </c>
      <c r="I5373">
        <v>8.91754499628543E-2</v>
      </c>
      <c r="J5373">
        <v>0.105504700246758</v>
      </c>
      <c r="K5373">
        <v>9.6038452570274699E-2</v>
      </c>
      <c r="L5373">
        <v>693.72333602022502</v>
      </c>
      <c r="M5373">
        <v>12.641159294447901</v>
      </c>
      <c r="N5373">
        <v>54.878142085269197</v>
      </c>
      <c r="O5373">
        <v>53.5591511706209</v>
      </c>
      <c r="P5373">
        <v>-5.9017222982544103E-2</v>
      </c>
      <c r="Q5373">
        <v>0</v>
      </c>
      <c r="R5373">
        <v>0.98673660496484294</v>
      </c>
      <c r="S5373" t="s">
        <v>12019</v>
      </c>
      <c r="T5373" t="s">
        <v>13290</v>
      </c>
      <c r="U5373" t="s">
        <v>13290</v>
      </c>
      <c r="V5373" t="s">
        <v>13290</v>
      </c>
      <c r="W5373" t="s">
        <v>18613</v>
      </c>
      <c r="X5373">
        <v>14</v>
      </c>
      <c r="Y5373" t="s">
        <v>25091</v>
      </c>
      <c r="Z5373" t="s">
        <v>31703</v>
      </c>
      <c r="AA5373">
        <v>0.51880640641706111</v>
      </c>
      <c r="AB5373" t="str">
        <f>HYPERLINK("Melting_Curves/meltCurve_Q9BRX8_2_FAM213A.pdf", "Melting_Curves/meltCurve_Q9BRX8_2_FAM213A.pdf")</f>
        <v>Melting_Curves/meltCurve_Q9BRX8_2_FAM213A.pdf</v>
      </c>
    </row>
    <row r="5374" spans="1:28" x14ac:dyDescent="0.25">
      <c r="A5374" t="s">
        <v>5378</v>
      </c>
      <c r="B5374">
        <v>0.99252571173614901</v>
      </c>
      <c r="C5374">
        <v>1.0219785419705201</v>
      </c>
      <c r="D5374">
        <v>0.920988797420495</v>
      </c>
      <c r="E5374">
        <v>0.68848670204836104</v>
      </c>
      <c r="F5374">
        <v>1.27205580739905</v>
      </c>
      <c r="G5374">
        <v>0.51261223118715704</v>
      </c>
      <c r="H5374">
        <v>0.359998530811382</v>
      </c>
      <c r="I5374">
        <v>0.382803124017772</v>
      </c>
      <c r="J5374">
        <v>0.44242276398809099</v>
      </c>
      <c r="K5374">
        <v>0.46422655546561498</v>
      </c>
      <c r="L5374">
        <v>14110.176975271799</v>
      </c>
      <c r="M5374">
        <v>250</v>
      </c>
      <c r="N5374">
        <v>56.836609003313598</v>
      </c>
      <c r="O5374">
        <v>56.4370954290467</v>
      </c>
      <c r="P5374">
        <v>-0.65076583643652697</v>
      </c>
      <c r="Q5374">
        <v>0.41236265620538798</v>
      </c>
      <c r="R5374">
        <v>0.80280375789898095</v>
      </c>
      <c r="S5374" t="s">
        <v>12020</v>
      </c>
      <c r="T5374" t="s">
        <v>13290</v>
      </c>
      <c r="U5374" t="s">
        <v>13290</v>
      </c>
      <c r="V5374" t="s">
        <v>13290</v>
      </c>
      <c r="W5374" t="s">
        <v>18614</v>
      </c>
      <c r="X5374">
        <v>1</v>
      </c>
      <c r="Y5374" t="s">
        <v>25092</v>
      </c>
      <c r="Z5374" t="s">
        <v>31704</v>
      </c>
      <c r="AA5374">
        <v>0.73445999389423233</v>
      </c>
      <c r="AB5374" t="str">
        <f>HYPERLINK("Melting_Curves/meltCurve_Q9BS18_ANAPC13.pdf", "Melting_Curves/meltCurve_Q9BS18_ANAPC13.pdf")</f>
        <v>Melting_Curves/meltCurve_Q9BS18_ANAPC13.pdf</v>
      </c>
    </row>
    <row r="5375" spans="1:28" x14ac:dyDescent="0.25">
      <c r="A5375" t="s">
        <v>5379</v>
      </c>
      <c r="B5375">
        <v>0.99252571173614901</v>
      </c>
      <c r="C5375">
        <v>1.08298004084516</v>
      </c>
      <c r="D5375">
        <v>1.0211589967291099</v>
      </c>
      <c r="E5375">
        <v>0.91276284337214997</v>
      </c>
      <c r="F5375">
        <v>0.43165540502688399</v>
      </c>
      <c r="G5375">
        <v>0.172687961372997</v>
      </c>
      <c r="H5375">
        <v>0.111582424091903</v>
      </c>
      <c r="I5375">
        <v>0.114058675913986</v>
      </c>
      <c r="J5375">
        <v>0.12002012598631701</v>
      </c>
      <c r="K5375">
        <v>9.9896032374511501E-2</v>
      </c>
      <c r="L5375">
        <v>2003.94315822927</v>
      </c>
      <c r="M5375">
        <v>38.223279824351401</v>
      </c>
      <c r="N5375">
        <v>52.780879794614798</v>
      </c>
      <c r="O5375">
        <v>52.284407307850103</v>
      </c>
      <c r="P5375">
        <v>-0.162122553018889</v>
      </c>
      <c r="Q5375">
        <v>0.112953044123194</v>
      </c>
      <c r="R5375">
        <v>0.99532426232236004</v>
      </c>
      <c r="S5375" t="s">
        <v>12021</v>
      </c>
      <c r="T5375" t="s">
        <v>13290</v>
      </c>
      <c r="U5375" t="s">
        <v>13290</v>
      </c>
      <c r="V5375" t="s">
        <v>13290</v>
      </c>
      <c r="W5375" t="s">
        <v>18615</v>
      </c>
      <c r="X5375">
        <v>26</v>
      </c>
      <c r="Y5375" t="s">
        <v>25093</v>
      </c>
      <c r="Z5375" t="s">
        <v>31705</v>
      </c>
      <c r="AA5375">
        <v>0.48392542062550581</v>
      </c>
      <c r="AB5375" t="str">
        <f>HYPERLINK("Melting_Curves/meltCurve_Q9BS26_ERP44.pdf", "Melting_Curves/meltCurve_Q9BS26_ERP44.pdf")</f>
        <v>Melting_Curves/meltCurve_Q9BS26_ERP44.pdf</v>
      </c>
    </row>
    <row r="5376" spans="1:28" x14ac:dyDescent="0.25">
      <c r="A5376" t="s">
        <v>5380</v>
      </c>
      <c r="B5376">
        <v>0.99252571173614901</v>
      </c>
      <c r="C5376">
        <v>0.83372401749376601</v>
      </c>
      <c r="D5376">
        <v>0.58578087548131397</v>
      </c>
      <c r="E5376">
        <v>0.49241485080154501</v>
      </c>
      <c r="F5376">
        <v>0.35641518326890798</v>
      </c>
      <c r="G5376">
        <v>0.27515932585132202</v>
      </c>
      <c r="H5376">
        <v>0.17644860772086801</v>
      </c>
      <c r="I5376">
        <v>0.215070588962474</v>
      </c>
      <c r="J5376">
        <v>0.248727839729592</v>
      </c>
      <c r="K5376">
        <v>0.16782062923013599</v>
      </c>
      <c r="L5376">
        <v>632.27447795348303</v>
      </c>
      <c r="M5376">
        <v>13.447946662847301</v>
      </c>
      <c r="N5376">
        <v>48.750126513673997</v>
      </c>
      <c r="O5376">
        <v>46.013299070109703</v>
      </c>
      <c r="P5376">
        <v>-5.91874660760437E-2</v>
      </c>
      <c r="Q5376">
        <v>0.190065564129585</v>
      </c>
      <c r="R5376">
        <v>0.97832467159376402</v>
      </c>
      <c r="S5376" t="s">
        <v>12022</v>
      </c>
      <c r="T5376" t="s">
        <v>13290</v>
      </c>
      <c r="U5376" t="s">
        <v>13290</v>
      </c>
      <c r="V5376" t="s">
        <v>13290</v>
      </c>
      <c r="W5376" t="s">
        <v>18616</v>
      </c>
      <c r="X5376">
        <v>7</v>
      </c>
      <c r="Y5376" t="s">
        <v>25094</v>
      </c>
      <c r="Z5376" t="s">
        <v>31706</v>
      </c>
      <c r="AA5376">
        <v>0.40686574868322101</v>
      </c>
      <c r="AB5376" t="str">
        <f>HYPERLINK("Melting_Curves/meltCurve_Q9BSB4_ATG101.pdf", "Melting_Curves/meltCurve_Q9BSB4_ATG101.pdf")</f>
        <v>Melting_Curves/meltCurve_Q9BSB4_ATG101.pdf</v>
      </c>
    </row>
    <row r="5377" spans="1:28" x14ac:dyDescent="0.25">
      <c r="A5377" t="s">
        <v>5381</v>
      </c>
      <c r="B5377">
        <v>0.99252571173614901</v>
      </c>
      <c r="C5377">
        <v>1.07453691113395</v>
      </c>
      <c r="D5377">
        <v>0.88157574735851496</v>
      </c>
      <c r="E5377">
        <v>0.68408402328953799</v>
      </c>
      <c r="F5377">
        <v>0.20413672334306099</v>
      </c>
      <c r="G5377">
        <v>7.4901763788683295E-2</v>
      </c>
      <c r="H5377">
        <v>4.2808160687238299E-2</v>
      </c>
      <c r="I5377">
        <v>3.93565239955459E-2</v>
      </c>
      <c r="J5377">
        <v>4.9768507254129297E-2</v>
      </c>
      <c r="K5377">
        <v>5.6196524557540602E-2</v>
      </c>
      <c r="L5377">
        <v>1506.94286576325</v>
      </c>
      <c r="M5377">
        <v>29.789934702460801</v>
      </c>
      <c r="N5377">
        <v>50.735079148454197</v>
      </c>
      <c r="O5377">
        <v>50.3593213855508</v>
      </c>
      <c r="P5377">
        <v>-0.14167624009430299</v>
      </c>
      <c r="Q5377">
        <v>4.20022405285451E-2</v>
      </c>
      <c r="R5377">
        <v>0.99278050632284598</v>
      </c>
      <c r="S5377" t="s">
        <v>12023</v>
      </c>
      <c r="T5377" t="s">
        <v>13290</v>
      </c>
      <c r="U5377" t="s">
        <v>13290</v>
      </c>
      <c r="V5377" t="s">
        <v>13290</v>
      </c>
      <c r="W5377" t="s">
        <v>18617</v>
      </c>
      <c r="X5377">
        <v>10</v>
      </c>
      <c r="Y5377" t="s">
        <v>25095</v>
      </c>
      <c r="Z5377" t="s">
        <v>31707</v>
      </c>
      <c r="AA5377">
        <v>0.38610373904583101</v>
      </c>
      <c r="AB5377" t="str">
        <f>HYPERLINK("Melting_Curves/meltCurve_Q9BSD7_NTPCR.pdf", "Melting_Curves/meltCurve_Q9BSD7_NTPCR.pdf")</f>
        <v>Melting_Curves/meltCurve_Q9BSD7_NTPCR.pdf</v>
      </c>
    </row>
    <row r="5378" spans="1:28" x14ac:dyDescent="0.25">
      <c r="A5378" t="s">
        <v>5382</v>
      </c>
      <c r="B5378">
        <v>0.99252571173614901</v>
      </c>
      <c r="C5378">
        <v>1.1368022102726301</v>
      </c>
      <c r="D5378">
        <v>0.99153037417811596</v>
      </c>
      <c r="E5378">
        <v>0.94197262031208595</v>
      </c>
      <c r="F5378">
        <v>0.71029942792767198</v>
      </c>
      <c r="G5378">
        <v>0.42331027436694502</v>
      </c>
      <c r="H5378">
        <v>0.49524496027918102</v>
      </c>
      <c r="I5378">
        <v>0.25680158757409399</v>
      </c>
      <c r="J5378">
        <v>0.10698836869690399</v>
      </c>
      <c r="K5378">
        <v>8.6870320157046405E-2</v>
      </c>
      <c r="L5378">
        <v>711.26555130033103</v>
      </c>
      <c r="M5378">
        <v>12.307367668030601</v>
      </c>
      <c r="N5378">
        <v>57.791869467615598</v>
      </c>
      <c r="O5378">
        <v>56.329643228269298</v>
      </c>
      <c r="P5378">
        <v>-5.46340117586189E-2</v>
      </c>
      <c r="Q5378">
        <v>0</v>
      </c>
      <c r="R5378">
        <v>0.95060772769574697</v>
      </c>
      <c r="S5378" t="s">
        <v>12024</v>
      </c>
      <c r="T5378" t="s">
        <v>13290</v>
      </c>
      <c r="U5378" t="s">
        <v>13290</v>
      </c>
      <c r="V5378" t="s">
        <v>13290</v>
      </c>
      <c r="W5378" t="s">
        <v>18618</v>
      </c>
      <c r="X5378">
        <v>4</v>
      </c>
      <c r="Y5378" t="s">
        <v>25096</v>
      </c>
      <c r="Z5378" t="s">
        <v>31708</v>
      </c>
      <c r="AA5378">
        <v>0.60685061971821941</v>
      </c>
      <c r="AB5378" t="str">
        <f>HYPERLINK("Melting_Curves/meltCurve_Q9BSE5_AGMAT.pdf", "Melting_Curves/meltCurve_Q9BSE5_AGMAT.pdf")</f>
        <v>Melting_Curves/meltCurve_Q9BSE5_AGMAT.pdf</v>
      </c>
    </row>
    <row r="5379" spans="1:28" x14ac:dyDescent="0.25">
      <c r="A5379" t="s">
        <v>5383</v>
      </c>
      <c r="B5379">
        <v>0.99252571173614901</v>
      </c>
      <c r="C5379">
        <v>0.96284458180446797</v>
      </c>
      <c r="D5379">
        <v>0.93484654684346502</v>
      </c>
      <c r="E5379">
        <v>1.0028760805160799</v>
      </c>
      <c r="F5379">
        <v>0.79479459944736797</v>
      </c>
      <c r="G5379">
        <v>0.498660160560567</v>
      </c>
      <c r="H5379">
        <v>0.319133554397525</v>
      </c>
      <c r="I5379">
        <v>0.38158649639647901</v>
      </c>
      <c r="J5379">
        <v>0.49542876041277301</v>
      </c>
      <c r="K5379">
        <v>0.50770914381973198</v>
      </c>
      <c r="L5379">
        <v>2465.7682668275802</v>
      </c>
      <c r="M5379">
        <v>45.735088439236499</v>
      </c>
      <c r="N5379">
        <v>56.319366687568802</v>
      </c>
      <c r="O5379">
        <v>53.811372967231101</v>
      </c>
      <c r="P5379">
        <v>-0.121306185610621</v>
      </c>
      <c r="Q5379">
        <v>0.42909090671969402</v>
      </c>
      <c r="R5379">
        <v>0.952791954468586</v>
      </c>
      <c r="S5379" t="s">
        <v>12025</v>
      </c>
      <c r="T5379" t="s">
        <v>13290</v>
      </c>
      <c r="U5379" t="s">
        <v>13290</v>
      </c>
      <c r="V5379" t="s">
        <v>13290</v>
      </c>
      <c r="W5379" t="s">
        <v>18619</v>
      </c>
      <c r="X5379">
        <v>8</v>
      </c>
      <c r="Y5379" t="s">
        <v>25097</v>
      </c>
      <c r="Z5379" t="s">
        <v>31709</v>
      </c>
      <c r="AA5379">
        <v>0.69550478429293672</v>
      </c>
      <c r="AB5379" t="str">
        <f>HYPERLINK("Melting_Curves/meltCurve_Q9BSF4_C19orf52.pdf", "Melting_Curves/meltCurve_Q9BSF4_C19orf52.pdf")</f>
        <v>Melting_Curves/meltCurve_Q9BSF4_C19orf52.pdf</v>
      </c>
    </row>
    <row r="5380" spans="1:28" x14ac:dyDescent="0.25">
      <c r="A5380" t="s">
        <v>5384</v>
      </c>
      <c r="B5380">
        <v>0.99252571173614901</v>
      </c>
      <c r="C5380">
        <v>1.04163834362956</v>
      </c>
      <c r="D5380">
        <v>0.7395240462396</v>
      </c>
      <c r="E5380">
        <v>0.31509246868433</v>
      </c>
      <c r="F5380">
        <v>0.18693591351962299</v>
      </c>
      <c r="G5380">
        <v>0.107828710303513</v>
      </c>
      <c r="H5380">
        <v>7.9750289666316004E-2</v>
      </c>
      <c r="I5380">
        <v>7.9219520687111106E-2</v>
      </c>
      <c r="J5380">
        <v>8.5502937716706903E-2</v>
      </c>
      <c r="K5380">
        <v>8.4311372218402694E-2</v>
      </c>
      <c r="L5380">
        <v>1341.25794818944</v>
      </c>
      <c r="M5380">
        <v>28.1260655765997</v>
      </c>
      <c r="N5380">
        <v>48.036005320176599</v>
      </c>
      <c r="O5380">
        <v>47.448261322866301</v>
      </c>
      <c r="P5380">
        <v>-0.13451247757569099</v>
      </c>
      <c r="Q5380">
        <v>9.2325518183390506E-2</v>
      </c>
      <c r="R5380">
        <v>0.99314112986768999</v>
      </c>
      <c r="S5380" t="s">
        <v>12026</v>
      </c>
      <c r="T5380" t="s">
        <v>13290</v>
      </c>
      <c r="U5380" t="s">
        <v>13290</v>
      </c>
      <c r="V5380" t="s">
        <v>13290</v>
      </c>
      <c r="W5380" t="s">
        <v>18620</v>
      </c>
      <c r="X5380">
        <v>12</v>
      </c>
      <c r="Y5380" t="s">
        <v>25098</v>
      </c>
      <c r="Z5380" t="s">
        <v>31710</v>
      </c>
      <c r="AA5380">
        <v>0.33115958337507562</v>
      </c>
      <c r="AB5380" t="str">
        <f>HYPERLINK("Melting_Curves/meltCurve_Q9BSH4_TACO1.pdf", "Melting_Curves/meltCurve_Q9BSH4_TACO1.pdf")</f>
        <v>Melting_Curves/meltCurve_Q9BSH4_TACO1.pdf</v>
      </c>
    </row>
    <row r="5381" spans="1:28" x14ac:dyDescent="0.25">
      <c r="A5381" t="s">
        <v>5385</v>
      </c>
      <c r="B5381">
        <v>0.99252571173614901</v>
      </c>
      <c r="C5381">
        <v>1.06556994696803</v>
      </c>
      <c r="D5381">
        <v>0.96960339041439403</v>
      </c>
      <c r="E5381">
        <v>0.82255913843171902</v>
      </c>
      <c r="F5381">
        <v>0.72076766859002495</v>
      </c>
      <c r="G5381">
        <v>0.53331571023626501</v>
      </c>
      <c r="H5381">
        <v>0.36398661866621801</v>
      </c>
      <c r="I5381">
        <v>0.23281474545387901</v>
      </c>
      <c r="J5381">
        <v>0.150792425311184</v>
      </c>
      <c r="K5381">
        <v>0.13505300211604099</v>
      </c>
      <c r="L5381">
        <v>687.57533078671702</v>
      </c>
      <c r="M5381">
        <v>12.032453411701001</v>
      </c>
      <c r="N5381">
        <v>57.426111111193201</v>
      </c>
      <c r="O5381">
        <v>55.6336749385597</v>
      </c>
      <c r="P5381">
        <v>-5.2527596167901799E-2</v>
      </c>
      <c r="Q5381">
        <v>2.8757766782765301E-2</v>
      </c>
      <c r="R5381">
        <v>0.99160822607738697</v>
      </c>
      <c r="S5381" t="s">
        <v>12027</v>
      </c>
      <c r="T5381" t="s">
        <v>13290</v>
      </c>
      <c r="U5381" t="s">
        <v>13290</v>
      </c>
      <c r="V5381" t="s">
        <v>13290</v>
      </c>
      <c r="W5381" t="s">
        <v>18621</v>
      </c>
      <c r="X5381">
        <v>13</v>
      </c>
      <c r="Y5381" t="s">
        <v>25099</v>
      </c>
      <c r="Z5381" t="s">
        <v>31711</v>
      </c>
      <c r="AA5381">
        <v>0.5995839194698741</v>
      </c>
      <c r="AB5381" t="str">
        <f>HYPERLINK("Melting_Curves/meltCurve_Q9BSH5_HDHD3.pdf", "Melting_Curves/meltCurve_Q9BSH5_HDHD3.pdf")</f>
        <v>Melting_Curves/meltCurve_Q9BSH5_HDHD3.pdf</v>
      </c>
    </row>
    <row r="5382" spans="1:28" x14ac:dyDescent="0.25">
      <c r="A5382" t="s">
        <v>5386</v>
      </c>
      <c r="B5382">
        <v>0.99252571173614901</v>
      </c>
      <c r="C5382">
        <v>0.90822762349710096</v>
      </c>
      <c r="D5382">
        <v>0.84787642645574801</v>
      </c>
      <c r="E5382">
        <v>0.54246545676317504</v>
      </c>
      <c r="F5382">
        <v>0.23371901667773501</v>
      </c>
      <c r="G5382">
        <v>0.13569276737243499</v>
      </c>
      <c r="H5382">
        <v>0.101153689514543</v>
      </c>
      <c r="I5382">
        <v>0.12955117419648099</v>
      </c>
      <c r="J5382">
        <v>0.15585158088510501</v>
      </c>
      <c r="K5382">
        <v>0.14311763726061999</v>
      </c>
      <c r="L5382">
        <v>1123.2685532170599</v>
      </c>
      <c r="M5382">
        <v>22.840805967744298</v>
      </c>
      <c r="N5382">
        <v>49.780261268432703</v>
      </c>
      <c r="O5382">
        <v>48.805837806392901</v>
      </c>
      <c r="P5382">
        <v>-0.102879238462981</v>
      </c>
      <c r="Q5382">
        <v>0.120694625837484</v>
      </c>
      <c r="R5382">
        <v>0.99346197973003603</v>
      </c>
      <c r="S5382" t="s">
        <v>12028</v>
      </c>
      <c r="T5382" t="s">
        <v>13290</v>
      </c>
      <c r="U5382" t="s">
        <v>13290</v>
      </c>
      <c r="V5382" t="s">
        <v>13290</v>
      </c>
      <c r="W5382" t="s">
        <v>18622</v>
      </c>
      <c r="X5382">
        <v>7</v>
      </c>
      <c r="Y5382" t="s">
        <v>25100</v>
      </c>
      <c r="Z5382" t="s">
        <v>31712</v>
      </c>
      <c r="AA5382">
        <v>0.39909515251843708</v>
      </c>
      <c r="AB5382" t="str">
        <f>HYPERLINK("Melting_Curves/meltCurve_Q9BSJ2_TUBGCP2.pdf", "Melting_Curves/meltCurve_Q9BSJ2_TUBGCP2.pdf")</f>
        <v>Melting_Curves/meltCurve_Q9BSJ2_TUBGCP2.pdf</v>
      </c>
    </row>
    <row r="5383" spans="1:28" x14ac:dyDescent="0.25">
      <c r="A5383" t="s">
        <v>5387</v>
      </c>
      <c r="B5383">
        <v>0.99252571173614901</v>
      </c>
      <c r="C5383">
        <v>1.0562630856125801</v>
      </c>
      <c r="D5383">
        <v>1.03699261626951</v>
      </c>
      <c r="E5383">
        <v>0.93135942782354098</v>
      </c>
      <c r="F5383">
        <v>0.34698301697421102</v>
      </c>
      <c r="G5383">
        <v>0.188650653500994</v>
      </c>
      <c r="H5383">
        <v>5.5032166063699497E-2</v>
      </c>
      <c r="I5383">
        <v>2.92016637171796E-2</v>
      </c>
      <c r="J5383">
        <v>3.5943325491919198E-2</v>
      </c>
      <c r="K5383">
        <v>4.58402301954208E-2</v>
      </c>
      <c r="L5383">
        <v>2084.1357362272502</v>
      </c>
      <c r="M5383">
        <v>39.854426676337503</v>
      </c>
      <c r="N5383">
        <v>52.4575774997232</v>
      </c>
      <c r="O5383">
        <v>52.162560261365599</v>
      </c>
      <c r="P5383">
        <v>-0.179831070575173</v>
      </c>
      <c r="Q5383">
        <v>5.8530630201138301E-2</v>
      </c>
      <c r="R5383">
        <v>0.99162015246786905</v>
      </c>
      <c r="S5383" t="s">
        <v>12029</v>
      </c>
      <c r="T5383" t="s">
        <v>13290</v>
      </c>
      <c r="U5383" t="s">
        <v>13290</v>
      </c>
      <c r="V5383" t="s">
        <v>13290</v>
      </c>
      <c r="W5383" t="s">
        <v>18623</v>
      </c>
      <c r="X5383">
        <v>5</v>
      </c>
      <c r="Y5383" t="s">
        <v>25101</v>
      </c>
      <c r="Z5383" t="s">
        <v>31713</v>
      </c>
      <c r="AA5383">
        <v>0.44776163223014098</v>
      </c>
      <c r="AB5383" t="str">
        <f>HYPERLINK("Melting_Curves/meltCurve_Q9BSJ5_3_C17orf80.pdf", "Melting_Curves/meltCurve_Q9BSJ5_3_C17orf80.pdf")</f>
        <v>Melting_Curves/meltCurve_Q9BSJ5_3_C17orf80.pdf</v>
      </c>
    </row>
    <row r="5384" spans="1:28" x14ac:dyDescent="0.25">
      <c r="A5384" t="s">
        <v>5388</v>
      </c>
      <c r="B5384">
        <v>0.99252571173614901</v>
      </c>
      <c r="C5384">
        <v>0.86610215507839095</v>
      </c>
      <c r="D5384">
        <v>0.82944979692965803</v>
      </c>
      <c r="E5384">
        <v>0.64134958156194399</v>
      </c>
      <c r="F5384">
        <v>0.64547751898032801</v>
      </c>
      <c r="G5384">
        <v>0.58154131340292403</v>
      </c>
      <c r="H5384">
        <v>0.47163225823483501</v>
      </c>
      <c r="I5384">
        <v>0.45096747846679502</v>
      </c>
      <c r="J5384">
        <v>0.259620557282705</v>
      </c>
      <c r="K5384">
        <v>0.23420574798771401</v>
      </c>
      <c r="L5384">
        <v>333.92226512422297</v>
      </c>
      <c r="M5384">
        <v>5.7228202169016198</v>
      </c>
      <c r="N5384">
        <v>58.349241525654698</v>
      </c>
      <c r="O5384">
        <v>52.400977982428202</v>
      </c>
      <c r="P5384">
        <v>-2.7407607692292699E-2</v>
      </c>
      <c r="Q5384">
        <v>0</v>
      </c>
      <c r="R5384">
        <v>0.95330851334914202</v>
      </c>
      <c r="S5384" t="s">
        <v>12030</v>
      </c>
      <c r="T5384" t="s">
        <v>13290</v>
      </c>
      <c r="U5384" t="s">
        <v>13290</v>
      </c>
      <c r="V5384" t="s">
        <v>13290</v>
      </c>
      <c r="W5384" t="s">
        <v>18624</v>
      </c>
      <c r="X5384">
        <v>2</v>
      </c>
      <c r="Y5384" t="s">
        <v>25102</v>
      </c>
      <c r="Z5384" t="s">
        <v>31714</v>
      </c>
      <c r="AA5384">
        <v>0.59629296999407033</v>
      </c>
      <c r="AB5384" t="str">
        <f>HYPERLINK("Melting_Curves/meltCurve_Q9BSJ6_FAM64A.pdf", "Melting_Curves/meltCurve_Q9BSJ6_FAM64A.pdf")</f>
        <v>Melting_Curves/meltCurve_Q9BSJ6_FAM64A.pdf</v>
      </c>
    </row>
    <row r="5385" spans="1:28" x14ac:dyDescent="0.25">
      <c r="A5385" t="s">
        <v>5389</v>
      </c>
      <c r="B5385">
        <v>0.99252571173614901</v>
      </c>
      <c r="C5385">
        <v>0.79697441498825194</v>
      </c>
      <c r="D5385">
        <v>0.45751606831159403</v>
      </c>
      <c r="E5385">
        <v>0.22318092717482399</v>
      </c>
      <c r="F5385">
        <v>0.10785369061554</v>
      </c>
      <c r="G5385">
        <v>6.3704117720684503E-2</v>
      </c>
      <c r="H5385">
        <v>4.52904658555182E-2</v>
      </c>
      <c r="I5385">
        <v>5.2121669118046401E-2</v>
      </c>
      <c r="J5385">
        <v>6.75379776172923E-2</v>
      </c>
      <c r="K5385">
        <v>6.3988022085419496E-2</v>
      </c>
      <c r="L5385">
        <v>974.18280988201502</v>
      </c>
      <c r="M5385">
        <v>21.400239452992199</v>
      </c>
      <c r="N5385">
        <v>45.7884713273749</v>
      </c>
      <c r="O5385">
        <v>45.130148445016097</v>
      </c>
      <c r="P5385">
        <v>-0.111610099051769</v>
      </c>
      <c r="Q5385">
        <v>5.8542381668384602E-2</v>
      </c>
      <c r="R5385">
        <v>0.99702741046501697</v>
      </c>
      <c r="S5385" t="s">
        <v>12031</v>
      </c>
      <c r="T5385" t="s">
        <v>13290</v>
      </c>
      <c r="U5385" t="s">
        <v>13290</v>
      </c>
      <c r="V5385" t="s">
        <v>13290</v>
      </c>
      <c r="W5385" t="s">
        <v>18625</v>
      </c>
      <c r="X5385">
        <v>27</v>
      </c>
      <c r="Y5385" t="s">
        <v>25103</v>
      </c>
      <c r="Z5385" t="s">
        <v>31715</v>
      </c>
      <c r="AA5385">
        <v>0.24474962901472919</v>
      </c>
      <c r="AB5385" t="str">
        <f>HYPERLINK("Melting_Curves/meltCurve_Q9BSJ8_ESYT1.pdf", "Melting_Curves/meltCurve_Q9BSJ8_ESYT1.pdf")</f>
        <v>Melting_Curves/meltCurve_Q9BSJ8_ESYT1.pdf</v>
      </c>
    </row>
    <row r="5386" spans="1:28" x14ac:dyDescent="0.25">
      <c r="A5386" t="s">
        <v>5390</v>
      </c>
      <c r="B5386">
        <v>0.99252571173614901</v>
      </c>
      <c r="C5386">
        <v>0.88762559467963298</v>
      </c>
      <c r="D5386">
        <v>0.81473176643571399</v>
      </c>
      <c r="E5386">
        <v>0.691158826349759</v>
      </c>
      <c r="F5386">
        <v>0.60286178891435305</v>
      </c>
      <c r="G5386">
        <v>0.45867185169764302</v>
      </c>
      <c r="H5386">
        <v>0.39775082457493799</v>
      </c>
      <c r="I5386">
        <v>0.406028804218664</v>
      </c>
      <c r="J5386">
        <v>0.26459431815705597</v>
      </c>
      <c r="K5386">
        <v>0.183780250292085</v>
      </c>
      <c r="L5386">
        <v>374.51705756756598</v>
      </c>
      <c r="M5386">
        <v>6.6684725857067297</v>
      </c>
      <c r="N5386">
        <v>56.576430688513298</v>
      </c>
      <c r="O5386">
        <v>51.7573160506536</v>
      </c>
      <c r="P5386">
        <v>-3.1512715449204698E-2</v>
      </c>
      <c r="Q5386">
        <v>2.38174874213508E-2</v>
      </c>
      <c r="R5386">
        <v>0.97924795839176704</v>
      </c>
      <c r="S5386" t="s">
        <v>12032</v>
      </c>
      <c r="T5386" t="s">
        <v>13290</v>
      </c>
      <c r="U5386" t="s">
        <v>13290</v>
      </c>
      <c r="V5386" t="s">
        <v>13290</v>
      </c>
      <c r="W5386" t="s">
        <v>18626</v>
      </c>
      <c r="X5386">
        <v>4</v>
      </c>
      <c r="Y5386" t="s">
        <v>25104</v>
      </c>
      <c r="Z5386" t="s">
        <v>31716</v>
      </c>
      <c r="AA5386">
        <v>0.56483908408142269</v>
      </c>
      <c r="AB5386" t="str">
        <f>HYPERLINK("Melting_Curves/meltCurve_Q9BSK2_SLC25A33.pdf", "Melting_Curves/meltCurve_Q9BSK2_SLC25A33.pdf")</f>
        <v>Melting_Curves/meltCurve_Q9BSK2_SLC25A33.pdf</v>
      </c>
    </row>
    <row r="5387" spans="1:28" x14ac:dyDescent="0.25">
      <c r="A5387" t="s">
        <v>5391</v>
      </c>
      <c r="B5387">
        <v>0.99252571173614901</v>
      </c>
      <c r="C5387">
        <v>0.974436895380142</v>
      </c>
      <c r="D5387">
        <v>0.91803645712318804</v>
      </c>
      <c r="E5387">
        <v>0.51466450536187602</v>
      </c>
      <c r="F5387">
        <v>0.41917232930519399</v>
      </c>
      <c r="G5387">
        <v>0.22825097339627901</v>
      </c>
      <c r="H5387">
        <v>0.190728888323561</v>
      </c>
      <c r="I5387">
        <v>0.159110268036978</v>
      </c>
      <c r="J5387">
        <v>0.15022206829347101</v>
      </c>
      <c r="K5387">
        <v>0.13832694540003199</v>
      </c>
      <c r="L5387">
        <v>930.53811028098903</v>
      </c>
      <c r="M5387">
        <v>18.6457913229791</v>
      </c>
      <c r="N5387">
        <v>50.884690553454199</v>
      </c>
      <c r="O5387">
        <v>49.342650512637199</v>
      </c>
      <c r="P5387">
        <v>-8.0240354331340302E-2</v>
      </c>
      <c r="Q5387">
        <v>0.15067115182836999</v>
      </c>
      <c r="R5387">
        <v>0.986388318963485</v>
      </c>
      <c r="S5387" t="s">
        <v>12033</v>
      </c>
      <c r="T5387" t="s">
        <v>13290</v>
      </c>
      <c r="U5387" t="s">
        <v>13290</v>
      </c>
      <c r="V5387" t="s">
        <v>13290</v>
      </c>
      <c r="W5387" t="s">
        <v>18627</v>
      </c>
      <c r="X5387">
        <v>2</v>
      </c>
      <c r="Y5387" t="s">
        <v>25105</v>
      </c>
      <c r="Z5387" t="s">
        <v>31717</v>
      </c>
      <c r="AA5387">
        <v>0.44467584166807689</v>
      </c>
      <c r="AB5387" t="str">
        <f>HYPERLINK("Melting_Curves/meltCurve_Q9BSL1_UBAC1.pdf", "Melting_Curves/meltCurve_Q9BSL1_UBAC1.pdf")</f>
        <v>Melting_Curves/meltCurve_Q9BSL1_UBAC1.pdf</v>
      </c>
    </row>
    <row r="5388" spans="1:28" x14ac:dyDescent="0.25">
      <c r="A5388" t="s">
        <v>5392</v>
      </c>
      <c r="B5388">
        <v>0.99252571173614901</v>
      </c>
      <c r="C5388">
        <v>0.87283925194107803</v>
      </c>
      <c r="D5388">
        <v>0.84651354807989199</v>
      </c>
      <c r="E5388">
        <v>0.72029809763645103</v>
      </c>
      <c r="F5388">
        <v>0.58737155881833203</v>
      </c>
      <c r="G5388">
        <v>0.37845864495293802</v>
      </c>
      <c r="H5388">
        <v>0.26281679856495299</v>
      </c>
      <c r="I5388">
        <v>0.26245028526681102</v>
      </c>
      <c r="J5388">
        <v>0.262013788688509</v>
      </c>
      <c r="K5388">
        <v>0.163671276018484</v>
      </c>
      <c r="L5388">
        <v>546.48735977145805</v>
      </c>
      <c r="M5388">
        <v>10.3344127129587</v>
      </c>
      <c r="N5388">
        <v>54.374761978492202</v>
      </c>
      <c r="O5388">
        <v>51.015185756893203</v>
      </c>
      <c r="P5388">
        <v>-4.4401917361448703E-2</v>
      </c>
      <c r="Q5388">
        <v>0.12362660314089</v>
      </c>
      <c r="R5388">
        <v>0.98644124838930602</v>
      </c>
      <c r="S5388" t="s">
        <v>12034</v>
      </c>
      <c r="T5388" t="s">
        <v>13290</v>
      </c>
      <c r="U5388" t="s">
        <v>13290</v>
      </c>
      <c r="V5388" t="s">
        <v>13290</v>
      </c>
      <c r="W5388" t="s">
        <v>18628</v>
      </c>
      <c r="X5388">
        <v>3</v>
      </c>
      <c r="Y5388" t="s">
        <v>25106</v>
      </c>
      <c r="Z5388" t="s">
        <v>31718</v>
      </c>
      <c r="AA5388">
        <v>0.52934909863623025</v>
      </c>
      <c r="AB5388" t="str">
        <f>HYPERLINK("Melting_Curves/meltCurve_Q9BSR8_YIPF4.pdf", "Melting_Curves/meltCurve_Q9BSR8_YIPF4.pdf")</f>
        <v>Melting_Curves/meltCurve_Q9BSR8_YIPF4.pdf</v>
      </c>
    </row>
    <row r="5389" spans="1:28" x14ac:dyDescent="0.25">
      <c r="A5389" t="s">
        <v>5393</v>
      </c>
      <c r="B5389">
        <v>0.99252571173614901</v>
      </c>
      <c r="C5389">
        <v>0.954607853111474</v>
      </c>
      <c r="D5389">
        <v>0.77612011640282996</v>
      </c>
      <c r="E5389">
        <v>0.336965205401343</v>
      </c>
      <c r="F5389">
        <v>0.18897441856239799</v>
      </c>
      <c r="G5389">
        <v>0.118384976085225</v>
      </c>
      <c r="H5389">
        <v>9.1697741085434395E-2</v>
      </c>
      <c r="I5389">
        <v>9.4014404411978197E-2</v>
      </c>
      <c r="J5389">
        <v>9.0813835775650595E-2</v>
      </c>
      <c r="K5389">
        <v>7.5997524184017604E-2</v>
      </c>
      <c r="L5389">
        <v>1228.61646128079</v>
      </c>
      <c r="M5389">
        <v>25.6586460867569</v>
      </c>
      <c r="N5389">
        <v>48.271034453542597</v>
      </c>
      <c r="O5389">
        <v>47.595127458935998</v>
      </c>
      <c r="P5389">
        <v>-0.12222137015240001</v>
      </c>
      <c r="Q5389">
        <v>9.3160074111604999E-2</v>
      </c>
      <c r="R5389">
        <v>0.99851761764040303</v>
      </c>
      <c r="S5389" t="s">
        <v>12035</v>
      </c>
      <c r="T5389" t="s">
        <v>13290</v>
      </c>
      <c r="U5389" t="s">
        <v>13290</v>
      </c>
      <c r="V5389" t="s">
        <v>13290</v>
      </c>
      <c r="W5389" t="s">
        <v>18629</v>
      </c>
      <c r="X5389">
        <v>8</v>
      </c>
      <c r="Y5389" t="s">
        <v>25107</v>
      </c>
      <c r="Z5389" t="s">
        <v>31719</v>
      </c>
      <c r="AA5389">
        <v>0.33903749451734139</v>
      </c>
      <c r="AB5389" t="str">
        <f>HYPERLINK("Melting_Curves/meltCurve_Q9BST9_RTKN.pdf", "Melting_Curves/meltCurve_Q9BST9_RTKN.pdf")</f>
        <v>Melting_Curves/meltCurve_Q9BST9_RTKN.pdf</v>
      </c>
    </row>
    <row r="5390" spans="1:28" x14ac:dyDescent="0.25">
      <c r="A5390" t="s">
        <v>5394</v>
      </c>
      <c r="B5390">
        <v>0.99252571173614901</v>
      </c>
      <c r="C5390">
        <v>0.97826734273163896</v>
      </c>
      <c r="D5390">
        <v>0.787589195576062</v>
      </c>
      <c r="E5390">
        <v>0.64272372954708201</v>
      </c>
      <c r="F5390">
        <v>0.44530879108480198</v>
      </c>
      <c r="G5390">
        <v>0.48428160403515202</v>
      </c>
      <c r="H5390">
        <v>0.44475416737666201</v>
      </c>
      <c r="I5390">
        <v>0.64411554958638795</v>
      </c>
      <c r="J5390">
        <v>0.91844251525896303</v>
      </c>
      <c r="K5390">
        <v>1.0029524342844101</v>
      </c>
      <c r="L5390">
        <v>2504.7247764127701</v>
      </c>
      <c r="M5390">
        <v>54.947404438692999</v>
      </c>
      <c r="O5390">
        <v>45.523784715298497</v>
      </c>
      <c r="P5390">
        <v>-0.104322428293388</v>
      </c>
      <c r="Q5390">
        <v>0.65427675047349598</v>
      </c>
      <c r="R5390">
        <v>0.359492146402969</v>
      </c>
      <c r="S5390" t="s">
        <v>12036</v>
      </c>
      <c r="T5390" t="s">
        <v>13290</v>
      </c>
      <c r="U5390" t="s">
        <v>13290</v>
      </c>
      <c r="V5390" t="s">
        <v>13290</v>
      </c>
      <c r="W5390" t="s">
        <v>18630</v>
      </c>
      <c r="X5390">
        <v>8</v>
      </c>
      <c r="Y5390" t="s">
        <v>25108</v>
      </c>
      <c r="Z5390" t="s">
        <v>31720</v>
      </c>
      <c r="AA5390">
        <v>0.71920623245806914</v>
      </c>
      <c r="AB5390" t="str">
        <f>HYPERLINK("Melting_Curves/meltCurve_Q9BSV6_TSEN34.pdf", "Melting_Curves/meltCurve_Q9BSV6_TSEN34.pdf")</f>
        <v>Melting_Curves/meltCurve_Q9BSV6_TSEN34.pdf</v>
      </c>
    </row>
    <row r="5391" spans="1:28" x14ac:dyDescent="0.25">
      <c r="A5391" t="s">
        <v>5395</v>
      </c>
      <c r="B5391">
        <v>0.99252571173614901</v>
      </c>
      <c r="C5391">
        <v>1.0663742137997501</v>
      </c>
      <c r="D5391">
        <v>0.97610386238625901</v>
      </c>
      <c r="E5391">
        <v>0.93507584930509802</v>
      </c>
      <c r="F5391">
        <v>0.55274687025307401</v>
      </c>
      <c r="G5391">
        <v>0.33314545981791999</v>
      </c>
      <c r="H5391">
        <v>0.32634216330928301</v>
      </c>
      <c r="I5391">
        <v>0.356502841487845</v>
      </c>
      <c r="J5391">
        <v>0.26659754552716203</v>
      </c>
      <c r="K5391">
        <v>0.338460039278145</v>
      </c>
      <c r="L5391">
        <v>2163.4165486057</v>
      </c>
      <c r="M5391">
        <v>41.332323147684598</v>
      </c>
      <c r="N5391">
        <v>53.660926736296098</v>
      </c>
      <c r="O5391">
        <v>52.219922697695203</v>
      </c>
      <c r="P5391">
        <v>-0.134761469857687</v>
      </c>
      <c r="Q5391">
        <v>0.31896198333723902</v>
      </c>
      <c r="R5391">
        <v>0.99048040882842903</v>
      </c>
      <c r="S5391" t="s">
        <v>12037</v>
      </c>
      <c r="T5391" t="s">
        <v>13290</v>
      </c>
      <c r="U5391" t="s">
        <v>13290</v>
      </c>
      <c r="V5391" t="s">
        <v>13290</v>
      </c>
      <c r="W5391" t="s">
        <v>18631</v>
      </c>
      <c r="X5391">
        <v>1</v>
      </c>
      <c r="Y5391" t="s">
        <v>25109</v>
      </c>
      <c r="Z5391" t="s">
        <v>31721</v>
      </c>
      <c r="AA5391">
        <v>0.60144657177492511</v>
      </c>
      <c r="AB5391" t="str">
        <f>HYPERLINK("Melting_Curves/meltCurve_Q9BSW2_2_EFCAB4B.pdf", "Melting_Curves/meltCurve_Q9BSW2_2_EFCAB4B.pdf")</f>
        <v>Melting_Curves/meltCurve_Q9BSW2_2_EFCAB4B.pdf</v>
      </c>
    </row>
    <row r="5392" spans="1:28" x14ac:dyDescent="0.25">
      <c r="A5392" t="s">
        <v>5396</v>
      </c>
      <c r="B5392">
        <v>0.99252571173614901</v>
      </c>
      <c r="C5392">
        <v>1.11416708965994</v>
      </c>
      <c r="D5392">
        <v>1.0835995011463799</v>
      </c>
      <c r="E5392">
        <v>1.3132659521222501</v>
      </c>
      <c r="F5392">
        <v>0.75113052729617402</v>
      </c>
      <c r="G5392">
        <v>0.484363336006852</v>
      </c>
      <c r="H5392">
        <v>0.491104005148637</v>
      </c>
      <c r="I5392">
        <v>0.69232302291518</v>
      </c>
      <c r="J5392">
        <v>1.0546634044405501</v>
      </c>
      <c r="K5392">
        <v>1.10142685870664</v>
      </c>
      <c r="L5392">
        <v>12920.8394762306</v>
      </c>
      <c r="M5392">
        <v>250</v>
      </c>
      <c r="O5392">
        <v>51.680050535735298</v>
      </c>
      <c r="P5392">
        <v>-0.28725655006992001</v>
      </c>
      <c r="Q5392">
        <v>0.76247307199436298</v>
      </c>
      <c r="R5392">
        <v>0.34822117210009601</v>
      </c>
      <c r="S5392" t="s">
        <v>12038</v>
      </c>
      <c r="T5392" t="s">
        <v>13290</v>
      </c>
      <c r="U5392" t="s">
        <v>13290</v>
      </c>
      <c r="V5392" t="s">
        <v>13290</v>
      </c>
      <c r="W5392" t="s">
        <v>18632</v>
      </c>
      <c r="X5392">
        <v>7</v>
      </c>
      <c r="Y5392" t="s">
        <v>25110</v>
      </c>
      <c r="Z5392" t="s">
        <v>31722</v>
      </c>
      <c r="AA5392">
        <v>0.85499835358028731</v>
      </c>
      <c r="AB5392" t="str">
        <f>HYPERLINK("Melting_Curves/meltCurve_Q9BSY4_CHCHD5.pdf", "Melting_Curves/meltCurve_Q9BSY4_CHCHD5.pdf")</f>
        <v>Melting_Curves/meltCurve_Q9BSY4_CHCHD5.pdf</v>
      </c>
    </row>
    <row r="5393" spans="1:28" x14ac:dyDescent="0.25">
      <c r="A5393" t="s">
        <v>5397</v>
      </c>
      <c r="B5393">
        <v>0.99252571173614901</v>
      </c>
      <c r="C5393">
        <v>1.09029242763683</v>
      </c>
      <c r="D5393">
        <v>0.98335500085370198</v>
      </c>
      <c r="E5393">
        <v>0.90124955137361196</v>
      </c>
      <c r="F5393">
        <v>0.74939201989251902</v>
      </c>
      <c r="G5393">
        <v>0.55173613158800205</v>
      </c>
      <c r="H5393">
        <v>0.49668619282127302</v>
      </c>
      <c r="I5393">
        <v>0.73311513720712496</v>
      </c>
      <c r="J5393">
        <v>1.1429209083317</v>
      </c>
      <c r="K5393">
        <v>1.23723216510557</v>
      </c>
      <c r="L5393">
        <v>15000</v>
      </c>
      <c r="M5393">
        <v>223.96176035613701</v>
      </c>
      <c r="O5393">
        <v>66.970357571434306</v>
      </c>
      <c r="P5393">
        <v>0.198360034026522</v>
      </c>
      <c r="Q5393">
        <v>1.2372591930617101</v>
      </c>
      <c r="R5393">
        <v>-8.8029517199450999E-2</v>
      </c>
      <c r="S5393" t="s">
        <v>12039</v>
      </c>
      <c r="T5393" t="s">
        <v>13290</v>
      </c>
      <c r="U5393" t="s">
        <v>13290</v>
      </c>
      <c r="V5393" t="s">
        <v>13290</v>
      </c>
      <c r="W5393" t="s">
        <v>18633</v>
      </c>
      <c r="X5393">
        <v>18</v>
      </c>
      <c r="Y5393" t="s">
        <v>25111</v>
      </c>
      <c r="Z5393" t="s">
        <v>31723</v>
      </c>
      <c r="AA5393">
        <v>1.0238833589668379</v>
      </c>
      <c r="AB5393" t="str">
        <f>HYPERLINK("Melting_Curves/meltCurve_Q9BT09_CNPY3.pdf", "Melting_Curves/meltCurve_Q9BT09_CNPY3.pdf")</f>
        <v>Melting_Curves/meltCurve_Q9BT09_CNPY3.pdf</v>
      </c>
    </row>
    <row r="5394" spans="1:28" x14ac:dyDescent="0.25">
      <c r="A5394" t="s">
        <v>5398</v>
      </c>
      <c r="B5394">
        <v>0.99252571173614901</v>
      </c>
      <c r="C5394">
        <v>0.99974337445829398</v>
      </c>
      <c r="D5394">
        <v>0.76993375041683898</v>
      </c>
      <c r="E5394">
        <v>0.45249452987951</v>
      </c>
      <c r="F5394">
        <v>0.17081334646155899</v>
      </c>
      <c r="G5394">
        <v>9.6952568624475599E-2</v>
      </c>
      <c r="H5394">
        <v>7.4528806324082306E-2</v>
      </c>
      <c r="I5394">
        <v>9.2692757917603896E-2</v>
      </c>
      <c r="J5394">
        <v>0.13965312466423499</v>
      </c>
      <c r="K5394">
        <v>0.10358818846972501</v>
      </c>
      <c r="L5394">
        <v>1167.12750473556</v>
      </c>
      <c r="M5394">
        <v>24.086570881329799</v>
      </c>
      <c r="N5394">
        <v>48.876333655840298</v>
      </c>
      <c r="O5394">
        <v>48.125250686065897</v>
      </c>
      <c r="P5394">
        <v>-0.113409187913023</v>
      </c>
      <c r="Q5394">
        <v>9.3642891985088794E-2</v>
      </c>
      <c r="R5394">
        <v>0.99481590785168095</v>
      </c>
      <c r="S5394" t="s">
        <v>12040</v>
      </c>
      <c r="T5394" t="s">
        <v>13290</v>
      </c>
      <c r="U5394" t="s">
        <v>13290</v>
      </c>
      <c r="V5394" t="s">
        <v>13290</v>
      </c>
      <c r="W5394" t="s">
        <v>18634</v>
      </c>
      <c r="X5394">
        <v>6</v>
      </c>
      <c r="Y5394" t="s">
        <v>25112</v>
      </c>
      <c r="Z5394" t="s">
        <v>31724</v>
      </c>
      <c r="AA5394">
        <v>0.35776156769257772</v>
      </c>
      <c r="AB5394" t="str">
        <f>HYPERLINK("Melting_Curves/meltCurve_Q9BT17_MTG1.pdf", "Melting_Curves/meltCurve_Q9BT17_MTG1.pdf")</f>
        <v>Melting_Curves/meltCurve_Q9BT17_MTG1.pdf</v>
      </c>
    </row>
    <row r="5395" spans="1:28" x14ac:dyDescent="0.25">
      <c r="A5395" t="s">
        <v>5399</v>
      </c>
      <c r="B5395">
        <v>0.99252571173614901</v>
      </c>
      <c r="C5395">
        <v>0.34445294025057399</v>
      </c>
      <c r="D5395">
        <v>1.4860345854180701</v>
      </c>
      <c r="E5395">
        <v>0.65303868841977097</v>
      </c>
      <c r="F5395">
        <v>0.30277941872470598</v>
      </c>
      <c r="G5395">
        <v>0.15488071789550201</v>
      </c>
      <c r="H5395">
        <v>4.1963289133009903E-2</v>
      </c>
      <c r="I5395">
        <v>3.9205406273914403E-2</v>
      </c>
      <c r="J5395">
        <v>4.1361266901579097E-2</v>
      </c>
      <c r="K5395">
        <v>4.7844190381328297E-2</v>
      </c>
      <c r="L5395">
        <v>1729.22293964957</v>
      </c>
      <c r="M5395">
        <v>33.829518873642499</v>
      </c>
      <c r="N5395">
        <v>51.313930908048199</v>
      </c>
      <c r="O5395">
        <v>50.938177970514303</v>
      </c>
      <c r="P5395">
        <v>-0.155867604994984</v>
      </c>
      <c r="Q5395">
        <v>6.1224671542565903E-2</v>
      </c>
      <c r="R5395">
        <v>0.677069493348322</v>
      </c>
      <c r="S5395" t="s">
        <v>12041</v>
      </c>
      <c r="T5395" t="s">
        <v>13290</v>
      </c>
      <c r="U5395" t="s">
        <v>13290</v>
      </c>
      <c r="V5395" t="s">
        <v>13290</v>
      </c>
      <c r="W5395" t="s">
        <v>18635</v>
      </c>
      <c r="X5395">
        <v>11</v>
      </c>
      <c r="Y5395" t="s">
        <v>25113</v>
      </c>
      <c r="Z5395" t="s">
        <v>31725</v>
      </c>
      <c r="AA5395">
        <v>0.41371298685895219</v>
      </c>
      <c r="AB5395" t="str">
        <f>HYPERLINK("Melting_Curves/meltCurve_Q9BT22_ALG1.pdf", "Melting_Curves/meltCurve_Q9BT22_ALG1.pdf")</f>
        <v>Melting_Curves/meltCurve_Q9BT22_ALG1.pdf</v>
      </c>
    </row>
    <row r="5396" spans="1:28" x14ac:dyDescent="0.25">
      <c r="A5396" t="s">
        <v>5400</v>
      </c>
      <c r="B5396">
        <v>0.99252571173614901</v>
      </c>
      <c r="C5396">
        <v>1.12736629492371</v>
      </c>
      <c r="D5396">
        <v>1.1122601516802799</v>
      </c>
      <c r="E5396">
        <v>1.1057858711916899</v>
      </c>
      <c r="F5396">
        <v>0.71649343280329503</v>
      </c>
      <c r="G5396">
        <v>0.63101264021573</v>
      </c>
      <c r="H5396">
        <v>0.50790508864744</v>
      </c>
      <c r="I5396">
        <v>0.38212555507011098</v>
      </c>
      <c r="J5396">
        <v>0.35461838870693002</v>
      </c>
      <c r="K5396">
        <v>0.32311094888004799</v>
      </c>
      <c r="L5396">
        <v>1141.9634636005201</v>
      </c>
      <c r="M5396">
        <v>20.422189711826402</v>
      </c>
      <c r="N5396">
        <v>59.240701237610701</v>
      </c>
      <c r="O5396">
        <v>55.3898974196604</v>
      </c>
      <c r="P5396">
        <v>-6.0747673582996299E-2</v>
      </c>
      <c r="Q5396">
        <v>0.34097044852898301</v>
      </c>
      <c r="R5396">
        <v>0.928951159863034</v>
      </c>
      <c r="S5396" t="s">
        <v>12042</v>
      </c>
      <c r="T5396" t="s">
        <v>13290</v>
      </c>
      <c r="U5396" t="s">
        <v>13290</v>
      </c>
      <c r="V5396" t="s">
        <v>13290</v>
      </c>
      <c r="W5396" t="s">
        <v>18636</v>
      </c>
      <c r="X5396">
        <v>3</v>
      </c>
      <c r="Y5396" t="s">
        <v>25114</v>
      </c>
      <c r="Z5396" t="s">
        <v>31726</v>
      </c>
      <c r="AA5396">
        <v>0.69892072428728902</v>
      </c>
      <c r="AB5396" t="str">
        <f>HYPERLINK("Melting_Curves/meltCurve_Q9BT23_LIMD2.pdf", "Melting_Curves/meltCurve_Q9BT23_LIMD2.pdf")</f>
        <v>Melting_Curves/meltCurve_Q9BT23_LIMD2.pdf</v>
      </c>
    </row>
    <row r="5397" spans="1:28" x14ac:dyDescent="0.25">
      <c r="A5397" t="s">
        <v>5401</v>
      </c>
      <c r="B5397">
        <v>0.99252571173614901</v>
      </c>
      <c r="C5397">
        <v>0.94737904083657498</v>
      </c>
      <c r="D5397">
        <v>0.56833049597059404</v>
      </c>
      <c r="E5397">
        <v>0.247902061881903</v>
      </c>
      <c r="F5397">
        <v>0.173182064423616</v>
      </c>
      <c r="G5397">
        <v>0.123873751580902</v>
      </c>
      <c r="H5397">
        <v>9.9813705077646003E-2</v>
      </c>
      <c r="I5397">
        <v>0.111797240143334</v>
      </c>
      <c r="J5397">
        <v>0.12665398550026399</v>
      </c>
      <c r="K5397">
        <v>0.11183333682643801</v>
      </c>
      <c r="L5397">
        <v>1322.3683935670599</v>
      </c>
      <c r="M5397">
        <v>28.610334412789399</v>
      </c>
      <c r="N5397">
        <v>46.673792085948698</v>
      </c>
      <c r="O5397">
        <v>45.995916106421902</v>
      </c>
      <c r="P5397">
        <v>-0.136623622703231</v>
      </c>
      <c r="Q5397">
        <v>0.121425265598384</v>
      </c>
      <c r="R5397">
        <v>0.99676284904649504</v>
      </c>
      <c r="S5397" t="s">
        <v>12043</v>
      </c>
      <c r="T5397" t="s">
        <v>13290</v>
      </c>
      <c r="U5397" t="s">
        <v>13290</v>
      </c>
      <c r="V5397" t="s">
        <v>13290</v>
      </c>
      <c r="W5397" t="s">
        <v>18637</v>
      </c>
      <c r="X5397">
        <v>3</v>
      </c>
      <c r="Y5397" t="s">
        <v>25115</v>
      </c>
      <c r="Z5397" t="s">
        <v>31727</v>
      </c>
      <c r="AA5397">
        <v>0.30949924197514861</v>
      </c>
      <c r="AB5397" t="str">
        <f>HYPERLINK("Melting_Curves/meltCurve_Q9BT30_ALKBH7.pdf", "Melting_Curves/meltCurve_Q9BT30_ALKBH7.pdf")</f>
        <v>Melting_Curves/meltCurve_Q9BT30_ALKBH7.pdf</v>
      </c>
    </row>
    <row r="5398" spans="1:28" x14ac:dyDescent="0.25">
      <c r="A5398" t="s">
        <v>5402</v>
      </c>
      <c r="B5398">
        <v>0.99252571173614901</v>
      </c>
      <c r="C5398">
        <v>0.96938643693434601</v>
      </c>
      <c r="D5398">
        <v>1.08360918472524</v>
      </c>
      <c r="E5398">
        <v>1.07588633421608</v>
      </c>
      <c r="F5398">
        <v>1.3955997038387</v>
      </c>
      <c r="G5398">
        <v>1.4300911126325699</v>
      </c>
      <c r="H5398">
        <v>1.3883507561052599</v>
      </c>
      <c r="I5398">
        <v>1.5381140074458199</v>
      </c>
      <c r="J5398">
        <v>1.6163160953126701</v>
      </c>
      <c r="K5398">
        <v>1.21721053717802</v>
      </c>
      <c r="L5398">
        <v>2638.9016907841701</v>
      </c>
      <c r="M5398">
        <v>51.705552933120899</v>
      </c>
      <c r="O5398">
        <v>50.960933473545403</v>
      </c>
      <c r="P5398">
        <v>0.111395837025341</v>
      </c>
      <c r="Q5398">
        <v>1.4391661047831299</v>
      </c>
      <c r="R5398">
        <v>0.79414440154419297</v>
      </c>
      <c r="S5398" t="s">
        <v>12044</v>
      </c>
      <c r="T5398" t="s">
        <v>13290</v>
      </c>
      <c r="U5398" t="s">
        <v>13290</v>
      </c>
      <c r="V5398" t="s">
        <v>13290</v>
      </c>
      <c r="W5398" t="s">
        <v>18638</v>
      </c>
      <c r="X5398">
        <v>4</v>
      </c>
      <c r="Y5398" t="s">
        <v>25116</v>
      </c>
      <c r="Z5398" t="s">
        <v>31728</v>
      </c>
      <c r="AA5398">
        <v>1.2766711942441999</v>
      </c>
      <c r="AB5398" t="str">
        <f>HYPERLINK("Melting_Curves/meltCurve_Q9BT73_PSMG3.pdf", "Melting_Curves/meltCurve_Q9BT73_PSMG3.pdf")</f>
        <v>Melting_Curves/meltCurve_Q9BT73_PSMG3.pdf</v>
      </c>
    </row>
    <row r="5399" spans="1:28" x14ac:dyDescent="0.25">
      <c r="A5399" t="s">
        <v>5403</v>
      </c>
      <c r="B5399">
        <v>0.99252571173614901</v>
      </c>
      <c r="C5399">
        <v>0.44882495849130999</v>
      </c>
      <c r="D5399">
        <v>1.33646196623955</v>
      </c>
      <c r="E5399">
        <v>0.93813385058310395</v>
      </c>
      <c r="F5399">
        <v>0.61030641153059295</v>
      </c>
      <c r="G5399">
        <v>0.20118794561720199</v>
      </c>
      <c r="H5399">
        <v>8.8516519776013394E-2</v>
      </c>
      <c r="I5399">
        <v>7.0948867949302594E-2</v>
      </c>
      <c r="J5399">
        <v>6.6549224495262793E-2</v>
      </c>
      <c r="K5399">
        <v>6.6909636823647797E-2</v>
      </c>
      <c r="L5399">
        <v>1885.87935052839</v>
      </c>
      <c r="M5399">
        <v>35.097962034962002</v>
      </c>
      <c r="N5399">
        <v>53.963266160582599</v>
      </c>
      <c r="O5399">
        <v>53.5583320848977</v>
      </c>
      <c r="P5399">
        <v>-0.15238560511594099</v>
      </c>
      <c r="Q5399">
        <v>6.9861455836242203E-2</v>
      </c>
      <c r="R5399">
        <v>0.78664680396005904</v>
      </c>
      <c r="S5399" t="s">
        <v>12045</v>
      </c>
      <c r="T5399" t="s">
        <v>13290</v>
      </c>
      <c r="U5399" t="s">
        <v>13290</v>
      </c>
      <c r="V5399" t="s">
        <v>13290</v>
      </c>
      <c r="W5399" t="s">
        <v>18639</v>
      </c>
      <c r="X5399">
        <v>23</v>
      </c>
      <c r="Y5399" t="s">
        <v>25117</v>
      </c>
      <c r="Z5399" t="s">
        <v>31729</v>
      </c>
      <c r="AA5399">
        <v>0.50008848301038966</v>
      </c>
      <c r="AB5399" t="str">
        <f>HYPERLINK("Melting_Curves/meltCurve_Q9BT78_COPS4.pdf", "Melting_Curves/meltCurve_Q9BT78_COPS4.pdf")</f>
        <v>Melting_Curves/meltCurve_Q9BT78_COPS4.pdf</v>
      </c>
    </row>
    <row r="5400" spans="1:28" x14ac:dyDescent="0.25">
      <c r="A5400" t="s">
        <v>5404</v>
      </c>
      <c r="B5400">
        <v>0.99252571173614901</v>
      </c>
      <c r="C5400">
        <v>0.89095135219801602</v>
      </c>
      <c r="D5400">
        <v>0.56862015698197699</v>
      </c>
      <c r="E5400">
        <v>0.28102790104297798</v>
      </c>
      <c r="F5400">
        <v>0.211765965989202</v>
      </c>
      <c r="G5400">
        <v>0.16446749253766399</v>
      </c>
      <c r="H5400">
        <v>0.13532809166176901</v>
      </c>
      <c r="I5400">
        <v>0.17169295083230901</v>
      </c>
      <c r="J5400">
        <v>0.24042838178938</v>
      </c>
      <c r="K5400">
        <v>0.244587057470014</v>
      </c>
      <c r="L5400">
        <v>1277.5835132428199</v>
      </c>
      <c r="M5400">
        <v>27.904192900785599</v>
      </c>
      <c r="N5400">
        <v>46.592603450417698</v>
      </c>
      <c r="O5400">
        <v>45.551435425690997</v>
      </c>
      <c r="P5400">
        <v>-0.123772663314045</v>
      </c>
      <c r="Q5400">
        <v>0.19180984840568999</v>
      </c>
      <c r="R5400">
        <v>0.98898756473906901</v>
      </c>
      <c r="S5400" t="s">
        <v>12046</v>
      </c>
      <c r="T5400" t="s">
        <v>13290</v>
      </c>
      <c r="U5400" t="s">
        <v>13290</v>
      </c>
      <c r="V5400" t="s">
        <v>13290</v>
      </c>
      <c r="W5400" t="s">
        <v>18640</v>
      </c>
      <c r="X5400">
        <v>5</v>
      </c>
      <c r="Y5400" t="s">
        <v>25118</v>
      </c>
      <c r="Z5400" t="s">
        <v>31730</v>
      </c>
      <c r="AA5400">
        <v>0.35350374862674278</v>
      </c>
      <c r="AB5400" t="str">
        <f>HYPERLINK("Melting_Curves/meltCurve_Q9BTA9_WAC.pdf", "Melting_Curves/meltCurve_Q9BTA9_WAC.pdf")</f>
        <v>Melting_Curves/meltCurve_Q9BTA9_WAC.pdf</v>
      </c>
    </row>
    <row r="5401" spans="1:28" x14ac:dyDescent="0.25">
      <c r="A5401" t="s">
        <v>5405</v>
      </c>
      <c r="B5401">
        <v>0.99252571173614901</v>
      </c>
      <c r="C5401">
        <v>0.980144975145263</v>
      </c>
      <c r="D5401">
        <v>0.77887542330558401</v>
      </c>
      <c r="E5401">
        <v>0.50432172182302903</v>
      </c>
      <c r="F5401">
        <v>0.26454417886092202</v>
      </c>
      <c r="G5401">
        <v>0.16340968353826801</v>
      </c>
      <c r="H5401">
        <v>0.13941536834289001</v>
      </c>
      <c r="I5401">
        <v>0.16105177606183699</v>
      </c>
      <c r="J5401">
        <v>0.255657315203483</v>
      </c>
      <c r="K5401">
        <v>0.35660051729000197</v>
      </c>
      <c r="L5401">
        <v>1192.8845152321501</v>
      </c>
      <c r="M5401">
        <v>24.782695512281698</v>
      </c>
      <c r="N5401">
        <v>49.226241757133998</v>
      </c>
      <c r="O5401">
        <v>47.823653752103901</v>
      </c>
      <c r="P5401">
        <v>-0.102150771858406</v>
      </c>
      <c r="Q5401">
        <v>0.21152170036279899</v>
      </c>
      <c r="R5401">
        <v>0.96247902290992704</v>
      </c>
      <c r="S5401" t="s">
        <v>12047</v>
      </c>
      <c r="T5401" t="s">
        <v>13290</v>
      </c>
      <c r="U5401" t="s">
        <v>13290</v>
      </c>
      <c r="V5401" t="s">
        <v>13290</v>
      </c>
      <c r="W5401" t="s">
        <v>18641</v>
      </c>
      <c r="X5401">
        <v>44</v>
      </c>
      <c r="Y5401" t="s">
        <v>25119</v>
      </c>
      <c r="Z5401" t="s">
        <v>31731</v>
      </c>
      <c r="AA5401">
        <v>0.43239580003348388</v>
      </c>
      <c r="AB5401" t="str">
        <f>HYPERLINK("Melting_Curves/meltCurve_Q9BTC0_DIDO1.pdf", "Melting_Curves/meltCurve_Q9BTC0_DIDO1.pdf")</f>
        <v>Melting_Curves/meltCurve_Q9BTC0_DIDO1.pdf</v>
      </c>
    </row>
    <row r="5402" spans="1:28" x14ac:dyDescent="0.25">
      <c r="A5402" t="s">
        <v>5406</v>
      </c>
      <c r="B5402">
        <v>0.99252571173614901</v>
      </c>
      <c r="C5402">
        <v>0.86769975182688097</v>
      </c>
      <c r="D5402">
        <v>0.777267248017112</v>
      </c>
      <c r="E5402">
        <v>0.44514629030012398</v>
      </c>
      <c r="F5402">
        <v>0.189476940004348</v>
      </c>
      <c r="G5402">
        <v>0.11198791323517</v>
      </c>
      <c r="H5402">
        <v>8.8036419430420898E-2</v>
      </c>
      <c r="I5402">
        <v>8.3849807953510394E-2</v>
      </c>
      <c r="J5402">
        <v>8.8235216313504103E-2</v>
      </c>
      <c r="K5402">
        <v>8.3165125246223506E-2</v>
      </c>
      <c r="L5402">
        <v>928.79556323999498</v>
      </c>
      <c r="M5402">
        <v>19.1783302614921</v>
      </c>
      <c r="N5402">
        <v>48.824928958244598</v>
      </c>
      <c r="O5402">
        <v>47.912098350706302</v>
      </c>
      <c r="P5402">
        <v>-9.2874588616272596E-2</v>
      </c>
      <c r="Q5402">
        <v>7.1943095971273505E-2</v>
      </c>
      <c r="R5402">
        <v>0.995641052309715</v>
      </c>
      <c r="S5402" t="s">
        <v>12048</v>
      </c>
      <c r="T5402" t="s">
        <v>13290</v>
      </c>
      <c r="U5402" t="s">
        <v>13290</v>
      </c>
      <c r="V5402" t="s">
        <v>13290</v>
      </c>
      <c r="W5402" t="s">
        <v>18642</v>
      </c>
      <c r="X5402">
        <v>15</v>
      </c>
      <c r="Y5402" t="s">
        <v>25120</v>
      </c>
      <c r="Z5402" t="s">
        <v>31732</v>
      </c>
      <c r="AA5402">
        <v>0.34699008456025532</v>
      </c>
      <c r="AB5402" t="str">
        <f>HYPERLINK("Melting_Curves/meltCurve_Q9BTE3_2_MCMBP.pdf", "Melting_Curves/meltCurve_Q9BTE3_2_MCMBP.pdf")</f>
        <v>Melting_Curves/meltCurve_Q9BTE3_2_MCMBP.pdf</v>
      </c>
    </row>
    <row r="5403" spans="1:28" x14ac:dyDescent="0.25">
      <c r="A5403" t="s">
        <v>5407</v>
      </c>
      <c r="B5403">
        <v>0.99252571173614901</v>
      </c>
      <c r="C5403">
        <v>1.0316313111054201</v>
      </c>
      <c r="D5403">
        <v>0.86987996672143197</v>
      </c>
      <c r="E5403">
        <v>0.54178391731591302</v>
      </c>
      <c r="F5403">
        <v>0.18555658715009299</v>
      </c>
      <c r="G5403">
        <v>0.108157714605429</v>
      </c>
      <c r="H5403">
        <v>7.4335494476463801E-2</v>
      </c>
      <c r="I5403">
        <v>7.5809512108323707E-2</v>
      </c>
      <c r="J5403">
        <v>8.8706599736926503E-2</v>
      </c>
      <c r="K5403">
        <v>9.1289112408561301E-2</v>
      </c>
      <c r="L5403">
        <v>1349.2748867308001</v>
      </c>
      <c r="M5403">
        <v>27.256991791876899</v>
      </c>
      <c r="N5403">
        <v>49.816846051293297</v>
      </c>
      <c r="O5403">
        <v>49.237822515183602</v>
      </c>
      <c r="P5403">
        <v>-0.127445066498764</v>
      </c>
      <c r="Q5403">
        <v>7.9126887895202294E-2</v>
      </c>
      <c r="R5403">
        <v>0.99763247256963405</v>
      </c>
      <c r="S5403" t="s">
        <v>12049</v>
      </c>
      <c r="T5403" t="s">
        <v>13290</v>
      </c>
      <c r="U5403" t="s">
        <v>13290</v>
      </c>
      <c r="V5403" t="s">
        <v>13290</v>
      </c>
      <c r="W5403" t="s">
        <v>18643</v>
      </c>
      <c r="X5403">
        <v>19</v>
      </c>
      <c r="Y5403" t="s">
        <v>25121</v>
      </c>
      <c r="Z5403" t="s">
        <v>31733</v>
      </c>
      <c r="AA5403">
        <v>0.37766691659299673</v>
      </c>
      <c r="AB5403" t="str">
        <f>HYPERLINK("Melting_Curves/meltCurve_Q9BTE6_AARSD1.pdf", "Melting_Curves/meltCurve_Q9BTE6_AARSD1.pdf")</f>
        <v>Melting_Curves/meltCurve_Q9BTE6_AARSD1.pdf</v>
      </c>
    </row>
    <row r="5404" spans="1:28" x14ac:dyDescent="0.25">
      <c r="A5404" t="s">
        <v>5408</v>
      </c>
      <c r="B5404">
        <v>0.99252571173614901</v>
      </c>
      <c r="C5404">
        <v>0.87457729081973501</v>
      </c>
      <c r="D5404">
        <v>0.26205441499438298</v>
      </c>
      <c r="E5404">
        <v>0.109306955048242</v>
      </c>
      <c r="F5404">
        <v>5.7234505143743702E-2</v>
      </c>
      <c r="G5404">
        <v>3.6746533744228101E-2</v>
      </c>
      <c r="H5404">
        <v>3.0422919117541702E-2</v>
      </c>
      <c r="I5404">
        <v>3.2489425381222001E-2</v>
      </c>
      <c r="J5404">
        <v>4.2503852601035098E-2</v>
      </c>
      <c r="K5404">
        <v>4.6651098765727803E-2</v>
      </c>
      <c r="L5404">
        <v>1923.9542981167001</v>
      </c>
      <c r="M5404">
        <v>43.0156268018833</v>
      </c>
      <c r="N5404">
        <v>44.831622959213902</v>
      </c>
      <c r="O5404">
        <v>44.630528852172603</v>
      </c>
      <c r="P5404">
        <v>-0.22943383833366099</v>
      </c>
      <c r="Q5404">
        <v>4.78123406474684E-2</v>
      </c>
      <c r="R5404">
        <v>0.99743020018723405</v>
      </c>
      <c r="S5404" t="s">
        <v>12050</v>
      </c>
      <c r="T5404" t="s">
        <v>13290</v>
      </c>
      <c r="U5404" t="s">
        <v>13290</v>
      </c>
      <c r="V5404" t="s">
        <v>13290</v>
      </c>
      <c r="W5404" t="s">
        <v>18644</v>
      </c>
      <c r="X5404">
        <v>7</v>
      </c>
      <c r="Y5404" t="s">
        <v>25122</v>
      </c>
      <c r="Z5404" t="s">
        <v>31734</v>
      </c>
      <c r="AA5404">
        <v>0.2005411509163775</v>
      </c>
      <c r="AB5404" t="str">
        <f>HYPERLINK("Melting_Curves/meltCurve_Q9BTE7_DCUN1D5.pdf", "Melting_Curves/meltCurve_Q9BTE7_DCUN1D5.pdf")</f>
        <v>Melting_Curves/meltCurve_Q9BTE7_DCUN1D5.pdf</v>
      </c>
    </row>
    <row r="5405" spans="1:28" x14ac:dyDescent="0.25">
      <c r="A5405" t="s">
        <v>5409</v>
      </c>
      <c r="B5405">
        <v>0.99252571173614901</v>
      </c>
      <c r="C5405">
        <v>1.0394591424483299</v>
      </c>
      <c r="D5405">
        <v>0.95781004469067998</v>
      </c>
      <c r="E5405">
        <v>0.82717084660638995</v>
      </c>
      <c r="F5405">
        <v>0.67916671755310198</v>
      </c>
      <c r="G5405">
        <v>0.495565717689404</v>
      </c>
      <c r="H5405">
        <v>0.33608878412496301</v>
      </c>
      <c r="I5405">
        <v>0.19732038096163601</v>
      </c>
      <c r="J5405">
        <v>0.177128572760827</v>
      </c>
      <c r="K5405">
        <v>0.118296009622019</v>
      </c>
      <c r="L5405">
        <v>706.05936416910902</v>
      </c>
      <c r="M5405">
        <v>12.5746146879919</v>
      </c>
      <c r="N5405">
        <v>56.6626855839434</v>
      </c>
      <c r="O5405">
        <v>54.7862833380943</v>
      </c>
      <c r="P5405">
        <v>-5.4303328030215002E-2</v>
      </c>
      <c r="Q5405">
        <v>5.3814521692923702E-2</v>
      </c>
      <c r="R5405">
        <v>0.99543808617443097</v>
      </c>
      <c r="S5405" t="s">
        <v>12051</v>
      </c>
      <c r="T5405" t="s">
        <v>13290</v>
      </c>
      <c r="U5405" t="s">
        <v>13290</v>
      </c>
      <c r="V5405" t="s">
        <v>13290</v>
      </c>
      <c r="W5405" t="s">
        <v>18645</v>
      </c>
      <c r="X5405">
        <v>3</v>
      </c>
      <c r="Y5405" t="s">
        <v>25123</v>
      </c>
      <c r="Z5405" t="s">
        <v>31735</v>
      </c>
      <c r="AA5405">
        <v>0.58164232164625174</v>
      </c>
      <c r="AB5405" t="str">
        <f>HYPERLINK("Melting_Curves/meltCurve_Q9BTF0_2_THUMPD2.pdf", "Melting_Curves/meltCurve_Q9BTF0_2_THUMPD2.pdf")</f>
        <v>Melting_Curves/meltCurve_Q9BTF0_2_THUMPD2.pdf</v>
      </c>
    </row>
    <row r="5406" spans="1:28" x14ac:dyDescent="0.25">
      <c r="A5406" t="s">
        <v>5410</v>
      </c>
      <c r="B5406">
        <v>0.99252571173614901</v>
      </c>
      <c r="C5406">
        <v>1.0592781648417799</v>
      </c>
      <c r="D5406">
        <v>0.95889243783351097</v>
      </c>
      <c r="E5406">
        <v>0.85214309650470799</v>
      </c>
      <c r="F5406">
        <v>0.71130205609421504</v>
      </c>
      <c r="G5406">
        <v>0.50204121759975795</v>
      </c>
      <c r="H5406">
        <v>0.35511727450146202</v>
      </c>
      <c r="I5406">
        <v>0.39087255246484198</v>
      </c>
      <c r="J5406">
        <v>0.63470158065427895</v>
      </c>
      <c r="K5406">
        <v>0.73428033696492601</v>
      </c>
      <c r="L5406">
        <v>1491.37931701668</v>
      </c>
      <c r="M5406">
        <v>28.9789392646964</v>
      </c>
      <c r="O5406">
        <v>51.221043990759298</v>
      </c>
      <c r="P5406">
        <v>-6.7418339905816305E-2</v>
      </c>
      <c r="Q5406">
        <v>0.52334874586008395</v>
      </c>
      <c r="R5406">
        <v>0.79371905903447604</v>
      </c>
      <c r="S5406" t="s">
        <v>12052</v>
      </c>
      <c r="T5406" t="s">
        <v>13290</v>
      </c>
      <c r="U5406" t="s">
        <v>13290</v>
      </c>
      <c r="V5406" t="s">
        <v>13290</v>
      </c>
      <c r="W5406" t="s">
        <v>18646</v>
      </c>
      <c r="X5406">
        <v>6</v>
      </c>
      <c r="Y5406" t="s">
        <v>25124</v>
      </c>
      <c r="Z5406" t="s">
        <v>31736</v>
      </c>
      <c r="AA5406">
        <v>0.70873219691243794</v>
      </c>
      <c r="AB5406" t="str">
        <f>HYPERLINK("Melting_Curves/meltCurve_Q9BTL3_FAM103A1.pdf", "Melting_Curves/meltCurve_Q9BTL3_FAM103A1.pdf")</f>
        <v>Melting_Curves/meltCurve_Q9BTL3_FAM103A1.pdf</v>
      </c>
    </row>
    <row r="5407" spans="1:28" x14ac:dyDescent="0.25">
      <c r="A5407" t="s">
        <v>5411</v>
      </c>
      <c r="B5407">
        <v>0.99252571173614901</v>
      </c>
      <c r="C5407">
        <v>1.01376188494762</v>
      </c>
      <c r="D5407">
        <v>0.54090910404563697</v>
      </c>
      <c r="E5407">
        <v>0.24244642668400401</v>
      </c>
      <c r="F5407">
        <v>0.16199196002833099</v>
      </c>
      <c r="G5407">
        <v>0.10831936603091701</v>
      </c>
      <c r="H5407">
        <v>8.6236822186306197E-2</v>
      </c>
      <c r="I5407">
        <v>7.2578895778833294E-2</v>
      </c>
      <c r="J5407">
        <v>6.4293311648595197E-2</v>
      </c>
      <c r="K5407">
        <v>6.8375498702812398E-2</v>
      </c>
      <c r="L5407">
        <v>1435.5255086657601</v>
      </c>
      <c r="M5407">
        <v>31.0226051146022</v>
      </c>
      <c r="N5407">
        <v>46.589114481720998</v>
      </c>
      <c r="O5407">
        <v>46.082528471684299</v>
      </c>
      <c r="P5407">
        <v>-0.15235129881621801</v>
      </c>
      <c r="Q5407">
        <v>9.4764219079082904E-2</v>
      </c>
      <c r="R5407">
        <v>0.98693864078723503</v>
      </c>
      <c r="S5407" t="s">
        <v>12053</v>
      </c>
      <c r="T5407" t="s">
        <v>13290</v>
      </c>
      <c r="U5407" t="s">
        <v>13290</v>
      </c>
      <c r="V5407" t="s">
        <v>13290</v>
      </c>
      <c r="W5407" t="s">
        <v>18647</v>
      </c>
      <c r="X5407">
        <v>7</v>
      </c>
      <c r="Y5407" t="s">
        <v>25125</v>
      </c>
      <c r="Z5407" t="s">
        <v>31737</v>
      </c>
      <c r="AA5407">
        <v>0.28915079109698438</v>
      </c>
      <c r="AB5407" t="str">
        <f>HYPERLINK("Melting_Curves/meltCurve_Q9BTT0_ANP32E.pdf", "Melting_Curves/meltCurve_Q9BTT0_ANP32E.pdf")</f>
        <v>Melting_Curves/meltCurve_Q9BTT0_ANP32E.pdf</v>
      </c>
    </row>
    <row r="5408" spans="1:28" x14ac:dyDescent="0.25">
      <c r="A5408" t="s">
        <v>5412</v>
      </c>
      <c r="B5408">
        <v>0.99252571173614901</v>
      </c>
      <c r="C5408">
        <v>0.80077527398965997</v>
      </c>
      <c r="D5408">
        <v>0.86364072823142601</v>
      </c>
      <c r="E5408">
        <v>1.3953061171327601</v>
      </c>
      <c r="F5408">
        <v>1.30051330122928</v>
      </c>
      <c r="G5408">
        <v>1.0394630804577101</v>
      </c>
      <c r="H5408">
        <v>0.83221571643903403</v>
      </c>
      <c r="I5408">
        <v>1.02014488607169</v>
      </c>
      <c r="J5408">
        <v>1.6419608240709</v>
      </c>
      <c r="K5408">
        <v>1.7403196394489899</v>
      </c>
      <c r="L5408">
        <v>15000</v>
      </c>
      <c r="M5408">
        <v>231.27954279514</v>
      </c>
      <c r="O5408">
        <v>64.851730083803702</v>
      </c>
      <c r="P5408">
        <v>0.44578522346520899</v>
      </c>
      <c r="Q5408">
        <v>1.5</v>
      </c>
      <c r="R5408">
        <v>0.59963508026302803</v>
      </c>
      <c r="S5408" t="s">
        <v>12054</v>
      </c>
      <c r="T5408" t="s">
        <v>13290</v>
      </c>
      <c r="U5408" t="s">
        <v>13290</v>
      </c>
      <c r="V5408" t="s">
        <v>13290</v>
      </c>
      <c r="W5408" t="s">
        <v>18648</v>
      </c>
      <c r="X5408">
        <v>2</v>
      </c>
      <c r="Y5408" t="s">
        <v>25126</v>
      </c>
      <c r="Z5408" t="s">
        <v>31738</v>
      </c>
      <c r="AA5408">
        <v>1.085657179514989</v>
      </c>
      <c r="AB5408" t="str">
        <f>HYPERLINK("Melting_Curves/meltCurve_Q9BTT4_MED10.pdf", "Melting_Curves/meltCurve_Q9BTT4_MED10.pdf")</f>
        <v>Melting_Curves/meltCurve_Q9BTT4_MED10.pdf</v>
      </c>
    </row>
    <row r="5409" spans="1:28" x14ac:dyDescent="0.25">
      <c r="A5409" t="s">
        <v>5413</v>
      </c>
      <c r="B5409">
        <v>0.99252571173614901</v>
      </c>
      <c r="C5409">
        <v>0.94955073430785297</v>
      </c>
      <c r="D5409">
        <v>0.82499909623281997</v>
      </c>
      <c r="E5409">
        <v>0.66165283182678702</v>
      </c>
      <c r="F5409">
        <v>0.226729951467489</v>
      </c>
      <c r="G5409">
        <v>0.116067061442507</v>
      </c>
      <c r="H5409">
        <v>9.0448276763149996E-2</v>
      </c>
      <c r="I5409">
        <v>0.11770839729481</v>
      </c>
      <c r="J5409">
        <v>0.17950084079845499</v>
      </c>
      <c r="K5409">
        <v>0.17063169925535199</v>
      </c>
      <c r="L5409">
        <v>1274.4944800303799</v>
      </c>
      <c r="M5409">
        <v>25.543562208571402</v>
      </c>
      <c r="N5409">
        <v>50.447380276748703</v>
      </c>
      <c r="O5409">
        <v>49.592147065504001</v>
      </c>
      <c r="P5409">
        <v>-0.11305900164523899</v>
      </c>
      <c r="Q5409">
        <v>0.122006666291771</v>
      </c>
      <c r="R5409">
        <v>0.98114452120865603</v>
      </c>
      <c r="S5409" t="s">
        <v>12055</v>
      </c>
      <c r="T5409" t="s">
        <v>13290</v>
      </c>
      <c r="U5409" t="s">
        <v>13290</v>
      </c>
      <c r="V5409" t="s">
        <v>13290</v>
      </c>
      <c r="W5409" t="s">
        <v>18649</v>
      </c>
      <c r="X5409">
        <v>10</v>
      </c>
      <c r="Y5409" t="s">
        <v>25127</v>
      </c>
      <c r="Z5409" t="s">
        <v>31739</v>
      </c>
      <c r="AA5409">
        <v>0.41910257003193302</v>
      </c>
      <c r="AB5409" t="str">
        <f>HYPERLINK("Melting_Curves/meltCurve_Q9BTT6_LRRC1.pdf", "Melting_Curves/meltCurve_Q9BTT6_LRRC1.pdf")</f>
        <v>Melting_Curves/meltCurve_Q9BTT6_LRRC1.pdf</v>
      </c>
    </row>
    <row r="5410" spans="1:28" x14ac:dyDescent="0.25">
      <c r="A5410" t="s">
        <v>5414</v>
      </c>
      <c r="B5410">
        <v>0.99252571173614901</v>
      </c>
      <c r="C5410">
        <v>1.0186098238242001</v>
      </c>
      <c r="D5410">
        <v>0.94550928628081998</v>
      </c>
      <c r="E5410">
        <v>0.86980168980321704</v>
      </c>
      <c r="F5410">
        <v>0.542426598369811</v>
      </c>
      <c r="G5410">
        <v>0.22381890773952101</v>
      </c>
      <c r="H5410">
        <v>7.5303158724710995E-2</v>
      </c>
      <c r="I5410">
        <v>8.09287016807482E-2</v>
      </c>
      <c r="J5410">
        <v>9.5072186080101498E-2</v>
      </c>
      <c r="K5410">
        <v>8.9977867949252804E-2</v>
      </c>
      <c r="L5410">
        <v>1367.6595047281401</v>
      </c>
      <c r="M5410">
        <v>25.721458217377499</v>
      </c>
      <c r="N5410">
        <v>53.500992663641199</v>
      </c>
      <c r="O5410">
        <v>52.853645618438797</v>
      </c>
      <c r="P5410">
        <v>-0.112763788619162</v>
      </c>
      <c r="Q5410">
        <v>7.3161970759438102E-2</v>
      </c>
      <c r="R5410">
        <v>0.99772490543709003</v>
      </c>
      <c r="S5410" t="s">
        <v>12056</v>
      </c>
      <c r="T5410" t="s">
        <v>13290</v>
      </c>
      <c r="U5410" t="s">
        <v>13290</v>
      </c>
      <c r="V5410" t="s">
        <v>13290</v>
      </c>
      <c r="W5410" t="s">
        <v>18650</v>
      </c>
      <c r="X5410">
        <v>15</v>
      </c>
      <c r="Y5410" t="s">
        <v>25128</v>
      </c>
      <c r="Z5410" t="s">
        <v>31740</v>
      </c>
      <c r="AA5410">
        <v>0.48820261132797982</v>
      </c>
      <c r="AB5410" t="str">
        <f>HYPERLINK("Melting_Curves/meltCurve_Q9BTU6_PI4K2A.pdf", "Melting_Curves/meltCurve_Q9BTU6_PI4K2A.pdf")</f>
        <v>Melting_Curves/meltCurve_Q9BTU6_PI4K2A.pdf</v>
      </c>
    </row>
    <row r="5411" spans="1:28" x14ac:dyDescent="0.25">
      <c r="A5411" t="s">
        <v>5415</v>
      </c>
      <c r="B5411">
        <v>0.99252571173614901</v>
      </c>
      <c r="C5411">
        <v>0.88527179900716502</v>
      </c>
      <c r="D5411">
        <v>0.88402711751705698</v>
      </c>
      <c r="E5411">
        <v>0.79322550332594899</v>
      </c>
      <c r="F5411">
        <v>0.30673658384770203</v>
      </c>
      <c r="G5411">
        <v>0.15288955931137599</v>
      </c>
      <c r="H5411">
        <v>0.114249681195964</v>
      </c>
      <c r="I5411">
        <v>0.123725586383106</v>
      </c>
      <c r="J5411">
        <v>0.13897370218313099</v>
      </c>
      <c r="K5411">
        <v>0.12527214626150901</v>
      </c>
      <c r="L5411">
        <v>1613.24768173281</v>
      </c>
      <c r="M5411">
        <v>31.528528011865198</v>
      </c>
      <c r="N5411">
        <v>51.619540960229401</v>
      </c>
      <c r="O5411">
        <v>50.9633461068956</v>
      </c>
      <c r="P5411">
        <v>-0.13601937774464901</v>
      </c>
      <c r="Q5411">
        <v>0.12054689754174799</v>
      </c>
      <c r="R5411">
        <v>0.98273273642532799</v>
      </c>
      <c r="S5411" t="s">
        <v>12057</v>
      </c>
      <c r="T5411" t="s">
        <v>13290</v>
      </c>
      <c r="U5411" t="s">
        <v>13290</v>
      </c>
      <c r="V5411" t="s">
        <v>13290</v>
      </c>
      <c r="W5411" t="s">
        <v>18651</v>
      </c>
      <c r="X5411">
        <v>8</v>
      </c>
      <c r="Y5411" t="s">
        <v>25129</v>
      </c>
      <c r="Z5411" t="s">
        <v>31741</v>
      </c>
      <c r="AA5411">
        <v>0.45295371752762859</v>
      </c>
      <c r="AB5411" t="str">
        <f>HYPERLINK("Melting_Curves/meltCurve_Q9BTV4_TMEM43.pdf", "Melting_Curves/meltCurve_Q9BTV4_TMEM43.pdf")</f>
        <v>Melting_Curves/meltCurve_Q9BTV4_TMEM43.pdf</v>
      </c>
    </row>
    <row r="5412" spans="1:28" x14ac:dyDescent="0.25">
      <c r="A5412" t="s">
        <v>5416</v>
      </c>
      <c r="B5412">
        <v>0.99252571173614901</v>
      </c>
      <c r="C5412">
        <v>1.0147840612272201</v>
      </c>
      <c r="D5412">
        <v>0.96572597572530605</v>
      </c>
      <c r="E5412">
        <v>0.88502625292677395</v>
      </c>
      <c r="F5412">
        <v>0.95408391606105203</v>
      </c>
      <c r="G5412">
        <v>0.86119768297155097</v>
      </c>
      <c r="H5412">
        <v>0.59613379796742305</v>
      </c>
      <c r="I5412">
        <v>0.213656954333969</v>
      </c>
      <c r="J5412">
        <v>9.1476333755606598E-2</v>
      </c>
      <c r="K5412">
        <v>7.9892042234558605E-2</v>
      </c>
      <c r="L5412">
        <v>1645.70917658292</v>
      </c>
      <c r="M5412">
        <v>26.893655497100799</v>
      </c>
      <c r="N5412">
        <v>61.292026435840299</v>
      </c>
      <c r="O5412">
        <v>60.857873272750503</v>
      </c>
      <c r="P5412">
        <v>-0.1081345638063</v>
      </c>
      <c r="Q5412">
        <v>2.12154875308583E-2</v>
      </c>
      <c r="R5412">
        <v>0.98528703479323998</v>
      </c>
      <c r="S5412" t="s">
        <v>12058</v>
      </c>
      <c r="T5412" t="s">
        <v>13290</v>
      </c>
      <c r="U5412" t="s">
        <v>13290</v>
      </c>
      <c r="V5412" t="s">
        <v>13290</v>
      </c>
      <c r="W5412" t="s">
        <v>18652</v>
      </c>
      <c r="X5412">
        <v>4</v>
      </c>
      <c r="Y5412" t="s">
        <v>25130</v>
      </c>
      <c r="Z5412" t="s">
        <v>31742</v>
      </c>
      <c r="AA5412">
        <v>0.71836875169838688</v>
      </c>
      <c r="AB5412" t="str">
        <f>HYPERLINK("Melting_Curves/meltCurve_Q9BTV6_WDR85.pdf", "Melting_Curves/meltCurve_Q9BTV6_WDR85.pdf")</f>
        <v>Melting_Curves/meltCurve_Q9BTV6_WDR85.pdf</v>
      </c>
    </row>
    <row r="5413" spans="1:28" x14ac:dyDescent="0.25">
      <c r="A5413" t="s">
        <v>5417</v>
      </c>
      <c r="B5413">
        <v>0.99252571173614901</v>
      </c>
      <c r="C5413">
        <v>1.0694123649221901</v>
      </c>
      <c r="D5413">
        <v>0.95319477730111002</v>
      </c>
      <c r="E5413">
        <v>0.71295619036421398</v>
      </c>
      <c r="F5413">
        <v>0.37747819893189399</v>
      </c>
      <c r="G5413">
        <v>0.118252046377123</v>
      </c>
      <c r="H5413">
        <v>7.4909622222465194E-2</v>
      </c>
      <c r="I5413">
        <v>7.5890845975363802E-2</v>
      </c>
      <c r="J5413">
        <v>7.3549324829185705E-2</v>
      </c>
      <c r="K5413">
        <v>7.1016550352709901E-2</v>
      </c>
      <c r="L5413">
        <v>1270.0854853273299</v>
      </c>
      <c r="M5413">
        <v>24.688952410392201</v>
      </c>
      <c r="N5413">
        <v>51.725300790912101</v>
      </c>
      <c r="O5413">
        <v>51.1095368914864</v>
      </c>
      <c r="P5413">
        <v>-0.113166980895837</v>
      </c>
      <c r="Q5413">
        <v>6.2928254834936498E-2</v>
      </c>
      <c r="R5413">
        <v>0.99526757199193905</v>
      </c>
      <c r="S5413" t="s">
        <v>12059</v>
      </c>
      <c r="T5413" t="s">
        <v>13290</v>
      </c>
      <c r="U5413" t="s">
        <v>13290</v>
      </c>
      <c r="V5413" t="s">
        <v>13290</v>
      </c>
      <c r="W5413" t="s">
        <v>18653</v>
      </c>
      <c r="X5413">
        <v>8</v>
      </c>
      <c r="Y5413" t="s">
        <v>25131</v>
      </c>
      <c r="Z5413" t="s">
        <v>31743</v>
      </c>
      <c r="AA5413">
        <v>0.42908934803480059</v>
      </c>
      <c r="AB5413" t="str">
        <f>HYPERLINK("Melting_Curves/meltCurve_Q9BTX7_TTPAL.pdf", "Melting_Curves/meltCurve_Q9BTX7_TTPAL.pdf")</f>
        <v>Melting_Curves/meltCurve_Q9BTX7_TTPAL.pdf</v>
      </c>
    </row>
    <row r="5414" spans="1:28" x14ac:dyDescent="0.25">
      <c r="A5414" t="s">
        <v>5418</v>
      </c>
      <c r="B5414">
        <v>0.99252571173614901</v>
      </c>
      <c r="C5414">
        <v>0.966999500608556</v>
      </c>
      <c r="D5414">
        <v>0.981497752925235</v>
      </c>
      <c r="E5414">
        <v>0.88838457837974605</v>
      </c>
      <c r="F5414">
        <v>0.89949390214259894</v>
      </c>
      <c r="G5414">
        <v>0.71380251366064096</v>
      </c>
      <c r="H5414">
        <v>0.49428573953017702</v>
      </c>
      <c r="I5414">
        <v>0.17185004988709901</v>
      </c>
      <c r="J5414">
        <v>0.156296225901465</v>
      </c>
      <c r="K5414">
        <v>0.12616709898543199</v>
      </c>
      <c r="L5414">
        <v>1023.76049477606</v>
      </c>
      <c r="M5414">
        <v>17.153807096476498</v>
      </c>
      <c r="N5414">
        <v>59.852182082405797</v>
      </c>
      <c r="O5414">
        <v>58.8878611423116</v>
      </c>
      <c r="P5414">
        <v>-7.1087372017816897E-2</v>
      </c>
      <c r="Q5414">
        <v>2.3905590490720802E-2</v>
      </c>
      <c r="R5414">
        <v>0.98378947160762298</v>
      </c>
      <c r="S5414" t="s">
        <v>12060</v>
      </c>
      <c r="T5414" t="s">
        <v>13290</v>
      </c>
      <c r="U5414" t="s">
        <v>13290</v>
      </c>
      <c r="V5414" t="s">
        <v>13290</v>
      </c>
      <c r="W5414" t="s">
        <v>18654</v>
      </c>
      <c r="X5414">
        <v>6</v>
      </c>
      <c r="Y5414" t="s">
        <v>25132</v>
      </c>
      <c r="Z5414" t="s">
        <v>31744</v>
      </c>
      <c r="AA5414">
        <v>0.67302526222858849</v>
      </c>
      <c r="AB5414" t="str">
        <f>HYPERLINK("Melting_Curves/meltCurve_Q9BTY2_FUCA2.pdf", "Melting_Curves/meltCurve_Q9BTY2_FUCA2.pdf")</f>
        <v>Melting_Curves/meltCurve_Q9BTY2_FUCA2.pdf</v>
      </c>
    </row>
    <row r="5415" spans="1:28" x14ac:dyDescent="0.25">
      <c r="A5415" t="s">
        <v>5419</v>
      </c>
      <c r="B5415">
        <v>0.99252571173614901</v>
      </c>
      <c r="C5415">
        <v>0.89815782572090097</v>
      </c>
      <c r="D5415">
        <v>0.56162538608560897</v>
      </c>
      <c r="E5415">
        <v>0.32630326599759002</v>
      </c>
      <c r="F5415">
        <v>0.157152811791925</v>
      </c>
      <c r="G5415">
        <v>7.9885235601366705E-2</v>
      </c>
      <c r="H5415">
        <v>6.5840183911114805E-2</v>
      </c>
      <c r="I5415">
        <v>7.2114268358214204E-2</v>
      </c>
      <c r="J5415">
        <v>9.1154732178366102E-2</v>
      </c>
      <c r="K5415">
        <v>0.103464922461836</v>
      </c>
      <c r="L5415">
        <v>949.79329077996704</v>
      </c>
      <c r="M5415">
        <v>20.3605584989172</v>
      </c>
      <c r="N5415">
        <v>47.048163916172001</v>
      </c>
      <c r="O5415">
        <v>46.205681000497002</v>
      </c>
      <c r="P5415">
        <v>-0.10142100004320501</v>
      </c>
      <c r="Q5415">
        <v>7.9380016836942902E-2</v>
      </c>
      <c r="R5415">
        <v>0.994373716593283</v>
      </c>
      <c r="S5415" t="s">
        <v>12061</v>
      </c>
      <c r="T5415" t="s">
        <v>13290</v>
      </c>
      <c r="U5415" t="s">
        <v>13290</v>
      </c>
      <c r="V5415" t="s">
        <v>13290</v>
      </c>
      <c r="W5415" t="s">
        <v>18655</v>
      </c>
      <c r="X5415">
        <v>6</v>
      </c>
      <c r="Y5415" t="s">
        <v>25133</v>
      </c>
      <c r="Z5415" t="s">
        <v>31745</v>
      </c>
      <c r="AA5415">
        <v>0.29656387347792301</v>
      </c>
      <c r="AB5415" t="str">
        <f>HYPERLINK("Melting_Curves/meltCurve_Q9BTY7_FAM203A.pdf", "Melting_Curves/meltCurve_Q9BTY7_FAM203A.pdf")</f>
        <v>Melting_Curves/meltCurve_Q9BTY7_FAM203A.pdf</v>
      </c>
    </row>
    <row r="5416" spans="1:28" x14ac:dyDescent="0.25">
      <c r="A5416" t="s">
        <v>5420</v>
      </c>
      <c r="B5416">
        <v>0.99252571173614901</v>
      </c>
      <c r="C5416">
        <v>1.02613845205457</v>
      </c>
      <c r="D5416">
        <v>1.0131031469332801</v>
      </c>
      <c r="E5416">
        <v>1.01334111546503</v>
      </c>
      <c r="F5416">
        <v>0.76410997743943798</v>
      </c>
      <c r="G5416">
        <v>0.47674378278582302</v>
      </c>
      <c r="H5416">
        <v>0.21004249750072901</v>
      </c>
      <c r="I5416">
        <v>0.17257643868268899</v>
      </c>
      <c r="J5416">
        <v>0.16584344034544499</v>
      </c>
      <c r="K5416">
        <v>0.164721121959927</v>
      </c>
      <c r="L5416">
        <v>1472.94642299053</v>
      </c>
      <c r="M5416">
        <v>26.536992459718501</v>
      </c>
      <c r="N5416">
        <v>56.280742225342102</v>
      </c>
      <c r="O5416">
        <v>55.193077380135399</v>
      </c>
      <c r="P5416">
        <v>-0.10179913306032699</v>
      </c>
      <c r="Q5416">
        <v>0.153099534221386</v>
      </c>
      <c r="R5416">
        <v>0.996198519231279</v>
      </c>
      <c r="S5416" t="s">
        <v>12062</v>
      </c>
      <c r="T5416" t="s">
        <v>13290</v>
      </c>
      <c r="U5416" t="s">
        <v>13290</v>
      </c>
      <c r="V5416" t="s">
        <v>13290</v>
      </c>
      <c r="W5416" t="s">
        <v>18656</v>
      </c>
      <c r="X5416">
        <v>12</v>
      </c>
      <c r="Y5416" t="s">
        <v>25134</v>
      </c>
      <c r="Z5416" t="s">
        <v>31746</v>
      </c>
      <c r="AA5416">
        <v>0.59786086539064531</v>
      </c>
      <c r="AB5416" t="str">
        <f>HYPERLINK("Melting_Curves/meltCurve_Q9BTZ2_DHRS4.pdf", "Melting_Curves/meltCurve_Q9BTZ2_DHRS4.pdf")</f>
        <v>Melting_Curves/meltCurve_Q9BTZ2_DHRS4.pdf</v>
      </c>
    </row>
    <row r="5417" spans="1:28" x14ac:dyDescent="0.25">
      <c r="A5417" t="s">
        <v>5421</v>
      </c>
      <c r="B5417">
        <v>0.99252571173614901</v>
      </c>
      <c r="C5417">
        <v>1.06197903056679</v>
      </c>
      <c r="D5417">
        <v>0.81584760622225705</v>
      </c>
      <c r="E5417">
        <v>0.51523170563808796</v>
      </c>
      <c r="F5417">
        <v>0.23140446900960299</v>
      </c>
      <c r="G5417">
        <v>0.128352252372127</v>
      </c>
      <c r="H5417">
        <v>0.102453646182847</v>
      </c>
      <c r="I5417">
        <v>0.110067062630236</v>
      </c>
      <c r="J5417">
        <v>0.11380672744234201</v>
      </c>
      <c r="K5417">
        <v>0.12514554132202099</v>
      </c>
      <c r="L5417">
        <v>1192.3588448366399</v>
      </c>
      <c r="M5417">
        <v>24.272640865283101</v>
      </c>
      <c r="N5417">
        <v>49.621600334714202</v>
      </c>
      <c r="O5417">
        <v>48.793764274283902</v>
      </c>
      <c r="P5417">
        <v>-0.110920960120169</v>
      </c>
      <c r="Q5417">
        <v>0.108103405521165</v>
      </c>
      <c r="R5417">
        <v>0.99279461509904798</v>
      </c>
      <c r="S5417" t="s">
        <v>12063</v>
      </c>
      <c r="T5417" t="s">
        <v>13290</v>
      </c>
      <c r="U5417" t="s">
        <v>13290</v>
      </c>
      <c r="V5417" t="s">
        <v>13290</v>
      </c>
      <c r="W5417" t="s">
        <v>18657</v>
      </c>
      <c r="X5417">
        <v>8</v>
      </c>
      <c r="Y5417" t="s">
        <v>25135</v>
      </c>
      <c r="Z5417" t="s">
        <v>31747</v>
      </c>
      <c r="AA5417">
        <v>0.38775069833904269</v>
      </c>
      <c r="AB5417" t="str">
        <f>HYPERLINK("Melting_Curves/meltCurve_Q9BU02_THTPA.pdf", "Melting_Curves/meltCurve_Q9BU02_THTPA.pdf")</f>
        <v>Melting_Curves/meltCurve_Q9BU02_THTPA.pdf</v>
      </c>
    </row>
    <row r="5418" spans="1:28" x14ac:dyDescent="0.25">
      <c r="A5418" t="s">
        <v>5422</v>
      </c>
      <c r="B5418">
        <v>0.99252571173614901</v>
      </c>
      <c r="C5418">
        <v>0.99569161362585101</v>
      </c>
      <c r="D5418">
        <v>1.01519021379025</v>
      </c>
      <c r="E5418">
        <v>1.05940660067165</v>
      </c>
      <c r="F5418">
        <v>0.38288577193834999</v>
      </c>
      <c r="G5418">
        <v>0.180739132750312</v>
      </c>
      <c r="H5418">
        <v>0.13265975997158799</v>
      </c>
      <c r="I5418">
        <v>0.10064241367386</v>
      </c>
      <c r="J5418">
        <v>0.116234762692234</v>
      </c>
      <c r="K5418">
        <v>0.111698171849066</v>
      </c>
      <c r="L5418">
        <v>11871.6642404636</v>
      </c>
      <c r="M5418">
        <v>224.03737360471001</v>
      </c>
      <c r="N5418">
        <v>53.059950110090803</v>
      </c>
      <c r="O5418">
        <v>52.985437605499499</v>
      </c>
      <c r="P5418">
        <v>-0.92134818085351</v>
      </c>
      <c r="Q5418">
        <v>0.12839477344168099</v>
      </c>
      <c r="R5418">
        <v>0.99560921231754995</v>
      </c>
      <c r="S5418" t="s">
        <v>12064</v>
      </c>
      <c r="T5418" t="s">
        <v>13290</v>
      </c>
      <c r="U5418" t="s">
        <v>13290</v>
      </c>
      <c r="V5418" t="s">
        <v>13290</v>
      </c>
      <c r="W5418" t="s">
        <v>18658</v>
      </c>
      <c r="X5418">
        <v>8</v>
      </c>
      <c r="Y5418" t="s">
        <v>25136</v>
      </c>
      <c r="Z5418" t="s">
        <v>31748</v>
      </c>
      <c r="AA5418">
        <v>0.50589089269432141</v>
      </c>
      <c r="AB5418" t="str">
        <f>HYPERLINK("Melting_Curves/meltCurve_Q9BU23_3_LMF2.pdf", "Melting_Curves/meltCurve_Q9BU23_3_LMF2.pdf")</f>
        <v>Melting_Curves/meltCurve_Q9BU23_3_LMF2.pdf</v>
      </c>
    </row>
    <row r="5419" spans="1:28" x14ac:dyDescent="0.25">
      <c r="A5419" t="s">
        <v>5423</v>
      </c>
      <c r="B5419">
        <v>0.99252571173614901</v>
      </c>
      <c r="C5419">
        <v>0.95853102395363199</v>
      </c>
      <c r="D5419">
        <v>0.93994330188977204</v>
      </c>
      <c r="E5419">
        <v>0.82860901199486903</v>
      </c>
      <c r="F5419">
        <v>0.84396338135376903</v>
      </c>
      <c r="G5419">
        <v>0.59434485464769404</v>
      </c>
      <c r="H5419">
        <v>0.14913924975106799</v>
      </c>
      <c r="I5419">
        <v>8.21449149946826E-2</v>
      </c>
      <c r="J5419">
        <v>7.92714708385968E-2</v>
      </c>
      <c r="K5419">
        <v>7.3017157626907997E-2</v>
      </c>
      <c r="L5419">
        <v>1313.7433132506001</v>
      </c>
      <c r="M5419">
        <v>23.051621143182299</v>
      </c>
      <c r="N5419">
        <v>57.147249821540299</v>
      </c>
      <c r="O5419">
        <v>56.567677139273002</v>
      </c>
      <c r="P5419">
        <v>-9.8773753988136398E-2</v>
      </c>
      <c r="Q5419">
        <v>3.0472266707029599E-2</v>
      </c>
      <c r="R5419">
        <v>0.97713518758741502</v>
      </c>
      <c r="S5419" t="s">
        <v>12065</v>
      </c>
      <c r="T5419" t="s">
        <v>13290</v>
      </c>
      <c r="U5419" t="s">
        <v>13290</v>
      </c>
      <c r="V5419" t="s">
        <v>13290</v>
      </c>
      <c r="W5419" t="s">
        <v>18659</v>
      </c>
      <c r="X5419">
        <v>4</v>
      </c>
      <c r="Y5419" t="s">
        <v>25137</v>
      </c>
      <c r="Z5419" t="s">
        <v>31749</v>
      </c>
      <c r="AA5419">
        <v>0.58944953597510374</v>
      </c>
      <c r="AB5419" t="str">
        <f>HYPERLINK("Melting_Curves/meltCurve_Q9BU61_NDUFAF3.pdf", "Melting_Curves/meltCurve_Q9BU61_NDUFAF3.pdf")</f>
        <v>Melting_Curves/meltCurve_Q9BU61_NDUFAF3.pdf</v>
      </c>
    </row>
    <row r="5420" spans="1:28" x14ac:dyDescent="0.25">
      <c r="A5420" t="s">
        <v>5424</v>
      </c>
      <c r="B5420">
        <v>0.99252571173614901</v>
      </c>
      <c r="C5420">
        <v>1.0197865721247299</v>
      </c>
      <c r="D5420">
        <v>0.92202218274793801</v>
      </c>
      <c r="E5420">
        <v>0.78048095965287201</v>
      </c>
      <c r="F5420">
        <v>0.71582061190208801</v>
      </c>
      <c r="G5420">
        <v>0.54568259884901404</v>
      </c>
      <c r="H5420">
        <v>0.253547254779042</v>
      </c>
      <c r="I5420">
        <v>0.22370511696867601</v>
      </c>
      <c r="J5420">
        <v>0.32155112135149599</v>
      </c>
      <c r="K5420">
        <v>0.41929648422639498</v>
      </c>
      <c r="L5420">
        <v>887.69851213101697</v>
      </c>
      <c r="M5420">
        <v>16.591875740876802</v>
      </c>
      <c r="N5420">
        <v>56.311351309791199</v>
      </c>
      <c r="O5420">
        <v>52.742923465364399</v>
      </c>
      <c r="P5420">
        <v>-5.65113196137128E-2</v>
      </c>
      <c r="Q5420">
        <v>0.28148700200115401</v>
      </c>
      <c r="R5420">
        <v>0.93744138190307102</v>
      </c>
      <c r="S5420" t="s">
        <v>12066</v>
      </c>
      <c r="T5420" t="s">
        <v>13290</v>
      </c>
      <c r="U5420" t="s">
        <v>13290</v>
      </c>
      <c r="V5420" t="s">
        <v>13290</v>
      </c>
      <c r="W5420" t="s">
        <v>18660</v>
      </c>
      <c r="X5420">
        <v>6</v>
      </c>
      <c r="Y5420" t="s">
        <v>25138</v>
      </c>
      <c r="Z5420" t="s">
        <v>31750</v>
      </c>
      <c r="AA5420">
        <v>0.61801603403880079</v>
      </c>
      <c r="AB5420" t="str">
        <f>HYPERLINK("Melting_Curves/meltCurve_Q9BU76_4_MMTAG2.pdf", "Melting_Curves/meltCurve_Q9BU76_4_MMTAG2.pdf")</f>
        <v>Melting_Curves/meltCurve_Q9BU76_4_MMTAG2.pdf</v>
      </c>
    </row>
    <row r="5421" spans="1:28" x14ac:dyDescent="0.25">
      <c r="A5421" t="s">
        <v>5425</v>
      </c>
      <c r="B5421">
        <v>0.99252571173614901</v>
      </c>
      <c r="C5421">
        <v>0.69005800127896999</v>
      </c>
      <c r="D5421">
        <v>0.356584676180909</v>
      </c>
      <c r="E5421">
        <v>0.24101877980063299</v>
      </c>
      <c r="F5421">
        <v>0.16765046864220201</v>
      </c>
      <c r="G5421">
        <v>8.9861202103580007E-2</v>
      </c>
      <c r="H5421">
        <v>7.1077823287463607E-2</v>
      </c>
      <c r="I5421">
        <v>6.5551827661830001E-2</v>
      </c>
      <c r="J5421">
        <v>7.2922868812122094E-2</v>
      </c>
      <c r="K5421">
        <v>7.55977798093945E-2</v>
      </c>
      <c r="L5421">
        <v>924.55019022984402</v>
      </c>
      <c r="M5421">
        <v>20.781925516183801</v>
      </c>
      <c r="N5421">
        <v>44.901816868013903</v>
      </c>
      <c r="O5421">
        <v>44.082394969533503</v>
      </c>
      <c r="P5421">
        <v>-0.107593562654486</v>
      </c>
      <c r="Q5421">
        <v>8.7120191681667902E-2</v>
      </c>
      <c r="R5421">
        <v>0.98401189049735904</v>
      </c>
      <c r="S5421" t="s">
        <v>12067</v>
      </c>
      <c r="T5421" t="s">
        <v>13290</v>
      </c>
      <c r="U5421" t="s">
        <v>13290</v>
      </c>
      <c r="V5421" t="s">
        <v>13290</v>
      </c>
      <c r="W5421" t="s">
        <v>18661</v>
      </c>
      <c r="X5421">
        <v>10</v>
      </c>
      <c r="Y5421" t="s">
        <v>25139</v>
      </c>
      <c r="Z5421" t="s">
        <v>31751</v>
      </c>
      <c r="AA5421">
        <v>0.2387601524931717</v>
      </c>
      <c r="AB5421" t="str">
        <f>HYPERLINK("Melting_Curves/meltCurve_Q9BU89_DOHH.pdf", "Melting_Curves/meltCurve_Q9BU89_DOHH.pdf")</f>
        <v>Melting_Curves/meltCurve_Q9BU89_DOHH.pdf</v>
      </c>
    </row>
    <row r="5422" spans="1:28" x14ac:dyDescent="0.25">
      <c r="A5422" t="s">
        <v>5426</v>
      </c>
      <c r="B5422">
        <v>0.99252571173614901</v>
      </c>
      <c r="C5422">
        <v>1.00641869728949</v>
      </c>
      <c r="D5422">
        <v>0.75726217186516198</v>
      </c>
      <c r="E5422">
        <v>0.49924793487175101</v>
      </c>
      <c r="F5422">
        <v>0.285506159311531</v>
      </c>
      <c r="G5422">
        <v>0.218093389956277</v>
      </c>
      <c r="H5422">
        <v>0.19170223357812999</v>
      </c>
      <c r="I5422">
        <v>0.27900230497513001</v>
      </c>
      <c r="J5422">
        <v>0.45875029904171999</v>
      </c>
      <c r="K5422">
        <v>0.52711942514118904</v>
      </c>
      <c r="L5422">
        <v>1434.88179868319</v>
      </c>
      <c r="M5422">
        <v>30.4320186465756</v>
      </c>
      <c r="N5422">
        <v>48.8669916465455</v>
      </c>
      <c r="O5422">
        <v>46.948202506373299</v>
      </c>
      <c r="P5422">
        <v>-0.108846104947351</v>
      </c>
      <c r="Q5422">
        <v>0.328326184178725</v>
      </c>
      <c r="R5422">
        <v>0.88049176569387899</v>
      </c>
      <c r="S5422" t="s">
        <v>12068</v>
      </c>
      <c r="T5422" t="s">
        <v>13290</v>
      </c>
      <c r="U5422" t="s">
        <v>13290</v>
      </c>
      <c r="V5422" t="s">
        <v>13290</v>
      </c>
      <c r="W5422" t="s">
        <v>18662</v>
      </c>
      <c r="X5422">
        <v>4</v>
      </c>
      <c r="Y5422" t="s">
        <v>25140</v>
      </c>
      <c r="Z5422" t="s">
        <v>31752</v>
      </c>
      <c r="AA5422">
        <v>0.49232378082653189</v>
      </c>
      <c r="AB5422" t="str">
        <f>HYPERLINK("Melting_Curves/meltCurve_Q9BUA3_C11orf84.pdf", "Melting_Curves/meltCurve_Q9BUA3_C11orf84.pdf")</f>
        <v>Melting_Curves/meltCurve_Q9BUA3_C11orf84.pdf</v>
      </c>
    </row>
    <row r="5423" spans="1:28" x14ac:dyDescent="0.25">
      <c r="A5423" t="s">
        <v>5427</v>
      </c>
      <c r="B5423">
        <v>0.99252571173614901</v>
      </c>
      <c r="C5423">
        <v>1.07927560036263</v>
      </c>
      <c r="D5423">
        <v>0.87446446669090705</v>
      </c>
      <c r="E5423">
        <v>0.783394720541015</v>
      </c>
      <c r="F5423">
        <v>0.427629976795394</v>
      </c>
      <c r="G5423">
        <v>0.22200945187519699</v>
      </c>
      <c r="H5423">
        <v>0.124871455182403</v>
      </c>
      <c r="I5423">
        <v>0.115247006758978</v>
      </c>
      <c r="J5423">
        <v>0.13108514980969299</v>
      </c>
      <c r="K5423">
        <v>0.12243115097832</v>
      </c>
      <c r="L5423">
        <v>1143.4692175448699</v>
      </c>
      <c r="M5423">
        <v>22.062322425786501</v>
      </c>
      <c r="N5423">
        <v>52.418408416930497</v>
      </c>
      <c r="O5423">
        <v>51.408848641653599</v>
      </c>
      <c r="P5423">
        <v>-9.5505910189197102E-2</v>
      </c>
      <c r="Q5423">
        <v>0.109841202751829</v>
      </c>
      <c r="R5423">
        <v>0.98986654525220497</v>
      </c>
      <c r="S5423" t="s">
        <v>12069</v>
      </c>
      <c r="T5423" t="s">
        <v>13290</v>
      </c>
      <c r="U5423" t="s">
        <v>13290</v>
      </c>
      <c r="V5423" t="s">
        <v>13290</v>
      </c>
      <c r="W5423" t="s">
        <v>18663</v>
      </c>
      <c r="X5423">
        <v>3</v>
      </c>
      <c r="Y5423" t="s">
        <v>25141</v>
      </c>
      <c r="Z5423" t="s">
        <v>31753</v>
      </c>
      <c r="AA5423">
        <v>0.47112355208533951</v>
      </c>
      <c r="AB5423" t="str">
        <f>HYPERLINK("Melting_Curves/meltCurve_Q9BUB5_2_MKNK1.pdf", "Melting_Curves/meltCurve_Q9BUB5_2_MKNK1.pdf")</f>
        <v>Melting_Curves/meltCurve_Q9BUB5_2_MKNK1.pdf</v>
      </c>
    </row>
    <row r="5424" spans="1:28" x14ac:dyDescent="0.25">
      <c r="A5424" t="s">
        <v>5428</v>
      </c>
      <c r="B5424">
        <v>0.99252571173614901</v>
      </c>
      <c r="C5424">
        <v>0.904680956112073</v>
      </c>
      <c r="D5424">
        <v>0.869459958667259</v>
      </c>
      <c r="E5424">
        <v>0.68096825102445901</v>
      </c>
      <c r="F5424">
        <v>0.32700830849193202</v>
      </c>
      <c r="G5424">
        <v>0.12849152758194701</v>
      </c>
      <c r="H5424">
        <v>7.6822354869234E-2</v>
      </c>
      <c r="I5424">
        <v>6.3970455272558804E-2</v>
      </c>
      <c r="J5424">
        <v>7.3043416262270094E-2</v>
      </c>
      <c r="K5424">
        <v>7.7321284325077205E-2</v>
      </c>
      <c r="L5424">
        <v>1008.30843458574</v>
      </c>
      <c r="M5424">
        <v>19.819802748921902</v>
      </c>
      <c r="N5424">
        <v>51.155273042618902</v>
      </c>
      <c r="O5424">
        <v>50.364385685522898</v>
      </c>
      <c r="P5424">
        <v>-9.3302616168139396E-2</v>
      </c>
      <c r="Q5424">
        <v>5.1661620917724298E-2</v>
      </c>
      <c r="R5424">
        <v>0.99362073618661495</v>
      </c>
      <c r="S5424" t="s">
        <v>12070</v>
      </c>
      <c r="T5424" t="s">
        <v>13290</v>
      </c>
      <c r="U5424" t="s">
        <v>13290</v>
      </c>
      <c r="V5424" t="s">
        <v>13290</v>
      </c>
      <c r="W5424" t="s">
        <v>18664</v>
      </c>
      <c r="X5424">
        <v>2</v>
      </c>
      <c r="Y5424" t="s">
        <v>25142</v>
      </c>
      <c r="Z5424" t="s">
        <v>31754</v>
      </c>
      <c r="AA5424">
        <v>0.40879032512561297</v>
      </c>
      <c r="AB5424" t="str">
        <f>HYPERLINK("Melting_Curves/meltCurve_Q9BUB7_2_TMEM70.pdf", "Melting_Curves/meltCurve_Q9BUB7_2_TMEM70.pdf")</f>
        <v>Melting_Curves/meltCurve_Q9BUB7_2_TMEM70.pdf</v>
      </c>
    </row>
    <row r="5425" spans="1:28" x14ac:dyDescent="0.25">
      <c r="A5425" t="s">
        <v>5429</v>
      </c>
      <c r="B5425">
        <v>0.99252571173614901</v>
      </c>
      <c r="C5425">
        <v>1.00032895158423</v>
      </c>
      <c r="D5425">
        <v>0.84894652694460904</v>
      </c>
      <c r="E5425">
        <v>0.65414513353244297</v>
      </c>
      <c r="F5425">
        <v>0.44955050319143602</v>
      </c>
      <c r="G5425">
        <v>0.376008316445053</v>
      </c>
      <c r="H5425">
        <v>0.18562462478408401</v>
      </c>
      <c r="I5425">
        <v>0.16518577175428101</v>
      </c>
      <c r="J5425">
        <v>0.21036288715954601</v>
      </c>
      <c r="K5425">
        <v>0.14857606333603299</v>
      </c>
      <c r="L5425">
        <v>731.25547521106</v>
      </c>
      <c r="M5425">
        <v>14.263626420022501</v>
      </c>
      <c r="N5425">
        <v>52.508226166974303</v>
      </c>
      <c r="O5425">
        <v>50.291006141131803</v>
      </c>
      <c r="P5425">
        <v>-6.0766978547713402E-2</v>
      </c>
      <c r="Q5425">
        <v>0.14309085751878201</v>
      </c>
      <c r="R5425">
        <v>0.98978446532892606</v>
      </c>
      <c r="S5425" t="s">
        <v>12071</v>
      </c>
      <c r="T5425" t="s">
        <v>13290</v>
      </c>
      <c r="U5425" t="s">
        <v>13290</v>
      </c>
      <c r="V5425" t="s">
        <v>13290</v>
      </c>
      <c r="W5425" t="s">
        <v>18665</v>
      </c>
      <c r="X5425">
        <v>3</v>
      </c>
      <c r="Y5425" t="s">
        <v>25143</v>
      </c>
      <c r="Z5425" t="s">
        <v>31755</v>
      </c>
      <c r="AA5425">
        <v>0.48619578089420551</v>
      </c>
      <c r="AB5425" t="str">
        <f>HYPERLINK("Melting_Curves/meltCurve_Q9BUE0_MED18.pdf", "Melting_Curves/meltCurve_Q9BUE0_MED18.pdf")</f>
        <v>Melting_Curves/meltCurve_Q9BUE0_MED18.pdf</v>
      </c>
    </row>
    <row r="5426" spans="1:28" x14ac:dyDescent="0.25">
      <c r="A5426" t="s">
        <v>5430</v>
      </c>
      <c r="B5426">
        <v>0.99252571173614901</v>
      </c>
      <c r="C5426">
        <v>0.99563532398541399</v>
      </c>
      <c r="D5426">
        <v>0.99937680496999304</v>
      </c>
      <c r="E5426">
        <v>0.71732663686642895</v>
      </c>
      <c r="F5426">
        <v>0.57736748345316302</v>
      </c>
      <c r="G5426">
        <v>0.37226853584705799</v>
      </c>
      <c r="H5426">
        <v>0.31337160921762602</v>
      </c>
      <c r="I5426">
        <v>0.19007321719654999</v>
      </c>
      <c r="J5426">
        <v>0.18106456872971199</v>
      </c>
      <c r="K5426">
        <v>0.13292551892819601</v>
      </c>
      <c r="L5426">
        <v>767.23727610071796</v>
      </c>
      <c r="M5426">
        <v>14.4015984560906</v>
      </c>
      <c r="N5426">
        <v>54.445287266239603</v>
      </c>
      <c r="O5426">
        <v>52.278845140861002</v>
      </c>
      <c r="P5426">
        <v>-5.9705067646252601E-2</v>
      </c>
      <c r="Q5426">
        <v>0.13316760330893601</v>
      </c>
      <c r="R5426">
        <v>0.98716213895220295</v>
      </c>
      <c r="S5426" t="s">
        <v>12072</v>
      </c>
      <c r="T5426" t="s">
        <v>13290</v>
      </c>
      <c r="U5426" t="s">
        <v>13290</v>
      </c>
      <c r="V5426" t="s">
        <v>13290</v>
      </c>
      <c r="W5426" t="s">
        <v>18666</v>
      </c>
      <c r="X5426">
        <v>2</v>
      </c>
      <c r="Y5426" t="s">
        <v>25144</v>
      </c>
      <c r="Z5426" t="s">
        <v>31756</v>
      </c>
      <c r="AA5426">
        <v>0.53617925405724287</v>
      </c>
      <c r="AB5426" t="str">
        <f>HYPERLINK("Melting_Curves/meltCurve_Q9BUE6_ISCA1.pdf", "Melting_Curves/meltCurve_Q9BUE6_ISCA1.pdf")</f>
        <v>Melting_Curves/meltCurve_Q9BUE6_ISCA1.pdf</v>
      </c>
    </row>
    <row r="5427" spans="1:28" x14ac:dyDescent="0.25">
      <c r="A5427" t="s">
        <v>5431</v>
      </c>
      <c r="B5427">
        <v>0.99252571173614901</v>
      </c>
      <c r="C5427">
        <v>0.96983167045021301</v>
      </c>
      <c r="D5427">
        <v>1.0347251821046399</v>
      </c>
      <c r="E5427">
        <v>0.97732591143888403</v>
      </c>
      <c r="F5427">
        <v>0.84783197771406504</v>
      </c>
      <c r="G5427">
        <v>0.63499833907356196</v>
      </c>
      <c r="H5427">
        <v>0.243537781110653</v>
      </c>
      <c r="I5427">
        <v>4.4167879700864499E-2</v>
      </c>
      <c r="J5427">
        <v>4.7558026773315901E-2</v>
      </c>
      <c r="K5427">
        <v>4.2419814227366001E-2</v>
      </c>
      <c r="L5427">
        <v>1381.8243056379599</v>
      </c>
      <c r="M5427">
        <v>23.893849687086899</v>
      </c>
      <c r="N5427">
        <v>57.841227081166402</v>
      </c>
      <c r="O5427">
        <v>57.431281149609099</v>
      </c>
      <c r="P5427">
        <v>-0.10381040424826</v>
      </c>
      <c r="Q5427">
        <v>1.9408882032344399E-3</v>
      </c>
      <c r="R5427">
        <v>0.995451269526056</v>
      </c>
      <c r="S5427" t="s">
        <v>12073</v>
      </c>
      <c r="T5427" t="s">
        <v>13290</v>
      </c>
      <c r="U5427" t="s">
        <v>13290</v>
      </c>
      <c r="V5427" t="s">
        <v>13290</v>
      </c>
      <c r="W5427" t="s">
        <v>18667</v>
      </c>
      <c r="X5427">
        <v>23</v>
      </c>
      <c r="Y5427" t="s">
        <v>25145</v>
      </c>
      <c r="Z5427" t="s">
        <v>31757</v>
      </c>
      <c r="AA5427">
        <v>0.60449067078343144</v>
      </c>
      <c r="AB5427" t="str">
        <f>HYPERLINK("Melting_Curves/meltCurve_Q9BUF5_TUBB6.pdf", "Melting_Curves/meltCurve_Q9BUF5_TUBB6.pdf")</f>
        <v>Melting_Curves/meltCurve_Q9BUF5_TUBB6.pdf</v>
      </c>
    </row>
    <row r="5428" spans="1:28" x14ac:dyDescent="0.25">
      <c r="A5428" t="s">
        <v>5432</v>
      </c>
      <c r="B5428">
        <v>0.99252571173614901</v>
      </c>
      <c r="C5428">
        <v>1.0968932054571601</v>
      </c>
      <c r="D5428">
        <v>1.32908128411268</v>
      </c>
      <c r="E5428">
        <v>1.78472336642771</v>
      </c>
      <c r="F5428">
        <v>2.0407093485468102</v>
      </c>
      <c r="G5428">
        <v>1.7593371263064601</v>
      </c>
      <c r="H5428">
        <v>1.5910558713834499</v>
      </c>
      <c r="I5428">
        <v>1.4393148839327501</v>
      </c>
      <c r="J5428">
        <v>0.93094874908809899</v>
      </c>
      <c r="K5428">
        <v>0.67436335100568601</v>
      </c>
      <c r="L5428">
        <v>15000</v>
      </c>
      <c r="M5428">
        <v>222.23362353574001</v>
      </c>
      <c r="O5428">
        <v>67.491071267785898</v>
      </c>
      <c r="P5428">
        <v>-0.26815816923480501</v>
      </c>
      <c r="Q5428">
        <v>0.67424763650975905</v>
      </c>
      <c r="R5428">
        <v>-0.70457881489341401</v>
      </c>
      <c r="S5428" t="s">
        <v>12074</v>
      </c>
      <c r="T5428" t="s">
        <v>13290</v>
      </c>
      <c r="U5428" t="s">
        <v>13290</v>
      </c>
      <c r="V5428" t="s">
        <v>13290</v>
      </c>
      <c r="W5428" t="s">
        <v>18668</v>
      </c>
      <c r="X5428">
        <v>14</v>
      </c>
      <c r="Y5428" t="s">
        <v>25146</v>
      </c>
      <c r="Z5428" t="s">
        <v>31758</v>
      </c>
      <c r="AA5428">
        <v>0.97286393683433658</v>
      </c>
      <c r="AB5428" t="str">
        <f>HYPERLINK("Melting_Curves/meltCurve_Q9BUH6_C9orf142.pdf", "Melting_Curves/meltCurve_Q9BUH6_C9orf142.pdf")</f>
        <v>Melting_Curves/meltCurve_Q9BUH6_C9orf142.pdf</v>
      </c>
    </row>
    <row r="5429" spans="1:28" x14ac:dyDescent="0.25">
      <c r="A5429" t="s">
        <v>5433</v>
      </c>
      <c r="B5429">
        <v>0.99252571173614901</v>
      </c>
      <c r="C5429">
        <v>0.99042643163717303</v>
      </c>
      <c r="D5429">
        <v>0.95887142508999101</v>
      </c>
      <c r="E5429">
        <v>0.96085333686504604</v>
      </c>
      <c r="F5429">
        <v>0.79359254045045602</v>
      </c>
      <c r="G5429">
        <v>0.349763625145181</v>
      </c>
      <c r="H5429">
        <v>0.112147872659297</v>
      </c>
      <c r="I5429">
        <v>9.3807534970178602E-2</v>
      </c>
      <c r="J5429">
        <v>0.117035359762323</v>
      </c>
      <c r="K5429">
        <v>0.115725841300219</v>
      </c>
      <c r="L5429">
        <v>1851.8497805320001</v>
      </c>
      <c r="M5429">
        <v>33.597230932453897</v>
      </c>
      <c r="N5429">
        <v>55.483516797411497</v>
      </c>
      <c r="O5429">
        <v>54.924941421320597</v>
      </c>
      <c r="P5429">
        <v>-0.137783992412779</v>
      </c>
      <c r="Q5429">
        <v>9.9003570065920102E-2</v>
      </c>
      <c r="R5429">
        <v>0.99786915216569105</v>
      </c>
      <c r="S5429" t="s">
        <v>12075</v>
      </c>
      <c r="T5429" t="s">
        <v>13290</v>
      </c>
      <c r="U5429" t="s">
        <v>13290</v>
      </c>
      <c r="V5429" t="s">
        <v>13290</v>
      </c>
      <c r="W5429" t="s">
        <v>18669</v>
      </c>
      <c r="X5429">
        <v>8</v>
      </c>
      <c r="Y5429" t="s">
        <v>25147</v>
      </c>
      <c r="Z5429" t="s">
        <v>31759</v>
      </c>
      <c r="AA5429">
        <v>0.55789671455797785</v>
      </c>
      <c r="AB5429" t="str">
        <f>HYPERLINK("Melting_Curves/meltCurve_Q9BUI4_POLR3C.pdf", "Melting_Curves/meltCurve_Q9BUI4_POLR3C.pdf")</f>
        <v>Melting_Curves/meltCurve_Q9BUI4_POLR3C.pdf</v>
      </c>
    </row>
    <row r="5430" spans="1:28" x14ac:dyDescent="0.25">
      <c r="A5430" t="s">
        <v>5434</v>
      </c>
      <c r="B5430">
        <v>0.99252571173614901</v>
      </c>
      <c r="C5430">
        <v>0.903499097475851</v>
      </c>
      <c r="D5430">
        <v>0.94900890605646704</v>
      </c>
      <c r="E5430">
        <v>0.40238557891348598</v>
      </c>
      <c r="F5430">
        <v>0.23460016510665199</v>
      </c>
      <c r="G5430">
        <v>0.14378418062996401</v>
      </c>
      <c r="H5430">
        <v>0.109355160996132</v>
      </c>
      <c r="I5430">
        <v>0.109128703489384</v>
      </c>
      <c r="J5430">
        <v>9.5317899277924098E-2</v>
      </c>
      <c r="K5430">
        <v>9.2194277715850106E-2</v>
      </c>
      <c r="L5430">
        <v>1669.36186838597</v>
      </c>
      <c r="M5430">
        <v>34.229350746511102</v>
      </c>
      <c r="N5430">
        <v>49.155970993813398</v>
      </c>
      <c r="O5430">
        <v>48.604336900288899</v>
      </c>
      <c r="P5430">
        <v>-0.15530979349163301</v>
      </c>
      <c r="Q5430">
        <v>0.117868113526804</v>
      </c>
      <c r="R5430">
        <v>0.98690101521928197</v>
      </c>
      <c r="S5430" t="s">
        <v>12076</v>
      </c>
      <c r="T5430" t="s">
        <v>13290</v>
      </c>
      <c r="U5430" t="s">
        <v>13290</v>
      </c>
      <c r="V5430" t="s">
        <v>13290</v>
      </c>
      <c r="W5430" t="s">
        <v>18670</v>
      </c>
      <c r="X5430">
        <v>16</v>
      </c>
      <c r="Y5430" t="s">
        <v>25148</v>
      </c>
      <c r="Z5430" t="s">
        <v>31760</v>
      </c>
      <c r="AA5430">
        <v>0.37982896614856648</v>
      </c>
      <c r="AB5430" t="str">
        <f>HYPERLINK("Melting_Curves/meltCurve_Q9BUJ2_2_HNRNPUL1.pdf", "Melting_Curves/meltCurve_Q9BUJ2_2_HNRNPUL1.pdf")</f>
        <v>Melting_Curves/meltCurve_Q9BUJ2_2_HNRNPUL1.pdf</v>
      </c>
    </row>
    <row r="5431" spans="1:28" x14ac:dyDescent="0.25">
      <c r="A5431" t="s">
        <v>5435</v>
      </c>
      <c r="B5431">
        <v>0.99252571173614901</v>
      </c>
      <c r="C5431">
        <v>1.0439631636877</v>
      </c>
      <c r="D5431">
        <v>0.96303860636578498</v>
      </c>
      <c r="E5431">
        <v>0.78279569811031702</v>
      </c>
      <c r="F5431">
        <v>0.216671783367821</v>
      </c>
      <c r="G5431">
        <v>9.9968426115570205E-2</v>
      </c>
      <c r="H5431">
        <v>6.9029948244551304E-2</v>
      </c>
      <c r="I5431">
        <v>7.8149831235712494E-2</v>
      </c>
      <c r="J5431">
        <v>8.6232030918349203E-2</v>
      </c>
      <c r="K5431">
        <v>9.0214906941500098E-2</v>
      </c>
      <c r="L5431">
        <v>2112.17070400784</v>
      </c>
      <c r="M5431">
        <v>41.432062877704901</v>
      </c>
      <c r="N5431">
        <v>51.198743448606898</v>
      </c>
      <c r="O5431">
        <v>50.860828832903699</v>
      </c>
      <c r="P5431">
        <v>-0.18707490025155199</v>
      </c>
      <c r="Q5431">
        <v>8.1410673014554194E-2</v>
      </c>
      <c r="R5431">
        <v>0.99823118323736004</v>
      </c>
      <c r="S5431" t="s">
        <v>12077</v>
      </c>
      <c r="T5431" t="s">
        <v>13290</v>
      </c>
      <c r="U5431" t="s">
        <v>13290</v>
      </c>
      <c r="V5431" t="s">
        <v>13290</v>
      </c>
      <c r="W5431" t="s">
        <v>18671</v>
      </c>
      <c r="X5431">
        <v>11</v>
      </c>
      <c r="Y5431" t="s">
        <v>25149</v>
      </c>
      <c r="Z5431" t="s">
        <v>31761</v>
      </c>
      <c r="AA5431">
        <v>0.42060323189029092</v>
      </c>
      <c r="AB5431" t="str">
        <f>HYPERLINK("Melting_Curves/meltCurve_Q9BUK6_2_MSTO1.pdf", "Melting_Curves/meltCurve_Q9BUK6_2_MSTO1.pdf")</f>
        <v>Melting_Curves/meltCurve_Q9BUK6_2_MSTO1.pdf</v>
      </c>
    </row>
    <row r="5432" spans="1:28" x14ac:dyDescent="0.25">
      <c r="A5432" t="s">
        <v>5436</v>
      </c>
      <c r="B5432">
        <v>0.99252571173614901</v>
      </c>
      <c r="C5432">
        <v>1.15290099676963</v>
      </c>
      <c r="D5432">
        <v>1.1395734433654401</v>
      </c>
      <c r="E5432">
        <v>1.47292153025003</v>
      </c>
      <c r="F5432">
        <v>1.3880832648210699</v>
      </c>
      <c r="G5432">
        <v>1.0715786141664501</v>
      </c>
      <c r="H5432">
        <v>1.0869463543940201</v>
      </c>
      <c r="I5432">
        <v>1.26143095707107</v>
      </c>
      <c r="J5432">
        <v>1.9270961595349401</v>
      </c>
      <c r="K5432">
        <v>1.9938847715092101</v>
      </c>
      <c r="L5432">
        <v>453.91174851458698</v>
      </c>
      <c r="M5432">
        <v>9.3002834400484993</v>
      </c>
      <c r="O5432">
        <v>46.709008895927298</v>
      </c>
      <c r="P5432">
        <v>2.4904844498403501E-2</v>
      </c>
      <c r="Q5432">
        <v>1.5</v>
      </c>
      <c r="R5432">
        <v>0.29408191356247099</v>
      </c>
      <c r="S5432" t="s">
        <v>12078</v>
      </c>
      <c r="T5432" t="s">
        <v>13290</v>
      </c>
      <c r="U5432" t="s">
        <v>13290</v>
      </c>
      <c r="V5432" t="s">
        <v>13290</v>
      </c>
      <c r="W5432" t="s">
        <v>18672</v>
      </c>
      <c r="X5432">
        <v>6</v>
      </c>
      <c r="Y5432" t="s">
        <v>25150</v>
      </c>
      <c r="Z5432" t="s">
        <v>31762</v>
      </c>
      <c r="AA5432">
        <v>1.3256330405471171</v>
      </c>
      <c r="AB5432" t="str">
        <f>HYPERLINK("Melting_Curves/meltCurve_Q9BUL9_RPP25.pdf", "Melting_Curves/meltCurve_Q9BUL9_RPP25.pdf")</f>
        <v>Melting_Curves/meltCurve_Q9BUL9_RPP25.pdf</v>
      </c>
    </row>
    <row r="5433" spans="1:28" x14ac:dyDescent="0.25">
      <c r="A5433" t="s">
        <v>5437</v>
      </c>
      <c r="B5433">
        <v>0.99252571173614901</v>
      </c>
      <c r="C5433">
        <v>1.0216979357248701</v>
      </c>
      <c r="D5433">
        <v>0.82265831753138996</v>
      </c>
      <c r="E5433">
        <v>0.67000700683412895</v>
      </c>
      <c r="F5433">
        <v>0.374904298799771</v>
      </c>
      <c r="G5433">
        <v>0.26007683276514998</v>
      </c>
      <c r="H5433">
        <v>0.217220112924671</v>
      </c>
      <c r="I5433">
        <v>0.25253793695898802</v>
      </c>
      <c r="J5433">
        <v>0.50336168193780695</v>
      </c>
      <c r="K5433">
        <v>0.56866162009415899</v>
      </c>
      <c r="L5433">
        <v>1324.19240621731</v>
      </c>
      <c r="M5433">
        <v>27.156890198407101</v>
      </c>
      <c r="N5433">
        <v>51.098510165876398</v>
      </c>
      <c r="O5433">
        <v>48.498720406836497</v>
      </c>
      <c r="P5433">
        <v>-9.0201475592629504E-2</v>
      </c>
      <c r="Q5433">
        <v>0.35565313349845301</v>
      </c>
      <c r="R5433">
        <v>0.85098386312323904</v>
      </c>
      <c r="S5433" t="s">
        <v>12079</v>
      </c>
      <c r="T5433" t="s">
        <v>13290</v>
      </c>
      <c r="U5433" t="s">
        <v>13290</v>
      </c>
      <c r="V5433" t="s">
        <v>13290</v>
      </c>
      <c r="W5433" t="s">
        <v>18673</v>
      </c>
      <c r="X5433">
        <v>1</v>
      </c>
      <c r="Y5433" t="s">
        <v>25151</v>
      </c>
      <c r="Z5433" t="s">
        <v>31763</v>
      </c>
      <c r="AA5433">
        <v>0.5486238412745108</v>
      </c>
      <c r="AB5433" t="str">
        <f>HYPERLINK("Melting_Curves/meltCurve_Q9BUN5_CCDC28B.pdf", "Melting_Curves/meltCurve_Q9BUN5_CCDC28B.pdf")</f>
        <v>Melting_Curves/meltCurve_Q9BUN5_CCDC28B.pdf</v>
      </c>
    </row>
    <row r="5434" spans="1:28" x14ac:dyDescent="0.25">
      <c r="A5434" t="s">
        <v>5438</v>
      </c>
      <c r="B5434">
        <v>0.99252571173614901</v>
      </c>
      <c r="C5434">
        <v>1.00678165590164</v>
      </c>
      <c r="D5434">
        <v>0.60168572520874197</v>
      </c>
      <c r="E5434">
        <v>0.47196050949367901</v>
      </c>
      <c r="F5434">
        <v>0.15321583882321799</v>
      </c>
      <c r="G5434">
        <v>7.1136901016878099E-2</v>
      </c>
      <c r="H5434">
        <v>4.77557778386472E-2</v>
      </c>
      <c r="I5434">
        <v>5.1030562994851002E-2</v>
      </c>
      <c r="J5434">
        <v>5.6053654824209098E-2</v>
      </c>
      <c r="K5434">
        <v>4.9028596875208101E-2</v>
      </c>
      <c r="L5434">
        <v>883.97122199599005</v>
      </c>
      <c r="M5434">
        <v>18.3652596617098</v>
      </c>
      <c r="N5434">
        <v>48.337866078827503</v>
      </c>
      <c r="O5434">
        <v>47.572993935079701</v>
      </c>
      <c r="P5434">
        <v>-9.2897697816129193E-2</v>
      </c>
      <c r="Q5434">
        <v>3.7482670881255502E-2</v>
      </c>
      <c r="R5434">
        <v>0.97825733970356099</v>
      </c>
      <c r="S5434" t="s">
        <v>12080</v>
      </c>
      <c r="T5434" t="s">
        <v>13290</v>
      </c>
      <c r="U5434" t="s">
        <v>13290</v>
      </c>
      <c r="V5434" t="s">
        <v>13290</v>
      </c>
      <c r="W5434" t="s">
        <v>18674</v>
      </c>
      <c r="X5434">
        <v>15</v>
      </c>
      <c r="Y5434" t="s">
        <v>25152</v>
      </c>
      <c r="Z5434" t="s">
        <v>31764</v>
      </c>
      <c r="AA5434">
        <v>0.31472927275992663</v>
      </c>
      <c r="AB5434" t="str">
        <f>HYPERLINK("Melting_Curves/meltCurve_Q9BUP3_3_HTATIP2.pdf", "Melting_Curves/meltCurve_Q9BUP3_3_HTATIP2.pdf")</f>
        <v>Melting_Curves/meltCurve_Q9BUP3_3_HTATIP2.pdf</v>
      </c>
    </row>
    <row r="5435" spans="1:28" x14ac:dyDescent="0.25">
      <c r="A5435" t="s">
        <v>5439</v>
      </c>
      <c r="B5435">
        <v>0.99252571173614901</v>
      </c>
      <c r="C5435">
        <v>0.98615301436252201</v>
      </c>
      <c r="D5435">
        <v>1.37908998781471</v>
      </c>
      <c r="E5435">
        <v>2.2267438206659702</v>
      </c>
      <c r="F5435">
        <v>2.18601732538106</v>
      </c>
      <c r="G5435">
        <v>0.32754099744111698</v>
      </c>
      <c r="H5435">
        <v>0.25467695097816201</v>
      </c>
      <c r="I5435">
        <v>0.227595423407631</v>
      </c>
      <c r="J5435">
        <v>0.30479045935153998</v>
      </c>
      <c r="K5435">
        <v>0.34237364322111002</v>
      </c>
      <c r="L5435">
        <v>14046.6539731635</v>
      </c>
      <c r="M5435">
        <v>250</v>
      </c>
      <c r="N5435">
        <v>56.374155997295198</v>
      </c>
      <c r="O5435">
        <v>56.183020336440897</v>
      </c>
      <c r="P5435">
        <v>-0.79833360543550103</v>
      </c>
      <c r="Q5435">
        <v>0.28235530999557901</v>
      </c>
      <c r="R5435">
        <v>0.44463240695766298</v>
      </c>
      <c r="S5435" t="s">
        <v>12081</v>
      </c>
      <c r="T5435" t="s">
        <v>13290</v>
      </c>
      <c r="U5435" t="s">
        <v>13290</v>
      </c>
      <c r="V5435" t="s">
        <v>13290</v>
      </c>
      <c r="W5435" t="s">
        <v>18675</v>
      </c>
      <c r="X5435">
        <v>7</v>
      </c>
      <c r="Y5435" t="s">
        <v>25153</v>
      </c>
      <c r="Z5435" t="s">
        <v>31765</v>
      </c>
      <c r="AA5435">
        <v>0.66963403934142596</v>
      </c>
      <c r="AB5435" t="str">
        <f>HYPERLINK("Melting_Curves/meltCurve_Q9BUQ8_DDX23.pdf", "Melting_Curves/meltCurve_Q9BUQ8_DDX23.pdf")</f>
        <v>Melting_Curves/meltCurve_Q9BUQ8_DDX23.pdf</v>
      </c>
    </row>
    <row r="5436" spans="1:28" x14ac:dyDescent="0.25">
      <c r="A5436" t="s">
        <v>5440</v>
      </c>
      <c r="B5436">
        <v>0.99252571173614901</v>
      </c>
      <c r="C5436">
        <v>1.02279380588234</v>
      </c>
      <c r="D5436">
        <v>0.96647775628908095</v>
      </c>
      <c r="E5436">
        <v>0.79662994266362797</v>
      </c>
      <c r="F5436">
        <v>0.521333534187578</v>
      </c>
      <c r="G5436">
        <v>0.243662547482903</v>
      </c>
      <c r="H5436">
        <v>0.132139407434199</v>
      </c>
      <c r="I5436">
        <v>0.1202910201784</v>
      </c>
      <c r="J5436">
        <v>0.15684445642497599</v>
      </c>
      <c r="K5436">
        <v>0.12513383163365399</v>
      </c>
      <c r="L5436">
        <v>1188.81489779652</v>
      </c>
      <c r="M5436">
        <v>22.6240743262039</v>
      </c>
      <c r="N5436">
        <v>53.178279608536897</v>
      </c>
      <c r="O5436">
        <v>52.141083613097997</v>
      </c>
      <c r="P5436">
        <v>-9.5693367954108599E-2</v>
      </c>
      <c r="Q5436">
        <v>0.117850102461815</v>
      </c>
      <c r="R5436">
        <v>0.99733628427596199</v>
      </c>
      <c r="S5436" t="s">
        <v>12082</v>
      </c>
      <c r="T5436" t="s">
        <v>13290</v>
      </c>
      <c r="U5436" t="s">
        <v>13290</v>
      </c>
      <c r="V5436" t="s">
        <v>13290</v>
      </c>
      <c r="W5436" t="s">
        <v>18676</v>
      </c>
      <c r="X5436">
        <v>6</v>
      </c>
      <c r="Y5436" t="s">
        <v>25154</v>
      </c>
      <c r="Z5436" t="s">
        <v>31766</v>
      </c>
      <c r="AA5436">
        <v>0.4965351054151656</v>
      </c>
      <c r="AB5436" t="str">
        <f>HYPERLINK("Melting_Curves/meltCurve_Q9BUR4_WRAP53.pdf", "Melting_Curves/meltCurve_Q9BUR4_WRAP53.pdf")</f>
        <v>Melting_Curves/meltCurve_Q9BUR4_WRAP53.pdf</v>
      </c>
    </row>
    <row r="5437" spans="1:28" x14ac:dyDescent="0.25">
      <c r="A5437" t="s">
        <v>5441</v>
      </c>
      <c r="B5437">
        <v>0.99252571173614901</v>
      </c>
      <c r="C5437">
        <v>0.93831308287484005</v>
      </c>
      <c r="D5437">
        <v>0.88259541572153999</v>
      </c>
      <c r="E5437">
        <v>0.57489199167674698</v>
      </c>
      <c r="F5437">
        <v>0.27134775039703901</v>
      </c>
      <c r="G5437">
        <v>0.15867670083377799</v>
      </c>
      <c r="H5437">
        <v>0.10931815425804001</v>
      </c>
      <c r="I5437">
        <v>0.136801347299532</v>
      </c>
      <c r="J5437">
        <v>0.114523331580552</v>
      </c>
      <c r="K5437">
        <v>0.19764956191132901</v>
      </c>
      <c r="L5437">
        <v>1190.8469207978701</v>
      </c>
      <c r="M5437">
        <v>24.016332485640199</v>
      </c>
      <c r="N5437">
        <v>50.2299176354976</v>
      </c>
      <c r="O5437">
        <v>49.244929503279202</v>
      </c>
      <c r="P5437">
        <v>-0.105746652477636</v>
      </c>
      <c r="Q5437">
        <v>0.13268950320734199</v>
      </c>
      <c r="R5437">
        <v>0.99381036147678903</v>
      </c>
      <c r="S5437" t="s">
        <v>12083</v>
      </c>
      <c r="T5437" t="s">
        <v>13290</v>
      </c>
      <c r="U5437" t="s">
        <v>13290</v>
      </c>
      <c r="V5437" t="s">
        <v>13290</v>
      </c>
      <c r="W5437" t="s">
        <v>18677</v>
      </c>
      <c r="X5437">
        <v>5</v>
      </c>
      <c r="Y5437" t="s">
        <v>25155</v>
      </c>
      <c r="Z5437" t="s">
        <v>31767</v>
      </c>
      <c r="AA5437">
        <v>0.41816756038494701</v>
      </c>
      <c r="AB5437" t="str">
        <f>HYPERLINK("Melting_Curves/meltCurve_Q9BUT9_FAM195A.pdf", "Melting_Curves/meltCurve_Q9BUT9_FAM195A.pdf")</f>
        <v>Melting_Curves/meltCurve_Q9BUT9_FAM195A.pdf</v>
      </c>
    </row>
    <row r="5438" spans="1:28" x14ac:dyDescent="0.25">
      <c r="A5438" t="s">
        <v>5442</v>
      </c>
      <c r="B5438">
        <v>0.99252571173614901</v>
      </c>
      <c r="C5438">
        <v>1.0869604810430999</v>
      </c>
      <c r="D5438">
        <v>0.91528027266067502</v>
      </c>
      <c r="E5438">
        <v>0.85075145945481201</v>
      </c>
      <c r="F5438">
        <v>0.61503998543113803</v>
      </c>
      <c r="G5438">
        <v>0.51850024676391404</v>
      </c>
      <c r="H5438">
        <v>0.55014575484648498</v>
      </c>
      <c r="I5438">
        <v>0.77555102443788704</v>
      </c>
      <c r="J5438">
        <v>1.1819833089165099</v>
      </c>
      <c r="K5438">
        <v>1.0603391455007001</v>
      </c>
      <c r="L5438">
        <v>2154.5204408576901</v>
      </c>
      <c r="M5438">
        <v>46.116067307743698</v>
      </c>
      <c r="O5438">
        <v>46.631919907878199</v>
      </c>
      <c r="P5438">
        <v>-5.1852412303119801E-2</v>
      </c>
      <c r="Q5438">
        <v>0.79027052050689806</v>
      </c>
      <c r="R5438">
        <v>0.193147192328331</v>
      </c>
      <c r="S5438" t="s">
        <v>12084</v>
      </c>
      <c r="T5438" t="s">
        <v>13290</v>
      </c>
      <c r="U5438" t="s">
        <v>13290</v>
      </c>
      <c r="V5438" t="s">
        <v>13290</v>
      </c>
      <c r="W5438" t="s">
        <v>18678</v>
      </c>
      <c r="X5438">
        <v>1</v>
      </c>
      <c r="Y5438" t="s">
        <v>25156</v>
      </c>
      <c r="Z5438" t="s">
        <v>31768</v>
      </c>
      <c r="AA5438">
        <v>0.83775730200918741</v>
      </c>
      <c r="AB5438" t="str">
        <f>HYPERLINK("Melting_Curves/meltCurve_Q9BUW7_C9orf16.pdf", "Melting_Curves/meltCurve_Q9BUW7_C9orf16.pdf")</f>
        <v>Melting_Curves/meltCurve_Q9BUW7_C9orf16.pdf</v>
      </c>
    </row>
    <row r="5439" spans="1:28" x14ac:dyDescent="0.25">
      <c r="A5439" t="s">
        <v>5443</v>
      </c>
      <c r="B5439">
        <v>0.99252571173614901</v>
      </c>
      <c r="C5439">
        <v>0.94868562252494204</v>
      </c>
      <c r="D5439">
        <v>0.82628607795674103</v>
      </c>
      <c r="E5439">
        <v>0.63456642563389698</v>
      </c>
      <c r="F5439">
        <v>0.51685418779521897</v>
      </c>
      <c r="G5439">
        <v>0.35265657529406502</v>
      </c>
      <c r="H5439">
        <v>0.164660105168626</v>
      </c>
      <c r="I5439">
        <v>9.7435473770541098E-2</v>
      </c>
      <c r="J5439">
        <v>5.21426740482809E-2</v>
      </c>
      <c r="K5439">
        <v>3.35531958031983E-2</v>
      </c>
      <c r="L5439">
        <v>607.92315498187804</v>
      </c>
      <c r="M5439">
        <v>11.509176436362999</v>
      </c>
      <c r="N5439">
        <v>52.820731476647801</v>
      </c>
      <c r="O5439">
        <v>51.301573200225199</v>
      </c>
      <c r="P5439">
        <v>-5.6101776004166201E-2</v>
      </c>
      <c r="Q5439">
        <v>0</v>
      </c>
      <c r="R5439">
        <v>0.99361774075550602</v>
      </c>
      <c r="S5439" t="s">
        <v>12085</v>
      </c>
      <c r="T5439" t="s">
        <v>13290</v>
      </c>
      <c r="U5439" t="s">
        <v>13290</v>
      </c>
      <c r="V5439" t="s">
        <v>13290</v>
      </c>
      <c r="W5439" t="s">
        <v>18679</v>
      </c>
      <c r="X5439">
        <v>1</v>
      </c>
      <c r="Y5439" t="s">
        <v>25157</v>
      </c>
      <c r="Z5439" t="s">
        <v>31769</v>
      </c>
      <c r="AA5439">
        <v>0.4576109704623062</v>
      </c>
      <c r="AB5439" t="str">
        <f>HYPERLINK("Melting_Curves/meltCurve_Q9BUZ4_2_TRAF4.pdf", "Melting_Curves/meltCurve_Q9BUZ4_2_TRAF4.pdf")</f>
        <v>Melting_Curves/meltCurve_Q9BUZ4_2_TRAF4.pdf</v>
      </c>
    </row>
    <row r="5440" spans="1:28" x14ac:dyDescent="0.25">
      <c r="A5440" t="s">
        <v>5444</v>
      </c>
      <c r="B5440">
        <v>0.99252571173614901</v>
      </c>
      <c r="C5440">
        <v>0.89765847244269903</v>
      </c>
      <c r="D5440">
        <v>0.95818336256592695</v>
      </c>
      <c r="E5440">
        <v>0.66135590643124897</v>
      </c>
      <c r="F5440">
        <v>0.807432643368036</v>
      </c>
      <c r="G5440">
        <v>0.63442805949036596</v>
      </c>
      <c r="H5440">
        <v>0.40656877225539401</v>
      </c>
      <c r="I5440">
        <v>0.1966470543205</v>
      </c>
      <c r="J5440">
        <v>7.6963317433511896E-2</v>
      </c>
      <c r="K5440">
        <v>9.1615971784152206E-2</v>
      </c>
      <c r="L5440">
        <v>661.81066858287397</v>
      </c>
      <c r="M5440">
        <v>11.4662359906894</v>
      </c>
      <c r="N5440">
        <v>57.718207075845498</v>
      </c>
      <c r="O5440">
        <v>56.0463341142597</v>
      </c>
      <c r="P5440">
        <v>-5.1160938123937398E-2</v>
      </c>
      <c r="Q5440">
        <v>0</v>
      </c>
      <c r="R5440">
        <v>0.93227712483008796</v>
      </c>
      <c r="S5440" t="s">
        <v>12086</v>
      </c>
      <c r="T5440" t="s">
        <v>13290</v>
      </c>
      <c r="U5440" t="s">
        <v>13290</v>
      </c>
      <c r="V5440" t="s">
        <v>13290</v>
      </c>
      <c r="W5440" t="s">
        <v>18680</v>
      </c>
      <c r="X5440">
        <v>2</v>
      </c>
      <c r="Y5440" t="s">
        <v>25158</v>
      </c>
      <c r="Z5440" t="s">
        <v>31770</v>
      </c>
      <c r="AA5440">
        <v>0.60415693899600909</v>
      </c>
      <c r="AB5440" t="str">
        <f>HYPERLINK("Melting_Curves/meltCurve_Q9BV10_ALG12.pdf", "Melting_Curves/meltCurve_Q9BV10_ALG12.pdf")</f>
        <v>Melting_Curves/meltCurve_Q9BV10_ALG12.pdf</v>
      </c>
    </row>
    <row r="5441" spans="1:28" x14ac:dyDescent="0.25">
      <c r="A5441" t="s">
        <v>5445</v>
      </c>
      <c r="B5441">
        <v>0.99252571173614901</v>
      </c>
      <c r="C5441">
        <v>0.82433326543187702</v>
      </c>
      <c r="D5441">
        <v>0.86863230097968303</v>
      </c>
      <c r="E5441">
        <v>0.64935828479402102</v>
      </c>
      <c r="F5441">
        <v>0.53547875636916598</v>
      </c>
      <c r="G5441">
        <v>0.318493521515119</v>
      </c>
      <c r="H5441">
        <v>0.26270697054140002</v>
      </c>
      <c r="I5441">
        <v>0.24689022875539801</v>
      </c>
      <c r="J5441">
        <v>0.252879529787017</v>
      </c>
      <c r="K5441">
        <v>0.280857298463417</v>
      </c>
      <c r="L5441">
        <v>637.744686447052</v>
      </c>
      <c r="M5441">
        <v>12.620855983921301</v>
      </c>
      <c r="N5441">
        <v>52.837640988897498</v>
      </c>
      <c r="O5441">
        <v>49.312757241620297</v>
      </c>
      <c r="P5441">
        <v>-5.0441905994163302E-2</v>
      </c>
      <c r="Q5441">
        <v>0.211801071628305</v>
      </c>
      <c r="R5441">
        <v>0.97244860647516396</v>
      </c>
      <c r="S5441" t="s">
        <v>12087</v>
      </c>
      <c r="T5441" t="s">
        <v>13290</v>
      </c>
      <c r="U5441" t="s">
        <v>13290</v>
      </c>
      <c r="V5441" t="s">
        <v>13290</v>
      </c>
      <c r="W5441" t="s">
        <v>18681</v>
      </c>
      <c r="X5441">
        <v>3</v>
      </c>
      <c r="Y5441" t="s">
        <v>25159</v>
      </c>
      <c r="Z5441" t="s">
        <v>31771</v>
      </c>
      <c r="AA5441">
        <v>0.51297559235076351</v>
      </c>
      <c r="AB5441" t="str">
        <f>HYPERLINK("Melting_Curves/meltCurve_Q9BV19_C1orf50.pdf", "Melting_Curves/meltCurve_Q9BV19_C1orf50.pdf")</f>
        <v>Melting_Curves/meltCurve_Q9BV19_C1orf50.pdf</v>
      </c>
    </row>
    <row r="5442" spans="1:28" x14ac:dyDescent="0.25">
      <c r="A5442" t="s">
        <v>5446</v>
      </c>
      <c r="B5442">
        <v>0.99252571173614901</v>
      </c>
      <c r="C5442">
        <v>1.0722348237577599</v>
      </c>
      <c r="D5442">
        <v>0.97810112833115104</v>
      </c>
      <c r="E5442">
        <v>0.94959695458309601</v>
      </c>
      <c r="F5442">
        <v>0.626978995869381</v>
      </c>
      <c r="G5442">
        <v>0.27617266322266798</v>
      </c>
      <c r="H5442">
        <v>0.14473613290170401</v>
      </c>
      <c r="I5442">
        <v>0.12974821130695</v>
      </c>
      <c r="J5442">
        <v>0.16830287241439101</v>
      </c>
      <c r="K5442">
        <v>0.15407048987958599</v>
      </c>
      <c r="L5442">
        <v>1742.8075488669499</v>
      </c>
      <c r="M5442">
        <v>32.482842557719003</v>
      </c>
      <c r="N5442">
        <v>54.224620342845398</v>
      </c>
      <c r="O5442">
        <v>53.451049897746401</v>
      </c>
      <c r="P5442">
        <v>-0.12990821033911301</v>
      </c>
      <c r="Q5442">
        <v>0.14493970155864699</v>
      </c>
      <c r="R5442">
        <v>0.99538918308617297</v>
      </c>
      <c r="S5442" t="s">
        <v>12088</v>
      </c>
      <c r="T5442" t="s">
        <v>13290</v>
      </c>
      <c r="U5442" t="s">
        <v>13290</v>
      </c>
      <c r="V5442" t="s">
        <v>13290</v>
      </c>
      <c r="W5442" t="s">
        <v>18682</v>
      </c>
      <c r="X5442">
        <v>19</v>
      </c>
      <c r="Y5442" t="s">
        <v>25160</v>
      </c>
      <c r="Z5442" t="s">
        <v>31772</v>
      </c>
      <c r="AA5442">
        <v>0.53887097240564585</v>
      </c>
      <c r="AB5442" t="str">
        <f>HYPERLINK("Melting_Curves/meltCurve_Q9BV20_MRI1.pdf", "Melting_Curves/meltCurve_Q9BV20_MRI1.pdf")</f>
        <v>Melting_Curves/meltCurve_Q9BV20_MRI1.pdf</v>
      </c>
    </row>
    <row r="5443" spans="1:28" x14ac:dyDescent="0.25">
      <c r="A5443" t="s">
        <v>5447</v>
      </c>
      <c r="B5443">
        <v>0.99252571173614901</v>
      </c>
      <c r="C5443">
        <v>1.00189214275843</v>
      </c>
      <c r="D5443">
        <v>0.77651678211603703</v>
      </c>
      <c r="E5443">
        <v>0.47069469028651401</v>
      </c>
      <c r="F5443">
        <v>0.25513076094418802</v>
      </c>
      <c r="G5443">
        <v>0.151204410228125</v>
      </c>
      <c r="H5443">
        <v>0.13424549603039701</v>
      </c>
      <c r="I5443">
        <v>0.150322169877255</v>
      </c>
      <c r="J5443">
        <v>0.22159943895595299</v>
      </c>
      <c r="K5443">
        <v>0.27489414467129097</v>
      </c>
      <c r="L5443">
        <v>1208.0923447457801</v>
      </c>
      <c r="M5443">
        <v>25.095452643845899</v>
      </c>
      <c r="N5443">
        <v>49.038101611909703</v>
      </c>
      <c r="O5443">
        <v>47.837335266733497</v>
      </c>
      <c r="P5443">
        <v>-0.10698671171084501</v>
      </c>
      <c r="Q5443">
        <v>0.18425203777615201</v>
      </c>
      <c r="R5443">
        <v>0.982669254863068</v>
      </c>
      <c r="S5443" t="s">
        <v>12089</v>
      </c>
      <c r="T5443" t="s">
        <v>13290</v>
      </c>
      <c r="U5443" t="s">
        <v>13290</v>
      </c>
      <c r="V5443" t="s">
        <v>13290</v>
      </c>
      <c r="W5443" t="s">
        <v>18683</v>
      </c>
      <c r="X5443">
        <v>4</v>
      </c>
      <c r="Y5443" t="s">
        <v>25161</v>
      </c>
      <c r="Z5443" t="s">
        <v>31773</v>
      </c>
      <c r="AA5443">
        <v>0.41273941189774932</v>
      </c>
      <c r="AB5443" t="str">
        <f>HYPERLINK("Melting_Curves/meltCurve_Q9BV23_ABHD6.pdf", "Melting_Curves/meltCurve_Q9BV23_ABHD6.pdf")</f>
        <v>Melting_Curves/meltCurve_Q9BV23_ABHD6.pdf</v>
      </c>
    </row>
    <row r="5444" spans="1:28" x14ac:dyDescent="0.25">
      <c r="A5444" t="s">
        <v>5448</v>
      </c>
      <c r="B5444">
        <v>0.99252571173614901</v>
      </c>
      <c r="C5444">
        <v>1.0355477549950101</v>
      </c>
      <c r="D5444">
        <v>1.15742027153348</v>
      </c>
      <c r="E5444">
        <v>1.4144614408117999</v>
      </c>
      <c r="F5444">
        <v>2.10922308298864</v>
      </c>
      <c r="G5444">
        <v>0.88200261242167799</v>
      </c>
      <c r="H5444">
        <v>0.259335038138235</v>
      </c>
      <c r="I5444">
        <v>0.20730483210901901</v>
      </c>
      <c r="J5444">
        <v>0.188787319017861</v>
      </c>
      <c r="K5444">
        <v>0.19477151449070901</v>
      </c>
      <c r="L5444">
        <v>4377.5009629748401</v>
      </c>
      <c r="M5444">
        <v>75.149749375197402</v>
      </c>
      <c r="N5444">
        <v>58.658540646739397</v>
      </c>
      <c r="O5444">
        <v>58.209164543064603</v>
      </c>
      <c r="P5444">
        <v>-0.25704203800192399</v>
      </c>
      <c r="Q5444">
        <v>0.203606138663491</v>
      </c>
      <c r="R5444">
        <v>0.61148698809346602</v>
      </c>
      <c r="S5444" t="s">
        <v>12090</v>
      </c>
      <c r="T5444" t="s">
        <v>13290</v>
      </c>
      <c r="U5444" t="s">
        <v>13290</v>
      </c>
      <c r="V5444" t="s">
        <v>13290</v>
      </c>
      <c r="W5444" t="s">
        <v>18684</v>
      </c>
      <c r="X5444">
        <v>8</v>
      </c>
      <c r="Y5444" t="s">
        <v>25162</v>
      </c>
      <c r="Z5444" t="s">
        <v>31774</v>
      </c>
      <c r="AA5444">
        <v>0.68899189872803701</v>
      </c>
      <c r="AB5444" t="str">
        <f>HYPERLINK("Melting_Curves/meltCurve_Q9BV38_WDR18.pdf", "Melting_Curves/meltCurve_Q9BV38_WDR18.pdf")</f>
        <v>Melting_Curves/meltCurve_Q9BV38_WDR18.pdf</v>
      </c>
    </row>
    <row r="5445" spans="1:28" x14ac:dyDescent="0.25">
      <c r="A5445" t="s">
        <v>5449</v>
      </c>
      <c r="B5445">
        <v>0.99252571173614901</v>
      </c>
      <c r="C5445">
        <v>0.94273193597953697</v>
      </c>
      <c r="D5445">
        <v>0.86162504228814796</v>
      </c>
      <c r="E5445">
        <v>0.68721578794031402</v>
      </c>
      <c r="F5445">
        <v>0.67733765855383898</v>
      </c>
      <c r="G5445">
        <v>0.55426410961315997</v>
      </c>
      <c r="H5445">
        <v>0.48307707325043497</v>
      </c>
      <c r="I5445">
        <v>0.59979390556628998</v>
      </c>
      <c r="J5445">
        <v>0.93052232772020205</v>
      </c>
      <c r="K5445">
        <v>0.79784128641701002</v>
      </c>
      <c r="L5445">
        <v>1489.7208930649999</v>
      </c>
      <c r="M5445">
        <v>32.267272019412601</v>
      </c>
      <c r="O5445">
        <v>45.991908650846099</v>
      </c>
      <c r="P5445">
        <v>-5.7637723716458401E-2</v>
      </c>
      <c r="Q5445">
        <v>0.67138751427981203</v>
      </c>
      <c r="R5445">
        <v>0.51080458107761695</v>
      </c>
      <c r="S5445" t="s">
        <v>12091</v>
      </c>
      <c r="T5445" t="s">
        <v>13290</v>
      </c>
      <c r="U5445" t="s">
        <v>13290</v>
      </c>
      <c r="V5445" t="s">
        <v>13290</v>
      </c>
      <c r="W5445" t="s">
        <v>18685</v>
      </c>
      <c r="X5445">
        <v>4</v>
      </c>
      <c r="Y5445" t="s">
        <v>25163</v>
      </c>
      <c r="Z5445" t="s">
        <v>31775</v>
      </c>
      <c r="AA5445">
        <v>0.74064813940445096</v>
      </c>
      <c r="AB5445" t="str">
        <f>HYPERLINK("Melting_Curves/meltCurve_Q9BV40_VAMP8.pdf", "Melting_Curves/meltCurve_Q9BV40_VAMP8.pdf")</f>
        <v>Melting_Curves/meltCurve_Q9BV40_VAMP8.pdf</v>
      </c>
    </row>
    <row r="5446" spans="1:28" x14ac:dyDescent="0.25">
      <c r="A5446" t="s">
        <v>5450</v>
      </c>
      <c r="B5446">
        <v>0.99252571173614901</v>
      </c>
      <c r="C5446">
        <v>1.01581383597051</v>
      </c>
      <c r="D5446">
        <v>0.99507848210621797</v>
      </c>
      <c r="E5446">
        <v>0.910941486957908</v>
      </c>
      <c r="F5446">
        <v>0.51088714067650298</v>
      </c>
      <c r="G5446">
        <v>0.165271026618699</v>
      </c>
      <c r="H5446">
        <v>9.7210965626522997E-2</v>
      </c>
      <c r="I5446">
        <v>9.7771468627593006E-2</v>
      </c>
      <c r="J5446">
        <v>0.120068160473024</v>
      </c>
      <c r="K5446">
        <v>0.11115452032619801</v>
      </c>
      <c r="L5446">
        <v>1871.0457958363299</v>
      </c>
      <c r="M5446">
        <v>35.379805010101201</v>
      </c>
      <c r="N5446">
        <v>53.229041762106299</v>
      </c>
      <c r="O5446">
        <v>52.7164564568873</v>
      </c>
      <c r="P5446">
        <v>-0.150616409567711</v>
      </c>
      <c r="Q5446">
        <v>0.102319711281953</v>
      </c>
      <c r="R5446">
        <v>0.99929960592248002</v>
      </c>
      <c r="S5446" t="s">
        <v>12092</v>
      </c>
      <c r="T5446" t="s">
        <v>13290</v>
      </c>
      <c r="U5446" t="s">
        <v>13290</v>
      </c>
      <c r="V5446" t="s">
        <v>13290</v>
      </c>
      <c r="W5446" t="s">
        <v>18686</v>
      </c>
      <c r="X5446">
        <v>11</v>
      </c>
      <c r="Y5446" t="s">
        <v>25164</v>
      </c>
      <c r="Z5446" t="s">
        <v>31776</v>
      </c>
      <c r="AA5446">
        <v>0.49205213471171388</v>
      </c>
      <c r="AB5446" t="str">
        <f>HYPERLINK("Melting_Curves/meltCurve_Q9BV44_THUMPD3.pdf", "Melting_Curves/meltCurve_Q9BV44_THUMPD3.pdf")</f>
        <v>Melting_Curves/meltCurve_Q9BV44_THUMPD3.pdf</v>
      </c>
    </row>
    <row r="5447" spans="1:28" x14ac:dyDescent="0.25">
      <c r="A5447" t="s">
        <v>5451</v>
      </c>
      <c r="B5447">
        <v>0.99252571173614901</v>
      </c>
      <c r="C5447">
        <v>1.28787248970135</v>
      </c>
      <c r="D5447">
        <v>0.48524891043903201</v>
      </c>
      <c r="E5447">
        <v>0.52328825201960605</v>
      </c>
      <c r="F5447">
        <v>0.21708809347577199</v>
      </c>
      <c r="G5447">
        <v>0.11189532365272201</v>
      </c>
      <c r="H5447">
        <v>7.8184167803930602E-2</v>
      </c>
      <c r="I5447">
        <v>8.1769676944390704E-2</v>
      </c>
      <c r="J5447">
        <v>8.8252530319647401E-2</v>
      </c>
      <c r="K5447">
        <v>8.8051134821910404E-2</v>
      </c>
      <c r="L5447">
        <v>971.43792358107203</v>
      </c>
      <c r="M5447">
        <v>20.171535962697501</v>
      </c>
      <c r="N5447">
        <v>48.606351391132797</v>
      </c>
      <c r="O5447">
        <v>47.693033905507498</v>
      </c>
      <c r="P5447">
        <v>-9.6779191172614895E-2</v>
      </c>
      <c r="Q5447">
        <v>8.4740506098865701E-2</v>
      </c>
      <c r="R5447">
        <v>0.87523759591341799</v>
      </c>
      <c r="S5447" t="s">
        <v>12093</v>
      </c>
      <c r="T5447" t="s">
        <v>13290</v>
      </c>
      <c r="U5447" t="s">
        <v>13290</v>
      </c>
      <c r="V5447" t="s">
        <v>13290</v>
      </c>
      <c r="W5447" t="s">
        <v>18687</v>
      </c>
      <c r="X5447">
        <v>15</v>
      </c>
      <c r="Y5447" t="s">
        <v>25165</v>
      </c>
      <c r="Z5447" t="s">
        <v>31777</v>
      </c>
      <c r="AA5447">
        <v>0.3463914788307626</v>
      </c>
      <c r="AB5447" t="str">
        <f>HYPERLINK("Melting_Curves/meltCurve_Q9BV57_ADI1.pdf", "Melting_Curves/meltCurve_Q9BV57_ADI1.pdf")</f>
        <v>Melting_Curves/meltCurve_Q9BV57_ADI1.pdf</v>
      </c>
    </row>
    <row r="5448" spans="1:28" x14ac:dyDescent="0.25">
      <c r="A5448" t="s">
        <v>5452</v>
      </c>
      <c r="B5448">
        <v>0.99252571173614901</v>
      </c>
      <c r="C5448">
        <v>0.93108851061098297</v>
      </c>
      <c r="D5448">
        <v>0.78191508183201797</v>
      </c>
      <c r="E5448">
        <v>0.63937529380116498</v>
      </c>
      <c r="F5448">
        <v>0.377521128503571</v>
      </c>
      <c r="G5448">
        <v>0.28580999137652002</v>
      </c>
      <c r="H5448">
        <v>0.229727844886258</v>
      </c>
      <c r="I5448">
        <v>0.232156588028648</v>
      </c>
      <c r="J5448">
        <v>0.29031777060242597</v>
      </c>
      <c r="K5448">
        <v>0.334613182595901</v>
      </c>
      <c r="L5448">
        <v>880.63406666800699</v>
      </c>
      <c r="M5448">
        <v>18.0064164369882</v>
      </c>
      <c r="N5448">
        <v>50.948128329359299</v>
      </c>
      <c r="O5448">
        <v>48.315455194458004</v>
      </c>
      <c r="P5448">
        <v>-6.9230539991214299E-2</v>
      </c>
      <c r="Q5448">
        <v>0.256989413835439</v>
      </c>
      <c r="R5448">
        <v>0.98007560713527697</v>
      </c>
      <c r="S5448" t="s">
        <v>12094</v>
      </c>
      <c r="T5448" t="s">
        <v>13290</v>
      </c>
      <c r="U5448" t="s">
        <v>13290</v>
      </c>
      <c r="V5448" t="s">
        <v>13290</v>
      </c>
      <c r="W5448" t="s">
        <v>18688</v>
      </c>
      <c r="X5448">
        <v>5</v>
      </c>
      <c r="Y5448" t="s">
        <v>25166</v>
      </c>
      <c r="Z5448" t="s">
        <v>31778</v>
      </c>
      <c r="AA5448">
        <v>0.49046484244089711</v>
      </c>
      <c r="AB5448" t="str">
        <f>HYPERLINK("Melting_Curves/meltCurve_Q9BV68_2_RNF126.pdf", "Melting_Curves/meltCurve_Q9BV68_2_RNF126.pdf")</f>
        <v>Melting_Curves/meltCurve_Q9BV68_2_RNF126.pdf</v>
      </c>
    </row>
    <row r="5449" spans="1:28" x14ac:dyDescent="0.25">
      <c r="A5449" t="s">
        <v>5453</v>
      </c>
      <c r="B5449">
        <v>0.99252571173614901</v>
      </c>
      <c r="C5449">
        <v>1.0714884903769499</v>
      </c>
      <c r="D5449">
        <v>1.06056707288342</v>
      </c>
      <c r="E5449">
        <v>1.0937080637857901</v>
      </c>
      <c r="F5449">
        <v>0.76683827262257098</v>
      </c>
      <c r="G5449">
        <v>0.41845014445777701</v>
      </c>
      <c r="H5449">
        <v>0.109412128271305</v>
      </c>
      <c r="I5449">
        <v>9.04083069947378E-2</v>
      </c>
      <c r="J5449">
        <v>0.10182972316758</v>
      </c>
      <c r="K5449">
        <v>0.13300135467402099</v>
      </c>
      <c r="L5449">
        <v>1778.3017926933601</v>
      </c>
      <c r="M5449">
        <v>32.069668748938199</v>
      </c>
      <c r="N5449">
        <v>55.823982454438301</v>
      </c>
      <c r="O5449">
        <v>55.2369217187426</v>
      </c>
      <c r="P5449">
        <v>-0.13115640633550199</v>
      </c>
      <c r="Q5449">
        <v>9.6387218207836106E-2</v>
      </c>
      <c r="R5449">
        <v>0.98466577641026698</v>
      </c>
      <c r="S5449" t="s">
        <v>12095</v>
      </c>
      <c r="T5449" t="s">
        <v>13290</v>
      </c>
      <c r="U5449" t="s">
        <v>13290</v>
      </c>
      <c r="V5449" t="s">
        <v>13290</v>
      </c>
      <c r="W5449" t="s">
        <v>18689</v>
      </c>
      <c r="X5449">
        <v>7</v>
      </c>
      <c r="Y5449" t="s">
        <v>25167</v>
      </c>
      <c r="Z5449" t="s">
        <v>31779</v>
      </c>
      <c r="AA5449">
        <v>0.56708582555858655</v>
      </c>
      <c r="AB5449" t="str">
        <f>HYPERLINK("Melting_Curves/meltCurve_Q9BV79_MECR.pdf", "Melting_Curves/meltCurve_Q9BV79_MECR.pdf")</f>
        <v>Melting_Curves/meltCurve_Q9BV79_MECR.pdf</v>
      </c>
    </row>
    <row r="5450" spans="1:28" x14ac:dyDescent="0.25">
      <c r="A5450" t="s">
        <v>5454</v>
      </c>
      <c r="B5450">
        <v>0.99252571173614901</v>
      </c>
      <c r="C5450">
        <v>0.94251193475480199</v>
      </c>
      <c r="D5450">
        <v>0.84091519124400305</v>
      </c>
      <c r="E5450">
        <v>1.1225338103790701</v>
      </c>
      <c r="F5450">
        <v>0.66748351904352299</v>
      </c>
      <c r="G5450">
        <v>0.41761314483082201</v>
      </c>
      <c r="H5450">
        <v>0.459568531555898</v>
      </c>
      <c r="I5450">
        <v>0.54208359223007097</v>
      </c>
      <c r="J5450">
        <v>0.50443413299323903</v>
      </c>
      <c r="K5450">
        <v>0.52410375308823198</v>
      </c>
      <c r="L5450">
        <v>13266.731953840201</v>
      </c>
      <c r="M5450">
        <v>250</v>
      </c>
      <c r="N5450">
        <v>53.901108146483899</v>
      </c>
      <c r="O5450">
        <v>53.0635310549727</v>
      </c>
      <c r="P5450">
        <v>-0.601212542286928</v>
      </c>
      <c r="Q5450">
        <v>0.48956062608939099</v>
      </c>
      <c r="R5450">
        <v>0.906283889119742</v>
      </c>
      <c r="S5450" t="s">
        <v>12096</v>
      </c>
      <c r="T5450" t="s">
        <v>13290</v>
      </c>
      <c r="U5450" t="s">
        <v>13290</v>
      </c>
      <c r="V5450" t="s">
        <v>13290</v>
      </c>
      <c r="W5450" t="s">
        <v>18690</v>
      </c>
      <c r="X5450">
        <v>1</v>
      </c>
      <c r="Y5450" t="s">
        <v>25168</v>
      </c>
      <c r="Z5450" t="s">
        <v>31780</v>
      </c>
      <c r="AA5450">
        <v>0.71193731257512693</v>
      </c>
      <c r="AB5450" t="str">
        <f>HYPERLINK("Melting_Curves/meltCurve_Q9BV81_EMC6.pdf", "Melting_Curves/meltCurve_Q9BV81_EMC6.pdf")</f>
        <v>Melting_Curves/meltCurve_Q9BV81_EMC6.pdf</v>
      </c>
    </row>
    <row r="5451" spans="1:28" x14ac:dyDescent="0.25">
      <c r="A5451" t="s">
        <v>5455</v>
      </c>
      <c r="B5451">
        <v>0.99252571173614901</v>
      </c>
      <c r="C5451">
        <v>1.08767583349448</v>
      </c>
      <c r="D5451">
        <v>0.87354653146998795</v>
      </c>
      <c r="E5451">
        <v>0.52829588979905695</v>
      </c>
      <c r="F5451">
        <v>0.11400210888158301</v>
      </c>
      <c r="G5451">
        <v>5.7955153085880701E-2</v>
      </c>
      <c r="H5451">
        <v>3.5538135720254202E-2</v>
      </c>
      <c r="I5451">
        <v>3.3949969353062701E-2</v>
      </c>
      <c r="J5451">
        <v>3.3297726453785703E-2</v>
      </c>
      <c r="K5451">
        <v>3.2877580331880499E-2</v>
      </c>
      <c r="L5451">
        <v>1512.85911842368</v>
      </c>
      <c r="M5451">
        <v>30.5263973528284</v>
      </c>
      <c r="N5451">
        <v>49.663050622123201</v>
      </c>
      <c r="O5451">
        <v>49.347823762066703</v>
      </c>
      <c r="P5451">
        <v>-0.14986149697013301</v>
      </c>
      <c r="Q5451">
        <v>3.0964097087247601E-2</v>
      </c>
      <c r="R5451">
        <v>0.99325007331344695</v>
      </c>
      <c r="S5451" t="s">
        <v>12097</v>
      </c>
      <c r="T5451" t="s">
        <v>13290</v>
      </c>
      <c r="U5451" t="s">
        <v>13290</v>
      </c>
      <c r="V5451" t="s">
        <v>13290</v>
      </c>
      <c r="W5451" t="s">
        <v>18691</v>
      </c>
      <c r="X5451">
        <v>10</v>
      </c>
      <c r="Y5451" t="s">
        <v>25169</v>
      </c>
      <c r="Z5451" t="s">
        <v>31781</v>
      </c>
      <c r="AA5451">
        <v>0.34547752591187703</v>
      </c>
      <c r="AB5451" t="str">
        <f>HYPERLINK("Melting_Curves/meltCurve_Q9BV86_NTMT1.pdf", "Melting_Curves/meltCurve_Q9BV86_NTMT1.pdf")</f>
        <v>Melting_Curves/meltCurve_Q9BV86_NTMT1.pdf</v>
      </c>
    </row>
    <row r="5452" spans="1:28" x14ac:dyDescent="0.25">
      <c r="A5452" t="s">
        <v>5456</v>
      </c>
      <c r="B5452">
        <v>0.99252571173614901</v>
      </c>
      <c r="C5452">
        <v>0.97942134705738904</v>
      </c>
      <c r="D5452">
        <v>0.819547393903726</v>
      </c>
      <c r="E5452">
        <v>0.60077065004970698</v>
      </c>
      <c r="F5452">
        <v>0.24786551237851301</v>
      </c>
      <c r="G5452">
        <v>0.14626581307916001</v>
      </c>
      <c r="H5452">
        <v>0.129341920372916</v>
      </c>
      <c r="I5452">
        <v>0.12855889403561799</v>
      </c>
      <c r="J5452">
        <v>0.20303518726264</v>
      </c>
      <c r="K5452">
        <v>0.16144012707432301</v>
      </c>
      <c r="L5452">
        <v>1151.7406000538799</v>
      </c>
      <c r="M5452">
        <v>23.3088417770281</v>
      </c>
      <c r="N5452">
        <v>50.125345291533499</v>
      </c>
      <c r="O5452">
        <v>49.0527744783884</v>
      </c>
      <c r="P5452">
        <v>-0.102032033319225</v>
      </c>
      <c r="Q5452">
        <v>0.14112133981574701</v>
      </c>
      <c r="R5452">
        <v>0.99018955375734896</v>
      </c>
      <c r="S5452" t="s">
        <v>12098</v>
      </c>
      <c r="T5452" t="s">
        <v>13290</v>
      </c>
      <c r="U5452" t="s">
        <v>13290</v>
      </c>
      <c r="V5452" t="s">
        <v>13290</v>
      </c>
      <c r="W5452" t="s">
        <v>18692</v>
      </c>
      <c r="X5452">
        <v>4</v>
      </c>
      <c r="Y5452" t="s">
        <v>25170</v>
      </c>
      <c r="Z5452" t="s">
        <v>31782</v>
      </c>
      <c r="AA5452">
        <v>0.41938983930703511</v>
      </c>
      <c r="AB5452" t="str">
        <f>HYPERLINK("Melting_Curves/meltCurve_Q9BVA0_KATNB1.pdf", "Melting_Curves/meltCurve_Q9BVA0_KATNB1.pdf")</f>
        <v>Melting_Curves/meltCurve_Q9BVA0_KATNB1.pdf</v>
      </c>
    </row>
    <row r="5453" spans="1:28" x14ac:dyDescent="0.25">
      <c r="A5453" t="s">
        <v>5457</v>
      </c>
      <c r="B5453">
        <v>0.99252571173614901</v>
      </c>
      <c r="C5453">
        <v>1.0560141264499201</v>
      </c>
      <c r="D5453">
        <v>1.0640092078900401</v>
      </c>
      <c r="E5453">
        <v>1.2118029361041101</v>
      </c>
      <c r="F5453">
        <v>0.83516600146500097</v>
      </c>
      <c r="G5453">
        <v>0.82354724414890002</v>
      </c>
      <c r="H5453">
        <v>0.41852651414002601</v>
      </c>
      <c r="I5453">
        <v>7.6785361631396598E-2</v>
      </c>
      <c r="J5453">
        <v>5.4784581562324103E-2</v>
      </c>
      <c r="K5453">
        <v>5.3546438625994598E-2</v>
      </c>
      <c r="L5453">
        <v>1676.9089565837701</v>
      </c>
      <c r="M5453">
        <v>28.0705214077385</v>
      </c>
      <c r="N5453">
        <v>59.768529918617702</v>
      </c>
      <c r="O5453">
        <v>59.438424530611599</v>
      </c>
      <c r="P5453">
        <v>-0.11725745420976499</v>
      </c>
      <c r="Q5453">
        <v>6.85290888227708E-3</v>
      </c>
      <c r="R5453">
        <v>0.95958260094270098</v>
      </c>
      <c r="S5453" t="s">
        <v>12099</v>
      </c>
      <c r="T5453" t="s">
        <v>13290</v>
      </c>
      <c r="U5453" t="s">
        <v>13290</v>
      </c>
      <c r="V5453" t="s">
        <v>13290</v>
      </c>
      <c r="W5453" t="s">
        <v>18693</v>
      </c>
      <c r="X5453">
        <v>39</v>
      </c>
      <c r="Y5453" t="s">
        <v>25171</v>
      </c>
      <c r="Z5453" t="s">
        <v>31783</v>
      </c>
      <c r="AA5453">
        <v>0.66700515807970695</v>
      </c>
      <c r="AB5453" t="str">
        <f>HYPERLINK("Melting_Curves/meltCurve_Q9BVA1_TUBB2B.pdf", "Melting_Curves/meltCurve_Q9BVA1_TUBB2B.pdf")</f>
        <v>Melting_Curves/meltCurve_Q9BVA1_TUBB2B.pdf</v>
      </c>
    </row>
    <row r="5454" spans="1:28" x14ac:dyDescent="0.25">
      <c r="A5454" t="s">
        <v>5458</v>
      </c>
      <c r="B5454">
        <v>0.99252571173614901</v>
      </c>
      <c r="C5454">
        <v>0.86662680099202405</v>
      </c>
      <c r="D5454">
        <v>0.74550362851640695</v>
      </c>
      <c r="E5454">
        <v>0.45697588716967102</v>
      </c>
      <c r="F5454">
        <v>0.33250173454615001</v>
      </c>
      <c r="G5454">
        <v>0.15580331946682799</v>
      </c>
      <c r="H5454">
        <v>0.15235369947730701</v>
      </c>
      <c r="I5454">
        <v>0.18618836402814801</v>
      </c>
      <c r="J5454">
        <v>0.22241637630947</v>
      </c>
      <c r="K5454">
        <v>0.18457878961486601</v>
      </c>
      <c r="L5454">
        <v>837.94002006414905</v>
      </c>
      <c r="M5454">
        <v>17.4963698777666</v>
      </c>
      <c r="N5454">
        <v>49.054219110953497</v>
      </c>
      <c r="O5454">
        <v>47.279724585414897</v>
      </c>
      <c r="P5454">
        <v>-7.6824428801563996E-2</v>
      </c>
      <c r="Q5454">
        <v>0.16964774664128801</v>
      </c>
      <c r="R5454">
        <v>0.98764358888451698</v>
      </c>
      <c r="S5454" t="s">
        <v>12100</v>
      </c>
      <c r="T5454" t="s">
        <v>13290</v>
      </c>
      <c r="U5454" t="s">
        <v>13290</v>
      </c>
      <c r="V5454" t="s">
        <v>13290</v>
      </c>
      <c r="W5454" t="s">
        <v>18694</v>
      </c>
      <c r="X5454">
        <v>5</v>
      </c>
      <c r="Y5454" t="s">
        <v>25172</v>
      </c>
      <c r="Z5454" t="s">
        <v>31784</v>
      </c>
      <c r="AA5454">
        <v>0.40377827122323517</v>
      </c>
      <c r="AB5454" t="str">
        <f>HYPERLINK("Melting_Curves/meltCurve_Q9BVC4_MLST8.pdf", "Melting_Curves/meltCurve_Q9BVC4_MLST8.pdf")</f>
        <v>Melting_Curves/meltCurve_Q9BVC4_MLST8.pdf</v>
      </c>
    </row>
    <row r="5455" spans="1:28" x14ac:dyDescent="0.25">
      <c r="A5455" t="s">
        <v>5459</v>
      </c>
      <c r="B5455">
        <v>0.99252571173614901</v>
      </c>
      <c r="C5455">
        <v>0.96047083133103806</v>
      </c>
      <c r="D5455">
        <v>0.89600257483917201</v>
      </c>
      <c r="E5455">
        <v>0.89440693910642499</v>
      </c>
      <c r="F5455">
        <v>0.69656980479080499</v>
      </c>
      <c r="G5455">
        <v>0.560625915451474</v>
      </c>
      <c r="H5455">
        <v>0.44957493399276099</v>
      </c>
      <c r="I5455">
        <v>0.67115054424561105</v>
      </c>
      <c r="J5455">
        <v>1.1010199391056099</v>
      </c>
      <c r="K5455">
        <v>0.92780742859705201</v>
      </c>
      <c r="L5455">
        <v>1277.08540127422</v>
      </c>
      <c r="M5455">
        <v>26.618306226045</v>
      </c>
      <c r="O5455">
        <v>47.709385875728799</v>
      </c>
      <c r="P5455">
        <v>-3.6374891330593101E-2</v>
      </c>
      <c r="Q5455">
        <v>0.73921628786183802</v>
      </c>
      <c r="R5455">
        <v>0.23372118715506701</v>
      </c>
      <c r="S5455" t="s">
        <v>12101</v>
      </c>
      <c r="T5455" t="s">
        <v>13290</v>
      </c>
      <c r="U5455" t="s">
        <v>13290</v>
      </c>
      <c r="V5455" t="s">
        <v>13290</v>
      </c>
      <c r="W5455" t="s">
        <v>18695</v>
      </c>
      <c r="X5455">
        <v>7</v>
      </c>
      <c r="Y5455" t="s">
        <v>25173</v>
      </c>
      <c r="Z5455" t="s">
        <v>31785</v>
      </c>
      <c r="AA5455">
        <v>0.81058287674263108</v>
      </c>
      <c r="AB5455" t="str">
        <f>HYPERLINK("Melting_Curves/meltCurve_Q9BVC6_TMEM109.pdf", "Melting_Curves/meltCurve_Q9BVC6_TMEM109.pdf")</f>
        <v>Melting_Curves/meltCurve_Q9BVC6_TMEM109.pdf</v>
      </c>
    </row>
    <row r="5456" spans="1:28" x14ac:dyDescent="0.25">
      <c r="A5456" t="s">
        <v>5460</v>
      </c>
      <c r="B5456">
        <v>0.99252571173614901</v>
      </c>
      <c r="C5456">
        <v>1.0135927703960199</v>
      </c>
      <c r="D5456">
        <v>0.84146482656584298</v>
      </c>
      <c r="E5456">
        <v>0.63004673794091803</v>
      </c>
      <c r="F5456">
        <v>0.24640651364857699</v>
      </c>
      <c r="G5456">
        <v>0.12564550011961201</v>
      </c>
      <c r="H5456">
        <v>9.1010704947646404E-2</v>
      </c>
      <c r="I5456">
        <v>9.8007098661578806E-2</v>
      </c>
      <c r="J5456">
        <v>0.1132887849308</v>
      </c>
      <c r="K5456">
        <v>0.11546329556657001</v>
      </c>
      <c r="L5456">
        <v>1195.63674864533</v>
      </c>
      <c r="M5456">
        <v>23.908920133361502</v>
      </c>
      <c r="N5456">
        <v>50.446093075046697</v>
      </c>
      <c r="O5456">
        <v>49.662076259577603</v>
      </c>
      <c r="P5456">
        <v>-0.109076097502221</v>
      </c>
      <c r="Q5456">
        <v>9.3751035995265797E-2</v>
      </c>
      <c r="R5456">
        <v>0.99464229747619504</v>
      </c>
      <c r="S5456" t="s">
        <v>12102</v>
      </c>
      <c r="T5456" t="s">
        <v>13290</v>
      </c>
      <c r="U5456" t="s">
        <v>13290</v>
      </c>
      <c r="V5456" t="s">
        <v>13290</v>
      </c>
      <c r="W5456" t="s">
        <v>18696</v>
      </c>
      <c r="X5456">
        <v>10</v>
      </c>
      <c r="Y5456" t="s">
        <v>25174</v>
      </c>
      <c r="Z5456" t="s">
        <v>31786</v>
      </c>
      <c r="AA5456">
        <v>0.40493444317669058</v>
      </c>
      <c r="AB5456" t="str">
        <f>HYPERLINK("Melting_Curves/meltCurve_Q9BVG4_PBDC1.pdf", "Melting_Curves/meltCurve_Q9BVG4_PBDC1.pdf")</f>
        <v>Melting_Curves/meltCurve_Q9BVG4_PBDC1.pdf</v>
      </c>
    </row>
    <row r="5457" spans="1:28" x14ac:dyDescent="0.25">
      <c r="A5457" t="s">
        <v>5461</v>
      </c>
      <c r="B5457">
        <v>0.99252571173614901</v>
      </c>
      <c r="C5457">
        <v>0.95584568818073901</v>
      </c>
      <c r="D5457">
        <v>0.88135309264258599</v>
      </c>
      <c r="E5457">
        <v>0.85231323912411905</v>
      </c>
      <c r="F5457">
        <v>0.50467691156638195</v>
      </c>
      <c r="G5457">
        <v>0.189768774719318</v>
      </c>
      <c r="H5457">
        <v>8.6374169226905106E-2</v>
      </c>
      <c r="I5457">
        <v>8.3852976437466795E-2</v>
      </c>
      <c r="J5457">
        <v>0.108949881399558</v>
      </c>
      <c r="K5457">
        <v>0.10657817928148</v>
      </c>
      <c r="L5457">
        <v>1309.8760693248701</v>
      </c>
      <c r="M5457">
        <v>24.857188764818201</v>
      </c>
      <c r="N5457">
        <v>53.0771045886422</v>
      </c>
      <c r="O5457">
        <v>52.358571258239301</v>
      </c>
      <c r="P5457">
        <v>-0.10899010901324201</v>
      </c>
      <c r="Q5457">
        <v>8.17164713672279E-2</v>
      </c>
      <c r="R5457">
        <v>0.990719420818168</v>
      </c>
      <c r="S5457" t="s">
        <v>12103</v>
      </c>
      <c r="T5457" t="s">
        <v>13290</v>
      </c>
      <c r="U5457" t="s">
        <v>13290</v>
      </c>
      <c r="V5457" t="s">
        <v>13290</v>
      </c>
      <c r="W5457" t="s">
        <v>18697</v>
      </c>
      <c r="X5457">
        <v>4</v>
      </c>
      <c r="Y5457" t="s">
        <v>25175</v>
      </c>
      <c r="Z5457" t="s">
        <v>31787</v>
      </c>
      <c r="AA5457">
        <v>0.47886340341341432</v>
      </c>
      <c r="AB5457" t="str">
        <f>HYPERLINK("Melting_Curves/meltCurve_Q9BVG9_PTDSS2.pdf", "Melting_Curves/meltCurve_Q9BVG9_PTDSS2.pdf")</f>
        <v>Melting_Curves/meltCurve_Q9BVG9_PTDSS2.pdf</v>
      </c>
    </row>
    <row r="5458" spans="1:28" x14ac:dyDescent="0.25">
      <c r="A5458" t="s">
        <v>5462</v>
      </c>
      <c r="B5458">
        <v>0.99252571173614901</v>
      </c>
      <c r="C5458">
        <v>0.91582687303747801</v>
      </c>
      <c r="D5458">
        <v>0.82245944590271902</v>
      </c>
      <c r="E5458">
        <v>0.36598850062690802</v>
      </c>
      <c r="F5458">
        <v>0.42869726339873698</v>
      </c>
      <c r="G5458">
        <v>0.32027875148579499</v>
      </c>
      <c r="H5458">
        <v>0.26939197158817402</v>
      </c>
      <c r="I5458">
        <v>0.30171260833714703</v>
      </c>
      <c r="J5458">
        <v>0.35973430991368699</v>
      </c>
      <c r="K5458">
        <v>0.43931553770151699</v>
      </c>
      <c r="L5458">
        <v>2383.8880825317701</v>
      </c>
      <c r="M5458">
        <v>50.904525128353697</v>
      </c>
      <c r="N5458">
        <v>47.965163619086901</v>
      </c>
      <c r="O5458">
        <v>46.758448071053103</v>
      </c>
      <c r="P5458">
        <v>-0.17690209112923999</v>
      </c>
      <c r="Q5458">
        <v>0.35002522213459603</v>
      </c>
      <c r="R5458">
        <v>0.95573894790383096</v>
      </c>
      <c r="S5458" t="s">
        <v>12104</v>
      </c>
      <c r="T5458" t="s">
        <v>13290</v>
      </c>
      <c r="U5458" t="s">
        <v>13290</v>
      </c>
      <c r="V5458" t="s">
        <v>13290</v>
      </c>
      <c r="W5458" t="s">
        <v>18698</v>
      </c>
      <c r="X5458">
        <v>1</v>
      </c>
      <c r="Y5458" t="s">
        <v>25176</v>
      </c>
      <c r="Z5458" t="s">
        <v>31788</v>
      </c>
      <c r="AA5458">
        <v>0.49931270385652898</v>
      </c>
      <c r="AB5458" t="str">
        <f>HYPERLINK("Melting_Curves/meltCurve_Q9BVI4_NOC4L.pdf", "Melting_Curves/meltCurve_Q9BVI4_NOC4L.pdf")</f>
        <v>Melting_Curves/meltCurve_Q9BVI4_NOC4L.pdf</v>
      </c>
    </row>
    <row r="5459" spans="1:28" x14ac:dyDescent="0.25">
      <c r="A5459" t="s">
        <v>5463</v>
      </c>
      <c r="B5459">
        <v>0.99252571173614901</v>
      </c>
      <c r="C5459">
        <v>1.0946504439904201</v>
      </c>
      <c r="D5459">
        <v>1.0348717651978201</v>
      </c>
      <c r="E5459">
        <v>0.82697604645334399</v>
      </c>
      <c r="F5459">
        <v>0.527405175534853</v>
      </c>
      <c r="G5459">
        <v>0.37131574459915601</v>
      </c>
      <c r="H5459">
        <v>0.29065925088605898</v>
      </c>
      <c r="I5459">
        <v>0.37267880352608801</v>
      </c>
      <c r="J5459">
        <v>0.66554059245494401</v>
      </c>
      <c r="K5459">
        <v>1.3267653185330399</v>
      </c>
      <c r="L5459">
        <v>12415.096979953099</v>
      </c>
      <c r="M5459">
        <v>250</v>
      </c>
      <c r="O5459">
        <v>49.657212011921303</v>
      </c>
      <c r="P5459">
        <v>-0.51302451265279303</v>
      </c>
      <c r="Q5459">
        <v>0.59239414523634404</v>
      </c>
      <c r="R5459">
        <v>0.350617597475541</v>
      </c>
      <c r="S5459" t="s">
        <v>12105</v>
      </c>
      <c r="T5459" t="s">
        <v>13290</v>
      </c>
      <c r="U5459" t="s">
        <v>13290</v>
      </c>
      <c r="V5459" t="s">
        <v>13290</v>
      </c>
      <c r="W5459" t="s">
        <v>18699</v>
      </c>
      <c r="X5459">
        <v>13</v>
      </c>
      <c r="Y5459" t="s">
        <v>25177</v>
      </c>
      <c r="Z5459" t="s">
        <v>31789</v>
      </c>
      <c r="AA5459">
        <v>0.72368402524094122</v>
      </c>
      <c r="AB5459" t="str">
        <f>HYPERLINK("Melting_Curves/meltCurve_Q9BVJ6_3_UTP14A.pdf", "Melting_Curves/meltCurve_Q9BVJ6_3_UTP14A.pdf")</f>
        <v>Melting_Curves/meltCurve_Q9BVJ6_3_UTP14A.pdf</v>
      </c>
    </row>
    <row r="5460" spans="1:28" x14ac:dyDescent="0.25">
      <c r="A5460" t="s">
        <v>5464</v>
      </c>
      <c r="B5460">
        <v>0.99252571173614901</v>
      </c>
      <c r="C5460">
        <v>1.0684949179371599</v>
      </c>
      <c r="D5460">
        <v>1.0289476787296701</v>
      </c>
      <c r="E5460">
        <v>0.84739554434849296</v>
      </c>
      <c r="F5460">
        <v>0.73804211817027998</v>
      </c>
      <c r="G5460">
        <v>0.48898529662814</v>
      </c>
      <c r="H5460">
        <v>0.22140298082867499</v>
      </c>
      <c r="I5460">
        <v>0.16766975071872101</v>
      </c>
      <c r="J5460">
        <v>0.13443159381285699</v>
      </c>
      <c r="K5460">
        <v>0.12922679014589999</v>
      </c>
      <c r="L5460">
        <v>1006.05491232025</v>
      </c>
      <c r="M5460">
        <v>18.0795717477381</v>
      </c>
      <c r="N5460">
        <v>56.285888212534402</v>
      </c>
      <c r="O5460">
        <v>54.978557998404597</v>
      </c>
      <c r="P5460">
        <v>-7.4577851643452001E-2</v>
      </c>
      <c r="Q5460">
        <v>9.2902307665109304E-2</v>
      </c>
      <c r="R5460">
        <v>0.99031215743466705</v>
      </c>
      <c r="S5460" t="s">
        <v>12106</v>
      </c>
      <c r="T5460" t="s">
        <v>13290</v>
      </c>
      <c r="U5460" t="s">
        <v>13290</v>
      </c>
      <c r="V5460" t="s">
        <v>13290</v>
      </c>
      <c r="W5460" t="s">
        <v>18700</v>
      </c>
      <c r="X5460">
        <v>13</v>
      </c>
      <c r="Y5460" t="s">
        <v>25178</v>
      </c>
      <c r="Z5460" t="s">
        <v>31790</v>
      </c>
      <c r="AA5460">
        <v>0.57953242398158877</v>
      </c>
      <c r="AB5460" t="str">
        <f>HYPERLINK("Melting_Curves/meltCurve_Q9BVJ7_DUSP23.pdf", "Melting_Curves/meltCurve_Q9BVJ7_DUSP23.pdf")</f>
        <v>Melting_Curves/meltCurve_Q9BVJ7_DUSP23.pdf</v>
      </c>
    </row>
    <row r="5461" spans="1:28" x14ac:dyDescent="0.25">
      <c r="A5461" t="s">
        <v>5465</v>
      </c>
      <c r="B5461">
        <v>0.99252571173614901</v>
      </c>
      <c r="C5461">
        <v>0.86374964931123199</v>
      </c>
      <c r="D5461">
        <v>0.80631724666850602</v>
      </c>
      <c r="E5461">
        <v>0.78056584307843002</v>
      </c>
      <c r="F5461">
        <v>0.45816012380127302</v>
      </c>
      <c r="G5461">
        <v>0.26669518230872402</v>
      </c>
      <c r="H5461">
        <v>0.130107197759147</v>
      </c>
      <c r="I5461">
        <v>0.107370946493861</v>
      </c>
      <c r="J5461">
        <v>0.117176526936853</v>
      </c>
      <c r="K5461">
        <v>0.113834338422791</v>
      </c>
      <c r="L5461">
        <v>704.00991075240904</v>
      </c>
      <c r="M5461">
        <v>13.490187382629699</v>
      </c>
      <c r="N5461">
        <v>52.601835197788603</v>
      </c>
      <c r="O5461">
        <v>51.080081554929599</v>
      </c>
      <c r="P5461">
        <v>-6.2701128301070205E-2</v>
      </c>
      <c r="Q5461">
        <v>5.04834711246612E-2</v>
      </c>
      <c r="R5461">
        <v>0.97908868968648199</v>
      </c>
      <c r="S5461" t="s">
        <v>12107</v>
      </c>
      <c r="T5461" t="s">
        <v>13290</v>
      </c>
      <c r="U5461" t="s">
        <v>13290</v>
      </c>
      <c r="V5461" t="s">
        <v>13290</v>
      </c>
      <c r="W5461" t="s">
        <v>18701</v>
      </c>
      <c r="X5461">
        <v>13</v>
      </c>
      <c r="Y5461" t="s">
        <v>25179</v>
      </c>
      <c r="Z5461" t="s">
        <v>31791</v>
      </c>
      <c r="AA5461">
        <v>0.46078577324315262</v>
      </c>
      <c r="AB5461" t="str">
        <f>HYPERLINK("Melting_Curves/meltCurve_Q9BVK6_TMED9.pdf", "Melting_Curves/meltCurve_Q9BVK6_TMED9.pdf")</f>
        <v>Melting_Curves/meltCurve_Q9BVK6_TMED9.pdf</v>
      </c>
    </row>
    <row r="5462" spans="1:28" x14ac:dyDescent="0.25">
      <c r="A5462" t="s">
        <v>5466</v>
      </c>
      <c r="B5462">
        <v>0.99252571173614901</v>
      </c>
      <c r="C5462">
        <v>0.89732620624331505</v>
      </c>
      <c r="D5462">
        <v>0.43051381448569898</v>
      </c>
      <c r="E5462">
        <v>0.25284674951302699</v>
      </c>
      <c r="F5462">
        <v>0.140318392143501</v>
      </c>
      <c r="G5462">
        <v>8.7604423029220904E-2</v>
      </c>
      <c r="H5462">
        <v>6.1084577612871303E-2</v>
      </c>
      <c r="I5462">
        <v>6.5381635610243405E-2</v>
      </c>
      <c r="J5462">
        <v>6.9074990810011602E-2</v>
      </c>
      <c r="K5462">
        <v>7.2976620119453703E-2</v>
      </c>
      <c r="L5462">
        <v>1163.3225981175999</v>
      </c>
      <c r="M5462">
        <v>25.511003810846301</v>
      </c>
      <c r="N5462">
        <v>45.927361058419898</v>
      </c>
      <c r="O5462">
        <v>45.323407833817299</v>
      </c>
      <c r="P5462">
        <v>-0.12904679459687901</v>
      </c>
      <c r="Q5462">
        <v>8.2942436050478296E-2</v>
      </c>
      <c r="R5462">
        <v>0.98844386669677897</v>
      </c>
      <c r="S5462" t="s">
        <v>12108</v>
      </c>
      <c r="T5462" t="s">
        <v>13290</v>
      </c>
      <c r="U5462" t="s">
        <v>13290</v>
      </c>
      <c r="V5462" t="s">
        <v>13290</v>
      </c>
      <c r="W5462" t="s">
        <v>18702</v>
      </c>
      <c r="X5462">
        <v>12</v>
      </c>
      <c r="Y5462" t="s">
        <v>25180</v>
      </c>
      <c r="Z5462" t="s">
        <v>31792</v>
      </c>
      <c r="AA5462">
        <v>0.26242682003223261</v>
      </c>
      <c r="AB5462" t="str">
        <f>HYPERLINK("Melting_Curves/meltCurve_Q9BVL4_SELO.pdf", "Melting_Curves/meltCurve_Q9BVL4_SELO.pdf")</f>
        <v>Melting_Curves/meltCurve_Q9BVL4_SELO.pdf</v>
      </c>
    </row>
    <row r="5463" spans="1:28" x14ac:dyDescent="0.25">
      <c r="A5463" t="s">
        <v>5467</v>
      </c>
      <c r="B5463">
        <v>0.99252571173614901</v>
      </c>
      <c r="C5463">
        <v>1.07875515659415</v>
      </c>
      <c r="D5463">
        <v>0.87724857318663296</v>
      </c>
      <c r="E5463">
        <v>0.68094855281678701</v>
      </c>
      <c r="F5463">
        <v>0.38242488082883402</v>
      </c>
      <c r="G5463">
        <v>0.206183961658644</v>
      </c>
      <c r="H5463">
        <v>0.15740597989193</v>
      </c>
      <c r="I5463">
        <v>0.161578892858523</v>
      </c>
      <c r="J5463">
        <v>0.16534171775209</v>
      </c>
      <c r="K5463">
        <v>0.149922961012599</v>
      </c>
      <c r="L5463">
        <v>1118.46701333347</v>
      </c>
      <c r="M5463">
        <v>22.0612097100176</v>
      </c>
      <c r="N5463">
        <v>51.519697401626701</v>
      </c>
      <c r="O5463">
        <v>50.287280068670903</v>
      </c>
      <c r="P5463">
        <v>-9.3417576044336495E-2</v>
      </c>
      <c r="Q5463">
        <v>0.14825814301099699</v>
      </c>
      <c r="R5463">
        <v>0.99141246711969599</v>
      </c>
      <c r="S5463" t="s">
        <v>12109</v>
      </c>
      <c r="T5463" t="s">
        <v>13290</v>
      </c>
      <c r="U5463" t="s">
        <v>13290</v>
      </c>
      <c r="V5463" t="s">
        <v>13290</v>
      </c>
      <c r="W5463" t="s">
        <v>18703</v>
      </c>
      <c r="X5463">
        <v>3</v>
      </c>
      <c r="Y5463" t="s">
        <v>25181</v>
      </c>
      <c r="Z5463" t="s">
        <v>31793</v>
      </c>
      <c r="AA5463">
        <v>0.46180133521877631</v>
      </c>
      <c r="AB5463" t="str">
        <f>HYPERLINK("Melting_Curves/meltCurve_Q9BVM4_GGACT.pdf", "Melting_Curves/meltCurve_Q9BVM4_GGACT.pdf")</f>
        <v>Melting_Curves/meltCurve_Q9BVM4_GGACT.pdf</v>
      </c>
    </row>
    <row r="5464" spans="1:28" x14ac:dyDescent="0.25">
      <c r="A5464" t="s">
        <v>5468</v>
      </c>
      <c r="B5464">
        <v>0.99252571173614901</v>
      </c>
      <c r="C5464">
        <v>0.50805127345565504</v>
      </c>
      <c r="D5464">
        <v>0.18796005148728101</v>
      </c>
      <c r="E5464">
        <v>0.129497301645773</v>
      </c>
      <c r="F5464">
        <v>7.3876798004842703E-2</v>
      </c>
      <c r="G5464">
        <v>4.3661887775371097E-2</v>
      </c>
      <c r="H5464">
        <v>3.30929810100783E-2</v>
      </c>
      <c r="I5464">
        <v>3.5287031189111903E-2</v>
      </c>
      <c r="J5464">
        <v>5.0124173313019001E-2</v>
      </c>
      <c r="K5464">
        <v>5.20437321145917E-2</v>
      </c>
      <c r="L5464">
        <v>1477.1807479967499</v>
      </c>
      <c r="M5464">
        <v>34.392441147596003</v>
      </c>
      <c r="N5464">
        <v>43.115328158979402</v>
      </c>
      <c r="O5464">
        <v>42.806310790008901</v>
      </c>
      <c r="P5464">
        <v>-0.18850486697048399</v>
      </c>
      <c r="Q5464">
        <v>6.1518613767536999E-2</v>
      </c>
      <c r="R5464">
        <v>0.98619287841856595</v>
      </c>
      <c r="S5464" t="s">
        <v>12110</v>
      </c>
      <c r="T5464" t="s">
        <v>13290</v>
      </c>
      <c r="U5464" t="s">
        <v>13290</v>
      </c>
      <c r="V5464" t="s">
        <v>13290</v>
      </c>
      <c r="W5464" t="s">
        <v>18704</v>
      </c>
      <c r="X5464">
        <v>6</v>
      </c>
      <c r="Y5464" t="s">
        <v>25182</v>
      </c>
      <c r="Z5464" t="s">
        <v>31794</v>
      </c>
      <c r="AA5464">
        <v>0.16005500088674091</v>
      </c>
      <c r="AB5464" t="str">
        <f>HYPERLINK("Melting_Curves/meltCurve_Q9BVP2_2_GNL3.pdf", "Melting_Curves/meltCurve_Q9BVP2_2_GNL3.pdf")</f>
        <v>Melting_Curves/meltCurve_Q9BVP2_2_GNL3.pdf</v>
      </c>
    </row>
    <row r="5465" spans="1:28" x14ac:dyDescent="0.25">
      <c r="A5465" t="s">
        <v>5469</v>
      </c>
      <c r="B5465">
        <v>0.99252571173614901</v>
      </c>
      <c r="C5465">
        <v>0.96660928598152795</v>
      </c>
      <c r="D5465">
        <v>1.20667288591217</v>
      </c>
      <c r="E5465">
        <v>1.52694605067625</v>
      </c>
      <c r="F5465">
        <v>1.8450072648514699</v>
      </c>
      <c r="G5465">
        <v>0.96143704637417005</v>
      </c>
      <c r="H5465">
        <v>0.17785090152857599</v>
      </c>
      <c r="I5465">
        <v>0.153068467923201</v>
      </c>
      <c r="J5465">
        <v>0.19049009691029001</v>
      </c>
      <c r="K5465">
        <v>0.163444104068142</v>
      </c>
      <c r="L5465">
        <v>6794.83493307765</v>
      </c>
      <c r="M5465">
        <v>116.58931341271</v>
      </c>
      <c r="N5465">
        <v>58.487860037576297</v>
      </c>
      <c r="O5465">
        <v>58.262950737413703</v>
      </c>
      <c r="P5465">
        <v>-0.41544659562164499</v>
      </c>
      <c r="Q5465">
        <v>0.16955887196439501</v>
      </c>
      <c r="R5465">
        <v>0.70009680849870104</v>
      </c>
      <c r="S5465" t="s">
        <v>12111</v>
      </c>
      <c r="T5465" t="s">
        <v>13290</v>
      </c>
      <c r="U5465" t="s">
        <v>13290</v>
      </c>
      <c r="V5465" t="s">
        <v>13290</v>
      </c>
      <c r="W5465" t="s">
        <v>18705</v>
      </c>
      <c r="X5465">
        <v>10</v>
      </c>
      <c r="Y5465" t="s">
        <v>25183</v>
      </c>
      <c r="Z5465" t="s">
        <v>31795</v>
      </c>
      <c r="AA5465">
        <v>0.67596749767710207</v>
      </c>
      <c r="AB5465" t="str">
        <f>HYPERLINK("Melting_Curves/meltCurve_Q9BVQ7_SPATA5L1.pdf", "Melting_Curves/meltCurve_Q9BVQ7_SPATA5L1.pdf")</f>
        <v>Melting_Curves/meltCurve_Q9BVQ7_SPATA5L1.pdf</v>
      </c>
    </row>
    <row r="5466" spans="1:28" x14ac:dyDescent="0.25">
      <c r="A5466" t="s">
        <v>5470</v>
      </c>
      <c r="B5466">
        <v>0.99252571173614901</v>
      </c>
      <c r="C5466">
        <v>0.91975595308898905</v>
      </c>
      <c r="D5466">
        <v>1.0006558272789201</v>
      </c>
      <c r="E5466">
        <v>0.93282979443088099</v>
      </c>
      <c r="F5466">
        <v>0.94679095073200503</v>
      </c>
      <c r="G5466">
        <v>0.76250331748770706</v>
      </c>
      <c r="H5466">
        <v>0.68726865709987905</v>
      </c>
      <c r="I5466">
        <v>0.205655389113785</v>
      </c>
      <c r="J5466">
        <v>0.118154515523533</v>
      </c>
      <c r="K5466">
        <v>0.112819820230929</v>
      </c>
      <c r="L5466">
        <v>1293.3139866778299</v>
      </c>
      <c r="M5466">
        <v>21.050122246585001</v>
      </c>
      <c r="N5466">
        <v>61.439748162153997</v>
      </c>
      <c r="O5466">
        <v>60.893313718827798</v>
      </c>
      <c r="P5466">
        <v>-8.6424438232754502E-2</v>
      </c>
      <c r="Q5466">
        <v>0</v>
      </c>
      <c r="R5466">
        <v>0.96289629500910401</v>
      </c>
      <c r="S5466" t="s">
        <v>12112</v>
      </c>
      <c r="T5466" t="s">
        <v>13290</v>
      </c>
      <c r="U5466" t="s">
        <v>13290</v>
      </c>
      <c r="V5466" t="s">
        <v>13290</v>
      </c>
      <c r="W5466" t="s">
        <v>18706</v>
      </c>
      <c r="X5466">
        <v>15</v>
      </c>
      <c r="Y5466" t="s">
        <v>25184</v>
      </c>
      <c r="Z5466" t="s">
        <v>31796</v>
      </c>
      <c r="AA5466">
        <v>0.71985872050636013</v>
      </c>
      <c r="AB5466" t="str">
        <f>HYPERLINK("Melting_Curves/meltCurve_Q9BVS5_TRMT61B.pdf", "Melting_Curves/meltCurve_Q9BVS5_TRMT61B.pdf")</f>
        <v>Melting_Curves/meltCurve_Q9BVS5_TRMT61B.pdf</v>
      </c>
    </row>
    <row r="5467" spans="1:28" x14ac:dyDescent="0.25">
      <c r="A5467" t="s">
        <v>5471</v>
      </c>
      <c r="B5467">
        <v>0.99252571173614901</v>
      </c>
      <c r="C5467">
        <v>0.89757869365328702</v>
      </c>
      <c r="D5467">
        <v>0.80992562666307899</v>
      </c>
      <c r="E5467">
        <v>0.82143985756705795</v>
      </c>
      <c r="F5467">
        <v>0.48837577055690001</v>
      </c>
      <c r="G5467">
        <v>0.32991020570947699</v>
      </c>
      <c r="H5467">
        <v>0.26788181310922399</v>
      </c>
      <c r="I5467">
        <v>0.31095833551511398</v>
      </c>
      <c r="J5467">
        <v>0.34351559959182199</v>
      </c>
      <c r="K5467">
        <v>0.24341668332374</v>
      </c>
      <c r="L5467">
        <v>812.61124682809395</v>
      </c>
      <c r="M5467">
        <v>15.926820524389701</v>
      </c>
      <c r="N5467">
        <v>53.4487944748236</v>
      </c>
      <c r="O5467">
        <v>50.237531410694899</v>
      </c>
      <c r="P5467">
        <v>-5.8859849798123698E-2</v>
      </c>
      <c r="Q5467">
        <v>0.257419289591788</v>
      </c>
      <c r="R5467">
        <v>0.95683022972512499</v>
      </c>
      <c r="S5467" t="s">
        <v>12113</v>
      </c>
      <c r="T5467" t="s">
        <v>13290</v>
      </c>
      <c r="U5467" t="s">
        <v>13290</v>
      </c>
      <c r="V5467" t="s">
        <v>13290</v>
      </c>
      <c r="W5467" t="s">
        <v>18707</v>
      </c>
      <c r="X5467">
        <v>5</v>
      </c>
      <c r="Y5467" t="s">
        <v>25185</v>
      </c>
      <c r="Z5467" t="s">
        <v>31797</v>
      </c>
      <c r="AA5467">
        <v>0.54573706543321521</v>
      </c>
      <c r="AB5467" t="str">
        <f>HYPERLINK("Melting_Curves/meltCurve_Q9BVV7_TIMM21.pdf", "Melting_Curves/meltCurve_Q9BVV7_TIMM21.pdf")</f>
        <v>Melting_Curves/meltCurve_Q9BVV7_TIMM21.pdf</v>
      </c>
    </row>
    <row r="5468" spans="1:28" x14ac:dyDescent="0.25">
      <c r="A5468" t="s">
        <v>5472</v>
      </c>
      <c r="B5468">
        <v>0.99252571173614901</v>
      </c>
      <c r="C5468">
        <v>1.0375397636668999</v>
      </c>
      <c r="D5468">
        <v>0.76285706968676903</v>
      </c>
      <c r="E5468">
        <v>0.63135731838365505</v>
      </c>
      <c r="F5468">
        <v>0.42808147283470899</v>
      </c>
      <c r="G5468">
        <v>0.31474374455236098</v>
      </c>
      <c r="H5468">
        <v>0.32321186359543702</v>
      </c>
      <c r="I5468">
        <v>0.44538241059010503</v>
      </c>
      <c r="J5468">
        <v>0.74490041622915704</v>
      </c>
      <c r="K5468">
        <v>0.90858282788818701</v>
      </c>
      <c r="L5468">
        <v>1876.3623725842899</v>
      </c>
      <c r="M5468">
        <v>40.650009447603203</v>
      </c>
      <c r="O5468">
        <v>46.047677773182599</v>
      </c>
      <c r="P5468">
        <v>-0.102245672294209</v>
      </c>
      <c r="Q5468">
        <v>0.53671188109569201</v>
      </c>
      <c r="R5468">
        <v>0.54088741976481902</v>
      </c>
      <c r="S5468" t="s">
        <v>12114</v>
      </c>
      <c r="T5468" t="s">
        <v>13290</v>
      </c>
      <c r="U5468" t="s">
        <v>13290</v>
      </c>
      <c r="V5468" t="s">
        <v>13290</v>
      </c>
      <c r="W5468" t="s">
        <v>18708</v>
      </c>
      <c r="X5468">
        <v>5</v>
      </c>
      <c r="Y5468" t="s">
        <v>25186</v>
      </c>
      <c r="Z5468" t="s">
        <v>31798</v>
      </c>
      <c r="AA5468">
        <v>0.63327980831700892</v>
      </c>
      <c r="AB5468" t="str">
        <f>HYPERLINK("Melting_Curves/meltCurve_Q9BVW5_TIPIN.pdf", "Melting_Curves/meltCurve_Q9BVW5_TIPIN.pdf")</f>
        <v>Melting_Curves/meltCurve_Q9BVW5_TIPIN.pdf</v>
      </c>
    </row>
    <row r="5469" spans="1:28" x14ac:dyDescent="0.25">
      <c r="A5469" t="s">
        <v>5473</v>
      </c>
      <c r="B5469">
        <v>0.99252571173614901</v>
      </c>
      <c r="C5469">
        <v>1.0478934678720899</v>
      </c>
      <c r="D5469">
        <v>0.89333452377043898</v>
      </c>
      <c r="E5469">
        <v>0.86667609182514105</v>
      </c>
      <c r="F5469">
        <v>0.75424024653616295</v>
      </c>
      <c r="G5469">
        <v>0.63776625978858503</v>
      </c>
      <c r="H5469">
        <v>0.72631918089249903</v>
      </c>
      <c r="I5469">
        <v>0.96219775579722799</v>
      </c>
      <c r="J5469">
        <v>1.4632543509331299</v>
      </c>
      <c r="K5469">
        <v>1.64280214830107</v>
      </c>
      <c r="L5469">
        <v>15000</v>
      </c>
      <c r="M5469">
        <v>226.07760921969299</v>
      </c>
      <c r="O5469">
        <v>66.3437082121646</v>
      </c>
      <c r="P5469">
        <v>0.42595904403943202</v>
      </c>
      <c r="Q5469">
        <v>1.5</v>
      </c>
      <c r="R5469">
        <v>0.65504987491949396</v>
      </c>
      <c r="S5469" t="s">
        <v>12115</v>
      </c>
      <c r="T5469" t="s">
        <v>13290</v>
      </c>
      <c r="U5469" t="s">
        <v>13290</v>
      </c>
      <c r="V5469" t="s">
        <v>13290</v>
      </c>
      <c r="W5469" t="s">
        <v>18709</v>
      </c>
      <c r="X5469">
        <v>16</v>
      </c>
      <c r="Y5469" t="s">
        <v>25187</v>
      </c>
      <c r="Z5469" t="s">
        <v>31799</v>
      </c>
      <c r="AA5469">
        <v>1.0607805615815149</v>
      </c>
      <c r="AB5469" t="str">
        <f>HYPERLINK("Melting_Curves/meltCurve_Q9BW04_SARG.pdf", "Melting_Curves/meltCurve_Q9BW04_SARG.pdf")</f>
        <v>Melting_Curves/meltCurve_Q9BW04_SARG.pdf</v>
      </c>
    </row>
    <row r="5470" spans="1:28" x14ac:dyDescent="0.25">
      <c r="A5470" t="s">
        <v>5474</v>
      </c>
      <c r="B5470">
        <v>0.99252571173614901</v>
      </c>
      <c r="C5470">
        <v>0.990127422664551</v>
      </c>
      <c r="D5470">
        <v>0.74443344341962503</v>
      </c>
      <c r="E5470">
        <v>0.312102062292831</v>
      </c>
      <c r="F5470">
        <v>0.31402439822679801</v>
      </c>
      <c r="G5470">
        <v>0.17724439971336101</v>
      </c>
      <c r="H5470">
        <v>0.128483797924453</v>
      </c>
      <c r="I5470">
        <v>0.13779683552667199</v>
      </c>
      <c r="J5470">
        <v>0.15971062127191099</v>
      </c>
      <c r="K5470">
        <v>0.14846253837892101</v>
      </c>
      <c r="L5470">
        <v>1286.47431550946</v>
      </c>
      <c r="M5470">
        <v>27.155569759541098</v>
      </c>
      <c r="N5470">
        <v>48.0723818015503</v>
      </c>
      <c r="O5470">
        <v>47.119562429358503</v>
      </c>
      <c r="P5470">
        <v>-0.120602123746</v>
      </c>
      <c r="Q5470">
        <v>0.16294678604833901</v>
      </c>
      <c r="R5470">
        <v>0.98467959359458401</v>
      </c>
      <c r="S5470" t="s">
        <v>12116</v>
      </c>
      <c r="T5470" t="s">
        <v>13290</v>
      </c>
      <c r="U5470" t="s">
        <v>13290</v>
      </c>
      <c r="V5470" t="s">
        <v>13290</v>
      </c>
      <c r="W5470" t="s">
        <v>18710</v>
      </c>
      <c r="X5470">
        <v>18</v>
      </c>
      <c r="Y5470" t="s">
        <v>25188</v>
      </c>
      <c r="Z5470" t="s">
        <v>31800</v>
      </c>
      <c r="AA5470">
        <v>0.37491343528159388</v>
      </c>
      <c r="AB5470" t="str">
        <f>HYPERLINK("Melting_Curves/meltCurve_Q9BW19_KIFC1.pdf", "Melting_Curves/meltCurve_Q9BW19_KIFC1.pdf")</f>
        <v>Melting_Curves/meltCurve_Q9BW19_KIFC1.pdf</v>
      </c>
    </row>
    <row r="5471" spans="1:28" x14ac:dyDescent="0.25">
      <c r="A5471" t="s">
        <v>5475</v>
      </c>
      <c r="B5471">
        <v>0.99252571173614901</v>
      </c>
      <c r="C5471">
        <v>0.96307253652713998</v>
      </c>
      <c r="D5471">
        <v>0.99242097901906801</v>
      </c>
      <c r="E5471">
        <v>0.96955049274967298</v>
      </c>
      <c r="F5471">
        <v>0.93573850867637898</v>
      </c>
      <c r="G5471">
        <v>0.56690280920383795</v>
      </c>
      <c r="H5471">
        <v>0.176076003936007</v>
      </c>
      <c r="I5471">
        <v>0.161955236515333</v>
      </c>
      <c r="J5471">
        <v>0.15858841583936401</v>
      </c>
      <c r="K5471">
        <v>0.140446341955105</v>
      </c>
      <c r="L5471">
        <v>2347.54842803466</v>
      </c>
      <c r="M5471">
        <v>41.389798144337298</v>
      </c>
      <c r="N5471">
        <v>57.192770599788702</v>
      </c>
      <c r="O5471">
        <v>56.586127059852103</v>
      </c>
      <c r="P5471">
        <v>-0.15627826294692701</v>
      </c>
      <c r="Q5471">
        <v>0.14537728596331401</v>
      </c>
      <c r="R5471">
        <v>0.997894732961638</v>
      </c>
      <c r="S5471" t="s">
        <v>12117</v>
      </c>
      <c r="T5471" t="s">
        <v>13290</v>
      </c>
      <c r="U5471" t="s">
        <v>13290</v>
      </c>
      <c r="V5471" t="s">
        <v>13290</v>
      </c>
      <c r="W5471" t="s">
        <v>18711</v>
      </c>
      <c r="X5471">
        <v>12</v>
      </c>
      <c r="Y5471" t="s">
        <v>25189</v>
      </c>
      <c r="Z5471" t="s">
        <v>31801</v>
      </c>
      <c r="AA5471">
        <v>0.6247350940017099</v>
      </c>
      <c r="AB5471" t="str">
        <f>HYPERLINK("Melting_Curves/meltCurve_Q9BW27_NUP85.pdf", "Melting_Curves/meltCurve_Q9BW27_NUP85.pdf")</f>
        <v>Melting_Curves/meltCurve_Q9BW27_NUP85.pdf</v>
      </c>
    </row>
    <row r="5472" spans="1:28" x14ac:dyDescent="0.25">
      <c r="A5472" t="s">
        <v>5476</v>
      </c>
      <c r="B5472">
        <v>0.99252571173614901</v>
      </c>
      <c r="C5472">
        <v>1.1126217946540999</v>
      </c>
      <c r="D5472">
        <v>1.0097983508744801</v>
      </c>
      <c r="E5472">
        <v>0.99536600379329099</v>
      </c>
      <c r="F5472">
        <v>0.76284093469655001</v>
      </c>
      <c r="G5472">
        <v>0.71577924287181005</v>
      </c>
      <c r="H5472">
        <v>0.73144409339101302</v>
      </c>
      <c r="I5472">
        <v>0.91998178919066198</v>
      </c>
      <c r="J5472">
        <v>1.3619622490955701</v>
      </c>
      <c r="K5472">
        <v>1.4351811333401701</v>
      </c>
      <c r="L5472">
        <v>15000</v>
      </c>
      <c r="M5472">
        <v>225.14347110955001</v>
      </c>
      <c r="O5472">
        <v>66.618927064606893</v>
      </c>
      <c r="P5472">
        <v>0.367721269513342</v>
      </c>
      <c r="Q5472">
        <v>1.4352281904786099</v>
      </c>
      <c r="R5472">
        <v>0.58369100508721194</v>
      </c>
      <c r="S5472" t="s">
        <v>12118</v>
      </c>
      <c r="T5472" t="s">
        <v>13290</v>
      </c>
      <c r="U5472" t="s">
        <v>13290</v>
      </c>
      <c r="V5472" t="s">
        <v>13290</v>
      </c>
      <c r="W5472" t="s">
        <v>18712</v>
      </c>
      <c r="X5472">
        <v>16</v>
      </c>
      <c r="Y5472" t="s">
        <v>25190</v>
      </c>
      <c r="Z5472" t="s">
        <v>31802</v>
      </c>
      <c r="AA5472">
        <v>1.0489123558218629</v>
      </c>
      <c r="AB5472" t="str">
        <f>HYPERLINK("Melting_Curves/meltCurve_Q9BW30_TPPP3.pdf", "Melting_Curves/meltCurve_Q9BW30_TPPP3.pdf")</f>
        <v>Melting_Curves/meltCurve_Q9BW30_TPPP3.pdf</v>
      </c>
    </row>
    <row r="5473" spans="1:28" x14ac:dyDescent="0.25">
      <c r="A5473" t="s">
        <v>5477</v>
      </c>
      <c r="B5473">
        <v>0.99252571173614901</v>
      </c>
      <c r="C5473">
        <v>0.91540198764344805</v>
      </c>
      <c r="D5473">
        <v>0.83035145217358797</v>
      </c>
      <c r="E5473">
        <v>0.81793773497059497</v>
      </c>
      <c r="F5473">
        <v>0.26953930171423601</v>
      </c>
      <c r="G5473">
        <v>0.12002058414156801</v>
      </c>
      <c r="H5473">
        <v>5.9184558078950601E-2</v>
      </c>
      <c r="I5473">
        <v>4.7024967274557003E-2</v>
      </c>
      <c r="J5473">
        <v>6.6194394929359704E-2</v>
      </c>
      <c r="K5473">
        <v>6.4013136227469999E-2</v>
      </c>
      <c r="L5473">
        <v>1604.7827178453999</v>
      </c>
      <c r="M5473">
        <v>31.222588450064698</v>
      </c>
      <c r="N5473">
        <v>51.597760795686099</v>
      </c>
      <c r="O5473">
        <v>51.188666211709197</v>
      </c>
      <c r="P5473">
        <v>-0.14381273725818799</v>
      </c>
      <c r="Q5473">
        <v>5.6895450787731401E-2</v>
      </c>
      <c r="R5473">
        <v>0.979117012862323</v>
      </c>
      <c r="S5473" t="s">
        <v>12119</v>
      </c>
      <c r="T5473" t="s">
        <v>13290</v>
      </c>
      <c r="U5473" t="s">
        <v>13290</v>
      </c>
      <c r="V5473" t="s">
        <v>13290</v>
      </c>
      <c r="W5473" t="s">
        <v>18713</v>
      </c>
      <c r="X5473">
        <v>2</v>
      </c>
      <c r="Y5473" t="s">
        <v>25191</v>
      </c>
      <c r="Z5473" t="s">
        <v>31803</v>
      </c>
      <c r="AA5473">
        <v>0.42072700806634927</v>
      </c>
      <c r="AB5473" t="str">
        <f>HYPERLINK("Melting_Curves/meltCurve_Q9BW60_ELOVL1.pdf", "Melting_Curves/meltCurve_Q9BW60_ELOVL1.pdf")</f>
        <v>Melting_Curves/meltCurve_Q9BW60_ELOVL1.pdf</v>
      </c>
    </row>
    <row r="5474" spans="1:28" x14ac:dyDescent="0.25">
      <c r="A5474" t="s">
        <v>5478</v>
      </c>
      <c r="B5474">
        <v>0.99252571173614901</v>
      </c>
      <c r="C5474">
        <v>0.94504730747184296</v>
      </c>
      <c r="D5474">
        <v>0.92892231374574996</v>
      </c>
      <c r="E5474">
        <v>0.98462199288603602</v>
      </c>
      <c r="F5474">
        <v>0.49764050444014002</v>
      </c>
      <c r="G5474">
        <v>0.29354313851359098</v>
      </c>
      <c r="H5474">
        <v>0.259709556039251</v>
      </c>
      <c r="I5474">
        <v>0.29107008622157199</v>
      </c>
      <c r="J5474">
        <v>0.34438594182604798</v>
      </c>
      <c r="K5474">
        <v>0.46566639776218299</v>
      </c>
      <c r="L5474">
        <v>4069.1644207215099</v>
      </c>
      <c r="M5474">
        <v>77.597790236658696</v>
      </c>
      <c r="N5474">
        <v>53.181313675648703</v>
      </c>
      <c r="O5474">
        <v>52.404382585544901</v>
      </c>
      <c r="P5474">
        <v>-0.24777300877783701</v>
      </c>
      <c r="Q5474">
        <v>0.33068250610875</v>
      </c>
      <c r="R5474">
        <v>0.96260564036081198</v>
      </c>
      <c r="S5474" t="s">
        <v>12120</v>
      </c>
      <c r="T5474" t="s">
        <v>13290</v>
      </c>
      <c r="U5474" t="s">
        <v>13290</v>
      </c>
      <c r="V5474" t="s">
        <v>13290</v>
      </c>
      <c r="W5474" t="s">
        <v>18714</v>
      </c>
      <c r="X5474">
        <v>7</v>
      </c>
      <c r="Y5474" t="s">
        <v>25192</v>
      </c>
      <c r="Z5474" t="s">
        <v>31804</v>
      </c>
      <c r="AA5474">
        <v>0.60884853455004817</v>
      </c>
      <c r="AB5474" t="str">
        <f>HYPERLINK("Melting_Curves/meltCurve_Q9BW61_DDA1.pdf", "Melting_Curves/meltCurve_Q9BW61_DDA1.pdf")</f>
        <v>Melting_Curves/meltCurve_Q9BW61_DDA1.pdf</v>
      </c>
    </row>
    <row r="5475" spans="1:28" x14ac:dyDescent="0.25">
      <c r="A5475" t="s">
        <v>5479</v>
      </c>
      <c r="B5475">
        <v>0.99252571173614901</v>
      </c>
      <c r="C5475">
        <v>1.03073473383567</v>
      </c>
      <c r="D5475">
        <v>0.92602995823891099</v>
      </c>
      <c r="E5475">
        <v>0.776269363048257</v>
      </c>
      <c r="F5475">
        <v>0.55877737037077901</v>
      </c>
      <c r="G5475">
        <v>0.37739282931306301</v>
      </c>
      <c r="H5475">
        <v>0.29906688794636299</v>
      </c>
      <c r="I5475">
        <v>0.32996302133097</v>
      </c>
      <c r="J5475">
        <v>0.49304476022819999</v>
      </c>
      <c r="K5475">
        <v>0.54346838295321998</v>
      </c>
      <c r="L5475">
        <v>1399.0490858655301</v>
      </c>
      <c r="M5475">
        <v>27.704913051744001</v>
      </c>
      <c r="N5475">
        <v>53.7757697766787</v>
      </c>
      <c r="O5475">
        <v>50.237332775305397</v>
      </c>
      <c r="P5475">
        <v>-8.1673924056357497E-2</v>
      </c>
      <c r="Q5475">
        <v>0.40760783572214099</v>
      </c>
      <c r="R5475">
        <v>0.925416943396414</v>
      </c>
      <c r="S5475" t="s">
        <v>12121</v>
      </c>
      <c r="T5475" t="s">
        <v>13290</v>
      </c>
      <c r="U5475" t="s">
        <v>13290</v>
      </c>
      <c r="V5475" t="s">
        <v>13290</v>
      </c>
      <c r="W5475" t="s">
        <v>18715</v>
      </c>
      <c r="X5475">
        <v>12</v>
      </c>
      <c r="Y5475" t="s">
        <v>25193</v>
      </c>
      <c r="Z5475" t="s">
        <v>31805</v>
      </c>
      <c r="AA5475">
        <v>0.6192448959447483</v>
      </c>
      <c r="AB5475" t="str">
        <f>HYPERLINK("Melting_Curves/meltCurve_Q9BW71_HIRIP3.pdf", "Melting_Curves/meltCurve_Q9BW71_HIRIP3.pdf")</f>
        <v>Melting_Curves/meltCurve_Q9BW71_HIRIP3.pdf</v>
      </c>
    </row>
    <row r="5476" spans="1:28" x14ac:dyDescent="0.25">
      <c r="A5476" t="s">
        <v>5480</v>
      </c>
      <c r="B5476">
        <v>0.99252571173614901</v>
      </c>
      <c r="C5476">
        <v>1.0347321132223599</v>
      </c>
      <c r="D5476">
        <v>0.91927927056449699</v>
      </c>
      <c r="E5476">
        <v>0.84356933275850698</v>
      </c>
      <c r="F5476">
        <v>0.76159963876643599</v>
      </c>
      <c r="G5476">
        <v>0.49018465485955898</v>
      </c>
      <c r="H5476">
        <v>0.196677566125318</v>
      </c>
      <c r="I5476">
        <v>0.100421376360274</v>
      </c>
      <c r="J5476">
        <v>7.5866778609939997E-2</v>
      </c>
      <c r="K5476">
        <v>6.9269038795411894E-2</v>
      </c>
      <c r="L5476">
        <v>919.17651462756498</v>
      </c>
      <c r="M5476">
        <v>16.323571081434501</v>
      </c>
      <c r="N5476">
        <v>56.325567612694499</v>
      </c>
      <c r="O5476">
        <v>55.485005201285297</v>
      </c>
      <c r="P5476">
        <v>-7.3386777312547904E-2</v>
      </c>
      <c r="Q5476">
        <v>2.28406551622237E-3</v>
      </c>
      <c r="R5476">
        <v>0.99130352098613195</v>
      </c>
      <c r="S5476" t="s">
        <v>12122</v>
      </c>
      <c r="T5476" t="s">
        <v>13290</v>
      </c>
      <c r="U5476" t="s">
        <v>13290</v>
      </c>
      <c r="V5476" t="s">
        <v>13290</v>
      </c>
      <c r="W5476" t="s">
        <v>18716</v>
      </c>
      <c r="X5476">
        <v>6</v>
      </c>
      <c r="Y5476" t="s">
        <v>25194</v>
      </c>
      <c r="Z5476" t="s">
        <v>31806</v>
      </c>
      <c r="AA5476">
        <v>0.56065465915003143</v>
      </c>
      <c r="AB5476" t="str">
        <f>HYPERLINK("Melting_Curves/meltCurve_Q9BW83_IFT27.pdf", "Melting_Curves/meltCurve_Q9BW83_IFT27.pdf")</f>
        <v>Melting_Curves/meltCurve_Q9BW83_IFT27.pdf</v>
      </c>
    </row>
    <row r="5477" spans="1:28" x14ac:dyDescent="0.25">
      <c r="A5477" t="s">
        <v>5481</v>
      </c>
      <c r="B5477">
        <v>0.99252571173614901</v>
      </c>
      <c r="C5477">
        <v>1.0758954798729099</v>
      </c>
      <c r="D5477">
        <v>0.97816194875468698</v>
      </c>
      <c r="E5477">
        <v>0.77949940532293704</v>
      </c>
      <c r="F5477">
        <v>0.47251609972997699</v>
      </c>
      <c r="G5477">
        <v>0.29263006377614897</v>
      </c>
      <c r="H5477">
        <v>0.18940056375915901</v>
      </c>
      <c r="I5477">
        <v>0.162576738243181</v>
      </c>
      <c r="J5477">
        <v>0.17266325572340799</v>
      </c>
      <c r="K5477">
        <v>0.157821288044872</v>
      </c>
      <c r="L5477">
        <v>1178.22153618225</v>
      </c>
      <c r="M5477">
        <v>22.6444092194135</v>
      </c>
      <c r="N5477">
        <v>52.943741116515604</v>
      </c>
      <c r="O5477">
        <v>51.630767358993801</v>
      </c>
      <c r="P5477">
        <v>-9.1935928011126905E-2</v>
      </c>
      <c r="Q5477">
        <v>0.161536438773876</v>
      </c>
      <c r="R5477">
        <v>0.993992684173719</v>
      </c>
      <c r="S5477" t="s">
        <v>12123</v>
      </c>
      <c r="T5477" t="s">
        <v>13290</v>
      </c>
      <c r="U5477" t="s">
        <v>13290</v>
      </c>
      <c r="V5477" t="s">
        <v>13290</v>
      </c>
      <c r="W5477" t="s">
        <v>18717</v>
      </c>
      <c r="X5477">
        <v>21</v>
      </c>
      <c r="Y5477" t="s">
        <v>25195</v>
      </c>
      <c r="Z5477" t="s">
        <v>31807</v>
      </c>
      <c r="AA5477">
        <v>0.50704089474800962</v>
      </c>
      <c r="AB5477" t="str">
        <f>HYPERLINK("Melting_Curves/meltCurve_Q9BW85_CCDC94.pdf", "Melting_Curves/meltCurve_Q9BW85_CCDC94.pdf")</f>
        <v>Melting_Curves/meltCurve_Q9BW85_CCDC94.pdf</v>
      </c>
    </row>
    <row r="5478" spans="1:28" x14ac:dyDescent="0.25">
      <c r="A5478" t="s">
        <v>5482</v>
      </c>
      <c r="B5478">
        <v>0.99252571173614901</v>
      </c>
      <c r="C5478">
        <v>1.0396688498639</v>
      </c>
      <c r="D5478">
        <v>0.94789689492993001</v>
      </c>
      <c r="E5478">
        <v>0.65681308679913197</v>
      </c>
      <c r="F5478">
        <v>0.19410517739691999</v>
      </c>
      <c r="G5478">
        <v>0.10600635126204699</v>
      </c>
      <c r="H5478">
        <v>5.8735810642559998E-2</v>
      </c>
      <c r="I5478">
        <v>5.2994767305948001E-2</v>
      </c>
      <c r="J5478">
        <v>6.8428207317413003E-2</v>
      </c>
      <c r="K5478">
        <v>7.7117379585876E-2</v>
      </c>
      <c r="L5478">
        <v>1680.4909137949001</v>
      </c>
      <c r="M5478">
        <v>33.359506607694001</v>
      </c>
      <c r="N5478">
        <v>50.591391758707601</v>
      </c>
      <c r="O5478">
        <v>50.195159884258501</v>
      </c>
      <c r="P5478">
        <v>-0.15511112144528799</v>
      </c>
      <c r="Q5478">
        <v>6.6437266793836797E-2</v>
      </c>
      <c r="R5478">
        <v>0.998277229873612</v>
      </c>
      <c r="S5478" t="s">
        <v>12124</v>
      </c>
      <c r="T5478" t="s">
        <v>13290</v>
      </c>
      <c r="U5478" t="s">
        <v>13290</v>
      </c>
      <c r="V5478" t="s">
        <v>13290</v>
      </c>
      <c r="W5478" t="s">
        <v>18718</v>
      </c>
      <c r="X5478">
        <v>9</v>
      </c>
      <c r="Y5478" t="s">
        <v>25196</v>
      </c>
      <c r="Z5478" t="s">
        <v>31808</v>
      </c>
      <c r="AA5478">
        <v>0.39398955573841832</v>
      </c>
      <c r="AB5478" t="str">
        <f>HYPERLINK("Melting_Curves/meltCurve_Q9BW91_2_NUDT9.pdf", "Melting_Curves/meltCurve_Q9BW91_2_NUDT9.pdf")</f>
        <v>Melting_Curves/meltCurve_Q9BW91_2_NUDT9.pdf</v>
      </c>
    </row>
    <row r="5479" spans="1:28" x14ac:dyDescent="0.25">
      <c r="A5479" t="s">
        <v>5483</v>
      </c>
      <c r="B5479">
        <v>0.99252571173614901</v>
      </c>
      <c r="C5479">
        <v>0.89848776441199896</v>
      </c>
      <c r="D5479">
        <v>0.88888368643086302</v>
      </c>
      <c r="E5479">
        <v>0.80631359419947002</v>
      </c>
      <c r="F5479">
        <v>0.348454559358154</v>
      </c>
      <c r="G5479">
        <v>0.14201423652696499</v>
      </c>
      <c r="H5479">
        <v>9.5494145754735194E-2</v>
      </c>
      <c r="I5479">
        <v>0.107887305088261</v>
      </c>
      <c r="J5479">
        <v>0.114862596023918</v>
      </c>
      <c r="K5479">
        <v>9.1325531048113501E-2</v>
      </c>
      <c r="L5479">
        <v>1466.85202586938</v>
      </c>
      <c r="M5479">
        <v>28.463019363954</v>
      </c>
      <c r="N5479">
        <v>51.917959873161401</v>
      </c>
      <c r="O5479">
        <v>51.282986336923997</v>
      </c>
      <c r="P5479">
        <v>-0.12562851013347801</v>
      </c>
      <c r="Q5479">
        <v>9.4607167307803802E-2</v>
      </c>
      <c r="R5479">
        <v>0.98690993413759098</v>
      </c>
      <c r="S5479" t="s">
        <v>12125</v>
      </c>
      <c r="T5479" t="s">
        <v>13290</v>
      </c>
      <c r="U5479" t="s">
        <v>13290</v>
      </c>
      <c r="V5479" t="s">
        <v>13290</v>
      </c>
      <c r="W5479" t="s">
        <v>18719</v>
      </c>
      <c r="X5479">
        <v>16</v>
      </c>
      <c r="Y5479" t="s">
        <v>25197</v>
      </c>
      <c r="Z5479" t="s">
        <v>31809</v>
      </c>
      <c r="AA5479">
        <v>0.44911677870357758</v>
      </c>
      <c r="AB5479" t="str">
        <f>HYPERLINK("Melting_Curves/meltCurve_Q9BW92_TARS2.pdf", "Melting_Curves/meltCurve_Q9BW92_TARS2.pdf")</f>
        <v>Melting_Curves/meltCurve_Q9BW92_TARS2.pdf</v>
      </c>
    </row>
    <row r="5480" spans="1:28" x14ac:dyDescent="0.25">
      <c r="A5480" t="s">
        <v>5484</v>
      </c>
      <c r="B5480">
        <v>0.99252571173614901</v>
      </c>
      <c r="C5480">
        <v>1.0194852379427299</v>
      </c>
      <c r="D5480">
        <v>1.09246942629155</v>
      </c>
      <c r="E5480">
        <v>1.1218334121690501</v>
      </c>
      <c r="F5480">
        <v>1.0688881415476901</v>
      </c>
      <c r="G5480">
        <v>0.84682833034911797</v>
      </c>
      <c r="H5480">
        <v>0.862421753203927</v>
      </c>
      <c r="I5480">
        <v>0.43186928581367101</v>
      </c>
      <c r="J5480">
        <v>0.15931909879856099</v>
      </c>
      <c r="K5480">
        <v>0.16336722006746801</v>
      </c>
      <c r="L5480">
        <v>2681.6237417911502</v>
      </c>
      <c r="M5480">
        <v>42.543719016592597</v>
      </c>
      <c r="N5480">
        <v>63.469670247977099</v>
      </c>
      <c r="O5480">
        <v>62.893399906097798</v>
      </c>
      <c r="P5480">
        <v>-0.14762079556211199</v>
      </c>
      <c r="Q5480">
        <v>0.12707596726649001</v>
      </c>
      <c r="R5480">
        <v>0.96048856316773901</v>
      </c>
      <c r="S5480" t="s">
        <v>12126</v>
      </c>
      <c r="T5480" t="s">
        <v>13290</v>
      </c>
      <c r="U5480" t="s">
        <v>13290</v>
      </c>
      <c r="V5480" t="s">
        <v>13290</v>
      </c>
      <c r="W5480" t="s">
        <v>18720</v>
      </c>
      <c r="X5480">
        <v>28</v>
      </c>
      <c r="Y5480" t="s">
        <v>25198</v>
      </c>
      <c r="Z5480" t="s">
        <v>31810</v>
      </c>
      <c r="AA5480">
        <v>0.79980586896331773</v>
      </c>
      <c r="AB5480" t="str">
        <f>HYPERLINK("Melting_Curves/meltCurve_Q9BWD1_ACAT2.pdf", "Melting_Curves/meltCurve_Q9BWD1_ACAT2.pdf")</f>
        <v>Melting_Curves/meltCurve_Q9BWD1_ACAT2.pdf</v>
      </c>
    </row>
    <row r="5481" spans="1:28" x14ac:dyDescent="0.25">
      <c r="A5481" t="s">
        <v>5485</v>
      </c>
      <c r="B5481">
        <v>0.99252571173614901</v>
      </c>
      <c r="C5481">
        <v>1.0054618766849099</v>
      </c>
      <c r="D5481">
        <v>0.86037258755603097</v>
      </c>
      <c r="E5481">
        <v>0.90528770501505396</v>
      </c>
      <c r="F5481">
        <v>0.67970946187796499</v>
      </c>
      <c r="G5481">
        <v>0.41206950175985102</v>
      </c>
      <c r="H5481">
        <v>0.34769268469898801</v>
      </c>
      <c r="I5481">
        <v>0.357611063445055</v>
      </c>
      <c r="J5481">
        <v>0.57805188438700905</v>
      </c>
      <c r="K5481">
        <v>0.61808120204827099</v>
      </c>
      <c r="L5481">
        <v>1843.0150395728499</v>
      </c>
      <c r="M5481">
        <v>35.324735585324802</v>
      </c>
      <c r="N5481">
        <v>56.244390163320602</v>
      </c>
      <c r="O5481">
        <v>52.007145477060597</v>
      </c>
      <c r="P5481">
        <v>-9.1488617787979107E-2</v>
      </c>
      <c r="Q5481">
        <v>0.46122225324411098</v>
      </c>
      <c r="R5481">
        <v>0.84842893254446605</v>
      </c>
      <c r="S5481" t="s">
        <v>12127</v>
      </c>
      <c r="T5481" t="s">
        <v>13290</v>
      </c>
      <c r="U5481" t="s">
        <v>13290</v>
      </c>
      <c r="V5481" t="s">
        <v>13290</v>
      </c>
      <c r="W5481" t="s">
        <v>18721</v>
      </c>
      <c r="X5481">
        <v>3</v>
      </c>
      <c r="Y5481" t="s">
        <v>25199</v>
      </c>
      <c r="Z5481" t="s">
        <v>31811</v>
      </c>
      <c r="AA5481">
        <v>0.68234157601009804</v>
      </c>
      <c r="AB5481" t="str">
        <f>HYPERLINK("Melting_Curves/meltCurve_Q9BWE0_REPIN1.pdf", "Melting_Curves/meltCurve_Q9BWE0_REPIN1.pdf")</f>
        <v>Melting_Curves/meltCurve_Q9BWE0_REPIN1.pdf</v>
      </c>
    </row>
    <row r="5482" spans="1:28" x14ac:dyDescent="0.25">
      <c r="A5482" t="s">
        <v>5486</v>
      </c>
      <c r="B5482">
        <v>0.99252571173614901</v>
      </c>
      <c r="C5482">
        <v>0.79067920884354304</v>
      </c>
      <c r="D5482">
        <v>0.48615581540692698</v>
      </c>
      <c r="E5482">
        <v>0.256529548308707</v>
      </c>
      <c r="F5482">
        <v>0.12381657040982599</v>
      </c>
      <c r="G5482">
        <v>7.3522921787116099E-2</v>
      </c>
      <c r="H5482">
        <v>6.1398140056992401E-2</v>
      </c>
      <c r="I5482">
        <v>6.9188829102917501E-2</v>
      </c>
      <c r="J5482">
        <v>8.3413960478007199E-2</v>
      </c>
      <c r="K5482">
        <v>8.9183912649409003E-2</v>
      </c>
      <c r="L5482">
        <v>920.346558360534</v>
      </c>
      <c r="M5482">
        <v>20.155183908635301</v>
      </c>
      <c r="N5482">
        <v>46.022060527248399</v>
      </c>
      <c r="O5482">
        <v>45.220637870513997</v>
      </c>
      <c r="P5482">
        <v>-0.103324207829604</v>
      </c>
      <c r="Q5482">
        <v>7.2746960207083503E-2</v>
      </c>
      <c r="R5482">
        <v>0.99619702735904203</v>
      </c>
      <c r="S5482" t="s">
        <v>12128</v>
      </c>
      <c r="T5482" t="s">
        <v>13290</v>
      </c>
      <c r="U5482" t="s">
        <v>13290</v>
      </c>
      <c r="V5482" t="s">
        <v>13290</v>
      </c>
      <c r="W5482" t="s">
        <v>18722</v>
      </c>
      <c r="X5482">
        <v>17</v>
      </c>
      <c r="Y5482" t="s">
        <v>25200</v>
      </c>
      <c r="Z5482" t="s">
        <v>31812</v>
      </c>
      <c r="AA5482">
        <v>0.26223258717569092</v>
      </c>
      <c r="AB5482" t="str">
        <f>HYPERLINK("Melting_Curves/meltCurve_Q9BWF3_RBM4.pdf", "Melting_Curves/meltCurve_Q9BWF3_RBM4.pdf")</f>
        <v>Melting_Curves/meltCurve_Q9BWF3_RBM4.pdf</v>
      </c>
    </row>
    <row r="5483" spans="1:28" x14ac:dyDescent="0.25">
      <c r="A5483" t="s">
        <v>5487</v>
      </c>
      <c r="B5483">
        <v>0.99252571173614901</v>
      </c>
      <c r="C5483">
        <v>0.97038368619446502</v>
      </c>
      <c r="D5483">
        <v>0.90361718045279804</v>
      </c>
      <c r="E5483">
        <v>1.00424846087769</v>
      </c>
      <c r="F5483">
        <v>0.85577741260031104</v>
      </c>
      <c r="G5483">
        <v>0.837810543413534</v>
      </c>
      <c r="H5483">
        <v>0.75724042335143005</v>
      </c>
      <c r="I5483">
        <v>0.96743096466687395</v>
      </c>
      <c r="J5483">
        <v>1.6050306182069001</v>
      </c>
      <c r="K5483">
        <v>1.4458605756448999</v>
      </c>
      <c r="L5483">
        <v>15000</v>
      </c>
      <c r="M5483">
        <v>229.50237706133501</v>
      </c>
      <c r="O5483">
        <v>65.353837964525098</v>
      </c>
      <c r="P5483">
        <v>0.438961174795655</v>
      </c>
      <c r="Q5483">
        <v>1.5</v>
      </c>
      <c r="R5483">
        <v>0.80341601723385703</v>
      </c>
      <c r="S5483" t="s">
        <v>12129</v>
      </c>
      <c r="T5483" t="s">
        <v>13290</v>
      </c>
      <c r="U5483" t="s">
        <v>13290</v>
      </c>
      <c r="V5483" t="s">
        <v>13290</v>
      </c>
      <c r="W5483" t="s">
        <v>18723</v>
      </c>
      <c r="X5483">
        <v>9</v>
      </c>
      <c r="Y5483" t="s">
        <v>25201</v>
      </c>
      <c r="Z5483" t="s">
        <v>31813</v>
      </c>
      <c r="AA5483">
        <v>1.0772852752136579</v>
      </c>
      <c r="AB5483" t="str">
        <f>HYPERLINK("Melting_Curves/meltCurve_Q9BWH2_FUNDC2.pdf", "Melting_Curves/meltCurve_Q9BWH2_FUNDC2.pdf")</f>
        <v>Melting_Curves/meltCurve_Q9BWH2_FUNDC2.pdf</v>
      </c>
    </row>
    <row r="5484" spans="1:28" x14ac:dyDescent="0.25">
      <c r="A5484" t="s">
        <v>5488</v>
      </c>
      <c r="B5484">
        <v>0.99252571173614901</v>
      </c>
      <c r="C5484">
        <v>1.1743463080801699</v>
      </c>
      <c r="D5484">
        <v>1.0596754818893499</v>
      </c>
      <c r="E5484">
        <v>0.91180422645780601</v>
      </c>
      <c r="F5484">
        <v>0.54484046194371905</v>
      </c>
      <c r="G5484">
        <v>0.353882811996933</v>
      </c>
      <c r="H5484">
        <v>0.38432997726414497</v>
      </c>
      <c r="I5484">
        <v>0.50001227590495201</v>
      </c>
      <c r="J5484">
        <v>0.93815784945122405</v>
      </c>
      <c r="K5484">
        <v>0.77714899083099298</v>
      </c>
      <c r="L5484">
        <v>12465.259427666901</v>
      </c>
      <c r="M5484">
        <v>250</v>
      </c>
      <c r="O5484">
        <v>49.857869427581299</v>
      </c>
      <c r="P5484">
        <v>-0.52265838290427702</v>
      </c>
      <c r="Q5484">
        <v>0.58306205269782496</v>
      </c>
      <c r="R5484">
        <v>0.62280554865597504</v>
      </c>
      <c r="S5484" t="s">
        <v>12130</v>
      </c>
      <c r="T5484" t="s">
        <v>13290</v>
      </c>
      <c r="U5484" t="s">
        <v>13290</v>
      </c>
      <c r="V5484" t="s">
        <v>13290</v>
      </c>
      <c r="W5484" t="s">
        <v>18724</v>
      </c>
      <c r="X5484">
        <v>3</v>
      </c>
      <c r="Y5484" t="s">
        <v>25202</v>
      </c>
      <c r="Z5484" t="s">
        <v>31814</v>
      </c>
      <c r="AA5484">
        <v>0.72014656437532232</v>
      </c>
      <c r="AB5484" t="str">
        <f>HYPERLINK("Melting_Curves/meltCurve_Q9BWH6_RPAP1.pdf", "Melting_Curves/meltCurve_Q9BWH6_RPAP1.pdf")</f>
        <v>Melting_Curves/meltCurve_Q9BWH6_RPAP1.pdf</v>
      </c>
    </row>
    <row r="5485" spans="1:28" x14ac:dyDescent="0.25">
      <c r="A5485" t="s">
        <v>5489</v>
      </c>
      <c r="B5485">
        <v>0.99252571173614901</v>
      </c>
      <c r="C5485">
        <v>0.97038949677723396</v>
      </c>
      <c r="D5485">
        <v>1.08869957966395</v>
      </c>
      <c r="E5485">
        <v>1.4552551352407199</v>
      </c>
      <c r="F5485">
        <v>1.2279104104085601</v>
      </c>
      <c r="G5485">
        <v>0.50647533708630799</v>
      </c>
      <c r="H5485">
        <v>0.40809826315161202</v>
      </c>
      <c r="I5485">
        <v>0.44301601330463702</v>
      </c>
      <c r="J5485">
        <v>0.70367805855742405</v>
      </c>
      <c r="K5485">
        <v>0.94727449862533197</v>
      </c>
      <c r="L5485">
        <v>4832.3888529691803</v>
      </c>
      <c r="M5485">
        <v>87.555675029374001</v>
      </c>
      <c r="O5485">
        <v>55.163410653329798</v>
      </c>
      <c r="P5485">
        <v>-0.15906187078773101</v>
      </c>
      <c r="Q5485">
        <v>0.59913989109231403</v>
      </c>
      <c r="R5485">
        <v>0.56263051067812997</v>
      </c>
      <c r="S5485" t="s">
        <v>12131</v>
      </c>
      <c r="T5485" t="s">
        <v>13290</v>
      </c>
      <c r="U5485" t="s">
        <v>13290</v>
      </c>
      <c r="V5485" t="s">
        <v>13290</v>
      </c>
      <c r="W5485" t="s">
        <v>18725</v>
      </c>
      <c r="X5485">
        <v>4</v>
      </c>
      <c r="Y5485" t="s">
        <v>25203</v>
      </c>
      <c r="Z5485" t="s">
        <v>31815</v>
      </c>
      <c r="AA5485">
        <v>0.80245495961241475</v>
      </c>
      <c r="AB5485" t="str">
        <f>HYPERLINK("Melting_Curves/meltCurve_Q9BWJ5_SF3B5.pdf", "Melting_Curves/meltCurve_Q9BWJ5_SF3B5.pdf")</f>
        <v>Melting_Curves/meltCurve_Q9BWJ5_SF3B5.pdf</v>
      </c>
    </row>
    <row r="5486" spans="1:28" x14ac:dyDescent="0.25">
      <c r="A5486" t="s">
        <v>5490</v>
      </c>
      <c r="B5486">
        <v>0.99252571173614901</v>
      </c>
      <c r="C5486">
        <v>0.89778473715431495</v>
      </c>
      <c r="D5486">
        <v>0.79569855539291401</v>
      </c>
      <c r="E5486">
        <v>0.78249570304833405</v>
      </c>
      <c r="F5486">
        <v>0.57798004565512495</v>
      </c>
      <c r="G5486">
        <v>0.28245122895122199</v>
      </c>
      <c r="H5486">
        <v>0.17514655677457</v>
      </c>
      <c r="I5486">
        <v>0.17182050746028599</v>
      </c>
      <c r="J5486">
        <v>0.205370023304148</v>
      </c>
      <c r="K5486">
        <v>0.20190403128475201</v>
      </c>
      <c r="L5486">
        <v>723.20846917362496</v>
      </c>
      <c r="M5486">
        <v>13.841453788118001</v>
      </c>
      <c r="N5486">
        <v>53.411645320281899</v>
      </c>
      <c r="O5486">
        <v>51.195075817219298</v>
      </c>
      <c r="P5486">
        <v>-5.8811170469991798E-2</v>
      </c>
      <c r="Q5486">
        <v>0.13002611257075999</v>
      </c>
      <c r="R5486">
        <v>0.968033778724262</v>
      </c>
      <c r="S5486" t="s">
        <v>12132</v>
      </c>
      <c r="T5486" t="s">
        <v>13290</v>
      </c>
      <c r="U5486" t="s">
        <v>13290</v>
      </c>
      <c r="V5486" t="s">
        <v>13290</v>
      </c>
      <c r="W5486" t="s">
        <v>18726</v>
      </c>
      <c r="X5486">
        <v>4</v>
      </c>
      <c r="Y5486" t="s">
        <v>25204</v>
      </c>
      <c r="Z5486" t="s">
        <v>31816</v>
      </c>
      <c r="AA5486">
        <v>0.50691235025876191</v>
      </c>
      <c r="AB5486" t="str">
        <f>HYPERLINK("Melting_Curves/meltCurve_Q9BWM7_SFXN3.pdf", "Melting_Curves/meltCurve_Q9BWM7_SFXN3.pdf")</f>
        <v>Melting_Curves/meltCurve_Q9BWM7_SFXN3.pdf</v>
      </c>
    </row>
    <row r="5487" spans="1:28" x14ac:dyDescent="0.25">
      <c r="A5487" t="s">
        <v>5491</v>
      </c>
      <c r="B5487">
        <v>0.99252571173614901</v>
      </c>
      <c r="C5487">
        <v>0.82331817345275904</v>
      </c>
      <c r="D5487">
        <v>0.44452073097539102</v>
      </c>
      <c r="E5487">
        <v>0.25868437375898601</v>
      </c>
      <c r="F5487">
        <v>0.20697267992826801</v>
      </c>
      <c r="G5487">
        <v>0.12406568076742</v>
      </c>
      <c r="H5487">
        <v>0.109741830484161</v>
      </c>
      <c r="I5487">
        <v>0.124650247406353</v>
      </c>
      <c r="J5487">
        <v>0.117438872176893</v>
      </c>
      <c r="K5487">
        <v>0.109969734216215</v>
      </c>
      <c r="L5487">
        <v>1050.9358489098199</v>
      </c>
      <c r="M5487">
        <v>23.233448793269702</v>
      </c>
      <c r="N5487">
        <v>45.814205215173601</v>
      </c>
      <c r="O5487">
        <v>44.902652074965999</v>
      </c>
      <c r="P5487">
        <v>-0.11286417217164101</v>
      </c>
      <c r="Q5487">
        <v>0.127498076364084</v>
      </c>
      <c r="R5487">
        <v>0.99218640742911901</v>
      </c>
      <c r="S5487" t="s">
        <v>12133</v>
      </c>
      <c r="T5487" t="s">
        <v>13290</v>
      </c>
      <c r="U5487" t="s">
        <v>13290</v>
      </c>
      <c r="V5487" t="s">
        <v>13290</v>
      </c>
      <c r="W5487" t="s">
        <v>18727</v>
      </c>
      <c r="X5487">
        <v>6</v>
      </c>
      <c r="Y5487" t="s">
        <v>25205</v>
      </c>
      <c r="Z5487" t="s">
        <v>31817</v>
      </c>
      <c r="AA5487">
        <v>0.28983249987542098</v>
      </c>
      <c r="AB5487" t="str">
        <f>HYPERLINK("Melting_Curves/meltCurve_Q9BWT3_PAPOLG.pdf", "Melting_Curves/meltCurve_Q9BWT3_PAPOLG.pdf")</f>
        <v>Melting_Curves/meltCurve_Q9BWT3_PAPOLG.pdf</v>
      </c>
    </row>
    <row r="5488" spans="1:28" x14ac:dyDescent="0.25">
      <c r="A5488" t="s">
        <v>5492</v>
      </c>
      <c r="B5488">
        <v>0.99252571173614901</v>
      </c>
      <c r="C5488">
        <v>1.07263073185631</v>
      </c>
      <c r="D5488">
        <v>0.91546318389395398</v>
      </c>
      <c r="E5488">
        <v>0.75460475890742595</v>
      </c>
      <c r="F5488">
        <v>0.37665446595986901</v>
      </c>
      <c r="G5488">
        <v>0.19080393596248099</v>
      </c>
      <c r="H5488">
        <v>0.12706600204850499</v>
      </c>
      <c r="I5488">
        <v>0.11858422597</v>
      </c>
      <c r="J5488">
        <v>0.13468783638804299</v>
      </c>
      <c r="K5488">
        <v>0.147316304603757</v>
      </c>
      <c r="L5488">
        <v>1318.4303417289</v>
      </c>
      <c r="M5488">
        <v>25.692233813858898</v>
      </c>
      <c r="N5488">
        <v>51.901339188520801</v>
      </c>
      <c r="O5488">
        <v>51.008438178262502</v>
      </c>
      <c r="P5488">
        <v>-0.110091806544844</v>
      </c>
      <c r="Q5488">
        <v>0.12572127635952399</v>
      </c>
      <c r="R5488">
        <v>0.99393247527345296</v>
      </c>
      <c r="S5488" t="s">
        <v>12134</v>
      </c>
      <c r="T5488" t="s">
        <v>13290</v>
      </c>
      <c r="U5488" t="s">
        <v>13290</v>
      </c>
      <c r="V5488" t="s">
        <v>13290</v>
      </c>
      <c r="W5488" t="s">
        <v>18728</v>
      </c>
      <c r="X5488">
        <v>20</v>
      </c>
      <c r="Y5488" t="s">
        <v>25206</v>
      </c>
      <c r="Z5488" t="s">
        <v>31818</v>
      </c>
      <c r="AA5488">
        <v>0.46302038025934672</v>
      </c>
      <c r="AB5488" t="str">
        <f>HYPERLINK("Melting_Curves/meltCurve_Q9BWU0_SLC4A1AP.pdf", "Melting_Curves/meltCurve_Q9BWU0_SLC4A1AP.pdf")</f>
        <v>Melting_Curves/meltCurve_Q9BWU0_SLC4A1AP.pdf</v>
      </c>
    </row>
    <row r="5489" spans="1:28" x14ac:dyDescent="0.25">
      <c r="A5489" t="s">
        <v>5493</v>
      </c>
      <c r="B5489">
        <v>0.99252571173614901</v>
      </c>
      <c r="C5489">
        <v>0.96744416917738096</v>
      </c>
      <c r="D5489">
        <v>0.737778363590187</v>
      </c>
      <c r="E5489">
        <v>0.43969733742131301</v>
      </c>
      <c r="F5489">
        <v>0.234025945650633</v>
      </c>
      <c r="G5489">
        <v>0.134672402093509</v>
      </c>
      <c r="H5489">
        <v>9.62222300722234E-2</v>
      </c>
      <c r="I5489">
        <v>0.11424642407416501</v>
      </c>
      <c r="J5489">
        <v>0.12771721658211799</v>
      </c>
      <c r="K5489">
        <v>0.12055253435069301</v>
      </c>
      <c r="L5489">
        <v>996.60123666562095</v>
      </c>
      <c r="M5489">
        <v>20.661677367427298</v>
      </c>
      <c r="N5489">
        <v>48.816766673340602</v>
      </c>
      <c r="O5489">
        <v>47.7892737755949</v>
      </c>
      <c r="P5489">
        <v>-9.6282068804079898E-2</v>
      </c>
      <c r="Q5489">
        <v>0.109245892025798</v>
      </c>
      <c r="R5489">
        <v>0.99763524485402599</v>
      </c>
      <c r="S5489" t="s">
        <v>12135</v>
      </c>
      <c r="T5489" t="s">
        <v>13290</v>
      </c>
      <c r="U5489" t="s">
        <v>13290</v>
      </c>
      <c r="V5489" t="s">
        <v>13290</v>
      </c>
      <c r="W5489" t="s">
        <v>18729</v>
      </c>
      <c r="X5489">
        <v>5</v>
      </c>
      <c r="Y5489" t="s">
        <v>25207</v>
      </c>
      <c r="Z5489" t="s">
        <v>31819</v>
      </c>
      <c r="AA5489">
        <v>0.3655056464385455</v>
      </c>
      <c r="AB5489" t="str">
        <f>HYPERLINK("Melting_Curves/meltCurve_Q9BX40_LSM14B.pdf", "Melting_Curves/meltCurve_Q9BX40_LSM14B.pdf")</f>
        <v>Melting_Curves/meltCurve_Q9BX40_LSM14B.pdf</v>
      </c>
    </row>
    <row r="5490" spans="1:28" x14ac:dyDescent="0.25">
      <c r="A5490" t="s">
        <v>5494</v>
      </c>
      <c r="B5490">
        <v>0.99252571173614901</v>
      </c>
      <c r="C5490">
        <v>1.0104182079698301</v>
      </c>
      <c r="D5490">
        <v>0.95057779181731095</v>
      </c>
      <c r="E5490">
        <v>0.85123263369570301</v>
      </c>
      <c r="F5490">
        <v>0.455306178488392</v>
      </c>
      <c r="G5490">
        <v>0.250111387044816</v>
      </c>
      <c r="H5490">
        <v>0.209356068321504</v>
      </c>
      <c r="I5490">
        <v>0.26276012904368801</v>
      </c>
      <c r="J5490">
        <v>0.37158975969403202</v>
      </c>
      <c r="K5490">
        <v>0.38585967857957099</v>
      </c>
      <c r="L5490">
        <v>1988.3331249622699</v>
      </c>
      <c r="M5490">
        <v>38.735948545781802</v>
      </c>
      <c r="N5490">
        <v>52.539215386916197</v>
      </c>
      <c r="O5490">
        <v>51.194203302006898</v>
      </c>
      <c r="P5490">
        <v>-0.13337417407392399</v>
      </c>
      <c r="Q5490">
        <v>0.29492177589912499</v>
      </c>
      <c r="R5490">
        <v>0.97152025895362903</v>
      </c>
      <c r="S5490" t="s">
        <v>12136</v>
      </c>
      <c r="T5490" t="s">
        <v>13290</v>
      </c>
      <c r="U5490" t="s">
        <v>13290</v>
      </c>
      <c r="V5490" t="s">
        <v>13290</v>
      </c>
      <c r="W5490" t="s">
        <v>18730</v>
      </c>
      <c r="X5490">
        <v>8</v>
      </c>
      <c r="Y5490" t="s">
        <v>25208</v>
      </c>
      <c r="Z5490" t="s">
        <v>31820</v>
      </c>
      <c r="AA5490">
        <v>0.56388481787710587</v>
      </c>
      <c r="AB5490" t="str">
        <f>HYPERLINK("Melting_Curves/meltCurve_Q9BX66_9_SORBS1.pdf", "Melting_Curves/meltCurve_Q9BX66_9_SORBS1.pdf")</f>
        <v>Melting_Curves/meltCurve_Q9BX66_9_SORBS1.pdf</v>
      </c>
    </row>
    <row r="5491" spans="1:28" x14ac:dyDescent="0.25">
      <c r="A5491" t="s">
        <v>5495</v>
      </c>
      <c r="B5491">
        <v>0.99252571173614901</v>
      </c>
      <c r="C5491">
        <v>1.1457724145666</v>
      </c>
      <c r="D5491">
        <v>1.01866712276656</v>
      </c>
      <c r="E5491">
        <v>1.00822424138615</v>
      </c>
      <c r="F5491">
        <v>0.84755318482234399</v>
      </c>
      <c r="G5491">
        <v>0.53351876861938696</v>
      </c>
      <c r="H5491">
        <v>0.29667152506913802</v>
      </c>
      <c r="I5491">
        <v>0.22139667004088801</v>
      </c>
      <c r="J5491">
        <v>0.27094225279315398</v>
      </c>
      <c r="K5491">
        <v>0.237419478752281</v>
      </c>
      <c r="L5491">
        <v>1682.6503333692399</v>
      </c>
      <c r="M5491">
        <v>30.123379807385401</v>
      </c>
      <c r="N5491">
        <v>57.0737226486795</v>
      </c>
      <c r="O5491">
        <v>55.6141697093</v>
      </c>
      <c r="P5491">
        <v>-0.103360328289681</v>
      </c>
      <c r="Q5491">
        <v>0.236704105369408</v>
      </c>
      <c r="R5491">
        <v>0.98120847340222395</v>
      </c>
      <c r="S5491" t="s">
        <v>12137</v>
      </c>
      <c r="T5491" t="s">
        <v>13290</v>
      </c>
      <c r="U5491" t="s">
        <v>13290</v>
      </c>
      <c r="V5491" t="s">
        <v>13290</v>
      </c>
      <c r="W5491" t="s">
        <v>18731</v>
      </c>
      <c r="X5491">
        <v>9</v>
      </c>
      <c r="Y5491" t="s">
        <v>25209</v>
      </c>
      <c r="Z5491" t="s">
        <v>31821</v>
      </c>
      <c r="AA5491">
        <v>0.64524763190628298</v>
      </c>
      <c r="AB5491" t="str">
        <f>HYPERLINK("Melting_Curves/meltCurve_Q9BX68_HINT2.pdf", "Melting_Curves/meltCurve_Q9BX68_HINT2.pdf")</f>
        <v>Melting_Curves/meltCurve_Q9BX68_HINT2.pdf</v>
      </c>
    </row>
    <row r="5492" spans="1:28" x14ac:dyDescent="0.25">
      <c r="A5492" t="s">
        <v>5496</v>
      </c>
      <c r="B5492">
        <v>0.99252571173614901</v>
      </c>
      <c r="C5492">
        <v>0.96650729560586401</v>
      </c>
      <c r="D5492">
        <v>0.833886554766326</v>
      </c>
      <c r="E5492">
        <v>0.79777124959798795</v>
      </c>
      <c r="F5492">
        <v>0.55406132041089295</v>
      </c>
      <c r="G5492">
        <v>0.29940653954695701</v>
      </c>
      <c r="H5492">
        <v>0.13732310723551799</v>
      </c>
      <c r="I5492">
        <v>8.68786058524771E-2</v>
      </c>
      <c r="J5492">
        <v>0.107808257315008</v>
      </c>
      <c r="K5492">
        <v>0.167487186706404</v>
      </c>
      <c r="L5492">
        <v>855.68366774358901</v>
      </c>
      <c r="M5492">
        <v>16.166009270074401</v>
      </c>
      <c r="N5492">
        <v>53.497783942908299</v>
      </c>
      <c r="O5492">
        <v>52.140956937543201</v>
      </c>
      <c r="P5492">
        <v>-7.1416442054776097E-2</v>
      </c>
      <c r="Q5492">
        <v>7.8698540484024304E-2</v>
      </c>
      <c r="R5492">
        <v>0.98451750671605598</v>
      </c>
      <c r="S5492" t="s">
        <v>12138</v>
      </c>
      <c r="T5492" t="s">
        <v>13290</v>
      </c>
      <c r="U5492" t="s">
        <v>13290</v>
      </c>
      <c r="V5492" t="s">
        <v>13290</v>
      </c>
      <c r="W5492" t="s">
        <v>18732</v>
      </c>
      <c r="X5492">
        <v>1</v>
      </c>
      <c r="Y5492" t="s">
        <v>25210</v>
      </c>
      <c r="Z5492" t="s">
        <v>31822</v>
      </c>
      <c r="AA5492">
        <v>0.49365405875174051</v>
      </c>
      <c r="AB5492" t="str">
        <f>HYPERLINK("Melting_Curves/meltCurve_Q9BX95_SGPP1.pdf", "Melting_Curves/meltCurve_Q9BX95_SGPP1.pdf")</f>
        <v>Melting_Curves/meltCurve_Q9BX95_SGPP1.pdf</v>
      </c>
    </row>
    <row r="5493" spans="1:28" x14ac:dyDescent="0.25">
      <c r="A5493" t="s">
        <v>5497</v>
      </c>
      <c r="B5493">
        <v>0.99252571173614901</v>
      </c>
      <c r="C5493">
        <v>0.886778608975197</v>
      </c>
      <c r="D5493">
        <v>0.87526274533292103</v>
      </c>
      <c r="E5493">
        <v>0.87276118621788801</v>
      </c>
      <c r="F5493">
        <v>0.66312963877086195</v>
      </c>
      <c r="G5493">
        <v>0.55280563280875905</v>
      </c>
      <c r="H5493">
        <v>0.48132368938807901</v>
      </c>
      <c r="I5493">
        <v>0.59686512296235505</v>
      </c>
      <c r="J5493">
        <v>1.05547096438691</v>
      </c>
      <c r="K5493">
        <v>0.99518230301617205</v>
      </c>
      <c r="L5493">
        <v>907.24325957237295</v>
      </c>
      <c r="M5493">
        <v>19.9217326900853</v>
      </c>
      <c r="O5493">
        <v>45.088954595791002</v>
      </c>
      <c r="P5493">
        <v>-2.9262523493291399E-2</v>
      </c>
      <c r="Q5493">
        <v>0.73508871461219605</v>
      </c>
      <c r="R5493">
        <v>0.18938501715317901</v>
      </c>
      <c r="S5493" t="s">
        <v>12139</v>
      </c>
      <c r="T5493" t="s">
        <v>13290</v>
      </c>
      <c r="U5493" t="s">
        <v>13290</v>
      </c>
      <c r="V5493" t="s">
        <v>13290</v>
      </c>
      <c r="W5493" t="s">
        <v>18733</v>
      </c>
      <c r="X5493">
        <v>3</v>
      </c>
      <c r="Y5493" t="s">
        <v>25211</v>
      </c>
      <c r="Z5493" t="s">
        <v>31823</v>
      </c>
      <c r="AA5493">
        <v>0.78829856006362042</v>
      </c>
      <c r="AB5493" t="str">
        <f>HYPERLINK("Melting_Curves/meltCurve_Q9BXH1_2_BBC3.pdf", "Melting_Curves/meltCurve_Q9BXH1_2_BBC3.pdf")</f>
        <v>Melting_Curves/meltCurve_Q9BXH1_2_BBC3.pdf</v>
      </c>
    </row>
    <row r="5494" spans="1:28" x14ac:dyDescent="0.25">
      <c r="A5494" t="s">
        <v>5498</v>
      </c>
      <c r="B5494">
        <v>0.99252571173614901</v>
      </c>
      <c r="C5494">
        <v>0.98598671976125996</v>
      </c>
      <c r="D5494">
        <v>0.99356217225897803</v>
      </c>
      <c r="E5494">
        <v>0.95421629346768799</v>
      </c>
      <c r="F5494">
        <v>0.46115876951381302</v>
      </c>
      <c r="G5494">
        <v>0.10025908915206</v>
      </c>
      <c r="H5494">
        <v>6.5258002241541602E-2</v>
      </c>
      <c r="I5494">
        <v>6.5852552962245403E-2</v>
      </c>
      <c r="J5494">
        <v>7.8455402739638094E-2</v>
      </c>
      <c r="K5494">
        <v>7.7374785754795797E-2</v>
      </c>
      <c r="L5494">
        <v>2467.5674274103799</v>
      </c>
      <c r="M5494">
        <v>46.709618186179398</v>
      </c>
      <c r="N5494">
        <v>52.999709336734803</v>
      </c>
      <c r="O5494">
        <v>52.731266528000099</v>
      </c>
      <c r="P5494">
        <v>-0.205885348784344</v>
      </c>
      <c r="Q5494">
        <v>7.0291451579303194E-2</v>
      </c>
      <c r="R5494">
        <v>0.99972474373722997</v>
      </c>
      <c r="S5494" t="s">
        <v>12140</v>
      </c>
      <c r="T5494" t="s">
        <v>13290</v>
      </c>
      <c r="U5494" t="s">
        <v>13290</v>
      </c>
      <c r="V5494" t="s">
        <v>13290</v>
      </c>
      <c r="W5494" t="s">
        <v>18734</v>
      </c>
      <c r="X5494">
        <v>52</v>
      </c>
      <c r="Y5494" t="s">
        <v>25212</v>
      </c>
      <c r="Z5494" t="s">
        <v>31824</v>
      </c>
      <c r="AA5494">
        <v>0.47031313105940781</v>
      </c>
      <c r="AB5494" t="str">
        <f>HYPERLINK("Melting_Curves/meltCurve_Q9BXJ9_NAA15.pdf", "Melting_Curves/meltCurve_Q9BXJ9_NAA15.pdf")</f>
        <v>Melting_Curves/meltCurve_Q9BXJ9_NAA15.pdf</v>
      </c>
    </row>
    <row r="5495" spans="1:28" x14ac:dyDescent="0.25">
      <c r="A5495" t="s">
        <v>5499</v>
      </c>
      <c r="B5495">
        <v>0.99252571173614901</v>
      </c>
      <c r="C5495">
        <v>1.0695824617823699</v>
      </c>
      <c r="D5495">
        <v>0.74045510784322899</v>
      </c>
      <c r="E5495">
        <v>0.70285052718250396</v>
      </c>
      <c r="F5495">
        <v>0.34531685177940302</v>
      </c>
      <c r="G5495">
        <v>0.23173398944538401</v>
      </c>
      <c r="H5495">
        <v>0.213664951043742</v>
      </c>
      <c r="I5495">
        <v>0.262010209762913</v>
      </c>
      <c r="J5495">
        <v>0.372854954757808</v>
      </c>
      <c r="K5495">
        <v>0.43712197476263698</v>
      </c>
      <c r="L5495">
        <v>1123.6024166745501</v>
      </c>
      <c r="M5495">
        <v>22.951951208852101</v>
      </c>
      <c r="N5495">
        <v>50.944892082612803</v>
      </c>
      <c r="O5495">
        <v>48.5874689312691</v>
      </c>
      <c r="P5495">
        <v>-8.3136091334638604E-2</v>
      </c>
      <c r="Q5495">
        <v>0.29604313919374697</v>
      </c>
      <c r="R5495">
        <v>0.90848996921436798</v>
      </c>
      <c r="S5495" t="s">
        <v>12141</v>
      </c>
      <c r="T5495" t="s">
        <v>13290</v>
      </c>
      <c r="U5495" t="s">
        <v>13290</v>
      </c>
      <c r="V5495" t="s">
        <v>13290</v>
      </c>
      <c r="W5495" t="s">
        <v>18735</v>
      </c>
      <c r="X5495">
        <v>2</v>
      </c>
      <c r="Y5495" t="s">
        <v>25213</v>
      </c>
      <c r="Z5495" t="s">
        <v>31825</v>
      </c>
      <c r="AA5495">
        <v>0.51360211971214276</v>
      </c>
      <c r="AB5495" t="str">
        <f>HYPERLINK("Melting_Curves/meltCurve_Q9BXK1_KLF16.pdf", "Melting_Curves/meltCurve_Q9BXK1_KLF16.pdf")</f>
        <v>Melting_Curves/meltCurve_Q9BXK1_KLF16.pdf</v>
      </c>
    </row>
    <row r="5496" spans="1:28" x14ac:dyDescent="0.25">
      <c r="A5496" t="s">
        <v>5500</v>
      </c>
      <c r="B5496">
        <v>0.99252571173614901</v>
      </c>
      <c r="C5496">
        <v>0.93758421670956005</v>
      </c>
      <c r="D5496">
        <v>0.808327442994071</v>
      </c>
      <c r="E5496">
        <v>0.64128827057015902</v>
      </c>
      <c r="F5496">
        <v>0.36914832457117402</v>
      </c>
      <c r="G5496">
        <v>0.18713809337346801</v>
      </c>
      <c r="H5496">
        <v>0.14080200021519601</v>
      </c>
      <c r="I5496">
        <v>0.149682608884457</v>
      </c>
      <c r="J5496">
        <v>0.209153232563104</v>
      </c>
      <c r="K5496">
        <v>0.202179052460428</v>
      </c>
      <c r="L5496">
        <v>910.09744053603595</v>
      </c>
      <c r="M5496">
        <v>18.252584477026701</v>
      </c>
      <c r="N5496">
        <v>50.897170736443002</v>
      </c>
      <c r="O5496">
        <v>49.274341702058301</v>
      </c>
      <c r="P5496">
        <v>-7.8243241503183195E-2</v>
      </c>
      <c r="Q5496">
        <v>0.15514325999076001</v>
      </c>
      <c r="R5496">
        <v>0.98787991743158199</v>
      </c>
      <c r="S5496" t="s">
        <v>12142</v>
      </c>
      <c r="T5496" t="s">
        <v>13290</v>
      </c>
      <c r="U5496" t="s">
        <v>13290</v>
      </c>
      <c r="V5496" t="s">
        <v>13290</v>
      </c>
      <c r="W5496" t="s">
        <v>18736</v>
      </c>
      <c r="X5496">
        <v>4</v>
      </c>
      <c r="Y5496" t="s">
        <v>25214</v>
      </c>
      <c r="Z5496" t="s">
        <v>31826</v>
      </c>
      <c r="AA5496">
        <v>0.44691009065179538</v>
      </c>
      <c r="AB5496" t="str">
        <f>HYPERLINK("Melting_Curves/meltCurve_Q9BXK5_BCL2L13.pdf", "Melting_Curves/meltCurve_Q9BXK5_BCL2L13.pdf")</f>
        <v>Melting_Curves/meltCurve_Q9BXK5_BCL2L13.pdf</v>
      </c>
    </row>
    <row r="5497" spans="1:28" x14ac:dyDescent="0.25">
      <c r="A5497" t="s">
        <v>5501</v>
      </c>
      <c r="B5497">
        <v>0.99252571173614901</v>
      </c>
      <c r="C5497">
        <v>0.91330787704866001</v>
      </c>
      <c r="D5497">
        <v>0.78431170441346398</v>
      </c>
      <c r="E5497">
        <v>0.724769142285284</v>
      </c>
      <c r="F5497">
        <v>0.56165852770612101</v>
      </c>
      <c r="G5497">
        <v>0.31318325499747601</v>
      </c>
      <c r="H5497">
        <v>0.14848128425957899</v>
      </c>
      <c r="I5497">
        <v>0.12828773924867101</v>
      </c>
      <c r="J5497">
        <v>0.118207452934118</v>
      </c>
      <c r="K5497">
        <v>7.31816633816465E-2</v>
      </c>
      <c r="L5497">
        <v>587.96233914101504</v>
      </c>
      <c r="M5497">
        <v>11.038621972233299</v>
      </c>
      <c r="N5497">
        <v>53.264105417336502</v>
      </c>
      <c r="O5497">
        <v>51.605616434040002</v>
      </c>
      <c r="P5497">
        <v>-5.3493668188994398E-2</v>
      </c>
      <c r="Q5497">
        <v>0</v>
      </c>
      <c r="R5497">
        <v>0.98818891523375396</v>
      </c>
      <c r="S5497" t="s">
        <v>12143</v>
      </c>
      <c r="T5497" t="s">
        <v>13290</v>
      </c>
      <c r="U5497" t="s">
        <v>13290</v>
      </c>
      <c r="V5497" t="s">
        <v>13290</v>
      </c>
      <c r="W5497" t="s">
        <v>18737</v>
      </c>
      <c r="X5497">
        <v>5</v>
      </c>
      <c r="Y5497" t="s">
        <v>25215</v>
      </c>
      <c r="Z5497" t="s">
        <v>31827</v>
      </c>
      <c r="AA5497">
        <v>0.47248044938989442</v>
      </c>
      <c r="AB5497" t="str">
        <f>HYPERLINK("Melting_Curves/meltCurve_Q9BXP2_SLC12A9.pdf", "Melting_Curves/meltCurve_Q9BXP2_SLC12A9.pdf")</f>
        <v>Melting_Curves/meltCurve_Q9BXP2_SLC12A9.pdf</v>
      </c>
    </row>
    <row r="5498" spans="1:28" x14ac:dyDescent="0.25">
      <c r="A5498" t="s">
        <v>5502</v>
      </c>
      <c r="B5498">
        <v>0.99252571173614901</v>
      </c>
      <c r="C5498">
        <v>1.01316822948689</v>
      </c>
      <c r="D5498">
        <v>0.83256097359643699</v>
      </c>
      <c r="E5498">
        <v>0.19715495943733399</v>
      </c>
      <c r="F5498">
        <v>0.11253822380962</v>
      </c>
      <c r="G5498">
        <v>6.2444536350824101E-2</v>
      </c>
      <c r="H5498">
        <v>4.9950479862194697E-2</v>
      </c>
      <c r="I5498">
        <v>5.80950520681347E-2</v>
      </c>
      <c r="J5498">
        <v>7.1009354264717495E-2</v>
      </c>
      <c r="K5498">
        <v>7.8736626371973303E-2</v>
      </c>
      <c r="L5498">
        <v>2112.5353269543002</v>
      </c>
      <c r="M5498">
        <v>44.405606422227102</v>
      </c>
      <c r="N5498">
        <v>47.735996720213599</v>
      </c>
      <c r="O5498">
        <v>47.477437703381902</v>
      </c>
      <c r="P5498">
        <v>-0.217434447333099</v>
      </c>
      <c r="Q5498">
        <v>7.0097940155121996E-2</v>
      </c>
      <c r="R5498">
        <v>0.99851473349903097</v>
      </c>
      <c r="S5498" t="s">
        <v>12144</v>
      </c>
      <c r="T5498" t="s">
        <v>13290</v>
      </c>
      <c r="U5498" t="s">
        <v>13290</v>
      </c>
      <c r="V5498" t="s">
        <v>13290</v>
      </c>
      <c r="W5498" t="s">
        <v>18738</v>
      </c>
      <c r="X5498">
        <v>36</v>
      </c>
      <c r="Y5498" t="s">
        <v>25216</v>
      </c>
      <c r="Z5498" t="s">
        <v>31828</v>
      </c>
      <c r="AA5498">
        <v>0.30733815421690752</v>
      </c>
      <c r="AB5498" t="str">
        <f>HYPERLINK("Melting_Curves/meltCurve_Q9BXP5_4_SRRT.pdf", "Melting_Curves/meltCurve_Q9BXP5_4_SRRT.pdf")</f>
        <v>Melting_Curves/meltCurve_Q9BXP5_4_SRRT.pdf</v>
      </c>
    </row>
    <row r="5499" spans="1:28" x14ac:dyDescent="0.25">
      <c r="A5499" t="s">
        <v>5503</v>
      </c>
      <c r="B5499">
        <v>0.99252571173614901</v>
      </c>
      <c r="C5499">
        <v>0.88185132667523103</v>
      </c>
      <c r="D5499">
        <v>0.99862307395260896</v>
      </c>
      <c r="E5499">
        <v>0.89628433127142104</v>
      </c>
      <c r="F5499">
        <v>0.89519050528430799</v>
      </c>
      <c r="G5499">
        <v>0.61348194420770497</v>
      </c>
      <c r="H5499">
        <v>0.15597741374058199</v>
      </c>
      <c r="I5499">
        <v>7.4269583478331305E-2</v>
      </c>
      <c r="J5499">
        <v>7.0358191578504606E-2</v>
      </c>
      <c r="K5499">
        <v>6.3236590031353304E-2</v>
      </c>
      <c r="L5499">
        <v>1770.78448887693</v>
      </c>
      <c r="M5499">
        <v>30.905585791456101</v>
      </c>
      <c r="N5499">
        <v>57.481572104286499</v>
      </c>
      <c r="O5499">
        <v>57.058298393036402</v>
      </c>
      <c r="P5499">
        <v>-0.12900349121030399</v>
      </c>
      <c r="Q5499">
        <v>4.7333751294817497E-2</v>
      </c>
      <c r="R5499">
        <v>0.98391896865981499</v>
      </c>
      <c r="S5499" t="s">
        <v>12145</v>
      </c>
      <c r="T5499" t="s">
        <v>13290</v>
      </c>
      <c r="U5499" t="s">
        <v>13290</v>
      </c>
      <c r="V5499" t="s">
        <v>13290</v>
      </c>
      <c r="W5499" t="s">
        <v>18739</v>
      </c>
      <c r="X5499">
        <v>15</v>
      </c>
      <c r="Y5499" t="s">
        <v>25217</v>
      </c>
      <c r="Z5499" t="s">
        <v>31829</v>
      </c>
      <c r="AA5499">
        <v>0.60260628728404053</v>
      </c>
      <c r="AB5499" t="str">
        <f>HYPERLINK("Melting_Curves/meltCurve_Q9BXR0_QTRT1.pdf", "Melting_Curves/meltCurve_Q9BXR0_QTRT1.pdf")</f>
        <v>Melting_Curves/meltCurve_Q9BXR0_QTRT1.pdf</v>
      </c>
    </row>
    <row r="5500" spans="1:28" x14ac:dyDescent="0.25">
      <c r="A5500" t="s">
        <v>5504</v>
      </c>
      <c r="B5500">
        <v>0.99252571173614901</v>
      </c>
      <c r="C5500">
        <v>0.98892134451040103</v>
      </c>
      <c r="D5500">
        <v>0.92334950155210804</v>
      </c>
      <c r="E5500">
        <v>0.86486945345840005</v>
      </c>
      <c r="F5500">
        <v>0.64237342891762295</v>
      </c>
      <c r="G5500">
        <v>0.346785257215947</v>
      </c>
      <c r="H5500">
        <v>0.30861787810755598</v>
      </c>
      <c r="I5500">
        <v>0.314526024460204</v>
      </c>
      <c r="J5500">
        <v>0.44716137588279298</v>
      </c>
      <c r="K5500">
        <v>0.46011362147875201</v>
      </c>
      <c r="L5500">
        <v>1580.6961251620301</v>
      </c>
      <c r="M5500">
        <v>30.302785413311799</v>
      </c>
      <c r="N5500">
        <v>54.585143101232802</v>
      </c>
      <c r="O5500">
        <v>51.937802386561103</v>
      </c>
      <c r="P5500">
        <v>-9.1943213657780701E-2</v>
      </c>
      <c r="Q5500">
        <v>0.36965549589353403</v>
      </c>
      <c r="R5500">
        <v>0.95339469252589804</v>
      </c>
      <c r="S5500" t="s">
        <v>12146</v>
      </c>
      <c r="T5500" t="s">
        <v>13290</v>
      </c>
      <c r="U5500" t="s">
        <v>13290</v>
      </c>
      <c r="V5500" t="s">
        <v>13290</v>
      </c>
      <c r="W5500" t="s">
        <v>18740</v>
      </c>
      <c r="X5500">
        <v>3</v>
      </c>
      <c r="Y5500" t="s">
        <v>25218</v>
      </c>
      <c r="Z5500" t="s">
        <v>31830</v>
      </c>
      <c r="AA5500">
        <v>0.62918463034406291</v>
      </c>
      <c r="AB5500" t="str">
        <f>HYPERLINK("Melting_Curves/meltCurve_Q9BXS4_TMEM59.pdf", "Melting_Curves/meltCurve_Q9BXS4_TMEM59.pdf")</f>
        <v>Melting_Curves/meltCurve_Q9BXS4_TMEM59.pdf</v>
      </c>
    </row>
    <row r="5501" spans="1:28" x14ac:dyDescent="0.25">
      <c r="A5501" t="s">
        <v>5505</v>
      </c>
      <c r="B5501">
        <v>0.99252571173614901</v>
      </c>
      <c r="C5501">
        <v>1.0045055649191299</v>
      </c>
      <c r="D5501">
        <v>1.0673720494807499</v>
      </c>
      <c r="E5501">
        <v>1.17667706630182</v>
      </c>
      <c r="F5501">
        <v>0.77348514986144701</v>
      </c>
      <c r="G5501">
        <v>0.48538682885664702</v>
      </c>
      <c r="H5501">
        <v>0.34639456141370301</v>
      </c>
      <c r="I5501">
        <v>0.41900995824397103</v>
      </c>
      <c r="J5501">
        <v>0.58076684562855996</v>
      </c>
      <c r="K5501">
        <v>0.66590068599931496</v>
      </c>
      <c r="L5501">
        <v>13310.1236125046</v>
      </c>
      <c r="M5501">
        <v>250</v>
      </c>
      <c r="N5501">
        <v>54.749692002834301</v>
      </c>
      <c r="O5501">
        <v>53.2370874257537</v>
      </c>
      <c r="P5501">
        <v>-0.58759346997501505</v>
      </c>
      <c r="Q5501">
        <v>0.49949176181078703</v>
      </c>
      <c r="R5501">
        <v>0.87231740844047101</v>
      </c>
      <c r="S5501" t="s">
        <v>12147</v>
      </c>
      <c r="T5501" t="s">
        <v>13290</v>
      </c>
      <c r="U5501" t="s">
        <v>13290</v>
      </c>
      <c r="V5501" t="s">
        <v>13290</v>
      </c>
      <c r="W5501" t="s">
        <v>18741</v>
      </c>
      <c r="X5501">
        <v>11</v>
      </c>
      <c r="Y5501" t="s">
        <v>25219</v>
      </c>
      <c r="Z5501" t="s">
        <v>31831</v>
      </c>
      <c r="AA5501">
        <v>0.72043774574932151</v>
      </c>
      <c r="AB5501" t="str">
        <f>HYPERLINK("Melting_Curves/meltCurve_Q9BXS6_2_NUSAP1.pdf", "Melting_Curves/meltCurve_Q9BXS6_2_NUSAP1.pdf")</f>
        <v>Melting_Curves/meltCurve_Q9BXS6_2_NUSAP1.pdf</v>
      </c>
    </row>
    <row r="5502" spans="1:28" x14ac:dyDescent="0.25">
      <c r="A5502" t="s">
        <v>5506</v>
      </c>
      <c r="B5502">
        <v>0.99252571173614901</v>
      </c>
      <c r="C5502">
        <v>1.0190713325626799</v>
      </c>
      <c r="D5502">
        <v>0.91868870074671205</v>
      </c>
      <c r="E5502">
        <v>0.90333942455652005</v>
      </c>
      <c r="F5502">
        <v>0.83114546763429997</v>
      </c>
      <c r="G5502">
        <v>0.67463210586248001</v>
      </c>
      <c r="H5502">
        <v>0.61989762592648401</v>
      </c>
      <c r="I5502">
        <v>0.99342498702781301</v>
      </c>
      <c r="J5502">
        <v>1.37268578434302</v>
      </c>
      <c r="K5502">
        <v>1.3989539296957001</v>
      </c>
      <c r="L5502">
        <v>15000</v>
      </c>
      <c r="M5502">
        <v>226.19697166952099</v>
      </c>
      <c r="O5502">
        <v>66.3087017299774</v>
      </c>
      <c r="P5502">
        <v>0.340259965102581</v>
      </c>
      <c r="Q5502">
        <v>1.3989831738343199</v>
      </c>
      <c r="R5502">
        <v>0.49589143521062001</v>
      </c>
      <c r="S5502" t="s">
        <v>12148</v>
      </c>
      <c r="T5502" t="s">
        <v>13290</v>
      </c>
      <c r="U5502" t="s">
        <v>13290</v>
      </c>
      <c r="V5502" t="s">
        <v>13290</v>
      </c>
      <c r="W5502" t="s">
        <v>18742</v>
      </c>
      <c r="X5502">
        <v>3</v>
      </c>
      <c r="Y5502" t="s">
        <v>25220</v>
      </c>
      <c r="Z5502" t="s">
        <v>31832</v>
      </c>
      <c r="AA5502">
        <v>1.0489665664329191</v>
      </c>
      <c r="AB5502" t="str">
        <f>HYPERLINK("Melting_Curves/meltCurve_Q9BXV9_C14orf142.pdf", "Melting_Curves/meltCurve_Q9BXV9_C14orf142.pdf")</f>
        <v>Melting_Curves/meltCurve_Q9BXV9_C14orf142.pdf</v>
      </c>
    </row>
    <row r="5503" spans="1:28" x14ac:dyDescent="0.25">
      <c r="A5503" t="s">
        <v>5507</v>
      </c>
      <c r="B5503">
        <v>0.99252571173614901</v>
      </c>
      <c r="C5503">
        <v>0.84217279621821095</v>
      </c>
      <c r="D5503">
        <v>0.70911486223805098</v>
      </c>
      <c r="E5503">
        <v>0.184798436497775</v>
      </c>
      <c r="F5503">
        <v>0.17894342721645501</v>
      </c>
      <c r="G5503">
        <v>0.10300607550915</v>
      </c>
      <c r="H5503">
        <v>6.39190188650373E-2</v>
      </c>
      <c r="I5503">
        <v>6.8792998110644696E-2</v>
      </c>
      <c r="J5503">
        <v>7.2079112019106301E-2</v>
      </c>
      <c r="K5503">
        <v>5.8583112981414803E-2</v>
      </c>
      <c r="L5503">
        <v>1193.10887999234</v>
      </c>
      <c r="M5503">
        <v>25.4533327730446</v>
      </c>
      <c r="N5503">
        <v>47.170709488590703</v>
      </c>
      <c r="O5503">
        <v>46.587885260222798</v>
      </c>
      <c r="P5503">
        <v>-0.126497078472906</v>
      </c>
      <c r="Q5503">
        <v>7.3887848946673898E-2</v>
      </c>
      <c r="R5503">
        <v>0.98371970225750005</v>
      </c>
      <c r="S5503" t="s">
        <v>12149</v>
      </c>
      <c r="T5503" t="s">
        <v>13290</v>
      </c>
      <c r="U5503" t="s">
        <v>13290</v>
      </c>
      <c r="V5503" t="s">
        <v>13290</v>
      </c>
      <c r="W5503" t="s">
        <v>18743</v>
      </c>
      <c r="X5503">
        <v>6</v>
      </c>
      <c r="Y5503" t="s">
        <v>25221</v>
      </c>
      <c r="Z5503" t="s">
        <v>31833</v>
      </c>
      <c r="AA5503">
        <v>0.29406945686284758</v>
      </c>
      <c r="AB5503" t="str">
        <f>HYPERLINK("Melting_Curves/meltCurve_Q9BXW6_OSBPL1A.pdf", "Melting_Curves/meltCurve_Q9BXW6_OSBPL1A.pdf")</f>
        <v>Melting_Curves/meltCurve_Q9BXW6_OSBPL1A.pdf</v>
      </c>
    </row>
    <row r="5504" spans="1:28" x14ac:dyDescent="0.25">
      <c r="A5504" t="s">
        <v>5508</v>
      </c>
      <c r="B5504">
        <v>0.99252571173614901</v>
      </c>
      <c r="C5504">
        <v>0.98277947861564996</v>
      </c>
      <c r="D5504">
        <v>0.88053678169527905</v>
      </c>
      <c r="E5504">
        <v>0.62412576607965797</v>
      </c>
      <c r="F5504">
        <v>0.192079213409491</v>
      </c>
      <c r="G5504">
        <v>0.11959123266824701</v>
      </c>
      <c r="H5504">
        <v>8.9313558555073197E-2</v>
      </c>
      <c r="I5504">
        <v>9.1119336091010902E-2</v>
      </c>
      <c r="J5504">
        <v>0.106723819439586</v>
      </c>
      <c r="K5504">
        <v>9.1917636045816598E-2</v>
      </c>
      <c r="L5504">
        <v>1424.44887276447</v>
      </c>
      <c r="M5504">
        <v>28.5062551761179</v>
      </c>
      <c r="N5504">
        <v>50.314219426921703</v>
      </c>
      <c r="O5504">
        <v>49.725730994878099</v>
      </c>
      <c r="P5504">
        <v>-0.130611956728868</v>
      </c>
      <c r="Q5504">
        <v>8.8660097975681806E-2</v>
      </c>
      <c r="R5504">
        <v>0.99666514958922703</v>
      </c>
      <c r="S5504" t="s">
        <v>12150</v>
      </c>
      <c r="T5504" t="s">
        <v>13290</v>
      </c>
      <c r="U5504" t="s">
        <v>13290</v>
      </c>
      <c r="V5504" t="s">
        <v>13290</v>
      </c>
      <c r="W5504" t="s">
        <v>18744</v>
      </c>
      <c r="X5504">
        <v>24</v>
      </c>
      <c r="Y5504" t="s">
        <v>25222</v>
      </c>
      <c r="Z5504" t="s">
        <v>31834</v>
      </c>
      <c r="AA5504">
        <v>0.39776697925733662</v>
      </c>
      <c r="AB5504" t="str">
        <f>HYPERLINK("Melting_Curves/meltCurve_Q9BXW7_2_CECR5.pdf", "Melting_Curves/meltCurve_Q9BXW7_2_CECR5.pdf")</f>
        <v>Melting_Curves/meltCurve_Q9BXW7_2_CECR5.pdf</v>
      </c>
    </row>
    <row r="5505" spans="1:28" x14ac:dyDescent="0.25">
      <c r="A5505" t="s">
        <v>5509</v>
      </c>
      <c r="B5505">
        <v>0.99252571173614901</v>
      </c>
      <c r="C5505">
        <v>0.82216427808719394</v>
      </c>
      <c r="D5505">
        <v>0.405792687044503</v>
      </c>
      <c r="E5505">
        <v>0.33204171953453698</v>
      </c>
      <c r="F5505">
        <v>0.16501582808916301</v>
      </c>
      <c r="G5505">
        <v>0.110491093469595</v>
      </c>
      <c r="H5505">
        <v>9.5126240317420202E-2</v>
      </c>
      <c r="I5505">
        <v>0.130419053236492</v>
      </c>
      <c r="J5505">
        <v>0.13361071042004299</v>
      </c>
      <c r="K5505">
        <v>0.123087172392096</v>
      </c>
      <c r="L5505">
        <v>987.72779492840698</v>
      </c>
      <c r="M5505">
        <v>21.858686584980202</v>
      </c>
      <c r="N5505">
        <v>45.799307445480601</v>
      </c>
      <c r="O5505">
        <v>44.813876202411699</v>
      </c>
      <c r="P5505">
        <v>-0.106492795361197</v>
      </c>
      <c r="Q5505">
        <v>0.126709581129821</v>
      </c>
      <c r="R5505">
        <v>0.97943354295442597</v>
      </c>
      <c r="S5505" t="s">
        <v>12151</v>
      </c>
      <c r="T5505" t="s">
        <v>13290</v>
      </c>
      <c r="U5505" t="s">
        <v>13290</v>
      </c>
      <c r="V5505" t="s">
        <v>13290</v>
      </c>
      <c r="W5505" t="s">
        <v>18745</v>
      </c>
      <c r="X5505">
        <v>4</v>
      </c>
      <c r="Y5505" t="s">
        <v>25223</v>
      </c>
      <c r="Z5505" t="s">
        <v>31835</v>
      </c>
      <c r="AA5505">
        <v>0.28945933757198128</v>
      </c>
      <c r="AB5505" t="str">
        <f>HYPERLINK("Melting_Curves/meltCurve_Q9BXW9_3_FANCD2.pdf", "Melting_Curves/meltCurve_Q9BXW9_3_FANCD2.pdf")</f>
        <v>Melting_Curves/meltCurve_Q9BXW9_3_FANCD2.pdf</v>
      </c>
    </row>
    <row r="5506" spans="1:28" x14ac:dyDescent="0.25">
      <c r="A5506" t="s">
        <v>5510</v>
      </c>
      <c r="B5506">
        <v>0.99252571173614901</v>
      </c>
      <c r="C5506">
        <v>1.1099292451328</v>
      </c>
      <c r="D5506">
        <v>1.03148289183319</v>
      </c>
      <c r="E5506">
        <v>0.90230222787866499</v>
      </c>
      <c r="F5506">
        <v>0.85965055844276395</v>
      </c>
      <c r="G5506">
        <v>0.76129360611261099</v>
      </c>
      <c r="H5506">
        <v>0.75983583841312596</v>
      </c>
      <c r="I5506">
        <v>0.82729995928060795</v>
      </c>
      <c r="J5506">
        <v>0.74567999253734196</v>
      </c>
      <c r="K5506">
        <v>0.33202557182012699</v>
      </c>
      <c r="L5506">
        <v>526.59697982361604</v>
      </c>
      <c r="M5506">
        <v>7.4458636184416402</v>
      </c>
      <c r="O5506">
        <v>66.160304571944394</v>
      </c>
      <c r="P5506">
        <v>-2.8177244340354599E-2</v>
      </c>
      <c r="Q5506">
        <v>0</v>
      </c>
      <c r="R5506">
        <v>0.73587906741020803</v>
      </c>
      <c r="S5506" t="s">
        <v>12152</v>
      </c>
      <c r="T5506" t="s">
        <v>13290</v>
      </c>
      <c r="U5506" t="s">
        <v>13290</v>
      </c>
      <c r="V5506" t="s">
        <v>13290</v>
      </c>
      <c r="W5506" t="s">
        <v>18746</v>
      </c>
      <c r="X5506">
        <v>7</v>
      </c>
      <c r="Y5506" t="s">
        <v>25224</v>
      </c>
      <c r="Z5506" t="s">
        <v>31836</v>
      </c>
      <c r="AA5506">
        <v>0.8423297364420459</v>
      </c>
      <c r="AB5506" t="str">
        <f>HYPERLINK("Melting_Curves/meltCurve_Q9BY32_ITPA.pdf", "Melting_Curves/meltCurve_Q9BY32_ITPA.pdf")</f>
        <v>Melting_Curves/meltCurve_Q9BY32_ITPA.pdf</v>
      </c>
    </row>
    <row r="5507" spans="1:28" x14ac:dyDescent="0.25">
      <c r="A5507" t="s">
        <v>5511</v>
      </c>
      <c r="B5507">
        <v>0.99252571173614901</v>
      </c>
      <c r="C5507">
        <v>0.97715808079968003</v>
      </c>
      <c r="D5507">
        <v>0.62200821854503896</v>
      </c>
      <c r="E5507">
        <v>0.27020066928949099</v>
      </c>
      <c r="F5507">
        <v>0.179813215334333</v>
      </c>
      <c r="G5507">
        <v>9.4358702869510702E-2</v>
      </c>
      <c r="H5507">
        <v>6.9890101328172693E-2</v>
      </c>
      <c r="I5507">
        <v>9.3303446230874804E-2</v>
      </c>
      <c r="J5507">
        <v>0.11726021890485901</v>
      </c>
      <c r="K5507">
        <v>0.15190632906711701</v>
      </c>
      <c r="L5507">
        <v>1301.9108359936099</v>
      </c>
      <c r="M5507">
        <v>27.8835316938025</v>
      </c>
      <c r="N5507">
        <v>47.1206201499024</v>
      </c>
      <c r="O5507">
        <v>46.452856543996099</v>
      </c>
      <c r="P5507">
        <v>-0.13322316389859601</v>
      </c>
      <c r="Q5507">
        <v>0.112229733100164</v>
      </c>
      <c r="R5507">
        <v>0.99259555960804702</v>
      </c>
      <c r="S5507" t="s">
        <v>12153</v>
      </c>
      <c r="T5507" t="s">
        <v>13290</v>
      </c>
      <c r="U5507" t="s">
        <v>13290</v>
      </c>
      <c r="V5507" t="s">
        <v>13290</v>
      </c>
      <c r="W5507" t="s">
        <v>18747</v>
      </c>
      <c r="X5507">
        <v>1</v>
      </c>
      <c r="Y5507" t="s">
        <v>25225</v>
      </c>
      <c r="Z5507" t="s">
        <v>31837</v>
      </c>
      <c r="AA5507">
        <v>0.31649816991470531</v>
      </c>
      <c r="AB5507" t="str">
        <f>HYPERLINK("Melting_Curves/meltCurve_Q9BY41_HDAC8.pdf", "Melting_Curves/meltCurve_Q9BY41_HDAC8.pdf")</f>
        <v>Melting_Curves/meltCurve_Q9BY41_HDAC8.pdf</v>
      </c>
    </row>
    <row r="5508" spans="1:28" x14ac:dyDescent="0.25">
      <c r="A5508" t="s">
        <v>5512</v>
      </c>
      <c r="B5508">
        <v>0.99252571173614901</v>
      </c>
      <c r="C5508">
        <v>0.99991840605667004</v>
      </c>
      <c r="D5508">
        <v>0.92369853861378304</v>
      </c>
      <c r="E5508">
        <v>0.66288352500465997</v>
      </c>
      <c r="F5508">
        <v>0.63105580748032397</v>
      </c>
      <c r="G5508">
        <v>0.46627960833500398</v>
      </c>
      <c r="H5508">
        <v>0.31258843899953098</v>
      </c>
      <c r="I5508">
        <v>0.38104113247691901</v>
      </c>
      <c r="J5508">
        <v>0.55168579877807999</v>
      </c>
      <c r="K5508">
        <v>0.52089024041939502</v>
      </c>
      <c r="L5508">
        <v>1055.9136937912699</v>
      </c>
      <c r="M5508">
        <v>21.3663618426054</v>
      </c>
      <c r="N5508">
        <v>55.206227839352501</v>
      </c>
      <c r="O5508">
        <v>48.992637028466099</v>
      </c>
      <c r="P5508">
        <v>-6.0321254484994098E-2</v>
      </c>
      <c r="Q5508">
        <v>0.446752006199512</v>
      </c>
      <c r="R5508">
        <v>0.90697639575324096</v>
      </c>
      <c r="S5508" t="s">
        <v>12154</v>
      </c>
      <c r="T5508" t="s">
        <v>13290</v>
      </c>
      <c r="U5508" t="s">
        <v>13290</v>
      </c>
      <c r="V5508" t="s">
        <v>13290</v>
      </c>
      <c r="W5508" t="s">
        <v>18748</v>
      </c>
      <c r="X5508">
        <v>12</v>
      </c>
      <c r="Y5508" t="s">
        <v>25226</v>
      </c>
      <c r="Z5508" t="s">
        <v>31838</v>
      </c>
      <c r="AA5508">
        <v>0.62722619742947239</v>
      </c>
      <c r="AB5508" t="str">
        <f>HYPERLINK("Melting_Curves/meltCurve_Q9BY43_CHMP4A.pdf", "Melting_Curves/meltCurve_Q9BY43_CHMP4A.pdf")</f>
        <v>Melting_Curves/meltCurve_Q9BY43_CHMP4A.pdf</v>
      </c>
    </row>
    <row r="5509" spans="1:28" x14ac:dyDescent="0.25">
      <c r="A5509" t="s">
        <v>5513</v>
      </c>
      <c r="B5509">
        <v>0.99252571173614901</v>
      </c>
      <c r="C5509">
        <v>0.98619142536666005</v>
      </c>
      <c r="D5509">
        <v>0.82393640922924205</v>
      </c>
      <c r="E5509">
        <v>0.72283595589403704</v>
      </c>
      <c r="F5509">
        <v>0.351263368364026</v>
      </c>
      <c r="G5509">
        <v>9.7345761906213801E-2</v>
      </c>
      <c r="H5509">
        <v>5.0041986570582501E-2</v>
      </c>
      <c r="I5509">
        <v>4.9886595380134499E-2</v>
      </c>
      <c r="J5509">
        <v>5.7688980343430202E-2</v>
      </c>
      <c r="K5509">
        <v>5.7744447067912902E-2</v>
      </c>
      <c r="L5509">
        <v>1048.09222644838</v>
      </c>
      <c r="M5509">
        <v>20.447882091501299</v>
      </c>
      <c r="N5509">
        <v>51.414246545173903</v>
      </c>
      <c r="O5509">
        <v>50.774076548085901</v>
      </c>
      <c r="P5509">
        <v>-9.7627390504004499E-2</v>
      </c>
      <c r="Q5509">
        <v>3.0355686238874802E-2</v>
      </c>
      <c r="R5509">
        <v>0.99074827438427504</v>
      </c>
      <c r="S5509" t="s">
        <v>12155</v>
      </c>
      <c r="T5509" t="s">
        <v>13290</v>
      </c>
      <c r="U5509" t="s">
        <v>13290</v>
      </c>
      <c r="V5509" t="s">
        <v>13290</v>
      </c>
      <c r="W5509" t="s">
        <v>18749</v>
      </c>
      <c r="X5509">
        <v>31</v>
      </c>
      <c r="Y5509" t="s">
        <v>25227</v>
      </c>
      <c r="Z5509" t="s">
        <v>31839</v>
      </c>
      <c r="AA5509">
        <v>0.40709989564661969</v>
      </c>
      <c r="AB5509" t="str">
        <f>HYPERLINK("Melting_Curves/meltCurve_Q9BY44_EIF2A.pdf", "Melting_Curves/meltCurve_Q9BY44_EIF2A.pdf")</f>
        <v>Melting_Curves/meltCurve_Q9BY44_EIF2A.pdf</v>
      </c>
    </row>
    <row r="5510" spans="1:28" x14ac:dyDescent="0.25">
      <c r="A5510" t="s">
        <v>5514</v>
      </c>
      <c r="B5510">
        <v>0.99252571173614901</v>
      </c>
      <c r="C5510">
        <v>1.0835888520033901</v>
      </c>
      <c r="D5510">
        <v>0.949669434220347</v>
      </c>
      <c r="E5510">
        <v>0.81157348292429099</v>
      </c>
      <c r="F5510">
        <v>0.32675697417084598</v>
      </c>
      <c r="G5510">
        <v>0.19505474945302501</v>
      </c>
      <c r="H5510">
        <v>0.13489080696625699</v>
      </c>
      <c r="I5510">
        <v>0.14667612129676399</v>
      </c>
      <c r="J5510">
        <v>0.19466416223647001</v>
      </c>
      <c r="K5510">
        <v>0.20712512599788099</v>
      </c>
      <c r="L5510">
        <v>1929.8691566885</v>
      </c>
      <c r="M5510">
        <v>37.718808909783903</v>
      </c>
      <c r="N5510">
        <v>51.738815354314298</v>
      </c>
      <c r="O5510">
        <v>51.0214586590197</v>
      </c>
      <c r="P5510">
        <v>-0.15321228963678499</v>
      </c>
      <c r="Q5510">
        <v>0.17101373672331599</v>
      </c>
      <c r="R5510">
        <v>0.99125975797488397</v>
      </c>
      <c r="S5510" t="s">
        <v>12156</v>
      </c>
      <c r="T5510" t="s">
        <v>13290</v>
      </c>
      <c r="U5510" t="s">
        <v>13290</v>
      </c>
      <c r="V5510" t="s">
        <v>13290</v>
      </c>
      <c r="W5510" t="s">
        <v>18750</v>
      </c>
      <c r="X5510">
        <v>14</v>
      </c>
      <c r="Y5510" t="s">
        <v>25228</v>
      </c>
      <c r="Z5510" t="s">
        <v>31840</v>
      </c>
      <c r="AA5510">
        <v>0.48282418146758871</v>
      </c>
      <c r="AB5510" t="str">
        <f>HYPERLINK("Melting_Curves/meltCurve_Q9BY77_POLDIP3.pdf", "Melting_Curves/meltCurve_Q9BY77_POLDIP3.pdf")</f>
        <v>Melting_Curves/meltCurve_Q9BY77_POLDIP3.pdf</v>
      </c>
    </row>
    <row r="5511" spans="1:28" x14ac:dyDescent="0.25">
      <c r="A5511" t="s">
        <v>5515</v>
      </c>
      <c r="B5511">
        <v>0.99252571173614901</v>
      </c>
      <c r="C5511">
        <v>0.97433983666144097</v>
      </c>
      <c r="D5511">
        <v>0.85353775983104396</v>
      </c>
      <c r="E5511">
        <v>0.78473485175851998</v>
      </c>
      <c r="F5511">
        <v>0.48134882943066598</v>
      </c>
      <c r="G5511">
        <v>0.31033054193083198</v>
      </c>
      <c r="H5511">
        <v>0.28476159794337003</v>
      </c>
      <c r="I5511">
        <v>0.36113438467494702</v>
      </c>
      <c r="J5511">
        <v>0.555500728714866</v>
      </c>
      <c r="K5511">
        <v>0.64871728129399697</v>
      </c>
      <c r="L5511">
        <v>1557.7525202444399</v>
      </c>
      <c r="M5511">
        <v>31.260024721020802</v>
      </c>
      <c r="N5511">
        <v>53.169038621710399</v>
      </c>
      <c r="O5511">
        <v>49.629504423639801</v>
      </c>
      <c r="P5511">
        <v>-8.9803088131187897E-2</v>
      </c>
      <c r="Q5511">
        <v>0.42970522313255699</v>
      </c>
      <c r="R5511">
        <v>0.81076564685776198</v>
      </c>
      <c r="S5511" t="s">
        <v>12157</v>
      </c>
      <c r="T5511" t="s">
        <v>13290</v>
      </c>
      <c r="U5511" t="s">
        <v>13290</v>
      </c>
      <c r="V5511" t="s">
        <v>13290</v>
      </c>
      <c r="W5511" t="s">
        <v>18751</v>
      </c>
      <c r="X5511">
        <v>10</v>
      </c>
      <c r="Y5511" t="s">
        <v>25229</v>
      </c>
      <c r="Z5511" t="s">
        <v>31841</v>
      </c>
      <c r="AA5511">
        <v>0.61984795935895809</v>
      </c>
      <c r="AB5511" t="str">
        <f>HYPERLINK("Melting_Curves/meltCurve_Q9BY89_KIAA1671.pdf", "Melting_Curves/meltCurve_Q9BY89_KIAA1671.pdf")</f>
        <v>Melting_Curves/meltCurve_Q9BY89_KIAA1671.pdf</v>
      </c>
    </row>
    <row r="5512" spans="1:28" x14ac:dyDescent="0.25">
      <c r="A5512" t="s">
        <v>5516</v>
      </c>
      <c r="B5512">
        <v>0.99252571173614901</v>
      </c>
      <c r="C5512">
        <v>1.1572732046112</v>
      </c>
      <c r="D5512">
        <v>1.0544220022925299</v>
      </c>
      <c r="E5512">
        <v>0.97135177905835901</v>
      </c>
      <c r="F5512">
        <v>0.85356440038850601</v>
      </c>
      <c r="G5512">
        <v>0.70616606574776797</v>
      </c>
      <c r="H5512">
        <v>0.44466803457779103</v>
      </c>
      <c r="I5512">
        <v>0.22595067916214501</v>
      </c>
      <c r="J5512">
        <v>0.14858827671483199</v>
      </c>
      <c r="K5512">
        <v>0.18368707251575001</v>
      </c>
      <c r="L5512">
        <v>1114.8922012712201</v>
      </c>
      <c r="M5512">
        <v>18.9673732001419</v>
      </c>
      <c r="N5512">
        <v>59.501089077611901</v>
      </c>
      <c r="O5512">
        <v>58.137794155316399</v>
      </c>
      <c r="P5512">
        <v>-7.3185005605046205E-2</v>
      </c>
      <c r="Q5512">
        <v>0.102744730436941</v>
      </c>
      <c r="R5512">
        <v>0.97457463059807103</v>
      </c>
      <c r="S5512" t="s">
        <v>12158</v>
      </c>
      <c r="T5512" t="s">
        <v>13290</v>
      </c>
      <c r="U5512" t="s">
        <v>13290</v>
      </c>
      <c r="V5512" t="s">
        <v>13290</v>
      </c>
      <c r="W5512" t="s">
        <v>18752</v>
      </c>
      <c r="X5512">
        <v>7</v>
      </c>
      <c r="Y5512" t="s">
        <v>25230</v>
      </c>
      <c r="Z5512" t="s">
        <v>31842</v>
      </c>
      <c r="AA5512">
        <v>0.67404974586036515</v>
      </c>
      <c r="AB5512" t="str">
        <f>HYPERLINK("Melting_Curves/meltCurve_Q9BYB4_GNB1L.pdf", "Melting_Curves/meltCurve_Q9BYB4_GNB1L.pdf")</f>
        <v>Melting_Curves/meltCurve_Q9BYB4_GNB1L.pdf</v>
      </c>
    </row>
    <row r="5513" spans="1:28" x14ac:dyDescent="0.25">
      <c r="A5513" t="s">
        <v>5517</v>
      </c>
      <c r="B5513">
        <v>0.99252571173614901</v>
      </c>
      <c r="C5513">
        <v>1.12601510427689</v>
      </c>
      <c r="D5513">
        <v>1.04457812995014</v>
      </c>
      <c r="E5513">
        <v>1.2189770130811</v>
      </c>
      <c r="F5513">
        <v>0.87565925305426495</v>
      </c>
      <c r="G5513">
        <v>0.68666842499899905</v>
      </c>
      <c r="H5513">
        <v>0.66173966510519999</v>
      </c>
      <c r="I5513">
        <v>0.70484616850649195</v>
      </c>
      <c r="J5513">
        <v>0.95994995198440902</v>
      </c>
      <c r="K5513">
        <v>0.99108958375704803</v>
      </c>
      <c r="L5513">
        <v>13272.963675234299</v>
      </c>
      <c r="M5513">
        <v>250</v>
      </c>
      <c r="O5513">
        <v>53.088460917861703</v>
      </c>
      <c r="P5513">
        <v>-0.234445078381191</v>
      </c>
      <c r="Q5513">
        <v>0.80085876016386204</v>
      </c>
      <c r="R5513">
        <v>0.48523493877466101</v>
      </c>
      <c r="S5513" t="s">
        <v>12159</v>
      </c>
      <c r="T5513" t="s">
        <v>13290</v>
      </c>
      <c r="U5513" t="s">
        <v>13290</v>
      </c>
      <c r="V5513" t="s">
        <v>13290</v>
      </c>
      <c r="W5513" t="s">
        <v>18753</v>
      </c>
      <c r="X5513">
        <v>6</v>
      </c>
      <c r="Y5513" t="s">
        <v>25231</v>
      </c>
      <c r="Z5513" t="s">
        <v>31843</v>
      </c>
      <c r="AA5513">
        <v>0.88778158778760696</v>
      </c>
      <c r="AB5513" t="str">
        <f>HYPERLINK("Melting_Curves/meltCurve_Q9BYC8_MRPL32.pdf", "Melting_Curves/meltCurve_Q9BYC8_MRPL32.pdf")</f>
        <v>Melting_Curves/meltCurve_Q9BYC8_MRPL32.pdf</v>
      </c>
    </row>
    <row r="5514" spans="1:28" x14ac:dyDescent="0.25">
      <c r="A5514" t="s">
        <v>5518</v>
      </c>
      <c r="B5514">
        <v>0.99252571173614901</v>
      </c>
      <c r="C5514">
        <v>1.0958676905110301</v>
      </c>
      <c r="D5514">
        <v>0.51520901837230204</v>
      </c>
      <c r="E5514">
        <v>0.252866257910841</v>
      </c>
      <c r="F5514">
        <v>0.14680399965636101</v>
      </c>
      <c r="G5514">
        <v>8.7330726791051097E-2</v>
      </c>
      <c r="H5514">
        <v>7.0508468972612495E-2</v>
      </c>
      <c r="I5514">
        <v>7.8370073239360002E-2</v>
      </c>
      <c r="J5514">
        <v>8.9763418004586801E-2</v>
      </c>
      <c r="K5514">
        <v>9.2901424603118302E-2</v>
      </c>
      <c r="L5514">
        <v>11490.9574449375</v>
      </c>
      <c r="M5514">
        <v>250</v>
      </c>
      <c r="N5514">
        <v>46.012861617538</v>
      </c>
      <c r="O5514">
        <v>45.960888553906699</v>
      </c>
      <c r="P5514">
        <v>-1.2008377182930801</v>
      </c>
      <c r="Q5514">
        <v>0.11693490733258</v>
      </c>
      <c r="R5514">
        <v>0.97541476212476796</v>
      </c>
      <c r="S5514" t="s">
        <v>12160</v>
      </c>
      <c r="T5514" t="s">
        <v>13290</v>
      </c>
      <c r="U5514" t="s">
        <v>13290</v>
      </c>
      <c r="V5514" t="s">
        <v>13290</v>
      </c>
      <c r="W5514" t="s">
        <v>18754</v>
      </c>
      <c r="X5514">
        <v>7</v>
      </c>
      <c r="Y5514" t="s">
        <v>25232</v>
      </c>
      <c r="Z5514" t="s">
        <v>31844</v>
      </c>
      <c r="AA5514">
        <v>0.29255447039353771</v>
      </c>
      <c r="AB5514" t="str">
        <f>HYPERLINK("Melting_Curves/meltCurve_Q9BYD6_MRPL1.pdf", "Melting_Curves/meltCurve_Q9BYD6_MRPL1.pdf")</f>
        <v>Melting_Curves/meltCurve_Q9BYD6_MRPL1.pdf</v>
      </c>
    </row>
    <row r="5515" spans="1:28" x14ac:dyDescent="0.25">
      <c r="A5515" t="s">
        <v>5519</v>
      </c>
      <c r="B5515">
        <v>0.99252571173614901</v>
      </c>
      <c r="C5515">
        <v>1.00399836090089</v>
      </c>
      <c r="D5515">
        <v>0.788439044672121</v>
      </c>
      <c r="E5515">
        <v>0.65307711056059303</v>
      </c>
      <c r="F5515">
        <v>0.43087643964039601</v>
      </c>
      <c r="G5515">
        <v>0.281314296934908</v>
      </c>
      <c r="H5515">
        <v>0.22438468638310299</v>
      </c>
      <c r="I5515">
        <v>0.210983320824153</v>
      </c>
      <c r="J5515">
        <v>0.23326852972069601</v>
      </c>
      <c r="K5515">
        <v>0.240880952146971</v>
      </c>
      <c r="L5515">
        <v>834.95691256131101</v>
      </c>
      <c r="M5515">
        <v>16.718737170946401</v>
      </c>
      <c r="N5515">
        <v>51.602406304521701</v>
      </c>
      <c r="O5515">
        <v>49.2432937611065</v>
      </c>
      <c r="P5515">
        <v>-6.7220474808302899E-2</v>
      </c>
      <c r="Q5515">
        <v>0.20808871502012299</v>
      </c>
      <c r="R5515">
        <v>0.99046075784398302</v>
      </c>
      <c r="S5515" t="s">
        <v>12161</v>
      </c>
      <c r="T5515" t="s">
        <v>13290</v>
      </c>
      <c r="U5515" t="s">
        <v>13290</v>
      </c>
      <c r="V5515" t="s">
        <v>13290</v>
      </c>
      <c r="W5515" t="s">
        <v>18755</v>
      </c>
      <c r="X5515">
        <v>4</v>
      </c>
      <c r="Y5515" t="s">
        <v>25233</v>
      </c>
      <c r="Z5515" t="s">
        <v>31845</v>
      </c>
      <c r="AA5515">
        <v>0.48604257747582591</v>
      </c>
      <c r="AB5515" t="str">
        <f>HYPERLINK("Melting_Curves/meltCurve_Q9BYM8_3_RBCK1.pdf", "Melting_Curves/meltCurve_Q9BYM8_3_RBCK1.pdf")</f>
        <v>Melting_Curves/meltCurve_Q9BYM8_3_RBCK1.pdf</v>
      </c>
    </row>
    <row r="5516" spans="1:28" x14ac:dyDescent="0.25">
      <c r="A5516" t="s">
        <v>5520</v>
      </c>
      <c r="B5516">
        <v>0.99252571173614901</v>
      </c>
      <c r="C5516">
        <v>1.01725623085989</v>
      </c>
      <c r="D5516">
        <v>0.921553172919784</v>
      </c>
      <c r="E5516">
        <v>0.59296337052356196</v>
      </c>
      <c r="F5516">
        <v>0.29290844242738501</v>
      </c>
      <c r="G5516">
        <v>0.18244727181803699</v>
      </c>
      <c r="H5516">
        <v>0.17587618535771901</v>
      </c>
      <c r="I5516">
        <v>0.16169317166144201</v>
      </c>
      <c r="J5516">
        <v>0.221907172720405</v>
      </c>
      <c r="K5516">
        <v>0.20084756225462799</v>
      </c>
      <c r="L5516">
        <v>1470.1428767110999</v>
      </c>
      <c r="M5516">
        <v>29.6338482323684</v>
      </c>
      <c r="N5516">
        <v>50.399095989567002</v>
      </c>
      <c r="O5516">
        <v>49.385987185793802</v>
      </c>
      <c r="P5516">
        <v>-0.122175730974005</v>
      </c>
      <c r="Q5516">
        <v>0.185562708161572</v>
      </c>
      <c r="R5516">
        <v>0.99704277811303699</v>
      </c>
      <c r="S5516" t="s">
        <v>12162</v>
      </c>
      <c r="T5516" t="s">
        <v>13290</v>
      </c>
      <c r="U5516" t="s">
        <v>13290</v>
      </c>
      <c r="V5516" t="s">
        <v>13290</v>
      </c>
      <c r="W5516" t="s">
        <v>18756</v>
      </c>
      <c r="X5516">
        <v>4</v>
      </c>
      <c r="Y5516" t="s">
        <v>25234</v>
      </c>
      <c r="Z5516" t="s">
        <v>31846</v>
      </c>
      <c r="AA5516">
        <v>0.45159387001356199</v>
      </c>
      <c r="AB5516" t="str">
        <f>HYPERLINK("Melting_Curves/meltCurve_Q9BYN0_SRXN1.pdf", "Melting_Curves/meltCurve_Q9BYN0_SRXN1.pdf")</f>
        <v>Melting_Curves/meltCurve_Q9BYN0_SRXN1.pdf</v>
      </c>
    </row>
    <row r="5517" spans="1:28" x14ac:dyDescent="0.25">
      <c r="A5517" t="s">
        <v>5521</v>
      </c>
      <c r="B5517">
        <v>0.99252571173614901</v>
      </c>
      <c r="C5517">
        <v>1.07283946037111</v>
      </c>
      <c r="D5517">
        <v>1.43291880437227</v>
      </c>
      <c r="E5517">
        <v>1.0302978887798899</v>
      </c>
      <c r="F5517">
        <v>0.487217337712816</v>
      </c>
      <c r="G5517">
        <v>0.288625077215242</v>
      </c>
      <c r="H5517">
        <v>0.23318032291851601</v>
      </c>
      <c r="I5517">
        <v>0.216486273770539</v>
      </c>
      <c r="J5517">
        <v>0.31334691394437802</v>
      </c>
      <c r="K5517">
        <v>0.40899959933778901</v>
      </c>
      <c r="L5517">
        <v>13248.587915689301</v>
      </c>
      <c r="M5517">
        <v>250</v>
      </c>
      <c r="N5517">
        <v>53.181056655771698</v>
      </c>
      <c r="O5517">
        <v>52.990960840873399</v>
      </c>
      <c r="P5517">
        <v>-0.83489755445978897</v>
      </c>
      <c r="Q5517">
        <v>0.29212762920981999</v>
      </c>
      <c r="R5517">
        <v>0.87555198130752199</v>
      </c>
      <c r="S5517" t="s">
        <v>12163</v>
      </c>
      <c r="T5517" t="s">
        <v>13290</v>
      </c>
      <c r="U5517" t="s">
        <v>13290</v>
      </c>
      <c r="V5517" t="s">
        <v>13290</v>
      </c>
      <c r="W5517" t="s">
        <v>18757</v>
      </c>
      <c r="X5517">
        <v>2</v>
      </c>
      <c r="Y5517" t="s">
        <v>25235</v>
      </c>
      <c r="Z5517" t="s">
        <v>31847</v>
      </c>
      <c r="AA5517">
        <v>0.59880488163744316</v>
      </c>
      <c r="AB5517" t="str">
        <f>HYPERLINK("Melting_Curves/meltCurve_Q9BYN8_MRPS26.pdf", "Melting_Curves/meltCurve_Q9BYN8_MRPS26.pdf")</f>
        <v>Melting_Curves/meltCurve_Q9BYN8_MRPS26.pdf</v>
      </c>
    </row>
    <row r="5518" spans="1:28" x14ac:dyDescent="0.25">
      <c r="A5518" t="s">
        <v>5522</v>
      </c>
      <c r="B5518">
        <v>0.99252571173614901</v>
      </c>
      <c r="C5518">
        <v>1.00069358162634</v>
      </c>
      <c r="D5518">
        <v>0.92251270023121901</v>
      </c>
      <c r="E5518">
        <v>0.70962739205325798</v>
      </c>
      <c r="F5518">
        <v>0.58922079907902902</v>
      </c>
      <c r="G5518">
        <v>0.38207665030080101</v>
      </c>
      <c r="H5518">
        <v>0.18154095648271301</v>
      </c>
      <c r="I5518">
        <v>9.8643730636769497E-2</v>
      </c>
      <c r="J5518">
        <v>0.10724497400264101</v>
      </c>
      <c r="K5518">
        <v>9.4560381510745806E-2</v>
      </c>
      <c r="L5518">
        <v>711.46280627574401</v>
      </c>
      <c r="M5518">
        <v>13.194793256897199</v>
      </c>
      <c r="N5518">
        <v>54.151426752431497</v>
      </c>
      <c r="O5518">
        <v>52.726596201133603</v>
      </c>
      <c r="P5518">
        <v>-6.0857093530110998E-2</v>
      </c>
      <c r="Q5518">
        <v>2.74186699648785E-2</v>
      </c>
      <c r="R5518">
        <v>0.99340908663198801</v>
      </c>
      <c r="S5518" t="s">
        <v>12164</v>
      </c>
      <c r="T5518" t="s">
        <v>13290</v>
      </c>
      <c r="U5518" t="s">
        <v>13290</v>
      </c>
      <c r="V5518" t="s">
        <v>13290</v>
      </c>
      <c r="W5518" t="s">
        <v>18758</v>
      </c>
      <c r="X5518">
        <v>36</v>
      </c>
      <c r="Y5518" t="s">
        <v>25236</v>
      </c>
      <c r="Z5518" t="s">
        <v>31848</v>
      </c>
      <c r="AA5518">
        <v>0.50195843660828732</v>
      </c>
      <c r="AB5518" t="str">
        <f>HYPERLINK("Melting_Curves/meltCurve_Q9BYT8_NLN.pdf", "Melting_Curves/meltCurve_Q9BYT8_NLN.pdf")</f>
        <v>Melting_Curves/meltCurve_Q9BYT8_NLN.pdf</v>
      </c>
    </row>
    <row r="5519" spans="1:28" x14ac:dyDescent="0.25">
      <c r="A5519" t="s">
        <v>5523</v>
      </c>
      <c r="B5519">
        <v>0.99252571173614901</v>
      </c>
      <c r="C5519">
        <v>0.85218164545198605</v>
      </c>
      <c r="D5519">
        <v>0.49488031726528098</v>
      </c>
      <c r="E5519">
        <v>0.38648116603291</v>
      </c>
      <c r="F5519">
        <v>0.26570879593806501</v>
      </c>
      <c r="G5519">
        <v>0.18694840532346299</v>
      </c>
      <c r="H5519">
        <v>0.234521946371086</v>
      </c>
      <c r="I5519">
        <v>0.47988456506787602</v>
      </c>
      <c r="J5519">
        <v>1.2835311678101</v>
      </c>
      <c r="K5519">
        <v>1.75585323897102</v>
      </c>
      <c r="L5519">
        <v>10741.312487934199</v>
      </c>
      <c r="M5519">
        <v>250</v>
      </c>
      <c r="O5519">
        <v>42.962500382301499</v>
      </c>
      <c r="P5519">
        <v>-0.52956618585330495</v>
      </c>
      <c r="Q5519">
        <v>0.63597620036737601</v>
      </c>
      <c r="R5519">
        <v>5.82469084394849E-2</v>
      </c>
      <c r="S5519" t="s">
        <v>12165</v>
      </c>
      <c r="T5519" t="s">
        <v>13290</v>
      </c>
      <c r="U5519" t="s">
        <v>13290</v>
      </c>
      <c r="V5519" t="s">
        <v>13290</v>
      </c>
      <c r="W5519" t="s">
        <v>18759</v>
      </c>
      <c r="X5519">
        <v>4</v>
      </c>
      <c r="Y5519" t="s">
        <v>25237</v>
      </c>
      <c r="Z5519" t="s">
        <v>31849</v>
      </c>
      <c r="AA5519">
        <v>0.6719843674719479</v>
      </c>
      <c r="AB5519" t="str">
        <f>HYPERLINK("Melting_Curves/meltCurve_Q9BYW2_SETD2.pdf", "Melting_Curves/meltCurve_Q9BYW2_SETD2.pdf")</f>
        <v>Melting_Curves/meltCurve_Q9BYW2_SETD2.pdf</v>
      </c>
    </row>
    <row r="5520" spans="1:28" x14ac:dyDescent="0.25">
      <c r="A5520" t="s">
        <v>5524</v>
      </c>
      <c r="B5520">
        <v>0.99252571173614901</v>
      </c>
      <c r="C5520">
        <v>1.04257228363226</v>
      </c>
      <c r="D5520">
        <v>0.87698340029748401</v>
      </c>
      <c r="E5520">
        <v>0.86705095180088898</v>
      </c>
      <c r="F5520">
        <v>0.56486302577151604</v>
      </c>
      <c r="G5520">
        <v>0.14962683687110501</v>
      </c>
      <c r="H5520">
        <v>6.4956689071294399E-2</v>
      </c>
      <c r="I5520">
        <v>4.7411707917499102E-2</v>
      </c>
      <c r="J5520">
        <v>5.8680679201891302E-2</v>
      </c>
      <c r="K5520">
        <v>5.4877323138930602E-2</v>
      </c>
      <c r="L5520">
        <v>1440.08950421853</v>
      </c>
      <c r="M5520">
        <v>27.0311385585143</v>
      </c>
      <c r="N5520">
        <v>53.437323077471397</v>
      </c>
      <c r="O5520">
        <v>52.986195182009503</v>
      </c>
      <c r="P5520">
        <v>-0.122519010279799</v>
      </c>
      <c r="Q5520">
        <v>3.9366834651756499E-2</v>
      </c>
      <c r="R5520">
        <v>0.98960744767775199</v>
      </c>
      <c r="S5520" t="s">
        <v>12166</v>
      </c>
      <c r="T5520" t="s">
        <v>13290</v>
      </c>
      <c r="U5520" t="s">
        <v>13290</v>
      </c>
      <c r="V5520" t="s">
        <v>13290</v>
      </c>
      <c r="W5520" t="s">
        <v>18760</v>
      </c>
      <c r="X5520">
        <v>10</v>
      </c>
      <c r="Y5520" t="s">
        <v>25238</v>
      </c>
      <c r="Z5520" t="s">
        <v>31850</v>
      </c>
      <c r="AA5520">
        <v>0.47210054539079432</v>
      </c>
      <c r="AB5520" t="str">
        <f>HYPERLINK("Melting_Curves/meltCurve_Q9BZ23_3_PANK2.pdf", "Melting_Curves/meltCurve_Q9BZ23_3_PANK2.pdf")</f>
        <v>Melting_Curves/meltCurve_Q9BZ23_3_PANK2.pdf</v>
      </c>
    </row>
    <row r="5521" spans="1:28" x14ac:dyDescent="0.25">
      <c r="A5521" t="s">
        <v>5525</v>
      </c>
      <c r="B5521">
        <v>0.99252571173614901</v>
      </c>
      <c r="C5521">
        <v>0.86321640506585695</v>
      </c>
      <c r="D5521">
        <v>1.0848200528040199</v>
      </c>
      <c r="E5521">
        <v>0.70090750000186797</v>
      </c>
      <c r="F5521">
        <v>0.27861054813146002</v>
      </c>
      <c r="G5521">
        <v>0.16076936334973399</v>
      </c>
      <c r="H5521">
        <v>0.11552153035247301</v>
      </c>
      <c r="I5521">
        <v>0.113885616555622</v>
      </c>
      <c r="J5521">
        <v>0.12627730362519901</v>
      </c>
      <c r="K5521">
        <v>0.124407917843806</v>
      </c>
      <c r="L5521">
        <v>1802.31155584627</v>
      </c>
      <c r="M5521">
        <v>35.563327860963803</v>
      </c>
      <c r="N5521">
        <v>51.094547162865098</v>
      </c>
      <c r="O5521">
        <v>50.519481427524902</v>
      </c>
      <c r="P5521">
        <v>-0.15388484970570601</v>
      </c>
      <c r="Q5521">
        <v>0.125598271817147</v>
      </c>
      <c r="R5521">
        <v>0.97879935139248198</v>
      </c>
      <c r="S5521" t="s">
        <v>12167</v>
      </c>
      <c r="T5521" t="s">
        <v>13290</v>
      </c>
      <c r="U5521" t="s">
        <v>13290</v>
      </c>
      <c r="V5521" t="s">
        <v>13290</v>
      </c>
      <c r="W5521" t="s">
        <v>18761</v>
      </c>
      <c r="X5521">
        <v>4</v>
      </c>
      <c r="Y5521" t="s">
        <v>25239</v>
      </c>
      <c r="Z5521" t="s">
        <v>31851</v>
      </c>
      <c r="AA5521">
        <v>0.44073674514777428</v>
      </c>
      <c r="AB5521" t="str">
        <f>HYPERLINK("Melting_Curves/meltCurve_Q9BZ29_3_DOCK9.pdf", "Melting_Curves/meltCurve_Q9BZ29_3_DOCK9.pdf")</f>
        <v>Melting_Curves/meltCurve_Q9BZ29_3_DOCK9.pdf</v>
      </c>
    </row>
    <row r="5522" spans="1:28" x14ac:dyDescent="0.25">
      <c r="A5522" t="s">
        <v>5526</v>
      </c>
      <c r="B5522">
        <v>0.99252571173614901</v>
      </c>
      <c r="C5522">
        <v>1.0235694277793701</v>
      </c>
      <c r="D5522">
        <v>0.90168402197250397</v>
      </c>
      <c r="E5522">
        <v>0.67726352861837902</v>
      </c>
      <c r="F5522">
        <v>0.27906929920870199</v>
      </c>
      <c r="G5522">
        <v>0.153602045001142</v>
      </c>
      <c r="H5522">
        <v>0.12734599534452101</v>
      </c>
      <c r="I5522">
        <v>0.146773296971037</v>
      </c>
      <c r="J5522">
        <v>0.23065210927111801</v>
      </c>
      <c r="K5522">
        <v>0.214358502002333</v>
      </c>
      <c r="L5522">
        <v>1592.9193198086</v>
      </c>
      <c r="M5522">
        <v>31.7550601715743</v>
      </c>
      <c r="N5522">
        <v>50.8260589959974</v>
      </c>
      <c r="O5522">
        <v>49.965003299945401</v>
      </c>
      <c r="P5522">
        <v>-0.13193205604932901</v>
      </c>
      <c r="Q5522">
        <v>0.16965007118216099</v>
      </c>
      <c r="R5522">
        <v>0.98937840035847602</v>
      </c>
      <c r="S5522" t="s">
        <v>12168</v>
      </c>
      <c r="T5522" t="s">
        <v>13290</v>
      </c>
      <c r="U5522" t="s">
        <v>13290</v>
      </c>
      <c r="V5522" t="s">
        <v>13290</v>
      </c>
      <c r="W5522" t="s">
        <v>18762</v>
      </c>
      <c r="X5522">
        <v>4</v>
      </c>
      <c r="Y5522" t="s">
        <v>25240</v>
      </c>
      <c r="Z5522" t="s">
        <v>31852</v>
      </c>
      <c r="AA5522">
        <v>0.4555270035943218</v>
      </c>
      <c r="AB5522" t="str">
        <f>HYPERLINK("Melting_Curves/meltCurve_Q9BZ67_2_FRMD8.pdf", "Melting_Curves/meltCurve_Q9BZ67_2_FRMD8.pdf")</f>
        <v>Melting_Curves/meltCurve_Q9BZ67_2_FRMD8.pdf</v>
      </c>
    </row>
    <row r="5523" spans="1:28" x14ac:dyDescent="0.25">
      <c r="A5523" t="s">
        <v>5527</v>
      </c>
      <c r="B5523">
        <v>0.99252571173614901</v>
      </c>
      <c r="C5523">
        <v>0.87780393871567197</v>
      </c>
      <c r="D5523">
        <v>0.57936149726100605</v>
      </c>
      <c r="E5523">
        <v>0.45365087941685001</v>
      </c>
      <c r="F5523">
        <v>0.35397403086988199</v>
      </c>
      <c r="G5523">
        <v>0.299221579931856</v>
      </c>
      <c r="H5523">
        <v>0.26787240380467597</v>
      </c>
      <c r="I5523">
        <v>0.36145104922127702</v>
      </c>
      <c r="J5523">
        <v>0.28952864747748402</v>
      </c>
      <c r="K5523">
        <v>0.18331024424661199</v>
      </c>
      <c r="L5523">
        <v>872.61898045651799</v>
      </c>
      <c r="M5523">
        <v>19.010295487933298</v>
      </c>
      <c r="N5523">
        <v>47.974821956342097</v>
      </c>
      <c r="O5523">
        <v>45.403555928699703</v>
      </c>
      <c r="P5523">
        <v>-7.5363584035727599E-2</v>
      </c>
      <c r="Q5523">
        <v>0.28004515510097799</v>
      </c>
      <c r="R5523">
        <v>0.96589473908601897</v>
      </c>
      <c r="S5523" t="s">
        <v>12169</v>
      </c>
      <c r="T5523" t="s">
        <v>13290</v>
      </c>
      <c r="U5523" t="s">
        <v>13290</v>
      </c>
      <c r="V5523" t="s">
        <v>13290</v>
      </c>
      <c r="W5523" t="s">
        <v>18763</v>
      </c>
      <c r="X5523">
        <v>2</v>
      </c>
      <c r="Y5523" t="s">
        <v>25241</v>
      </c>
      <c r="Z5523" t="s">
        <v>31853</v>
      </c>
      <c r="AA5523">
        <v>0.43428258734279318</v>
      </c>
      <c r="AB5523" t="str">
        <f>HYPERLINK("Melting_Curves/meltCurve_Q9BZ95_4_WHSC1L1.pdf", "Melting_Curves/meltCurve_Q9BZ95_4_WHSC1L1.pdf")</f>
        <v>Melting_Curves/meltCurve_Q9BZ95_4_WHSC1L1.pdf</v>
      </c>
    </row>
    <row r="5524" spans="1:28" x14ac:dyDescent="0.25">
      <c r="A5524" t="s">
        <v>5528</v>
      </c>
      <c r="B5524">
        <v>0.99252571173614901</v>
      </c>
      <c r="C5524">
        <v>0.998971424359966</v>
      </c>
      <c r="D5524">
        <v>0.93546266095348196</v>
      </c>
      <c r="E5524">
        <v>0.78972442652231101</v>
      </c>
      <c r="F5524">
        <v>0.61917025250505697</v>
      </c>
      <c r="G5524">
        <v>0.38507958928105401</v>
      </c>
      <c r="H5524">
        <v>0.31844426372108098</v>
      </c>
      <c r="I5524">
        <v>0.29524149162684599</v>
      </c>
      <c r="J5524">
        <v>0.38001858476419398</v>
      </c>
      <c r="K5524">
        <v>0.411594274818811</v>
      </c>
      <c r="L5524">
        <v>1119.7096573415599</v>
      </c>
      <c r="M5524">
        <v>21.673184575050001</v>
      </c>
      <c r="N5524">
        <v>54.527968241586599</v>
      </c>
      <c r="O5524">
        <v>51.229566530732797</v>
      </c>
      <c r="P5524">
        <v>-6.9820844529525E-2</v>
      </c>
      <c r="Q5524">
        <v>0.33986502416523501</v>
      </c>
      <c r="R5524">
        <v>0.97918314085687896</v>
      </c>
      <c r="S5524" t="s">
        <v>12170</v>
      </c>
      <c r="T5524" t="s">
        <v>13290</v>
      </c>
      <c r="U5524" t="s">
        <v>13290</v>
      </c>
      <c r="V5524" t="s">
        <v>13290</v>
      </c>
      <c r="W5524" t="s">
        <v>13587</v>
      </c>
      <c r="X5524">
        <v>4</v>
      </c>
      <c r="Y5524" t="s">
        <v>25242</v>
      </c>
      <c r="Z5524" t="s">
        <v>31854</v>
      </c>
      <c r="AA5524">
        <v>0.60439782312448076</v>
      </c>
      <c r="AB5524" t="str">
        <f>HYPERLINK("Melting_Curves/meltCurve_Q9BZE1_MRPL37.pdf", "Melting_Curves/meltCurve_Q9BZE1_MRPL37.pdf")</f>
        <v>Melting_Curves/meltCurve_Q9BZE1_MRPL37.pdf</v>
      </c>
    </row>
    <row r="5525" spans="1:28" x14ac:dyDescent="0.25">
      <c r="A5525" t="s">
        <v>5529</v>
      </c>
      <c r="B5525">
        <v>0.99252571173614901</v>
      </c>
      <c r="C5525">
        <v>0.96304155343454301</v>
      </c>
      <c r="D5525">
        <v>1.02071731685377</v>
      </c>
      <c r="E5525">
        <v>0.96187603496215301</v>
      </c>
      <c r="F5525">
        <v>0.241894422510922</v>
      </c>
      <c r="G5525">
        <v>0.107080650727571</v>
      </c>
      <c r="H5525">
        <v>7.1061533623005504E-2</v>
      </c>
      <c r="I5525">
        <v>7.4240776763404903E-2</v>
      </c>
      <c r="J5525">
        <v>9.3967080246983595E-2</v>
      </c>
      <c r="K5525">
        <v>8.6175146920213497E-2</v>
      </c>
      <c r="L5525">
        <v>3429.9665978604398</v>
      </c>
      <c r="M5525">
        <v>66.046975243058</v>
      </c>
      <c r="N5525">
        <v>52.080538959578703</v>
      </c>
      <c r="O5525">
        <v>51.884698639373603</v>
      </c>
      <c r="P5525">
        <v>-0.29095765043160798</v>
      </c>
      <c r="Q5525">
        <v>8.5727057907613993E-2</v>
      </c>
      <c r="R5525">
        <v>0.99858947780764395</v>
      </c>
      <c r="S5525" t="s">
        <v>12171</v>
      </c>
      <c r="T5525" t="s">
        <v>13290</v>
      </c>
      <c r="U5525" t="s">
        <v>13290</v>
      </c>
      <c r="V5525" t="s">
        <v>13290</v>
      </c>
      <c r="W5525" t="s">
        <v>18764</v>
      </c>
      <c r="X5525">
        <v>12</v>
      </c>
      <c r="Y5525" t="s">
        <v>25243</v>
      </c>
      <c r="Z5525" t="s">
        <v>31855</v>
      </c>
      <c r="AA5525">
        <v>0.45056826210984702</v>
      </c>
      <c r="AB5525" t="str">
        <f>HYPERLINK("Melting_Curves/meltCurve_Q9BZE2_PUS3.pdf", "Melting_Curves/meltCurve_Q9BZE2_PUS3.pdf")</f>
        <v>Melting_Curves/meltCurve_Q9BZE2_PUS3.pdf</v>
      </c>
    </row>
    <row r="5526" spans="1:28" x14ac:dyDescent="0.25">
      <c r="A5526" t="s">
        <v>5530</v>
      </c>
      <c r="B5526">
        <v>0.99252571173614901</v>
      </c>
      <c r="C5526">
        <v>1.0117138636191201</v>
      </c>
      <c r="D5526">
        <v>0.95901109146457597</v>
      </c>
      <c r="E5526">
        <v>0.92802260148485305</v>
      </c>
      <c r="F5526">
        <v>0.36739829111629002</v>
      </c>
      <c r="G5526">
        <v>0.21554432750284699</v>
      </c>
      <c r="H5526">
        <v>0.146212004753452</v>
      </c>
      <c r="I5526">
        <v>0.160279260504265</v>
      </c>
      <c r="J5526">
        <v>0.20370244870916801</v>
      </c>
      <c r="K5526">
        <v>0.23769541991396401</v>
      </c>
      <c r="L5526">
        <v>2594.6972460063198</v>
      </c>
      <c r="M5526">
        <v>50.030580812594998</v>
      </c>
      <c r="N5526">
        <v>52.363225754329399</v>
      </c>
      <c r="O5526">
        <v>51.779590427581901</v>
      </c>
      <c r="P5526">
        <v>-0.19561182082040501</v>
      </c>
      <c r="Q5526">
        <v>0.19020034224226601</v>
      </c>
      <c r="R5526">
        <v>0.99473096991454002</v>
      </c>
      <c r="S5526" t="s">
        <v>12172</v>
      </c>
      <c r="T5526" t="s">
        <v>13290</v>
      </c>
      <c r="U5526" t="s">
        <v>13290</v>
      </c>
      <c r="V5526" t="s">
        <v>13290</v>
      </c>
      <c r="W5526" t="s">
        <v>18765</v>
      </c>
      <c r="X5526">
        <v>13</v>
      </c>
      <c r="Y5526" t="s">
        <v>25244</v>
      </c>
      <c r="Z5526" t="s">
        <v>31856</v>
      </c>
      <c r="AA5526">
        <v>0.51225135782311026</v>
      </c>
      <c r="AB5526" t="str">
        <f>HYPERLINK("Melting_Curves/meltCurve_Q9BZE9_ASPSCR1.pdf", "Melting_Curves/meltCurve_Q9BZE9_ASPSCR1.pdf")</f>
        <v>Melting_Curves/meltCurve_Q9BZE9_ASPSCR1.pdf</v>
      </c>
    </row>
    <row r="5527" spans="1:28" x14ac:dyDescent="0.25">
      <c r="A5527" t="s">
        <v>5531</v>
      </c>
      <c r="B5527">
        <v>0.99252571173614901</v>
      </c>
      <c r="C5527">
        <v>0.87313807038996205</v>
      </c>
      <c r="D5527">
        <v>0.63169767713977598</v>
      </c>
      <c r="E5527">
        <v>0.30619976787615499</v>
      </c>
      <c r="F5527">
        <v>0.159879099114276</v>
      </c>
      <c r="G5527">
        <v>8.8916453075673599E-2</v>
      </c>
      <c r="H5527">
        <v>7.5414593918245801E-2</v>
      </c>
      <c r="I5527">
        <v>9.0291701723510004E-2</v>
      </c>
      <c r="J5527">
        <v>0.120035456973585</v>
      </c>
      <c r="K5527">
        <v>0.12912015061634699</v>
      </c>
      <c r="L5527">
        <v>1008.4783035144</v>
      </c>
      <c r="M5527">
        <v>21.562413418437998</v>
      </c>
      <c r="N5527">
        <v>47.237161135128602</v>
      </c>
      <c r="O5527">
        <v>46.373504036192102</v>
      </c>
      <c r="P5527">
        <v>-0.105088153987689</v>
      </c>
      <c r="Q5527">
        <v>9.5984856257490703E-2</v>
      </c>
      <c r="R5527">
        <v>0.99682671222476205</v>
      </c>
      <c r="S5527" t="s">
        <v>12173</v>
      </c>
      <c r="T5527" t="s">
        <v>13290</v>
      </c>
      <c r="U5527" t="s">
        <v>13290</v>
      </c>
      <c r="V5527" t="s">
        <v>13290</v>
      </c>
      <c r="W5527" t="s">
        <v>18766</v>
      </c>
      <c r="X5527">
        <v>11</v>
      </c>
      <c r="Y5527" t="s">
        <v>25245</v>
      </c>
      <c r="Z5527" t="s">
        <v>31857</v>
      </c>
      <c r="AA5527">
        <v>0.31129334230720662</v>
      </c>
      <c r="AB5527" t="str">
        <f>HYPERLINK("Melting_Curves/meltCurve_Q9BZF1_3_OSBPL8.pdf", "Melting_Curves/meltCurve_Q9BZF1_3_OSBPL8.pdf")</f>
        <v>Melting_Curves/meltCurve_Q9BZF1_3_OSBPL8.pdf</v>
      </c>
    </row>
    <row r="5528" spans="1:28" x14ac:dyDescent="0.25">
      <c r="A5528" t="s">
        <v>5532</v>
      </c>
      <c r="B5528">
        <v>0.99252571173614901</v>
      </c>
      <c r="C5528">
        <v>0.91143074564363902</v>
      </c>
      <c r="D5528">
        <v>0.96352398097763603</v>
      </c>
      <c r="E5528">
        <v>0.97469023449063596</v>
      </c>
      <c r="F5528">
        <v>0.55535933279376104</v>
      </c>
      <c r="G5528">
        <v>0.25265040970406999</v>
      </c>
      <c r="H5528">
        <v>0.17658585427370099</v>
      </c>
      <c r="I5528">
        <v>0.18600230587678199</v>
      </c>
      <c r="J5528">
        <v>0.22586102267904901</v>
      </c>
      <c r="K5528">
        <v>0.22352493256362299</v>
      </c>
      <c r="L5528">
        <v>2419.10418890442</v>
      </c>
      <c r="M5528">
        <v>45.693703016068099</v>
      </c>
      <c r="N5528">
        <v>53.561040313645101</v>
      </c>
      <c r="O5528">
        <v>52.840639038998802</v>
      </c>
      <c r="P5528">
        <v>-0.17182439926567999</v>
      </c>
      <c r="Q5528">
        <v>0.20520340321814601</v>
      </c>
      <c r="R5528">
        <v>0.99076698230210702</v>
      </c>
      <c r="S5528" t="s">
        <v>12174</v>
      </c>
      <c r="T5528" t="s">
        <v>13290</v>
      </c>
      <c r="U5528" t="s">
        <v>13290</v>
      </c>
      <c r="V5528" t="s">
        <v>13290</v>
      </c>
      <c r="W5528" t="s">
        <v>18767</v>
      </c>
      <c r="X5528">
        <v>5</v>
      </c>
      <c r="Y5528" t="s">
        <v>25246</v>
      </c>
      <c r="Z5528" t="s">
        <v>31858</v>
      </c>
      <c r="AA5528">
        <v>0.55029584952081489</v>
      </c>
      <c r="AB5528" t="str">
        <f>HYPERLINK("Melting_Curves/meltCurve_Q9BZH6_WDR11.pdf", "Melting_Curves/meltCurve_Q9BZH6_WDR11.pdf")</f>
        <v>Melting_Curves/meltCurve_Q9BZH6_WDR11.pdf</v>
      </c>
    </row>
    <row r="5529" spans="1:28" x14ac:dyDescent="0.25">
      <c r="A5529" t="s">
        <v>5533</v>
      </c>
      <c r="B5529">
        <v>0.99252571173614901</v>
      </c>
      <c r="C5529">
        <v>0.99020537641964701</v>
      </c>
      <c r="D5529">
        <v>0.93539637082314397</v>
      </c>
      <c r="E5529">
        <v>0.68021037629034897</v>
      </c>
      <c r="F5529">
        <v>0.53345899383877105</v>
      </c>
      <c r="G5529">
        <v>0.27035058617558</v>
      </c>
      <c r="H5529">
        <v>0.214616630613018</v>
      </c>
      <c r="I5529">
        <v>0.27899669245764103</v>
      </c>
      <c r="J5529">
        <v>0.38988824771908698</v>
      </c>
      <c r="K5529">
        <v>0.40474954182738498</v>
      </c>
      <c r="L5529">
        <v>1203.0428476034699</v>
      </c>
      <c r="M5529">
        <v>23.9413740778004</v>
      </c>
      <c r="N5529">
        <v>52.381808398484701</v>
      </c>
      <c r="O5529">
        <v>49.902890360430597</v>
      </c>
      <c r="P5529">
        <v>-8.2601300120970805E-2</v>
      </c>
      <c r="Q5529">
        <v>0.31132142573022198</v>
      </c>
      <c r="R5529">
        <v>0.95247678265303104</v>
      </c>
      <c r="S5529" t="s">
        <v>12175</v>
      </c>
      <c r="T5529" t="s">
        <v>13290</v>
      </c>
      <c r="U5529" t="s">
        <v>13290</v>
      </c>
      <c r="V5529" t="s">
        <v>13290</v>
      </c>
      <c r="W5529" t="s">
        <v>18768</v>
      </c>
      <c r="X5529">
        <v>13</v>
      </c>
      <c r="Y5529" t="s">
        <v>25247</v>
      </c>
      <c r="Z5529" t="s">
        <v>31859</v>
      </c>
      <c r="AA5529">
        <v>0.5533368478551941</v>
      </c>
      <c r="AB5529" t="str">
        <f>HYPERLINK("Melting_Curves/meltCurve_Q9BZI7_2_UPF3B.pdf", "Melting_Curves/meltCurve_Q9BZI7_2_UPF3B.pdf")</f>
        <v>Melting_Curves/meltCurve_Q9BZI7_2_UPF3B.pdf</v>
      </c>
    </row>
    <row r="5530" spans="1:28" x14ac:dyDescent="0.25">
      <c r="A5530" t="s">
        <v>5534</v>
      </c>
      <c r="B5530">
        <v>0.99252571173614901</v>
      </c>
      <c r="C5530">
        <v>0.94026027531188405</v>
      </c>
      <c r="D5530">
        <v>0.94125615467656598</v>
      </c>
      <c r="E5530">
        <v>0.80436633210827002</v>
      </c>
      <c r="F5530">
        <v>0.70032837364135103</v>
      </c>
      <c r="G5530">
        <v>0.498840012101324</v>
      </c>
      <c r="H5530">
        <v>0.37075343328183402</v>
      </c>
      <c r="I5530">
        <v>0.31838354451930001</v>
      </c>
      <c r="J5530">
        <v>0.18953747377351199</v>
      </c>
      <c r="K5530">
        <v>0.156437383216569</v>
      </c>
      <c r="L5530">
        <v>549.06725001619702</v>
      </c>
      <c r="M5530">
        <v>9.5817979959029405</v>
      </c>
      <c r="N5530">
        <v>57.463709522326504</v>
      </c>
      <c r="O5530">
        <v>54.973934797208997</v>
      </c>
      <c r="P5530">
        <v>-4.3023349327305997E-2</v>
      </c>
      <c r="Q5530">
        <v>1.32082612381935E-2</v>
      </c>
      <c r="R5530">
        <v>0.99507116380972904</v>
      </c>
      <c r="S5530" t="s">
        <v>12176</v>
      </c>
      <c r="T5530" t="s">
        <v>13290</v>
      </c>
      <c r="U5530" t="s">
        <v>13290</v>
      </c>
      <c r="V5530" t="s">
        <v>13290</v>
      </c>
      <c r="W5530" t="s">
        <v>18769</v>
      </c>
      <c r="X5530">
        <v>16</v>
      </c>
      <c r="Y5530" t="s">
        <v>25248</v>
      </c>
      <c r="Z5530" t="s">
        <v>31860</v>
      </c>
      <c r="AA5530">
        <v>0.59562111072983837</v>
      </c>
      <c r="AB5530" t="str">
        <f>HYPERLINK("Melting_Curves/meltCurve_Q9BZK7_TBL1XR1.pdf", "Melting_Curves/meltCurve_Q9BZK7_TBL1XR1.pdf")</f>
        <v>Melting_Curves/meltCurve_Q9BZK7_TBL1XR1.pdf</v>
      </c>
    </row>
    <row r="5531" spans="1:28" x14ac:dyDescent="0.25">
      <c r="A5531" t="s">
        <v>5535</v>
      </c>
      <c r="B5531">
        <v>0.99252571173614901</v>
      </c>
      <c r="C5531">
        <v>1.1635975905565099</v>
      </c>
      <c r="D5531">
        <v>0.70254775168878703</v>
      </c>
      <c r="E5531">
        <v>0.60520268382255304</v>
      </c>
      <c r="F5531">
        <v>0.235653950704479</v>
      </c>
      <c r="G5531">
        <v>0.144168966469893</v>
      </c>
      <c r="H5531">
        <v>0.12564235050630099</v>
      </c>
      <c r="I5531">
        <v>0.129501877764576</v>
      </c>
      <c r="J5531">
        <v>0.157240708711193</v>
      </c>
      <c r="K5531">
        <v>0.160910536326243</v>
      </c>
      <c r="L5531">
        <v>1082.6741135289799</v>
      </c>
      <c r="M5531">
        <v>22.010197034893402</v>
      </c>
      <c r="N5531">
        <v>49.873479931543798</v>
      </c>
      <c r="O5531">
        <v>48.7890240559354</v>
      </c>
      <c r="P5531">
        <v>-9.8094790933655293E-2</v>
      </c>
      <c r="Q5531">
        <v>0.13025015572396201</v>
      </c>
      <c r="R5531">
        <v>0.95092274308276703</v>
      </c>
      <c r="S5531" t="s">
        <v>12177</v>
      </c>
      <c r="T5531" t="s">
        <v>13290</v>
      </c>
      <c r="U5531" t="s">
        <v>13290</v>
      </c>
      <c r="V5531" t="s">
        <v>13290</v>
      </c>
      <c r="W5531" t="s">
        <v>18770</v>
      </c>
      <c r="X5531">
        <v>6</v>
      </c>
      <c r="Y5531" t="s">
        <v>25249</v>
      </c>
      <c r="Z5531" t="s">
        <v>31861</v>
      </c>
      <c r="AA5531">
        <v>0.40668875979278429</v>
      </c>
      <c r="AB5531" t="str">
        <f>HYPERLINK("Melting_Curves/meltCurve_Q9BZL1_UBL5.pdf", "Melting_Curves/meltCurve_Q9BZL1_UBL5.pdf")</f>
        <v>Melting_Curves/meltCurve_Q9BZL1_UBL5.pdf</v>
      </c>
    </row>
    <row r="5532" spans="1:28" x14ac:dyDescent="0.25">
      <c r="A5532" t="s">
        <v>5536</v>
      </c>
      <c r="B5532">
        <v>0.99252571173614901</v>
      </c>
      <c r="C5532">
        <v>1.1316544171823799</v>
      </c>
      <c r="D5532">
        <v>1.0658061796554501</v>
      </c>
      <c r="E5532">
        <v>1.0313862071306501</v>
      </c>
      <c r="F5532">
        <v>0.67249126397745196</v>
      </c>
      <c r="G5532">
        <v>0.53522668701612397</v>
      </c>
      <c r="H5532">
        <v>0.44817869927565901</v>
      </c>
      <c r="I5532">
        <v>0.58230610434276397</v>
      </c>
      <c r="J5532">
        <v>0.81788416921516205</v>
      </c>
      <c r="K5532">
        <v>0.794975109555633</v>
      </c>
      <c r="S5532" t="s">
        <v>12178</v>
      </c>
      <c r="T5532" t="s">
        <v>13290</v>
      </c>
      <c r="U5532" t="s">
        <v>13291</v>
      </c>
      <c r="V5532" t="s">
        <v>13290</v>
      </c>
      <c r="W5532" t="s">
        <v>18771</v>
      </c>
      <c r="X5532">
        <v>2</v>
      </c>
      <c r="Y5532" t="s">
        <v>25250</v>
      </c>
      <c r="Z5532" t="s">
        <v>31862</v>
      </c>
      <c r="AB5532" t="str">
        <f>HYPERLINK("Melting_Curves/meltCurve_Q9BZM1_PLA2G12A.pdf", "Melting_Curves/meltCurve_Q9BZM1_PLA2G12A.pdf")</f>
        <v>Melting_Curves/meltCurve_Q9BZM1_PLA2G12A.pdf</v>
      </c>
    </row>
    <row r="5533" spans="1:28" x14ac:dyDescent="0.25">
      <c r="A5533" t="s">
        <v>5537</v>
      </c>
      <c r="B5533">
        <v>0.99252571173614901</v>
      </c>
      <c r="C5533">
        <v>0.95024109680655999</v>
      </c>
      <c r="D5533">
        <v>0.88110467642485801</v>
      </c>
      <c r="E5533">
        <v>0.83660086751558305</v>
      </c>
      <c r="F5533">
        <v>0.55897836104263599</v>
      </c>
      <c r="G5533">
        <v>0.37503055041491201</v>
      </c>
      <c r="H5533">
        <v>0.227477481545417</v>
      </c>
      <c r="I5533">
        <v>0.25918491031249002</v>
      </c>
      <c r="J5533">
        <v>0.39585984116026501</v>
      </c>
      <c r="K5533">
        <v>0.45121194439444501</v>
      </c>
      <c r="L5533">
        <v>1288.19847358265</v>
      </c>
      <c r="M5533">
        <v>24.992324690497501</v>
      </c>
      <c r="N5533">
        <v>53.852215875474101</v>
      </c>
      <c r="O5533">
        <v>51.217165743791902</v>
      </c>
      <c r="P5533">
        <v>-8.1891368699545206E-2</v>
      </c>
      <c r="Q5533">
        <v>0.32872399720551398</v>
      </c>
      <c r="R5533">
        <v>0.93770948950584698</v>
      </c>
      <c r="S5533" t="s">
        <v>12179</v>
      </c>
      <c r="T5533" t="s">
        <v>13290</v>
      </c>
      <c r="U5533" t="s">
        <v>13290</v>
      </c>
      <c r="V5533" t="s">
        <v>13290</v>
      </c>
      <c r="W5533" t="s">
        <v>18772</v>
      </c>
      <c r="X5533">
        <v>1</v>
      </c>
      <c r="Y5533" t="s">
        <v>25251</v>
      </c>
      <c r="Z5533" t="s">
        <v>31863</v>
      </c>
      <c r="AA5533">
        <v>0.59312914211756251</v>
      </c>
      <c r="AB5533" t="str">
        <f>HYPERLINK("Melting_Curves/meltCurve_Q9BZM4_ULBP3.pdf", "Melting_Curves/meltCurve_Q9BZM4_ULBP3.pdf")</f>
        <v>Melting_Curves/meltCurve_Q9BZM4_ULBP3.pdf</v>
      </c>
    </row>
    <row r="5534" spans="1:28" x14ac:dyDescent="0.25">
      <c r="A5534" t="s">
        <v>5538</v>
      </c>
      <c r="B5534">
        <v>0.99252571173614901</v>
      </c>
      <c r="C5534">
        <v>1.0310082171053301</v>
      </c>
      <c r="D5534">
        <v>0.90267862752651096</v>
      </c>
      <c r="E5534">
        <v>0.903430458738127</v>
      </c>
      <c r="F5534">
        <v>0.70794477046356497</v>
      </c>
      <c r="G5534">
        <v>0.52622044621816599</v>
      </c>
      <c r="H5534">
        <v>0.34366068747384299</v>
      </c>
      <c r="I5534">
        <v>0.28068995395315</v>
      </c>
      <c r="J5534">
        <v>0.25797185910884302</v>
      </c>
      <c r="K5534">
        <v>0.20719078717443101</v>
      </c>
      <c r="L5534">
        <v>814.93347757382196</v>
      </c>
      <c r="M5534">
        <v>14.694899107813701</v>
      </c>
      <c r="N5534">
        <v>57.196843573959001</v>
      </c>
      <c r="O5534">
        <v>54.460258178623398</v>
      </c>
      <c r="P5534">
        <v>-5.53048083099449E-2</v>
      </c>
      <c r="Q5534">
        <v>0.18023679703152101</v>
      </c>
      <c r="R5534">
        <v>0.99316706288502299</v>
      </c>
      <c r="S5534" t="s">
        <v>12180</v>
      </c>
      <c r="T5534" t="s">
        <v>13290</v>
      </c>
      <c r="U5534" t="s">
        <v>13290</v>
      </c>
      <c r="V5534" t="s">
        <v>13290</v>
      </c>
      <c r="W5534" t="s">
        <v>18773</v>
      </c>
      <c r="X5534">
        <v>2</v>
      </c>
      <c r="Y5534" t="s">
        <v>25252</v>
      </c>
      <c r="Z5534" t="s">
        <v>31864</v>
      </c>
      <c r="AA5534">
        <v>0.61816989016489499</v>
      </c>
      <c r="AB5534" t="str">
        <f>HYPERLINK("Melting_Curves/meltCurve_Q9BZM5_ULBP2.pdf", "Melting_Curves/meltCurve_Q9BZM5_ULBP2.pdf")</f>
        <v>Melting_Curves/meltCurve_Q9BZM5_ULBP2.pdf</v>
      </c>
    </row>
    <row r="5535" spans="1:28" x14ac:dyDescent="0.25">
      <c r="A5535" t="s">
        <v>5539</v>
      </c>
      <c r="B5535">
        <v>0.99252571173614901</v>
      </c>
      <c r="C5535">
        <v>0.95479893696607099</v>
      </c>
      <c r="D5535">
        <v>0.90503803181128295</v>
      </c>
      <c r="E5535">
        <v>0.67096659060685604</v>
      </c>
      <c r="F5535">
        <v>0.55423218174892497</v>
      </c>
      <c r="G5535">
        <v>0.39429890065052597</v>
      </c>
      <c r="H5535">
        <v>0.25613466420561898</v>
      </c>
      <c r="I5535">
        <v>0.15663484857896701</v>
      </c>
      <c r="J5535">
        <v>0.111797720151999</v>
      </c>
      <c r="K5535">
        <v>9.1196330498752198E-2</v>
      </c>
      <c r="L5535">
        <v>576.41003112847</v>
      </c>
      <c r="M5535">
        <v>10.660143082552</v>
      </c>
      <c r="N5535">
        <v>54.158135229749398</v>
      </c>
      <c r="O5535">
        <v>52.2728488699819</v>
      </c>
      <c r="P5535">
        <v>-5.0571449878481098E-2</v>
      </c>
      <c r="Q5535">
        <v>8.4531573938176705E-3</v>
      </c>
      <c r="R5535">
        <v>0.99527203971126499</v>
      </c>
      <c r="S5535" t="s">
        <v>12181</v>
      </c>
      <c r="T5535" t="s">
        <v>13290</v>
      </c>
      <c r="U5535" t="s">
        <v>13290</v>
      </c>
      <c r="V5535" t="s">
        <v>13290</v>
      </c>
      <c r="W5535" t="s">
        <v>18774</v>
      </c>
      <c r="X5535">
        <v>7</v>
      </c>
      <c r="Y5535" t="s">
        <v>25253</v>
      </c>
      <c r="Z5535" t="s">
        <v>31865</v>
      </c>
      <c r="AA5535">
        <v>0.50189809419154008</v>
      </c>
      <c r="AB5535" t="str">
        <f>HYPERLINK("Melting_Curves/meltCurve_Q9BZX2_UCK2.pdf", "Melting_Curves/meltCurve_Q9BZX2_UCK2.pdf")</f>
        <v>Melting_Curves/meltCurve_Q9BZX2_UCK2.pdf</v>
      </c>
    </row>
    <row r="5536" spans="1:28" x14ac:dyDescent="0.25">
      <c r="A5536" t="s">
        <v>5540</v>
      </c>
      <c r="B5536">
        <v>0.99252571173614901</v>
      </c>
      <c r="C5536">
        <v>1.06925864240074</v>
      </c>
      <c r="D5536">
        <v>0.97057213719796898</v>
      </c>
      <c r="E5536">
        <v>0.87836893942890604</v>
      </c>
      <c r="F5536">
        <v>0.59990215003283398</v>
      </c>
      <c r="G5536">
        <v>0.16175693791366699</v>
      </c>
      <c r="H5536">
        <v>8.5875760091789599E-2</v>
      </c>
      <c r="I5536">
        <v>7.8887544309932001E-2</v>
      </c>
      <c r="J5536">
        <v>0.102897503131427</v>
      </c>
      <c r="K5536">
        <v>8.9546467998527599E-2</v>
      </c>
      <c r="L5536">
        <v>1709.4164076550401</v>
      </c>
      <c r="M5536">
        <v>32.004255626930103</v>
      </c>
      <c r="N5536">
        <v>53.697162518072602</v>
      </c>
      <c r="O5536">
        <v>53.2049241033207</v>
      </c>
      <c r="P5536">
        <v>-0.13863618388732499</v>
      </c>
      <c r="Q5536">
        <v>7.8111337368921493E-2</v>
      </c>
      <c r="R5536">
        <v>0.99368209521527795</v>
      </c>
      <c r="S5536" t="s">
        <v>12182</v>
      </c>
      <c r="T5536" t="s">
        <v>13290</v>
      </c>
      <c r="U5536" t="s">
        <v>13290</v>
      </c>
      <c r="V5536" t="s">
        <v>13290</v>
      </c>
      <c r="W5536" t="s">
        <v>18775</v>
      </c>
      <c r="X5536">
        <v>26</v>
      </c>
      <c r="Y5536" t="s">
        <v>25254</v>
      </c>
      <c r="Z5536" t="s">
        <v>31866</v>
      </c>
      <c r="AA5536">
        <v>0.49555877268176618</v>
      </c>
      <c r="AB5536" t="str">
        <f>HYPERLINK("Melting_Curves/meltCurve_Q9BZZ5_API5.pdf", "Melting_Curves/meltCurve_Q9BZZ5_API5.pdf")</f>
        <v>Melting_Curves/meltCurve_Q9BZZ5_API5.pdf</v>
      </c>
    </row>
    <row r="5537" spans="1:28" x14ac:dyDescent="0.25">
      <c r="A5537" t="s">
        <v>5541</v>
      </c>
      <c r="B5537">
        <v>0.99252571173614901</v>
      </c>
      <c r="C5537">
        <v>1.0771038744676</v>
      </c>
      <c r="D5537">
        <v>0.88567601666661899</v>
      </c>
      <c r="E5537">
        <v>0.86843919208194997</v>
      </c>
      <c r="F5537">
        <v>0.65099093696064303</v>
      </c>
      <c r="G5537">
        <v>0.169889004783286</v>
      </c>
      <c r="H5537">
        <v>8.2068582978227E-2</v>
      </c>
      <c r="I5537">
        <v>7.3082808558474002E-2</v>
      </c>
      <c r="J5537">
        <v>7.9973331012294799E-2</v>
      </c>
      <c r="K5537">
        <v>7.2501004263159002E-2</v>
      </c>
      <c r="L5537">
        <v>1637.1780539021699</v>
      </c>
      <c r="M5537">
        <v>30.454927176797799</v>
      </c>
      <c r="N5537">
        <v>53.991089928489799</v>
      </c>
      <c r="O5537">
        <v>53.527224665899901</v>
      </c>
      <c r="P5537">
        <v>-0.13345821616114201</v>
      </c>
      <c r="Q5537">
        <v>6.1747301774329501E-2</v>
      </c>
      <c r="R5537">
        <v>0.98444658474292102</v>
      </c>
      <c r="S5537" t="s">
        <v>12183</v>
      </c>
      <c r="T5537" t="s">
        <v>13290</v>
      </c>
      <c r="U5537" t="s">
        <v>13290</v>
      </c>
      <c r="V5537" t="s">
        <v>13290</v>
      </c>
      <c r="W5537" t="s">
        <v>18776</v>
      </c>
      <c r="X5537">
        <v>26</v>
      </c>
      <c r="Y5537" t="s">
        <v>25254</v>
      </c>
      <c r="Z5537" t="s">
        <v>31867</v>
      </c>
      <c r="AA5537">
        <v>0.49798021699319989</v>
      </c>
      <c r="AB5537" t="str">
        <f>HYPERLINK("Melting_Curves/meltCurve_Q9BZZ5_2_API5.pdf", "Melting_Curves/meltCurve_Q9BZZ5_2_API5.pdf")</f>
        <v>Melting_Curves/meltCurve_Q9BZZ5_2_API5.pdf</v>
      </c>
    </row>
    <row r="5538" spans="1:28" x14ac:dyDescent="0.25">
      <c r="A5538" t="s">
        <v>5542</v>
      </c>
      <c r="B5538">
        <v>0.99252571173614901</v>
      </c>
      <c r="C5538">
        <v>0.96167263636574596</v>
      </c>
      <c r="D5538">
        <v>0.88499325506934101</v>
      </c>
      <c r="E5538">
        <v>0.89763752412845899</v>
      </c>
      <c r="F5538">
        <v>0.57275386817663099</v>
      </c>
      <c r="G5538">
        <v>0.42700027429857701</v>
      </c>
      <c r="H5538">
        <v>0.39499952037804797</v>
      </c>
      <c r="I5538">
        <v>0.46494139439863502</v>
      </c>
      <c r="J5538">
        <v>0.687458361266718</v>
      </c>
      <c r="K5538">
        <v>0.54329135924476801</v>
      </c>
      <c r="L5538">
        <v>2348.6625102104399</v>
      </c>
      <c r="M5538">
        <v>46.069338920429701</v>
      </c>
      <c r="O5538">
        <v>50.885269152206199</v>
      </c>
      <c r="P5538">
        <v>-0.112308771983355</v>
      </c>
      <c r="Q5538">
        <v>0.50380417689466095</v>
      </c>
      <c r="R5538">
        <v>0.85793462803686804</v>
      </c>
      <c r="S5538" t="s">
        <v>12184</v>
      </c>
      <c r="T5538" t="s">
        <v>13290</v>
      </c>
      <c r="U5538" t="s">
        <v>13290</v>
      </c>
      <c r="V5538" t="s">
        <v>13290</v>
      </c>
      <c r="W5538" t="s">
        <v>18777</v>
      </c>
      <c r="X5538">
        <v>5</v>
      </c>
      <c r="Y5538" t="s">
        <v>25255</v>
      </c>
      <c r="Z5538" t="s">
        <v>31868</v>
      </c>
      <c r="AA5538">
        <v>0.68674453874044938</v>
      </c>
      <c r="AB5538" t="str">
        <f>HYPERLINK("Melting_Curves/meltCurve_Q9C004_SPRY4.pdf", "Melting_Curves/meltCurve_Q9C004_SPRY4.pdf")</f>
        <v>Melting_Curves/meltCurve_Q9C004_SPRY4.pdf</v>
      </c>
    </row>
    <row r="5539" spans="1:28" x14ac:dyDescent="0.25">
      <c r="A5539" t="s">
        <v>5543</v>
      </c>
      <c r="B5539">
        <v>0.99252571173614901</v>
      </c>
      <c r="C5539">
        <v>1.06056753811885</v>
      </c>
      <c r="D5539">
        <v>1.05979060231072</v>
      </c>
      <c r="E5539">
        <v>1.05326841706909</v>
      </c>
      <c r="F5539">
        <v>0.88845588900899897</v>
      </c>
      <c r="G5539">
        <v>0.893069858056182</v>
      </c>
      <c r="H5539">
        <v>1.1024576883220101</v>
      </c>
      <c r="I5539">
        <v>1.44006251936312</v>
      </c>
      <c r="J5539">
        <v>2.4611867820698698</v>
      </c>
      <c r="K5539">
        <v>2.8509038276974898</v>
      </c>
      <c r="L5539">
        <v>5553.7565935267403</v>
      </c>
      <c r="M5539">
        <v>89.923931331829706</v>
      </c>
      <c r="O5539">
        <v>61.730083648042203</v>
      </c>
      <c r="P5539">
        <v>0.18209100072066201</v>
      </c>
      <c r="Q5539">
        <v>1.5</v>
      </c>
      <c r="R5539">
        <v>0.36020743970589197</v>
      </c>
      <c r="S5539" t="s">
        <v>12185</v>
      </c>
      <c r="T5539" t="s">
        <v>13290</v>
      </c>
      <c r="U5539" t="s">
        <v>13290</v>
      </c>
      <c r="V5539" t="s">
        <v>13290</v>
      </c>
      <c r="W5539" t="s">
        <v>18778</v>
      </c>
      <c r="X5539">
        <v>5</v>
      </c>
      <c r="Y5539" t="s">
        <v>25256</v>
      </c>
      <c r="Z5539" t="s">
        <v>31869</v>
      </c>
      <c r="AA5539">
        <v>1.136904095944079</v>
      </c>
      <c r="AB5539" t="str">
        <f>HYPERLINK("Melting_Curves/meltCurve_Q9C005_DPY30.pdf", "Melting_Curves/meltCurve_Q9C005_DPY30.pdf")</f>
        <v>Melting_Curves/meltCurve_Q9C005_DPY30.pdf</v>
      </c>
    </row>
    <row r="5540" spans="1:28" x14ac:dyDescent="0.25">
      <c r="A5540" t="s">
        <v>5544</v>
      </c>
      <c r="B5540">
        <v>0.99252571173614901</v>
      </c>
      <c r="C5540">
        <v>0.88656203260264599</v>
      </c>
      <c r="D5540">
        <v>0.74584923682712401</v>
      </c>
      <c r="E5540">
        <v>0.44698199912338399</v>
      </c>
      <c r="F5540">
        <v>0.16327697975632099</v>
      </c>
      <c r="G5540">
        <v>8.5192930974765699E-2</v>
      </c>
      <c r="H5540">
        <v>5.5432450514199698E-2</v>
      </c>
      <c r="I5540">
        <v>6.2756156887766104E-2</v>
      </c>
      <c r="J5540">
        <v>9.198536229715E-2</v>
      </c>
      <c r="K5540">
        <v>0.12618400470685801</v>
      </c>
      <c r="L5540">
        <v>966.326853859724</v>
      </c>
      <c r="M5540">
        <v>20.0236988802464</v>
      </c>
      <c r="N5540">
        <v>48.619714364699497</v>
      </c>
      <c r="O5540">
        <v>47.785563010333703</v>
      </c>
      <c r="P5540">
        <v>-9.75332854115048E-2</v>
      </c>
      <c r="Q5540">
        <v>6.8996789429847202E-2</v>
      </c>
      <c r="R5540">
        <v>0.99259455705229804</v>
      </c>
      <c r="S5540" t="s">
        <v>12186</v>
      </c>
      <c r="T5540" t="s">
        <v>13290</v>
      </c>
      <c r="U5540" t="s">
        <v>13290</v>
      </c>
      <c r="V5540" t="s">
        <v>13290</v>
      </c>
      <c r="W5540" t="s">
        <v>18779</v>
      </c>
      <c r="X5540">
        <v>8</v>
      </c>
      <c r="Y5540" t="s">
        <v>25257</v>
      </c>
      <c r="Z5540" t="s">
        <v>31870</v>
      </c>
      <c r="AA5540">
        <v>0.33844064636519461</v>
      </c>
      <c r="AB5540" t="str">
        <f>HYPERLINK("Melting_Curves/meltCurve_Q9C037_2_TRIM4.pdf", "Melting_Curves/meltCurve_Q9C037_2_TRIM4.pdf")</f>
        <v>Melting_Curves/meltCurve_Q9C037_2_TRIM4.pdf</v>
      </c>
    </row>
    <row r="5541" spans="1:28" x14ac:dyDescent="0.25">
      <c r="A5541" t="s">
        <v>5545</v>
      </c>
      <c r="B5541">
        <v>0.99252571173614901</v>
      </c>
      <c r="C5541">
        <v>0.93326397765124702</v>
      </c>
      <c r="D5541">
        <v>0.79625062944220604</v>
      </c>
      <c r="E5541">
        <v>0.45371742913340102</v>
      </c>
      <c r="F5541">
        <v>0.199018618400814</v>
      </c>
      <c r="G5541">
        <v>0.111926050580907</v>
      </c>
      <c r="H5541">
        <v>7.1318390202566806E-2</v>
      </c>
      <c r="I5541">
        <v>7.0848426439378401E-2</v>
      </c>
      <c r="J5541">
        <v>6.8571280497280507E-2</v>
      </c>
      <c r="K5541">
        <v>5.4779362607877899E-2</v>
      </c>
      <c r="L5541">
        <v>1002.23214733733</v>
      </c>
      <c r="M5541">
        <v>20.537415352475801</v>
      </c>
      <c r="N5541">
        <v>49.101441991346398</v>
      </c>
      <c r="O5541">
        <v>48.344694696103097</v>
      </c>
      <c r="P5541">
        <v>-9.9921668479346096E-2</v>
      </c>
      <c r="Q5541">
        <v>5.9172604782176501E-2</v>
      </c>
      <c r="R5541">
        <v>0.99971075526940301</v>
      </c>
      <c r="S5541" t="s">
        <v>12187</v>
      </c>
      <c r="T5541" t="s">
        <v>13290</v>
      </c>
      <c r="U5541" t="s">
        <v>13290</v>
      </c>
      <c r="V5541" t="s">
        <v>13290</v>
      </c>
      <c r="W5541" t="s">
        <v>18780</v>
      </c>
      <c r="X5541">
        <v>4</v>
      </c>
      <c r="Y5541" t="s">
        <v>25258</v>
      </c>
      <c r="Z5541" t="s">
        <v>31871</v>
      </c>
      <c r="AA5541">
        <v>0.34766417723465909</v>
      </c>
      <c r="AB5541" t="str">
        <f>HYPERLINK("Melting_Curves/meltCurve_Q9C040_TRIM2.pdf", "Melting_Curves/meltCurve_Q9C040_TRIM2.pdf")</f>
        <v>Melting_Curves/meltCurve_Q9C040_TRIM2.pdf</v>
      </c>
    </row>
    <row r="5542" spans="1:28" x14ac:dyDescent="0.25">
      <c r="A5542" t="s">
        <v>5546</v>
      </c>
      <c r="B5542">
        <v>0.99252571173614901</v>
      </c>
      <c r="C5542">
        <v>1.0829448228427401</v>
      </c>
      <c r="D5542">
        <v>0.92224004640380397</v>
      </c>
      <c r="E5542">
        <v>0.68317726347381702</v>
      </c>
      <c r="F5542">
        <v>0.316973821753466</v>
      </c>
      <c r="G5542">
        <v>0.19809723231024201</v>
      </c>
      <c r="H5542">
        <v>0.158261602902799</v>
      </c>
      <c r="I5542">
        <v>0.19670511458121701</v>
      </c>
      <c r="J5542">
        <v>0.30156408021486503</v>
      </c>
      <c r="K5542">
        <v>0.386148972599689</v>
      </c>
      <c r="L5542">
        <v>1846.6319873322</v>
      </c>
      <c r="M5542">
        <v>36.965594814975098</v>
      </c>
      <c r="N5542">
        <v>50.891336321637198</v>
      </c>
      <c r="O5542">
        <v>49.809901480439002</v>
      </c>
      <c r="P5542">
        <v>-0.13977325032439</v>
      </c>
      <c r="Q5542">
        <v>0.24664304957061001</v>
      </c>
      <c r="R5542">
        <v>0.96095669081214197</v>
      </c>
      <c r="S5542" t="s">
        <v>12188</v>
      </c>
      <c r="T5542" t="s">
        <v>13290</v>
      </c>
      <c r="U5542" t="s">
        <v>13290</v>
      </c>
      <c r="V5542" t="s">
        <v>13290</v>
      </c>
      <c r="W5542" t="s">
        <v>18781</v>
      </c>
      <c r="X5542">
        <v>7</v>
      </c>
      <c r="Y5542" t="s">
        <v>25259</v>
      </c>
      <c r="Z5542" t="s">
        <v>31872</v>
      </c>
      <c r="AA5542">
        <v>0.49969447633100061</v>
      </c>
      <c r="AB5542" t="str">
        <f>HYPERLINK("Melting_Curves/meltCurve_Q9C0B0_UNK.pdf", "Melting_Curves/meltCurve_Q9C0B0_UNK.pdf")</f>
        <v>Melting_Curves/meltCurve_Q9C0B0_UNK.pdf</v>
      </c>
    </row>
    <row r="5543" spans="1:28" x14ac:dyDescent="0.25">
      <c r="A5543" t="s">
        <v>5547</v>
      </c>
      <c r="B5543">
        <v>0.99252571173614901</v>
      </c>
      <c r="C5543">
        <v>1.0520147198852301</v>
      </c>
      <c r="D5543">
        <v>0.96036472698048503</v>
      </c>
      <c r="E5543">
        <v>0.81938210957741198</v>
      </c>
      <c r="F5543">
        <v>0.68599732235102795</v>
      </c>
      <c r="G5543">
        <v>0.51544574808604304</v>
      </c>
      <c r="H5543">
        <v>0.307407352194845</v>
      </c>
      <c r="I5543">
        <v>0.24258081064124701</v>
      </c>
      <c r="J5543">
        <v>0.24949498568510201</v>
      </c>
      <c r="K5543">
        <v>0.22944894527669499</v>
      </c>
      <c r="L5543">
        <v>824.84804462192596</v>
      </c>
      <c r="M5543">
        <v>15.080304862213801</v>
      </c>
      <c r="N5543">
        <v>56.452528465981501</v>
      </c>
      <c r="O5543">
        <v>53.762261433874102</v>
      </c>
      <c r="P5543">
        <v>-5.7005322019636699E-2</v>
      </c>
      <c r="Q5543">
        <v>0.18716980043116799</v>
      </c>
      <c r="R5543">
        <v>0.99161396591680395</v>
      </c>
      <c r="S5543" t="s">
        <v>12189</v>
      </c>
      <c r="T5543" t="s">
        <v>13290</v>
      </c>
      <c r="U5543" t="s">
        <v>13290</v>
      </c>
      <c r="V5543" t="s">
        <v>13290</v>
      </c>
      <c r="W5543" t="s">
        <v>18782</v>
      </c>
      <c r="X5543">
        <v>27</v>
      </c>
      <c r="Y5543" t="s">
        <v>25260</v>
      </c>
      <c r="Z5543" t="s">
        <v>31873</v>
      </c>
      <c r="AA5543">
        <v>0.60128176012950951</v>
      </c>
      <c r="AB5543" t="str">
        <f>HYPERLINK("Melting_Curves/meltCurve_Q9C0B1_FTO.pdf", "Melting_Curves/meltCurve_Q9C0B1_FTO.pdf")</f>
        <v>Melting_Curves/meltCurve_Q9C0B1_FTO.pdf</v>
      </c>
    </row>
    <row r="5544" spans="1:28" x14ac:dyDescent="0.25">
      <c r="A5544" t="s">
        <v>5548</v>
      </c>
      <c r="B5544">
        <v>0.99252571173614901</v>
      </c>
      <c r="C5544">
        <v>0.93126992054386304</v>
      </c>
      <c r="D5544">
        <v>0.86021672663696402</v>
      </c>
      <c r="E5544">
        <v>1.0129224229728899</v>
      </c>
      <c r="F5544">
        <v>0.79701741536320803</v>
      </c>
      <c r="G5544">
        <v>0.64361427523149595</v>
      </c>
      <c r="H5544">
        <v>0.58395686361301402</v>
      </c>
      <c r="I5544">
        <v>0.67428619950945601</v>
      </c>
      <c r="J5544">
        <v>0.96560615285334594</v>
      </c>
      <c r="K5544">
        <v>0.70401262042834101</v>
      </c>
      <c r="L5544">
        <v>13252.245949186099</v>
      </c>
      <c r="M5544">
        <v>250</v>
      </c>
      <c r="O5544">
        <v>53.005594879585601</v>
      </c>
      <c r="P5544">
        <v>-0.33688047043906</v>
      </c>
      <c r="Q5544">
        <v>0.71429522231535403</v>
      </c>
      <c r="R5544">
        <v>0.50321082623430302</v>
      </c>
      <c r="S5544" t="s">
        <v>12190</v>
      </c>
      <c r="T5544" t="s">
        <v>13290</v>
      </c>
      <c r="U5544" t="s">
        <v>13290</v>
      </c>
      <c r="V5544" t="s">
        <v>13290</v>
      </c>
      <c r="W5544" t="s">
        <v>18783</v>
      </c>
      <c r="X5544">
        <v>11</v>
      </c>
      <c r="Y5544" t="s">
        <v>25261</v>
      </c>
      <c r="Z5544" t="s">
        <v>31874</v>
      </c>
      <c r="AA5544">
        <v>0.83821276219919316</v>
      </c>
      <c r="AB5544" t="str">
        <f>HYPERLINK("Melting_Curves/meltCurve_Q9C0B5_2_ZDHHC5.pdf", "Melting_Curves/meltCurve_Q9C0B5_2_ZDHHC5.pdf")</f>
        <v>Melting_Curves/meltCurve_Q9C0B5_2_ZDHHC5.pdf</v>
      </c>
    </row>
    <row r="5545" spans="1:28" x14ac:dyDescent="0.25">
      <c r="A5545" t="s">
        <v>5549</v>
      </c>
      <c r="B5545">
        <v>0.99252571173614901</v>
      </c>
      <c r="C5545">
        <v>0.90391155883721896</v>
      </c>
      <c r="D5545">
        <v>0.70185518610864495</v>
      </c>
      <c r="E5545">
        <v>0.35185531637809803</v>
      </c>
      <c r="F5545">
        <v>0.207171694979291</v>
      </c>
      <c r="G5545">
        <v>0.116370783515184</v>
      </c>
      <c r="H5545">
        <v>0.104740167913538</v>
      </c>
      <c r="I5545">
        <v>0.129146401872199</v>
      </c>
      <c r="J5545">
        <v>0.22250461767888099</v>
      </c>
      <c r="K5545">
        <v>0.148826639890389</v>
      </c>
      <c r="L5545">
        <v>1095.65678344863</v>
      </c>
      <c r="M5545">
        <v>23.224550821551901</v>
      </c>
      <c r="N5545">
        <v>47.862405846826697</v>
      </c>
      <c r="O5545">
        <v>46.831067368949597</v>
      </c>
      <c r="P5545">
        <v>-0.106436176036438</v>
      </c>
      <c r="Q5545">
        <v>0.14152399383985501</v>
      </c>
      <c r="R5545">
        <v>0.99006464570355002</v>
      </c>
      <c r="S5545" t="s">
        <v>12191</v>
      </c>
      <c r="T5545" t="s">
        <v>13290</v>
      </c>
      <c r="U5545" t="s">
        <v>13290</v>
      </c>
      <c r="V5545" t="s">
        <v>13290</v>
      </c>
      <c r="W5545" t="s">
        <v>18784</v>
      </c>
      <c r="X5545">
        <v>2</v>
      </c>
      <c r="Y5545" t="s">
        <v>25262</v>
      </c>
      <c r="Z5545" t="s">
        <v>31875</v>
      </c>
      <c r="AA5545">
        <v>0.35587295140720349</v>
      </c>
      <c r="AB5545" t="str">
        <f>HYPERLINK("Melting_Curves/meltCurve_Q9C0B7_TANGO6.pdf", "Melting_Curves/meltCurve_Q9C0B7_TANGO6.pdf")</f>
        <v>Melting_Curves/meltCurve_Q9C0B7_TANGO6.pdf</v>
      </c>
    </row>
    <row r="5546" spans="1:28" x14ac:dyDescent="0.25">
      <c r="A5546" t="s">
        <v>5550</v>
      </c>
      <c r="B5546">
        <v>0.99252571173614901</v>
      </c>
      <c r="C5546">
        <v>0.98954634492993199</v>
      </c>
      <c r="D5546">
        <v>1.04572184005576</v>
      </c>
      <c r="E5546">
        <v>1.1352762642162999</v>
      </c>
      <c r="F5546">
        <v>1.0428168126411499</v>
      </c>
      <c r="G5546">
        <v>0.847361028754407</v>
      </c>
      <c r="H5546">
        <v>1.03213637474876</v>
      </c>
      <c r="I5546">
        <v>1.5368100779898199</v>
      </c>
      <c r="J5546">
        <v>2.3362565030012199</v>
      </c>
      <c r="K5546">
        <v>2.66118256499478</v>
      </c>
      <c r="L5546">
        <v>15000</v>
      </c>
      <c r="M5546">
        <v>244.03363723239801</v>
      </c>
      <c r="O5546">
        <v>61.462785261613497</v>
      </c>
      <c r="P5546">
        <v>0.49630346574732598</v>
      </c>
      <c r="Q5546">
        <v>1.5</v>
      </c>
      <c r="R5546">
        <v>0.41321555093812501</v>
      </c>
      <c r="S5546" t="s">
        <v>12192</v>
      </c>
      <c r="T5546" t="s">
        <v>13290</v>
      </c>
      <c r="U5546" t="s">
        <v>13290</v>
      </c>
      <c r="V5546" t="s">
        <v>13290</v>
      </c>
      <c r="W5546" t="s">
        <v>18785</v>
      </c>
      <c r="X5546">
        <v>75</v>
      </c>
      <c r="Y5546" t="s">
        <v>25263</v>
      </c>
      <c r="Z5546" t="s">
        <v>31876</v>
      </c>
      <c r="AA5546">
        <v>1.142161123700014</v>
      </c>
      <c r="AB5546" t="str">
        <f>HYPERLINK("Melting_Curves/meltCurve_Q9C0C2_TNKS1BP1.pdf", "Melting_Curves/meltCurve_Q9C0C2_TNKS1BP1.pdf")</f>
        <v>Melting_Curves/meltCurve_Q9C0C2_TNKS1BP1.pdf</v>
      </c>
    </row>
    <row r="5547" spans="1:28" x14ac:dyDescent="0.25">
      <c r="A5547" t="s">
        <v>5551</v>
      </c>
      <c r="B5547">
        <v>0.99252571173614901</v>
      </c>
      <c r="C5547">
        <v>0.95405192551714502</v>
      </c>
      <c r="D5547">
        <v>0.82916749238094101</v>
      </c>
      <c r="E5547">
        <v>0.65715434853001498</v>
      </c>
      <c r="F5547">
        <v>0.50464866892141902</v>
      </c>
      <c r="G5547">
        <v>0.39601859620012297</v>
      </c>
      <c r="H5547">
        <v>0.29181105599021601</v>
      </c>
      <c r="I5547">
        <v>0.30864465653508599</v>
      </c>
      <c r="J5547">
        <v>0.30892766692286699</v>
      </c>
      <c r="K5547">
        <v>0.172111425537225</v>
      </c>
      <c r="L5547">
        <v>635.23322713919094</v>
      </c>
      <c r="M5547">
        <v>12.486251362887799</v>
      </c>
      <c r="N5547">
        <v>53.3367555825415</v>
      </c>
      <c r="O5547">
        <v>49.622556315025498</v>
      </c>
      <c r="P5547">
        <v>-4.9137316738857503E-2</v>
      </c>
      <c r="Q5547">
        <v>0.21904006627335099</v>
      </c>
      <c r="R5547">
        <v>0.98661373886469395</v>
      </c>
      <c r="S5547" t="s">
        <v>12193</v>
      </c>
      <c r="T5547" t="s">
        <v>13290</v>
      </c>
      <c r="U5547" t="s">
        <v>13290</v>
      </c>
      <c r="V5547" t="s">
        <v>13290</v>
      </c>
      <c r="W5547" t="s">
        <v>18786</v>
      </c>
      <c r="X5547">
        <v>1</v>
      </c>
      <c r="Y5547" t="s">
        <v>25264</v>
      </c>
      <c r="Z5547" t="s">
        <v>31877</v>
      </c>
      <c r="AA5547">
        <v>0.52633853520561535</v>
      </c>
      <c r="AB5547" t="str">
        <f>HYPERLINK("Melting_Curves/meltCurve_Q9C0C7_6_AMBRA1.pdf", "Melting_Curves/meltCurve_Q9C0C7_6_AMBRA1.pdf")</f>
        <v>Melting_Curves/meltCurve_Q9C0C7_6_AMBRA1.pdf</v>
      </c>
    </row>
    <row r="5548" spans="1:28" x14ac:dyDescent="0.25">
      <c r="A5548" t="s">
        <v>5552</v>
      </c>
      <c r="B5548">
        <v>0.99252571173614901</v>
      </c>
      <c r="C5548">
        <v>0.98128022968304496</v>
      </c>
      <c r="D5548">
        <v>0.95586058526195306</v>
      </c>
      <c r="E5548">
        <v>0.63813155095724405</v>
      </c>
      <c r="F5548">
        <v>0.19620724367815001</v>
      </c>
      <c r="G5548">
        <v>0.118959011814083</v>
      </c>
      <c r="H5548">
        <v>8.7350254166745994E-2</v>
      </c>
      <c r="I5548">
        <v>8.6673282935012905E-2</v>
      </c>
      <c r="J5548">
        <v>9.35166512809118E-2</v>
      </c>
      <c r="K5548">
        <v>9.1817958164740796E-2</v>
      </c>
      <c r="L5548">
        <v>1729.1525610389399</v>
      </c>
      <c r="M5548">
        <v>34.464052790046402</v>
      </c>
      <c r="N5548">
        <v>50.466304143935901</v>
      </c>
      <c r="O5548">
        <v>50.004619650007598</v>
      </c>
      <c r="P5548">
        <v>-0.156648955687332</v>
      </c>
      <c r="Q5548">
        <v>9.0862341174785199E-2</v>
      </c>
      <c r="R5548">
        <v>0.99960525905942998</v>
      </c>
      <c r="S5548" t="s">
        <v>12194</v>
      </c>
      <c r="T5548" t="s">
        <v>13290</v>
      </c>
      <c r="U5548" t="s">
        <v>13290</v>
      </c>
      <c r="V5548" t="s">
        <v>13290</v>
      </c>
      <c r="W5548" t="s">
        <v>18787</v>
      </c>
      <c r="X5548">
        <v>34</v>
      </c>
      <c r="Y5548" t="s">
        <v>21114</v>
      </c>
      <c r="Z5548" t="s">
        <v>31878</v>
      </c>
      <c r="AA5548">
        <v>0.4034005292070495</v>
      </c>
      <c r="AB5548" t="str">
        <f>HYPERLINK("Melting_Curves/meltCurve_Q9C0C9_UBE2O.pdf", "Melting_Curves/meltCurve_Q9C0C9_UBE2O.pdf")</f>
        <v>Melting_Curves/meltCurve_Q9C0C9_UBE2O.pdf</v>
      </c>
    </row>
    <row r="5549" spans="1:28" x14ac:dyDescent="0.25">
      <c r="A5549" t="s">
        <v>5553</v>
      </c>
      <c r="B5549">
        <v>0.99252571173614901</v>
      </c>
      <c r="C5549">
        <v>1.0192275565465601</v>
      </c>
      <c r="D5549">
        <v>0.95396168282245497</v>
      </c>
      <c r="E5549">
        <v>0.82106128319113902</v>
      </c>
      <c r="F5549">
        <v>0.470094812000171</v>
      </c>
      <c r="G5549">
        <v>0.17639489484728499</v>
      </c>
      <c r="H5549">
        <v>0.13231076608070799</v>
      </c>
      <c r="I5549">
        <v>0.109414717168364</v>
      </c>
      <c r="J5549">
        <v>0.13938754864729999</v>
      </c>
      <c r="K5549">
        <v>0.156424487800364</v>
      </c>
      <c r="L5549">
        <v>1442.00256325278</v>
      </c>
      <c r="M5549">
        <v>27.636695503696298</v>
      </c>
      <c r="N5549">
        <v>52.720556362068898</v>
      </c>
      <c r="O5549">
        <v>51.9062067449956</v>
      </c>
      <c r="P5549">
        <v>-0.11661098875515601</v>
      </c>
      <c r="Q5549">
        <v>0.123950377066998</v>
      </c>
      <c r="R5549">
        <v>0.99701906278385</v>
      </c>
      <c r="S5549" t="s">
        <v>12195</v>
      </c>
      <c r="T5549" t="s">
        <v>13290</v>
      </c>
      <c r="U5549" t="s">
        <v>13290</v>
      </c>
      <c r="V5549" t="s">
        <v>13290</v>
      </c>
      <c r="W5549" t="s">
        <v>18788</v>
      </c>
      <c r="X5549">
        <v>3</v>
      </c>
      <c r="Y5549" t="s">
        <v>25265</v>
      </c>
      <c r="Z5549" t="s">
        <v>31879</v>
      </c>
      <c r="AA5549">
        <v>0.48613823897128849</v>
      </c>
      <c r="AB5549" t="str">
        <f>HYPERLINK("Melting_Curves/meltCurve_Q9C0D3_ZYG11B.pdf", "Melting_Curves/meltCurve_Q9C0D3_ZYG11B.pdf")</f>
        <v>Melting_Curves/meltCurve_Q9C0D3_ZYG11B.pdf</v>
      </c>
    </row>
    <row r="5550" spans="1:28" x14ac:dyDescent="0.25">
      <c r="A5550" t="s">
        <v>5554</v>
      </c>
      <c r="B5550">
        <v>0.99252571173614901</v>
      </c>
      <c r="C5550">
        <v>0.91958141502213797</v>
      </c>
      <c r="D5550">
        <v>0.78162571010702098</v>
      </c>
      <c r="E5550">
        <v>0.32175458948677499</v>
      </c>
      <c r="F5550">
        <v>0.18769868887007399</v>
      </c>
      <c r="G5550">
        <v>0.12651220943927599</v>
      </c>
      <c r="H5550">
        <v>0.11381002186842799</v>
      </c>
      <c r="I5550">
        <v>0.13074612802229399</v>
      </c>
      <c r="J5550">
        <v>0.160358810312796</v>
      </c>
      <c r="K5550">
        <v>0.20123212060996801</v>
      </c>
      <c r="L5550">
        <v>1420.08705225166</v>
      </c>
      <c r="M5550">
        <v>29.9063987070009</v>
      </c>
      <c r="N5550">
        <v>48.0374759989814</v>
      </c>
      <c r="O5550">
        <v>47.273593303302803</v>
      </c>
      <c r="P5550">
        <v>-0.135121129255447</v>
      </c>
      <c r="Q5550">
        <v>0.14565184474005699</v>
      </c>
      <c r="R5550">
        <v>0.993032290855283</v>
      </c>
      <c r="S5550" t="s">
        <v>12196</v>
      </c>
      <c r="T5550" t="s">
        <v>13290</v>
      </c>
      <c r="U5550" t="s">
        <v>13290</v>
      </c>
      <c r="V5550" t="s">
        <v>13290</v>
      </c>
      <c r="W5550" t="s">
        <v>18789</v>
      </c>
      <c r="X5550">
        <v>9</v>
      </c>
      <c r="Y5550" t="s">
        <v>25266</v>
      </c>
      <c r="Z5550" t="s">
        <v>31880</v>
      </c>
      <c r="AA5550">
        <v>0.36395355767221038</v>
      </c>
      <c r="AB5550" t="str">
        <f>HYPERLINK("Melting_Curves/meltCurve_Q9C0D5_2_TANC1.pdf", "Melting_Curves/meltCurve_Q9C0D5_2_TANC1.pdf")</f>
        <v>Melting_Curves/meltCurve_Q9C0D5_2_TANC1.pdf</v>
      </c>
    </row>
    <row r="5551" spans="1:28" x14ac:dyDescent="0.25">
      <c r="A5551" t="s">
        <v>5555</v>
      </c>
      <c r="B5551">
        <v>0.99252571173614901</v>
      </c>
      <c r="C5551">
        <v>0.90585662234377795</v>
      </c>
      <c r="D5551">
        <v>0.56235170540999402</v>
      </c>
      <c r="E5551">
        <v>0.238887433153847</v>
      </c>
      <c r="F5551">
        <v>0.68578881778604694</v>
      </c>
      <c r="G5551">
        <v>0.195150870190653</v>
      </c>
      <c r="H5551">
        <v>0.14939314346777099</v>
      </c>
      <c r="I5551">
        <v>0.129247930959865</v>
      </c>
      <c r="J5551">
        <v>0.126073365469278</v>
      </c>
      <c r="K5551">
        <v>0.16165341311068501</v>
      </c>
      <c r="L5551">
        <v>547.72992502632303</v>
      </c>
      <c r="M5551">
        <v>11.480760050766801</v>
      </c>
      <c r="N5551">
        <v>48.911975498127397</v>
      </c>
      <c r="O5551">
        <v>46.329900110144003</v>
      </c>
      <c r="P5551">
        <v>-5.4343828349893701E-2</v>
      </c>
      <c r="Q5551">
        <v>0.123046192826699</v>
      </c>
      <c r="R5551">
        <v>0.79963093247556605</v>
      </c>
      <c r="S5551" t="s">
        <v>12197</v>
      </c>
      <c r="T5551" t="s">
        <v>13290</v>
      </c>
      <c r="U5551" t="s">
        <v>13290</v>
      </c>
      <c r="V5551" t="s">
        <v>13290</v>
      </c>
      <c r="W5551" t="s">
        <v>18790</v>
      </c>
      <c r="X5551">
        <v>1</v>
      </c>
      <c r="Y5551" t="s">
        <v>25267</v>
      </c>
      <c r="Z5551" t="s">
        <v>31881</v>
      </c>
      <c r="AA5551">
        <v>0.38621401493131569</v>
      </c>
      <c r="AB5551" t="str">
        <f>HYPERLINK("Melting_Curves/meltCurve_Q9C0F1_CEP44.pdf", "Melting_Curves/meltCurve_Q9C0F1_CEP44.pdf")</f>
        <v>Melting_Curves/meltCurve_Q9C0F1_CEP44.pdf</v>
      </c>
    </row>
    <row r="5552" spans="1:28" x14ac:dyDescent="0.25">
      <c r="A5552" t="s">
        <v>5556</v>
      </c>
      <c r="B5552">
        <v>0.99252571173614901</v>
      </c>
      <c r="C5552">
        <v>1.0260933750550401</v>
      </c>
      <c r="D5552">
        <v>0.95413909478016901</v>
      </c>
      <c r="E5552">
        <v>1.06980144057979</v>
      </c>
      <c r="F5552">
        <v>0.81696950493413201</v>
      </c>
      <c r="G5552">
        <v>0.690785936561917</v>
      </c>
      <c r="H5552">
        <v>0.55952889334162403</v>
      </c>
      <c r="I5552">
        <v>0.61557344307779505</v>
      </c>
      <c r="J5552">
        <v>0.63054738017064205</v>
      </c>
      <c r="K5552">
        <v>0.39561714988556701</v>
      </c>
      <c r="L5552">
        <v>1379.7793728767299</v>
      </c>
      <c r="M5552">
        <v>25.099954924465798</v>
      </c>
      <c r="O5552">
        <v>54.626009111696497</v>
      </c>
      <c r="P5552">
        <v>-5.3331494473699399E-2</v>
      </c>
      <c r="Q5552">
        <v>0.53573644722573399</v>
      </c>
      <c r="R5552">
        <v>0.90059062131343104</v>
      </c>
      <c r="S5552" t="s">
        <v>12198</v>
      </c>
      <c r="T5552" t="s">
        <v>13290</v>
      </c>
      <c r="U5552" t="s">
        <v>13290</v>
      </c>
      <c r="V5552" t="s">
        <v>13290</v>
      </c>
      <c r="W5552" t="s">
        <v>18791</v>
      </c>
      <c r="X5552">
        <v>6</v>
      </c>
      <c r="Y5552" t="s">
        <v>25268</v>
      </c>
      <c r="Z5552" t="s">
        <v>31882</v>
      </c>
      <c r="AA5552">
        <v>0.77169114216848489</v>
      </c>
      <c r="AB5552" t="str">
        <f>HYPERLINK("Melting_Curves/meltCurve_Q9C0H2_2_TTYH3.pdf", "Melting_Curves/meltCurve_Q9C0H2_2_TTYH3.pdf")</f>
        <v>Melting_Curves/meltCurve_Q9C0H2_2_TTYH3.pdf</v>
      </c>
    </row>
    <row r="5553" spans="1:28" x14ac:dyDescent="0.25">
      <c r="A5553" t="s">
        <v>5557</v>
      </c>
      <c r="B5553">
        <v>0.99252571173614901</v>
      </c>
      <c r="C5553">
        <v>0.96660249202520099</v>
      </c>
      <c r="D5553">
        <v>0.98701932115903002</v>
      </c>
      <c r="E5553">
        <v>0.94409235040491601</v>
      </c>
      <c r="F5553">
        <v>0.85033216485704199</v>
      </c>
      <c r="G5553">
        <v>0.61627210719528602</v>
      </c>
      <c r="H5553">
        <v>0.31115782018079402</v>
      </c>
      <c r="I5553">
        <v>0.119059488545188</v>
      </c>
      <c r="J5553">
        <v>0.13026329894863001</v>
      </c>
      <c r="K5553">
        <v>0.106187443366645</v>
      </c>
      <c r="L5553">
        <v>1207.4260342222301</v>
      </c>
      <c r="M5553">
        <v>20.965343674855301</v>
      </c>
      <c r="N5553">
        <v>57.994284278740203</v>
      </c>
      <c r="O5553">
        <v>57.0752386424844</v>
      </c>
      <c r="P5553">
        <v>-8.56128003796299E-2</v>
      </c>
      <c r="Q5553">
        <v>6.7749397157162494E-2</v>
      </c>
      <c r="R5553">
        <v>0.99616103548346302</v>
      </c>
      <c r="S5553" t="s">
        <v>12199</v>
      </c>
      <c r="T5553" t="s">
        <v>13290</v>
      </c>
      <c r="U5553" t="s">
        <v>13290</v>
      </c>
      <c r="V5553" t="s">
        <v>13290</v>
      </c>
      <c r="W5553" t="s">
        <v>18792</v>
      </c>
      <c r="X5553">
        <v>14</v>
      </c>
      <c r="Y5553" t="s">
        <v>25269</v>
      </c>
      <c r="Z5553" t="s">
        <v>31883</v>
      </c>
      <c r="AA5553">
        <v>0.62479445241290577</v>
      </c>
      <c r="AB5553" t="str">
        <f>HYPERLINK("Melting_Curves/meltCurve_Q9C0I1_MTMR12.pdf", "Melting_Curves/meltCurve_Q9C0I1_MTMR12.pdf")</f>
        <v>Melting_Curves/meltCurve_Q9C0I1_MTMR12.pdf</v>
      </c>
    </row>
    <row r="5554" spans="1:28" x14ac:dyDescent="0.25">
      <c r="A5554" t="s">
        <v>5558</v>
      </c>
      <c r="B5554">
        <v>0.99252571173614901</v>
      </c>
      <c r="C5554">
        <v>0.90448749300769105</v>
      </c>
      <c r="D5554">
        <v>0.97751057755138304</v>
      </c>
      <c r="E5554">
        <v>0.70534929588099604</v>
      </c>
      <c r="F5554">
        <v>0.36573315564897002</v>
      </c>
      <c r="G5554">
        <v>0.20713150809151301</v>
      </c>
      <c r="H5554">
        <v>0.19536922379636201</v>
      </c>
      <c r="I5554">
        <v>0.23376083363577399</v>
      </c>
      <c r="J5554">
        <v>0.31581876005827297</v>
      </c>
      <c r="K5554">
        <v>0.36631854432632799</v>
      </c>
      <c r="L5554">
        <v>1819.2064633172599</v>
      </c>
      <c r="M5554">
        <v>36.258397475914997</v>
      </c>
      <c r="N5554">
        <v>51.237113775702298</v>
      </c>
      <c r="O5554">
        <v>50.021499239567802</v>
      </c>
      <c r="P5554">
        <v>-0.13328972330975</v>
      </c>
      <c r="Q5554">
        <v>0.26446491006400102</v>
      </c>
      <c r="R5554">
        <v>0.96686329527768999</v>
      </c>
      <c r="S5554" t="s">
        <v>12200</v>
      </c>
      <c r="T5554" t="s">
        <v>13290</v>
      </c>
      <c r="U5554" t="s">
        <v>13290</v>
      </c>
      <c r="V5554" t="s">
        <v>13290</v>
      </c>
      <c r="W5554" t="s">
        <v>18793</v>
      </c>
      <c r="X5554">
        <v>5</v>
      </c>
      <c r="Y5554" t="s">
        <v>25270</v>
      </c>
      <c r="Z5554" t="s">
        <v>31884</v>
      </c>
      <c r="AA5554">
        <v>0.51700530269047795</v>
      </c>
      <c r="AB5554" t="str">
        <f>HYPERLINK("Melting_Curves/meltCurve_Q9C0J8_WDR33.pdf", "Melting_Curves/meltCurve_Q9C0J8_WDR33.pdf")</f>
        <v>Melting_Curves/meltCurve_Q9C0J8_WDR33.pdf</v>
      </c>
    </row>
    <row r="5555" spans="1:28" x14ac:dyDescent="0.25">
      <c r="A5555" t="s">
        <v>5559</v>
      </c>
      <c r="B5555">
        <v>0.99252571173614901</v>
      </c>
      <c r="C5555">
        <v>0.99436855985156802</v>
      </c>
      <c r="D5555">
        <v>0.954372243086137</v>
      </c>
      <c r="E5555">
        <v>0.97315192359693103</v>
      </c>
      <c r="F5555">
        <v>0.685465789845771</v>
      </c>
      <c r="G5555">
        <v>0.50910813176683201</v>
      </c>
      <c r="H5555">
        <v>0.46006491495705698</v>
      </c>
      <c r="I5555">
        <v>0.46433404683834201</v>
      </c>
      <c r="J5555">
        <v>0.61512637018674599</v>
      </c>
      <c r="K5555">
        <v>0.48031630617806698</v>
      </c>
      <c r="L5555">
        <v>2618.1326479392101</v>
      </c>
      <c r="M5555">
        <v>49.775234731032803</v>
      </c>
      <c r="O5555">
        <v>52.5144286736979</v>
      </c>
      <c r="P5555">
        <v>-0.11766491679888</v>
      </c>
      <c r="Q5555">
        <v>0.50343994923550694</v>
      </c>
      <c r="R5555">
        <v>0.96376106720980403</v>
      </c>
      <c r="S5555" t="s">
        <v>12201</v>
      </c>
      <c r="T5555" t="s">
        <v>13290</v>
      </c>
      <c r="U5555" t="s">
        <v>13290</v>
      </c>
      <c r="V5555" t="s">
        <v>13290</v>
      </c>
      <c r="W5555" t="s">
        <v>18794</v>
      </c>
      <c r="X5555">
        <v>1</v>
      </c>
      <c r="Y5555" t="s">
        <v>25271</v>
      </c>
      <c r="Z5555" t="s">
        <v>31885</v>
      </c>
      <c r="AA5555">
        <v>0.71314276088194994</v>
      </c>
      <c r="AB5555" t="str">
        <f>HYPERLINK("Melting_Curves/meltCurve_Q9C0K1_2_SLC39A8.pdf", "Melting_Curves/meltCurve_Q9C0K1_2_SLC39A8.pdf")</f>
        <v>Melting_Curves/meltCurve_Q9C0K1_2_SLC39A8.pdf</v>
      </c>
    </row>
    <row r="5556" spans="1:28" x14ac:dyDescent="0.25">
      <c r="A5556" t="s">
        <v>5560</v>
      </c>
      <c r="B5556">
        <v>0.99252571173614901</v>
      </c>
      <c r="C5556">
        <v>1.0366508013165501</v>
      </c>
      <c r="D5556">
        <v>0.94475100937206002</v>
      </c>
      <c r="E5556">
        <v>0.72200867674554203</v>
      </c>
      <c r="F5556">
        <v>0.57157988198676402</v>
      </c>
      <c r="G5556">
        <v>0.38096241042371298</v>
      </c>
      <c r="H5556">
        <v>0.339849638121418</v>
      </c>
      <c r="I5556">
        <v>0.42380021407826102</v>
      </c>
      <c r="J5556">
        <v>0.480268690033895</v>
      </c>
      <c r="K5556">
        <v>0.336851412115657</v>
      </c>
      <c r="L5556">
        <v>1190.6389535066501</v>
      </c>
      <c r="M5556">
        <v>23.649067342796901</v>
      </c>
      <c r="N5556">
        <v>53.740420430458499</v>
      </c>
      <c r="O5556">
        <v>49.990283395208699</v>
      </c>
      <c r="P5556">
        <v>-7.2413428323030604E-2</v>
      </c>
      <c r="Q5556">
        <v>0.387729421848578</v>
      </c>
      <c r="R5556">
        <v>0.96765762314359804</v>
      </c>
      <c r="S5556" t="s">
        <v>12202</v>
      </c>
      <c r="T5556" t="s">
        <v>13290</v>
      </c>
      <c r="U5556" t="s">
        <v>13290</v>
      </c>
      <c r="V5556" t="s">
        <v>13290</v>
      </c>
      <c r="W5556" t="s">
        <v>18795</v>
      </c>
      <c r="X5556">
        <v>8</v>
      </c>
      <c r="Y5556" t="s">
        <v>25272</v>
      </c>
      <c r="Z5556" t="s">
        <v>31886</v>
      </c>
      <c r="AA5556">
        <v>0.6050176460731187</v>
      </c>
      <c r="AB5556" t="str">
        <f>HYPERLINK("Melting_Curves/meltCurve_Q9GZL7_WDR12.pdf", "Melting_Curves/meltCurve_Q9GZL7_WDR12.pdf")</f>
        <v>Melting_Curves/meltCurve_Q9GZL7_WDR12.pdf</v>
      </c>
    </row>
    <row r="5557" spans="1:28" x14ac:dyDescent="0.25">
      <c r="A5557" t="s">
        <v>5561</v>
      </c>
      <c r="B5557">
        <v>0.99252571173614901</v>
      </c>
      <c r="C5557">
        <v>1.0410171985175001</v>
      </c>
      <c r="D5557">
        <v>0.90634936936577504</v>
      </c>
      <c r="E5557">
        <v>0.66044553068602097</v>
      </c>
      <c r="F5557">
        <v>0.54575792311858196</v>
      </c>
      <c r="G5557">
        <v>0.25226196248159</v>
      </c>
      <c r="H5557">
        <v>0.12652614131111101</v>
      </c>
      <c r="I5557">
        <v>0.103882548525518</v>
      </c>
      <c r="J5557">
        <v>0.108391559448049</v>
      </c>
      <c r="K5557">
        <v>0.112148276776395</v>
      </c>
      <c r="L5557">
        <v>840.63353004015403</v>
      </c>
      <c r="M5557">
        <v>16.079437105275801</v>
      </c>
      <c r="N5557">
        <v>52.786742089947403</v>
      </c>
      <c r="O5557">
        <v>51.491465507195002</v>
      </c>
      <c r="P5557">
        <v>-7.2491091627615897E-2</v>
      </c>
      <c r="Q5557">
        <v>7.1513407098883E-2</v>
      </c>
      <c r="R5557">
        <v>0.98785482067114705</v>
      </c>
      <c r="S5557" t="s">
        <v>12203</v>
      </c>
      <c r="T5557" t="s">
        <v>13290</v>
      </c>
      <c r="U5557" t="s">
        <v>13290</v>
      </c>
      <c r="V5557" t="s">
        <v>13290</v>
      </c>
      <c r="W5557" t="s">
        <v>18796</v>
      </c>
      <c r="X5557">
        <v>8</v>
      </c>
      <c r="Y5557" t="s">
        <v>25273</v>
      </c>
      <c r="Z5557" t="s">
        <v>31887</v>
      </c>
      <c r="AA5557">
        <v>0.47005525130936637</v>
      </c>
      <c r="AB5557" t="str">
        <f>HYPERLINK("Melting_Curves/meltCurve_Q9GZN8_C20orf27.pdf", "Melting_Curves/meltCurve_Q9GZN8_C20orf27.pdf")</f>
        <v>Melting_Curves/meltCurve_Q9GZN8_C20orf27.pdf</v>
      </c>
    </row>
    <row r="5558" spans="1:28" x14ac:dyDescent="0.25">
      <c r="A5558" t="s">
        <v>5562</v>
      </c>
      <c r="B5558">
        <v>0.99252571173614901</v>
      </c>
      <c r="C5558">
        <v>0.99422943104591999</v>
      </c>
      <c r="D5558">
        <v>0.95549165501377498</v>
      </c>
      <c r="E5558">
        <v>1.0098659104544301</v>
      </c>
      <c r="F5558">
        <v>0.67859473941006199</v>
      </c>
      <c r="G5558">
        <v>0.62343458392112305</v>
      </c>
      <c r="H5558">
        <v>0.39287305270782802</v>
      </c>
      <c r="I5558">
        <v>0.40658400054669303</v>
      </c>
      <c r="J5558">
        <v>0.59961944835150405</v>
      </c>
      <c r="K5558">
        <v>0.56525375852119597</v>
      </c>
      <c r="L5558">
        <v>2204.0677702053999</v>
      </c>
      <c r="M5558">
        <v>41.842976418656299</v>
      </c>
      <c r="O5558">
        <v>52.5548510758615</v>
      </c>
      <c r="P5558">
        <v>-9.7663555651624295E-2</v>
      </c>
      <c r="Q5558">
        <v>0.50933846710439801</v>
      </c>
      <c r="R5558">
        <v>0.91011039868961796</v>
      </c>
      <c r="S5558" t="s">
        <v>12204</v>
      </c>
      <c r="T5558" t="s">
        <v>13290</v>
      </c>
      <c r="U5558" t="s">
        <v>13290</v>
      </c>
      <c r="V5558" t="s">
        <v>13290</v>
      </c>
      <c r="W5558" t="s">
        <v>18797</v>
      </c>
      <c r="X5558">
        <v>1</v>
      </c>
      <c r="Y5558" t="s">
        <v>25274</v>
      </c>
      <c r="Z5558" t="s">
        <v>31888</v>
      </c>
      <c r="AA5558">
        <v>0.71826926610892472</v>
      </c>
      <c r="AB5558" t="str">
        <f>HYPERLINK("Melting_Curves/meltCurve_Q9GZP1_NRSN2.pdf", "Melting_Curves/meltCurve_Q9GZP1_NRSN2.pdf")</f>
        <v>Melting_Curves/meltCurve_Q9GZP1_NRSN2.pdf</v>
      </c>
    </row>
    <row r="5559" spans="1:28" x14ac:dyDescent="0.25">
      <c r="A5559" t="s">
        <v>5563</v>
      </c>
      <c r="B5559">
        <v>0.99252571173614901</v>
      </c>
      <c r="C5559">
        <v>1.08536659661936</v>
      </c>
      <c r="D5559">
        <v>0.94124193317210203</v>
      </c>
      <c r="E5559">
        <v>0.83483449584412395</v>
      </c>
      <c r="F5559">
        <v>0.71046975792761202</v>
      </c>
      <c r="G5559">
        <v>0.61154094933238701</v>
      </c>
      <c r="H5559">
        <v>0.76657741254598299</v>
      </c>
      <c r="I5559">
        <v>0.56712633488340203</v>
      </c>
      <c r="J5559">
        <v>0.55612325275515595</v>
      </c>
      <c r="K5559">
        <v>0.34817656473554198</v>
      </c>
      <c r="L5559">
        <v>362.05078136809999</v>
      </c>
      <c r="M5559">
        <v>5.4366200911139302</v>
      </c>
      <c r="N5559">
        <v>66.594828275581094</v>
      </c>
      <c r="O5559">
        <v>59.200986426805898</v>
      </c>
      <c r="P5559">
        <v>-2.30636300272343E-2</v>
      </c>
      <c r="Q5559">
        <v>0</v>
      </c>
      <c r="R5559">
        <v>0.85061772678418701</v>
      </c>
      <c r="S5559" t="s">
        <v>12205</v>
      </c>
      <c r="T5559" t="s">
        <v>13290</v>
      </c>
      <c r="U5559" t="s">
        <v>13290</v>
      </c>
      <c r="V5559" t="s">
        <v>13290</v>
      </c>
      <c r="W5559" t="s">
        <v>18798</v>
      </c>
      <c r="X5559">
        <v>16</v>
      </c>
      <c r="Y5559" t="s">
        <v>25275</v>
      </c>
      <c r="Z5559" t="s">
        <v>31889</v>
      </c>
      <c r="AA5559">
        <v>0.73941882337979015</v>
      </c>
      <c r="AB5559" t="str">
        <f>HYPERLINK("Melting_Curves/meltCurve_Q9GZP4_PITHD1.pdf", "Melting_Curves/meltCurve_Q9GZP4_PITHD1.pdf")</f>
        <v>Melting_Curves/meltCurve_Q9GZP4_PITHD1.pdf</v>
      </c>
    </row>
    <row r="5560" spans="1:28" x14ac:dyDescent="0.25">
      <c r="A5560" t="s">
        <v>5564</v>
      </c>
      <c r="B5560">
        <v>0.99252571173614901</v>
      </c>
      <c r="C5560">
        <v>0.85993696494961203</v>
      </c>
      <c r="D5560">
        <v>0.78356067469635504</v>
      </c>
      <c r="E5560">
        <v>0.61960317766517403</v>
      </c>
      <c r="F5560">
        <v>0.40130070673429802</v>
      </c>
      <c r="G5560">
        <v>0.25401965704254797</v>
      </c>
      <c r="H5560">
        <v>0.151195625158941</v>
      </c>
      <c r="I5560">
        <v>0.11666303898675499</v>
      </c>
      <c r="J5560">
        <v>0.11556380626368</v>
      </c>
      <c r="K5560">
        <v>8.6893365632081304E-2</v>
      </c>
      <c r="L5560">
        <v>597.04508873458497</v>
      </c>
      <c r="M5560">
        <v>11.7361286272464</v>
      </c>
      <c r="N5560">
        <v>51.286238805259501</v>
      </c>
      <c r="O5560">
        <v>49.462783118621502</v>
      </c>
      <c r="P5560">
        <v>-5.6653059581138698E-2</v>
      </c>
      <c r="Q5560">
        <v>4.5177101472444303E-2</v>
      </c>
      <c r="R5560">
        <v>0.99615970632872197</v>
      </c>
      <c r="S5560" t="s">
        <v>12206</v>
      </c>
      <c r="T5560" t="s">
        <v>13290</v>
      </c>
      <c r="U5560" t="s">
        <v>13290</v>
      </c>
      <c r="V5560" t="s">
        <v>13290</v>
      </c>
      <c r="W5560" t="s">
        <v>18799</v>
      </c>
      <c r="X5560">
        <v>3</v>
      </c>
      <c r="Y5560" t="s">
        <v>25276</v>
      </c>
      <c r="Z5560" t="s">
        <v>31890</v>
      </c>
      <c r="AA5560">
        <v>0.42361965280920322</v>
      </c>
      <c r="AB5560" t="str">
        <f>HYPERLINK("Melting_Curves/meltCurve_Q9GZP9_DERL2.pdf", "Melting_Curves/meltCurve_Q9GZP9_DERL2.pdf")</f>
        <v>Melting_Curves/meltCurve_Q9GZP9_DERL2.pdf</v>
      </c>
    </row>
    <row r="5561" spans="1:28" x14ac:dyDescent="0.25">
      <c r="A5561" t="s">
        <v>5565</v>
      </c>
      <c r="B5561">
        <v>0.99252571173614901</v>
      </c>
      <c r="C5561">
        <v>0.88783493772269995</v>
      </c>
      <c r="D5561">
        <v>1.1331113302631399</v>
      </c>
      <c r="E5561">
        <v>1.2720888352028401</v>
      </c>
      <c r="F5561">
        <v>0.85647098857178805</v>
      </c>
      <c r="G5561">
        <v>0.296252862764668</v>
      </c>
      <c r="H5561">
        <v>0.13264503319780099</v>
      </c>
      <c r="I5561">
        <v>6.4987785106281101E-2</v>
      </c>
      <c r="J5561">
        <v>9.5559669159134497E-2</v>
      </c>
      <c r="K5561">
        <v>0</v>
      </c>
      <c r="L5561">
        <v>2513.8982170939998</v>
      </c>
      <c r="M5561">
        <v>45.385175589127897</v>
      </c>
      <c r="N5561">
        <v>55.5696985089686</v>
      </c>
      <c r="O5561">
        <v>55.2830773134298</v>
      </c>
      <c r="P5561">
        <v>-0.19125469271481299</v>
      </c>
      <c r="Q5561">
        <v>6.8142003511942398E-2</v>
      </c>
      <c r="R5561">
        <v>0.94869494989637404</v>
      </c>
      <c r="S5561" t="s">
        <v>12207</v>
      </c>
      <c r="T5561" t="s">
        <v>13290</v>
      </c>
      <c r="U5561" t="s">
        <v>13290</v>
      </c>
      <c r="V5561" t="s">
        <v>13290</v>
      </c>
      <c r="W5561" t="s">
        <v>18800</v>
      </c>
      <c r="X5561">
        <v>1</v>
      </c>
      <c r="Y5561" t="s">
        <v>25277</v>
      </c>
      <c r="Z5561" t="s">
        <v>31891</v>
      </c>
      <c r="AA5561">
        <v>0.54895603930492831</v>
      </c>
      <c r="AB5561" t="str">
        <f>HYPERLINK("Melting_Curves/meltCurve_Q9GZQ3_COMMD5.pdf", "Melting_Curves/meltCurve_Q9GZQ3_COMMD5.pdf")</f>
        <v>Melting_Curves/meltCurve_Q9GZQ3_COMMD5.pdf</v>
      </c>
    </row>
    <row r="5562" spans="1:28" x14ac:dyDescent="0.25">
      <c r="A5562" t="s">
        <v>5566</v>
      </c>
      <c r="B5562">
        <v>0.99252571173614901</v>
      </c>
      <c r="C5562">
        <v>0.99897131117281701</v>
      </c>
      <c r="D5562">
        <v>0.43190248121997199</v>
      </c>
      <c r="E5562">
        <v>0.225317071221419</v>
      </c>
      <c r="F5562">
        <v>0.176993459739862</v>
      </c>
      <c r="G5562">
        <v>6.2127697929097302E-2</v>
      </c>
      <c r="H5562">
        <v>3.9537422269906801E-2</v>
      </c>
      <c r="I5562">
        <v>3.4224065954716602E-2</v>
      </c>
      <c r="J5562">
        <v>4.0051683370229803E-2</v>
      </c>
      <c r="K5562">
        <v>4.6928231373877402E-2</v>
      </c>
      <c r="L5562">
        <v>1734.98587747954</v>
      </c>
      <c r="M5562">
        <v>38.0033455022769</v>
      </c>
      <c r="N5562">
        <v>45.8615303962018</v>
      </c>
      <c r="O5562">
        <v>45.527626076401702</v>
      </c>
      <c r="P5562">
        <v>-0.192161878183296</v>
      </c>
      <c r="Q5562">
        <v>7.9170007086537306E-2</v>
      </c>
      <c r="R5562">
        <v>0.97520052695186399</v>
      </c>
      <c r="S5562" t="s">
        <v>12208</v>
      </c>
      <c r="T5562" t="s">
        <v>13290</v>
      </c>
      <c r="U5562" t="s">
        <v>13290</v>
      </c>
      <c r="V5562" t="s">
        <v>13290</v>
      </c>
      <c r="W5562" t="s">
        <v>18801</v>
      </c>
      <c r="X5562">
        <v>2</v>
      </c>
      <c r="Y5562" t="s">
        <v>25278</v>
      </c>
      <c r="Z5562" t="s">
        <v>31892</v>
      </c>
      <c r="AA5562">
        <v>0.2560492107461011</v>
      </c>
      <c r="AB5562" t="str">
        <f>HYPERLINK("Melting_Curves/meltCurve_Q9GZR2_REXO4.pdf", "Melting_Curves/meltCurve_Q9GZR2_REXO4.pdf")</f>
        <v>Melting_Curves/meltCurve_Q9GZR2_REXO4.pdf</v>
      </c>
    </row>
    <row r="5563" spans="1:28" x14ac:dyDescent="0.25">
      <c r="A5563" t="s">
        <v>5567</v>
      </c>
      <c r="B5563">
        <v>0.99252571173614901</v>
      </c>
      <c r="C5563">
        <v>0.91730949689469499</v>
      </c>
      <c r="D5563">
        <v>0.49059433761666299</v>
      </c>
      <c r="E5563">
        <v>0.18121067600309601</v>
      </c>
      <c r="F5563">
        <v>0.103388808542066</v>
      </c>
      <c r="G5563">
        <v>6.1859411518134899E-2</v>
      </c>
      <c r="H5563">
        <v>5.0171026501588098E-2</v>
      </c>
      <c r="I5563">
        <v>5.6414772731298198E-2</v>
      </c>
      <c r="J5563">
        <v>6.5426961538167003E-2</v>
      </c>
      <c r="K5563">
        <v>6.7546851837354996E-2</v>
      </c>
      <c r="L5563">
        <v>1357.23446976883</v>
      </c>
      <c r="M5563">
        <v>29.601036728344202</v>
      </c>
      <c r="N5563">
        <v>46.073392109237702</v>
      </c>
      <c r="O5563">
        <v>45.643177863020902</v>
      </c>
      <c r="P5563">
        <v>-0.151336398568509</v>
      </c>
      <c r="Q5563">
        <v>6.6596676569464705E-2</v>
      </c>
      <c r="R5563">
        <v>0.99790595723537001</v>
      </c>
      <c r="S5563" t="s">
        <v>12209</v>
      </c>
      <c r="T5563" t="s">
        <v>13290</v>
      </c>
      <c r="U5563" t="s">
        <v>13290</v>
      </c>
      <c r="V5563" t="s">
        <v>13290</v>
      </c>
      <c r="W5563" t="s">
        <v>18802</v>
      </c>
      <c r="X5563">
        <v>9</v>
      </c>
      <c r="Y5563" t="s">
        <v>25279</v>
      </c>
      <c r="Z5563" t="s">
        <v>31893</v>
      </c>
      <c r="AA5563">
        <v>0.25453171503889782</v>
      </c>
      <c r="AB5563" t="str">
        <f>HYPERLINK("Melting_Curves/meltCurve_Q9GZS1_2_POLR1E.pdf", "Melting_Curves/meltCurve_Q9GZS1_2_POLR1E.pdf")</f>
        <v>Melting_Curves/meltCurve_Q9GZS1_2_POLR1E.pdf</v>
      </c>
    </row>
    <row r="5564" spans="1:28" x14ac:dyDescent="0.25">
      <c r="A5564" t="s">
        <v>5568</v>
      </c>
      <c r="B5564">
        <v>0.99252571173614901</v>
      </c>
      <c r="C5564">
        <v>0.91518668812051696</v>
      </c>
      <c r="D5564">
        <v>0.84516305301782801</v>
      </c>
      <c r="E5564">
        <v>0.584906542876244</v>
      </c>
      <c r="F5564">
        <v>0.50104264684917998</v>
      </c>
      <c r="G5564">
        <v>0.19373441812382999</v>
      </c>
      <c r="H5564">
        <v>7.7037866826288506E-2</v>
      </c>
      <c r="I5564">
        <v>6.9535335129980502E-2</v>
      </c>
      <c r="J5564">
        <v>8.2333031232220896E-2</v>
      </c>
      <c r="K5564">
        <v>8.2049738344233195E-2</v>
      </c>
      <c r="L5564">
        <v>696.26409316976697</v>
      </c>
      <c r="M5564">
        <v>13.5259347780732</v>
      </c>
      <c r="N5564">
        <v>51.637991441357599</v>
      </c>
      <c r="O5564">
        <v>50.390114715522301</v>
      </c>
      <c r="P5564">
        <v>-6.5724012061203901E-2</v>
      </c>
      <c r="Q5564">
        <v>2.07434727626187E-2</v>
      </c>
      <c r="R5564">
        <v>0.98556176535543705</v>
      </c>
      <c r="S5564" t="s">
        <v>12210</v>
      </c>
      <c r="T5564" t="s">
        <v>13290</v>
      </c>
      <c r="U5564" t="s">
        <v>13290</v>
      </c>
      <c r="V5564" t="s">
        <v>13290</v>
      </c>
      <c r="W5564" t="s">
        <v>18803</v>
      </c>
      <c r="X5564">
        <v>9</v>
      </c>
      <c r="Y5564" t="s">
        <v>25280</v>
      </c>
      <c r="Z5564" t="s">
        <v>31894</v>
      </c>
      <c r="AA5564">
        <v>0.42148848718764242</v>
      </c>
      <c r="AB5564" t="str">
        <f>HYPERLINK("Melting_Curves/meltCurve_Q9GZS3_WDR61.pdf", "Melting_Curves/meltCurve_Q9GZS3_WDR61.pdf")</f>
        <v>Melting_Curves/meltCurve_Q9GZS3_WDR61.pdf</v>
      </c>
    </row>
    <row r="5565" spans="1:28" x14ac:dyDescent="0.25">
      <c r="A5565" t="s">
        <v>5569</v>
      </c>
      <c r="B5565">
        <v>0.99252571173614901</v>
      </c>
      <c r="C5565">
        <v>0.887416455682423</v>
      </c>
      <c r="D5565">
        <v>0.61485565471538794</v>
      </c>
      <c r="E5565">
        <v>0.411458287313761</v>
      </c>
      <c r="F5565">
        <v>0.40702322993342999</v>
      </c>
      <c r="G5565">
        <v>0.29942672132822601</v>
      </c>
      <c r="H5565">
        <v>0.26193877420688899</v>
      </c>
      <c r="I5565">
        <v>0.25478960198119099</v>
      </c>
      <c r="J5565">
        <v>0.31746946550585098</v>
      </c>
      <c r="K5565">
        <v>0.40724525944273998</v>
      </c>
      <c r="L5565">
        <v>1064.03055300707</v>
      </c>
      <c r="M5565">
        <v>23.293906913819701</v>
      </c>
      <c r="N5565">
        <v>47.744787480193402</v>
      </c>
      <c r="O5565">
        <v>45.345834415300899</v>
      </c>
      <c r="P5565">
        <v>-8.7644584655758695E-2</v>
      </c>
      <c r="Q5565">
        <v>0.31754747486408702</v>
      </c>
      <c r="R5565">
        <v>0.96622932178363796</v>
      </c>
      <c r="S5565" t="s">
        <v>12211</v>
      </c>
      <c r="T5565" t="s">
        <v>13290</v>
      </c>
      <c r="U5565" t="s">
        <v>13290</v>
      </c>
      <c r="V5565" t="s">
        <v>13290</v>
      </c>
      <c r="W5565" t="s">
        <v>18804</v>
      </c>
      <c r="X5565">
        <v>10</v>
      </c>
      <c r="Y5565" t="s">
        <v>25281</v>
      </c>
      <c r="Z5565" t="s">
        <v>31895</v>
      </c>
      <c r="AA5565">
        <v>0.45430439655148003</v>
      </c>
      <c r="AB5565" t="str">
        <f>HYPERLINK("Melting_Curves/meltCurve_Q9GZT3_SLIRP.pdf", "Melting_Curves/meltCurve_Q9GZT3_SLIRP.pdf")</f>
        <v>Melting_Curves/meltCurve_Q9GZT3_SLIRP.pdf</v>
      </c>
    </row>
    <row r="5566" spans="1:28" x14ac:dyDescent="0.25">
      <c r="A5566" t="s">
        <v>5570</v>
      </c>
      <c r="B5566">
        <v>0.99252571173614901</v>
      </c>
      <c r="C5566">
        <v>0.98278673807412797</v>
      </c>
      <c r="D5566">
        <v>0.99576024177669697</v>
      </c>
      <c r="E5566">
        <v>0.84152499492280797</v>
      </c>
      <c r="F5566">
        <v>0.50991071147497202</v>
      </c>
      <c r="G5566">
        <v>0.30082549662005298</v>
      </c>
      <c r="H5566">
        <v>0.31811832193914302</v>
      </c>
      <c r="I5566">
        <v>0.38009112840612702</v>
      </c>
      <c r="J5566">
        <v>0.44558306498191402</v>
      </c>
      <c r="K5566">
        <v>0.42234438355300302</v>
      </c>
      <c r="L5566">
        <v>1974.5736592093001</v>
      </c>
      <c r="M5566">
        <v>38.645350646007699</v>
      </c>
      <c r="N5566">
        <v>52.989161383293499</v>
      </c>
      <c r="O5566">
        <v>50.958486261720303</v>
      </c>
      <c r="P5566">
        <v>-0.118606615447303</v>
      </c>
      <c r="Q5566">
        <v>0.37441383032375503</v>
      </c>
      <c r="R5566">
        <v>0.97582675582576495</v>
      </c>
      <c r="S5566" t="s">
        <v>12212</v>
      </c>
      <c r="T5566" t="s">
        <v>13290</v>
      </c>
      <c r="U5566" t="s">
        <v>13290</v>
      </c>
      <c r="V5566" t="s">
        <v>13290</v>
      </c>
      <c r="W5566" t="s">
        <v>18805</v>
      </c>
      <c r="X5566">
        <v>1</v>
      </c>
      <c r="Y5566" t="s">
        <v>25282</v>
      </c>
      <c r="Z5566" t="s">
        <v>31896</v>
      </c>
      <c r="AA5566">
        <v>0.60813874362128595</v>
      </c>
      <c r="AB5566" t="str">
        <f>HYPERLINK("Melting_Curves/meltCurve_Q9GZT5_WNT10A.pdf", "Melting_Curves/meltCurve_Q9GZT5_WNT10A.pdf")</f>
        <v>Melting_Curves/meltCurve_Q9GZT5_WNT10A.pdf</v>
      </c>
    </row>
    <row r="5567" spans="1:28" x14ac:dyDescent="0.25">
      <c r="A5567" t="s">
        <v>5571</v>
      </c>
      <c r="B5567">
        <v>0.99252571173614901</v>
      </c>
      <c r="C5567">
        <v>0.90149679782912995</v>
      </c>
      <c r="D5567">
        <v>0.85063888741577998</v>
      </c>
      <c r="E5567">
        <v>0.832443271548995</v>
      </c>
      <c r="F5567">
        <v>0.75630673076440402</v>
      </c>
      <c r="G5567">
        <v>0.63698035012083998</v>
      </c>
      <c r="H5567">
        <v>0.45772399538136799</v>
      </c>
      <c r="I5567">
        <v>0.35292032927348199</v>
      </c>
      <c r="J5567">
        <v>0.47139861117069698</v>
      </c>
      <c r="K5567">
        <v>0.400238156204894</v>
      </c>
      <c r="L5567">
        <v>478.74774748441303</v>
      </c>
      <c r="M5567">
        <v>8.6008319258352692</v>
      </c>
      <c r="N5567">
        <v>61.185051426145399</v>
      </c>
      <c r="O5567">
        <v>52.899011256903698</v>
      </c>
      <c r="P5567">
        <v>-2.9700851797032801E-2</v>
      </c>
      <c r="Q5567">
        <v>0.26993468530786802</v>
      </c>
      <c r="R5567">
        <v>0.94792111035557902</v>
      </c>
      <c r="S5567" t="s">
        <v>12213</v>
      </c>
      <c r="T5567" t="s">
        <v>13290</v>
      </c>
      <c r="U5567" t="s">
        <v>13290</v>
      </c>
      <c r="V5567" t="s">
        <v>13290</v>
      </c>
      <c r="W5567" t="s">
        <v>18806</v>
      </c>
      <c r="X5567">
        <v>9</v>
      </c>
      <c r="Y5567" t="s">
        <v>25283</v>
      </c>
      <c r="Z5567" t="s">
        <v>31897</v>
      </c>
      <c r="AA5567">
        <v>0.66769114531548768</v>
      </c>
      <c r="AB5567" t="str">
        <f>HYPERLINK("Melting_Curves/meltCurve_Q9GZT6_2_CCDC90B.pdf", "Melting_Curves/meltCurve_Q9GZT6_2_CCDC90B.pdf")</f>
        <v>Melting_Curves/meltCurve_Q9GZT6_2_CCDC90B.pdf</v>
      </c>
    </row>
    <row r="5568" spans="1:28" x14ac:dyDescent="0.25">
      <c r="A5568" t="s">
        <v>5572</v>
      </c>
      <c r="B5568">
        <v>0.99252571173614901</v>
      </c>
      <c r="C5568">
        <v>0.90715119911947295</v>
      </c>
      <c r="D5568">
        <v>1.1218295337925399</v>
      </c>
      <c r="E5568">
        <v>1.1626227139757801</v>
      </c>
      <c r="F5568">
        <v>1.1937982424711999</v>
      </c>
      <c r="G5568">
        <v>0.98848910027062997</v>
      </c>
      <c r="H5568">
        <v>1.05247677961652</v>
      </c>
      <c r="I5568">
        <v>1.1319109803342899</v>
      </c>
      <c r="J5568">
        <v>0.57396228075291</v>
      </c>
      <c r="K5568">
        <v>0.22588974374517701</v>
      </c>
      <c r="L5568">
        <v>15000</v>
      </c>
      <c r="M5568">
        <v>223.74881032188901</v>
      </c>
      <c r="N5568">
        <v>67.219987091183398</v>
      </c>
      <c r="O5568">
        <v>67.034101407840794</v>
      </c>
      <c r="P5568">
        <v>-0.64601658373714099</v>
      </c>
      <c r="Q5568">
        <v>0.22582569947508299</v>
      </c>
      <c r="R5568">
        <v>0.87261947032143095</v>
      </c>
      <c r="S5568" t="s">
        <v>12214</v>
      </c>
      <c r="T5568" t="s">
        <v>13290</v>
      </c>
      <c r="U5568" t="s">
        <v>13290</v>
      </c>
      <c r="V5568" t="s">
        <v>13290</v>
      </c>
      <c r="W5568" t="s">
        <v>18807</v>
      </c>
      <c r="X5568">
        <v>12</v>
      </c>
      <c r="Y5568" t="s">
        <v>25284</v>
      </c>
      <c r="Z5568" t="s">
        <v>31898</v>
      </c>
      <c r="AA5568">
        <v>0.92371399014861777</v>
      </c>
      <c r="AB5568" t="str">
        <f>HYPERLINK("Melting_Curves/meltCurve_Q9GZT8_2_NIF3L1.pdf", "Melting_Curves/meltCurve_Q9GZT8_2_NIF3L1.pdf")</f>
        <v>Melting_Curves/meltCurve_Q9GZT8_2_NIF3L1.pdf</v>
      </c>
    </row>
    <row r="5569" spans="1:28" x14ac:dyDescent="0.25">
      <c r="A5569" t="s">
        <v>5573</v>
      </c>
      <c r="B5569">
        <v>0.99252571173614901</v>
      </c>
      <c r="C5569">
        <v>1.08441769086395</v>
      </c>
      <c r="D5569">
        <v>0.90455357794894198</v>
      </c>
      <c r="E5569">
        <v>0.67643564984920801</v>
      </c>
      <c r="F5569">
        <v>0.49845850289226801</v>
      </c>
      <c r="G5569">
        <v>0.361694932423959</v>
      </c>
      <c r="H5569">
        <v>0.27211058276143002</v>
      </c>
      <c r="I5569">
        <v>0.29029071817216301</v>
      </c>
      <c r="J5569">
        <v>0.365607355594603</v>
      </c>
      <c r="K5569">
        <v>0.331521597341773</v>
      </c>
      <c r="L5569">
        <v>1120.65335829281</v>
      </c>
      <c r="M5569">
        <v>22.3474889244428</v>
      </c>
      <c r="N5569">
        <v>52.472110536198102</v>
      </c>
      <c r="O5569">
        <v>49.750356486822902</v>
      </c>
      <c r="P5569">
        <v>-7.7006846994932598E-2</v>
      </c>
      <c r="Q5569">
        <v>0.31427861760873399</v>
      </c>
      <c r="R5569">
        <v>0.97890065187253805</v>
      </c>
      <c r="S5569" t="s">
        <v>12215</v>
      </c>
      <c r="T5569" t="s">
        <v>13290</v>
      </c>
      <c r="U5569" t="s">
        <v>13290</v>
      </c>
      <c r="V5569" t="s">
        <v>13290</v>
      </c>
      <c r="W5569" t="s">
        <v>18808</v>
      </c>
      <c r="X5569">
        <v>16</v>
      </c>
      <c r="Y5569" t="s">
        <v>25285</v>
      </c>
      <c r="Z5569" t="s">
        <v>31899</v>
      </c>
      <c r="AA5569">
        <v>0.55388161053121054</v>
      </c>
      <c r="AB5569" t="str">
        <f>HYPERLINK("Melting_Curves/meltCurve_Q9GZT9_EGLN1.pdf", "Melting_Curves/meltCurve_Q9GZT9_EGLN1.pdf")</f>
        <v>Melting_Curves/meltCurve_Q9GZT9_EGLN1.pdf</v>
      </c>
    </row>
    <row r="5570" spans="1:28" x14ac:dyDescent="0.25">
      <c r="A5570" t="s">
        <v>5574</v>
      </c>
      <c r="B5570">
        <v>0.99252571173614901</v>
      </c>
      <c r="C5570">
        <v>1.03856407272707</v>
      </c>
      <c r="D5570">
        <v>0.96255251335219905</v>
      </c>
      <c r="E5570">
        <v>0.91108493110460698</v>
      </c>
      <c r="F5570">
        <v>0.76308735077161904</v>
      </c>
      <c r="G5570">
        <v>0.62149198334390499</v>
      </c>
      <c r="H5570">
        <v>0.62591657359506903</v>
      </c>
      <c r="I5570">
        <v>0.84305433519762896</v>
      </c>
      <c r="J5570">
        <v>1.2234705843623499</v>
      </c>
      <c r="K5570">
        <v>1.3166348824040499</v>
      </c>
      <c r="L5570">
        <v>15000</v>
      </c>
      <c r="M5570">
        <v>224.420987304709</v>
      </c>
      <c r="O5570">
        <v>66.833360952809997</v>
      </c>
      <c r="P5570">
        <v>0.265834096729896</v>
      </c>
      <c r="Q5570">
        <v>1.31666532288645</v>
      </c>
      <c r="R5570">
        <v>0.21220680716991899</v>
      </c>
      <c r="S5570" t="s">
        <v>12216</v>
      </c>
      <c r="T5570" t="s">
        <v>13290</v>
      </c>
      <c r="U5570" t="s">
        <v>13290</v>
      </c>
      <c r="V5570" t="s">
        <v>13290</v>
      </c>
      <c r="W5570" t="s">
        <v>18809</v>
      </c>
      <c r="X5570">
        <v>19</v>
      </c>
      <c r="Y5570" t="s">
        <v>25286</v>
      </c>
      <c r="Z5570" t="s">
        <v>31900</v>
      </c>
      <c r="AA5570">
        <v>1.0333235079775529</v>
      </c>
      <c r="AB5570" t="str">
        <f>HYPERLINK("Melting_Curves/meltCurve_Q9GZU8_FAM192A.pdf", "Melting_Curves/meltCurve_Q9GZU8_FAM192A.pdf")</f>
        <v>Melting_Curves/meltCurve_Q9GZU8_FAM192A.pdf</v>
      </c>
    </row>
    <row r="5571" spans="1:28" x14ac:dyDescent="0.25">
      <c r="A5571" t="s">
        <v>5575</v>
      </c>
      <c r="B5571">
        <v>0.99252571173614901</v>
      </c>
      <c r="C5571">
        <v>1.0448973127150001</v>
      </c>
      <c r="D5571">
        <v>0.92970713607363897</v>
      </c>
      <c r="E5571">
        <v>0.86748762047299799</v>
      </c>
      <c r="F5571">
        <v>0.56670208809957401</v>
      </c>
      <c r="G5571">
        <v>0.36349635791336399</v>
      </c>
      <c r="H5571">
        <v>0.32451809594411901</v>
      </c>
      <c r="I5571">
        <v>0.42427027421716101</v>
      </c>
      <c r="J5571">
        <v>0.54650664077174604</v>
      </c>
      <c r="K5571">
        <v>0.52889096308246297</v>
      </c>
      <c r="L5571">
        <v>1944.4794936010901</v>
      </c>
      <c r="M5571">
        <v>38.007204607337499</v>
      </c>
      <c r="N5571">
        <v>54.144894092290002</v>
      </c>
      <c r="O5571">
        <v>51.019800450898003</v>
      </c>
      <c r="P5571">
        <v>-0.104582877778384</v>
      </c>
      <c r="Q5571">
        <v>0.43844502579379002</v>
      </c>
      <c r="R5571">
        <v>0.92901370307641495</v>
      </c>
      <c r="S5571" t="s">
        <v>12217</v>
      </c>
      <c r="T5571" t="s">
        <v>13290</v>
      </c>
      <c r="U5571" t="s">
        <v>13290</v>
      </c>
      <c r="V5571" t="s">
        <v>13290</v>
      </c>
      <c r="W5571" t="s">
        <v>18810</v>
      </c>
      <c r="X5571">
        <v>3</v>
      </c>
      <c r="Y5571" t="s">
        <v>25287</v>
      </c>
      <c r="Z5571" t="s">
        <v>31901</v>
      </c>
      <c r="AA5571">
        <v>0.64955955155835154</v>
      </c>
      <c r="AB5571" t="str">
        <f>HYPERLINK("Melting_Curves/meltCurve_Q9GZX9_TWSG1.pdf", "Melting_Curves/meltCurve_Q9GZX9_TWSG1.pdf")</f>
        <v>Melting_Curves/meltCurve_Q9GZX9_TWSG1.pdf</v>
      </c>
    </row>
    <row r="5572" spans="1:28" x14ac:dyDescent="0.25">
      <c r="A5572" t="s">
        <v>5576</v>
      </c>
      <c r="B5572">
        <v>0.99252571173614901</v>
      </c>
      <c r="C5572">
        <v>0.87137308671343305</v>
      </c>
      <c r="D5572">
        <v>0.76687155303562105</v>
      </c>
      <c r="E5572">
        <v>0.61526072507279395</v>
      </c>
      <c r="F5572">
        <v>0.326885826145213</v>
      </c>
      <c r="G5572">
        <v>0.22921116411782899</v>
      </c>
      <c r="H5572">
        <v>0.14530682004312001</v>
      </c>
      <c r="I5572">
        <v>0.182649344292063</v>
      </c>
      <c r="J5572">
        <v>0.26239785174593</v>
      </c>
      <c r="K5572">
        <v>0.25827441471910301</v>
      </c>
      <c r="L5572">
        <v>817.58321201021602</v>
      </c>
      <c r="M5572">
        <v>16.745251129696602</v>
      </c>
      <c r="N5572">
        <v>50.2858980144713</v>
      </c>
      <c r="O5572">
        <v>48.144405600917203</v>
      </c>
      <c r="P5572">
        <v>-7.0208133657823496E-2</v>
      </c>
      <c r="Q5572">
        <v>0.19262907497409901</v>
      </c>
      <c r="R5572">
        <v>0.97260234889680997</v>
      </c>
      <c r="S5572" t="s">
        <v>12218</v>
      </c>
      <c r="T5572" t="s">
        <v>13290</v>
      </c>
      <c r="U5572" t="s">
        <v>13290</v>
      </c>
      <c r="V5572" t="s">
        <v>13290</v>
      </c>
      <c r="W5572" t="s">
        <v>18811</v>
      </c>
      <c r="X5572">
        <v>10</v>
      </c>
      <c r="Y5572" t="s">
        <v>25288</v>
      </c>
      <c r="Z5572" t="s">
        <v>31902</v>
      </c>
      <c r="AA5572">
        <v>0.44633064201351202</v>
      </c>
      <c r="AB5572" t="str">
        <f>HYPERLINK("Melting_Curves/meltCurve_Q9GZY8_2_MFF.pdf", "Melting_Curves/meltCurve_Q9GZY8_2_MFF.pdf")</f>
        <v>Melting_Curves/meltCurve_Q9GZY8_2_MFF.pdf</v>
      </c>
    </row>
    <row r="5573" spans="1:28" x14ac:dyDescent="0.25">
      <c r="A5573" t="s">
        <v>5577</v>
      </c>
      <c r="B5573">
        <v>0.99252571173614901</v>
      </c>
      <c r="C5573">
        <v>1.0226803446550401</v>
      </c>
      <c r="D5573">
        <v>0.92401915648181199</v>
      </c>
      <c r="E5573">
        <v>0.80150420038708603</v>
      </c>
      <c r="F5573">
        <v>0.60478848023940102</v>
      </c>
      <c r="G5573">
        <v>0.25237959878379201</v>
      </c>
      <c r="H5573">
        <v>0.12154637935005</v>
      </c>
      <c r="I5573">
        <v>0.11619515499880199</v>
      </c>
      <c r="J5573">
        <v>0.117445009155389</v>
      </c>
      <c r="K5573">
        <v>0.106625800037214</v>
      </c>
      <c r="L5573">
        <v>1086.0033317439199</v>
      </c>
      <c r="M5573">
        <v>20.3822777164971</v>
      </c>
      <c r="N5573">
        <v>53.771683451458998</v>
      </c>
      <c r="O5573">
        <v>52.776805685669601</v>
      </c>
      <c r="P5573">
        <v>-8.83701462427115E-2</v>
      </c>
      <c r="Q5573">
        <v>8.4743394213462594E-2</v>
      </c>
      <c r="R5573">
        <v>0.99345763530367304</v>
      </c>
      <c r="S5573" t="s">
        <v>12219</v>
      </c>
      <c r="T5573" t="s">
        <v>13290</v>
      </c>
      <c r="U5573" t="s">
        <v>13290</v>
      </c>
      <c r="V5573" t="s">
        <v>13290</v>
      </c>
      <c r="W5573" t="s">
        <v>18812</v>
      </c>
      <c r="X5573">
        <v>11</v>
      </c>
      <c r="Y5573" t="s">
        <v>25289</v>
      </c>
      <c r="Z5573" t="s">
        <v>31903</v>
      </c>
      <c r="AA5573">
        <v>0.50210981018475009</v>
      </c>
      <c r="AB5573" t="str">
        <f>HYPERLINK("Melting_Curves/meltCurve_Q9GZZ9_UBA5.pdf", "Melting_Curves/meltCurve_Q9GZZ9_UBA5.pdf")</f>
        <v>Melting_Curves/meltCurve_Q9GZZ9_UBA5.pdf</v>
      </c>
    </row>
    <row r="5574" spans="1:28" x14ac:dyDescent="0.25">
      <c r="A5574" t="s">
        <v>5578</v>
      </c>
      <c r="B5574">
        <v>0.99252571173614901</v>
      </c>
      <c r="C5574">
        <v>1.04834909972338</v>
      </c>
      <c r="D5574">
        <v>0.95428345070727405</v>
      </c>
      <c r="E5574">
        <v>0.79189350450442397</v>
      </c>
      <c r="F5574">
        <v>0.69575416589239403</v>
      </c>
      <c r="G5574">
        <v>0.53006925978839203</v>
      </c>
      <c r="H5574">
        <v>0.29603493793761798</v>
      </c>
      <c r="I5574">
        <v>0.147045576042661</v>
      </c>
      <c r="J5574">
        <v>0.213691257531544</v>
      </c>
      <c r="K5574">
        <v>0.368253477590964</v>
      </c>
      <c r="L5574">
        <v>890.614675081771</v>
      </c>
      <c r="M5574">
        <v>16.4235999162178</v>
      </c>
      <c r="N5574">
        <v>56.134444218481001</v>
      </c>
      <c r="O5574">
        <v>53.4428998924312</v>
      </c>
      <c r="P5574">
        <v>-6.0407468233088901E-2</v>
      </c>
      <c r="Q5574">
        <v>0.21378459743360201</v>
      </c>
      <c r="R5574">
        <v>0.95237219983256804</v>
      </c>
      <c r="S5574" t="s">
        <v>12220</v>
      </c>
      <c r="T5574" t="s">
        <v>13290</v>
      </c>
      <c r="U5574" t="s">
        <v>13290</v>
      </c>
      <c r="V5574" t="s">
        <v>13290</v>
      </c>
      <c r="W5574" t="s">
        <v>18813</v>
      </c>
      <c r="X5574">
        <v>8</v>
      </c>
      <c r="Y5574" t="s">
        <v>25290</v>
      </c>
      <c r="Z5574" t="s">
        <v>31904</v>
      </c>
      <c r="AA5574">
        <v>0.60085318795904985</v>
      </c>
      <c r="AB5574" t="str">
        <f>HYPERLINK("Melting_Curves/meltCurve_Q9H008_LHPP.pdf", "Melting_Curves/meltCurve_Q9H008_LHPP.pdf")</f>
        <v>Melting_Curves/meltCurve_Q9H008_LHPP.pdf</v>
      </c>
    </row>
    <row r="5575" spans="1:28" x14ac:dyDescent="0.25">
      <c r="A5575" t="s">
        <v>5579</v>
      </c>
      <c r="B5575">
        <v>0.99252571173614901</v>
      </c>
      <c r="C5575">
        <v>0.79315567749113502</v>
      </c>
      <c r="D5575">
        <v>0.67752665254572297</v>
      </c>
      <c r="E5575">
        <v>0.31136662929985798</v>
      </c>
      <c r="F5575">
        <v>0.11974778129052301</v>
      </c>
      <c r="G5575">
        <v>7.3379680869991595E-2</v>
      </c>
      <c r="H5575">
        <v>4.7915939484187299E-2</v>
      </c>
      <c r="I5575">
        <v>4.7562864780210101E-2</v>
      </c>
      <c r="J5575">
        <v>4.4731447222931299E-2</v>
      </c>
      <c r="K5575">
        <v>4.5588637516951497E-2</v>
      </c>
      <c r="L5575">
        <v>850.63578827346203</v>
      </c>
      <c r="M5575">
        <v>18.0209841204512</v>
      </c>
      <c r="N5575">
        <v>47.382404030729099</v>
      </c>
      <c r="O5575">
        <v>46.632784701061198</v>
      </c>
      <c r="P5575">
        <v>-9.3421317512986601E-2</v>
      </c>
      <c r="Q5575">
        <v>3.30645208087917E-2</v>
      </c>
      <c r="R5575">
        <v>0.99242741222790198</v>
      </c>
      <c r="S5575" t="s">
        <v>12221</v>
      </c>
      <c r="T5575" t="s">
        <v>13290</v>
      </c>
      <c r="U5575" t="s">
        <v>13290</v>
      </c>
      <c r="V5575" t="s">
        <v>13290</v>
      </c>
      <c r="W5575" t="s">
        <v>18814</v>
      </c>
      <c r="X5575">
        <v>4</v>
      </c>
      <c r="Y5575" t="s">
        <v>25291</v>
      </c>
      <c r="Z5575" t="s">
        <v>31905</v>
      </c>
      <c r="AA5575">
        <v>0.28283659636659852</v>
      </c>
      <c r="AB5575" t="str">
        <f>HYPERLINK("Melting_Curves/meltCurve_Q9H019_3_MTFR1L.pdf", "Melting_Curves/meltCurve_Q9H019_3_MTFR1L.pdf")</f>
        <v>Melting_Curves/meltCurve_Q9H019_3_MTFR1L.pdf</v>
      </c>
    </row>
    <row r="5576" spans="1:28" x14ac:dyDescent="0.25">
      <c r="A5576" t="s">
        <v>5580</v>
      </c>
      <c r="B5576">
        <v>0.99252571173614901</v>
      </c>
      <c r="C5576">
        <v>0.82419549361419497</v>
      </c>
      <c r="D5576">
        <v>0.76626994483439204</v>
      </c>
      <c r="E5576">
        <v>0.65807183886143505</v>
      </c>
      <c r="F5576">
        <v>0.66079438935777601</v>
      </c>
      <c r="G5576">
        <v>0.50778782470877604</v>
      </c>
      <c r="H5576">
        <v>0.34634137608548299</v>
      </c>
      <c r="I5576">
        <v>0.213003593510454</v>
      </c>
      <c r="J5576">
        <v>0.178611440576672</v>
      </c>
      <c r="K5576">
        <v>0.14515010145430901</v>
      </c>
      <c r="L5576">
        <v>410.293743634348</v>
      </c>
      <c r="M5576">
        <v>7.4314098902961296</v>
      </c>
      <c r="N5576">
        <v>55.210754024974797</v>
      </c>
      <c r="O5576">
        <v>51.636097464030797</v>
      </c>
      <c r="P5576">
        <v>-3.6033242775160901E-2</v>
      </c>
      <c r="Q5576">
        <v>0</v>
      </c>
      <c r="R5576">
        <v>0.96511512751642103</v>
      </c>
      <c r="S5576" t="s">
        <v>12222</v>
      </c>
      <c r="T5576" t="s">
        <v>13290</v>
      </c>
      <c r="U5576" t="s">
        <v>13290</v>
      </c>
      <c r="V5576" t="s">
        <v>13290</v>
      </c>
      <c r="W5576" t="s">
        <v>18815</v>
      </c>
      <c r="X5576">
        <v>3</v>
      </c>
      <c r="Y5576" t="s">
        <v>25292</v>
      </c>
      <c r="Z5576" t="s">
        <v>31906</v>
      </c>
      <c r="AA5576">
        <v>0.5324806200419171</v>
      </c>
      <c r="AB5576" t="str">
        <f>HYPERLINK("Melting_Curves/meltCurve_Q9H061_TMEM126A.pdf", "Melting_Curves/meltCurve_Q9H061_TMEM126A.pdf")</f>
        <v>Melting_Curves/meltCurve_Q9H061_TMEM126A.pdf</v>
      </c>
    </row>
    <row r="5577" spans="1:28" x14ac:dyDescent="0.25">
      <c r="A5577" t="s">
        <v>5581</v>
      </c>
      <c r="B5577">
        <v>0.99252571173614901</v>
      </c>
      <c r="C5577">
        <v>0.93329112251756297</v>
      </c>
      <c r="D5577">
        <v>0.88999791310713505</v>
      </c>
      <c r="E5577">
        <v>0.60877806758304598</v>
      </c>
      <c r="F5577">
        <v>0.19305684959920399</v>
      </c>
      <c r="G5577">
        <v>9.1927572250716405E-2</v>
      </c>
      <c r="H5577">
        <v>7.4344729315102207E-2</v>
      </c>
      <c r="I5577">
        <v>8.3825768712046597E-2</v>
      </c>
      <c r="J5577">
        <v>9.9780191792620904E-2</v>
      </c>
      <c r="K5577">
        <v>0.105377851703121</v>
      </c>
      <c r="L5577">
        <v>1410.4781844195199</v>
      </c>
      <c r="M5577">
        <v>28.260394791862801</v>
      </c>
      <c r="N5577">
        <v>50.2256885977894</v>
      </c>
      <c r="O5577">
        <v>49.662163149113702</v>
      </c>
      <c r="P5577">
        <v>-0.13069039514794101</v>
      </c>
      <c r="Q5577">
        <v>8.1355531891255897E-2</v>
      </c>
      <c r="R5577">
        <v>0.99495496672274597</v>
      </c>
      <c r="S5577" t="s">
        <v>12223</v>
      </c>
      <c r="T5577" t="s">
        <v>13290</v>
      </c>
      <c r="U5577" t="s">
        <v>13290</v>
      </c>
      <c r="V5577" t="s">
        <v>13290</v>
      </c>
      <c r="W5577" t="s">
        <v>18816</v>
      </c>
      <c r="X5577">
        <v>11</v>
      </c>
      <c r="Y5577" t="s">
        <v>25293</v>
      </c>
      <c r="Z5577" t="s">
        <v>31907</v>
      </c>
      <c r="AA5577">
        <v>0.39121981236617681</v>
      </c>
      <c r="AB5577" t="str">
        <f>HYPERLINK("Melting_Curves/meltCurve_Q9H074_PAIP1.pdf", "Melting_Curves/meltCurve_Q9H074_PAIP1.pdf")</f>
        <v>Melting_Curves/meltCurve_Q9H074_PAIP1.pdf</v>
      </c>
    </row>
    <row r="5578" spans="1:28" x14ac:dyDescent="0.25">
      <c r="A5578" t="s">
        <v>5582</v>
      </c>
      <c r="B5578">
        <v>0.99252571173614901</v>
      </c>
      <c r="C5578">
        <v>1.0155806355971999</v>
      </c>
      <c r="D5578">
        <v>0.97799395111075704</v>
      </c>
      <c r="E5578">
        <v>0.87858351379803301</v>
      </c>
      <c r="F5578">
        <v>0.46125240958555402</v>
      </c>
      <c r="G5578">
        <v>0.138535834756398</v>
      </c>
      <c r="H5578">
        <v>9.5921329651229098E-2</v>
      </c>
      <c r="I5578">
        <v>9.6241372027107294E-2</v>
      </c>
      <c r="J5578">
        <v>0.11135594965727599</v>
      </c>
      <c r="K5578">
        <v>0.112335415264188</v>
      </c>
      <c r="L5578">
        <v>1779.0296751322901</v>
      </c>
      <c r="M5578">
        <v>33.890346076226898</v>
      </c>
      <c r="N5578">
        <v>52.831071369429203</v>
      </c>
      <c r="O5578">
        <v>52.311939007539401</v>
      </c>
      <c r="P5578">
        <v>-0.14620496834844701</v>
      </c>
      <c r="Q5578">
        <v>9.7296371358644995E-2</v>
      </c>
      <c r="R5578">
        <v>0.99886711014071705</v>
      </c>
      <c r="S5578" t="s">
        <v>12224</v>
      </c>
      <c r="T5578" t="s">
        <v>13290</v>
      </c>
      <c r="U5578" t="s">
        <v>13290</v>
      </c>
      <c r="V5578" t="s">
        <v>13290</v>
      </c>
      <c r="W5578" t="s">
        <v>18817</v>
      </c>
      <c r="X5578">
        <v>30</v>
      </c>
      <c r="Y5578" t="s">
        <v>25294</v>
      </c>
      <c r="Z5578" t="s">
        <v>31908</v>
      </c>
      <c r="AA5578">
        <v>0.47779550836226042</v>
      </c>
      <c r="AB5578" t="str">
        <f>HYPERLINK("Melting_Curves/meltCurve_Q9H078_2_CLPB.pdf", "Melting_Curves/meltCurve_Q9H078_2_CLPB.pdf")</f>
        <v>Melting_Curves/meltCurve_Q9H078_2_CLPB.pdf</v>
      </c>
    </row>
    <row r="5579" spans="1:28" x14ac:dyDescent="0.25">
      <c r="A5579" t="s">
        <v>5583</v>
      </c>
      <c r="B5579">
        <v>0.99252571173614901</v>
      </c>
      <c r="C5579">
        <v>0.88228029386239604</v>
      </c>
      <c r="D5579">
        <v>0.81385593092233599</v>
      </c>
      <c r="E5579">
        <v>0.72907232299187896</v>
      </c>
      <c r="F5579">
        <v>0.71415540773755504</v>
      </c>
      <c r="G5579">
        <v>0.50403752491704501</v>
      </c>
      <c r="H5579">
        <v>0.282158926779636</v>
      </c>
      <c r="I5579">
        <v>0.19578197919975901</v>
      </c>
      <c r="J5579">
        <v>0.18008713399571999</v>
      </c>
      <c r="K5579">
        <v>0.15600891049079599</v>
      </c>
      <c r="L5579">
        <v>499.47234589586901</v>
      </c>
      <c r="M5579">
        <v>8.9274778511359294</v>
      </c>
      <c r="N5579">
        <v>55.947755257481901</v>
      </c>
      <c r="O5579">
        <v>53.354181240640202</v>
      </c>
      <c r="P5579">
        <v>-4.1862523871901702E-2</v>
      </c>
      <c r="Q5579">
        <v>0</v>
      </c>
      <c r="R5579">
        <v>0.97373127435251094</v>
      </c>
      <c r="S5579" t="s">
        <v>12225</v>
      </c>
      <c r="T5579" t="s">
        <v>13290</v>
      </c>
      <c r="U5579" t="s">
        <v>13290</v>
      </c>
      <c r="V5579" t="s">
        <v>13290</v>
      </c>
      <c r="W5579" t="s">
        <v>18818</v>
      </c>
      <c r="X5579">
        <v>5</v>
      </c>
      <c r="Y5579" t="s">
        <v>25295</v>
      </c>
      <c r="Z5579" t="s">
        <v>31909</v>
      </c>
      <c r="AA5579">
        <v>0.55266544868175527</v>
      </c>
      <c r="AB5579" t="str">
        <f>HYPERLINK("Melting_Curves/meltCurve_Q9H082_RAB33B.pdf", "Melting_Curves/meltCurve_Q9H082_RAB33B.pdf")</f>
        <v>Melting_Curves/meltCurve_Q9H082_RAB33B.pdf</v>
      </c>
    </row>
    <row r="5580" spans="1:28" x14ac:dyDescent="0.25">
      <c r="A5580" t="s">
        <v>5584</v>
      </c>
      <c r="B5580">
        <v>0.99252571173614901</v>
      </c>
      <c r="C5580">
        <v>0.889182077713213</v>
      </c>
      <c r="D5580">
        <v>0.69574750846619304</v>
      </c>
      <c r="E5580">
        <v>0.21943649747581101</v>
      </c>
      <c r="F5580">
        <v>0.13072048599241801</v>
      </c>
      <c r="G5580">
        <v>7.2160636247725798E-2</v>
      </c>
      <c r="H5580">
        <v>5.8743932933784403E-2</v>
      </c>
      <c r="I5580">
        <v>6.2603127108460693E-2</v>
      </c>
      <c r="J5580">
        <v>5.7069356685700297E-2</v>
      </c>
      <c r="K5580">
        <v>6.2449129631171198E-2</v>
      </c>
      <c r="L5580">
        <v>1250.6308482786999</v>
      </c>
      <c r="M5580">
        <v>26.593111255680501</v>
      </c>
      <c r="N5580">
        <v>47.262881274513902</v>
      </c>
      <c r="O5580">
        <v>46.7648571023607</v>
      </c>
      <c r="P5580">
        <v>-0.13337873630566099</v>
      </c>
      <c r="Q5580">
        <v>6.18063661093773E-2</v>
      </c>
      <c r="R5580">
        <v>0.99648287412974001</v>
      </c>
      <c r="S5580" t="s">
        <v>12226</v>
      </c>
      <c r="T5580" t="s">
        <v>13290</v>
      </c>
      <c r="U5580" t="s">
        <v>13290</v>
      </c>
      <c r="V5580" t="s">
        <v>13290</v>
      </c>
      <c r="W5580" t="s">
        <v>18819</v>
      </c>
      <c r="X5580">
        <v>18</v>
      </c>
      <c r="Y5580" t="s">
        <v>25296</v>
      </c>
      <c r="Z5580" t="s">
        <v>31910</v>
      </c>
      <c r="AA5580">
        <v>0.28891541182978542</v>
      </c>
      <c r="AB5580" t="str">
        <f>HYPERLINK("Melting_Curves/meltCurve_Q9H089_LSG1.pdf", "Melting_Curves/meltCurve_Q9H089_LSG1.pdf")</f>
        <v>Melting_Curves/meltCurve_Q9H089_LSG1.pdf</v>
      </c>
    </row>
    <row r="5581" spans="1:28" x14ac:dyDescent="0.25">
      <c r="A5581" t="s">
        <v>5585</v>
      </c>
      <c r="B5581">
        <v>0.99252571173614901</v>
      </c>
      <c r="C5581">
        <v>0.85888433521581498</v>
      </c>
      <c r="D5581">
        <v>0.99483985029782496</v>
      </c>
      <c r="E5581">
        <v>0.55311921671060504</v>
      </c>
      <c r="F5581">
        <v>0.17466934425560399</v>
      </c>
      <c r="G5581">
        <v>0.106137802652383</v>
      </c>
      <c r="H5581">
        <v>9.0568360655520694E-2</v>
      </c>
      <c r="I5581">
        <v>9.83544373721328E-2</v>
      </c>
      <c r="J5581">
        <v>0.124378238143246</v>
      </c>
      <c r="K5581">
        <v>0.13176690733000701</v>
      </c>
      <c r="L5581">
        <v>2082.2084985185202</v>
      </c>
      <c r="M5581">
        <v>41.967007818643197</v>
      </c>
      <c r="N5581">
        <v>49.915319857707701</v>
      </c>
      <c r="O5581">
        <v>49.503122156375603</v>
      </c>
      <c r="P5581">
        <v>-0.18832036786752901</v>
      </c>
      <c r="Q5581">
        <v>0.111451770326937</v>
      </c>
      <c r="R5581">
        <v>0.98450448663653201</v>
      </c>
      <c r="S5581" t="s">
        <v>12227</v>
      </c>
      <c r="T5581" t="s">
        <v>13290</v>
      </c>
      <c r="U5581" t="s">
        <v>13290</v>
      </c>
      <c r="V5581" t="s">
        <v>13290</v>
      </c>
      <c r="W5581" t="s">
        <v>18820</v>
      </c>
      <c r="X5581">
        <v>19</v>
      </c>
      <c r="Y5581" t="s">
        <v>25297</v>
      </c>
      <c r="Z5581" t="s">
        <v>31911</v>
      </c>
      <c r="AA5581">
        <v>0.39900979824990479</v>
      </c>
      <c r="AB5581" t="str">
        <f>HYPERLINK("Melting_Curves/meltCurve_Q9H0B6_KLC2.pdf", "Melting_Curves/meltCurve_Q9H0B6_KLC2.pdf")</f>
        <v>Melting_Curves/meltCurve_Q9H0B6_KLC2.pdf</v>
      </c>
    </row>
    <row r="5582" spans="1:28" x14ac:dyDescent="0.25">
      <c r="A5582" t="s">
        <v>5586</v>
      </c>
      <c r="B5582">
        <v>0.99252571173614901</v>
      </c>
      <c r="C5582">
        <v>1.14020645996712</v>
      </c>
      <c r="D5582">
        <v>0.89749510222087503</v>
      </c>
      <c r="E5582">
        <v>0.48485939000203898</v>
      </c>
      <c r="F5582">
        <v>0.201757084094038</v>
      </c>
      <c r="G5582">
        <v>0.122227500524764</v>
      </c>
      <c r="H5582">
        <v>9.6627267523395302E-2</v>
      </c>
      <c r="I5582">
        <v>9.55576349577619E-2</v>
      </c>
      <c r="J5582">
        <v>0.115032970885285</v>
      </c>
      <c r="K5582">
        <v>0.108635941789176</v>
      </c>
      <c r="L5582">
        <v>1579.1259480190299</v>
      </c>
      <c r="M5582">
        <v>32.118369202458403</v>
      </c>
      <c r="N5582">
        <v>49.541085101378101</v>
      </c>
      <c r="O5582">
        <v>48.976401773390798</v>
      </c>
      <c r="P5582">
        <v>-0.14624560372906201</v>
      </c>
      <c r="Q5582">
        <v>0.10798112972184699</v>
      </c>
      <c r="R5582">
        <v>0.98564308266102496</v>
      </c>
      <c r="S5582" t="s">
        <v>12228</v>
      </c>
      <c r="T5582" t="s">
        <v>13290</v>
      </c>
      <c r="U5582" t="s">
        <v>13290</v>
      </c>
      <c r="V5582" t="s">
        <v>13290</v>
      </c>
      <c r="W5582" t="s">
        <v>18821</v>
      </c>
      <c r="X5582">
        <v>20</v>
      </c>
      <c r="Y5582" t="s">
        <v>25298</v>
      </c>
      <c r="Z5582" t="s">
        <v>31912</v>
      </c>
      <c r="AA5582">
        <v>0.38525496351002092</v>
      </c>
      <c r="AB5582" t="str">
        <f>HYPERLINK("Melting_Curves/meltCurve_Q9H0C8_ILKAP.pdf", "Melting_Curves/meltCurve_Q9H0C8_ILKAP.pdf")</f>
        <v>Melting_Curves/meltCurve_Q9H0C8_ILKAP.pdf</v>
      </c>
    </row>
    <row r="5583" spans="1:28" x14ac:dyDescent="0.25">
      <c r="A5583" t="s">
        <v>5587</v>
      </c>
      <c r="B5583">
        <v>0.99252571173614901</v>
      </c>
      <c r="C5583">
        <v>0.97433878394136897</v>
      </c>
      <c r="D5583">
        <v>1.04201322973328</v>
      </c>
      <c r="E5583">
        <v>1.03992402954067</v>
      </c>
      <c r="F5583">
        <v>1.02848441422201</v>
      </c>
      <c r="G5583">
        <v>1.0436501124100199</v>
      </c>
      <c r="H5583">
        <v>0.95247904184729204</v>
      </c>
      <c r="I5583">
        <v>0.66349455959672898</v>
      </c>
      <c r="J5583">
        <v>0.291624628361562</v>
      </c>
      <c r="K5583">
        <v>0.270439014149642</v>
      </c>
      <c r="L5583">
        <v>3824.4828849905498</v>
      </c>
      <c r="M5583">
        <v>59.594971968769798</v>
      </c>
      <c r="N5583">
        <v>64.948082230224102</v>
      </c>
      <c r="O5583">
        <v>64.102445695410793</v>
      </c>
      <c r="P5583">
        <v>-0.17335950459745</v>
      </c>
      <c r="Q5583">
        <v>0.254113995669625</v>
      </c>
      <c r="R5583">
        <v>0.99119964257830095</v>
      </c>
      <c r="S5583" t="s">
        <v>12229</v>
      </c>
      <c r="T5583" t="s">
        <v>13290</v>
      </c>
      <c r="U5583" t="s">
        <v>13290</v>
      </c>
      <c r="V5583" t="s">
        <v>13290</v>
      </c>
      <c r="W5583" t="s">
        <v>18822</v>
      </c>
      <c r="X5583">
        <v>40</v>
      </c>
      <c r="Y5583" t="s">
        <v>25299</v>
      </c>
      <c r="Z5583" t="s">
        <v>31913</v>
      </c>
      <c r="AA5583">
        <v>0.85641602405386208</v>
      </c>
      <c r="AB5583" t="str">
        <f>HYPERLINK("Melting_Curves/meltCurve_Q9H0D6_XRN2.pdf", "Melting_Curves/meltCurve_Q9H0D6_XRN2.pdf")</f>
        <v>Melting_Curves/meltCurve_Q9H0D6_XRN2.pdf</v>
      </c>
    </row>
    <row r="5584" spans="1:28" x14ac:dyDescent="0.25">
      <c r="A5584" t="s">
        <v>5588</v>
      </c>
      <c r="B5584">
        <v>0.99252571173614901</v>
      </c>
      <c r="C5584">
        <v>1.0903576914886901</v>
      </c>
      <c r="D5584">
        <v>0.93882421520345205</v>
      </c>
      <c r="E5584">
        <v>0.782728261905003</v>
      </c>
      <c r="F5584">
        <v>0.37124321991982001</v>
      </c>
      <c r="G5584">
        <v>0.14348895304793099</v>
      </c>
      <c r="H5584">
        <v>0.100571639323585</v>
      </c>
      <c r="I5584">
        <v>0.100847925380023</v>
      </c>
      <c r="J5584">
        <v>0.12747951837748001</v>
      </c>
      <c r="K5584">
        <v>0.13115087057866001</v>
      </c>
      <c r="L5584">
        <v>1511.2918511375201</v>
      </c>
      <c r="M5584">
        <v>29.3366826483857</v>
      </c>
      <c r="N5584">
        <v>51.948758585167802</v>
      </c>
      <c r="O5584">
        <v>51.277841035298202</v>
      </c>
      <c r="P5584">
        <v>-0.127505516443112</v>
      </c>
      <c r="Q5584">
        <v>0.108534372890169</v>
      </c>
      <c r="R5584">
        <v>0.99268802276359602</v>
      </c>
      <c r="S5584" t="s">
        <v>12230</v>
      </c>
      <c r="T5584" t="s">
        <v>13290</v>
      </c>
      <c r="U5584" t="s">
        <v>13290</v>
      </c>
      <c r="V5584" t="s">
        <v>13290</v>
      </c>
      <c r="W5584" t="s">
        <v>18823</v>
      </c>
      <c r="X5584">
        <v>10</v>
      </c>
      <c r="Y5584" t="s">
        <v>25300</v>
      </c>
      <c r="Z5584" t="s">
        <v>31914</v>
      </c>
      <c r="AA5584">
        <v>0.45663092306847181</v>
      </c>
      <c r="AB5584" t="str">
        <f>HYPERLINK("Melting_Curves/meltCurve_Q9H0E2_TOLLIP.pdf", "Melting_Curves/meltCurve_Q9H0E2_TOLLIP.pdf")</f>
        <v>Melting_Curves/meltCurve_Q9H0E2_TOLLIP.pdf</v>
      </c>
    </row>
    <row r="5585" spans="1:28" x14ac:dyDescent="0.25">
      <c r="A5585" t="s">
        <v>5589</v>
      </c>
      <c r="B5585">
        <v>0.99252571173614901</v>
      </c>
      <c r="C5585">
        <v>0.97179792071522897</v>
      </c>
      <c r="D5585">
        <v>0.72593852718779905</v>
      </c>
      <c r="E5585">
        <v>0.53037933012128102</v>
      </c>
      <c r="F5585">
        <v>0.30568210035216398</v>
      </c>
      <c r="G5585">
        <v>0.19694585842322901</v>
      </c>
      <c r="H5585">
        <v>0.12983829969993699</v>
      </c>
      <c r="I5585">
        <v>0.143474344768693</v>
      </c>
      <c r="J5585">
        <v>0.17636581250209901</v>
      </c>
      <c r="K5585">
        <v>0.23183044828028501</v>
      </c>
      <c r="L5585">
        <v>897.61797289567301</v>
      </c>
      <c r="M5585">
        <v>18.500999763952599</v>
      </c>
      <c r="N5585">
        <v>49.5608631520373</v>
      </c>
      <c r="O5585">
        <v>47.961113537776001</v>
      </c>
      <c r="P5585">
        <v>-8.0883170324537304E-2</v>
      </c>
      <c r="Q5585">
        <v>0.161326750017874</v>
      </c>
      <c r="R5585">
        <v>0.98696642617207497</v>
      </c>
      <c r="S5585" t="s">
        <v>12231</v>
      </c>
      <c r="T5585" t="s">
        <v>13290</v>
      </c>
      <c r="U5585" t="s">
        <v>13290</v>
      </c>
      <c r="V5585" t="s">
        <v>13290</v>
      </c>
      <c r="W5585" t="s">
        <v>18824</v>
      </c>
      <c r="X5585">
        <v>7</v>
      </c>
      <c r="Y5585" t="s">
        <v>25301</v>
      </c>
      <c r="Z5585" t="s">
        <v>31915</v>
      </c>
      <c r="AA5585">
        <v>0.41330746958137821</v>
      </c>
      <c r="AB5585" t="str">
        <f>HYPERLINK("Melting_Curves/meltCurve_Q9H0E9_2_BRD8.pdf", "Melting_Curves/meltCurve_Q9H0E9_2_BRD8.pdf")</f>
        <v>Melting_Curves/meltCurve_Q9H0E9_2_BRD8.pdf</v>
      </c>
    </row>
    <row r="5586" spans="1:28" x14ac:dyDescent="0.25">
      <c r="A5586" t="s">
        <v>5590</v>
      </c>
      <c r="B5586">
        <v>0.99252571173614901</v>
      </c>
      <c r="C5586">
        <v>1.0455261246522201</v>
      </c>
      <c r="D5586">
        <v>0.94989840971944794</v>
      </c>
      <c r="E5586">
        <v>0.52439457146842094</v>
      </c>
      <c r="F5586">
        <v>0.184670796117863</v>
      </c>
      <c r="G5586">
        <v>0.124767874474768</v>
      </c>
      <c r="H5586">
        <v>0.105149960902539</v>
      </c>
      <c r="I5586">
        <v>0.130222300467179</v>
      </c>
      <c r="J5586">
        <v>0.16650960207826099</v>
      </c>
      <c r="K5586">
        <v>0.135888143390578</v>
      </c>
      <c r="L5586">
        <v>1943.62432207816</v>
      </c>
      <c r="M5586">
        <v>39.377159592283498</v>
      </c>
      <c r="N5586">
        <v>49.747209068426301</v>
      </c>
      <c r="O5586">
        <v>49.232392603677397</v>
      </c>
      <c r="P5586">
        <v>-0.17351640672103</v>
      </c>
      <c r="Q5586">
        <v>0.132226994254489</v>
      </c>
      <c r="R5586">
        <v>0.99696652339778702</v>
      </c>
      <c r="S5586" t="s">
        <v>12232</v>
      </c>
      <c r="T5586" t="s">
        <v>13290</v>
      </c>
      <c r="U5586" t="s">
        <v>13290</v>
      </c>
      <c r="V5586" t="s">
        <v>13290</v>
      </c>
      <c r="W5586" t="s">
        <v>18825</v>
      </c>
      <c r="X5586">
        <v>3</v>
      </c>
      <c r="Y5586" t="s">
        <v>25302</v>
      </c>
      <c r="Z5586" t="s">
        <v>31916</v>
      </c>
      <c r="AA5586">
        <v>0.40600689125656581</v>
      </c>
      <c r="AB5586" t="str">
        <f>HYPERLINK("Melting_Curves/meltCurve_Q9H0F7_ARL6.pdf", "Melting_Curves/meltCurve_Q9H0F7_ARL6.pdf")</f>
        <v>Melting_Curves/meltCurve_Q9H0F7_ARL6.pdf</v>
      </c>
    </row>
    <row r="5587" spans="1:28" x14ac:dyDescent="0.25">
      <c r="A5587" t="s">
        <v>5591</v>
      </c>
      <c r="B5587">
        <v>0.99252571173614901</v>
      </c>
      <c r="C5587">
        <v>1.0817255279965201</v>
      </c>
      <c r="D5587">
        <v>0.96850888617331399</v>
      </c>
      <c r="E5587">
        <v>1.00575585668088</v>
      </c>
      <c r="F5587">
        <v>0.772177330131955</v>
      </c>
      <c r="G5587">
        <v>0.65995645564924199</v>
      </c>
      <c r="H5587">
        <v>0.67119627271206805</v>
      </c>
      <c r="I5587">
        <v>0.98402759831175901</v>
      </c>
      <c r="J5587">
        <v>1.4987892145830699</v>
      </c>
      <c r="K5587">
        <v>1.62855206734312</v>
      </c>
      <c r="L5587">
        <v>15000</v>
      </c>
      <c r="M5587">
        <v>228.17965974472099</v>
      </c>
      <c r="O5587">
        <v>65.732628614014303</v>
      </c>
      <c r="P5587">
        <v>0.43391630846127999</v>
      </c>
      <c r="Q5587">
        <v>1.5</v>
      </c>
      <c r="R5587">
        <v>0.67387363748242601</v>
      </c>
      <c r="S5587" t="s">
        <v>12233</v>
      </c>
      <c r="T5587" t="s">
        <v>13290</v>
      </c>
      <c r="U5587" t="s">
        <v>13290</v>
      </c>
      <c r="V5587" t="s">
        <v>13290</v>
      </c>
      <c r="W5587" t="s">
        <v>18826</v>
      </c>
      <c r="X5587">
        <v>25</v>
      </c>
      <c r="Y5587" t="s">
        <v>25303</v>
      </c>
      <c r="Z5587" t="s">
        <v>31917</v>
      </c>
      <c r="AA5587">
        <v>1.070969530681398</v>
      </c>
      <c r="AB5587" t="str">
        <f>HYPERLINK("Melting_Curves/meltCurve_Q9H0G5_NSRP1.pdf", "Melting_Curves/meltCurve_Q9H0G5_NSRP1.pdf")</f>
        <v>Melting_Curves/meltCurve_Q9H0G5_NSRP1.pdf</v>
      </c>
    </row>
    <row r="5588" spans="1:28" x14ac:dyDescent="0.25">
      <c r="A5588" t="s">
        <v>5592</v>
      </c>
      <c r="B5588">
        <v>0.99252571173614901</v>
      </c>
      <c r="C5588">
        <v>0.74958905535859</v>
      </c>
      <c r="D5588">
        <v>0.55687023181206496</v>
      </c>
      <c r="E5588">
        <v>0.26661057518678899</v>
      </c>
      <c r="F5588">
        <v>9.0523786779354395E-2</v>
      </c>
      <c r="G5588">
        <v>5.8896764910064701E-2</v>
      </c>
      <c r="H5588">
        <v>4.47375986298994E-2</v>
      </c>
      <c r="I5588">
        <v>5.8759869539160799E-2</v>
      </c>
      <c r="J5588">
        <v>8.8617183033451702E-2</v>
      </c>
      <c r="K5588">
        <v>0.10219645282164901</v>
      </c>
      <c r="L5588">
        <v>862.20397406360996</v>
      </c>
      <c r="M5588">
        <v>18.751292398195201</v>
      </c>
      <c r="N5588">
        <v>46.290611793684199</v>
      </c>
      <c r="O5588">
        <v>45.467658914290098</v>
      </c>
      <c r="P5588">
        <v>-9.7030828069320799E-2</v>
      </c>
      <c r="Q5588">
        <v>5.8927939354460702E-2</v>
      </c>
      <c r="R5588">
        <v>0.98910372350863596</v>
      </c>
      <c r="S5588" t="s">
        <v>12234</v>
      </c>
      <c r="T5588" t="s">
        <v>13290</v>
      </c>
      <c r="U5588" t="s">
        <v>13290</v>
      </c>
      <c r="V5588" t="s">
        <v>13290</v>
      </c>
      <c r="W5588" t="s">
        <v>18827</v>
      </c>
      <c r="X5588">
        <v>9</v>
      </c>
      <c r="Y5588" t="s">
        <v>25304</v>
      </c>
      <c r="Z5588" t="s">
        <v>31918</v>
      </c>
      <c r="AA5588">
        <v>0.26342061431031299</v>
      </c>
      <c r="AB5588" t="str">
        <f>HYPERLINK("Melting_Curves/meltCurve_Q9H0H5_RACGAP1.pdf", "Melting_Curves/meltCurve_Q9H0H5_RACGAP1.pdf")</f>
        <v>Melting_Curves/meltCurve_Q9H0H5_RACGAP1.pdf</v>
      </c>
    </row>
    <row r="5589" spans="1:28" x14ac:dyDescent="0.25">
      <c r="A5589" t="s">
        <v>5593</v>
      </c>
      <c r="B5589">
        <v>0.99252571173614901</v>
      </c>
      <c r="C5589">
        <v>0.89042918410462402</v>
      </c>
      <c r="D5589">
        <v>0.60258914916362205</v>
      </c>
      <c r="E5589">
        <v>0.23495372946351001</v>
      </c>
      <c r="F5589">
        <v>0.168179623965893</v>
      </c>
      <c r="G5589">
        <v>0.13793371071671401</v>
      </c>
      <c r="H5589">
        <v>0.110048658319925</v>
      </c>
      <c r="I5589">
        <v>0.12910976214988201</v>
      </c>
      <c r="J5589">
        <v>5.6648821268533697E-2</v>
      </c>
      <c r="K5589">
        <v>4.6678644421869898E-2</v>
      </c>
      <c r="L5589">
        <v>1113.7703939631399</v>
      </c>
      <c r="M5589">
        <v>23.9877325519682</v>
      </c>
      <c r="N5589">
        <v>46.845711710193697</v>
      </c>
      <c r="O5589">
        <v>46.111756736272099</v>
      </c>
      <c r="P5589">
        <v>-0.117608972918384</v>
      </c>
      <c r="Q5589">
        <v>9.5692698350304597E-2</v>
      </c>
      <c r="R5589">
        <v>0.99323769344446899</v>
      </c>
      <c r="S5589" t="s">
        <v>12235</v>
      </c>
      <c r="T5589" t="s">
        <v>13290</v>
      </c>
      <c r="U5589" t="s">
        <v>13290</v>
      </c>
      <c r="V5589" t="s">
        <v>13290</v>
      </c>
      <c r="W5589" t="s">
        <v>18828</v>
      </c>
      <c r="X5589">
        <v>1</v>
      </c>
      <c r="Y5589" t="s">
        <v>25305</v>
      </c>
      <c r="Z5589" t="s">
        <v>31919</v>
      </c>
      <c r="AA5589">
        <v>0.2985458669310449</v>
      </c>
      <c r="AB5589" t="str">
        <f>HYPERLINK("Melting_Curves/meltCurve_Q9H0J9_PARP12.pdf", "Melting_Curves/meltCurve_Q9H0J9_PARP12.pdf")</f>
        <v>Melting_Curves/meltCurve_Q9H0J9_PARP12.pdf</v>
      </c>
    </row>
    <row r="5590" spans="1:28" x14ac:dyDescent="0.25">
      <c r="A5590" t="s">
        <v>5594</v>
      </c>
      <c r="B5590">
        <v>0.99252571173614901</v>
      </c>
      <c r="C5590">
        <v>0.73424129981865904</v>
      </c>
      <c r="D5590">
        <v>0.67098571653248495</v>
      </c>
      <c r="E5590">
        <v>0.46323264198668002</v>
      </c>
      <c r="F5590">
        <v>0.29478385217002301</v>
      </c>
      <c r="G5590">
        <v>0.17901453158001299</v>
      </c>
      <c r="H5590">
        <v>0.124040513554841</v>
      </c>
      <c r="I5590">
        <v>0.130864396326799</v>
      </c>
      <c r="J5590">
        <v>0.16466031438998799</v>
      </c>
      <c r="K5590">
        <v>0.16556542668233801</v>
      </c>
      <c r="L5590">
        <v>616.41591014665903</v>
      </c>
      <c r="M5590">
        <v>13.003203325675701</v>
      </c>
      <c r="N5590">
        <v>48.403211635520599</v>
      </c>
      <c r="O5590">
        <v>46.325772608102703</v>
      </c>
      <c r="P5590">
        <v>-6.1930125271297799E-2</v>
      </c>
      <c r="Q5590">
        <v>0.117616022337428</v>
      </c>
      <c r="R5590">
        <v>0.97892549419390296</v>
      </c>
      <c r="S5590" t="s">
        <v>12236</v>
      </c>
      <c r="T5590" t="s">
        <v>13290</v>
      </c>
      <c r="U5590" t="s">
        <v>13290</v>
      </c>
      <c r="V5590" t="s">
        <v>13290</v>
      </c>
      <c r="W5590" t="s">
        <v>18829</v>
      </c>
      <c r="X5590">
        <v>1</v>
      </c>
      <c r="Y5590" t="s">
        <v>25306</v>
      </c>
      <c r="Z5590" t="s">
        <v>31920</v>
      </c>
      <c r="AA5590">
        <v>0.36641143974392337</v>
      </c>
      <c r="AB5590" t="str">
        <f>HYPERLINK("Melting_Curves/meltCurve_Q9H0K1_SIK2.pdf", "Melting_Curves/meltCurve_Q9H0K1_SIK2.pdf")</f>
        <v>Melting_Curves/meltCurve_Q9H0K1_SIK2.pdf</v>
      </c>
    </row>
    <row r="5591" spans="1:28" x14ac:dyDescent="0.25">
      <c r="A5591" t="s">
        <v>5595</v>
      </c>
      <c r="B5591">
        <v>0.99252571173614901</v>
      </c>
      <c r="C5591">
        <v>0.96010018676974795</v>
      </c>
      <c r="D5591">
        <v>0.78356540102230898</v>
      </c>
      <c r="E5591">
        <v>0.549143090159812</v>
      </c>
      <c r="F5591">
        <v>0.23449870154024799</v>
      </c>
      <c r="G5591">
        <v>0.115442047965453</v>
      </c>
      <c r="H5591">
        <v>6.9886047340291899E-2</v>
      </c>
      <c r="I5591">
        <v>8.0139206813337305E-2</v>
      </c>
      <c r="J5591">
        <v>8.4296107932634007E-2</v>
      </c>
      <c r="K5591">
        <v>8.5904760293829902E-2</v>
      </c>
      <c r="L5591">
        <v>958.59576102759104</v>
      </c>
      <c r="M5591">
        <v>19.413703399815802</v>
      </c>
      <c r="N5591">
        <v>49.7344313674541</v>
      </c>
      <c r="O5591">
        <v>48.862312080632201</v>
      </c>
      <c r="P5591">
        <v>-9.2869045603844194E-2</v>
      </c>
      <c r="Q5591">
        <v>6.5066552982020104E-2</v>
      </c>
      <c r="R5591">
        <v>0.99693656004229403</v>
      </c>
      <c r="S5591" t="s">
        <v>12237</v>
      </c>
      <c r="T5591" t="s">
        <v>13290</v>
      </c>
      <c r="U5591" t="s">
        <v>13290</v>
      </c>
      <c r="V5591" t="s">
        <v>13290</v>
      </c>
      <c r="W5591" t="s">
        <v>18830</v>
      </c>
      <c r="X5591">
        <v>11</v>
      </c>
      <c r="Y5591" t="s">
        <v>25307</v>
      </c>
      <c r="Z5591" t="s">
        <v>31921</v>
      </c>
      <c r="AA5591">
        <v>0.37116018057194988</v>
      </c>
      <c r="AB5591" t="str">
        <f>HYPERLINK("Melting_Curves/meltCurve_Q9H0K6_PUS7L.pdf", "Melting_Curves/meltCurve_Q9H0K6_PUS7L.pdf")</f>
        <v>Melting_Curves/meltCurve_Q9H0K6_PUS7L.pdf</v>
      </c>
    </row>
    <row r="5592" spans="1:28" x14ac:dyDescent="0.25">
      <c r="A5592" t="s">
        <v>5596</v>
      </c>
      <c r="B5592">
        <v>0.99252571173614901</v>
      </c>
      <c r="C5592">
        <v>0.85143987047550895</v>
      </c>
      <c r="D5592">
        <v>0.84782352980581899</v>
      </c>
      <c r="E5592">
        <v>0.83313394013302999</v>
      </c>
      <c r="F5592">
        <v>0.31912529184109201</v>
      </c>
      <c r="G5592">
        <v>0.15575523669059699</v>
      </c>
      <c r="H5592">
        <v>0.109313493773181</v>
      </c>
      <c r="I5592">
        <v>0.113495542249742</v>
      </c>
      <c r="J5592">
        <v>0.13752052888138699</v>
      </c>
      <c r="K5592">
        <v>0.155999482542139</v>
      </c>
      <c r="L5592">
        <v>1745.7202559930099</v>
      </c>
      <c r="M5592">
        <v>33.972171662840601</v>
      </c>
      <c r="N5592">
        <v>51.826636925294899</v>
      </c>
      <c r="O5592">
        <v>51.209694044215297</v>
      </c>
      <c r="P5592">
        <v>-0.14507720751002701</v>
      </c>
      <c r="Q5592">
        <v>0.125245215855564</v>
      </c>
      <c r="R5592">
        <v>0.96613861781016896</v>
      </c>
      <c r="S5592" t="s">
        <v>12238</v>
      </c>
      <c r="T5592" t="s">
        <v>13290</v>
      </c>
      <c r="U5592" t="s">
        <v>13290</v>
      </c>
      <c r="V5592" t="s">
        <v>13290</v>
      </c>
      <c r="W5592" t="s">
        <v>18831</v>
      </c>
      <c r="X5592">
        <v>15</v>
      </c>
      <c r="Y5592" t="s">
        <v>25308</v>
      </c>
      <c r="Z5592" t="s">
        <v>31922</v>
      </c>
      <c r="AA5592">
        <v>0.46158106496532858</v>
      </c>
      <c r="AB5592" t="str">
        <f>HYPERLINK("Melting_Curves/meltCurve_Q9H0L4_CSTF2T.pdf", "Melting_Curves/meltCurve_Q9H0L4_CSTF2T.pdf")</f>
        <v>Melting_Curves/meltCurve_Q9H0L4_CSTF2T.pdf</v>
      </c>
    </row>
    <row r="5593" spans="1:28" x14ac:dyDescent="0.25">
      <c r="A5593" t="s">
        <v>5597</v>
      </c>
      <c r="B5593">
        <v>0.99252571173614901</v>
      </c>
      <c r="C5593">
        <v>0.95927325431183097</v>
      </c>
      <c r="D5593">
        <v>0.73874227434288797</v>
      </c>
      <c r="E5593">
        <v>0.33410088596430199</v>
      </c>
      <c r="F5593">
        <v>0.127704819592665</v>
      </c>
      <c r="G5593">
        <v>7.1633301267900906E-2</v>
      </c>
      <c r="H5593">
        <v>5.5796400451161701E-2</v>
      </c>
      <c r="I5593">
        <v>5.4322661136413597E-2</v>
      </c>
      <c r="J5593">
        <v>5.6701238065160399E-2</v>
      </c>
      <c r="K5593">
        <v>7.0612884171059806E-2</v>
      </c>
      <c r="L5593">
        <v>1194.56127568036</v>
      </c>
      <c r="M5593">
        <v>24.9787424914329</v>
      </c>
      <c r="N5593">
        <v>48.056796437714198</v>
      </c>
      <c r="O5593">
        <v>47.519763490338697</v>
      </c>
      <c r="P5593">
        <v>-0.123899066220923</v>
      </c>
      <c r="Q5593">
        <v>5.71863729158247E-2</v>
      </c>
      <c r="R5593">
        <v>0.99972371823019701</v>
      </c>
      <c r="S5593" t="s">
        <v>12239</v>
      </c>
      <c r="T5593" t="s">
        <v>13290</v>
      </c>
      <c r="U5593" t="s">
        <v>13290</v>
      </c>
      <c r="V5593" t="s">
        <v>13290</v>
      </c>
      <c r="W5593" t="s">
        <v>18832</v>
      </c>
      <c r="X5593">
        <v>13</v>
      </c>
      <c r="Y5593" t="s">
        <v>25309</v>
      </c>
      <c r="Z5593" t="s">
        <v>31923</v>
      </c>
      <c r="AA5593">
        <v>0.31139778244977678</v>
      </c>
      <c r="AB5593" t="str">
        <f>HYPERLINK("Melting_Curves/meltCurve_Q9H0P0_1_NT5C3A.pdf", "Melting_Curves/meltCurve_Q9H0P0_1_NT5C3A.pdf")</f>
        <v>Melting_Curves/meltCurve_Q9H0P0_1_NT5C3A.pdf</v>
      </c>
    </row>
    <row r="5594" spans="1:28" x14ac:dyDescent="0.25">
      <c r="A5594" t="s">
        <v>5598</v>
      </c>
      <c r="B5594">
        <v>0.99252571173614901</v>
      </c>
      <c r="C5594">
        <v>1.0268489907673499</v>
      </c>
      <c r="D5594">
        <v>0.91067172190774404</v>
      </c>
      <c r="E5594">
        <v>0.75195228047374596</v>
      </c>
      <c r="F5594">
        <v>0.68426615295663296</v>
      </c>
      <c r="G5594">
        <v>0.57035558083223603</v>
      </c>
      <c r="H5594">
        <v>0.494946604158431</v>
      </c>
      <c r="I5594">
        <v>0.60107613944059102</v>
      </c>
      <c r="J5594">
        <v>0.72909060463308895</v>
      </c>
      <c r="K5594">
        <v>0.61391066158243801</v>
      </c>
      <c r="L5594">
        <v>1242.57467399149</v>
      </c>
      <c r="M5594">
        <v>25.5485617605204</v>
      </c>
      <c r="O5594">
        <v>48.340751548234998</v>
      </c>
      <c r="P5594">
        <v>-5.2084445570747699E-2</v>
      </c>
      <c r="Q5594">
        <v>0.60580628211300902</v>
      </c>
      <c r="R5594">
        <v>0.88956303166821005</v>
      </c>
      <c r="S5594" t="s">
        <v>12240</v>
      </c>
      <c r="T5594" t="s">
        <v>13290</v>
      </c>
      <c r="U5594" t="s">
        <v>13290</v>
      </c>
      <c r="V5594" t="s">
        <v>13290</v>
      </c>
      <c r="W5594" t="s">
        <v>18833</v>
      </c>
      <c r="X5594">
        <v>10</v>
      </c>
      <c r="Y5594" t="s">
        <v>25310</v>
      </c>
      <c r="Z5594" t="s">
        <v>31924</v>
      </c>
      <c r="AA5594">
        <v>0.72261133409740552</v>
      </c>
      <c r="AB5594" t="str">
        <f>HYPERLINK("Melting_Curves/meltCurve_Q9H0R4_HDHD2.pdf", "Melting_Curves/meltCurve_Q9H0R4_HDHD2.pdf")</f>
        <v>Melting_Curves/meltCurve_Q9H0R4_HDHD2.pdf</v>
      </c>
    </row>
    <row r="5595" spans="1:28" x14ac:dyDescent="0.25">
      <c r="A5595" t="s">
        <v>5599</v>
      </c>
      <c r="B5595">
        <v>0.99252571173614901</v>
      </c>
      <c r="C5595">
        <v>0.82511197456885799</v>
      </c>
      <c r="D5595">
        <v>0.75148443487953498</v>
      </c>
      <c r="E5595">
        <v>0.39890816627303199</v>
      </c>
      <c r="F5595">
        <v>0.12758395035672901</v>
      </c>
      <c r="G5595">
        <v>7.8164563015110405E-2</v>
      </c>
      <c r="H5595">
        <v>5.7423938496338298E-2</v>
      </c>
      <c r="I5595">
        <v>6.0140482668672501E-2</v>
      </c>
      <c r="J5595">
        <v>6.0821621213529298E-2</v>
      </c>
      <c r="K5595">
        <v>5.2377945863345897E-2</v>
      </c>
      <c r="L5595">
        <v>910.90240543539403</v>
      </c>
      <c r="M5595">
        <v>18.962936311597101</v>
      </c>
      <c r="N5595">
        <v>48.2537354504978</v>
      </c>
      <c r="O5595">
        <v>47.511299285961698</v>
      </c>
      <c r="P5595">
        <v>-9.5692181560693895E-2</v>
      </c>
      <c r="Q5595">
        <v>4.1018296601303003E-2</v>
      </c>
      <c r="R5595">
        <v>0.99054763039818505</v>
      </c>
      <c r="S5595" t="s">
        <v>12241</v>
      </c>
      <c r="T5595" t="s">
        <v>13290</v>
      </c>
      <c r="U5595" t="s">
        <v>13290</v>
      </c>
      <c r="V5595" t="s">
        <v>13290</v>
      </c>
      <c r="W5595" t="s">
        <v>18834</v>
      </c>
      <c r="X5595">
        <v>17</v>
      </c>
      <c r="Y5595" t="s">
        <v>25311</v>
      </c>
      <c r="Z5595" t="s">
        <v>31925</v>
      </c>
      <c r="AA5595">
        <v>0.3131340130936866</v>
      </c>
      <c r="AB5595" t="str">
        <f>HYPERLINK("Melting_Curves/meltCurve_Q9H0R6_QRSL1.pdf", "Melting_Curves/meltCurve_Q9H0R6_QRSL1.pdf")</f>
        <v>Melting_Curves/meltCurve_Q9H0R6_QRSL1.pdf</v>
      </c>
    </row>
    <row r="5596" spans="1:28" x14ac:dyDescent="0.25">
      <c r="A5596" t="s">
        <v>5600</v>
      </c>
      <c r="B5596">
        <v>0.99252571173614901</v>
      </c>
      <c r="C5596">
        <v>1.0609557689108999</v>
      </c>
      <c r="D5596">
        <v>0.96971311515429903</v>
      </c>
      <c r="E5596">
        <v>0.82876385135541297</v>
      </c>
      <c r="F5596">
        <v>0.25099663912373099</v>
      </c>
      <c r="G5596">
        <v>0.1228306374606</v>
      </c>
      <c r="H5596">
        <v>7.2286087665504095E-2</v>
      </c>
      <c r="I5596">
        <v>7.0817441101992104E-2</v>
      </c>
      <c r="J5596">
        <v>7.3758463880019498E-2</v>
      </c>
      <c r="K5596">
        <v>7.61284136260542E-2</v>
      </c>
      <c r="L5596">
        <v>2096.51495201848</v>
      </c>
      <c r="M5596">
        <v>40.825574230903598</v>
      </c>
      <c r="N5596">
        <v>51.567503863431703</v>
      </c>
      <c r="O5596">
        <v>51.230231747657697</v>
      </c>
      <c r="P5596">
        <v>-0.18366709844186099</v>
      </c>
      <c r="Q5596">
        <v>7.8098490974434706E-2</v>
      </c>
      <c r="R5596">
        <v>0.99708701380382003</v>
      </c>
      <c r="S5596" t="s">
        <v>12242</v>
      </c>
      <c r="T5596" t="s">
        <v>13290</v>
      </c>
      <c r="U5596" t="s">
        <v>13290</v>
      </c>
      <c r="V5596" t="s">
        <v>13290</v>
      </c>
      <c r="W5596" t="s">
        <v>18835</v>
      </c>
      <c r="X5596">
        <v>10</v>
      </c>
      <c r="Y5596" t="s">
        <v>25312</v>
      </c>
      <c r="Z5596" t="s">
        <v>31926</v>
      </c>
      <c r="AA5596">
        <v>0.43011614346326671</v>
      </c>
      <c r="AB5596" t="str">
        <f>HYPERLINK("Melting_Curves/meltCurve_Q9H0S4_2_DDX47.pdf", "Melting_Curves/meltCurve_Q9H0S4_2_DDX47.pdf")</f>
        <v>Melting_Curves/meltCurve_Q9H0S4_2_DDX47.pdf</v>
      </c>
    </row>
    <row r="5597" spans="1:28" x14ac:dyDescent="0.25">
      <c r="A5597" t="s">
        <v>5601</v>
      </c>
      <c r="B5597">
        <v>0.99252571173614901</v>
      </c>
      <c r="C5597">
        <v>0.91758056216561001</v>
      </c>
      <c r="D5597">
        <v>0.94816294303704596</v>
      </c>
      <c r="E5597">
        <v>0.82048764582602696</v>
      </c>
      <c r="F5597">
        <v>0.28884891582254102</v>
      </c>
      <c r="G5597">
        <v>0.13133553579070401</v>
      </c>
      <c r="H5597">
        <v>9.1220584970716001E-2</v>
      </c>
      <c r="I5597">
        <v>0.13256584451985501</v>
      </c>
      <c r="J5597">
        <v>0.1284905860611</v>
      </c>
      <c r="K5597">
        <v>0.108202164728085</v>
      </c>
      <c r="L5597">
        <v>1986.4612351077401</v>
      </c>
      <c r="M5597">
        <v>38.721695438003003</v>
      </c>
      <c r="N5597">
        <v>51.644484445467903</v>
      </c>
      <c r="O5597">
        <v>51.164733065019398</v>
      </c>
      <c r="P5597">
        <v>-0.167721580929167</v>
      </c>
      <c r="Q5597">
        <v>0.11352954597511</v>
      </c>
      <c r="R5597">
        <v>0.993384757717787</v>
      </c>
      <c r="S5597" t="s">
        <v>12243</v>
      </c>
      <c r="T5597" t="s">
        <v>13290</v>
      </c>
      <c r="U5597" t="s">
        <v>13290</v>
      </c>
      <c r="V5597" t="s">
        <v>13290</v>
      </c>
      <c r="W5597" t="s">
        <v>18836</v>
      </c>
      <c r="X5597">
        <v>5</v>
      </c>
      <c r="Y5597" t="s">
        <v>25313</v>
      </c>
      <c r="Z5597" t="s">
        <v>31927</v>
      </c>
      <c r="AA5597">
        <v>0.45081792691848149</v>
      </c>
      <c r="AB5597" t="str">
        <f>HYPERLINK("Melting_Curves/meltCurve_Q9H0U3_MAGT1.pdf", "Melting_Curves/meltCurve_Q9H0U3_MAGT1.pdf")</f>
        <v>Melting_Curves/meltCurve_Q9H0U3_MAGT1.pdf</v>
      </c>
    </row>
    <row r="5598" spans="1:28" x14ac:dyDescent="0.25">
      <c r="A5598" t="s">
        <v>5602</v>
      </c>
      <c r="B5598">
        <v>0.99252571173614901</v>
      </c>
      <c r="C5598">
        <v>0.95348281237152299</v>
      </c>
      <c r="D5598">
        <v>0.88286235126389301</v>
      </c>
      <c r="E5598">
        <v>0.84392349544421896</v>
      </c>
      <c r="F5598">
        <v>0.74797620168395296</v>
      </c>
      <c r="G5598">
        <v>0.61117443422156703</v>
      </c>
      <c r="H5598">
        <v>0.40365809070156</v>
      </c>
      <c r="I5598">
        <v>0.35864185863772602</v>
      </c>
      <c r="J5598">
        <v>0.24678056921713101</v>
      </c>
      <c r="K5598">
        <v>0.12414728688694</v>
      </c>
      <c r="L5598">
        <v>555.43825680066197</v>
      </c>
      <c r="M5598">
        <v>9.4333680108856406</v>
      </c>
      <c r="N5598">
        <v>58.880162798173501</v>
      </c>
      <c r="O5598">
        <v>56.416125996920897</v>
      </c>
      <c r="P5598">
        <v>-4.18280191708119E-2</v>
      </c>
      <c r="Q5598">
        <v>0</v>
      </c>
      <c r="R5598">
        <v>0.98942175071118799</v>
      </c>
      <c r="S5598" t="s">
        <v>12244</v>
      </c>
      <c r="T5598" t="s">
        <v>13290</v>
      </c>
      <c r="U5598" t="s">
        <v>13290</v>
      </c>
      <c r="V5598" t="s">
        <v>13290</v>
      </c>
      <c r="W5598" t="s">
        <v>18837</v>
      </c>
      <c r="X5598">
        <v>19</v>
      </c>
      <c r="Y5598" t="s">
        <v>25314</v>
      </c>
      <c r="Z5598" t="s">
        <v>31928</v>
      </c>
      <c r="AA5598">
        <v>0.6316149390121516</v>
      </c>
      <c r="AB5598" t="str">
        <f>HYPERLINK("Melting_Curves/meltCurve_Q9H0U4_RAB1B.pdf", "Melting_Curves/meltCurve_Q9H0U4_RAB1B.pdf")</f>
        <v>Melting_Curves/meltCurve_Q9H0U4_RAB1B.pdf</v>
      </c>
    </row>
    <row r="5599" spans="1:28" x14ac:dyDescent="0.25">
      <c r="A5599" t="s">
        <v>5603</v>
      </c>
      <c r="B5599">
        <v>0.99252571173614901</v>
      </c>
      <c r="C5599">
        <v>1.17823514156848</v>
      </c>
      <c r="D5599">
        <v>0.89070096140034405</v>
      </c>
      <c r="E5599">
        <v>0.69566614327883103</v>
      </c>
      <c r="F5599">
        <v>0.32200792648162102</v>
      </c>
      <c r="G5599">
        <v>0.221823397482836</v>
      </c>
      <c r="H5599">
        <v>0.15016694557381299</v>
      </c>
      <c r="I5599">
        <v>0.186291241867447</v>
      </c>
      <c r="J5599">
        <v>0.28660817829912799</v>
      </c>
      <c r="K5599">
        <v>0.37818419568133499</v>
      </c>
      <c r="L5599">
        <v>1709.78616247787</v>
      </c>
      <c r="M5599">
        <v>34.165480803513397</v>
      </c>
      <c r="N5599">
        <v>51.028344798371201</v>
      </c>
      <c r="O5599">
        <v>49.873753570387699</v>
      </c>
      <c r="P5599">
        <v>-0.129937942628567</v>
      </c>
      <c r="Q5599">
        <v>0.241284937858633</v>
      </c>
      <c r="R5599">
        <v>0.94350069544015103</v>
      </c>
      <c r="S5599" t="s">
        <v>12245</v>
      </c>
      <c r="T5599" t="s">
        <v>13290</v>
      </c>
      <c r="U5599" t="s">
        <v>13290</v>
      </c>
      <c r="V5599" t="s">
        <v>13290</v>
      </c>
      <c r="W5599" t="s">
        <v>18838</v>
      </c>
      <c r="X5599">
        <v>2</v>
      </c>
      <c r="Y5599" t="s">
        <v>25315</v>
      </c>
      <c r="Z5599" t="s">
        <v>31929</v>
      </c>
      <c r="AA5599">
        <v>0.49891938236861599</v>
      </c>
      <c r="AB5599" t="str">
        <f>HYPERLINK("Melting_Curves/meltCurve_Q9H0U6_MRPL18.pdf", "Melting_Curves/meltCurve_Q9H0U6_MRPL18.pdf")</f>
        <v>Melting_Curves/meltCurve_Q9H0U6_MRPL18.pdf</v>
      </c>
    </row>
    <row r="5600" spans="1:28" x14ac:dyDescent="0.25">
      <c r="A5600" t="s">
        <v>5604</v>
      </c>
      <c r="B5600">
        <v>0.99252571173614901</v>
      </c>
      <c r="C5600">
        <v>1.04009595691927</v>
      </c>
      <c r="D5600">
        <v>0.89278111852635</v>
      </c>
      <c r="E5600">
        <v>0.74700798453526895</v>
      </c>
      <c r="F5600">
        <v>0.69278552511983604</v>
      </c>
      <c r="G5600">
        <v>0.56763852969455997</v>
      </c>
      <c r="H5600">
        <v>0.68765119280825604</v>
      </c>
      <c r="I5600">
        <v>0.77889361032562299</v>
      </c>
      <c r="J5600">
        <v>1.12403414642987</v>
      </c>
      <c r="K5600">
        <v>1.34753998636238</v>
      </c>
      <c r="L5600">
        <v>15000</v>
      </c>
      <c r="M5600">
        <v>222.95765891032099</v>
      </c>
      <c r="O5600">
        <v>67.271928751001795</v>
      </c>
      <c r="P5600">
        <v>0.28801118296053302</v>
      </c>
      <c r="Q5600">
        <v>1.3476008793453</v>
      </c>
      <c r="R5600">
        <v>1.6923384696737799E-2</v>
      </c>
      <c r="S5600" t="s">
        <v>12246</v>
      </c>
      <c r="T5600" t="s">
        <v>13290</v>
      </c>
      <c r="U5600" t="s">
        <v>13290</v>
      </c>
      <c r="V5600" t="s">
        <v>13290</v>
      </c>
      <c r="W5600" t="s">
        <v>18839</v>
      </c>
      <c r="X5600">
        <v>2</v>
      </c>
      <c r="Y5600" t="s">
        <v>25316</v>
      </c>
      <c r="Z5600" t="s">
        <v>31930</v>
      </c>
      <c r="AA5600">
        <v>1.031495591980041</v>
      </c>
      <c r="AB5600" t="str">
        <f>HYPERLINK("Melting_Curves/meltCurve_Q9H0U9_TSPYL1.pdf", "Melting_Curves/meltCurve_Q9H0U9_TSPYL1.pdf")</f>
        <v>Melting_Curves/meltCurve_Q9H0U9_TSPYL1.pdf</v>
      </c>
    </row>
    <row r="5601" spans="1:28" x14ac:dyDescent="0.25">
      <c r="A5601" t="s">
        <v>5605</v>
      </c>
      <c r="B5601">
        <v>0.99252571173614901</v>
      </c>
      <c r="C5601">
        <v>0.88945610104002604</v>
      </c>
      <c r="D5601">
        <v>0.80612425957397904</v>
      </c>
      <c r="E5601">
        <v>0.61033577829716001</v>
      </c>
      <c r="F5601">
        <v>0.30244718600663301</v>
      </c>
      <c r="G5601">
        <v>0.131219959106668</v>
      </c>
      <c r="H5601">
        <v>8.0433427571392796E-2</v>
      </c>
      <c r="I5601">
        <v>9.0525519077554004E-2</v>
      </c>
      <c r="J5601">
        <v>0.104129120259829</v>
      </c>
      <c r="K5601">
        <v>8.8045872116787202E-2</v>
      </c>
      <c r="L5601">
        <v>847.61121979923405</v>
      </c>
      <c r="M5601">
        <v>16.958388964145598</v>
      </c>
      <c r="N5601">
        <v>50.383237608356602</v>
      </c>
      <c r="O5601">
        <v>49.3023323721564</v>
      </c>
      <c r="P5601">
        <v>-8.0562986322082503E-2</v>
      </c>
      <c r="Q5601">
        <v>6.3190421317996806E-2</v>
      </c>
      <c r="R5601">
        <v>0.99250876562914503</v>
      </c>
      <c r="S5601" t="s">
        <v>12247</v>
      </c>
      <c r="T5601" t="s">
        <v>13290</v>
      </c>
      <c r="U5601" t="s">
        <v>13290</v>
      </c>
      <c r="V5601" t="s">
        <v>13290</v>
      </c>
      <c r="W5601" t="s">
        <v>18840</v>
      </c>
      <c r="X5601">
        <v>9</v>
      </c>
      <c r="Y5601" t="s">
        <v>25317</v>
      </c>
      <c r="Z5601" t="s">
        <v>31931</v>
      </c>
      <c r="AA5601">
        <v>0.39277036801966619</v>
      </c>
      <c r="AB5601" t="str">
        <f>HYPERLINK("Melting_Curves/meltCurve_Q9H0V9_LMAN2L.pdf", "Melting_Curves/meltCurve_Q9H0V9_LMAN2L.pdf")</f>
        <v>Melting_Curves/meltCurve_Q9H0V9_LMAN2L.pdf</v>
      </c>
    </row>
    <row r="5602" spans="1:28" x14ac:dyDescent="0.25">
      <c r="A5602" t="s">
        <v>5606</v>
      </c>
      <c r="B5602">
        <v>0.99252571173614901</v>
      </c>
      <c r="C5602">
        <v>0.95137148677476002</v>
      </c>
      <c r="D5602">
        <v>0.80320423782529404</v>
      </c>
      <c r="E5602">
        <v>0.33036142460325502</v>
      </c>
      <c r="F5602">
        <v>0.158823564757575</v>
      </c>
      <c r="G5602">
        <v>0.10537597129571</v>
      </c>
      <c r="H5602">
        <v>9.3650426243436002E-2</v>
      </c>
      <c r="I5602">
        <v>9.2362721781853799E-2</v>
      </c>
      <c r="J5602">
        <v>0.110993634899951</v>
      </c>
      <c r="K5602">
        <v>0.115123663676617</v>
      </c>
      <c r="L5602">
        <v>1422.4360526636799</v>
      </c>
      <c r="M5602">
        <v>29.712660418899802</v>
      </c>
      <c r="N5602">
        <v>48.247141422965797</v>
      </c>
      <c r="O5602">
        <v>47.657778171516398</v>
      </c>
      <c r="P5602">
        <v>-0.13982999670478199</v>
      </c>
      <c r="Q5602">
        <v>0.102881759286044</v>
      </c>
      <c r="R5602">
        <v>0.99905406587082901</v>
      </c>
      <c r="S5602" t="s">
        <v>12248</v>
      </c>
      <c r="T5602" t="s">
        <v>13290</v>
      </c>
      <c r="U5602" t="s">
        <v>13290</v>
      </c>
      <c r="V5602" t="s">
        <v>13290</v>
      </c>
      <c r="W5602" t="s">
        <v>18841</v>
      </c>
      <c r="X5602">
        <v>4</v>
      </c>
      <c r="Y5602" t="s">
        <v>25318</v>
      </c>
      <c r="Z5602" t="s">
        <v>31932</v>
      </c>
      <c r="AA5602">
        <v>0.34382105449770278</v>
      </c>
      <c r="AB5602" t="str">
        <f>HYPERLINK("Melting_Curves/meltCurve_Q9H0W8_2_SMG9.pdf", "Melting_Curves/meltCurve_Q9H0W8_2_SMG9.pdf")</f>
        <v>Melting_Curves/meltCurve_Q9H0W8_2_SMG9.pdf</v>
      </c>
    </row>
    <row r="5603" spans="1:28" x14ac:dyDescent="0.25">
      <c r="A5603" t="s">
        <v>5607</v>
      </c>
      <c r="B5603">
        <v>0.99252571173614901</v>
      </c>
      <c r="C5603">
        <v>1.0964453074207201</v>
      </c>
      <c r="D5603">
        <v>0.98970230088370204</v>
      </c>
      <c r="E5603">
        <v>0.79549498016626297</v>
      </c>
      <c r="F5603">
        <v>0.69843106708066405</v>
      </c>
      <c r="G5603">
        <v>0.48599611407590199</v>
      </c>
      <c r="H5603">
        <v>0.22652195785439599</v>
      </c>
      <c r="I5603">
        <v>0.125017581396555</v>
      </c>
      <c r="J5603">
        <v>0.122175990057567</v>
      </c>
      <c r="K5603">
        <v>0.108622403579964</v>
      </c>
      <c r="L5603">
        <v>847.98200611872596</v>
      </c>
      <c r="M5603">
        <v>15.2473686139073</v>
      </c>
      <c r="N5603">
        <v>55.974224044823202</v>
      </c>
      <c r="O5603">
        <v>54.684645617830199</v>
      </c>
      <c r="P5603">
        <v>-6.6463013260102205E-2</v>
      </c>
      <c r="Q5603">
        <v>4.6612636252045897E-2</v>
      </c>
      <c r="R5603">
        <v>0.98472488068445496</v>
      </c>
      <c r="S5603" t="s">
        <v>12249</v>
      </c>
      <c r="T5603" t="s">
        <v>13290</v>
      </c>
      <c r="U5603" t="s">
        <v>13290</v>
      </c>
      <c r="V5603" t="s">
        <v>13290</v>
      </c>
      <c r="W5603" t="s">
        <v>18842</v>
      </c>
      <c r="X5603">
        <v>22</v>
      </c>
      <c r="Y5603" t="s">
        <v>25319</v>
      </c>
      <c r="Z5603" t="s">
        <v>31933</v>
      </c>
      <c r="AA5603">
        <v>0.56009901169420628</v>
      </c>
      <c r="AB5603" t="str">
        <f>HYPERLINK("Melting_Curves/meltCurve_Q9H0W9_C11orf54.pdf", "Melting_Curves/meltCurve_Q9H0W9_C11orf54.pdf")</f>
        <v>Melting_Curves/meltCurve_Q9H0W9_C11orf54.pdf</v>
      </c>
    </row>
    <row r="5604" spans="1:28" x14ac:dyDescent="0.25">
      <c r="A5604" t="s">
        <v>5608</v>
      </c>
      <c r="B5604">
        <v>0.99252571173614901</v>
      </c>
      <c r="C5604">
        <v>0.92284232924797704</v>
      </c>
      <c r="D5604">
        <v>0.88173718240103505</v>
      </c>
      <c r="E5604">
        <v>0.96146623096612105</v>
      </c>
      <c r="F5604">
        <v>0.72594396032155295</v>
      </c>
      <c r="G5604">
        <v>0.51438842881485303</v>
      </c>
      <c r="H5604">
        <v>0.39042320898421601</v>
      </c>
      <c r="I5604">
        <v>0.41229176171947801</v>
      </c>
      <c r="J5604">
        <v>0.62033201896296597</v>
      </c>
      <c r="K5604">
        <v>0.42199291175653703</v>
      </c>
      <c r="L5604">
        <v>1916.4092187184599</v>
      </c>
      <c r="M5604">
        <v>36.080861431871497</v>
      </c>
      <c r="N5604">
        <v>57.168699770624201</v>
      </c>
      <c r="O5604">
        <v>52.951920452667601</v>
      </c>
      <c r="P5604">
        <v>-9.1765782722940406E-2</v>
      </c>
      <c r="Q5604">
        <v>0.46130343034558802</v>
      </c>
      <c r="R5604">
        <v>0.89716951931696398</v>
      </c>
      <c r="S5604" t="s">
        <v>12250</v>
      </c>
      <c r="T5604" t="s">
        <v>13290</v>
      </c>
      <c r="U5604" t="s">
        <v>13290</v>
      </c>
      <c r="V5604" t="s">
        <v>13290</v>
      </c>
      <c r="W5604" t="s">
        <v>18843</v>
      </c>
      <c r="X5604">
        <v>4</v>
      </c>
      <c r="Y5604" t="s">
        <v>25320</v>
      </c>
      <c r="Z5604" t="s">
        <v>31934</v>
      </c>
      <c r="AA5604">
        <v>0.69921911863190267</v>
      </c>
      <c r="AB5604" t="str">
        <f>HYPERLINK("Melting_Curves/meltCurve_Q9H0X4_ITFG3.pdf", "Melting_Curves/meltCurve_Q9H0X4_ITFG3.pdf")</f>
        <v>Melting_Curves/meltCurve_Q9H0X4_ITFG3.pdf</v>
      </c>
    </row>
    <row r="5605" spans="1:28" x14ac:dyDescent="0.25">
      <c r="A5605" t="s">
        <v>5609</v>
      </c>
      <c r="B5605">
        <v>0.99252571173614901</v>
      </c>
      <c r="C5605">
        <v>0.96915773684209905</v>
      </c>
      <c r="D5605">
        <v>0.88344212579291004</v>
      </c>
      <c r="E5605">
        <v>0.49587653412833499</v>
      </c>
      <c r="F5605">
        <v>0.27755352214470902</v>
      </c>
      <c r="G5605">
        <v>0.15594074665979199</v>
      </c>
      <c r="H5605">
        <v>0.115999064383913</v>
      </c>
      <c r="I5605">
        <v>0.13241452635447901</v>
      </c>
      <c r="J5605">
        <v>0.18723905142078701</v>
      </c>
      <c r="K5605">
        <v>0.182662710019795</v>
      </c>
      <c r="L5605">
        <v>1284.19006369627</v>
      </c>
      <c r="M5605">
        <v>26.204256421760402</v>
      </c>
      <c r="N5605">
        <v>49.698290419086703</v>
      </c>
      <c r="O5605">
        <v>48.724197941683599</v>
      </c>
      <c r="P5605">
        <v>-0.113917008439391</v>
      </c>
      <c r="Q5605">
        <v>0.15274041013534201</v>
      </c>
      <c r="R5605">
        <v>0.99505298563123401</v>
      </c>
      <c r="S5605" t="s">
        <v>12251</v>
      </c>
      <c r="T5605" t="s">
        <v>13290</v>
      </c>
      <c r="U5605" t="s">
        <v>13290</v>
      </c>
      <c r="V5605" t="s">
        <v>13290</v>
      </c>
      <c r="W5605" t="s">
        <v>18844</v>
      </c>
      <c r="X5605">
        <v>7</v>
      </c>
      <c r="Y5605" t="s">
        <v>25321</v>
      </c>
      <c r="Z5605" t="s">
        <v>31935</v>
      </c>
      <c r="AA5605">
        <v>0.41392869145777439</v>
      </c>
      <c r="AB5605" t="str">
        <f>HYPERLINK("Melting_Curves/meltCurve_Q9H115_NAPB.pdf", "Melting_Curves/meltCurve_Q9H115_NAPB.pdf")</f>
        <v>Melting_Curves/meltCurve_Q9H115_NAPB.pdf</v>
      </c>
    </row>
    <row r="5606" spans="1:28" x14ac:dyDescent="0.25">
      <c r="A5606" t="s">
        <v>5610</v>
      </c>
      <c r="B5606">
        <v>0.99252571173614901</v>
      </c>
      <c r="C5606">
        <v>1.00295517606248</v>
      </c>
      <c r="D5606">
        <v>0.90513148427058898</v>
      </c>
      <c r="E5606">
        <v>0.65191472559486796</v>
      </c>
      <c r="F5606">
        <v>0.24381240764843101</v>
      </c>
      <c r="G5606">
        <v>0.14454833914579701</v>
      </c>
      <c r="H5606">
        <v>0.12551124183616599</v>
      </c>
      <c r="I5606">
        <v>0.155253546436385</v>
      </c>
      <c r="J5606">
        <v>0.22103818834167599</v>
      </c>
      <c r="K5606">
        <v>0.176309931452695</v>
      </c>
      <c r="L5606">
        <v>1654.4169901436901</v>
      </c>
      <c r="M5606">
        <v>33.102059677688999</v>
      </c>
      <c r="N5606">
        <v>50.565592127356801</v>
      </c>
      <c r="O5606">
        <v>49.797928701434202</v>
      </c>
      <c r="P5606">
        <v>-0.139697505945927</v>
      </c>
      <c r="Q5606">
        <v>0.15937363292175499</v>
      </c>
      <c r="R5606">
        <v>0.99272604693848998</v>
      </c>
      <c r="S5606" t="s">
        <v>12252</v>
      </c>
      <c r="T5606" t="s">
        <v>13290</v>
      </c>
      <c r="U5606" t="s">
        <v>13290</v>
      </c>
      <c r="V5606" t="s">
        <v>13290</v>
      </c>
      <c r="W5606" t="s">
        <v>18845</v>
      </c>
      <c r="X5606">
        <v>4</v>
      </c>
      <c r="Y5606" t="s">
        <v>25322</v>
      </c>
      <c r="Z5606" t="s">
        <v>31936</v>
      </c>
      <c r="AA5606">
        <v>0.44326075607470711</v>
      </c>
      <c r="AB5606" t="str">
        <f>HYPERLINK("Melting_Curves/meltCurve_Q9H173_SIL1.pdf", "Melting_Curves/meltCurve_Q9H173_SIL1.pdf")</f>
        <v>Melting_Curves/meltCurve_Q9H173_SIL1.pdf</v>
      </c>
    </row>
    <row r="5607" spans="1:28" x14ac:dyDescent="0.25">
      <c r="A5607" t="s">
        <v>5611</v>
      </c>
      <c r="B5607">
        <v>0.99252571173614901</v>
      </c>
      <c r="C5607">
        <v>0.82822844786954097</v>
      </c>
      <c r="D5607">
        <v>0.58109450817016195</v>
      </c>
      <c r="E5607">
        <v>0.32581057171854999</v>
      </c>
      <c r="F5607">
        <v>0.160944628856244</v>
      </c>
      <c r="G5607">
        <v>0.10187441426308499</v>
      </c>
      <c r="H5607">
        <v>7.4746707416230795E-2</v>
      </c>
      <c r="I5607">
        <v>6.2802963194993899E-2</v>
      </c>
      <c r="J5607">
        <v>7.2977038268449299E-2</v>
      </c>
      <c r="K5607">
        <v>8.5690578694670297E-2</v>
      </c>
      <c r="L5607">
        <v>830.78769880003097</v>
      </c>
      <c r="M5607">
        <v>17.801818548012701</v>
      </c>
      <c r="N5607">
        <v>47.053175485495302</v>
      </c>
      <c r="O5607">
        <v>46.0917498835922</v>
      </c>
      <c r="P5607">
        <v>-9.00253606124196E-2</v>
      </c>
      <c r="Q5607">
        <v>6.7688117007099202E-2</v>
      </c>
      <c r="R5607">
        <v>0.99774091945999499</v>
      </c>
      <c r="S5607" t="s">
        <v>12253</v>
      </c>
      <c r="T5607" t="s">
        <v>13290</v>
      </c>
      <c r="U5607" t="s">
        <v>13290</v>
      </c>
      <c r="V5607" t="s">
        <v>13290</v>
      </c>
      <c r="W5607" t="s">
        <v>18846</v>
      </c>
      <c r="X5607">
        <v>23</v>
      </c>
      <c r="Y5607" t="s">
        <v>25323</v>
      </c>
      <c r="Z5607" t="s">
        <v>31937</v>
      </c>
      <c r="AA5607">
        <v>0.29286917001070212</v>
      </c>
      <c r="AB5607" t="str">
        <f>HYPERLINK("Melting_Curves/meltCurve_Q9H1B7_IRF2BPL.pdf", "Melting_Curves/meltCurve_Q9H1B7_IRF2BPL.pdf")</f>
        <v>Melting_Curves/meltCurve_Q9H1B7_IRF2BPL.pdf</v>
      </c>
    </row>
    <row r="5608" spans="1:28" x14ac:dyDescent="0.25">
      <c r="A5608" t="s">
        <v>5612</v>
      </c>
      <c r="B5608">
        <v>0.99252571173614901</v>
      </c>
      <c r="C5608">
        <v>0.852891357656963</v>
      </c>
      <c r="D5608">
        <v>1.0065925914415701</v>
      </c>
      <c r="E5608">
        <v>0.79785455731543498</v>
      </c>
      <c r="F5608">
        <v>0.43758369725590102</v>
      </c>
      <c r="G5608">
        <v>0.347055009047605</v>
      </c>
      <c r="H5608">
        <v>0.27507077167285399</v>
      </c>
      <c r="I5608">
        <v>0.34723155533588601</v>
      </c>
      <c r="J5608">
        <v>0.395672954603355</v>
      </c>
      <c r="K5608">
        <v>0.25936001494649102</v>
      </c>
      <c r="L5608">
        <v>1793.0776965653599</v>
      </c>
      <c r="M5608">
        <v>35.277883116047597</v>
      </c>
      <c r="N5608">
        <v>52.351661749732401</v>
      </c>
      <c r="O5608">
        <v>50.664760921235199</v>
      </c>
      <c r="P5608">
        <v>-0.118196619373604</v>
      </c>
      <c r="Q5608">
        <v>0.32100434877593798</v>
      </c>
      <c r="R5608">
        <v>0.95869322066888496</v>
      </c>
      <c r="S5608" t="s">
        <v>12254</v>
      </c>
      <c r="T5608" t="s">
        <v>13290</v>
      </c>
      <c r="U5608" t="s">
        <v>13290</v>
      </c>
      <c r="V5608" t="s">
        <v>13290</v>
      </c>
      <c r="W5608" t="s">
        <v>18847</v>
      </c>
      <c r="X5608">
        <v>2</v>
      </c>
      <c r="Y5608" t="s">
        <v>25324</v>
      </c>
      <c r="Z5608" t="s">
        <v>31938</v>
      </c>
      <c r="AA5608">
        <v>0.56913222165142052</v>
      </c>
      <c r="AB5608" t="str">
        <f>HYPERLINK("Melting_Curves/meltCurve_Q9H1C4_UNC93B1.pdf", "Melting_Curves/meltCurve_Q9H1C4_UNC93B1.pdf")</f>
        <v>Melting_Curves/meltCurve_Q9H1C4_UNC93B1.pdf</v>
      </c>
    </row>
    <row r="5609" spans="1:28" x14ac:dyDescent="0.25">
      <c r="A5609" t="s">
        <v>5613</v>
      </c>
      <c r="B5609">
        <v>0.99252571173614901</v>
      </c>
      <c r="C5609">
        <v>1.01508152137137</v>
      </c>
      <c r="D5609">
        <v>1.05246656355597</v>
      </c>
      <c r="E5609">
        <v>1.2315276333984</v>
      </c>
      <c r="F5609">
        <v>1.01664626814208</v>
      </c>
      <c r="G5609">
        <v>0.49914214431216503</v>
      </c>
      <c r="H5609">
        <v>0.20016899997580401</v>
      </c>
      <c r="I5609">
        <v>0.153612163530887</v>
      </c>
      <c r="J5609">
        <v>0.18175813497579299</v>
      </c>
      <c r="K5609">
        <v>0.16293151882773799</v>
      </c>
      <c r="L5609">
        <v>14175.350992256899</v>
      </c>
      <c r="M5609">
        <v>250</v>
      </c>
      <c r="N5609">
        <v>56.799025630740402</v>
      </c>
      <c r="O5609">
        <v>56.697797897091199</v>
      </c>
      <c r="P5609">
        <v>-0.90984864420639699</v>
      </c>
      <c r="Q5609">
        <v>0.174617692908795</v>
      </c>
      <c r="R5609">
        <v>0.96790179900609796</v>
      </c>
      <c r="S5609" t="s">
        <v>12255</v>
      </c>
      <c r="T5609" t="s">
        <v>13290</v>
      </c>
      <c r="U5609" t="s">
        <v>13290</v>
      </c>
      <c r="V5609" t="s">
        <v>13290</v>
      </c>
      <c r="W5609" t="s">
        <v>18848</v>
      </c>
      <c r="X5609">
        <v>6</v>
      </c>
      <c r="Y5609" t="s">
        <v>25325</v>
      </c>
      <c r="Z5609" t="s">
        <v>31939</v>
      </c>
      <c r="AA5609">
        <v>0.63420127142338034</v>
      </c>
      <c r="AB5609" t="str">
        <f>HYPERLINK("Melting_Curves/meltCurve_Q9H1D9_POLR3F.pdf", "Melting_Curves/meltCurve_Q9H1D9_POLR3F.pdf")</f>
        <v>Melting_Curves/meltCurve_Q9H1D9_POLR3F.pdf</v>
      </c>
    </row>
    <row r="5610" spans="1:28" x14ac:dyDescent="0.25">
      <c r="A5610" t="s">
        <v>5614</v>
      </c>
      <c r="B5610">
        <v>0.99252571173614901</v>
      </c>
      <c r="C5610">
        <v>1.0698725470100601</v>
      </c>
      <c r="D5610">
        <v>1.02667897565849</v>
      </c>
      <c r="E5610">
        <v>1.0597434219366899</v>
      </c>
      <c r="F5610">
        <v>1.0268752597139901</v>
      </c>
      <c r="G5610">
        <v>0.87618020548127795</v>
      </c>
      <c r="H5610">
        <v>1.11434860753999</v>
      </c>
      <c r="I5610">
        <v>1.6431324854673</v>
      </c>
      <c r="J5610">
        <v>2.60153655821652</v>
      </c>
      <c r="K5610">
        <v>2.47537186306984</v>
      </c>
      <c r="L5610">
        <v>15000</v>
      </c>
      <c r="M5610">
        <v>245.494980425341</v>
      </c>
      <c r="O5610">
        <v>61.096990775627098</v>
      </c>
      <c r="P5610">
        <v>0.50226487771293005</v>
      </c>
      <c r="Q5610">
        <v>1.5</v>
      </c>
      <c r="R5610">
        <v>0.39986074466418198</v>
      </c>
      <c r="S5610" t="s">
        <v>12256</v>
      </c>
      <c r="T5610" t="s">
        <v>13290</v>
      </c>
      <c r="U5610" t="s">
        <v>13290</v>
      </c>
      <c r="V5610" t="s">
        <v>13290</v>
      </c>
      <c r="W5610" t="s">
        <v>18849</v>
      </c>
      <c r="X5610">
        <v>15</v>
      </c>
      <c r="Y5610" t="s">
        <v>25326</v>
      </c>
      <c r="Z5610" t="s">
        <v>31940</v>
      </c>
      <c r="AA5610">
        <v>1.1482603042478241</v>
      </c>
      <c r="AB5610" t="str">
        <f>HYPERLINK("Melting_Curves/meltCurve_Q9H1E3_NUCKS1.pdf", "Melting_Curves/meltCurve_Q9H1E3_NUCKS1.pdf")</f>
        <v>Melting_Curves/meltCurve_Q9H1E3_NUCKS1.pdf</v>
      </c>
    </row>
    <row r="5611" spans="1:28" x14ac:dyDescent="0.25">
      <c r="A5611" t="s">
        <v>5615</v>
      </c>
      <c r="B5611">
        <v>0.99252571173614901</v>
      </c>
      <c r="C5611">
        <v>0.969350835189698</v>
      </c>
      <c r="D5611">
        <v>1.0581298088564499</v>
      </c>
      <c r="E5611">
        <v>0.60552001998461202</v>
      </c>
      <c r="F5611">
        <v>0.96488382510612902</v>
      </c>
      <c r="G5611">
        <v>0.24659950895261201</v>
      </c>
      <c r="H5611">
        <v>0.30795691613013798</v>
      </c>
      <c r="I5611">
        <v>0.47084594386395801</v>
      </c>
      <c r="J5611">
        <v>0.72814684315907297</v>
      </c>
      <c r="K5611">
        <v>0.96943388257478402</v>
      </c>
      <c r="L5611">
        <v>11982.5110989328</v>
      </c>
      <c r="M5611">
        <v>250</v>
      </c>
      <c r="O5611">
        <v>47.926977101433003</v>
      </c>
      <c r="P5611">
        <v>-0.504244633165575</v>
      </c>
      <c r="Q5611">
        <v>0.613329263936224</v>
      </c>
      <c r="R5611">
        <v>0.38623035562526198</v>
      </c>
      <c r="S5611" t="s">
        <v>12257</v>
      </c>
      <c r="T5611" t="s">
        <v>13290</v>
      </c>
      <c r="U5611" t="s">
        <v>13290</v>
      </c>
      <c r="V5611" t="s">
        <v>13290</v>
      </c>
      <c r="W5611" t="s">
        <v>18850</v>
      </c>
      <c r="X5611">
        <v>1</v>
      </c>
      <c r="Y5611" t="s">
        <v>25327</v>
      </c>
      <c r="Z5611" t="s">
        <v>31941</v>
      </c>
      <c r="AA5611">
        <v>0.71557232610207977</v>
      </c>
      <c r="AB5611" t="str">
        <f>HYPERLINK("Melting_Curves/meltCurve_Q9H1I8_3_ASCC2.pdf", "Melting_Curves/meltCurve_Q9H1I8_3_ASCC2.pdf")</f>
        <v>Melting_Curves/meltCurve_Q9H1I8_3_ASCC2.pdf</v>
      </c>
    </row>
    <row r="5612" spans="1:28" x14ac:dyDescent="0.25">
      <c r="A5612" t="s">
        <v>5616</v>
      </c>
      <c r="B5612">
        <v>0.99252571173614901</v>
      </c>
      <c r="C5612">
        <v>1.0758971644206601</v>
      </c>
      <c r="D5612">
        <v>0.97894006749093698</v>
      </c>
      <c r="E5612">
        <v>1.0526064812962099</v>
      </c>
      <c r="F5612">
        <v>0.79266812546614296</v>
      </c>
      <c r="G5612">
        <v>0.66782487751110997</v>
      </c>
      <c r="H5612">
        <v>0.651692012429405</v>
      </c>
      <c r="I5612">
        <v>0.99398006605734701</v>
      </c>
      <c r="J5612">
        <v>1.453508493977</v>
      </c>
      <c r="K5612">
        <v>1.4970240677061599</v>
      </c>
      <c r="L5612">
        <v>15000</v>
      </c>
      <c r="M5612">
        <v>225.89003504876601</v>
      </c>
      <c r="O5612">
        <v>66.398796510445294</v>
      </c>
      <c r="P5612">
        <v>0.42273657665748199</v>
      </c>
      <c r="Q5612">
        <v>1.4970417715464199</v>
      </c>
      <c r="R5612">
        <v>0.61345158899376395</v>
      </c>
      <c r="S5612" t="s">
        <v>12258</v>
      </c>
      <c r="T5612" t="s">
        <v>13290</v>
      </c>
      <c r="U5612" t="s">
        <v>13290</v>
      </c>
      <c r="V5612" t="s">
        <v>13290</v>
      </c>
      <c r="W5612" t="s">
        <v>18851</v>
      </c>
      <c r="X5612">
        <v>11</v>
      </c>
      <c r="Y5612" t="s">
        <v>25328</v>
      </c>
      <c r="Z5612" t="s">
        <v>31942</v>
      </c>
      <c r="AA5612">
        <v>1.059507976123012</v>
      </c>
      <c r="AB5612" t="str">
        <f>HYPERLINK("Melting_Curves/meltCurve_Q9H1J1_UPF3A.pdf", "Melting_Curves/meltCurve_Q9H1J1_UPF3A.pdf")</f>
        <v>Melting_Curves/meltCurve_Q9H1J1_UPF3A.pdf</v>
      </c>
    </row>
    <row r="5613" spans="1:28" x14ac:dyDescent="0.25">
      <c r="A5613" t="s">
        <v>5617</v>
      </c>
      <c r="B5613">
        <v>0.99252571173614901</v>
      </c>
      <c r="C5613">
        <v>1.0426453177781301</v>
      </c>
      <c r="D5613">
        <v>0.90964172849167502</v>
      </c>
      <c r="E5613">
        <v>0.55993601040937202</v>
      </c>
      <c r="F5613">
        <v>0.253939003902938</v>
      </c>
      <c r="G5613">
        <v>0.16452100883523199</v>
      </c>
      <c r="H5613">
        <v>0.16872463683860001</v>
      </c>
      <c r="I5613">
        <v>0.222357108651002</v>
      </c>
      <c r="J5613">
        <v>0.37560199083498103</v>
      </c>
      <c r="K5613">
        <v>0.32433378437801103</v>
      </c>
      <c r="L5613">
        <v>1872.6281104890099</v>
      </c>
      <c r="M5613">
        <v>38.185647516173397</v>
      </c>
      <c r="N5613">
        <v>49.9275657842893</v>
      </c>
      <c r="O5613">
        <v>48.906188021676599</v>
      </c>
      <c r="P5613">
        <v>-0.14710687584792401</v>
      </c>
      <c r="Q5613">
        <v>0.24637458740343199</v>
      </c>
      <c r="R5613">
        <v>0.96297112754863101</v>
      </c>
      <c r="S5613" t="s">
        <v>12259</v>
      </c>
      <c r="T5613" t="s">
        <v>13290</v>
      </c>
      <c r="U5613" t="s">
        <v>13290</v>
      </c>
      <c r="V5613" t="s">
        <v>13290</v>
      </c>
      <c r="W5613" t="s">
        <v>18852</v>
      </c>
      <c r="X5613">
        <v>4</v>
      </c>
      <c r="Y5613" t="s">
        <v>25329</v>
      </c>
      <c r="Z5613" t="s">
        <v>31943</v>
      </c>
      <c r="AA5613">
        <v>0.47627896378787488</v>
      </c>
      <c r="AB5613" t="str">
        <f>HYPERLINK("Melting_Curves/meltCurve_Q9H1K0_ZFYVE20.pdf", "Melting_Curves/meltCurve_Q9H1K0_ZFYVE20.pdf")</f>
        <v>Melting_Curves/meltCurve_Q9H1K0_ZFYVE20.pdf</v>
      </c>
    </row>
    <row r="5614" spans="1:28" x14ac:dyDescent="0.25">
      <c r="A5614" t="s">
        <v>5618</v>
      </c>
      <c r="B5614">
        <v>0.99252571173614901</v>
      </c>
      <c r="C5614">
        <v>1.04910477772755</v>
      </c>
      <c r="D5614">
        <v>0.97886314084706505</v>
      </c>
      <c r="E5614">
        <v>0.85818576350411901</v>
      </c>
      <c r="F5614">
        <v>0.64401487343665598</v>
      </c>
      <c r="G5614">
        <v>0.473774308698516</v>
      </c>
      <c r="H5614">
        <v>0.40310579283434</v>
      </c>
      <c r="I5614">
        <v>0.44346301912720298</v>
      </c>
      <c r="J5614">
        <v>0.63132333162724197</v>
      </c>
      <c r="K5614">
        <v>0.63457046219236002</v>
      </c>
      <c r="L5614">
        <v>1736.49979697555</v>
      </c>
      <c r="M5614">
        <v>34.021135339058901</v>
      </c>
      <c r="O5614">
        <v>50.866408633638898</v>
      </c>
      <c r="P5614">
        <v>-8.0561202751591607E-2</v>
      </c>
      <c r="Q5614">
        <v>0.51820034427075401</v>
      </c>
      <c r="R5614">
        <v>0.89969624842440199</v>
      </c>
      <c r="S5614" t="s">
        <v>12260</v>
      </c>
      <c r="T5614" t="s">
        <v>13290</v>
      </c>
      <c r="U5614" t="s">
        <v>13290</v>
      </c>
      <c r="V5614" t="s">
        <v>13290</v>
      </c>
      <c r="W5614" t="s">
        <v>18853</v>
      </c>
      <c r="X5614">
        <v>13</v>
      </c>
      <c r="Y5614" t="s">
        <v>25330</v>
      </c>
      <c r="Z5614" t="s">
        <v>31944</v>
      </c>
      <c r="AA5614">
        <v>0.69788627045156926</v>
      </c>
      <c r="AB5614" t="str">
        <f>HYPERLINK("Melting_Curves/meltCurve_Q9H1K1_ISCU.pdf", "Melting_Curves/meltCurve_Q9H1K1_ISCU.pdf")</f>
        <v>Melting_Curves/meltCurve_Q9H1K1_ISCU.pdf</v>
      </c>
    </row>
    <row r="5615" spans="1:28" x14ac:dyDescent="0.25">
      <c r="A5615" t="s">
        <v>5619</v>
      </c>
      <c r="B5615">
        <v>0.99252571173614901</v>
      </c>
      <c r="C5615">
        <v>1.0883399377045799</v>
      </c>
      <c r="D5615">
        <v>0.91847250029757699</v>
      </c>
      <c r="E5615">
        <v>0.82696766061210802</v>
      </c>
      <c r="F5615">
        <v>0.57132643191350696</v>
      </c>
      <c r="G5615">
        <v>0.17067380343604199</v>
      </c>
      <c r="H5615">
        <v>4.6904906423207701E-2</v>
      </c>
      <c r="I5615">
        <v>6.96545115360101E-2</v>
      </c>
      <c r="J5615">
        <v>3.5259593591282001E-2</v>
      </c>
      <c r="K5615">
        <v>3.3059857232394602E-2</v>
      </c>
      <c r="L5615">
        <v>1266.08842142137</v>
      </c>
      <c r="M5615">
        <v>23.7427850412674</v>
      </c>
      <c r="N5615">
        <v>53.431923290732797</v>
      </c>
      <c r="O5615">
        <v>52.951236647730802</v>
      </c>
      <c r="P5615">
        <v>-0.109502944693686</v>
      </c>
      <c r="Q5615">
        <v>2.31611351525263E-2</v>
      </c>
      <c r="R5615">
        <v>0.989946165996483</v>
      </c>
      <c r="S5615" t="s">
        <v>12261</v>
      </c>
      <c r="T5615" t="s">
        <v>13290</v>
      </c>
      <c r="U5615" t="s">
        <v>13290</v>
      </c>
      <c r="V5615" t="s">
        <v>13290</v>
      </c>
      <c r="W5615" t="s">
        <v>18854</v>
      </c>
      <c r="X5615">
        <v>1</v>
      </c>
      <c r="Y5615" t="s">
        <v>25331</v>
      </c>
      <c r="Z5615" t="s">
        <v>31945</v>
      </c>
      <c r="AA5615">
        <v>0.46695848328235479</v>
      </c>
      <c r="AB5615" t="str">
        <f>HYPERLINK("Melting_Curves/meltCurve_Q9H1K6_MESDC1.pdf", "Melting_Curves/meltCurve_Q9H1K6_MESDC1.pdf")</f>
        <v>Melting_Curves/meltCurve_Q9H1K6_MESDC1.pdf</v>
      </c>
    </row>
    <row r="5616" spans="1:28" x14ac:dyDescent="0.25">
      <c r="A5616" t="s">
        <v>5620</v>
      </c>
      <c r="B5616">
        <v>0.99252571173614901</v>
      </c>
      <c r="C5616">
        <v>0.74757720252932802</v>
      </c>
      <c r="D5616">
        <v>0.32343509244649499</v>
      </c>
      <c r="E5616">
        <v>0.208684270075112</v>
      </c>
      <c r="F5616">
        <v>9.0479285341344196E-2</v>
      </c>
      <c r="G5616">
        <v>5.8901001441631698E-2</v>
      </c>
      <c r="H5616">
        <v>4.3436469526148498E-2</v>
      </c>
      <c r="I5616">
        <v>5.9198883746523399E-2</v>
      </c>
      <c r="J5616">
        <v>7.6476699092583797E-2</v>
      </c>
      <c r="K5616">
        <v>8.0369192406565301E-2</v>
      </c>
      <c r="L5616">
        <v>1145.16387519302</v>
      </c>
      <c r="M5616">
        <v>25.719215599222299</v>
      </c>
      <c r="N5616">
        <v>44.800914614965798</v>
      </c>
      <c r="O5616">
        <v>44.259060477732497</v>
      </c>
      <c r="P5616">
        <v>-0.134659910239704</v>
      </c>
      <c r="Q5616">
        <v>7.3090273495779595E-2</v>
      </c>
      <c r="R5616">
        <v>0.99044188314666803</v>
      </c>
      <c r="S5616" t="s">
        <v>12262</v>
      </c>
      <c r="T5616" t="s">
        <v>13290</v>
      </c>
      <c r="U5616" t="s">
        <v>13290</v>
      </c>
      <c r="V5616" t="s">
        <v>13290</v>
      </c>
      <c r="W5616" t="s">
        <v>18855</v>
      </c>
      <c r="X5616">
        <v>8</v>
      </c>
      <c r="Y5616" t="s">
        <v>25332</v>
      </c>
      <c r="Z5616" t="s">
        <v>31946</v>
      </c>
      <c r="AA5616">
        <v>0.2220404797758023</v>
      </c>
      <c r="AB5616" t="str">
        <f>HYPERLINK("Melting_Curves/meltCurve_Q9H1P3_2_OSBPL2.pdf", "Melting_Curves/meltCurve_Q9H1P3_2_OSBPL2.pdf")</f>
        <v>Melting_Curves/meltCurve_Q9H1P3_2_OSBPL2.pdf</v>
      </c>
    </row>
    <row r="5617" spans="1:28" x14ac:dyDescent="0.25">
      <c r="A5617" t="s">
        <v>5621</v>
      </c>
      <c r="B5617">
        <v>0.99252571173614901</v>
      </c>
      <c r="C5617">
        <v>0.96982267515183596</v>
      </c>
      <c r="D5617">
        <v>0.82693896918460696</v>
      </c>
      <c r="E5617">
        <v>0.49033102021186198</v>
      </c>
      <c r="F5617">
        <v>0.25554207271129697</v>
      </c>
      <c r="G5617">
        <v>0.15601120762669099</v>
      </c>
      <c r="H5617">
        <v>0.10393079223971</v>
      </c>
      <c r="I5617">
        <v>0.12860719666684101</v>
      </c>
      <c r="J5617">
        <v>0.134730663339415</v>
      </c>
      <c r="K5617">
        <v>0.151655267327196</v>
      </c>
      <c r="L5617">
        <v>1108.6780773389</v>
      </c>
      <c r="M5617">
        <v>22.681559846462299</v>
      </c>
      <c r="N5617">
        <v>49.514412717750503</v>
      </c>
      <c r="O5617">
        <v>48.504964757546396</v>
      </c>
      <c r="P5617">
        <v>-0.102167256108253</v>
      </c>
      <c r="Q5617">
        <v>0.126070776943321</v>
      </c>
      <c r="R5617">
        <v>0.99848790799227705</v>
      </c>
      <c r="S5617" t="s">
        <v>12263</v>
      </c>
      <c r="T5617" t="s">
        <v>13290</v>
      </c>
      <c r="U5617" t="s">
        <v>13290</v>
      </c>
      <c r="V5617" t="s">
        <v>13290</v>
      </c>
      <c r="W5617" t="s">
        <v>18856</v>
      </c>
      <c r="X5617">
        <v>4</v>
      </c>
      <c r="Y5617" t="s">
        <v>25333</v>
      </c>
      <c r="Z5617" t="s">
        <v>31947</v>
      </c>
      <c r="AA5617">
        <v>0.39422108025922081</v>
      </c>
      <c r="AB5617" t="str">
        <f>HYPERLINK("Melting_Curves/meltCurve_Q9H1X3_3_DNAJC25.pdf", "Melting_Curves/meltCurve_Q9H1X3_3_DNAJC25.pdf")</f>
        <v>Melting_Curves/meltCurve_Q9H1X3_3_DNAJC25.pdf</v>
      </c>
    </row>
    <row r="5618" spans="1:28" x14ac:dyDescent="0.25">
      <c r="A5618" t="s">
        <v>5622</v>
      </c>
      <c r="B5618">
        <v>0.99252571173614901</v>
      </c>
      <c r="C5618">
        <v>0.88223678687250695</v>
      </c>
      <c r="D5618">
        <v>0.75852603676241603</v>
      </c>
      <c r="E5618">
        <v>0.62125924464916105</v>
      </c>
      <c r="F5618">
        <v>0.49279333500104899</v>
      </c>
      <c r="G5618">
        <v>0.25267686378519599</v>
      </c>
      <c r="H5618">
        <v>0.160092009377414</v>
      </c>
      <c r="I5618">
        <v>0.23149025288360001</v>
      </c>
      <c r="J5618">
        <v>0.20686556766873199</v>
      </c>
      <c r="K5618">
        <v>0.15080538709275201</v>
      </c>
      <c r="L5618">
        <v>603.61307867429502</v>
      </c>
      <c r="M5618">
        <v>11.982773974007101</v>
      </c>
      <c r="N5618">
        <v>51.659300727723</v>
      </c>
      <c r="O5618">
        <v>49.031986873415399</v>
      </c>
      <c r="P5618">
        <v>-5.3231150483651901E-2</v>
      </c>
      <c r="Q5618">
        <v>0.128951048423259</v>
      </c>
      <c r="R5618">
        <v>0.98158737116639905</v>
      </c>
      <c r="S5618" t="s">
        <v>12264</v>
      </c>
      <c r="T5618" t="s">
        <v>13290</v>
      </c>
      <c r="U5618" t="s">
        <v>13290</v>
      </c>
      <c r="V5618" t="s">
        <v>13290</v>
      </c>
      <c r="W5618" t="s">
        <v>18857</v>
      </c>
      <c r="X5618">
        <v>4</v>
      </c>
      <c r="Y5618" t="s">
        <v>25334</v>
      </c>
      <c r="Z5618" t="s">
        <v>31948</v>
      </c>
      <c r="AA5618">
        <v>0.4597022279896158</v>
      </c>
      <c r="AB5618" t="str">
        <f>HYPERLINK("Melting_Curves/meltCurve_Q9H1Y0_ATG5.pdf", "Melting_Curves/meltCurve_Q9H1Y0_ATG5.pdf")</f>
        <v>Melting_Curves/meltCurve_Q9H1Y0_ATG5.pdf</v>
      </c>
    </row>
    <row r="5619" spans="1:28" x14ac:dyDescent="0.25">
      <c r="A5619" t="s">
        <v>5623</v>
      </c>
      <c r="B5619">
        <v>0.99252571173614901</v>
      </c>
      <c r="C5619">
        <v>0.96712534864136801</v>
      </c>
      <c r="D5619">
        <v>0.89572529943224899</v>
      </c>
      <c r="E5619">
        <v>0.72321555649570002</v>
      </c>
      <c r="F5619">
        <v>0.57711325504861899</v>
      </c>
      <c r="G5619">
        <v>0.45452496023524602</v>
      </c>
      <c r="H5619">
        <v>0.34343443013126101</v>
      </c>
      <c r="I5619">
        <v>0.24176335609684499</v>
      </c>
      <c r="J5619">
        <v>0.18187515390942299</v>
      </c>
      <c r="K5619">
        <v>0.12865063188686099</v>
      </c>
      <c r="L5619">
        <v>527.33523111518298</v>
      </c>
      <c r="M5619">
        <v>9.5712489711335103</v>
      </c>
      <c r="N5619">
        <v>55.518929888594997</v>
      </c>
      <c r="O5619">
        <v>52.851682376799502</v>
      </c>
      <c r="P5619">
        <v>-4.3706590174868699E-2</v>
      </c>
      <c r="Q5619">
        <v>3.5177717823550503E-2</v>
      </c>
      <c r="R5619">
        <v>0.99588267228557503</v>
      </c>
      <c r="S5619" t="s">
        <v>12265</v>
      </c>
      <c r="T5619" t="s">
        <v>13290</v>
      </c>
      <c r="U5619" t="s">
        <v>13290</v>
      </c>
      <c r="V5619" t="s">
        <v>13290</v>
      </c>
      <c r="W5619" t="s">
        <v>18858</v>
      </c>
      <c r="X5619">
        <v>5</v>
      </c>
      <c r="Y5619" t="s">
        <v>25335</v>
      </c>
      <c r="Z5619" t="s">
        <v>31949</v>
      </c>
      <c r="AA5619">
        <v>0.54555678177583855</v>
      </c>
      <c r="AB5619" t="str">
        <f>HYPERLINK("Melting_Curves/meltCurve_Q9H1Z4_WDR13.pdf", "Melting_Curves/meltCurve_Q9H1Z4_WDR13.pdf")</f>
        <v>Melting_Curves/meltCurve_Q9H1Z4_WDR13.pdf</v>
      </c>
    </row>
    <row r="5620" spans="1:28" x14ac:dyDescent="0.25">
      <c r="A5620" t="s">
        <v>5624</v>
      </c>
      <c r="B5620">
        <v>0.99252571173614901</v>
      </c>
      <c r="C5620">
        <v>0.89085105501490403</v>
      </c>
      <c r="D5620">
        <v>0.98672723913989802</v>
      </c>
      <c r="E5620">
        <v>0.94647492883939399</v>
      </c>
      <c r="F5620">
        <v>0.95084138401642604</v>
      </c>
      <c r="G5620">
        <v>1.3272693418061801</v>
      </c>
      <c r="H5620">
        <v>1.07988579079096</v>
      </c>
      <c r="I5620">
        <v>1.20425143799078</v>
      </c>
      <c r="J5620">
        <v>1.62929432197917</v>
      </c>
      <c r="K5620">
        <v>1.67349570761376</v>
      </c>
      <c r="L5620">
        <v>15000</v>
      </c>
      <c r="M5620">
        <v>234.00497764325999</v>
      </c>
      <c r="O5620">
        <v>64.096518635583095</v>
      </c>
      <c r="P5620">
        <v>0.45635274553694599</v>
      </c>
      <c r="Q5620">
        <v>1.5</v>
      </c>
      <c r="R5620">
        <v>0.75964083831436102</v>
      </c>
      <c r="S5620" t="s">
        <v>12266</v>
      </c>
      <c r="T5620" t="s">
        <v>13290</v>
      </c>
      <c r="U5620" t="s">
        <v>13290</v>
      </c>
      <c r="V5620" t="s">
        <v>13290</v>
      </c>
      <c r="W5620" t="s">
        <v>18859</v>
      </c>
      <c r="X5620">
        <v>1</v>
      </c>
      <c r="Y5620" t="s">
        <v>25336</v>
      </c>
      <c r="Z5620" t="s">
        <v>31950</v>
      </c>
      <c r="AA5620">
        <v>1.0982491216618171</v>
      </c>
      <c r="AB5620" t="str">
        <f>HYPERLINK("Melting_Curves/meltCurve_Q9H204_MED28.pdf", "Melting_Curves/meltCurve_Q9H204_MED28.pdf")</f>
        <v>Melting_Curves/meltCurve_Q9H204_MED28.pdf</v>
      </c>
    </row>
    <row r="5621" spans="1:28" x14ac:dyDescent="0.25">
      <c r="A5621" t="s">
        <v>5625</v>
      </c>
      <c r="B5621">
        <v>0.99252571173614901</v>
      </c>
      <c r="C5621">
        <v>0.91001965415839703</v>
      </c>
      <c r="D5621">
        <v>0.84203497440603903</v>
      </c>
      <c r="E5621">
        <v>0.64845781680707404</v>
      </c>
      <c r="F5621">
        <v>0.13502810863963399</v>
      </c>
      <c r="G5621">
        <v>7.5604733814889399E-2</v>
      </c>
      <c r="H5621">
        <v>4.9740480814533597E-2</v>
      </c>
      <c r="I5621">
        <v>4.9266369694856302E-2</v>
      </c>
      <c r="J5621">
        <v>5.3584089802423303E-2</v>
      </c>
      <c r="K5621">
        <v>5.3288737512842202E-2</v>
      </c>
      <c r="L5621">
        <v>1384.7087374617599</v>
      </c>
      <c r="M5621">
        <v>27.6457967306144</v>
      </c>
      <c r="N5621">
        <v>50.240530937008998</v>
      </c>
      <c r="O5621">
        <v>49.827619091306602</v>
      </c>
      <c r="P5621">
        <v>-0.13310726281767099</v>
      </c>
      <c r="Q5621">
        <v>4.0380923545162498E-2</v>
      </c>
      <c r="R5621">
        <v>0.98569727444807997</v>
      </c>
      <c r="S5621" t="s">
        <v>12267</v>
      </c>
      <c r="T5621" t="s">
        <v>13290</v>
      </c>
      <c r="U5621" t="s">
        <v>13290</v>
      </c>
      <c r="V5621" t="s">
        <v>13290</v>
      </c>
      <c r="W5621" t="s">
        <v>18860</v>
      </c>
      <c r="X5621">
        <v>26</v>
      </c>
      <c r="Y5621" t="s">
        <v>25337</v>
      </c>
      <c r="Z5621" t="s">
        <v>31951</v>
      </c>
      <c r="AA5621">
        <v>0.37006346287682962</v>
      </c>
      <c r="AB5621" t="str">
        <f>HYPERLINK("Melting_Curves/meltCurve_Q9H223_EHD4.pdf", "Melting_Curves/meltCurve_Q9H223_EHD4.pdf")</f>
        <v>Melting_Curves/meltCurve_Q9H223_EHD4.pdf</v>
      </c>
    </row>
    <row r="5622" spans="1:28" x14ac:dyDescent="0.25">
      <c r="A5622" t="s">
        <v>5626</v>
      </c>
      <c r="B5622">
        <v>0.99252571173614901</v>
      </c>
      <c r="C5622">
        <v>0.86611311559599802</v>
      </c>
      <c r="D5622">
        <v>0.82487414748730903</v>
      </c>
      <c r="E5622">
        <v>0.377659130758567</v>
      </c>
      <c r="F5622">
        <v>0.23178861221463001</v>
      </c>
      <c r="G5622">
        <v>0.17090932253749899</v>
      </c>
      <c r="H5622">
        <v>0.12751767058902599</v>
      </c>
      <c r="I5622">
        <v>0.16684306066151999</v>
      </c>
      <c r="J5622">
        <v>0.23071091500924901</v>
      </c>
      <c r="K5622">
        <v>0.178276015002821</v>
      </c>
      <c r="L5622">
        <v>1268.3828265198099</v>
      </c>
      <c r="M5622">
        <v>26.543680943716002</v>
      </c>
      <c r="N5622">
        <v>48.552816264465903</v>
      </c>
      <c r="O5622">
        <v>47.515991569754597</v>
      </c>
      <c r="P5622">
        <v>-0.115714271045355</v>
      </c>
      <c r="Q5622">
        <v>0.171445737890595</v>
      </c>
      <c r="R5622">
        <v>0.98320920708044102</v>
      </c>
      <c r="S5622" t="s">
        <v>12268</v>
      </c>
      <c r="T5622" t="s">
        <v>13290</v>
      </c>
      <c r="U5622" t="s">
        <v>13290</v>
      </c>
      <c r="V5622" t="s">
        <v>13290</v>
      </c>
      <c r="W5622" t="s">
        <v>18861</v>
      </c>
      <c r="X5622">
        <v>5</v>
      </c>
      <c r="Y5622" t="s">
        <v>25338</v>
      </c>
      <c r="Z5622" t="s">
        <v>31952</v>
      </c>
      <c r="AA5622">
        <v>0.39289761374337101</v>
      </c>
      <c r="AB5622" t="str">
        <f>HYPERLINK("Melting_Curves/meltCurve_Q9H267_VPS33B.pdf", "Melting_Curves/meltCurve_Q9H267_VPS33B.pdf")</f>
        <v>Melting_Curves/meltCurve_Q9H267_VPS33B.pdf</v>
      </c>
    </row>
    <row r="5623" spans="1:28" x14ac:dyDescent="0.25">
      <c r="A5623" t="s">
        <v>5627</v>
      </c>
      <c r="B5623">
        <v>0.99252571173614901</v>
      </c>
      <c r="C5623">
        <v>0.75071657775968004</v>
      </c>
      <c r="D5623">
        <v>0.856987273038603</v>
      </c>
      <c r="E5623">
        <v>0.42759473304221102</v>
      </c>
      <c r="F5623">
        <v>0.12909463039258001</v>
      </c>
      <c r="G5623">
        <v>7.8735157744484502E-2</v>
      </c>
      <c r="H5623">
        <v>6.1303631927284802E-2</v>
      </c>
      <c r="I5623">
        <v>7.0754236102246307E-2</v>
      </c>
      <c r="J5623">
        <v>6.7115369873594496E-2</v>
      </c>
      <c r="K5623">
        <v>5.77551185469245E-2</v>
      </c>
      <c r="L5623">
        <v>1001.6761761064701</v>
      </c>
      <c r="M5623">
        <v>20.633663571701</v>
      </c>
      <c r="N5623">
        <v>48.777723090866601</v>
      </c>
      <c r="O5623">
        <v>48.096655566808003</v>
      </c>
      <c r="P5623">
        <v>-0.102241286730337</v>
      </c>
      <c r="Q5623">
        <v>4.6738125008068801E-2</v>
      </c>
      <c r="R5623">
        <v>0.96305949540248104</v>
      </c>
      <c r="S5623" t="s">
        <v>12269</v>
      </c>
      <c r="T5623" t="s">
        <v>13290</v>
      </c>
      <c r="U5623" t="s">
        <v>13290</v>
      </c>
      <c r="V5623" t="s">
        <v>13290</v>
      </c>
      <c r="W5623" t="s">
        <v>18862</v>
      </c>
      <c r="X5623">
        <v>6</v>
      </c>
      <c r="Y5623" t="s">
        <v>25339</v>
      </c>
      <c r="Z5623" t="s">
        <v>31953</v>
      </c>
      <c r="AA5623">
        <v>0.33086282292069202</v>
      </c>
      <c r="AB5623" t="str">
        <f>HYPERLINK("Melting_Curves/meltCurve_Q9H269_VPS16.pdf", "Melting_Curves/meltCurve_Q9H269_VPS16.pdf")</f>
        <v>Melting_Curves/meltCurve_Q9H269_VPS16.pdf</v>
      </c>
    </row>
    <row r="5624" spans="1:28" x14ac:dyDescent="0.25">
      <c r="A5624" t="s">
        <v>5628</v>
      </c>
      <c r="B5624">
        <v>0.99252571173614901</v>
      </c>
      <c r="C5624">
        <v>1.0103857917357</v>
      </c>
      <c r="D5624">
        <v>0.94694500389668801</v>
      </c>
      <c r="E5624">
        <v>0.78667218245366299</v>
      </c>
      <c r="F5624">
        <v>0.64591105933662196</v>
      </c>
      <c r="G5624">
        <v>0.53899516520149504</v>
      </c>
      <c r="H5624">
        <v>0.64064857124087105</v>
      </c>
      <c r="I5624">
        <v>0.69234400044168098</v>
      </c>
      <c r="J5624">
        <v>0.88956892699291001</v>
      </c>
      <c r="K5624">
        <v>0.84986025709337598</v>
      </c>
      <c r="L5624">
        <v>2021.1386819639999</v>
      </c>
      <c r="M5624">
        <v>42.120739016069997</v>
      </c>
      <c r="O5624">
        <v>47.876626953128103</v>
      </c>
      <c r="P5624">
        <v>-6.357450293038E-2</v>
      </c>
      <c r="Q5624">
        <v>0.71095211814595105</v>
      </c>
      <c r="R5624">
        <v>0.62170905013232702</v>
      </c>
      <c r="S5624" t="s">
        <v>12270</v>
      </c>
      <c r="T5624" t="s">
        <v>13290</v>
      </c>
      <c r="U5624" t="s">
        <v>13290</v>
      </c>
      <c r="V5624" t="s">
        <v>13290</v>
      </c>
      <c r="W5624" t="s">
        <v>18863</v>
      </c>
      <c r="X5624">
        <v>12</v>
      </c>
      <c r="Y5624" t="s">
        <v>25340</v>
      </c>
      <c r="Z5624" t="s">
        <v>31954</v>
      </c>
      <c r="AA5624">
        <v>0.78874701199656738</v>
      </c>
      <c r="AB5624" t="str">
        <f>HYPERLINK("Melting_Curves/meltCurve_Q9H270_VPS11.pdf", "Melting_Curves/meltCurve_Q9H270_VPS11.pdf")</f>
        <v>Melting_Curves/meltCurve_Q9H270_VPS11.pdf</v>
      </c>
    </row>
    <row r="5625" spans="1:28" x14ac:dyDescent="0.25">
      <c r="A5625" t="s">
        <v>5629</v>
      </c>
      <c r="B5625">
        <v>0.99252571173614901</v>
      </c>
      <c r="C5625">
        <v>0.93654565466342998</v>
      </c>
      <c r="D5625">
        <v>0.83184563006640699</v>
      </c>
      <c r="E5625">
        <v>0.492311418543666</v>
      </c>
      <c r="F5625">
        <v>0.31274591297451798</v>
      </c>
      <c r="G5625">
        <v>0.15664235570930801</v>
      </c>
      <c r="H5625">
        <v>9.3641035418579793E-2</v>
      </c>
      <c r="I5625">
        <v>0.10089663707443999</v>
      </c>
      <c r="J5625">
        <v>0.105410220963534</v>
      </c>
      <c r="K5625">
        <v>0.108081301460418</v>
      </c>
      <c r="L5625">
        <v>914.63747951036396</v>
      </c>
      <c r="M5625">
        <v>18.547023462061698</v>
      </c>
      <c r="N5625">
        <v>49.860663474058597</v>
      </c>
      <c r="O5625">
        <v>48.751948943555497</v>
      </c>
      <c r="P5625">
        <v>-8.6370134913550806E-2</v>
      </c>
      <c r="Q5625">
        <v>9.1923768522321203E-2</v>
      </c>
      <c r="R5625">
        <v>0.99720477588557299</v>
      </c>
      <c r="S5625" t="s">
        <v>12271</v>
      </c>
      <c r="T5625" t="s">
        <v>13290</v>
      </c>
      <c r="U5625" t="s">
        <v>13290</v>
      </c>
      <c r="V5625" t="s">
        <v>13290</v>
      </c>
      <c r="W5625" t="s">
        <v>18864</v>
      </c>
      <c r="X5625">
        <v>11</v>
      </c>
      <c r="Y5625" t="s">
        <v>25341</v>
      </c>
      <c r="Z5625" t="s">
        <v>31955</v>
      </c>
      <c r="AA5625">
        <v>0.38861213044270893</v>
      </c>
      <c r="AB5625" t="str">
        <f>HYPERLINK("Melting_Curves/meltCurve_Q9H2C0_GAN.pdf", "Melting_Curves/meltCurve_Q9H2C0_GAN.pdf")</f>
        <v>Melting_Curves/meltCurve_Q9H2C0_GAN.pdf</v>
      </c>
    </row>
    <row r="5626" spans="1:28" x14ac:dyDescent="0.25">
      <c r="A5626" t="s">
        <v>5630</v>
      </c>
      <c r="B5626">
        <v>0.99252571173614901</v>
      </c>
      <c r="C5626">
        <v>0.80396167028247301</v>
      </c>
      <c r="D5626">
        <v>0.74575033289857795</v>
      </c>
      <c r="E5626">
        <v>0.60635285344802803</v>
      </c>
      <c r="F5626">
        <v>0.70965023244505598</v>
      </c>
      <c r="G5626">
        <v>0.43185271892612598</v>
      </c>
      <c r="H5626">
        <v>0.35791627777433899</v>
      </c>
      <c r="I5626">
        <v>0.242783774215207</v>
      </c>
      <c r="J5626">
        <v>0.11181191645746801</v>
      </c>
      <c r="K5626">
        <v>7.97460926767741E-2</v>
      </c>
      <c r="L5626">
        <v>415.53640699450199</v>
      </c>
      <c r="M5626">
        <v>7.6278193893228501</v>
      </c>
      <c r="N5626">
        <v>54.476434919456402</v>
      </c>
      <c r="O5626">
        <v>51.110763011855397</v>
      </c>
      <c r="P5626">
        <v>-3.7360639824817202E-2</v>
      </c>
      <c r="Q5626">
        <v>0</v>
      </c>
      <c r="R5626">
        <v>0.93143581752909599</v>
      </c>
      <c r="S5626" t="s">
        <v>12272</v>
      </c>
      <c r="T5626" t="s">
        <v>13290</v>
      </c>
      <c r="U5626" t="s">
        <v>13290</v>
      </c>
      <c r="V5626" t="s">
        <v>13290</v>
      </c>
      <c r="W5626" t="s">
        <v>18865</v>
      </c>
      <c r="X5626">
        <v>1</v>
      </c>
      <c r="Y5626" t="s">
        <v>25342</v>
      </c>
      <c r="Z5626" t="s">
        <v>31956</v>
      </c>
      <c r="AA5626">
        <v>0.51373814546434249</v>
      </c>
      <c r="AB5626" t="str">
        <f>HYPERLINK("Melting_Curves/meltCurve_Q9H2D1_SLC25A32.pdf", "Melting_Curves/meltCurve_Q9H2D1_SLC25A32.pdf")</f>
        <v>Melting_Curves/meltCurve_Q9H2D1_SLC25A32.pdf</v>
      </c>
    </row>
    <row r="5627" spans="1:28" x14ac:dyDescent="0.25">
      <c r="A5627" t="s">
        <v>5631</v>
      </c>
      <c r="B5627">
        <v>0.99252571173614901</v>
      </c>
      <c r="C5627">
        <v>0.74199679290631304</v>
      </c>
      <c r="D5627">
        <v>0.51213979371702001</v>
      </c>
      <c r="E5627">
        <v>0.28662992601766601</v>
      </c>
      <c r="F5627">
        <v>0.15133575622604201</v>
      </c>
      <c r="G5627">
        <v>8.9226479576994894E-2</v>
      </c>
      <c r="H5627">
        <v>6.62965242449257E-2</v>
      </c>
      <c r="I5627">
        <v>6.7669672460408906E-2</v>
      </c>
      <c r="J5627">
        <v>9.22917786959844E-2</v>
      </c>
      <c r="K5627">
        <v>0.10972886549828401</v>
      </c>
      <c r="L5627">
        <v>806.95675561826204</v>
      </c>
      <c r="M5627">
        <v>17.6512904708976</v>
      </c>
      <c r="N5627">
        <v>46.1604594140397</v>
      </c>
      <c r="O5627">
        <v>45.141921181267399</v>
      </c>
      <c r="P5627">
        <v>-9.0129016984518501E-2</v>
      </c>
      <c r="Q5627">
        <v>7.8054908516486596E-2</v>
      </c>
      <c r="R5627">
        <v>0.99197047149997797</v>
      </c>
      <c r="S5627" t="s">
        <v>12273</v>
      </c>
      <c r="T5627" t="s">
        <v>13290</v>
      </c>
      <c r="U5627" t="s">
        <v>13290</v>
      </c>
      <c r="V5627" t="s">
        <v>13290</v>
      </c>
      <c r="W5627" t="s">
        <v>18866</v>
      </c>
      <c r="X5627">
        <v>3</v>
      </c>
      <c r="Y5627" t="s">
        <v>25343</v>
      </c>
      <c r="Z5627" t="s">
        <v>31957</v>
      </c>
      <c r="AA5627">
        <v>0.27308842454718679</v>
      </c>
      <c r="AB5627" t="str">
        <f>HYPERLINK("Melting_Curves/meltCurve_Q9H2D6_5_TRIOBP.pdf", "Melting_Curves/meltCurve_Q9H2D6_5_TRIOBP.pdf")</f>
        <v>Melting_Curves/meltCurve_Q9H2D6_5_TRIOBP.pdf</v>
      </c>
    </row>
    <row r="5628" spans="1:28" x14ac:dyDescent="0.25">
      <c r="A5628" t="s">
        <v>5632</v>
      </c>
      <c r="B5628">
        <v>0.99252571173614901</v>
      </c>
      <c r="C5628">
        <v>1.10074816416903</v>
      </c>
      <c r="D5628">
        <v>0.93937346911766195</v>
      </c>
      <c r="E5628">
        <v>0.64496527543048299</v>
      </c>
      <c r="F5628">
        <v>0.188353072160069</v>
      </c>
      <c r="G5628">
        <v>0.134550871828543</v>
      </c>
      <c r="H5628">
        <v>9.9317041272105194E-2</v>
      </c>
      <c r="I5628">
        <v>8.9056038910820604E-2</v>
      </c>
      <c r="J5628">
        <v>0.111304700024745</v>
      </c>
      <c r="K5628">
        <v>0.111896456210131</v>
      </c>
      <c r="L5628">
        <v>1849.1802608916</v>
      </c>
      <c r="M5628">
        <v>36.893846529325003</v>
      </c>
      <c r="N5628">
        <v>50.443578789641599</v>
      </c>
      <c r="O5628">
        <v>49.975075082290999</v>
      </c>
      <c r="P5628">
        <v>-0.16520200919290401</v>
      </c>
      <c r="Q5628">
        <v>0.10489588606033</v>
      </c>
      <c r="R5628">
        <v>0.992518644990523</v>
      </c>
      <c r="S5628" t="s">
        <v>12274</v>
      </c>
      <c r="T5628" t="s">
        <v>13290</v>
      </c>
      <c r="U5628" t="s">
        <v>13290</v>
      </c>
      <c r="V5628" t="s">
        <v>13290</v>
      </c>
      <c r="W5628" t="s">
        <v>18867</v>
      </c>
      <c r="X5628">
        <v>38</v>
      </c>
      <c r="Y5628" t="s">
        <v>25344</v>
      </c>
      <c r="Z5628" t="s">
        <v>31958</v>
      </c>
      <c r="AA5628">
        <v>0.4105452443555872</v>
      </c>
      <c r="AB5628" t="str">
        <f>HYPERLINK("Melting_Curves/meltCurve_Q9H2G2_SLK.pdf", "Melting_Curves/meltCurve_Q9H2G2_SLK.pdf")</f>
        <v>Melting_Curves/meltCurve_Q9H2G2_SLK.pdf</v>
      </c>
    </row>
    <row r="5629" spans="1:28" x14ac:dyDescent="0.25">
      <c r="A5629" t="s">
        <v>5633</v>
      </c>
      <c r="B5629">
        <v>0.99252571173614901</v>
      </c>
      <c r="C5629">
        <v>1.0155835376361499</v>
      </c>
      <c r="D5629">
        <v>0.79419673789395195</v>
      </c>
      <c r="E5629">
        <v>0.36981114752288702</v>
      </c>
      <c r="F5629">
        <v>0.12426567045912899</v>
      </c>
      <c r="G5629">
        <v>6.9455104800728307E-2</v>
      </c>
      <c r="H5629">
        <v>4.8745093173562702E-2</v>
      </c>
      <c r="I5629">
        <v>5.2822986453702502E-2</v>
      </c>
      <c r="J5629">
        <v>6.4419366668585998E-2</v>
      </c>
      <c r="K5629">
        <v>7.32200594521593E-2</v>
      </c>
      <c r="L5629">
        <v>1343.82078560375</v>
      </c>
      <c r="M5629">
        <v>27.832957628812402</v>
      </c>
      <c r="N5629">
        <v>48.497986016064502</v>
      </c>
      <c r="O5629">
        <v>48.034461655035003</v>
      </c>
      <c r="P5629">
        <v>-0.13640339507732699</v>
      </c>
      <c r="Q5629">
        <v>5.83816139106123E-2</v>
      </c>
      <c r="R5629">
        <v>0.99822579745908502</v>
      </c>
      <c r="S5629" t="s">
        <v>12275</v>
      </c>
      <c r="T5629" t="s">
        <v>13290</v>
      </c>
      <c r="U5629" t="s">
        <v>13290</v>
      </c>
      <c r="V5629" t="s">
        <v>13290</v>
      </c>
      <c r="W5629" t="s">
        <v>18868</v>
      </c>
      <c r="X5629">
        <v>8</v>
      </c>
      <c r="Y5629" t="s">
        <v>25345</v>
      </c>
      <c r="Z5629" t="s">
        <v>31959</v>
      </c>
      <c r="AA5629">
        <v>0.32496316645191847</v>
      </c>
      <c r="AB5629" t="str">
        <f>HYPERLINK("Melting_Curves/meltCurve_Q9H2H8_PPIL3.pdf", "Melting_Curves/meltCurve_Q9H2H8_PPIL3.pdf")</f>
        <v>Melting_Curves/meltCurve_Q9H2H8_PPIL3.pdf</v>
      </c>
    </row>
    <row r="5630" spans="1:28" x14ac:dyDescent="0.25">
      <c r="A5630" t="s">
        <v>5634</v>
      </c>
      <c r="B5630">
        <v>0.99252571173614901</v>
      </c>
      <c r="C5630">
        <v>0.91734071224809299</v>
      </c>
      <c r="D5630">
        <v>0.87228552910459201</v>
      </c>
      <c r="E5630">
        <v>0.68768302691542704</v>
      </c>
      <c r="F5630">
        <v>0.61316410790781695</v>
      </c>
      <c r="G5630">
        <v>0.40822000685403598</v>
      </c>
      <c r="H5630">
        <v>0.18593161084326601</v>
      </c>
      <c r="I5630">
        <v>0.16914209204151401</v>
      </c>
      <c r="J5630">
        <v>0.21297096825902201</v>
      </c>
      <c r="K5630">
        <v>0.19680426214029401</v>
      </c>
      <c r="L5630">
        <v>631.29686739189799</v>
      </c>
      <c r="M5630">
        <v>11.919020896429499</v>
      </c>
      <c r="N5630">
        <v>54.109397990391102</v>
      </c>
      <c r="O5630">
        <v>51.540579071543199</v>
      </c>
      <c r="P5630">
        <v>-5.1387901986658401E-2</v>
      </c>
      <c r="Q5630">
        <v>0.111367607275443</v>
      </c>
      <c r="R5630">
        <v>0.98041640580571598</v>
      </c>
      <c r="S5630" t="s">
        <v>12276</v>
      </c>
      <c r="T5630" t="s">
        <v>13290</v>
      </c>
      <c r="U5630" t="s">
        <v>13290</v>
      </c>
      <c r="V5630" t="s">
        <v>13290</v>
      </c>
      <c r="W5630" t="s">
        <v>18869</v>
      </c>
      <c r="X5630">
        <v>2</v>
      </c>
      <c r="Y5630" t="s">
        <v>25346</v>
      </c>
      <c r="Z5630" t="s">
        <v>31960</v>
      </c>
      <c r="AA5630">
        <v>0.52098090285194343</v>
      </c>
      <c r="AB5630" t="str">
        <f>HYPERLINK("Melting_Curves/meltCurve_Q9H2J4_PDCL3.pdf", "Melting_Curves/meltCurve_Q9H2J4_PDCL3.pdf")</f>
        <v>Melting_Curves/meltCurve_Q9H2J4_PDCL3.pdf</v>
      </c>
    </row>
    <row r="5631" spans="1:28" x14ac:dyDescent="0.25">
      <c r="A5631" t="s">
        <v>5635</v>
      </c>
      <c r="B5631">
        <v>0.99252571173614901</v>
      </c>
      <c r="C5631">
        <v>1.10074288157197</v>
      </c>
      <c r="D5631">
        <v>0.89041490265171597</v>
      </c>
      <c r="E5631">
        <v>0.70217995547448697</v>
      </c>
      <c r="F5631">
        <v>0.28121750667637702</v>
      </c>
      <c r="G5631">
        <v>0.17623196663135801</v>
      </c>
      <c r="H5631">
        <v>0.126168485386288</v>
      </c>
      <c r="I5631">
        <v>0.111153957631282</v>
      </c>
      <c r="J5631">
        <v>0.116623286424215</v>
      </c>
      <c r="K5631">
        <v>0.12833817016789101</v>
      </c>
      <c r="L5631">
        <v>1398.19696058707</v>
      </c>
      <c r="M5631">
        <v>27.625461984872199</v>
      </c>
      <c r="N5631">
        <v>51.1138036536993</v>
      </c>
      <c r="O5631">
        <v>50.349658750125002</v>
      </c>
      <c r="P5631">
        <v>-0.120894423882856</v>
      </c>
      <c r="Q5631">
        <v>0.118648567767544</v>
      </c>
      <c r="R5631">
        <v>0.98934143519806705</v>
      </c>
      <c r="S5631" t="s">
        <v>12277</v>
      </c>
      <c r="T5631" t="s">
        <v>13290</v>
      </c>
      <c r="U5631" t="s">
        <v>13290</v>
      </c>
      <c r="V5631" t="s">
        <v>13290</v>
      </c>
      <c r="W5631" t="s">
        <v>18870</v>
      </c>
      <c r="X5631">
        <v>3</v>
      </c>
      <c r="Y5631" t="s">
        <v>25347</v>
      </c>
      <c r="Z5631" t="s">
        <v>31961</v>
      </c>
      <c r="AA5631">
        <v>0.43692723692257401</v>
      </c>
      <c r="AB5631" t="str">
        <f>HYPERLINK("Melting_Curves/meltCurve_Q9H2K0_MTIF3.pdf", "Melting_Curves/meltCurve_Q9H2K0_MTIF3.pdf")</f>
        <v>Melting_Curves/meltCurve_Q9H2K0_MTIF3.pdf</v>
      </c>
    </row>
    <row r="5632" spans="1:28" x14ac:dyDescent="0.25">
      <c r="A5632" t="s">
        <v>5636</v>
      </c>
      <c r="B5632">
        <v>0.99252571173614901</v>
      </c>
      <c r="C5632">
        <v>0.97827490800342998</v>
      </c>
      <c r="D5632">
        <v>0.87583515535428302</v>
      </c>
      <c r="E5632">
        <v>0.83175446112763096</v>
      </c>
      <c r="F5632">
        <v>0.23814889963512401</v>
      </c>
      <c r="G5632">
        <v>0.156859287124616</v>
      </c>
      <c r="H5632">
        <v>0.11777083634834799</v>
      </c>
      <c r="I5632">
        <v>0.13864718845353699</v>
      </c>
      <c r="J5632">
        <v>0.15947336288941</v>
      </c>
      <c r="K5632">
        <v>0.15535803171759299</v>
      </c>
      <c r="L5632">
        <v>2446.6387185855501</v>
      </c>
      <c r="M5632">
        <v>47.981594356568003</v>
      </c>
      <c r="N5632">
        <v>51.352090549672603</v>
      </c>
      <c r="O5632">
        <v>50.902833152942002</v>
      </c>
      <c r="P5632">
        <v>-0.20192584464010199</v>
      </c>
      <c r="Q5632">
        <v>0.143122138986821</v>
      </c>
      <c r="R5632">
        <v>0.98856737761890701</v>
      </c>
      <c r="S5632" t="s">
        <v>12278</v>
      </c>
      <c r="T5632" t="s">
        <v>13290</v>
      </c>
      <c r="U5632" t="s">
        <v>13290</v>
      </c>
      <c r="V5632" t="s">
        <v>13290</v>
      </c>
      <c r="W5632" t="s">
        <v>18871</v>
      </c>
      <c r="X5632">
        <v>8</v>
      </c>
      <c r="Y5632" t="s">
        <v>25348</v>
      </c>
      <c r="Z5632" t="s">
        <v>31962</v>
      </c>
      <c r="AA5632">
        <v>0.45915293005698737</v>
      </c>
      <c r="AB5632" t="str">
        <f>HYPERLINK("Melting_Curves/meltCurve_Q9H2K8_TAOK3.pdf", "Melting_Curves/meltCurve_Q9H2K8_TAOK3.pdf")</f>
        <v>Melting_Curves/meltCurve_Q9H2K8_TAOK3.pdf</v>
      </c>
    </row>
    <row r="5633" spans="1:28" x14ac:dyDescent="0.25">
      <c r="A5633" t="s">
        <v>5637</v>
      </c>
      <c r="B5633">
        <v>0.99252571173614901</v>
      </c>
      <c r="C5633">
        <v>0.8786421114938</v>
      </c>
      <c r="D5633">
        <v>0.61433940559974198</v>
      </c>
      <c r="E5633">
        <v>0.29353543660123499</v>
      </c>
      <c r="F5633">
        <v>0.21741559504583999</v>
      </c>
      <c r="G5633">
        <v>0.12346707149785099</v>
      </c>
      <c r="H5633">
        <v>7.5569733927590907E-2</v>
      </c>
      <c r="I5633">
        <v>7.5301796069624297E-2</v>
      </c>
      <c r="J5633">
        <v>8.4825496868296602E-2</v>
      </c>
      <c r="K5633">
        <v>7.2557353626232696E-2</v>
      </c>
      <c r="L5633">
        <v>900.11944723491399</v>
      </c>
      <c r="M5633">
        <v>19.206997493234699</v>
      </c>
      <c r="N5633">
        <v>47.302378616963999</v>
      </c>
      <c r="O5633">
        <v>46.364999119245603</v>
      </c>
      <c r="P5633">
        <v>-9.5126661525514494E-2</v>
      </c>
      <c r="Q5633">
        <v>8.1505761949409797E-2</v>
      </c>
      <c r="R5633">
        <v>0.99581894387367798</v>
      </c>
      <c r="S5633" t="s">
        <v>12279</v>
      </c>
      <c r="T5633" t="s">
        <v>13290</v>
      </c>
      <c r="U5633" t="s">
        <v>13290</v>
      </c>
      <c r="V5633" t="s">
        <v>13290</v>
      </c>
      <c r="W5633" t="s">
        <v>18872</v>
      </c>
      <c r="X5633">
        <v>15</v>
      </c>
      <c r="Y5633" t="s">
        <v>25349</v>
      </c>
      <c r="Z5633" t="s">
        <v>31963</v>
      </c>
      <c r="AA5633">
        <v>0.30645394572249512</v>
      </c>
      <c r="AB5633" t="str">
        <f>HYPERLINK("Melting_Curves/meltCurve_Q9H2M9_RAB3GAP2.pdf", "Melting_Curves/meltCurve_Q9H2M9_RAB3GAP2.pdf")</f>
        <v>Melting_Curves/meltCurve_Q9H2M9_RAB3GAP2.pdf</v>
      </c>
    </row>
    <row r="5634" spans="1:28" x14ac:dyDescent="0.25">
      <c r="A5634" t="s">
        <v>5638</v>
      </c>
      <c r="B5634">
        <v>0.99252571173614901</v>
      </c>
      <c r="C5634">
        <v>0.81642280802802503</v>
      </c>
      <c r="D5634">
        <v>0.55815968272592797</v>
      </c>
      <c r="E5634">
        <v>0.30561679184034102</v>
      </c>
      <c r="F5634">
        <v>0.200170916316812</v>
      </c>
      <c r="G5634">
        <v>0.117919281186335</v>
      </c>
      <c r="H5634">
        <v>9.0086577993805303E-2</v>
      </c>
      <c r="I5634">
        <v>0.10190876683809801</v>
      </c>
      <c r="J5634">
        <v>0.117446054523115</v>
      </c>
      <c r="K5634">
        <v>0.119019115281983</v>
      </c>
      <c r="L5634">
        <v>860.51529156425897</v>
      </c>
      <c r="M5634">
        <v>18.6327974530255</v>
      </c>
      <c r="N5634">
        <v>46.773348508086698</v>
      </c>
      <c r="O5634">
        <v>45.660736100865101</v>
      </c>
      <c r="P5634">
        <v>-9.1329040467144601E-2</v>
      </c>
      <c r="Q5634">
        <v>0.104810390535566</v>
      </c>
      <c r="R5634">
        <v>0.99635368974320104</v>
      </c>
      <c r="S5634" t="s">
        <v>12280</v>
      </c>
      <c r="T5634" t="s">
        <v>13290</v>
      </c>
      <c r="U5634" t="s">
        <v>13290</v>
      </c>
      <c r="V5634" t="s">
        <v>13290</v>
      </c>
      <c r="W5634" t="s">
        <v>18873</v>
      </c>
      <c r="X5634">
        <v>13</v>
      </c>
      <c r="Y5634" t="s">
        <v>25350</v>
      </c>
      <c r="Z5634" t="s">
        <v>31964</v>
      </c>
      <c r="AA5634">
        <v>0.30535069149228539</v>
      </c>
      <c r="AB5634" t="str">
        <f>HYPERLINK("Melting_Curves/meltCurve_Q9H2P0_ADNP.pdf", "Melting_Curves/meltCurve_Q9H2P0_ADNP.pdf")</f>
        <v>Melting_Curves/meltCurve_Q9H2P0_ADNP.pdf</v>
      </c>
    </row>
    <row r="5635" spans="1:28" x14ac:dyDescent="0.25">
      <c r="A5635" t="s">
        <v>5639</v>
      </c>
      <c r="B5635">
        <v>0.99252571173614901</v>
      </c>
      <c r="C5635">
        <v>0.96890495689127698</v>
      </c>
      <c r="D5635">
        <v>0.93247946844336804</v>
      </c>
      <c r="E5635">
        <v>0.79691145319178103</v>
      </c>
      <c r="F5635">
        <v>0.73983520346436105</v>
      </c>
      <c r="G5635">
        <v>0.48673438750405601</v>
      </c>
      <c r="H5635">
        <v>0.17490834538894701</v>
      </c>
      <c r="I5635">
        <v>0.143662313465653</v>
      </c>
      <c r="J5635">
        <v>0.11995850524608399</v>
      </c>
      <c r="K5635">
        <v>0.120131107382232</v>
      </c>
      <c r="L5635">
        <v>836.65129131733397</v>
      </c>
      <c r="M5635">
        <v>15.033757023731701</v>
      </c>
      <c r="N5635">
        <v>55.976924566749901</v>
      </c>
      <c r="O5635">
        <v>54.694687237652303</v>
      </c>
      <c r="P5635">
        <v>-6.5847956807912097E-2</v>
      </c>
      <c r="Q5635">
        <v>4.1843548231178702E-2</v>
      </c>
      <c r="R5635">
        <v>0.98548115021633498</v>
      </c>
      <c r="S5635" t="s">
        <v>12281</v>
      </c>
      <c r="T5635" t="s">
        <v>13290</v>
      </c>
      <c r="U5635" t="s">
        <v>13290</v>
      </c>
      <c r="V5635" t="s">
        <v>13290</v>
      </c>
      <c r="W5635" t="s">
        <v>18874</v>
      </c>
      <c r="X5635">
        <v>7</v>
      </c>
      <c r="Y5635" t="s">
        <v>25351</v>
      </c>
      <c r="Z5635" t="s">
        <v>31965</v>
      </c>
      <c r="AA5635">
        <v>0.55924521633685631</v>
      </c>
      <c r="AB5635" t="str">
        <f>HYPERLINK("Melting_Curves/meltCurve_Q9H2P9_DPH5.pdf", "Melting_Curves/meltCurve_Q9H2P9_DPH5.pdf")</f>
        <v>Melting_Curves/meltCurve_Q9H2P9_DPH5.pdf</v>
      </c>
    </row>
    <row r="5636" spans="1:28" x14ac:dyDescent="0.25">
      <c r="A5636" t="s">
        <v>5640</v>
      </c>
      <c r="B5636">
        <v>0.99252571173614901</v>
      </c>
      <c r="C5636">
        <v>0.99605280555376696</v>
      </c>
      <c r="D5636">
        <v>0.92760150863872104</v>
      </c>
      <c r="E5636">
        <v>0.77432230109163103</v>
      </c>
      <c r="F5636">
        <v>0.77148043371710795</v>
      </c>
      <c r="G5636">
        <v>0.64967662370744905</v>
      </c>
      <c r="H5636">
        <v>0.41614898043653797</v>
      </c>
      <c r="I5636">
        <v>0.13580377828056001</v>
      </c>
      <c r="J5636">
        <v>8.0658709805583303E-2</v>
      </c>
      <c r="K5636">
        <v>7.2267402147220106E-2</v>
      </c>
      <c r="L5636">
        <v>783.86703718139904</v>
      </c>
      <c r="M5636">
        <v>13.5177387574485</v>
      </c>
      <c r="N5636">
        <v>57.9880297963931</v>
      </c>
      <c r="O5636">
        <v>56.763102668199103</v>
      </c>
      <c r="P5636">
        <v>-5.9544797609790402E-2</v>
      </c>
      <c r="Q5636">
        <v>0</v>
      </c>
      <c r="R5636">
        <v>0.96772821406032605</v>
      </c>
      <c r="S5636" t="s">
        <v>12282</v>
      </c>
      <c r="T5636" t="s">
        <v>13290</v>
      </c>
      <c r="U5636" t="s">
        <v>13290</v>
      </c>
      <c r="V5636" t="s">
        <v>13290</v>
      </c>
      <c r="W5636" t="s">
        <v>18875</v>
      </c>
      <c r="X5636">
        <v>19</v>
      </c>
      <c r="Y5636" t="s">
        <v>25352</v>
      </c>
      <c r="Z5636" t="s">
        <v>31966</v>
      </c>
      <c r="AA5636">
        <v>0.61306439682831193</v>
      </c>
      <c r="AB5636" t="str">
        <f>HYPERLINK("Melting_Curves/meltCurve_Q9H2U2_PPA2.pdf", "Melting_Curves/meltCurve_Q9H2U2_PPA2.pdf")</f>
        <v>Melting_Curves/meltCurve_Q9H2U2_PPA2.pdf</v>
      </c>
    </row>
    <row r="5637" spans="1:28" x14ac:dyDescent="0.25">
      <c r="A5637" t="s">
        <v>5641</v>
      </c>
      <c r="B5637">
        <v>0.99252571173614901</v>
      </c>
      <c r="C5637">
        <v>1.11867919620367</v>
      </c>
      <c r="D5637">
        <v>1.0640739996973201</v>
      </c>
      <c r="E5637">
        <v>0.73157190327515598</v>
      </c>
      <c r="F5637">
        <v>0.118744633207492</v>
      </c>
      <c r="G5637">
        <v>6.5709733440552406E-2</v>
      </c>
      <c r="H5637">
        <v>3.8158398404412402E-2</v>
      </c>
      <c r="I5637">
        <v>3.47694380038941E-2</v>
      </c>
      <c r="J5637">
        <v>4.0745741554307803E-2</v>
      </c>
      <c r="K5637">
        <v>4.6511038803863002E-2</v>
      </c>
      <c r="L5637">
        <v>2604.0802582620099</v>
      </c>
      <c r="M5637">
        <v>51.539063919092499</v>
      </c>
      <c r="N5637">
        <v>50.620162408713</v>
      </c>
      <c r="O5637">
        <v>50.450450278687597</v>
      </c>
      <c r="P5637">
        <v>-0.243761183772399</v>
      </c>
      <c r="Q5637">
        <v>4.5551097596118501E-2</v>
      </c>
      <c r="R5637">
        <v>0.99075226426513396</v>
      </c>
      <c r="S5637" t="s">
        <v>12283</v>
      </c>
      <c r="T5637" t="s">
        <v>13290</v>
      </c>
      <c r="U5637" t="s">
        <v>13290</v>
      </c>
      <c r="V5637" t="s">
        <v>13290</v>
      </c>
      <c r="W5637" t="s">
        <v>18876</v>
      </c>
      <c r="X5637">
        <v>6</v>
      </c>
      <c r="Y5637" t="s">
        <v>25353</v>
      </c>
      <c r="Z5637" t="s">
        <v>31967</v>
      </c>
      <c r="AA5637">
        <v>0.38244760603418892</v>
      </c>
      <c r="AB5637" t="str">
        <f>HYPERLINK("Melting_Curves/meltCurve_Q9H2W6_MRPL46.pdf", "Melting_Curves/meltCurve_Q9H2W6_MRPL46.pdf")</f>
        <v>Melting_Curves/meltCurve_Q9H2W6_MRPL46.pdf</v>
      </c>
    </row>
    <row r="5638" spans="1:28" x14ac:dyDescent="0.25">
      <c r="A5638" t="s">
        <v>5642</v>
      </c>
      <c r="B5638">
        <v>0.99252571173614901</v>
      </c>
      <c r="C5638">
        <v>0.66045662762715396</v>
      </c>
      <c r="D5638">
        <v>0.62488381251524105</v>
      </c>
      <c r="E5638">
        <v>0.365130452369273</v>
      </c>
      <c r="F5638">
        <v>0.28126472677597902</v>
      </c>
      <c r="G5638">
        <v>0.24795402051873799</v>
      </c>
      <c r="H5638">
        <v>0.18467119586720701</v>
      </c>
      <c r="I5638">
        <v>0.12601892806280199</v>
      </c>
      <c r="J5638">
        <v>0.23771673942014099</v>
      </c>
      <c r="K5638">
        <v>0.33265015378555901</v>
      </c>
      <c r="L5638">
        <v>711.02819614303201</v>
      </c>
      <c r="M5638">
        <v>15.7156044284263</v>
      </c>
      <c r="N5638">
        <v>46.926587802689603</v>
      </c>
      <c r="O5638">
        <v>44.529889499960603</v>
      </c>
      <c r="P5638">
        <v>-6.92277085772941E-2</v>
      </c>
      <c r="Q5638">
        <v>0.21544403215226099</v>
      </c>
      <c r="R5638">
        <v>0.92839242779305597</v>
      </c>
      <c r="S5638" t="s">
        <v>12284</v>
      </c>
      <c r="T5638" t="s">
        <v>13290</v>
      </c>
      <c r="U5638" t="s">
        <v>13290</v>
      </c>
      <c r="V5638" t="s">
        <v>13290</v>
      </c>
      <c r="W5638" t="s">
        <v>18877</v>
      </c>
      <c r="X5638">
        <v>1</v>
      </c>
      <c r="Y5638" t="s">
        <v>25354</v>
      </c>
      <c r="Z5638" t="s">
        <v>31968</v>
      </c>
      <c r="AA5638">
        <v>0.3748163967964776</v>
      </c>
      <c r="AB5638" t="str">
        <f>HYPERLINK("Melting_Curves/meltCurve_Q9H2Y7_ZNF106.pdf", "Melting_Curves/meltCurve_Q9H2Y7_ZNF106.pdf")</f>
        <v>Melting_Curves/meltCurve_Q9H2Y7_ZNF106.pdf</v>
      </c>
    </row>
    <row r="5639" spans="1:28" x14ac:dyDescent="0.25">
      <c r="A5639" t="s">
        <v>5643</v>
      </c>
      <c r="B5639">
        <v>0.99252571173614901</v>
      </c>
      <c r="C5639">
        <v>0.83704566401515601</v>
      </c>
      <c r="D5639">
        <v>0.85409716054496598</v>
      </c>
      <c r="E5639">
        <v>0.92909921113795602</v>
      </c>
      <c r="F5639">
        <v>0.55297075986772704</v>
      </c>
      <c r="G5639">
        <v>0.49270033915831202</v>
      </c>
      <c r="H5639">
        <v>0.37054546715838499</v>
      </c>
      <c r="I5639">
        <v>0.52921211886577502</v>
      </c>
      <c r="J5639">
        <v>0.496628041639815</v>
      </c>
      <c r="K5639">
        <v>0.28184389001528898</v>
      </c>
      <c r="L5639">
        <v>652.38532124324604</v>
      </c>
      <c r="M5639">
        <v>12.5886682613265</v>
      </c>
      <c r="N5639">
        <v>57.814787276951897</v>
      </c>
      <c r="O5639">
        <v>50.567659479061902</v>
      </c>
      <c r="P5639">
        <v>-3.9568023393211402E-2</v>
      </c>
      <c r="Q5639">
        <v>0.36436108657395899</v>
      </c>
      <c r="R5639">
        <v>0.84158550408507604</v>
      </c>
      <c r="S5639" t="s">
        <v>12285</v>
      </c>
      <c r="T5639" t="s">
        <v>13290</v>
      </c>
      <c r="U5639" t="s">
        <v>13290</v>
      </c>
      <c r="V5639" t="s">
        <v>13290</v>
      </c>
      <c r="W5639" t="s">
        <v>18878</v>
      </c>
      <c r="X5639">
        <v>2</v>
      </c>
      <c r="Y5639" t="s">
        <v>25355</v>
      </c>
      <c r="Z5639" t="s">
        <v>31969</v>
      </c>
      <c r="AA5639">
        <v>0.63333239154246246</v>
      </c>
      <c r="AB5639" t="str">
        <f>HYPERLINK("Melting_Curves/meltCurve_Q9H300_PARL.pdf", "Melting_Curves/meltCurve_Q9H300_PARL.pdf")</f>
        <v>Melting_Curves/meltCurve_Q9H300_PARL.pdf</v>
      </c>
    </row>
    <row r="5640" spans="1:28" x14ac:dyDescent="0.25">
      <c r="A5640" t="s">
        <v>5644</v>
      </c>
      <c r="B5640">
        <v>0.99252571173614901</v>
      </c>
      <c r="C5640">
        <v>1.10782735303361</v>
      </c>
      <c r="D5640">
        <v>1.1642367916857601</v>
      </c>
      <c r="E5640">
        <v>1.2955821590432199</v>
      </c>
      <c r="F5640">
        <v>0.93847319346234903</v>
      </c>
      <c r="G5640">
        <v>0.53924275169139502</v>
      </c>
      <c r="H5640">
        <v>0.46845149023041199</v>
      </c>
      <c r="I5640">
        <v>0.55484802813956402</v>
      </c>
      <c r="J5640">
        <v>0.75898230174316605</v>
      </c>
      <c r="K5640">
        <v>0.98532030245702795</v>
      </c>
      <c r="L5640">
        <v>13380.0613524443</v>
      </c>
      <c r="M5640">
        <v>250</v>
      </c>
      <c r="O5640">
        <v>53.516820459292298</v>
      </c>
      <c r="P5640">
        <v>-0.395472664371466</v>
      </c>
      <c r="Q5640">
        <v>0.66136896712348603</v>
      </c>
      <c r="R5640">
        <v>0.58834823951465198</v>
      </c>
      <c r="S5640" t="s">
        <v>12286</v>
      </c>
      <c r="T5640" t="s">
        <v>13290</v>
      </c>
      <c r="U5640" t="s">
        <v>13290</v>
      </c>
      <c r="V5640" t="s">
        <v>13290</v>
      </c>
      <c r="W5640" t="s">
        <v>18879</v>
      </c>
      <c r="X5640">
        <v>15</v>
      </c>
      <c r="Y5640" t="s">
        <v>25356</v>
      </c>
      <c r="Z5640" t="s">
        <v>31970</v>
      </c>
      <c r="AA5640">
        <v>0.81401326271602736</v>
      </c>
      <c r="AB5640" t="str">
        <f>HYPERLINK("Melting_Curves/meltCurve_Q9H307_PNN.pdf", "Melting_Curves/meltCurve_Q9H307_PNN.pdf")</f>
        <v>Melting_Curves/meltCurve_Q9H307_PNN.pdf</v>
      </c>
    </row>
    <row r="5641" spans="1:28" x14ac:dyDescent="0.25">
      <c r="A5641" t="s">
        <v>5645</v>
      </c>
      <c r="B5641">
        <v>0.99252571173614901</v>
      </c>
      <c r="C5641">
        <v>0.89951966192354105</v>
      </c>
      <c r="D5641">
        <v>0.81494454022312901</v>
      </c>
      <c r="E5641">
        <v>0.83140694958592098</v>
      </c>
      <c r="F5641">
        <v>0.62469231012944204</v>
      </c>
      <c r="G5641">
        <v>0.60148687335540996</v>
      </c>
      <c r="H5641">
        <v>0.46904231620824599</v>
      </c>
      <c r="I5641">
        <v>0.60030288789997499</v>
      </c>
      <c r="J5641">
        <v>0.75500713171166101</v>
      </c>
      <c r="K5641">
        <v>0.38540534228095202</v>
      </c>
      <c r="L5641">
        <v>567.90007016798597</v>
      </c>
      <c r="M5641">
        <v>11.5633684161412</v>
      </c>
      <c r="O5641">
        <v>47.712088113335398</v>
      </c>
      <c r="P5641">
        <v>-2.88038686021975E-2</v>
      </c>
      <c r="Q5641">
        <v>0.52473695635875595</v>
      </c>
      <c r="R5641">
        <v>0.72936310306704499</v>
      </c>
      <c r="S5641" t="s">
        <v>12287</v>
      </c>
      <c r="T5641" t="s">
        <v>13290</v>
      </c>
      <c r="U5641" t="s">
        <v>13290</v>
      </c>
      <c r="V5641" t="s">
        <v>13290</v>
      </c>
      <c r="W5641" t="s">
        <v>18880</v>
      </c>
      <c r="X5641">
        <v>4</v>
      </c>
      <c r="Y5641" t="s">
        <v>25357</v>
      </c>
      <c r="Z5641" t="s">
        <v>31971</v>
      </c>
      <c r="AA5641">
        <v>0.68752098264521977</v>
      </c>
      <c r="AB5641" t="str">
        <f>HYPERLINK("Melting_Curves/meltCurve_Q9H330_2_TMEM245.pdf", "Melting_Curves/meltCurve_Q9H330_2_TMEM245.pdf")</f>
        <v>Melting_Curves/meltCurve_Q9H330_2_TMEM245.pdf</v>
      </c>
    </row>
    <row r="5642" spans="1:28" x14ac:dyDescent="0.25">
      <c r="A5642" t="s">
        <v>5646</v>
      </c>
      <c r="B5642">
        <v>0.99252571173614901</v>
      </c>
      <c r="C5642">
        <v>1.0651757460407401</v>
      </c>
      <c r="D5642">
        <v>0.98573107915541303</v>
      </c>
      <c r="E5642">
        <v>1.1133979038703801</v>
      </c>
      <c r="F5642">
        <v>0.70814598972281695</v>
      </c>
      <c r="G5642">
        <v>0.34345110092048697</v>
      </c>
      <c r="H5642">
        <v>0.163656082031781</v>
      </c>
      <c r="I5642">
        <v>0.15811946436494001</v>
      </c>
      <c r="J5642">
        <v>0.15713366774858001</v>
      </c>
      <c r="K5642">
        <v>0.143942090129039</v>
      </c>
      <c r="L5642">
        <v>1955.9007291615101</v>
      </c>
      <c r="M5642">
        <v>35.906548683299398</v>
      </c>
      <c r="N5642">
        <v>55.036039330568698</v>
      </c>
      <c r="O5642">
        <v>54.303846761383397</v>
      </c>
      <c r="P5642">
        <v>-0.139856853486132</v>
      </c>
      <c r="Q5642">
        <v>0.15394363781732401</v>
      </c>
      <c r="R5642">
        <v>0.98408679494541396</v>
      </c>
      <c r="S5642" t="s">
        <v>12288</v>
      </c>
      <c r="T5642" t="s">
        <v>13290</v>
      </c>
      <c r="U5642" t="s">
        <v>13290</v>
      </c>
      <c r="V5642" t="s">
        <v>13290</v>
      </c>
      <c r="W5642" t="s">
        <v>18881</v>
      </c>
      <c r="X5642">
        <v>3</v>
      </c>
      <c r="Y5642" t="s">
        <v>25358</v>
      </c>
      <c r="Z5642" t="s">
        <v>31972</v>
      </c>
      <c r="AA5642">
        <v>0.56601718242092314</v>
      </c>
      <c r="AB5642" t="str">
        <f>HYPERLINK("Melting_Curves/meltCurve_Q9H3C7_GGNBP2.pdf", "Melting_Curves/meltCurve_Q9H3C7_GGNBP2.pdf")</f>
        <v>Melting_Curves/meltCurve_Q9H3C7_GGNBP2.pdf</v>
      </c>
    </row>
    <row r="5643" spans="1:28" x14ac:dyDescent="0.25">
      <c r="A5643" t="s">
        <v>5647</v>
      </c>
      <c r="B5643">
        <v>0.99252571173614901</v>
      </c>
      <c r="C5643">
        <v>0.98958956130896902</v>
      </c>
      <c r="D5643">
        <v>0.91773082043566701</v>
      </c>
      <c r="E5643">
        <v>0.82266211283361401</v>
      </c>
      <c r="F5643">
        <v>0.88780306737427495</v>
      </c>
      <c r="G5643">
        <v>0.61794418255605998</v>
      </c>
      <c r="H5643">
        <v>0.40192721625363798</v>
      </c>
      <c r="I5643">
        <v>0.33550717169941402</v>
      </c>
      <c r="J5643">
        <v>0.272115453000629</v>
      </c>
      <c r="K5643">
        <v>0.19144357845510401</v>
      </c>
      <c r="L5643">
        <v>665.92707536124203</v>
      </c>
      <c r="M5643">
        <v>11.313261540964501</v>
      </c>
      <c r="N5643">
        <v>59.5700655591139</v>
      </c>
      <c r="O5643">
        <v>57.113339154456497</v>
      </c>
      <c r="P5643">
        <v>-4.6421780945246398E-2</v>
      </c>
      <c r="Q5643">
        <v>6.2869606036667802E-2</v>
      </c>
      <c r="R5643">
        <v>0.97643510642627696</v>
      </c>
      <c r="S5643" t="s">
        <v>12289</v>
      </c>
      <c r="T5643" t="s">
        <v>13290</v>
      </c>
      <c r="U5643" t="s">
        <v>13290</v>
      </c>
      <c r="V5643" t="s">
        <v>13290</v>
      </c>
      <c r="W5643" t="s">
        <v>18882</v>
      </c>
      <c r="X5643">
        <v>5</v>
      </c>
      <c r="Y5643" t="s">
        <v>25359</v>
      </c>
      <c r="Z5643" t="s">
        <v>31973</v>
      </c>
      <c r="AA5643">
        <v>0.65909075909288817</v>
      </c>
      <c r="AB5643" t="str">
        <f>HYPERLINK("Melting_Curves/meltCurve_Q9H3F6_KCTD10.pdf", "Melting_Curves/meltCurve_Q9H3F6_KCTD10.pdf")</f>
        <v>Melting_Curves/meltCurve_Q9H3F6_KCTD10.pdf</v>
      </c>
    </row>
    <row r="5644" spans="1:28" x14ac:dyDescent="0.25">
      <c r="A5644" t="s">
        <v>5648</v>
      </c>
      <c r="B5644">
        <v>0.99252571173614901</v>
      </c>
      <c r="C5644">
        <v>1.00121196586835</v>
      </c>
      <c r="D5644">
        <v>0.62922472445470701</v>
      </c>
      <c r="E5644">
        <v>0.359556754222085</v>
      </c>
      <c r="F5644">
        <v>0.15814777475987901</v>
      </c>
      <c r="G5644">
        <v>0.105595151048237</v>
      </c>
      <c r="H5644">
        <v>7.6539779862813101E-2</v>
      </c>
      <c r="I5644">
        <v>8.7856246542594302E-2</v>
      </c>
      <c r="J5644">
        <v>0.101274217602837</v>
      </c>
      <c r="K5644">
        <v>0.101142852211041</v>
      </c>
      <c r="L5644">
        <v>1091.04748461077</v>
      </c>
      <c r="M5644">
        <v>23.0732193170148</v>
      </c>
      <c r="N5644">
        <v>47.707070889920601</v>
      </c>
      <c r="O5644">
        <v>46.935412835841198</v>
      </c>
      <c r="P5644">
        <v>-0.111586349213076</v>
      </c>
      <c r="Q5644">
        <v>9.2063491465117303E-2</v>
      </c>
      <c r="R5644">
        <v>0.99078574130757702</v>
      </c>
      <c r="S5644" t="s">
        <v>12290</v>
      </c>
      <c r="T5644" t="s">
        <v>13290</v>
      </c>
      <c r="U5644" t="s">
        <v>13290</v>
      </c>
      <c r="V5644" t="s">
        <v>13290</v>
      </c>
      <c r="W5644" t="s">
        <v>18883</v>
      </c>
      <c r="X5644">
        <v>13</v>
      </c>
      <c r="Y5644" t="s">
        <v>25360</v>
      </c>
      <c r="Z5644" t="s">
        <v>31974</v>
      </c>
      <c r="AA5644">
        <v>0.32219520773356658</v>
      </c>
      <c r="AB5644" t="str">
        <f>HYPERLINK("Melting_Curves/meltCurve_Q9H3H1_4_TRIT1.pdf", "Melting_Curves/meltCurve_Q9H3H1_4_TRIT1.pdf")</f>
        <v>Melting_Curves/meltCurve_Q9H3H1_4_TRIT1.pdf</v>
      </c>
    </row>
    <row r="5645" spans="1:28" x14ac:dyDescent="0.25">
      <c r="A5645" t="s">
        <v>5649</v>
      </c>
      <c r="B5645">
        <v>0.99252571173614901</v>
      </c>
      <c r="C5645">
        <v>0.90484965819595398</v>
      </c>
      <c r="D5645">
        <v>0.93375211076659204</v>
      </c>
      <c r="E5645">
        <v>0.85090022625844897</v>
      </c>
      <c r="F5645">
        <v>0.25994358913640098</v>
      </c>
      <c r="G5645">
        <v>0.156963417434692</v>
      </c>
      <c r="H5645">
        <v>0.100751358289172</v>
      </c>
      <c r="I5645">
        <v>5.7566201396630302E-2</v>
      </c>
      <c r="J5645">
        <v>5.2299007714528598E-2</v>
      </c>
      <c r="K5645">
        <v>4.4043787889982602E-2</v>
      </c>
      <c r="L5645">
        <v>2030.0264756081001</v>
      </c>
      <c r="M5645">
        <v>39.409737865139199</v>
      </c>
      <c r="N5645">
        <v>51.721682693507503</v>
      </c>
      <c r="O5645">
        <v>51.378684284981098</v>
      </c>
      <c r="P5645">
        <v>-0.17752809522743901</v>
      </c>
      <c r="Q5645">
        <v>7.4224711842299396E-2</v>
      </c>
      <c r="R5645">
        <v>0.98824988873820396</v>
      </c>
      <c r="S5645" t="s">
        <v>12291</v>
      </c>
      <c r="T5645" t="s">
        <v>13290</v>
      </c>
      <c r="U5645" t="s">
        <v>13290</v>
      </c>
      <c r="V5645" t="s">
        <v>13290</v>
      </c>
      <c r="W5645" t="s">
        <v>18884</v>
      </c>
      <c r="X5645">
        <v>4</v>
      </c>
      <c r="Y5645" t="s">
        <v>25361</v>
      </c>
      <c r="Z5645" t="s">
        <v>31975</v>
      </c>
      <c r="AA5645">
        <v>0.43283353258755158</v>
      </c>
      <c r="AB5645" t="str">
        <f>HYPERLINK("Melting_Curves/meltCurve_Q9H3H3_C11orf68.pdf", "Melting_Curves/meltCurve_Q9H3H3_C11orf68.pdf")</f>
        <v>Melting_Curves/meltCurve_Q9H3H3_C11orf68.pdf</v>
      </c>
    </row>
    <row r="5646" spans="1:28" x14ac:dyDescent="0.25">
      <c r="A5646" t="s">
        <v>5650</v>
      </c>
      <c r="B5646">
        <v>0.99252571173614901</v>
      </c>
      <c r="C5646">
        <v>1.00481169273625</v>
      </c>
      <c r="D5646">
        <v>0.90251793631254495</v>
      </c>
      <c r="E5646">
        <v>0.77313195372305699</v>
      </c>
      <c r="F5646">
        <v>0.68620487315732204</v>
      </c>
      <c r="G5646">
        <v>0.49800236784538598</v>
      </c>
      <c r="H5646">
        <v>0.40668426771366301</v>
      </c>
      <c r="I5646">
        <v>0.406966269112362</v>
      </c>
      <c r="J5646">
        <v>0.43741308760333603</v>
      </c>
      <c r="K5646">
        <v>0.13488222027049801</v>
      </c>
      <c r="L5646">
        <v>510.33405042665203</v>
      </c>
      <c r="M5646">
        <v>9.1235620025126796</v>
      </c>
      <c r="N5646">
        <v>58.218392386578103</v>
      </c>
      <c r="O5646">
        <v>53.445077247516998</v>
      </c>
      <c r="P5646">
        <v>-3.6285303181570201E-2</v>
      </c>
      <c r="Q5646">
        <v>0.15036065772382101</v>
      </c>
      <c r="R5646">
        <v>0.94135866697424697</v>
      </c>
      <c r="S5646" t="s">
        <v>12292</v>
      </c>
      <c r="T5646" t="s">
        <v>13290</v>
      </c>
      <c r="U5646" t="s">
        <v>13290</v>
      </c>
      <c r="V5646" t="s">
        <v>13290</v>
      </c>
      <c r="W5646" t="s">
        <v>18885</v>
      </c>
      <c r="X5646">
        <v>4</v>
      </c>
      <c r="Y5646" t="s">
        <v>25362</v>
      </c>
      <c r="Z5646" t="s">
        <v>31976</v>
      </c>
      <c r="AA5646">
        <v>0.61973764669451792</v>
      </c>
      <c r="AB5646" t="str">
        <f>HYPERLINK("Melting_Curves/meltCurve_Q9H3H5_2_DPAGT1.pdf", "Melting_Curves/meltCurve_Q9H3H5_2_DPAGT1.pdf")</f>
        <v>Melting_Curves/meltCurve_Q9H3H5_2_DPAGT1.pdf</v>
      </c>
    </row>
    <row r="5647" spans="1:28" x14ac:dyDescent="0.25">
      <c r="A5647" t="s">
        <v>5651</v>
      </c>
      <c r="B5647">
        <v>0.99252571173614901</v>
      </c>
      <c r="C5647">
        <v>1.0794859736842</v>
      </c>
      <c r="D5647">
        <v>1.04457513128088</v>
      </c>
      <c r="E5647">
        <v>1.08101876370717</v>
      </c>
      <c r="F5647">
        <v>0.69502734952409095</v>
      </c>
      <c r="G5647">
        <v>0.55027019623339102</v>
      </c>
      <c r="H5647">
        <v>0.56621871026218096</v>
      </c>
      <c r="I5647">
        <v>0.81752805090565395</v>
      </c>
      <c r="J5647">
        <v>1.1195366065066901</v>
      </c>
      <c r="K5647">
        <v>1.20080428987303</v>
      </c>
      <c r="L5647">
        <v>15000</v>
      </c>
      <c r="M5647">
        <v>223.93210679534801</v>
      </c>
      <c r="O5647">
        <v>66.979260990968001</v>
      </c>
      <c r="P5647">
        <v>0.167854929387622</v>
      </c>
      <c r="Q5647">
        <v>1.2008250935162399</v>
      </c>
      <c r="R5647">
        <v>-3.5351907190813499E-2</v>
      </c>
      <c r="S5647" t="s">
        <v>12293</v>
      </c>
      <c r="T5647" t="s">
        <v>13290</v>
      </c>
      <c r="U5647" t="s">
        <v>13290</v>
      </c>
      <c r="V5647" t="s">
        <v>13290</v>
      </c>
      <c r="W5647" t="s">
        <v>18886</v>
      </c>
      <c r="X5647">
        <v>2</v>
      </c>
      <c r="Y5647" t="s">
        <v>25363</v>
      </c>
      <c r="Z5647" t="s">
        <v>31977</v>
      </c>
      <c r="AA5647">
        <v>1.020156393643934</v>
      </c>
      <c r="AB5647" t="str">
        <f>HYPERLINK("Melting_Curves/meltCurve_Q9H3J6_C12orf65.pdf", "Melting_Curves/meltCurve_Q9H3J6_C12orf65.pdf")</f>
        <v>Melting_Curves/meltCurve_Q9H3J6_C12orf65.pdf</v>
      </c>
    </row>
    <row r="5648" spans="1:28" x14ac:dyDescent="0.25">
      <c r="A5648" t="s">
        <v>5652</v>
      </c>
      <c r="B5648">
        <v>0.99252571173614901</v>
      </c>
      <c r="C5648">
        <v>1.1297261028338199</v>
      </c>
      <c r="D5648">
        <v>0.96920541897189505</v>
      </c>
      <c r="E5648">
        <v>0.78367615508784305</v>
      </c>
      <c r="F5648">
        <v>0.42596155341046898</v>
      </c>
      <c r="G5648">
        <v>0.21976236225475099</v>
      </c>
      <c r="H5648">
        <v>0.168529716454384</v>
      </c>
      <c r="I5648">
        <v>0.161888878590734</v>
      </c>
      <c r="J5648">
        <v>0.17792563677022499</v>
      </c>
      <c r="K5648">
        <v>0.17593916757941899</v>
      </c>
      <c r="L5648">
        <v>1440.1152330371101</v>
      </c>
      <c r="M5648">
        <v>27.921311144574599</v>
      </c>
      <c r="N5648">
        <v>52.336963709759203</v>
      </c>
      <c r="O5648">
        <v>51.315221224430999</v>
      </c>
      <c r="P5648">
        <v>-0.113374406181728</v>
      </c>
      <c r="Q5648">
        <v>0.16654565533802099</v>
      </c>
      <c r="R5648">
        <v>0.987432445080627</v>
      </c>
      <c r="S5648" t="s">
        <v>12294</v>
      </c>
      <c r="T5648" t="s">
        <v>13290</v>
      </c>
      <c r="U5648" t="s">
        <v>13290</v>
      </c>
      <c r="V5648" t="s">
        <v>13290</v>
      </c>
      <c r="W5648" t="s">
        <v>18887</v>
      </c>
      <c r="X5648">
        <v>7</v>
      </c>
      <c r="Y5648" t="s">
        <v>25364</v>
      </c>
      <c r="Z5648" t="s">
        <v>31978</v>
      </c>
      <c r="AA5648">
        <v>0.49429324923163009</v>
      </c>
      <c r="AB5648" t="str">
        <f>HYPERLINK("Melting_Curves/meltCurve_Q9H3K6_BOLA2.pdf", "Melting_Curves/meltCurve_Q9H3K6_BOLA2.pdf")</f>
        <v>Melting_Curves/meltCurve_Q9H3K6_BOLA2.pdf</v>
      </c>
    </row>
    <row r="5649" spans="1:28" x14ac:dyDescent="0.25">
      <c r="A5649" t="s">
        <v>5653</v>
      </c>
      <c r="B5649">
        <v>0.99252571173614901</v>
      </c>
      <c r="C5649">
        <v>0.97012846271883701</v>
      </c>
      <c r="D5649">
        <v>0.936196238695302</v>
      </c>
      <c r="E5649">
        <v>0.87293701988757699</v>
      </c>
      <c r="F5649">
        <v>0.588087898042846</v>
      </c>
      <c r="G5649">
        <v>0.34921841997850001</v>
      </c>
      <c r="H5649">
        <v>0.22424544424125301</v>
      </c>
      <c r="I5649">
        <v>0.186629416320018</v>
      </c>
      <c r="J5649">
        <v>0.25109041497603701</v>
      </c>
      <c r="K5649">
        <v>0.22976527144341</v>
      </c>
      <c r="L5649">
        <v>1237.1282895971201</v>
      </c>
      <c r="M5649">
        <v>23.358478910895101</v>
      </c>
      <c r="N5649">
        <v>54.225832381090001</v>
      </c>
      <c r="O5649">
        <v>52.579109678167903</v>
      </c>
      <c r="P5649">
        <v>-8.77616611422843E-2</v>
      </c>
      <c r="Q5649">
        <v>0.20982033469591499</v>
      </c>
      <c r="R5649">
        <v>0.99452218604587295</v>
      </c>
      <c r="S5649" t="s">
        <v>12295</v>
      </c>
      <c r="T5649" t="s">
        <v>13290</v>
      </c>
      <c r="U5649" t="s">
        <v>13290</v>
      </c>
      <c r="V5649" t="s">
        <v>13290</v>
      </c>
      <c r="W5649" t="s">
        <v>18888</v>
      </c>
      <c r="X5649">
        <v>11</v>
      </c>
      <c r="Y5649" t="s">
        <v>25365</v>
      </c>
      <c r="Z5649" t="s">
        <v>31979</v>
      </c>
      <c r="AA5649">
        <v>0.55950110562135402</v>
      </c>
      <c r="AB5649" t="str">
        <f>HYPERLINK("Melting_Curves/meltCurve_Q9H3N1_TMX1.pdf", "Melting_Curves/meltCurve_Q9H3N1_TMX1.pdf")</f>
        <v>Melting_Curves/meltCurve_Q9H3N1_TMX1.pdf</v>
      </c>
    </row>
    <row r="5650" spans="1:28" x14ac:dyDescent="0.25">
      <c r="A5650" t="s">
        <v>5654</v>
      </c>
      <c r="B5650">
        <v>0.99252571173614901</v>
      </c>
      <c r="C5650">
        <v>0.92557862535164104</v>
      </c>
      <c r="D5650">
        <v>0.67131810945519499</v>
      </c>
      <c r="E5650">
        <v>0.25642380750260202</v>
      </c>
      <c r="F5650">
        <v>0.11298938384325501</v>
      </c>
      <c r="G5650">
        <v>6.3551057519742396E-2</v>
      </c>
      <c r="H5650">
        <v>5.1767862682380698E-2</v>
      </c>
      <c r="I5650">
        <v>6.4826248221851596E-2</v>
      </c>
      <c r="J5650">
        <v>8.4145692590618701E-2</v>
      </c>
      <c r="K5650">
        <v>8.9367151128421599E-2</v>
      </c>
      <c r="L5650">
        <v>1244.5658145637101</v>
      </c>
      <c r="M5650">
        <v>26.4627833272544</v>
      </c>
      <c r="N5650">
        <v>47.294707056626898</v>
      </c>
      <c r="O5650">
        <v>46.7646872462755</v>
      </c>
      <c r="P5650">
        <v>-0.13175885349665001</v>
      </c>
      <c r="Q5650">
        <v>6.8639848459679395E-2</v>
      </c>
      <c r="R5650">
        <v>0.99897769868951103</v>
      </c>
      <c r="S5650" t="s">
        <v>12296</v>
      </c>
      <c r="T5650" t="s">
        <v>13290</v>
      </c>
      <c r="U5650" t="s">
        <v>13290</v>
      </c>
      <c r="V5650" t="s">
        <v>13290</v>
      </c>
      <c r="W5650" t="s">
        <v>18889</v>
      </c>
      <c r="X5650">
        <v>9</v>
      </c>
      <c r="Y5650" t="s">
        <v>25366</v>
      </c>
      <c r="Z5650" t="s">
        <v>31980</v>
      </c>
      <c r="AA5650">
        <v>0.29424809153201509</v>
      </c>
      <c r="AB5650" t="str">
        <f>HYPERLINK("Melting_Curves/meltCurve_Q9H3P2_NELFA.pdf", "Melting_Curves/meltCurve_Q9H3P2_NELFA.pdf")</f>
        <v>Melting_Curves/meltCurve_Q9H3P2_NELFA.pdf</v>
      </c>
    </row>
    <row r="5651" spans="1:28" x14ac:dyDescent="0.25">
      <c r="A5651" t="s">
        <v>5655</v>
      </c>
      <c r="B5651">
        <v>0.99252571173614901</v>
      </c>
      <c r="C5651">
        <v>1.05830239167008</v>
      </c>
      <c r="D5651">
        <v>0.93048977123577503</v>
      </c>
      <c r="E5651">
        <v>0.69292061247644898</v>
      </c>
      <c r="F5651">
        <v>0.36849779356188</v>
      </c>
      <c r="G5651">
        <v>0.281569357870115</v>
      </c>
      <c r="H5651">
        <v>0.205669838457709</v>
      </c>
      <c r="I5651">
        <v>0.24842535317780701</v>
      </c>
      <c r="J5651">
        <v>0.12905695573905299</v>
      </c>
      <c r="K5651">
        <v>0.117980153893524</v>
      </c>
      <c r="L5651">
        <v>1136.46781849686</v>
      </c>
      <c r="M5651">
        <v>22.372469129280798</v>
      </c>
      <c r="N5651">
        <v>51.768435868439497</v>
      </c>
      <c r="O5651">
        <v>50.396977654117698</v>
      </c>
      <c r="P5651">
        <v>-9.1968531836086401E-2</v>
      </c>
      <c r="Q5651">
        <v>0.171331678129236</v>
      </c>
      <c r="R5651">
        <v>0.98638190548952798</v>
      </c>
      <c r="S5651" t="s">
        <v>12297</v>
      </c>
      <c r="T5651" t="s">
        <v>13290</v>
      </c>
      <c r="U5651" t="s">
        <v>13290</v>
      </c>
      <c r="V5651" t="s">
        <v>13290</v>
      </c>
      <c r="W5651" t="s">
        <v>18890</v>
      </c>
      <c r="X5651">
        <v>9</v>
      </c>
      <c r="Y5651" t="s">
        <v>25367</v>
      </c>
      <c r="Z5651" t="s">
        <v>31981</v>
      </c>
      <c r="AA5651">
        <v>0.47887124804464398</v>
      </c>
      <c r="AB5651" t="str">
        <f>HYPERLINK("Melting_Curves/meltCurve_Q9H3P7_ACBD3.pdf", "Melting_Curves/meltCurve_Q9H3P7_ACBD3.pdf")</f>
        <v>Melting_Curves/meltCurve_Q9H3P7_ACBD3.pdf</v>
      </c>
    </row>
    <row r="5652" spans="1:28" x14ac:dyDescent="0.25">
      <c r="A5652" t="s">
        <v>5656</v>
      </c>
      <c r="B5652">
        <v>0.99252571173614901</v>
      </c>
      <c r="C5652">
        <v>1.0189715506208199</v>
      </c>
      <c r="D5652">
        <v>0.88943365648655703</v>
      </c>
      <c r="E5652">
        <v>0.70201346277299803</v>
      </c>
      <c r="F5652">
        <v>0.48072247557243503</v>
      </c>
      <c r="G5652">
        <v>0.33097269493963699</v>
      </c>
      <c r="H5652">
        <v>0.29095455903533401</v>
      </c>
      <c r="I5652">
        <v>0.35922423410410698</v>
      </c>
      <c r="J5652">
        <v>0.54760745765951802</v>
      </c>
      <c r="K5652">
        <v>0.66982262865654996</v>
      </c>
      <c r="L5652">
        <v>1506.49993400381</v>
      </c>
      <c r="M5652">
        <v>30.7065499064161</v>
      </c>
      <c r="N5652">
        <v>52.679717191128098</v>
      </c>
      <c r="O5652">
        <v>48.854520863433699</v>
      </c>
      <c r="P5652">
        <v>-8.80996007370064E-2</v>
      </c>
      <c r="Q5652">
        <v>0.43933288069839699</v>
      </c>
      <c r="R5652">
        <v>0.83259615493816597</v>
      </c>
      <c r="S5652" t="s">
        <v>12298</v>
      </c>
      <c r="T5652" t="s">
        <v>13290</v>
      </c>
      <c r="U5652" t="s">
        <v>13290</v>
      </c>
      <c r="V5652" t="s">
        <v>13290</v>
      </c>
      <c r="W5652" t="s">
        <v>18891</v>
      </c>
      <c r="X5652">
        <v>15</v>
      </c>
      <c r="Y5652" t="s">
        <v>25368</v>
      </c>
      <c r="Z5652" t="s">
        <v>31982</v>
      </c>
      <c r="AA5652">
        <v>0.61193539991929691</v>
      </c>
      <c r="AB5652" t="str">
        <f>HYPERLINK("Melting_Curves/meltCurve_Q9H3Q1_CDC42EP4.pdf", "Melting_Curves/meltCurve_Q9H3Q1_CDC42EP4.pdf")</f>
        <v>Melting_Curves/meltCurve_Q9H3Q1_CDC42EP4.pdf</v>
      </c>
    </row>
    <row r="5653" spans="1:28" x14ac:dyDescent="0.25">
      <c r="A5653" t="s">
        <v>5657</v>
      </c>
      <c r="B5653">
        <v>0.99252571173614901</v>
      </c>
      <c r="C5653">
        <v>0.71789685766340605</v>
      </c>
      <c r="D5653">
        <v>0.49733932953730198</v>
      </c>
      <c r="E5653">
        <v>0.32347996386658801</v>
      </c>
      <c r="F5653">
        <v>0.176051214763673</v>
      </c>
      <c r="G5653">
        <v>8.9642745188978398E-2</v>
      </c>
      <c r="H5653">
        <v>5.3477044132421298E-2</v>
      </c>
      <c r="I5653">
        <v>6.0467511147135201E-2</v>
      </c>
      <c r="J5653">
        <v>6.9171531972836695E-2</v>
      </c>
      <c r="K5653">
        <v>4.1687999118699699E-2</v>
      </c>
      <c r="L5653">
        <v>687.18338514317804</v>
      </c>
      <c r="M5653">
        <v>14.933238524491999</v>
      </c>
      <c r="N5653">
        <v>46.322482650658401</v>
      </c>
      <c r="O5653">
        <v>45.215500734010497</v>
      </c>
      <c r="P5653">
        <v>-7.8703768270743199E-2</v>
      </c>
      <c r="Q5653">
        <v>4.6887808852730202E-2</v>
      </c>
      <c r="R5653">
        <v>0.988194688595048</v>
      </c>
      <c r="S5653" t="s">
        <v>12299</v>
      </c>
      <c r="T5653" t="s">
        <v>13290</v>
      </c>
      <c r="U5653" t="s">
        <v>13290</v>
      </c>
      <c r="V5653" t="s">
        <v>13290</v>
      </c>
      <c r="W5653" t="s">
        <v>18892</v>
      </c>
      <c r="X5653">
        <v>3</v>
      </c>
      <c r="Y5653" t="s">
        <v>25369</v>
      </c>
      <c r="Z5653" t="s">
        <v>31983</v>
      </c>
      <c r="AA5653">
        <v>0.26610993102557462</v>
      </c>
      <c r="AB5653" t="str">
        <f>HYPERLINK("Melting_Curves/meltCurve_Q9H3R0_4_KDM4C.pdf", "Melting_Curves/meltCurve_Q9H3R0_4_KDM4C.pdf")</f>
        <v>Melting_Curves/meltCurve_Q9H3R0_4_KDM4C.pdf</v>
      </c>
    </row>
    <row r="5654" spans="1:28" x14ac:dyDescent="0.25">
      <c r="A5654" t="s">
        <v>5658</v>
      </c>
      <c r="B5654">
        <v>0.99252571173614901</v>
      </c>
      <c r="C5654">
        <v>0.90904852733298303</v>
      </c>
      <c r="D5654">
        <v>0.85511304331100102</v>
      </c>
      <c r="E5654">
        <v>0.91400971972228096</v>
      </c>
      <c r="F5654">
        <v>0.75233487822385503</v>
      </c>
      <c r="G5654">
        <v>0.55772064227321205</v>
      </c>
      <c r="H5654">
        <v>0.38591132522963401</v>
      </c>
      <c r="I5654">
        <v>0.31388906480683698</v>
      </c>
      <c r="J5654">
        <v>0.54981817432067104</v>
      </c>
      <c r="K5654">
        <v>0.32287004110721201</v>
      </c>
      <c r="L5654">
        <v>884.46838910775705</v>
      </c>
      <c r="M5654">
        <v>16.372482469491199</v>
      </c>
      <c r="N5654">
        <v>58.448350018150002</v>
      </c>
      <c r="O5654">
        <v>53.235013407863299</v>
      </c>
      <c r="P5654">
        <v>-4.9572440314110199E-2</v>
      </c>
      <c r="Q5654">
        <v>0.35530838829263001</v>
      </c>
      <c r="R5654">
        <v>0.89708852013576801</v>
      </c>
      <c r="S5654" t="s">
        <v>12300</v>
      </c>
      <c r="T5654" t="s">
        <v>13290</v>
      </c>
      <c r="U5654" t="s">
        <v>13290</v>
      </c>
      <c r="V5654" t="s">
        <v>13290</v>
      </c>
      <c r="W5654" t="s">
        <v>18893</v>
      </c>
      <c r="X5654">
        <v>1</v>
      </c>
      <c r="Y5654" t="s">
        <v>25370</v>
      </c>
      <c r="Z5654" t="s">
        <v>31984</v>
      </c>
      <c r="AA5654">
        <v>0.66842335888755755</v>
      </c>
      <c r="AB5654" t="str">
        <f>HYPERLINK("Melting_Curves/meltCurve_Q9H3R2_MUC13.pdf", "Melting_Curves/meltCurve_Q9H3R2_MUC13.pdf")</f>
        <v>Melting_Curves/meltCurve_Q9H3R2_MUC13.pdf</v>
      </c>
    </row>
    <row r="5655" spans="1:28" x14ac:dyDescent="0.25">
      <c r="A5655" t="s">
        <v>5659</v>
      </c>
      <c r="B5655">
        <v>0.99252571173614901</v>
      </c>
      <c r="C5655">
        <v>0.98143928350428999</v>
      </c>
      <c r="D5655">
        <v>0.83691325818103102</v>
      </c>
      <c r="E5655">
        <v>0.27109371030298901</v>
      </c>
      <c r="F5655">
        <v>0.16537156130806399</v>
      </c>
      <c r="G5655">
        <v>9.8097478707542402E-2</v>
      </c>
      <c r="H5655">
        <v>7.8615237713316702E-2</v>
      </c>
      <c r="I5655">
        <v>8.0932300725215595E-2</v>
      </c>
      <c r="J5655">
        <v>9.4762938910173899E-2</v>
      </c>
      <c r="K5655">
        <v>9.2608900284530393E-2</v>
      </c>
      <c r="L5655">
        <v>1775.30199376425</v>
      </c>
      <c r="M5655">
        <v>37.132573507807898</v>
      </c>
      <c r="N5655">
        <v>48.086466681304103</v>
      </c>
      <c r="O5655">
        <v>47.671799003412602</v>
      </c>
      <c r="P5655">
        <v>-0.17600160494280701</v>
      </c>
      <c r="Q5655">
        <v>9.6180095660344203E-2</v>
      </c>
      <c r="R5655">
        <v>0.99773551586686804</v>
      </c>
      <c r="S5655" t="s">
        <v>12301</v>
      </c>
      <c r="T5655" t="s">
        <v>13290</v>
      </c>
      <c r="U5655" t="s">
        <v>13290</v>
      </c>
      <c r="V5655" t="s">
        <v>13290</v>
      </c>
      <c r="W5655" t="s">
        <v>18894</v>
      </c>
      <c r="X5655">
        <v>33</v>
      </c>
      <c r="Y5655" t="s">
        <v>25371</v>
      </c>
      <c r="Z5655" t="s">
        <v>31985</v>
      </c>
      <c r="AA5655">
        <v>0.33495914780830049</v>
      </c>
      <c r="AB5655" t="str">
        <f>HYPERLINK("Melting_Curves/meltCurve_Q9H3S7_PTPN23.pdf", "Melting_Curves/meltCurve_Q9H3S7_PTPN23.pdf")</f>
        <v>Melting_Curves/meltCurve_Q9H3S7_PTPN23.pdf</v>
      </c>
    </row>
    <row r="5656" spans="1:28" x14ac:dyDescent="0.25">
      <c r="A5656" t="s">
        <v>5660</v>
      </c>
      <c r="B5656">
        <v>0.99252571173614901</v>
      </c>
      <c r="C5656">
        <v>0.95112022080377301</v>
      </c>
      <c r="D5656">
        <v>0.63225677486418197</v>
      </c>
      <c r="E5656">
        <v>0.19115775629823401</v>
      </c>
      <c r="F5656">
        <v>0.117654222382982</v>
      </c>
      <c r="G5656">
        <v>6.7092062250617798E-2</v>
      </c>
      <c r="H5656">
        <v>5.7381352482256197E-2</v>
      </c>
      <c r="I5656">
        <v>6.1344996860456698E-2</v>
      </c>
      <c r="J5656">
        <v>7.2936788086352206E-2</v>
      </c>
      <c r="K5656">
        <v>7.34952470654964E-2</v>
      </c>
      <c r="L5656">
        <v>1454.55934025791</v>
      </c>
      <c r="M5656">
        <v>31.1866577933516</v>
      </c>
      <c r="N5656">
        <v>46.867930727172997</v>
      </c>
      <c r="O5656">
        <v>46.449916115713599</v>
      </c>
      <c r="P5656">
        <v>-0.15606220315646399</v>
      </c>
      <c r="Q5656">
        <v>7.0238658981963201E-2</v>
      </c>
      <c r="R5656">
        <v>0.99908800332213799</v>
      </c>
      <c r="S5656" t="s">
        <v>12302</v>
      </c>
      <c r="T5656" t="s">
        <v>13290</v>
      </c>
      <c r="U5656" t="s">
        <v>13290</v>
      </c>
      <c r="V5656" t="s">
        <v>13290</v>
      </c>
      <c r="W5656" t="s">
        <v>18895</v>
      </c>
      <c r="X5656">
        <v>41</v>
      </c>
      <c r="Y5656" t="s">
        <v>25372</v>
      </c>
      <c r="Z5656" t="s">
        <v>31986</v>
      </c>
      <c r="AA5656">
        <v>0.28117913077947149</v>
      </c>
      <c r="AB5656" t="str">
        <f>HYPERLINK("Melting_Curves/meltCurve_Q9H3U1_UNC45A.pdf", "Melting_Curves/meltCurve_Q9H3U1_UNC45A.pdf")</f>
        <v>Melting_Curves/meltCurve_Q9H3U1_UNC45A.pdf</v>
      </c>
    </row>
    <row r="5657" spans="1:28" x14ac:dyDescent="0.25">
      <c r="A5657" t="s">
        <v>5661</v>
      </c>
      <c r="B5657">
        <v>0.99252571173614901</v>
      </c>
      <c r="C5657">
        <v>0.88453479038080096</v>
      </c>
      <c r="D5657">
        <v>0.80933165206301305</v>
      </c>
      <c r="E5657">
        <v>0.83769736762758196</v>
      </c>
      <c r="F5657">
        <v>0.60597936886943105</v>
      </c>
      <c r="G5657">
        <v>0.444089175184052</v>
      </c>
      <c r="H5657">
        <v>0.39530451812672701</v>
      </c>
      <c r="I5657">
        <v>0.59110158439150495</v>
      </c>
      <c r="J5657">
        <v>0.921127501046487</v>
      </c>
      <c r="K5657">
        <v>0.65847417002908903</v>
      </c>
      <c r="L5657">
        <v>835.32785888974695</v>
      </c>
      <c r="M5657">
        <v>17.862839170630501</v>
      </c>
      <c r="O5657">
        <v>46.189201608028398</v>
      </c>
      <c r="P5657">
        <v>-3.8082897227189397E-2</v>
      </c>
      <c r="Q5657">
        <v>0.606125717297337</v>
      </c>
      <c r="R5657">
        <v>0.468743677992771</v>
      </c>
      <c r="S5657" t="s">
        <v>12303</v>
      </c>
      <c r="T5657" t="s">
        <v>13290</v>
      </c>
      <c r="U5657" t="s">
        <v>13290</v>
      </c>
      <c r="V5657" t="s">
        <v>13290</v>
      </c>
      <c r="W5657" t="s">
        <v>18896</v>
      </c>
      <c r="X5657">
        <v>2</v>
      </c>
      <c r="Y5657" t="s">
        <v>25373</v>
      </c>
      <c r="Z5657" t="s">
        <v>31987</v>
      </c>
      <c r="AA5657">
        <v>0.7024050041423</v>
      </c>
      <c r="AB5657" t="str">
        <f>HYPERLINK("Melting_Curves/meltCurve_Q9H3U5_4_MFSD1.pdf", "Melting_Curves/meltCurve_Q9H3U5_4_MFSD1.pdf")</f>
        <v>Melting_Curves/meltCurve_Q9H3U5_4_MFSD1.pdf</v>
      </c>
    </row>
    <row r="5658" spans="1:28" x14ac:dyDescent="0.25">
      <c r="A5658" t="s">
        <v>5662</v>
      </c>
      <c r="B5658">
        <v>0.99252571173614901</v>
      </c>
      <c r="C5658">
        <v>1.1283336844034899</v>
      </c>
      <c r="D5658">
        <v>0.81253485096479505</v>
      </c>
      <c r="E5658">
        <v>1.0789055433524</v>
      </c>
      <c r="F5658">
        <v>0.66173516440485103</v>
      </c>
      <c r="G5658">
        <v>0.463487734648585</v>
      </c>
      <c r="H5658">
        <v>0.462300284797584</v>
      </c>
      <c r="I5658">
        <v>0.78417342427534598</v>
      </c>
      <c r="J5658">
        <v>1.61762773302161</v>
      </c>
      <c r="K5658">
        <v>1.61801934551533</v>
      </c>
      <c r="L5658">
        <v>15000</v>
      </c>
      <c r="M5658">
        <v>228.66353423220801</v>
      </c>
      <c r="O5658">
        <v>65.593563382945106</v>
      </c>
      <c r="P5658">
        <v>0.435758431255027</v>
      </c>
      <c r="Q5658">
        <v>1.5</v>
      </c>
      <c r="R5658">
        <v>0.46591849348724201</v>
      </c>
      <c r="S5658" t="s">
        <v>12304</v>
      </c>
      <c r="T5658" t="s">
        <v>13290</v>
      </c>
      <c r="U5658" t="s">
        <v>13290</v>
      </c>
      <c r="V5658" t="s">
        <v>13290</v>
      </c>
      <c r="W5658" t="s">
        <v>18897</v>
      </c>
      <c r="X5658">
        <v>1</v>
      </c>
      <c r="Y5658" t="s">
        <v>25374</v>
      </c>
      <c r="Z5658" t="s">
        <v>31988</v>
      </c>
      <c r="AA5658">
        <v>1.0732884236687199</v>
      </c>
      <c r="AB5658" t="str">
        <f>HYPERLINK("Melting_Curves/meltCurve_Q9H3Y8_PPDPF.pdf", "Melting_Curves/meltCurve_Q9H3Y8_PPDPF.pdf")</f>
        <v>Melting_Curves/meltCurve_Q9H3Y8_PPDPF.pdf</v>
      </c>
    </row>
    <row r="5659" spans="1:28" x14ac:dyDescent="0.25">
      <c r="A5659" t="s">
        <v>5663</v>
      </c>
      <c r="B5659">
        <v>0.99252571173614901</v>
      </c>
      <c r="C5659">
        <v>0.99303616341059697</v>
      </c>
      <c r="D5659">
        <v>0.85653155480144905</v>
      </c>
      <c r="E5659">
        <v>0.72039178108993895</v>
      </c>
      <c r="F5659">
        <v>0.72957424015399996</v>
      </c>
      <c r="G5659">
        <v>0.61324020661411305</v>
      </c>
      <c r="H5659">
        <v>0.56882217836293103</v>
      </c>
      <c r="I5659">
        <v>0.70077557646343502</v>
      </c>
      <c r="J5659">
        <v>1.1631186287338999</v>
      </c>
      <c r="K5659">
        <v>1.15393998366302</v>
      </c>
      <c r="L5659">
        <v>11450.9641722368</v>
      </c>
      <c r="M5659">
        <v>250</v>
      </c>
      <c r="O5659">
        <v>45.8009253202991</v>
      </c>
      <c r="P5659">
        <v>-0.26319988328183203</v>
      </c>
      <c r="Q5659">
        <v>0.80712322809978299</v>
      </c>
      <c r="R5659">
        <v>0.12758169027164201</v>
      </c>
      <c r="S5659" t="s">
        <v>12305</v>
      </c>
      <c r="T5659" t="s">
        <v>13290</v>
      </c>
      <c r="U5659" t="s">
        <v>13290</v>
      </c>
      <c r="V5659" t="s">
        <v>13290</v>
      </c>
      <c r="W5659" t="s">
        <v>18898</v>
      </c>
      <c r="X5659">
        <v>5</v>
      </c>
      <c r="Y5659" t="s">
        <v>25375</v>
      </c>
      <c r="Z5659" t="s">
        <v>31989</v>
      </c>
      <c r="AA5659">
        <v>0.84445303726767518</v>
      </c>
      <c r="AB5659" t="str">
        <f>HYPERLINK("Melting_Curves/meltCurve_Q9H3Z4_2_DNAJC5.pdf", "Melting_Curves/meltCurve_Q9H3Z4_2_DNAJC5.pdf")</f>
        <v>Melting_Curves/meltCurve_Q9H3Z4_2_DNAJC5.pdf</v>
      </c>
    </row>
    <row r="5660" spans="1:28" x14ac:dyDescent="0.25">
      <c r="A5660" t="s">
        <v>5664</v>
      </c>
      <c r="B5660">
        <v>0.99252571173614901</v>
      </c>
      <c r="C5660">
        <v>1.0887803585340601</v>
      </c>
      <c r="D5660">
        <v>1.0275306524863499</v>
      </c>
      <c r="E5660">
        <v>0.48820863631926997</v>
      </c>
      <c r="F5660">
        <v>0.19618672269890999</v>
      </c>
      <c r="G5660">
        <v>0.111358631708314</v>
      </c>
      <c r="H5660">
        <v>7.8125698959999504E-2</v>
      </c>
      <c r="I5660">
        <v>7.1138659214875402E-2</v>
      </c>
      <c r="J5660">
        <v>0.10743636035161699</v>
      </c>
      <c r="K5660">
        <v>0.103202699807909</v>
      </c>
      <c r="L5660">
        <v>2365.6008784287501</v>
      </c>
      <c r="M5660">
        <v>47.918844952301001</v>
      </c>
      <c r="N5660">
        <v>49.610877823414498</v>
      </c>
      <c r="O5660">
        <v>49.2810696844303</v>
      </c>
      <c r="P5660">
        <v>-0.21756574528344</v>
      </c>
      <c r="Q5660">
        <v>0.104998307033584</v>
      </c>
      <c r="R5660">
        <v>0.99012327117018895</v>
      </c>
      <c r="S5660" t="s">
        <v>12306</v>
      </c>
      <c r="T5660" t="s">
        <v>13290</v>
      </c>
      <c r="U5660" t="s">
        <v>13290</v>
      </c>
      <c r="V5660" t="s">
        <v>13290</v>
      </c>
      <c r="W5660" t="s">
        <v>18899</v>
      </c>
      <c r="X5660">
        <v>3</v>
      </c>
      <c r="Y5660" t="s">
        <v>25376</v>
      </c>
      <c r="Z5660" t="s">
        <v>31990</v>
      </c>
      <c r="AA5660">
        <v>0.38656541754687868</v>
      </c>
      <c r="AB5660" t="str">
        <f>HYPERLINK("Melting_Curves/meltCurve_Q9H410_DSN1.pdf", "Melting_Curves/meltCurve_Q9H410_DSN1.pdf")</f>
        <v>Melting_Curves/meltCurve_Q9H410_DSN1.pdf</v>
      </c>
    </row>
    <row r="5661" spans="1:28" x14ac:dyDescent="0.25">
      <c r="A5661" t="s">
        <v>5665</v>
      </c>
      <c r="B5661">
        <v>0.99252571173614901</v>
      </c>
      <c r="C5661">
        <v>0.95660546787968204</v>
      </c>
      <c r="D5661">
        <v>0.76394055652063897</v>
      </c>
      <c r="E5661">
        <v>0.592120343202588</v>
      </c>
      <c r="F5661">
        <v>0.40393821369071697</v>
      </c>
      <c r="G5661">
        <v>0.28064888844967301</v>
      </c>
      <c r="H5661">
        <v>0.26651274077081699</v>
      </c>
      <c r="I5661">
        <v>0.370385099308566</v>
      </c>
      <c r="J5661">
        <v>0.64218000836381195</v>
      </c>
      <c r="K5661">
        <v>0.89753094415583701</v>
      </c>
      <c r="L5661">
        <v>1424.1358238938101</v>
      </c>
      <c r="M5661">
        <v>30.707210018770098</v>
      </c>
      <c r="N5661">
        <v>51.967685119933897</v>
      </c>
      <c r="O5661">
        <v>46.182537682498896</v>
      </c>
      <c r="P5661">
        <v>-8.6170645951751307E-2</v>
      </c>
      <c r="Q5661">
        <v>0.48161288731343999</v>
      </c>
      <c r="R5661">
        <v>0.55887317067226905</v>
      </c>
      <c r="S5661" t="s">
        <v>12307</v>
      </c>
      <c r="T5661" t="s">
        <v>13290</v>
      </c>
      <c r="U5661" t="s">
        <v>13290</v>
      </c>
      <c r="V5661" t="s">
        <v>13290</v>
      </c>
      <c r="W5661" t="s">
        <v>18900</v>
      </c>
      <c r="X5661">
        <v>10</v>
      </c>
      <c r="Y5661" t="s">
        <v>25377</v>
      </c>
      <c r="Z5661" t="s">
        <v>31991</v>
      </c>
      <c r="AA5661">
        <v>0.59479361716182666</v>
      </c>
      <c r="AB5661" t="str">
        <f>HYPERLINK("Melting_Curves/meltCurve_Q9H425_C1orf198.pdf", "Melting_Curves/meltCurve_Q9H425_C1orf198.pdf")</f>
        <v>Melting_Curves/meltCurve_Q9H425_C1orf198.pdf</v>
      </c>
    </row>
    <row r="5662" spans="1:28" x14ac:dyDescent="0.25">
      <c r="A5662" t="s">
        <v>5666</v>
      </c>
      <c r="B5662">
        <v>0.99252571173614901</v>
      </c>
      <c r="C5662">
        <v>1.1575814043075701</v>
      </c>
      <c r="D5662">
        <v>1.0820461046545899</v>
      </c>
      <c r="E5662">
        <v>1.1462707943177699</v>
      </c>
      <c r="F5662">
        <v>0.90960081574727503</v>
      </c>
      <c r="G5662">
        <v>0.81609354732103201</v>
      </c>
      <c r="H5662">
        <v>0.92633204599229602</v>
      </c>
      <c r="I5662">
        <v>1.4054305550897701</v>
      </c>
      <c r="J5662">
        <v>2.24257409912927</v>
      </c>
      <c r="K5662">
        <v>2.39901544681863</v>
      </c>
      <c r="L5662">
        <v>15000</v>
      </c>
      <c r="M5662">
        <v>235.83078929180999</v>
      </c>
      <c r="O5662">
        <v>63.600351987365698</v>
      </c>
      <c r="P5662">
        <v>0.46350134235065099</v>
      </c>
      <c r="Q5662">
        <v>1.5</v>
      </c>
      <c r="R5662">
        <v>0.48204857259463402</v>
      </c>
      <c r="S5662" t="s">
        <v>12308</v>
      </c>
      <c r="T5662" t="s">
        <v>13290</v>
      </c>
      <c r="U5662" t="s">
        <v>13290</v>
      </c>
      <c r="V5662" t="s">
        <v>13290</v>
      </c>
      <c r="W5662" t="s">
        <v>18901</v>
      </c>
      <c r="X5662">
        <v>16</v>
      </c>
      <c r="Y5662" t="s">
        <v>25378</v>
      </c>
      <c r="Z5662" t="s">
        <v>31992</v>
      </c>
      <c r="AA5662">
        <v>1.106521836975948</v>
      </c>
      <c r="AB5662" t="str">
        <f>HYPERLINK("Melting_Curves/meltCurve_Q9H444_CHMP4B.pdf", "Melting_Curves/meltCurve_Q9H444_CHMP4B.pdf")</f>
        <v>Melting_Curves/meltCurve_Q9H444_CHMP4B.pdf</v>
      </c>
    </row>
    <row r="5663" spans="1:28" x14ac:dyDescent="0.25">
      <c r="A5663" t="s">
        <v>5667</v>
      </c>
      <c r="B5663">
        <v>0.99252571173614901</v>
      </c>
      <c r="C5663">
        <v>1.15221841460117</v>
      </c>
      <c r="D5663">
        <v>0.89958616640217104</v>
      </c>
      <c r="E5663">
        <v>0.83720003554125499</v>
      </c>
      <c r="F5663">
        <v>0.42706899093109402</v>
      </c>
      <c r="G5663">
        <v>0.29623218373760501</v>
      </c>
      <c r="H5663">
        <v>0.237534737808208</v>
      </c>
      <c r="I5663">
        <v>0.28202484021656499</v>
      </c>
      <c r="J5663">
        <v>0.38464488325833202</v>
      </c>
      <c r="K5663">
        <v>0.41751686571901597</v>
      </c>
      <c r="L5663">
        <v>2050.4274653576899</v>
      </c>
      <c r="M5663">
        <v>40.2536957562589</v>
      </c>
      <c r="N5663">
        <v>52.277835696913399</v>
      </c>
      <c r="O5663">
        <v>50.812399305954997</v>
      </c>
      <c r="P5663">
        <v>-0.134309293219187</v>
      </c>
      <c r="Q5663">
        <v>0.32184487104452603</v>
      </c>
      <c r="R5663">
        <v>0.94700596065360199</v>
      </c>
      <c r="S5663" t="s">
        <v>12309</v>
      </c>
      <c r="T5663" t="s">
        <v>13290</v>
      </c>
      <c r="U5663" t="s">
        <v>13290</v>
      </c>
      <c r="V5663" t="s">
        <v>13290</v>
      </c>
      <c r="W5663" t="s">
        <v>18902</v>
      </c>
      <c r="X5663">
        <v>4</v>
      </c>
      <c r="Y5663" t="s">
        <v>25379</v>
      </c>
      <c r="Z5663" t="s">
        <v>31993</v>
      </c>
      <c r="AA5663">
        <v>0.57144908464113797</v>
      </c>
      <c r="AB5663" t="str">
        <f>HYPERLINK("Melting_Curves/meltCurve_Q9H467_CUEDC2.pdf", "Melting_Curves/meltCurve_Q9H467_CUEDC2.pdf")</f>
        <v>Melting_Curves/meltCurve_Q9H467_CUEDC2.pdf</v>
      </c>
    </row>
    <row r="5664" spans="1:28" x14ac:dyDescent="0.25">
      <c r="A5664" t="s">
        <v>5668</v>
      </c>
      <c r="B5664">
        <v>0.99252571173614901</v>
      </c>
      <c r="C5664">
        <v>1.04985321700678</v>
      </c>
      <c r="D5664">
        <v>1.0112325545054599</v>
      </c>
      <c r="E5664">
        <v>1.0052707700659</v>
      </c>
      <c r="F5664">
        <v>0.83581245078759103</v>
      </c>
      <c r="G5664">
        <v>0.72599863272552501</v>
      </c>
      <c r="H5664">
        <v>0.68967589884299896</v>
      </c>
      <c r="I5664">
        <v>0.80974077306382797</v>
      </c>
      <c r="J5664">
        <v>0.32280733725018701</v>
      </c>
      <c r="K5664">
        <v>0.17149164952238299</v>
      </c>
      <c r="L5664">
        <v>791.05806230713199</v>
      </c>
      <c r="M5664">
        <v>12.1865551241643</v>
      </c>
      <c r="N5664">
        <v>64.912337545727794</v>
      </c>
      <c r="O5664">
        <v>63.2386584364735</v>
      </c>
      <c r="P5664">
        <v>-4.81877806730494E-2</v>
      </c>
      <c r="Q5664">
        <v>0</v>
      </c>
      <c r="R5664">
        <v>0.85091342663304004</v>
      </c>
      <c r="S5664" t="s">
        <v>12310</v>
      </c>
      <c r="T5664" t="s">
        <v>13290</v>
      </c>
      <c r="U5664" t="s">
        <v>13290</v>
      </c>
      <c r="V5664" t="s">
        <v>13290</v>
      </c>
      <c r="W5664" t="s">
        <v>18903</v>
      </c>
      <c r="X5664">
        <v>6</v>
      </c>
      <c r="Y5664" t="s">
        <v>25380</v>
      </c>
      <c r="Z5664" t="s">
        <v>31994</v>
      </c>
      <c r="AA5664">
        <v>0.79262100391885426</v>
      </c>
      <c r="AB5664" t="str">
        <f>HYPERLINK("Melting_Curves/meltCurve_Q9H479_FN3K.pdf", "Melting_Curves/meltCurve_Q9H479_FN3K.pdf")</f>
        <v>Melting_Curves/meltCurve_Q9H479_FN3K.pdf</v>
      </c>
    </row>
    <row r="5665" spans="1:28" x14ac:dyDescent="0.25">
      <c r="A5665" t="s">
        <v>5669</v>
      </c>
      <c r="B5665">
        <v>0.99252571173614901</v>
      </c>
      <c r="C5665">
        <v>1.05382558779163</v>
      </c>
      <c r="D5665">
        <v>0.97303502739163905</v>
      </c>
      <c r="E5665">
        <v>0.80198435916913202</v>
      </c>
      <c r="F5665">
        <v>0.57177338005758005</v>
      </c>
      <c r="G5665">
        <v>0.24335229301019801</v>
      </c>
      <c r="H5665">
        <v>0.10762580373186501</v>
      </c>
      <c r="I5665">
        <v>9.3100987193093301E-2</v>
      </c>
      <c r="J5665">
        <v>0.104427288621467</v>
      </c>
      <c r="K5665">
        <v>9.0300276366766602E-2</v>
      </c>
      <c r="L5665">
        <v>1156.4032856684901</v>
      </c>
      <c r="M5665">
        <v>21.745537159125298</v>
      </c>
      <c r="N5665">
        <v>53.580277295238801</v>
      </c>
      <c r="O5665">
        <v>52.735278777300003</v>
      </c>
      <c r="P5665">
        <v>-9.5341972665237501E-2</v>
      </c>
      <c r="Q5665">
        <v>7.5163250838323203E-2</v>
      </c>
      <c r="R5665">
        <v>0.99512841369237104</v>
      </c>
      <c r="S5665" t="s">
        <v>12311</v>
      </c>
      <c r="T5665" t="s">
        <v>13290</v>
      </c>
      <c r="U5665" t="s">
        <v>13290</v>
      </c>
      <c r="V5665" t="s">
        <v>13290</v>
      </c>
      <c r="W5665" t="s">
        <v>18904</v>
      </c>
      <c r="X5665">
        <v>14</v>
      </c>
      <c r="Y5665" t="s">
        <v>25381</v>
      </c>
      <c r="Z5665" t="s">
        <v>31995</v>
      </c>
      <c r="AA5665">
        <v>0.4924289332907083</v>
      </c>
      <c r="AB5665" t="str">
        <f>HYPERLINK("Melting_Curves/meltCurve_Q9H488_POFUT1.pdf", "Melting_Curves/meltCurve_Q9H488_POFUT1.pdf")</f>
        <v>Melting_Curves/meltCurve_Q9H488_POFUT1.pdf</v>
      </c>
    </row>
    <row r="5666" spans="1:28" x14ac:dyDescent="0.25">
      <c r="A5666" t="s">
        <v>5670</v>
      </c>
      <c r="B5666">
        <v>0.99252571173614901</v>
      </c>
      <c r="C5666">
        <v>0.822155202025871</v>
      </c>
      <c r="D5666">
        <v>0.92684905798072603</v>
      </c>
      <c r="E5666">
        <v>0.71438827452487197</v>
      </c>
      <c r="F5666">
        <v>0.28462202518178897</v>
      </c>
      <c r="G5666">
        <v>0.15308442468768199</v>
      </c>
      <c r="H5666">
        <v>8.6744889265019498E-2</v>
      </c>
      <c r="I5666">
        <v>7.9557601307135004E-2</v>
      </c>
      <c r="J5666">
        <v>8.60262430870367E-2</v>
      </c>
      <c r="K5666">
        <v>8.30754116986408E-2</v>
      </c>
      <c r="L5666">
        <v>1245.8381872954301</v>
      </c>
      <c r="M5666">
        <v>24.476254393794399</v>
      </c>
      <c r="N5666">
        <v>51.245970253642298</v>
      </c>
      <c r="O5666">
        <v>50.563778293371698</v>
      </c>
      <c r="P5666">
        <v>-0.111799081476287</v>
      </c>
      <c r="Q5666">
        <v>7.6182388100724502E-2</v>
      </c>
      <c r="R5666">
        <v>0.97769784137043403</v>
      </c>
      <c r="S5666" t="s">
        <v>12312</v>
      </c>
      <c r="T5666" t="s">
        <v>13290</v>
      </c>
      <c r="U5666" t="s">
        <v>13290</v>
      </c>
      <c r="V5666" t="s">
        <v>13290</v>
      </c>
      <c r="W5666" t="s">
        <v>18905</v>
      </c>
      <c r="X5666">
        <v>1</v>
      </c>
      <c r="Y5666" t="s">
        <v>25382</v>
      </c>
      <c r="Z5666" t="s">
        <v>31996</v>
      </c>
      <c r="AA5666">
        <v>0.42052359821662461</v>
      </c>
      <c r="AB5666" t="str">
        <f>HYPERLINK("Melting_Curves/meltCurve_Q9H490_2_PIGU.pdf", "Melting_Curves/meltCurve_Q9H490_2_PIGU.pdf")</f>
        <v>Melting_Curves/meltCurve_Q9H490_2_PIGU.pdf</v>
      </c>
    </row>
    <row r="5667" spans="1:28" x14ac:dyDescent="0.25">
      <c r="A5667" t="s">
        <v>5671</v>
      </c>
      <c r="B5667">
        <v>0.99252571173614901</v>
      </c>
      <c r="C5667">
        <v>0.93394411671007604</v>
      </c>
      <c r="D5667">
        <v>0.85361857296070898</v>
      </c>
      <c r="E5667">
        <v>0.46465779260392998</v>
      </c>
      <c r="F5667">
        <v>0.31512299312294101</v>
      </c>
      <c r="G5667">
        <v>0.203079614030615</v>
      </c>
      <c r="H5667">
        <v>0.120383145354824</v>
      </c>
      <c r="I5667">
        <v>0.11201439231570599</v>
      </c>
      <c r="J5667">
        <v>0.15607942915286999</v>
      </c>
      <c r="K5667">
        <v>0.14994203558956501</v>
      </c>
      <c r="L5667">
        <v>998.99824539277097</v>
      </c>
      <c r="M5667">
        <v>20.4136775148095</v>
      </c>
      <c r="N5667">
        <v>49.708871269428897</v>
      </c>
      <c r="O5667">
        <v>48.475330315961301</v>
      </c>
      <c r="P5667">
        <v>-9.0992607417573201E-2</v>
      </c>
      <c r="Q5667">
        <v>0.13572379151814401</v>
      </c>
      <c r="R5667">
        <v>0.99310398002960898</v>
      </c>
      <c r="S5667" t="s">
        <v>12313</v>
      </c>
      <c r="T5667" t="s">
        <v>13290</v>
      </c>
      <c r="U5667" t="s">
        <v>13290</v>
      </c>
      <c r="V5667" t="s">
        <v>13290</v>
      </c>
      <c r="W5667" t="s">
        <v>18906</v>
      </c>
      <c r="X5667">
        <v>3</v>
      </c>
      <c r="Y5667" t="s">
        <v>25383</v>
      </c>
      <c r="Z5667" t="s">
        <v>31997</v>
      </c>
      <c r="AA5667">
        <v>0.4048296475168407</v>
      </c>
      <c r="AB5667" t="str">
        <f>HYPERLINK("Melting_Curves/meltCurve_Q9H496_IFRG15.pdf", "Melting_Curves/meltCurve_Q9H496_IFRG15.pdf")</f>
        <v>Melting_Curves/meltCurve_Q9H496_IFRG15.pdf</v>
      </c>
    </row>
    <row r="5668" spans="1:28" x14ac:dyDescent="0.25">
      <c r="A5668" t="s">
        <v>5672</v>
      </c>
      <c r="B5668">
        <v>0.99252571173614901</v>
      </c>
      <c r="C5668">
        <v>0.99599724496791997</v>
      </c>
      <c r="D5668">
        <v>0.87907015528925003</v>
      </c>
      <c r="E5668">
        <v>0.62679401104823795</v>
      </c>
      <c r="F5668">
        <v>0.44663303368819501</v>
      </c>
      <c r="G5668">
        <v>0.26074047305687098</v>
      </c>
      <c r="H5668">
        <v>0.15729089553510001</v>
      </c>
      <c r="I5668">
        <v>0.16733829915325199</v>
      </c>
      <c r="J5668">
        <v>0.27250596784551501</v>
      </c>
      <c r="K5668">
        <v>0.23790783506755001</v>
      </c>
      <c r="L5668">
        <v>983.22190219547394</v>
      </c>
      <c r="M5668">
        <v>19.583643915488299</v>
      </c>
      <c r="N5668">
        <v>51.558654583267902</v>
      </c>
      <c r="O5668">
        <v>49.691570538843003</v>
      </c>
      <c r="P5668">
        <v>-7.8739459186319402E-2</v>
      </c>
      <c r="Q5668">
        <v>0.200853809817959</v>
      </c>
      <c r="R5668">
        <v>0.98511769928234405</v>
      </c>
      <c r="S5668" t="s">
        <v>12314</v>
      </c>
      <c r="T5668" t="s">
        <v>13290</v>
      </c>
      <c r="U5668" t="s">
        <v>13290</v>
      </c>
      <c r="V5668" t="s">
        <v>13290</v>
      </c>
      <c r="W5668" t="s">
        <v>18907</v>
      </c>
      <c r="X5668">
        <v>4</v>
      </c>
      <c r="Y5668" t="s">
        <v>25384</v>
      </c>
      <c r="Z5668" t="s">
        <v>31998</v>
      </c>
      <c r="AA5668">
        <v>0.48430838164121709</v>
      </c>
      <c r="AB5668" t="str">
        <f>HYPERLINK("Melting_Curves/meltCurve_Q9H497_2_TOR3A.pdf", "Melting_Curves/meltCurve_Q9H497_2_TOR3A.pdf")</f>
        <v>Melting_Curves/meltCurve_Q9H497_2_TOR3A.pdf</v>
      </c>
    </row>
    <row r="5669" spans="1:28" x14ac:dyDescent="0.25">
      <c r="A5669" t="s">
        <v>5673</v>
      </c>
      <c r="B5669">
        <v>0.99252571173614901</v>
      </c>
      <c r="C5669">
        <v>1.06368968770605</v>
      </c>
      <c r="D5669">
        <v>0.97338221117756896</v>
      </c>
      <c r="E5669">
        <v>0.82987784265792597</v>
      </c>
      <c r="F5669">
        <v>0.21839618145968701</v>
      </c>
      <c r="G5669">
        <v>9.8596604226662499E-2</v>
      </c>
      <c r="H5669">
        <v>6.74653185401871E-2</v>
      </c>
      <c r="I5669">
        <v>6.5914711398689901E-2</v>
      </c>
      <c r="J5669">
        <v>7.9818312042872902E-2</v>
      </c>
      <c r="K5669">
        <v>8.0807195680161301E-2</v>
      </c>
      <c r="L5669">
        <v>2310.0371441331799</v>
      </c>
      <c r="M5669">
        <v>45.100454817893301</v>
      </c>
      <c r="N5669">
        <v>51.407072573290101</v>
      </c>
      <c r="O5669">
        <v>51.119422452860597</v>
      </c>
      <c r="P5669">
        <v>-0.20385778365326199</v>
      </c>
      <c r="Q5669">
        <v>7.5745109296512306E-2</v>
      </c>
      <c r="R5669">
        <v>0.99729729705899595</v>
      </c>
      <c r="S5669" t="s">
        <v>12315</v>
      </c>
      <c r="T5669" t="s">
        <v>13290</v>
      </c>
      <c r="U5669" t="s">
        <v>13290</v>
      </c>
      <c r="V5669" t="s">
        <v>13290</v>
      </c>
      <c r="W5669" t="s">
        <v>18908</v>
      </c>
      <c r="X5669">
        <v>26</v>
      </c>
      <c r="Y5669" t="s">
        <v>25385</v>
      </c>
      <c r="Z5669" t="s">
        <v>31999</v>
      </c>
      <c r="AA5669">
        <v>0.42398042166096878</v>
      </c>
      <c r="AB5669" t="str">
        <f>HYPERLINK("Melting_Curves/meltCurve_Q9H4A4_RNPEP.pdf", "Melting_Curves/meltCurve_Q9H4A4_RNPEP.pdf")</f>
        <v>Melting_Curves/meltCurve_Q9H4A4_RNPEP.pdf</v>
      </c>
    </row>
    <row r="5670" spans="1:28" x14ac:dyDescent="0.25">
      <c r="A5670" t="s">
        <v>5674</v>
      </c>
      <c r="B5670">
        <v>0.99252571173614901</v>
      </c>
      <c r="C5670">
        <v>1.01241982336098</v>
      </c>
      <c r="D5670">
        <v>0.74092162809522499</v>
      </c>
      <c r="E5670">
        <v>0.35816782486641802</v>
      </c>
      <c r="F5670">
        <v>0.20361491929471301</v>
      </c>
      <c r="G5670">
        <v>0.106425601650125</v>
      </c>
      <c r="H5670">
        <v>7.8734984001833305E-2</v>
      </c>
      <c r="I5670">
        <v>9.0358699272489906E-2</v>
      </c>
      <c r="J5670">
        <v>8.0352039083323196E-2</v>
      </c>
      <c r="K5670">
        <v>7.9054411412929598E-2</v>
      </c>
      <c r="L5670">
        <v>1165.5056391440901</v>
      </c>
      <c r="M5670">
        <v>24.302086264104702</v>
      </c>
      <c r="N5670">
        <v>48.338049046657403</v>
      </c>
      <c r="O5670">
        <v>47.637875898665797</v>
      </c>
      <c r="P5670">
        <v>-0.116475295309311</v>
      </c>
      <c r="Q5670">
        <v>8.6736475132308199E-2</v>
      </c>
      <c r="R5670">
        <v>0.99543030646529596</v>
      </c>
      <c r="S5670" t="s">
        <v>12316</v>
      </c>
      <c r="T5670" t="s">
        <v>13290</v>
      </c>
      <c r="U5670" t="s">
        <v>13290</v>
      </c>
      <c r="V5670" t="s">
        <v>13290</v>
      </c>
      <c r="W5670" t="s">
        <v>18909</v>
      </c>
      <c r="X5670">
        <v>6</v>
      </c>
      <c r="Y5670" t="s">
        <v>25386</v>
      </c>
      <c r="Z5670" t="s">
        <v>32000</v>
      </c>
      <c r="AA5670">
        <v>0.33760193358035712</v>
      </c>
      <c r="AB5670" t="str">
        <f>HYPERLINK("Melting_Curves/meltCurve_Q9H4A5_GOLPH3L.pdf", "Melting_Curves/meltCurve_Q9H4A5_GOLPH3L.pdf")</f>
        <v>Melting_Curves/meltCurve_Q9H4A5_GOLPH3L.pdf</v>
      </c>
    </row>
    <row r="5671" spans="1:28" x14ac:dyDescent="0.25">
      <c r="A5671" t="s">
        <v>5675</v>
      </c>
      <c r="B5671">
        <v>0.99252571173614901</v>
      </c>
      <c r="C5671">
        <v>0.99616242944784195</v>
      </c>
      <c r="D5671">
        <v>0.91818154961181897</v>
      </c>
      <c r="E5671">
        <v>0.62416549285949097</v>
      </c>
      <c r="F5671">
        <v>0.42036161713196402</v>
      </c>
      <c r="G5671">
        <v>0.12903036865787801</v>
      </c>
      <c r="H5671">
        <v>7.4595382387607406E-2</v>
      </c>
      <c r="I5671">
        <v>7.3270815128899699E-2</v>
      </c>
      <c r="J5671">
        <v>7.1457915392211802E-2</v>
      </c>
      <c r="K5671">
        <v>6.5495067031879503E-2</v>
      </c>
      <c r="L5671">
        <v>980.74684849873597</v>
      </c>
      <c r="M5671">
        <v>19.156462124577502</v>
      </c>
      <c r="N5671">
        <v>51.472116182200601</v>
      </c>
      <c r="O5671">
        <v>50.648541410486501</v>
      </c>
      <c r="P5671">
        <v>-8.9952707885580893E-2</v>
      </c>
      <c r="Q5671">
        <v>4.8718366901925401E-2</v>
      </c>
      <c r="R5671">
        <v>0.99426396010120899</v>
      </c>
      <c r="S5671" t="s">
        <v>12317</v>
      </c>
      <c r="T5671" t="s">
        <v>13290</v>
      </c>
      <c r="U5671" t="s">
        <v>13290</v>
      </c>
      <c r="V5671" t="s">
        <v>13290</v>
      </c>
      <c r="W5671" t="s">
        <v>18910</v>
      </c>
      <c r="X5671">
        <v>8</v>
      </c>
      <c r="Y5671" t="s">
        <v>25387</v>
      </c>
      <c r="Z5671" t="s">
        <v>32001</v>
      </c>
      <c r="AA5671">
        <v>0.41804715173863571</v>
      </c>
      <c r="AB5671" t="str">
        <f>HYPERLINK("Melting_Curves/meltCurve_Q9H4A6_GOLPH3.pdf", "Melting_Curves/meltCurve_Q9H4A6_GOLPH3.pdf")</f>
        <v>Melting_Curves/meltCurve_Q9H4A6_GOLPH3.pdf</v>
      </c>
    </row>
    <row r="5672" spans="1:28" x14ac:dyDescent="0.25">
      <c r="A5672" t="s">
        <v>5676</v>
      </c>
      <c r="B5672">
        <v>0.99252571173614901</v>
      </c>
      <c r="C5672">
        <v>1.1007542565384001</v>
      </c>
      <c r="D5672">
        <v>0.95293344095061305</v>
      </c>
      <c r="E5672">
        <v>0.96206127422575505</v>
      </c>
      <c r="F5672">
        <v>0.22183468199416301</v>
      </c>
      <c r="G5672">
        <v>0.12672961559776699</v>
      </c>
      <c r="H5672">
        <v>8.1237367509660902E-2</v>
      </c>
      <c r="I5672">
        <v>9.7161813624498494E-2</v>
      </c>
      <c r="J5672">
        <v>0.104191777951801</v>
      </c>
      <c r="K5672">
        <v>0.127460508815324</v>
      </c>
      <c r="L5672">
        <v>3660.3747898869401</v>
      </c>
      <c r="M5672">
        <v>70.710486523424393</v>
      </c>
      <c r="N5672">
        <v>51.942366658019203</v>
      </c>
      <c r="O5672">
        <v>51.724300269232401</v>
      </c>
      <c r="P5672">
        <v>-0.30522955754228198</v>
      </c>
      <c r="Q5672">
        <v>0.106905783194679</v>
      </c>
      <c r="R5672">
        <v>0.99253901664002098</v>
      </c>
      <c r="S5672" t="s">
        <v>12318</v>
      </c>
      <c r="T5672" t="s">
        <v>13290</v>
      </c>
      <c r="U5672" t="s">
        <v>13290</v>
      </c>
      <c r="V5672" t="s">
        <v>13290</v>
      </c>
      <c r="W5672" t="s">
        <v>18911</v>
      </c>
      <c r="X5672">
        <v>5</v>
      </c>
      <c r="Y5672" t="s">
        <v>25388</v>
      </c>
      <c r="Z5672" t="s">
        <v>32002</v>
      </c>
      <c r="AA5672">
        <v>0.4581839207973053</v>
      </c>
      <c r="AB5672" t="str">
        <f>HYPERLINK("Melting_Curves/meltCurve_Q9H4B0_OSGEPL1.pdf", "Melting_Curves/meltCurve_Q9H4B0_OSGEPL1.pdf")</f>
        <v>Melting_Curves/meltCurve_Q9H4B0_OSGEPL1.pdf</v>
      </c>
    </row>
    <row r="5673" spans="1:28" x14ac:dyDescent="0.25">
      <c r="A5673" t="s">
        <v>5677</v>
      </c>
      <c r="B5673">
        <v>0.99252571173614901</v>
      </c>
      <c r="C5673">
        <v>0.99690784707929903</v>
      </c>
      <c r="D5673">
        <v>0.718559362529963</v>
      </c>
      <c r="E5673">
        <v>0.46308486835236601</v>
      </c>
      <c r="F5673">
        <v>0.30931635500290999</v>
      </c>
      <c r="G5673">
        <v>0.17327412149207999</v>
      </c>
      <c r="H5673">
        <v>0.12516929686839201</v>
      </c>
      <c r="I5673">
        <v>0.138801527377068</v>
      </c>
      <c r="J5673">
        <v>0.18661895093095701</v>
      </c>
      <c r="K5673">
        <v>0.187914766077451</v>
      </c>
      <c r="L5673">
        <v>959.10476555865205</v>
      </c>
      <c r="M5673">
        <v>19.9156989855876</v>
      </c>
      <c r="N5673">
        <v>49.083256342230499</v>
      </c>
      <c r="O5673">
        <v>47.6805683897188</v>
      </c>
      <c r="P5673">
        <v>-8.8086441656505199E-2</v>
      </c>
      <c r="Q5673">
        <v>0.156469965372696</v>
      </c>
      <c r="R5673">
        <v>0.98860169713124901</v>
      </c>
      <c r="S5673" t="s">
        <v>12319</v>
      </c>
      <c r="T5673" t="s">
        <v>13290</v>
      </c>
      <c r="U5673" t="s">
        <v>13290</v>
      </c>
      <c r="V5673" t="s">
        <v>13290</v>
      </c>
      <c r="W5673" t="s">
        <v>18912</v>
      </c>
      <c r="X5673">
        <v>4</v>
      </c>
      <c r="Y5673" t="s">
        <v>25389</v>
      </c>
      <c r="Z5673" t="s">
        <v>32003</v>
      </c>
      <c r="AA5673">
        <v>0.39791779930747972</v>
      </c>
      <c r="AB5673" t="str">
        <f>HYPERLINK("Melting_Curves/meltCurve_Q9H4I2_ZHX3.pdf", "Melting_Curves/meltCurve_Q9H4I2_ZHX3.pdf")</f>
        <v>Melting_Curves/meltCurve_Q9H4I2_ZHX3.pdf</v>
      </c>
    </row>
    <row r="5674" spans="1:28" x14ac:dyDescent="0.25">
      <c r="A5674" t="s">
        <v>5678</v>
      </c>
      <c r="B5674">
        <v>0.99252571173614901</v>
      </c>
      <c r="C5674">
        <v>0.89223752342046503</v>
      </c>
      <c r="D5674">
        <v>0.45498153580752299</v>
      </c>
      <c r="E5674">
        <v>0.21021265815792101</v>
      </c>
      <c r="F5674">
        <v>7.8978921682895498E-2</v>
      </c>
      <c r="G5674">
        <v>4.2008830062454802E-2</v>
      </c>
      <c r="H5674">
        <v>2.7003588048958801E-2</v>
      </c>
      <c r="I5674">
        <v>3.3416176361441098E-2</v>
      </c>
      <c r="J5674">
        <v>4.5148696634914699E-2</v>
      </c>
      <c r="K5674">
        <v>5.2761361971518199E-2</v>
      </c>
      <c r="L5674">
        <v>1175.2256015963101</v>
      </c>
      <c r="M5674">
        <v>25.660629635831199</v>
      </c>
      <c r="N5674">
        <v>45.967741201941898</v>
      </c>
      <c r="O5674">
        <v>45.523353332278099</v>
      </c>
      <c r="P5674">
        <v>-0.13458060620548101</v>
      </c>
      <c r="Q5674">
        <v>4.49983129420891E-2</v>
      </c>
      <c r="R5674">
        <v>0.99502252737901797</v>
      </c>
      <c r="S5674" t="s">
        <v>12320</v>
      </c>
      <c r="T5674" t="s">
        <v>13290</v>
      </c>
      <c r="U5674" t="s">
        <v>13290</v>
      </c>
      <c r="V5674" t="s">
        <v>13290</v>
      </c>
      <c r="W5674" t="s">
        <v>18913</v>
      </c>
      <c r="X5674">
        <v>3</v>
      </c>
      <c r="Y5674" t="s">
        <v>25390</v>
      </c>
      <c r="Z5674" t="s">
        <v>32004</v>
      </c>
      <c r="AA5674">
        <v>0.2379899686118862</v>
      </c>
      <c r="AB5674" t="str">
        <f>HYPERLINK("Melting_Curves/meltCurve_Q9H4K7_GTPBP5.pdf", "Melting_Curves/meltCurve_Q9H4K7_GTPBP5.pdf")</f>
        <v>Melting_Curves/meltCurve_Q9H4K7_GTPBP5.pdf</v>
      </c>
    </row>
    <row r="5675" spans="1:28" x14ac:dyDescent="0.25">
      <c r="A5675" t="s">
        <v>5679</v>
      </c>
      <c r="B5675">
        <v>0.99252571173614901</v>
      </c>
      <c r="C5675">
        <v>0.71385792602277198</v>
      </c>
      <c r="D5675">
        <v>0.174818640731569</v>
      </c>
      <c r="E5675">
        <v>0.129695374399069</v>
      </c>
      <c r="F5675">
        <v>4.2024869937018497E-2</v>
      </c>
      <c r="G5675">
        <v>5.29394969140446E-2</v>
      </c>
      <c r="H5675">
        <v>3.8684201581471803E-2</v>
      </c>
      <c r="I5675">
        <v>6.12197961738324E-2</v>
      </c>
      <c r="J5675">
        <v>0.28102706352729501</v>
      </c>
      <c r="K5675">
        <v>0.32199786516380702</v>
      </c>
      <c r="L5675">
        <v>2351.2924701615598</v>
      </c>
      <c r="M5675">
        <v>54.099148673724002</v>
      </c>
      <c r="N5675">
        <v>43.711275297373099</v>
      </c>
      <c r="O5675">
        <v>43.4033907385299</v>
      </c>
      <c r="P5675">
        <v>-0.27033983449030802</v>
      </c>
      <c r="Q5675">
        <v>0.13243316309272099</v>
      </c>
      <c r="R5675">
        <v>0.90864077302535096</v>
      </c>
      <c r="S5675" t="s">
        <v>12321</v>
      </c>
      <c r="T5675" t="s">
        <v>13290</v>
      </c>
      <c r="U5675" t="s">
        <v>13290</v>
      </c>
      <c r="V5675" t="s">
        <v>13290</v>
      </c>
      <c r="W5675" t="s">
        <v>18914</v>
      </c>
      <c r="X5675">
        <v>3</v>
      </c>
      <c r="Y5675" t="s">
        <v>25391</v>
      </c>
      <c r="Z5675" t="s">
        <v>32005</v>
      </c>
      <c r="AA5675">
        <v>0.23416412318840821</v>
      </c>
      <c r="AB5675" t="str">
        <f>HYPERLINK("Melting_Curves/meltCurve_Q9H4L5_2_OSBPL3.pdf", "Melting_Curves/meltCurve_Q9H4L5_2_OSBPL3.pdf")</f>
        <v>Melting_Curves/meltCurve_Q9H4L5_2_OSBPL3.pdf</v>
      </c>
    </row>
    <row r="5676" spans="1:28" x14ac:dyDescent="0.25">
      <c r="A5676" t="s">
        <v>5680</v>
      </c>
      <c r="B5676">
        <v>0.99252571173614901</v>
      </c>
      <c r="C5676">
        <v>1.0106123351252501</v>
      </c>
      <c r="D5676">
        <v>0.81673431069154301</v>
      </c>
      <c r="E5676">
        <v>0.50615202975228102</v>
      </c>
      <c r="F5676">
        <v>0.265770981462433</v>
      </c>
      <c r="G5676">
        <v>0.19089438735375799</v>
      </c>
      <c r="H5676">
        <v>0.167884740653097</v>
      </c>
      <c r="I5676">
        <v>0.19067325495954199</v>
      </c>
      <c r="J5676">
        <v>0.25857716906802097</v>
      </c>
      <c r="K5676">
        <v>0.23756204190386199</v>
      </c>
      <c r="L5676">
        <v>1272.8160635260899</v>
      </c>
      <c r="M5676">
        <v>26.265395967372701</v>
      </c>
      <c r="N5676">
        <v>49.452881167965003</v>
      </c>
      <c r="O5676">
        <v>48.181515131900298</v>
      </c>
      <c r="P5676">
        <v>-0.108354394319293</v>
      </c>
      <c r="Q5676">
        <v>0.204943082273053</v>
      </c>
      <c r="R5676">
        <v>0.99140058551343202</v>
      </c>
      <c r="S5676" t="s">
        <v>12322</v>
      </c>
      <c r="T5676" t="s">
        <v>13290</v>
      </c>
      <c r="U5676" t="s">
        <v>13290</v>
      </c>
      <c r="V5676" t="s">
        <v>13290</v>
      </c>
      <c r="W5676" t="s">
        <v>18915</v>
      </c>
      <c r="X5676">
        <v>13</v>
      </c>
      <c r="Y5676" t="s">
        <v>25392</v>
      </c>
      <c r="Z5676" t="s">
        <v>32006</v>
      </c>
      <c r="AA5676">
        <v>0.43548275881407689</v>
      </c>
      <c r="AB5676" t="str">
        <f>HYPERLINK("Melting_Curves/meltCurve_Q9H4L7_2_SMARCAD1.pdf", "Melting_Curves/meltCurve_Q9H4L7_2_SMARCAD1.pdf")</f>
        <v>Melting_Curves/meltCurve_Q9H4L7_2_SMARCAD1.pdf</v>
      </c>
    </row>
    <row r="5677" spans="1:28" x14ac:dyDescent="0.25">
      <c r="A5677" t="s">
        <v>5681</v>
      </c>
      <c r="B5677">
        <v>0.99252571173614901</v>
      </c>
      <c r="C5677">
        <v>0.94937057697914695</v>
      </c>
      <c r="D5677">
        <v>0.905440025714771</v>
      </c>
      <c r="E5677">
        <v>0.73188551437016802</v>
      </c>
      <c r="F5677">
        <v>0.20847784513461501</v>
      </c>
      <c r="G5677">
        <v>0.104573098043313</v>
      </c>
      <c r="H5677">
        <v>7.1025740148457195E-2</v>
      </c>
      <c r="I5677">
        <v>6.5026096543615006E-2</v>
      </c>
      <c r="J5677">
        <v>7.0350392466227402E-2</v>
      </c>
      <c r="K5677">
        <v>6.5892219346318601E-2</v>
      </c>
      <c r="L5677">
        <v>1723.0680085905201</v>
      </c>
      <c r="M5677">
        <v>33.943303739068597</v>
      </c>
      <c r="N5677">
        <v>50.978943046268803</v>
      </c>
      <c r="O5677">
        <v>50.587886661232403</v>
      </c>
      <c r="P5677">
        <v>-0.156519036341488</v>
      </c>
      <c r="Q5677">
        <v>6.6922054207362094E-2</v>
      </c>
      <c r="R5677">
        <v>0.99486074858714901</v>
      </c>
      <c r="S5677" t="s">
        <v>12323</v>
      </c>
      <c r="T5677" t="s">
        <v>13290</v>
      </c>
      <c r="U5677" t="s">
        <v>13290</v>
      </c>
      <c r="V5677" t="s">
        <v>13290</v>
      </c>
      <c r="W5677" t="s">
        <v>18916</v>
      </c>
      <c r="X5677">
        <v>23</v>
      </c>
      <c r="Y5677" t="s">
        <v>25393</v>
      </c>
      <c r="Z5677" t="s">
        <v>32007</v>
      </c>
      <c r="AA5677">
        <v>0.4062413822633405</v>
      </c>
      <c r="AB5677" t="str">
        <f>HYPERLINK("Melting_Curves/meltCurve_Q9H4M9_EHD1.pdf", "Melting_Curves/meltCurve_Q9H4M9_EHD1.pdf")</f>
        <v>Melting_Curves/meltCurve_Q9H4M9_EHD1.pdf</v>
      </c>
    </row>
    <row r="5678" spans="1:28" x14ac:dyDescent="0.25">
      <c r="A5678" t="s">
        <v>5682</v>
      </c>
      <c r="B5678">
        <v>0.99252571173614901</v>
      </c>
      <c r="C5678">
        <v>0.95650365378555402</v>
      </c>
      <c r="D5678">
        <v>0.86266808718156196</v>
      </c>
      <c r="E5678">
        <v>0.65758441279226099</v>
      </c>
      <c r="F5678">
        <v>0.35107554993777701</v>
      </c>
      <c r="G5678">
        <v>0.153655208492604</v>
      </c>
      <c r="H5678">
        <v>0.142187563636715</v>
      </c>
      <c r="I5678">
        <v>0.14011605460655899</v>
      </c>
      <c r="J5678">
        <v>0.214864904251996</v>
      </c>
      <c r="K5678">
        <v>0.204351955934436</v>
      </c>
      <c r="L5678">
        <v>1135.48322913933</v>
      </c>
      <c r="M5678">
        <v>22.6505100027127</v>
      </c>
      <c r="N5678">
        <v>50.993306521589297</v>
      </c>
      <c r="O5678">
        <v>49.744737640734897</v>
      </c>
      <c r="P5678">
        <v>-9.5717227440989899E-2</v>
      </c>
      <c r="Q5678">
        <v>0.15916529767174301</v>
      </c>
      <c r="R5678">
        <v>0.98861877570053203</v>
      </c>
      <c r="S5678" t="s">
        <v>12324</v>
      </c>
      <c r="T5678" t="s">
        <v>13290</v>
      </c>
      <c r="U5678" t="s">
        <v>13290</v>
      </c>
      <c r="V5678" t="s">
        <v>13290</v>
      </c>
      <c r="W5678" t="s">
        <v>18917</v>
      </c>
      <c r="X5678">
        <v>2</v>
      </c>
      <c r="Y5678" t="s">
        <v>25394</v>
      </c>
      <c r="Z5678" t="s">
        <v>32008</v>
      </c>
      <c r="AA5678">
        <v>0.45226656034476598</v>
      </c>
      <c r="AB5678" t="str">
        <f>HYPERLINK("Melting_Curves/meltCurve_Q9H4P4_2_RNF41.pdf", "Melting_Curves/meltCurve_Q9H4P4_2_RNF41.pdf")</f>
        <v>Melting_Curves/meltCurve_Q9H4P4_2_RNF41.pdf</v>
      </c>
    </row>
    <row r="5679" spans="1:28" x14ac:dyDescent="0.25">
      <c r="A5679" t="s">
        <v>5683</v>
      </c>
      <c r="B5679">
        <v>0.99252571173614901</v>
      </c>
      <c r="C5679">
        <v>1.03610034564389</v>
      </c>
      <c r="D5679">
        <v>0.93097774949861301</v>
      </c>
      <c r="E5679">
        <v>0.517884038902655</v>
      </c>
      <c r="F5679">
        <v>0.19752390196667599</v>
      </c>
      <c r="G5679">
        <v>0.121316443133843</v>
      </c>
      <c r="H5679">
        <v>9.3896924285144401E-2</v>
      </c>
      <c r="I5679">
        <v>0.10724411554183701</v>
      </c>
      <c r="J5679">
        <v>0.121495600959295</v>
      </c>
      <c r="K5679">
        <v>0.13201005027625501</v>
      </c>
      <c r="L5679">
        <v>1660.2003676813199</v>
      </c>
      <c r="M5679">
        <v>33.630328752451298</v>
      </c>
      <c r="N5679">
        <v>49.750045425077303</v>
      </c>
      <c r="O5679">
        <v>49.192594307885301</v>
      </c>
      <c r="P5679">
        <v>-0.15137930954991599</v>
      </c>
      <c r="Q5679">
        <v>0.114286365094078</v>
      </c>
      <c r="R5679">
        <v>0.99809624108998896</v>
      </c>
      <c r="S5679" t="s">
        <v>12325</v>
      </c>
      <c r="T5679" t="s">
        <v>13290</v>
      </c>
      <c r="U5679" t="s">
        <v>13290</v>
      </c>
      <c r="V5679" t="s">
        <v>13290</v>
      </c>
      <c r="W5679" t="s">
        <v>18918</v>
      </c>
      <c r="X5679">
        <v>12</v>
      </c>
      <c r="Y5679" t="s">
        <v>25395</v>
      </c>
      <c r="Z5679" t="s">
        <v>32009</v>
      </c>
      <c r="AA5679">
        <v>0.39510946991350882</v>
      </c>
      <c r="AB5679" t="str">
        <f>HYPERLINK("Melting_Curves/meltCurve_Q9H4Z3_PCIF1.pdf", "Melting_Curves/meltCurve_Q9H4Z3_PCIF1.pdf")</f>
        <v>Melting_Curves/meltCurve_Q9H4Z3_PCIF1.pdf</v>
      </c>
    </row>
    <row r="5680" spans="1:28" x14ac:dyDescent="0.25">
      <c r="A5680" t="s">
        <v>5684</v>
      </c>
      <c r="B5680">
        <v>0.99252571173614901</v>
      </c>
      <c r="C5680">
        <v>0.78552785096980504</v>
      </c>
      <c r="D5680">
        <v>0.52861271202968596</v>
      </c>
      <c r="E5680">
        <v>0.43278299759801397</v>
      </c>
      <c r="F5680">
        <v>0.31229693874893999</v>
      </c>
      <c r="G5680">
        <v>0.21058865971412899</v>
      </c>
      <c r="H5680">
        <v>0.25423487600755801</v>
      </c>
      <c r="I5680">
        <v>0.34030007125519901</v>
      </c>
      <c r="J5680">
        <v>0.41486869386748498</v>
      </c>
      <c r="K5680">
        <v>0.28949776526347398</v>
      </c>
      <c r="L5680">
        <v>995.66940527672602</v>
      </c>
      <c r="M5680">
        <v>22.297184799041901</v>
      </c>
      <c r="N5680">
        <v>46.635824055400697</v>
      </c>
      <c r="O5680">
        <v>44.2999636850952</v>
      </c>
      <c r="P5680">
        <v>-8.73149140638496E-2</v>
      </c>
      <c r="Q5680">
        <v>0.30610695353616602</v>
      </c>
      <c r="R5680">
        <v>0.94342020294558404</v>
      </c>
      <c r="S5680" t="s">
        <v>12326</v>
      </c>
      <c r="T5680" t="s">
        <v>13290</v>
      </c>
      <c r="U5680" t="s">
        <v>13290</v>
      </c>
      <c r="V5680" t="s">
        <v>13290</v>
      </c>
      <c r="W5680" t="s">
        <v>18919</v>
      </c>
      <c r="X5680">
        <v>15</v>
      </c>
      <c r="Y5680" t="s">
        <v>25396</v>
      </c>
      <c r="Z5680" t="s">
        <v>32010</v>
      </c>
      <c r="AA5680">
        <v>0.42324143678352227</v>
      </c>
      <c r="AB5680" t="str">
        <f>HYPERLINK("Melting_Curves/meltCurve_Q9H501_ESF1.pdf", "Melting_Curves/meltCurve_Q9H501_ESF1.pdf")</f>
        <v>Melting_Curves/meltCurve_Q9H501_ESF1.pdf</v>
      </c>
    </row>
    <row r="5681" spans="1:28" x14ac:dyDescent="0.25">
      <c r="A5681" t="s">
        <v>5685</v>
      </c>
      <c r="B5681">
        <v>0.99252571173614901</v>
      </c>
      <c r="C5681">
        <v>0.98824688433556096</v>
      </c>
      <c r="D5681">
        <v>0.91341105532683697</v>
      </c>
      <c r="E5681">
        <v>0.760002054420851</v>
      </c>
      <c r="F5681">
        <v>0.29069337997949901</v>
      </c>
      <c r="G5681">
        <v>0.10657715620975999</v>
      </c>
      <c r="H5681">
        <v>7.9494321300453696E-2</v>
      </c>
      <c r="I5681">
        <v>9.4746369472974504E-2</v>
      </c>
      <c r="J5681">
        <v>0.10462562101594</v>
      </c>
      <c r="K5681">
        <v>0.105621054772502</v>
      </c>
      <c r="L5681">
        <v>1606.1999187067599</v>
      </c>
      <c r="M5681">
        <v>31.437849832588</v>
      </c>
      <c r="N5681">
        <v>51.413673229810101</v>
      </c>
      <c r="O5681">
        <v>50.885886292254398</v>
      </c>
      <c r="P5681">
        <v>-0.14063610599123999</v>
      </c>
      <c r="Q5681">
        <v>8.9460111665168804E-2</v>
      </c>
      <c r="R5681">
        <v>0.99673318654294396</v>
      </c>
      <c r="S5681" t="s">
        <v>12327</v>
      </c>
      <c r="T5681" t="s">
        <v>13290</v>
      </c>
      <c r="U5681" t="s">
        <v>13290</v>
      </c>
      <c r="V5681" t="s">
        <v>13290</v>
      </c>
      <c r="W5681" t="s">
        <v>18920</v>
      </c>
      <c r="X5681">
        <v>11</v>
      </c>
      <c r="Y5681" t="s">
        <v>25397</v>
      </c>
      <c r="Z5681" t="s">
        <v>32011</v>
      </c>
      <c r="AA5681">
        <v>0.43131529523422812</v>
      </c>
      <c r="AB5681" t="str">
        <f>HYPERLINK("Melting_Curves/meltCurve_Q9H553_ALG2.pdf", "Melting_Curves/meltCurve_Q9H553_ALG2.pdf")</f>
        <v>Melting_Curves/meltCurve_Q9H553_ALG2.pdf</v>
      </c>
    </row>
    <row r="5682" spans="1:28" x14ac:dyDescent="0.25">
      <c r="A5682" t="s">
        <v>5686</v>
      </c>
      <c r="B5682">
        <v>0.99252571173614901</v>
      </c>
      <c r="C5682">
        <v>0.86746316207944596</v>
      </c>
      <c r="D5682">
        <v>0.77762262560364104</v>
      </c>
      <c r="E5682">
        <v>0.52628312447853298</v>
      </c>
      <c r="F5682">
        <v>0.39554601244931897</v>
      </c>
      <c r="G5682">
        <v>0.22948382030366701</v>
      </c>
      <c r="H5682">
        <v>0.18421999528312899</v>
      </c>
      <c r="I5682">
        <v>0.200933216886613</v>
      </c>
      <c r="J5682">
        <v>0.31397256886178299</v>
      </c>
      <c r="K5682">
        <v>0.27432325221340198</v>
      </c>
      <c r="L5682">
        <v>815.14712180115805</v>
      </c>
      <c r="M5682">
        <v>16.915367136603098</v>
      </c>
      <c r="N5682">
        <v>49.992357784714301</v>
      </c>
      <c r="O5682">
        <v>47.531357840357202</v>
      </c>
      <c r="P5682">
        <v>-6.8661559977177794E-2</v>
      </c>
      <c r="Q5682">
        <v>0.22830623047559201</v>
      </c>
      <c r="R5682">
        <v>0.97401160738654302</v>
      </c>
      <c r="S5682" t="s">
        <v>12328</v>
      </c>
      <c r="T5682" t="s">
        <v>13290</v>
      </c>
      <c r="U5682" t="s">
        <v>13290</v>
      </c>
      <c r="V5682" t="s">
        <v>13290</v>
      </c>
      <c r="W5682" t="s">
        <v>18921</v>
      </c>
      <c r="X5682">
        <v>11</v>
      </c>
      <c r="Y5682" t="s">
        <v>25398</v>
      </c>
      <c r="Z5682" t="s">
        <v>32012</v>
      </c>
      <c r="AA5682">
        <v>0.45444513367401151</v>
      </c>
      <c r="AB5682" t="str">
        <f>HYPERLINK("Melting_Curves/meltCurve_Q9H583_HEATR1.pdf", "Melting_Curves/meltCurve_Q9H583_HEATR1.pdf")</f>
        <v>Melting_Curves/meltCurve_Q9H583_HEATR1.pdf</v>
      </c>
    </row>
    <row r="5683" spans="1:28" x14ac:dyDescent="0.25">
      <c r="A5683" t="s">
        <v>5687</v>
      </c>
      <c r="B5683">
        <v>0.99252571173614901</v>
      </c>
      <c r="C5683">
        <v>0.87313460073835003</v>
      </c>
      <c r="D5683">
        <v>0.72146773233297701</v>
      </c>
      <c r="E5683">
        <v>0.35400064635404499</v>
      </c>
      <c r="F5683">
        <v>7.1123128727728094E-2</v>
      </c>
      <c r="G5683">
        <v>3.0940494228486801E-2</v>
      </c>
      <c r="H5683">
        <v>1.6619200899813402E-2</v>
      </c>
      <c r="I5683">
        <v>1.6565304664212199E-2</v>
      </c>
      <c r="J5683">
        <v>2.9282815238274001E-2</v>
      </c>
      <c r="K5683">
        <v>1.9111338358443E-2</v>
      </c>
      <c r="L5683">
        <v>1015.64329565735</v>
      </c>
      <c r="M5683">
        <v>21.2038854746013</v>
      </c>
      <c r="N5683">
        <v>47.932132155278502</v>
      </c>
      <c r="O5683">
        <v>47.479003825064602</v>
      </c>
      <c r="P5683">
        <v>-0.11083808444297499</v>
      </c>
      <c r="Q5683">
        <v>7.2866915578725404E-3</v>
      </c>
      <c r="R5683">
        <v>0.99597153807418404</v>
      </c>
      <c r="S5683" t="s">
        <v>12329</v>
      </c>
      <c r="T5683" t="s">
        <v>13290</v>
      </c>
      <c r="U5683" t="s">
        <v>13290</v>
      </c>
      <c r="V5683" t="s">
        <v>13290</v>
      </c>
      <c r="W5683" t="s">
        <v>18922</v>
      </c>
      <c r="X5683">
        <v>4</v>
      </c>
      <c r="Y5683" t="s">
        <v>25399</v>
      </c>
      <c r="Z5683" t="s">
        <v>32013</v>
      </c>
      <c r="AA5683">
        <v>0.28114585998220942</v>
      </c>
      <c r="AB5683" t="str">
        <f>HYPERLINK("Melting_Curves/meltCurve_Q9H5K3_SGK196.pdf", "Melting_Curves/meltCurve_Q9H5K3_SGK196.pdf")</f>
        <v>Melting_Curves/meltCurve_Q9H5K3_SGK196.pdf</v>
      </c>
    </row>
    <row r="5684" spans="1:28" x14ac:dyDescent="0.25">
      <c r="A5684" t="s">
        <v>5688</v>
      </c>
      <c r="B5684">
        <v>0.99252571173614901</v>
      </c>
      <c r="C5684">
        <v>0.93603727231794698</v>
      </c>
      <c r="D5684">
        <v>0.38464462068802602</v>
      </c>
      <c r="E5684">
        <v>0.25023546306442601</v>
      </c>
      <c r="F5684">
        <v>0.173012759469587</v>
      </c>
      <c r="G5684">
        <v>0.11377733674478301</v>
      </c>
      <c r="H5684">
        <v>8.5155483522005401E-2</v>
      </c>
      <c r="I5684">
        <v>9.3248412346602597E-2</v>
      </c>
      <c r="J5684">
        <v>0.118100422462476</v>
      </c>
      <c r="K5684">
        <v>0.11690029712104701</v>
      </c>
      <c r="L5684">
        <v>1847.5614541431701</v>
      </c>
      <c r="M5684">
        <v>40.922802036563397</v>
      </c>
      <c r="N5684">
        <v>45.482807427930801</v>
      </c>
      <c r="O5684">
        <v>45.040086523251702</v>
      </c>
      <c r="P5684">
        <v>-0.19756771806526499</v>
      </c>
      <c r="Q5684">
        <v>0.130221077855532</v>
      </c>
      <c r="R5684">
        <v>0.98475389506009103</v>
      </c>
      <c r="S5684" t="s">
        <v>12330</v>
      </c>
      <c r="T5684" t="s">
        <v>13290</v>
      </c>
      <c r="U5684" t="s">
        <v>13290</v>
      </c>
      <c r="V5684" t="s">
        <v>13290</v>
      </c>
      <c r="W5684" t="s">
        <v>18923</v>
      </c>
      <c r="X5684">
        <v>18</v>
      </c>
      <c r="Y5684" t="s">
        <v>25400</v>
      </c>
      <c r="Z5684" t="s">
        <v>32014</v>
      </c>
      <c r="AA5684">
        <v>0.28217712170888409</v>
      </c>
      <c r="AB5684" t="str">
        <f>HYPERLINK("Melting_Curves/meltCurve_Q9H5N1_RABEP2.pdf", "Melting_Curves/meltCurve_Q9H5N1_RABEP2.pdf")</f>
        <v>Melting_Curves/meltCurve_Q9H5N1_RABEP2.pdf</v>
      </c>
    </row>
    <row r="5685" spans="1:28" x14ac:dyDescent="0.25">
      <c r="A5685" t="s">
        <v>5689</v>
      </c>
      <c r="B5685">
        <v>0.99252571173614901</v>
      </c>
      <c r="C5685">
        <v>0.97255902901650204</v>
      </c>
      <c r="D5685">
        <v>0.85061229153160001</v>
      </c>
      <c r="E5685">
        <v>0.57362464576356398</v>
      </c>
      <c r="F5685">
        <v>0.184865522275275</v>
      </c>
      <c r="G5685">
        <v>0.11108370280751199</v>
      </c>
      <c r="H5685">
        <v>8.1405711510156006E-2</v>
      </c>
      <c r="I5685">
        <v>7.3490080881495307E-2</v>
      </c>
      <c r="J5685">
        <v>9.6465491313356896E-2</v>
      </c>
      <c r="K5685">
        <v>7.81306756542961E-2</v>
      </c>
      <c r="L5685">
        <v>1232.90267211731</v>
      </c>
      <c r="M5685">
        <v>24.848936625549101</v>
      </c>
      <c r="N5685">
        <v>49.938109243592002</v>
      </c>
      <c r="O5685">
        <v>49.297927136517401</v>
      </c>
      <c r="P5685">
        <v>-0.11668245670274099</v>
      </c>
      <c r="Q5685">
        <v>7.4065184973779299E-2</v>
      </c>
      <c r="R5685">
        <v>0.99707974216821105</v>
      </c>
      <c r="S5685" t="s">
        <v>12331</v>
      </c>
      <c r="T5685" t="s">
        <v>13290</v>
      </c>
      <c r="U5685" t="s">
        <v>13290</v>
      </c>
      <c r="V5685" t="s">
        <v>13290</v>
      </c>
      <c r="W5685" t="s">
        <v>18924</v>
      </c>
      <c r="X5685">
        <v>10</v>
      </c>
      <c r="Y5685" t="s">
        <v>25401</v>
      </c>
      <c r="Z5685" t="s">
        <v>32015</v>
      </c>
      <c r="AA5685">
        <v>0.37920256031254129</v>
      </c>
      <c r="AB5685" t="str">
        <f>HYPERLINK("Melting_Curves/meltCurve_Q9H5Q4_TFB2M.pdf", "Melting_Curves/meltCurve_Q9H5Q4_TFB2M.pdf")</f>
        <v>Melting_Curves/meltCurve_Q9H5Q4_TFB2M.pdf</v>
      </c>
    </row>
    <row r="5686" spans="1:28" x14ac:dyDescent="0.25">
      <c r="A5686" t="s">
        <v>5690</v>
      </c>
      <c r="B5686">
        <v>0.99252571173614901</v>
      </c>
      <c r="C5686">
        <v>0.92941904614472304</v>
      </c>
      <c r="D5686">
        <v>0.88033715582578898</v>
      </c>
      <c r="E5686">
        <v>0.904179213953341</v>
      </c>
      <c r="F5686">
        <v>0.67850437601833802</v>
      </c>
      <c r="G5686">
        <v>0.46691261153976599</v>
      </c>
      <c r="H5686">
        <v>0.32036525583275799</v>
      </c>
      <c r="I5686">
        <v>0.36282513562208102</v>
      </c>
      <c r="J5686">
        <v>0.56831451684742995</v>
      </c>
      <c r="K5686">
        <v>0.41220846011608397</v>
      </c>
      <c r="L5686">
        <v>1442.4313619007</v>
      </c>
      <c r="M5686">
        <v>27.4598260136456</v>
      </c>
      <c r="N5686">
        <v>56.073644127987301</v>
      </c>
      <c r="O5686">
        <v>52.252596389318199</v>
      </c>
      <c r="P5686">
        <v>-7.7267574386619603E-2</v>
      </c>
      <c r="Q5686">
        <v>0.41188377766527701</v>
      </c>
      <c r="R5686">
        <v>0.90844611394708297</v>
      </c>
      <c r="S5686" t="s">
        <v>12332</v>
      </c>
      <c r="T5686" t="s">
        <v>13290</v>
      </c>
      <c r="U5686" t="s">
        <v>13290</v>
      </c>
      <c r="V5686" t="s">
        <v>13290</v>
      </c>
      <c r="W5686" t="s">
        <v>18925</v>
      </c>
      <c r="X5686">
        <v>10</v>
      </c>
      <c r="Y5686" t="s">
        <v>25402</v>
      </c>
      <c r="Z5686" t="s">
        <v>32016</v>
      </c>
      <c r="AA5686">
        <v>0.66200089149042729</v>
      </c>
      <c r="AB5686" t="str">
        <f>HYPERLINK("Melting_Curves/meltCurve_Q9H5V8_CDCP1.pdf", "Melting_Curves/meltCurve_Q9H5V8_CDCP1.pdf")</f>
        <v>Melting_Curves/meltCurve_Q9H5V8_CDCP1.pdf</v>
      </c>
    </row>
    <row r="5687" spans="1:28" x14ac:dyDescent="0.25">
      <c r="A5687" t="s">
        <v>5691</v>
      </c>
      <c r="B5687">
        <v>0.99252571173614901</v>
      </c>
      <c r="C5687">
        <v>1.07681051284177</v>
      </c>
      <c r="D5687">
        <v>0.96131677441012697</v>
      </c>
      <c r="E5687">
        <v>0.71507847778219302</v>
      </c>
      <c r="F5687">
        <v>0.28465770590505302</v>
      </c>
      <c r="G5687">
        <v>0.109522434830522</v>
      </c>
      <c r="H5687">
        <v>6.6890309302953005E-2</v>
      </c>
      <c r="I5687">
        <v>6.1197147458092897E-2</v>
      </c>
      <c r="J5687">
        <v>7.6528685068790694E-2</v>
      </c>
      <c r="K5687">
        <v>8.4944240547046093E-2</v>
      </c>
      <c r="L5687">
        <v>1522.2814956197401</v>
      </c>
      <c r="M5687">
        <v>29.851883129674899</v>
      </c>
      <c r="N5687">
        <v>51.253289680579499</v>
      </c>
      <c r="O5687">
        <v>50.767290628494202</v>
      </c>
      <c r="P5687">
        <v>-0.13671996794921501</v>
      </c>
      <c r="Q5687">
        <v>6.9960716521300495E-2</v>
      </c>
      <c r="R5687">
        <v>0.99594614851012597</v>
      </c>
      <c r="S5687" t="s">
        <v>12333</v>
      </c>
      <c r="T5687" t="s">
        <v>13290</v>
      </c>
      <c r="U5687" t="s">
        <v>13290</v>
      </c>
      <c r="V5687" t="s">
        <v>13290</v>
      </c>
      <c r="W5687" t="s">
        <v>18926</v>
      </c>
      <c r="X5687">
        <v>8</v>
      </c>
      <c r="Y5687" t="s">
        <v>25403</v>
      </c>
      <c r="Z5687" t="s">
        <v>32017</v>
      </c>
      <c r="AA5687">
        <v>0.41670952721527671</v>
      </c>
      <c r="AB5687" t="str">
        <f>HYPERLINK("Melting_Curves/meltCurve_Q9H5V9_CXorf56.pdf", "Melting_Curves/meltCurve_Q9H5V9_CXorf56.pdf")</f>
        <v>Melting_Curves/meltCurve_Q9H5V9_CXorf56.pdf</v>
      </c>
    </row>
    <row r="5688" spans="1:28" x14ac:dyDescent="0.25">
      <c r="A5688" t="s">
        <v>5692</v>
      </c>
      <c r="B5688">
        <v>0.99252571173614901</v>
      </c>
      <c r="C5688">
        <v>1.06446096355553</v>
      </c>
      <c r="D5688">
        <v>0.95507742374105897</v>
      </c>
      <c r="E5688">
        <v>0.85164860053955205</v>
      </c>
      <c r="F5688">
        <v>0.73409818675314897</v>
      </c>
      <c r="G5688">
        <v>0.57764430342114403</v>
      </c>
      <c r="H5688">
        <v>0.34291794772024697</v>
      </c>
      <c r="I5688">
        <v>0.16622225313438899</v>
      </c>
      <c r="J5688">
        <v>0.10882523535878701</v>
      </c>
      <c r="K5688">
        <v>8.5404680948626494E-2</v>
      </c>
      <c r="L5688">
        <v>775.46480405714601</v>
      </c>
      <c r="M5688">
        <v>13.492067113121699</v>
      </c>
      <c r="N5688">
        <v>57.475611244274099</v>
      </c>
      <c r="O5688">
        <v>56.2570564979046</v>
      </c>
      <c r="P5688">
        <v>-5.9966398095874597E-2</v>
      </c>
      <c r="Q5688">
        <v>0</v>
      </c>
      <c r="R5688">
        <v>0.99167181896226098</v>
      </c>
      <c r="S5688" t="s">
        <v>12334</v>
      </c>
      <c r="T5688" t="s">
        <v>13290</v>
      </c>
      <c r="U5688" t="s">
        <v>13290</v>
      </c>
      <c r="V5688" t="s">
        <v>13290</v>
      </c>
      <c r="W5688" t="s">
        <v>18927</v>
      </c>
      <c r="X5688">
        <v>3</v>
      </c>
      <c r="Y5688" t="s">
        <v>25404</v>
      </c>
      <c r="Z5688" t="s">
        <v>32018</v>
      </c>
      <c r="AA5688">
        <v>0.59766123174980612</v>
      </c>
      <c r="AB5688" t="str">
        <f>HYPERLINK("Melting_Curves/meltCurve_Q9H5X1_FAM96A.pdf", "Melting_Curves/meltCurve_Q9H5X1_FAM96A.pdf")</f>
        <v>Melting_Curves/meltCurve_Q9H5X1_FAM96A.pdf</v>
      </c>
    </row>
    <row r="5689" spans="1:28" x14ac:dyDescent="0.25">
      <c r="A5689" t="s">
        <v>5693</v>
      </c>
      <c r="B5689">
        <v>0.99252571173614901</v>
      </c>
      <c r="C5689">
        <v>0.96211176743464499</v>
      </c>
      <c r="D5689">
        <v>0.65090883382833298</v>
      </c>
      <c r="E5689">
        <v>0.27175889191018798</v>
      </c>
      <c r="F5689">
        <v>0.13675666944684201</v>
      </c>
      <c r="G5689">
        <v>9.7958589310689306E-2</v>
      </c>
      <c r="H5689">
        <v>6.43222401837929E-2</v>
      </c>
      <c r="I5689">
        <v>7.8094368594327307E-2</v>
      </c>
      <c r="J5689">
        <v>0.100593920723324</v>
      </c>
      <c r="K5689">
        <v>0.13405928112141099</v>
      </c>
      <c r="L5689">
        <v>1288.65537185056</v>
      </c>
      <c r="M5689">
        <v>27.4776010862244</v>
      </c>
      <c r="N5689">
        <v>47.262997234268603</v>
      </c>
      <c r="O5689">
        <v>46.652103913472203</v>
      </c>
      <c r="P5689">
        <v>-0.13318578523114499</v>
      </c>
      <c r="Q5689">
        <v>9.5504781899246396E-2</v>
      </c>
      <c r="R5689">
        <v>0.99676426592122502</v>
      </c>
      <c r="S5689" t="s">
        <v>12335</v>
      </c>
      <c r="T5689" t="s">
        <v>13290</v>
      </c>
      <c r="U5689" t="s">
        <v>13290</v>
      </c>
      <c r="V5689" t="s">
        <v>13290</v>
      </c>
      <c r="W5689" t="s">
        <v>18928</v>
      </c>
      <c r="X5689">
        <v>1</v>
      </c>
      <c r="Y5689" t="s">
        <v>25405</v>
      </c>
      <c r="Z5689" t="s">
        <v>32019</v>
      </c>
      <c r="AA5689">
        <v>0.31006181076326972</v>
      </c>
      <c r="AB5689" t="str">
        <f>HYPERLINK("Melting_Curves/meltCurve_Q9H649_NSUN3.pdf", "Melting_Curves/meltCurve_Q9H649_NSUN3.pdf")</f>
        <v>Melting_Curves/meltCurve_Q9H649_NSUN3.pdf</v>
      </c>
    </row>
    <row r="5690" spans="1:28" x14ac:dyDescent="0.25">
      <c r="A5690" t="s">
        <v>5694</v>
      </c>
      <c r="B5690">
        <v>0.99252571173614901</v>
      </c>
      <c r="C5690">
        <v>1.4686457170457099</v>
      </c>
      <c r="D5690">
        <v>1.1626526347558499</v>
      </c>
      <c r="E5690">
        <v>1.22973529374017</v>
      </c>
      <c r="F5690">
        <v>4.0019315792490699</v>
      </c>
      <c r="G5690">
        <v>0.752793678949506</v>
      </c>
      <c r="H5690">
        <v>0.51971188621831699</v>
      </c>
      <c r="I5690">
        <v>0.62607142907040203</v>
      </c>
      <c r="J5690">
        <v>0.27853022021533103</v>
      </c>
      <c r="K5690">
        <v>0.14725451515823501</v>
      </c>
      <c r="L5690">
        <v>2132.3650739803202</v>
      </c>
      <c r="M5690">
        <v>34.8628960092244</v>
      </c>
      <c r="N5690">
        <v>62.473487137910197</v>
      </c>
      <c r="O5690">
        <v>60.964128057334698</v>
      </c>
      <c r="P5690">
        <v>-0.10591098146474601</v>
      </c>
      <c r="Q5690">
        <v>0.259184182142844</v>
      </c>
      <c r="R5690">
        <v>0.12749373063297301</v>
      </c>
      <c r="S5690" t="s">
        <v>12336</v>
      </c>
      <c r="T5690" t="s">
        <v>13290</v>
      </c>
      <c r="U5690" t="s">
        <v>13290</v>
      </c>
      <c r="V5690" t="s">
        <v>13290</v>
      </c>
      <c r="W5690" t="s">
        <v>18929</v>
      </c>
      <c r="X5690">
        <v>1</v>
      </c>
      <c r="Y5690" t="s">
        <v>25406</v>
      </c>
      <c r="Z5690" t="s">
        <v>32020</v>
      </c>
      <c r="AA5690">
        <v>0.78520592005388323</v>
      </c>
      <c r="AB5690" t="str">
        <f>HYPERLINK("Melting_Curves/meltCurve_Q9H6A9_2_PCNXL3.pdf", "Melting_Curves/meltCurve_Q9H6A9_2_PCNXL3.pdf")</f>
        <v>Melting_Curves/meltCurve_Q9H6A9_2_PCNXL3.pdf</v>
      </c>
    </row>
    <row r="5691" spans="1:28" x14ac:dyDescent="0.25">
      <c r="A5691" t="s">
        <v>5695</v>
      </c>
      <c r="B5691">
        <v>0.99252571173614901</v>
      </c>
      <c r="C5691">
        <v>1.0294930848056301</v>
      </c>
      <c r="D5691">
        <v>0.85450150776545597</v>
      </c>
      <c r="E5691">
        <v>0.44532880328135999</v>
      </c>
      <c r="F5691">
        <v>0.2374631090015</v>
      </c>
      <c r="G5691">
        <v>0.15594915796006001</v>
      </c>
      <c r="H5691">
        <v>0.10672231324681999</v>
      </c>
      <c r="I5691">
        <v>0.107262435736733</v>
      </c>
      <c r="J5691">
        <v>0.13571166334486501</v>
      </c>
      <c r="K5691">
        <v>0.106019206842537</v>
      </c>
      <c r="L5691">
        <v>1302.9745769860499</v>
      </c>
      <c r="M5691">
        <v>26.716479167122699</v>
      </c>
      <c r="N5691">
        <v>49.279763426205697</v>
      </c>
      <c r="O5691">
        <v>48.499658909038097</v>
      </c>
      <c r="P5691">
        <v>-0.121102144044578</v>
      </c>
      <c r="Q5691">
        <v>0.120639816908425</v>
      </c>
      <c r="R5691">
        <v>0.99617688445422403</v>
      </c>
      <c r="S5691" t="s">
        <v>12337</v>
      </c>
      <c r="T5691" t="s">
        <v>13290</v>
      </c>
      <c r="U5691" t="s">
        <v>13290</v>
      </c>
      <c r="V5691" t="s">
        <v>13290</v>
      </c>
      <c r="W5691" t="s">
        <v>18930</v>
      </c>
      <c r="X5691">
        <v>5</v>
      </c>
      <c r="Y5691" t="s">
        <v>25407</v>
      </c>
      <c r="Z5691" t="s">
        <v>32021</v>
      </c>
      <c r="AA5691">
        <v>0.38450103988456202</v>
      </c>
      <c r="AB5691" t="str">
        <f>HYPERLINK("Melting_Curves/meltCurve_Q9H6E4_CCDC134.pdf", "Melting_Curves/meltCurve_Q9H6E4_CCDC134.pdf")</f>
        <v>Melting_Curves/meltCurve_Q9H6E4_CCDC134.pdf</v>
      </c>
    </row>
    <row r="5692" spans="1:28" x14ac:dyDescent="0.25">
      <c r="A5692" t="s">
        <v>5696</v>
      </c>
      <c r="B5692">
        <v>0.99252571173614901</v>
      </c>
      <c r="C5692">
        <v>1.0844199238347201</v>
      </c>
      <c r="D5692">
        <v>1.06529040573425</v>
      </c>
      <c r="E5692">
        <v>1.04647535848553</v>
      </c>
      <c r="F5692">
        <v>0.91709216616005695</v>
      </c>
      <c r="G5692">
        <v>0.55895252188928901</v>
      </c>
      <c r="H5692">
        <v>0.39810818193991199</v>
      </c>
      <c r="I5692">
        <v>0.40704490010113298</v>
      </c>
      <c r="J5692">
        <v>0.55755497806681198</v>
      </c>
      <c r="K5692">
        <v>0.75056004655349695</v>
      </c>
      <c r="L5692">
        <v>3759.6461053835501</v>
      </c>
      <c r="M5692">
        <v>69.104942019313796</v>
      </c>
      <c r="O5692">
        <v>54.359374763162499</v>
      </c>
      <c r="P5692">
        <v>-0.149546393552763</v>
      </c>
      <c r="Q5692">
        <v>0.52945498948205705</v>
      </c>
      <c r="R5692">
        <v>0.86194068817051495</v>
      </c>
      <c r="S5692" t="s">
        <v>12338</v>
      </c>
      <c r="T5692" t="s">
        <v>13290</v>
      </c>
      <c r="U5692" t="s">
        <v>13290</v>
      </c>
      <c r="V5692" t="s">
        <v>13290</v>
      </c>
      <c r="W5692" t="s">
        <v>18931</v>
      </c>
      <c r="X5692">
        <v>9</v>
      </c>
      <c r="Y5692" t="s">
        <v>25408</v>
      </c>
      <c r="Z5692" t="s">
        <v>32022</v>
      </c>
      <c r="AA5692">
        <v>0.75598271616457835</v>
      </c>
      <c r="AB5692" t="str">
        <f>HYPERLINK("Melting_Curves/meltCurve_Q9H6F5_CCDC86.pdf", "Melting_Curves/meltCurve_Q9H6F5_CCDC86.pdf")</f>
        <v>Melting_Curves/meltCurve_Q9H6F5_CCDC86.pdf</v>
      </c>
    </row>
    <row r="5693" spans="1:28" x14ac:dyDescent="0.25">
      <c r="A5693" t="s">
        <v>5697</v>
      </c>
      <c r="B5693">
        <v>0.99252571173614901</v>
      </c>
      <c r="C5693">
        <v>0.97204975175184805</v>
      </c>
      <c r="D5693">
        <v>0.90177423641430698</v>
      </c>
      <c r="E5693">
        <v>0.83995885393231395</v>
      </c>
      <c r="F5693">
        <v>0.54065505802212699</v>
      </c>
      <c r="G5693">
        <v>0.38211044362144297</v>
      </c>
      <c r="H5693">
        <v>0.27552027389042499</v>
      </c>
      <c r="I5693">
        <v>0.30901726693515602</v>
      </c>
      <c r="J5693">
        <v>0.38138192627032602</v>
      </c>
      <c r="K5693">
        <v>0.29942935656972403</v>
      </c>
      <c r="L5693">
        <v>1218.8176182683901</v>
      </c>
      <c r="M5693">
        <v>23.5774472211226</v>
      </c>
      <c r="N5693">
        <v>53.894498703956401</v>
      </c>
      <c r="O5693">
        <v>51.3266491908863</v>
      </c>
      <c r="P5693">
        <v>-7.9350843985731404E-2</v>
      </c>
      <c r="Q5693">
        <v>0.30904420264402199</v>
      </c>
      <c r="R5693">
        <v>0.98412186355336595</v>
      </c>
      <c r="S5693" t="s">
        <v>12339</v>
      </c>
      <c r="T5693" t="s">
        <v>13290</v>
      </c>
      <c r="U5693" t="s">
        <v>13290</v>
      </c>
      <c r="V5693" t="s">
        <v>13290</v>
      </c>
      <c r="W5693" t="s">
        <v>18932</v>
      </c>
      <c r="X5693">
        <v>8</v>
      </c>
      <c r="Y5693" t="s">
        <v>25409</v>
      </c>
      <c r="Z5693" t="s">
        <v>32023</v>
      </c>
      <c r="AA5693">
        <v>0.58542324159475578</v>
      </c>
      <c r="AB5693" t="str">
        <f>HYPERLINK("Melting_Curves/meltCurve_Q9H6H4_REEP4.pdf", "Melting_Curves/meltCurve_Q9H6H4_REEP4.pdf")</f>
        <v>Melting_Curves/meltCurve_Q9H6H4_REEP4.pdf</v>
      </c>
    </row>
    <row r="5694" spans="1:28" x14ac:dyDescent="0.25">
      <c r="A5694" t="s">
        <v>5698</v>
      </c>
      <c r="B5694">
        <v>0.99252571173614901</v>
      </c>
      <c r="C5694">
        <v>0.88899138150097301</v>
      </c>
      <c r="D5694">
        <v>0.83561898158570302</v>
      </c>
      <c r="E5694">
        <v>0.789086410179895</v>
      </c>
      <c r="F5694">
        <v>0.73293134985658204</v>
      </c>
      <c r="G5694">
        <v>0.60355633532685404</v>
      </c>
      <c r="H5694">
        <v>0.37347721423162999</v>
      </c>
      <c r="I5694">
        <v>0.27199523498288097</v>
      </c>
      <c r="J5694">
        <v>0.19245899865257299</v>
      </c>
      <c r="K5694">
        <v>0.13493167587893501</v>
      </c>
      <c r="L5694">
        <v>525.63188963655898</v>
      </c>
      <c r="M5694">
        <v>9.1126021553256304</v>
      </c>
      <c r="N5694">
        <v>57.681864309440201</v>
      </c>
      <c r="O5694">
        <v>55.107627635690299</v>
      </c>
      <c r="P5694">
        <v>-4.13686633266762E-2</v>
      </c>
      <c r="Q5694">
        <v>0</v>
      </c>
      <c r="R5694">
        <v>0.97689216544150503</v>
      </c>
      <c r="S5694" t="s">
        <v>12340</v>
      </c>
      <c r="T5694" t="s">
        <v>13290</v>
      </c>
      <c r="U5694" t="s">
        <v>13290</v>
      </c>
      <c r="V5694" t="s">
        <v>13290</v>
      </c>
      <c r="W5694" t="s">
        <v>18933</v>
      </c>
      <c r="X5694">
        <v>2</v>
      </c>
      <c r="Y5694" t="s">
        <v>25410</v>
      </c>
      <c r="Z5694" t="s">
        <v>32024</v>
      </c>
      <c r="AA5694">
        <v>0.59931893432353422</v>
      </c>
      <c r="AB5694" t="str">
        <f>HYPERLINK("Melting_Curves/meltCurve_Q9H6K4_OPA3.pdf", "Melting_Curves/meltCurve_Q9H6K4_OPA3.pdf")</f>
        <v>Melting_Curves/meltCurve_Q9H6K4_OPA3.pdf</v>
      </c>
    </row>
    <row r="5695" spans="1:28" x14ac:dyDescent="0.25">
      <c r="A5695" t="s">
        <v>5699</v>
      </c>
      <c r="B5695">
        <v>0.99252571173614901</v>
      </c>
      <c r="C5695">
        <v>0.75807247452117799</v>
      </c>
      <c r="D5695">
        <v>0.79851229245595001</v>
      </c>
      <c r="E5695">
        <v>0.56554234983641305</v>
      </c>
      <c r="F5695">
        <v>0.64918936849568898</v>
      </c>
      <c r="G5695">
        <v>0.34518400846034603</v>
      </c>
      <c r="H5695">
        <v>0.21971651872839701</v>
      </c>
      <c r="I5695">
        <v>0.131394859917257</v>
      </c>
      <c r="J5695">
        <v>0</v>
      </c>
      <c r="K5695">
        <v>0</v>
      </c>
      <c r="L5695">
        <v>508.17573550881798</v>
      </c>
      <c r="M5695">
        <v>9.6615236572187904</v>
      </c>
      <c r="N5695">
        <v>52.597884918294497</v>
      </c>
      <c r="O5695">
        <v>50.4927767146294</v>
      </c>
      <c r="P5695">
        <v>-4.7862706674007903E-2</v>
      </c>
      <c r="Q5695">
        <v>0</v>
      </c>
      <c r="R5695">
        <v>0.931197674478493</v>
      </c>
      <c r="S5695" t="s">
        <v>12341</v>
      </c>
      <c r="T5695" t="s">
        <v>13290</v>
      </c>
      <c r="U5695" t="s">
        <v>13290</v>
      </c>
      <c r="V5695" t="s">
        <v>13290</v>
      </c>
      <c r="W5695" t="s">
        <v>18934</v>
      </c>
      <c r="X5695">
        <v>1</v>
      </c>
      <c r="Y5695" t="s">
        <v>25411</v>
      </c>
      <c r="Z5695" t="s">
        <v>32025</v>
      </c>
      <c r="AA5695">
        <v>0.45687291948262421</v>
      </c>
      <c r="AB5695" t="str">
        <f>HYPERLINK("Melting_Curves/meltCurve_Q9H6L4_ARMC7.pdf", "Melting_Curves/meltCurve_Q9H6L4_ARMC7.pdf")</f>
        <v>Melting_Curves/meltCurve_Q9H6L4_ARMC7.pdf</v>
      </c>
    </row>
    <row r="5696" spans="1:28" x14ac:dyDescent="0.25">
      <c r="A5696" t="s">
        <v>5700</v>
      </c>
      <c r="B5696">
        <v>0.99252571173614901</v>
      </c>
      <c r="C5696">
        <v>0.93227692361194103</v>
      </c>
      <c r="D5696">
        <v>0.83516560848288501</v>
      </c>
      <c r="E5696">
        <v>0.60675855892055897</v>
      </c>
      <c r="F5696">
        <v>0.52760075450010402</v>
      </c>
      <c r="G5696">
        <v>0.317078264348441</v>
      </c>
      <c r="H5696">
        <v>0.27678868492262998</v>
      </c>
      <c r="I5696">
        <v>0.32079753204254702</v>
      </c>
      <c r="J5696">
        <v>0.52900251288208799</v>
      </c>
      <c r="K5696">
        <v>0.38568835654413602</v>
      </c>
      <c r="L5696">
        <v>946.47124231632404</v>
      </c>
      <c r="M5696">
        <v>19.534380823905799</v>
      </c>
      <c r="N5696">
        <v>51.961427815880803</v>
      </c>
      <c r="O5696">
        <v>47.952370428492202</v>
      </c>
      <c r="P5696">
        <v>-6.4533307181289398E-2</v>
      </c>
      <c r="Q5696">
        <v>0.36636547862535501</v>
      </c>
      <c r="R5696">
        <v>0.91973897955111905</v>
      </c>
      <c r="S5696" t="s">
        <v>12342</v>
      </c>
      <c r="T5696" t="s">
        <v>13290</v>
      </c>
      <c r="U5696" t="s">
        <v>13290</v>
      </c>
      <c r="V5696" t="s">
        <v>13290</v>
      </c>
      <c r="W5696" t="s">
        <v>18935</v>
      </c>
      <c r="X5696">
        <v>2</v>
      </c>
      <c r="Y5696" t="s">
        <v>25412</v>
      </c>
      <c r="Z5696" t="s">
        <v>32026</v>
      </c>
      <c r="AA5696">
        <v>0.55425391039349181</v>
      </c>
      <c r="AB5696" t="str">
        <f>HYPERLINK("Melting_Curves/meltCurve_Q9H6L5_FAM134B.pdf", "Melting_Curves/meltCurve_Q9H6L5_FAM134B.pdf")</f>
        <v>Melting_Curves/meltCurve_Q9H6L5_FAM134B.pdf</v>
      </c>
    </row>
    <row r="5697" spans="1:28" x14ac:dyDescent="0.25">
      <c r="A5697" t="s">
        <v>5701</v>
      </c>
      <c r="B5697">
        <v>0.99252571173614901</v>
      </c>
      <c r="C5697">
        <v>1.0480698286299599</v>
      </c>
      <c r="D5697">
        <v>0.88175365954389096</v>
      </c>
      <c r="E5697">
        <v>0.88886882310539805</v>
      </c>
      <c r="F5697">
        <v>0.73420722541610595</v>
      </c>
      <c r="G5697">
        <v>0.60109216280522604</v>
      </c>
      <c r="H5697">
        <v>0.550526035628911</v>
      </c>
      <c r="I5697">
        <v>0.77593648361647805</v>
      </c>
      <c r="J5697">
        <v>1.00137599823705</v>
      </c>
      <c r="K5697">
        <v>1.0326688070841701</v>
      </c>
      <c r="L5697">
        <v>1437.87987765957</v>
      </c>
      <c r="M5697">
        <v>30.7261212132954</v>
      </c>
      <c r="O5697">
        <v>46.599778924803203</v>
      </c>
      <c r="P5697">
        <v>-3.4669914480784797E-2</v>
      </c>
      <c r="Q5697">
        <v>0.78967722469413804</v>
      </c>
      <c r="R5697">
        <v>0.27031740987236702</v>
      </c>
      <c r="S5697" t="s">
        <v>12343</v>
      </c>
      <c r="T5697" t="s">
        <v>13290</v>
      </c>
      <c r="U5697" t="s">
        <v>13290</v>
      </c>
      <c r="V5697" t="s">
        <v>13290</v>
      </c>
      <c r="W5697" t="s">
        <v>18936</v>
      </c>
      <c r="X5697">
        <v>4</v>
      </c>
      <c r="Y5697" t="s">
        <v>25413</v>
      </c>
      <c r="Z5697" t="s">
        <v>32027</v>
      </c>
      <c r="AA5697">
        <v>0.83852641762842206</v>
      </c>
      <c r="AB5697" t="str">
        <f>HYPERLINK("Melting_Curves/meltCurve_Q9H6P5_TASP1.pdf", "Melting_Curves/meltCurve_Q9H6P5_TASP1.pdf")</f>
        <v>Melting_Curves/meltCurve_Q9H6P5_TASP1.pdf</v>
      </c>
    </row>
    <row r="5698" spans="1:28" x14ac:dyDescent="0.25">
      <c r="A5698" t="s">
        <v>5702</v>
      </c>
      <c r="B5698">
        <v>0.99252571173614901</v>
      </c>
      <c r="C5698">
        <v>1.0400498217765699</v>
      </c>
      <c r="D5698">
        <v>1.00596373669676</v>
      </c>
      <c r="E5698">
        <v>1.02140210821107</v>
      </c>
      <c r="F5698">
        <v>0.71975368054414002</v>
      </c>
      <c r="G5698">
        <v>0.41735219557082598</v>
      </c>
      <c r="H5698">
        <v>0.13851361884152</v>
      </c>
      <c r="I5698">
        <v>0.12452211029862501</v>
      </c>
      <c r="J5698">
        <v>0.133036165853466</v>
      </c>
      <c r="K5698">
        <v>0.12827033887276801</v>
      </c>
      <c r="L5698">
        <v>1533.5713149015601</v>
      </c>
      <c r="M5698">
        <v>27.839993907569902</v>
      </c>
      <c r="N5698">
        <v>55.603775818826499</v>
      </c>
      <c r="O5698">
        <v>54.803304690981101</v>
      </c>
      <c r="P5698">
        <v>-0.112479751407767</v>
      </c>
      <c r="Q5698">
        <v>0.114337433923444</v>
      </c>
      <c r="R5698">
        <v>0.99381475501268701</v>
      </c>
      <c r="S5698" t="s">
        <v>12344</v>
      </c>
      <c r="T5698" t="s">
        <v>13290</v>
      </c>
      <c r="U5698" t="s">
        <v>13290</v>
      </c>
      <c r="V5698" t="s">
        <v>13290</v>
      </c>
      <c r="W5698" t="s">
        <v>18937</v>
      </c>
      <c r="X5698">
        <v>11</v>
      </c>
      <c r="Y5698" t="s">
        <v>25414</v>
      </c>
      <c r="Z5698" t="s">
        <v>32028</v>
      </c>
      <c r="AA5698">
        <v>0.56643895024418722</v>
      </c>
      <c r="AB5698" t="str">
        <f>HYPERLINK("Melting_Curves/meltCurve_Q9H6Q4_NARFL.pdf", "Melting_Curves/meltCurve_Q9H6Q4_NARFL.pdf")</f>
        <v>Melting_Curves/meltCurve_Q9H6Q4_NARFL.pdf</v>
      </c>
    </row>
    <row r="5699" spans="1:28" x14ac:dyDescent="0.25">
      <c r="A5699" t="s">
        <v>5703</v>
      </c>
      <c r="B5699">
        <v>0.99252571173614901</v>
      </c>
      <c r="C5699">
        <v>1.0048900821016999</v>
      </c>
      <c r="D5699">
        <v>0.92005670172381204</v>
      </c>
      <c r="E5699">
        <v>0.87922565262317698</v>
      </c>
      <c r="F5699">
        <v>0.82692844321509096</v>
      </c>
      <c r="G5699">
        <v>0.64555919230634895</v>
      </c>
      <c r="H5699">
        <v>0.52506763657257205</v>
      </c>
      <c r="I5699">
        <v>0.35980836149985801</v>
      </c>
      <c r="J5699">
        <v>0.19935773829096801</v>
      </c>
      <c r="K5699">
        <v>0.150538416931009</v>
      </c>
      <c r="L5699">
        <v>669.99676335559798</v>
      </c>
      <c r="M5699">
        <v>11.1251245825304</v>
      </c>
      <c r="N5699">
        <v>60.2237537774526</v>
      </c>
      <c r="O5699">
        <v>58.376152396915998</v>
      </c>
      <c r="P5699">
        <v>-4.7659521159424303E-2</v>
      </c>
      <c r="Q5699">
        <v>0</v>
      </c>
      <c r="R5699">
        <v>0.98968096982374698</v>
      </c>
      <c r="S5699" t="s">
        <v>12345</v>
      </c>
      <c r="T5699" t="s">
        <v>13290</v>
      </c>
      <c r="U5699" t="s">
        <v>13290</v>
      </c>
      <c r="V5699" t="s">
        <v>13290</v>
      </c>
      <c r="W5699" t="s">
        <v>18938</v>
      </c>
      <c r="X5699">
        <v>4</v>
      </c>
      <c r="Y5699" t="s">
        <v>25415</v>
      </c>
      <c r="Z5699" t="s">
        <v>32029</v>
      </c>
      <c r="AA5699">
        <v>0.67264362004299527</v>
      </c>
      <c r="AB5699" t="str">
        <f>HYPERLINK("Melting_Curves/meltCurve_Q9H6R0_DHX33.pdf", "Melting_Curves/meltCurve_Q9H6R0_DHX33.pdf")</f>
        <v>Melting_Curves/meltCurve_Q9H6R0_DHX33.pdf</v>
      </c>
    </row>
    <row r="5700" spans="1:28" x14ac:dyDescent="0.25">
      <c r="A5700" t="s">
        <v>5704</v>
      </c>
      <c r="B5700">
        <v>0.99252571173614901</v>
      </c>
      <c r="C5700">
        <v>1.0653154009998</v>
      </c>
      <c r="D5700">
        <v>1.1273213516118099</v>
      </c>
      <c r="E5700">
        <v>0.88375081039232695</v>
      </c>
      <c r="F5700">
        <v>0.31997117350009702</v>
      </c>
      <c r="G5700">
        <v>0.20089632946828401</v>
      </c>
      <c r="H5700">
        <v>0.22208072194912401</v>
      </c>
      <c r="I5700">
        <v>0.25990221875707398</v>
      </c>
      <c r="J5700">
        <v>0.34767515017921802</v>
      </c>
      <c r="K5700">
        <v>0.324048360678585</v>
      </c>
      <c r="L5700">
        <v>3281.92126252362</v>
      </c>
      <c r="M5700">
        <v>64.477978400968595</v>
      </c>
      <c r="N5700">
        <v>51.526744363313099</v>
      </c>
      <c r="O5700">
        <v>50.850973661005703</v>
      </c>
      <c r="P5700">
        <v>-0.23083190287218799</v>
      </c>
      <c r="Q5700">
        <v>0.27181179622913298</v>
      </c>
      <c r="R5700">
        <v>0.97274587688048098</v>
      </c>
      <c r="S5700" t="s">
        <v>12346</v>
      </c>
      <c r="T5700" t="s">
        <v>13290</v>
      </c>
      <c r="U5700" t="s">
        <v>13290</v>
      </c>
      <c r="V5700" t="s">
        <v>13290</v>
      </c>
      <c r="W5700" t="s">
        <v>18939</v>
      </c>
      <c r="X5700">
        <v>4</v>
      </c>
      <c r="Y5700" t="s">
        <v>25416</v>
      </c>
      <c r="Z5700" t="s">
        <v>32030</v>
      </c>
      <c r="AA5700">
        <v>0.53736484208881075</v>
      </c>
      <c r="AB5700" t="str">
        <f>HYPERLINK("Melting_Curves/meltCurve_Q9H6R4_4_NOL6.pdf", "Melting_Curves/meltCurve_Q9H6R4_4_NOL6.pdf")</f>
        <v>Melting_Curves/meltCurve_Q9H6R4_4_NOL6.pdf</v>
      </c>
    </row>
    <row r="5701" spans="1:28" x14ac:dyDescent="0.25">
      <c r="A5701" t="s">
        <v>5705</v>
      </c>
      <c r="B5701">
        <v>0.99252571173614901</v>
      </c>
      <c r="C5701">
        <v>0.91867557926398202</v>
      </c>
      <c r="D5701">
        <v>0.92424426709860996</v>
      </c>
      <c r="E5701">
        <v>0.74659300460845401</v>
      </c>
      <c r="F5701">
        <v>0.63479833295992805</v>
      </c>
      <c r="G5701">
        <v>0.49310643908757501</v>
      </c>
      <c r="H5701">
        <v>0.472315100362664</v>
      </c>
      <c r="I5701">
        <v>0.37770104523126202</v>
      </c>
      <c r="J5701">
        <v>0.29600521333779001</v>
      </c>
      <c r="K5701">
        <v>0.237959964942526</v>
      </c>
      <c r="L5701">
        <v>468.39121563620802</v>
      </c>
      <c r="M5701">
        <v>8.4175405037769302</v>
      </c>
      <c r="N5701">
        <v>57.816997521234903</v>
      </c>
      <c r="O5701">
        <v>52.770196229731198</v>
      </c>
      <c r="P5701">
        <v>-3.4504292954703197E-2</v>
      </c>
      <c r="Q5701">
        <v>0.13556819627206501</v>
      </c>
      <c r="R5701">
        <v>0.98545509008739895</v>
      </c>
      <c r="S5701" t="s">
        <v>12347</v>
      </c>
      <c r="T5701" t="s">
        <v>13290</v>
      </c>
      <c r="U5701" t="s">
        <v>13290</v>
      </c>
      <c r="V5701" t="s">
        <v>13290</v>
      </c>
      <c r="W5701" t="s">
        <v>18940</v>
      </c>
      <c r="X5701">
        <v>1</v>
      </c>
      <c r="Y5701" t="s">
        <v>25417</v>
      </c>
      <c r="Z5701" t="s">
        <v>32031</v>
      </c>
      <c r="AA5701">
        <v>0.60603338597121836</v>
      </c>
      <c r="AB5701" t="str">
        <f>HYPERLINK("Melting_Curves/meltCurve_Q9H6R7_2_C2orf44.pdf", "Melting_Curves/meltCurve_Q9H6R7_2_C2orf44.pdf")</f>
        <v>Melting_Curves/meltCurve_Q9H6R7_2_C2orf44.pdf</v>
      </c>
    </row>
    <row r="5702" spans="1:28" x14ac:dyDescent="0.25">
      <c r="A5702" t="s">
        <v>5706</v>
      </c>
      <c r="B5702">
        <v>0.99252571173614901</v>
      </c>
      <c r="C5702">
        <v>1.1031792426089999</v>
      </c>
      <c r="D5702">
        <v>0.95166301714147605</v>
      </c>
      <c r="E5702">
        <v>0.87543989506141495</v>
      </c>
      <c r="F5702">
        <v>0.64680832396214005</v>
      </c>
      <c r="G5702">
        <v>0.54745803344766997</v>
      </c>
      <c r="H5702">
        <v>0.46731687012749801</v>
      </c>
      <c r="I5702">
        <v>0.50348430678926603</v>
      </c>
      <c r="J5702">
        <v>0.64000538677390895</v>
      </c>
      <c r="K5702">
        <v>0.57917801787896095</v>
      </c>
      <c r="L5702">
        <v>1688.4754956818499</v>
      </c>
      <c r="M5702">
        <v>33.0832527806093</v>
      </c>
      <c r="O5702">
        <v>50.8517733704834</v>
      </c>
      <c r="P5702">
        <v>-7.3981647184806598E-2</v>
      </c>
      <c r="Q5702">
        <v>0.54513767317626105</v>
      </c>
      <c r="R5702">
        <v>0.93454677536808195</v>
      </c>
      <c r="S5702" t="s">
        <v>12348</v>
      </c>
      <c r="T5702" t="s">
        <v>13290</v>
      </c>
      <c r="U5702" t="s">
        <v>13290</v>
      </c>
      <c r="V5702" t="s">
        <v>13290</v>
      </c>
      <c r="W5702" t="s">
        <v>18941</v>
      </c>
      <c r="X5702">
        <v>10</v>
      </c>
      <c r="Y5702" t="s">
        <v>25418</v>
      </c>
      <c r="Z5702" t="s">
        <v>32032</v>
      </c>
      <c r="AA5702">
        <v>0.71483560403686064</v>
      </c>
      <c r="AB5702" t="str">
        <f>HYPERLINK("Melting_Curves/meltCurve_Q9H6S3_EPS8L2.pdf", "Melting_Curves/meltCurve_Q9H6S3_EPS8L2.pdf")</f>
        <v>Melting_Curves/meltCurve_Q9H6S3_EPS8L2.pdf</v>
      </c>
    </row>
    <row r="5703" spans="1:28" x14ac:dyDescent="0.25">
      <c r="A5703" t="s">
        <v>5707</v>
      </c>
      <c r="B5703">
        <v>0.99252571173614901</v>
      </c>
      <c r="C5703">
        <v>0.48545695592619398</v>
      </c>
      <c r="D5703">
        <v>0.32450105920648098</v>
      </c>
      <c r="E5703">
        <v>0.24510683766074901</v>
      </c>
      <c r="F5703">
        <v>0.161110091845033</v>
      </c>
      <c r="G5703">
        <v>0.11170483274276</v>
      </c>
      <c r="H5703">
        <v>9.2108266769335395E-2</v>
      </c>
      <c r="I5703">
        <v>0.102831949003373</v>
      </c>
      <c r="J5703">
        <v>0.10577816124294399</v>
      </c>
      <c r="K5703">
        <v>0.108513378544374</v>
      </c>
      <c r="L5703">
        <v>1076.49674230755</v>
      </c>
      <c r="M5703">
        <v>25.035427422900401</v>
      </c>
      <c r="N5703">
        <v>43.514848765840398</v>
      </c>
      <c r="O5703">
        <v>42.7274110967779</v>
      </c>
      <c r="P5703">
        <v>-0.127675656245093</v>
      </c>
      <c r="Q5703">
        <v>0.12840689416978401</v>
      </c>
      <c r="R5703">
        <v>0.952344256919192</v>
      </c>
      <c r="S5703" t="s">
        <v>12349</v>
      </c>
      <c r="T5703" t="s">
        <v>13290</v>
      </c>
      <c r="U5703" t="s">
        <v>13290</v>
      </c>
      <c r="V5703" t="s">
        <v>13290</v>
      </c>
      <c r="W5703" t="s">
        <v>18942</v>
      </c>
      <c r="X5703">
        <v>6</v>
      </c>
      <c r="Y5703" t="s">
        <v>25419</v>
      </c>
      <c r="Z5703" t="s">
        <v>32033</v>
      </c>
      <c r="AA5703">
        <v>0.22795808301936141</v>
      </c>
      <c r="AB5703" t="str">
        <f>HYPERLINK("Melting_Curves/meltCurve_Q9H6T0_2_ESRP2.pdf", "Melting_Curves/meltCurve_Q9H6T0_2_ESRP2.pdf")</f>
        <v>Melting_Curves/meltCurve_Q9H6T0_2_ESRP2.pdf</v>
      </c>
    </row>
    <row r="5704" spans="1:28" x14ac:dyDescent="0.25">
      <c r="A5704" t="s">
        <v>5708</v>
      </c>
      <c r="B5704">
        <v>0.99252571173614901</v>
      </c>
      <c r="C5704">
        <v>0.80825611014307996</v>
      </c>
      <c r="D5704">
        <v>0.81827824961055495</v>
      </c>
      <c r="E5704">
        <v>0.56124395727012899</v>
      </c>
      <c r="F5704">
        <v>0.25028059791282697</v>
      </c>
      <c r="G5704">
        <v>0.163433030919404</v>
      </c>
      <c r="H5704">
        <v>0.121284217559636</v>
      </c>
      <c r="I5704">
        <v>0.14259092757334099</v>
      </c>
      <c r="J5704">
        <v>0.164174347860294</v>
      </c>
      <c r="K5704">
        <v>0.18373343585327301</v>
      </c>
      <c r="L5704">
        <v>868.49668163182798</v>
      </c>
      <c r="M5704">
        <v>17.7672893997361</v>
      </c>
      <c r="N5704">
        <v>49.727130128027198</v>
      </c>
      <c r="O5704">
        <v>48.275154921288397</v>
      </c>
      <c r="P5704">
        <v>-8.0021472895645998E-2</v>
      </c>
      <c r="Q5704">
        <v>0.13034600591572601</v>
      </c>
      <c r="R5704">
        <v>0.97397722342450199</v>
      </c>
      <c r="S5704" t="s">
        <v>12350</v>
      </c>
      <c r="T5704" t="s">
        <v>13290</v>
      </c>
      <c r="U5704" t="s">
        <v>13290</v>
      </c>
      <c r="V5704" t="s">
        <v>13290</v>
      </c>
      <c r="W5704" t="s">
        <v>18943</v>
      </c>
      <c r="X5704">
        <v>20</v>
      </c>
      <c r="Y5704" t="s">
        <v>25420</v>
      </c>
      <c r="Z5704" t="s">
        <v>32034</v>
      </c>
      <c r="AA5704">
        <v>0.40331125520322569</v>
      </c>
      <c r="AB5704" t="str">
        <f>HYPERLINK("Melting_Curves/meltCurve_Q9H6T3_RPAP3.pdf", "Melting_Curves/meltCurve_Q9H6T3_RPAP3.pdf")</f>
        <v>Melting_Curves/meltCurve_Q9H6T3_RPAP3.pdf</v>
      </c>
    </row>
    <row r="5705" spans="1:28" x14ac:dyDescent="0.25">
      <c r="A5705" t="s">
        <v>5709</v>
      </c>
      <c r="B5705">
        <v>0.99252571173614901</v>
      </c>
      <c r="C5705">
        <v>0.93257099676917299</v>
      </c>
      <c r="D5705">
        <v>0.95649226699545897</v>
      </c>
      <c r="E5705">
        <v>0.78286032871657096</v>
      </c>
      <c r="F5705">
        <v>0.45975316857834297</v>
      </c>
      <c r="G5705">
        <v>0.21398108437178801</v>
      </c>
      <c r="H5705">
        <v>9.9446793592794597E-2</v>
      </c>
      <c r="I5705">
        <v>8.4506910974432706E-2</v>
      </c>
      <c r="J5705">
        <v>7.70452459515725E-2</v>
      </c>
      <c r="K5705">
        <v>5.3698349789894698E-2</v>
      </c>
      <c r="L5705">
        <v>1083.5645838519799</v>
      </c>
      <c r="M5705">
        <v>20.661921034832702</v>
      </c>
      <c r="N5705">
        <v>52.746030519424203</v>
      </c>
      <c r="O5705">
        <v>51.958778920029602</v>
      </c>
      <c r="P5705">
        <v>-9.3846787169501206E-2</v>
      </c>
      <c r="Q5705">
        <v>5.6036806438599603E-2</v>
      </c>
      <c r="R5705">
        <v>0.99750172607727405</v>
      </c>
      <c r="S5705" t="s">
        <v>12351</v>
      </c>
      <c r="T5705" t="s">
        <v>13290</v>
      </c>
      <c r="U5705" t="s">
        <v>13290</v>
      </c>
      <c r="V5705" t="s">
        <v>13290</v>
      </c>
      <c r="W5705" t="s">
        <v>18944</v>
      </c>
      <c r="X5705">
        <v>4</v>
      </c>
      <c r="Y5705" t="s">
        <v>25421</v>
      </c>
      <c r="Z5705" t="s">
        <v>32035</v>
      </c>
      <c r="AA5705">
        <v>0.45985356109327458</v>
      </c>
      <c r="AB5705" t="str">
        <f>HYPERLINK("Melting_Curves/meltCurve_Q9H6U6_2_BCAS3.pdf", "Melting_Curves/meltCurve_Q9H6U6_2_BCAS3.pdf")</f>
        <v>Melting_Curves/meltCurve_Q9H6U6_2_BCAS3.pdf</v>
      </c>
    </row>
    <row r="5706" spans="1:28" x14ac:dyDescent="0.25">
      <c r="A5706" t="s">
        <v>5710</v>
      </c>
      <c r="B5706">
        <v>0.99252571173614901</v>
      </c>
      <c r="C5706">
        <v>0.87516169919914</v>
      </c>
      <c r="D5706">
        <v>0.81348395149233199</v>
      </c>
      <c r="E5706">
        <v>0.65712312082475399</v>
      </c>
      <c r="F5706">
        <v>0.45587432629582197</v>
      </c>
      <c r="G5706">
        <v>0.20871533814768201</v>
      </c>
      <c r="H5706">
        <v>0.17986932460378399</v>
      </c>
      <c r="I5706">
        <v>0.14045613958101799</v>
      </c>
      <c r="J5706">
        <v>0.14804285443374099</v>
      </c>
      <c r="K5706">
        <v>0.132625356230511</v>
      </c>
      <c r="L5706">
        <v>681.11223007061994</v>
      </c>
      <c r="M5706">
        <v>13.375950952958201</v>
      </c>
      <c r="N5706">
        <v>51.716135496434703</v>
      </c>
      <c r="O5706">
        <v>49.822887809819498</v>
      </c>
      <c r="P5706">
        <v>-6.08865756043191E-2</v>
      </c>
      <c r="Q5706">
        <v>9.2979056408756006E-2</v>
      </c>
      <c r="R5706">
        <v>0.989812712195</v>
      </c>
      <c r="S5706" t="s">
        <v>12352</v>
      </c>
      <c r="T5706" t="s">
        <v>13290</v>
      </c>
      <c r="U5706" t="s">
        <v>13290</v>
      </c>
      <c r="V5706" t="s">
        <v>13290</v>
      </c>
      <c r="W5706" t="s">
        <v>18945</v>
      </c>
      <c r="X5706">
        <v>7</v>
      </c>
      <c r="Y5706" t="s">
        <v>25422</v>
      </c>
      <c r="Z5706" t="s">
        <v>32036</v>
      </c>
      <c r="AA5706">
        <v>0.4484181208114178</v>
      </c>
      <c r="AB5706" t="str">
        <f>HYPERLINK("Melting_Curves/meltCurve_Q9H6U8_ALG9.pdf", "Melting_Curves/meltCurve_Q9H6U8_ALG9.pdf")</f>
        <v>Melting_Curves/meltCurve_Q9H6U8_ALG9.pdf</v>
      </c>
    </row>
    <row r="5707" spans="1:28" x14ac:dyDescent="0.25">
      <c r="A5707" t="s">
        <v>5711</v>
      </c>
      <c r="B5707">
        <v>0.99252571173614901</v>
      </c>
      <c r="C5707">
        <v>0.72556914061177202</v>
      </c>
      <c r="D5707">
        <v>0.73369559607961798</v>
      </c>
      <c r="E5707">
        <v>0.39228789578034401</v>
      </c>
      <c r="F5707">
        <v>0.143447379140759</v>
      </c>
      <c r="G5707">
        <v>7.2429455925061295E-2</v>
      </c>
      <c r="H5707">
        <v>4.67497511309189E-2</v>
      </c>
      <c r="I5707">
        <v>4.3274265292043299E-2</v>
      </c>
      <c r="J5707">
        <v>7.3406044246986907E-2</v>
      </c>
      <c r="K5707">
        <v>7.7822616107245293E-2</v>
      </c>
      <c r="L5707">
        <v>750.37712113164901</v>
      </c>
      <c r="M5707">
        <v>15.7424278236031</v>
      </c>
      <c r="N5707">
        <v>47.874661098119503</v>
      </c>
      <c r="O5707">
        <v>46.916633736391297</v>
      </c>
      <c r="P5707">
        <v>-8.11095956523043E-2</v>
      </c>
      <c r="Q5707">
        <v>3.3167925751138999E-2</v>
      </c>
      <c r="R5707">
        <v>0.97241994189742198</v>
      </c>
      <c r="S5707" t="s">
        <v>12353</v>
      </c>
      <c r="T5707" t="s">
        <v>13290</v>
      </c>
      <c r="U5707" t="s">
        <v>13290</v>
      </c>
      <c r="V5707" t="s">
        <v>13290</v>
      </c>
      <c r="W5707" t="s">
        <v>18946</v>
      </c>
      <c r="X5707">
        <v>1</v>
      </c>
      <c r="Y5707" t="s">
        <v>25423</v>
      </c>
      <c r="Z5707" t="s">
        <v>32037</v>
      </c>
      <c r="AA5707">
        <v>0.30315727500228229</v>
      </c>
      <c r="AB5707" t="str">
        <f>HYPERLINK("Melting_Curves/meltCurve_Q9H6W3_NO66.pdf", "Melting_Curves/meltCurve_Q9H6W3_NO66.pdf")</f>
        <v>Melting_Curves/meltCurve_Q9H6W3_NO66.pdf</v>
      </c>
    </row>
    <row r="5708" spans="1:28" x14ac:dyDescent="0.25">
      <c r="A5708" t="s">
        <v>5712</v>
      </c>
      <c r="B5708">
        <v>0.99252571173614901</v>
      </c>
      <c r="C5708">
        <v>0.83635443725330805</v>
      </c>
      <c r="D5708">
        <v>0.86285261041681405</v>
      </c>
      <c r="E5708">
        <v>0.85234673710835496</v>
      </c>
      <c r="F5708">
        <v>0.65456090113360399</v>
      </c>
      <c r="G5708">
        <v>0.31405134819607999</v>
      </c>
      <c r="H5708">
        <v>0.20074942656133299</v>
      </c>
      <c r="I5708">
        <v>0.204093742909221</v>
      </c>
      <c r="J5708">
        <v>0.23516726535485399</v>
      </c>
      <c r="K5708">
        <v>0.31592783630035298</v>
      </c>
      <c r="L5708">
        <v>1180.2192518167001</v>
      </c>
      <c r="M5708">
        <v>22.280693602498999</v>
      </c>
      <c r="N5708">
        <v>54.383402241396197</v>
      </c>
      <c r="O5708">
        <v>52.549322563536499</v>
      </c>
      <c r="P5708">
        <v>-8.2709244067601204E-2</v>
      </c>
      <c r="Q5708">
        <v>0.21973300632596901</v>
      </c>
      <c r="R5708">
        <v>0.93795664825773095</v>
      </c>
      <c r="S5708" t="s">
        <v>12354</v>
      </c>
      <c r="T5708" t="s">
        <v>13290</v>
      </c>
      <c r="U5708" t="s">
        <v>13290</v>
      </c>
      <c r="V5708" t="s">
        <v>13290</v>
      </c>
      <c r="W5708" t="s">
        <v>18947</v>
      </c>
      <c r="X5708">
        <v>1</v>
      </c>
      <c r="Y5708" t="s">
        <v>25424</v>
      </c>
      <c r="Z5708" t="s">
        <v>32038</v>
      </c>
      <c r="AA5708">
        <v>0.56596071797485004</v>
      </c>
      <c r="AB5708" t="str">
        <f>HYPERLINK("Melting_Curves/meltCurve_Q9H6Y2_WDR55.pdf", "Melting_Curves/meltCurve_Q9H6Y2_WDR55.pdf")</f>
        <v>Melting_Curves/meltCurve_Q9H6Y2_WDR55.pdf</v>
      </c>
    </row>
    <row r="5709" spans="1:28" x14ac:dyDescent="0.25">
      <c r="A5709" t="s">
        <v>5713</v>
      </c>
      <c r="B5709">
        <v>0.99252571173614901</v>
      </c>
      <c r="C5709">
        <v>1.06818289274101</v>
      </c>
      <c r="D5709">
        <v>0.93465172367276494</v>
      </c>
      <c r="E5709">
        <v>0.87433510559864502</v>
      </c>
      <c r="F5709">
        <v>0.82514879151889398</v>
      </c>
      <c r="G5709">
        <v>0.71578172964564002</v>
      </c>
      <c r="H5709">
        <v>0.68978268105219598</v>
      </c>
      <c r="I5709">
        <v>0.75129448143729305</v>
      </c>
      <c r="J5709">
        <v>0.61248891653920001</v>
      </c>
      <c r="K5709">
        <v>0.47172198838527202</v>
      </c>
      <c r="L5709">
        <v>349.257802659557</v>
      </c>
      <c r="M5709">
        <v>4.8626318912545203</v>
      </c>
      <c r="O5709">
        <v>62.271924277142404</v>
      </c>
      <c r="P5709">
        <v>-1.9653324504065098E-2</v>
      </c>
      <c r="Q5709">
        <v>0</v>
      </c>
      <c r="R5709">
        <v>0.88976276007986299</v>
      </c>
      <c r="S5709" t="s">
        <v>12355</v>
      </c>
      <c r="T5709" t="s">
        <v>13290</v>
      </c>
      <c r="U5709" t="s">
        <v>13290</v>
      </c>
      <c r="V5709" t="s">
        <v>13290</v>
      </c>
      <c r="W5709" t="s">
        <v>18948</v>
      </c>
      <c r="X5709">
        <v>17</v>
      </c>
      <c r="Y5709" t="s">
        <v>25425</v>
      </c>
      <c r="Z5709" t="s">
        <v>32039</v>
      </c>
      <c r="AA5709">
        <v>0.79424481455610496</v>
      </c>
      <c r="AB5709" t="str">
        <f>HYPERLINK("Melting_Curves/meltCurve_Q9H773_DCTPP1.pdf", "Melting_Curves/meltCurve_Q9H773_DCTPP1.pdf")</f>
        <v>Melting_Curves/meltCurve_Q9H773_DCTPP1.pdf</v>
      </c>
    </row>
    <row r="5710" spans="1:28" x14ac:dyDescent="0.25">
      <c r="A5710" t="s">
        <v>5714</v>
      </c>
      <c r="B5710">
        <v>0.99252571173614901</v>
      </c>
      <c r="C5710">
        <v>0.85514240574423805</v>
      </c>
      <c r="D5710">
        <v>0.600777776126175</v>
      </c>
      <c r="E5710">
        <v>0.23508620596004701</v>
      </c>
      <c r="F5710">
        <v>0.117682961904068</v>
      </c>
      <c r="G5710">
        <v>7.3483197564483793E-2</v>
      </c>
      <c r="H5710">
        <v>7.2787406247585201E-2</v>
      </c>
      <c r="I5710">
        <v>0.104040856613573</v>
      </c>
      <c r="J5710">
        <v>9.8404708727802395E-2</v>
      </c>
      <c r="K5710">
        <v>0.104606812063363</v>
      </c>
      <c r="L5710">
        <v>1107.4821399612199</v>
      </c>
      <c r="M5710">
        <v>23.901280552263898</v>
      </c>
      <c r="N5710">
        <v>46.703015024847197</v>
      </c>
      <c r="O5710">
        <v>46.0149686891519</v>
      </c>
      <c r="P5710">
        <v>-0.118731146988035</v>
      </c>
      <c r="Q5710">
        <v>8.56852333916579E-2</v>
      </c>
      <c r="R5710">
        <v>0.997387845032218</v>
      </c>
      <c r="S5710" t="s">
        <v>12356</v>
      </c>
      <c r="T5710" t="s">
        <v>13290</v>
      </c>
      <c r="U5710" t="s">
        <v>13290</v>
      </c>
      <c r="V5710" t="s">
        <v>13290</v>
      </c>
      <c r="W5710" t="s">
        <v>18949</v>
      </c>
      <c r="X5710">
        <v>3</v>
      </c>
      <c r="Y5710" t="s">
        <v>25426</v>
      </c>
      <c r="Z5710" t="s">
        <v>32040</v>
      </c>
      <c r="AA5710">
        <v>0.28799471920705261</v>
      </c>
      <c r="AB5710" t="str">
        <f>HYPERLINK("Melting_Curves/meltCurve_Q9H788_2_SH2D4A.pdf", "Melting_Curves/meltCurve_Q9H788_2_SH2D4A.pdf")</f>
        <v>Melting_Curves/meltCurve_Q9H788_2_SH2D4A.pdf</v>
      </c>
    </row>
    <row r="5711" spans="1:28" x14ac:dyDescent="0.25">
      <c r="A5711" t="s">
        <v>5715</v>
      </c>
      <c r="B5711">
        <v>0.99252571173614901</v>
      </c>
      <c r="C5711">
        <v>0.94556469379584795</v>
      </c>
      <c r="D5711">
        <v>0.57707446153068398</v>
      </c>
      <c r="E5711">
        <v>0.219351262709478</v>
      </c>
      <c r="F5711">
        <v>0.12304983224251601</v>
      </c>
      <c r="G5711">
        <v>6.7428431704732505E-2</v>
      </c>
      <c r="H5711">
        <v>6.0981761135598903E-2</v>
      </c>
      <c r="I5711">
        <v>5.93507494113465E-2</v>
      </c>
      <c r="J5711">
        <v>5.5799572240266299E-2</v>
      </c>
      <c r="K5711">
        <v>5.7284848383089802E-2</v>
      </c>
      <c r="L5711">
        <v>1261.1274269733899</v>
      </c>
      <c r="M5711">
        <v>27.132190776810798</v>
      </c>
      <c r="N5711">
        <v>46.7192441149571</v>
      </c>
      <c r="O5711">
        <v>46.230564398243303</v>
      </c>
      <c r="P5711">
        <v>-0.13723896792989099</v>
      </c>
      <c r="Q5711">
        <v>6.4642794345004598E-2</v>
      </c>
      <c r="R5711">
        <v>0.99786769397132702</v>
      </c>
      <c r="S5711" t="s">
        <v>12357</v>
      </c>
      <c r="T5711" t="s">
        <v>13290</v>
      </c>
      <c r="U5711" t="s">
        <v>13290</v>
      </c>
      <c r="V5711" t="s">
        <v>13290</v>
      </c>
      <c r="W5711" t="s">
        <v>18950</v>
      </c>
      <c r="X5711">
        <v>5</v>
      </c>
      <c r="Y5711" t="s">
        <v>25427</v>
      </c>
      <c r="Z5711" t="s">
        <v>32041</v>
      </c>
      <c r="AA5711">
        <v>0.27375154828152481</v>
      </c>
      <c r="AB5711" t="str">
        <f>HYPERLINK("Melting_Curves/meltCurve_Q9H7B4_SMYD3.pdf", "Melting_Curves/meltCurve_Q9H7B4_SMYD3.pdf")</f>
        <v>Melting_Curves/meltCurve_Q9H7B4_SMYD3.pdf</v>
      </c>
    </row>
    <row r="5712" spans="1:28" x14ac:dyDescent="0.25">
      <c r="A5712" t="s">
        <v>5716</v>
      </c>
      <c r="B5712">
        <v>0.99252571173614901</v>
      </c>
      <c r="C5712">
        <v>1.0770941233892399</v>
      </c>
      <c r="D5712">
        <v>0.99610379418891204</v>
      </c>
      <c r="E5712">
        <v>0.89189809716596202</v>
      </c>
      <c r="F5712">
        <v>0.57572419357429006</v>
      </c>
      <c r="G5712">
        <v>0.45348380747763101</v>
      </c>
      <c r="H5712">
        <v>0.36261427357890902</v>
      </c>
      <c r="I5712">
        <v>0.35691563206198301</v>
      </c>
      <c r="J5712">
        <v>0.35883919911660001</v>
      </c>
      <c r="K5712">
        <v>0.39849539816704899</v>
      </c>
      <c r="L5712">
        <v>1572.34444664332</v>
      </c>
      <c r="M5712">
        <v>30.191344146570501</v>
      </c>
      <c r="N5712">
        <v>54.545726816804603</v>
      </c>
      <c r="O5712">
        <v>51.852406124059897</v>
      </c>
      <c r="P5712">
        <v>-9.13663450267269E-2</v>
      </c>
      <c r="Q5712">
        <v>0.372331753391413</v>
      </c>
      <c r="R5712">
        <v>0.98916422490989597</v>
      </c>
      <c r="S5712" t="s">
        <v>12358</v>
      </c>
      <c r="T5712" t="s">
        <v>13290</v>
      </c>
      <c r="U5712" t="s">
        <v>13290</v>
      </c>
      <c r="V5712" t="s">
        <v>13290</v>
      </c>
      <c r="W5712" t="s">
        <v>18951</v>
      </c>
      <c r="X5712">
        <v>7</v>
      </c>
      <c r="Y5712" t="s">
        <v>25428</v>
      </c>
      <c r="Z5712" t="s">
        <v>32042</v>
      </c>
      <c r="AA5712">
        <v>0.6290235058063548</v>
      </c>
      <c r="AB5712" t="str">
        <f>HYPERLINK("Melting_Curves/meltCurve_Q9H7C9_AAMDC.pdf", "Melting_Curves/meltCurve_Q9H7C9_AAMDC.pdf")</f>
        <v>Melting_Curves/meltCurve_Q9H7C9_AAMDC.pdf</v>
      </c>
    </row>
    <row r="5713" spans="1:28" x14ac:dyDescent="0.25">
      <c r="A5713" t="s">
        <v>5717</v>
      </c>
      <c r="B5713">
        <v>0.99252571173614901</v>
      </c>
      <c r="C5713">
        <v>0.93499498899828404</v>
      </c>
      <c r="D5713">
        <v>1.12427102424809</v>
      </c>
      <c r="E5713">
        <v>1.0905589235234101</v>
      </c>
      <c r="F5713">
        <v>0.72376937365935801</v>
      </c>
      <c r="G5713">
        <v>0.41820418892927103</v>
      </c>
      <c r="H5713">
        <v>0.35087469877661598</v>
      </c>
      <c r="I5713">
        <v>0.39015264019388002</v>
      </c>
      <c r="J5713">
        <v>0.509588856324241</v>
      </c>
      <c r="K5713">
        <v>0.39146959866876702</v>
      </c>
      <c r="L5713">
        <v>13306.428777272</v>
      </c>
      <c r="M5713">
        <v>250</v>
      </c>
      <c r="N5713">
        <v>53.598293881290502</v>
      </c>
      <c r="O5713">
        <v>53.222296428871601</v>
      </c>
      <c r="P5713">
        <v>-0.69043183248255902</v>
      </c>
      <c r="Q5713">
        <v>0.41205797868449701</v>
      </c>
      <c r="R5713">
        <v>0.95330624457171198</v>
      </c>
      <c r="S5713" t="s">
        <v>12359</v>
      </c>
      <c r="T5713" t="s">
        <v>13290</v>
      </c>
      <c r="U5713" t="s">
        <v>13290</v>
      </c>
      <c r="V5713" t="s">
        <v>13290</v>
      </c>
      <c r="W5713" t="s">
        <v>18952</v>
      </c>
      <c r="X5713">
        <v>3</v>
      </c>
      <c r="Y5713" t="s">
        <v>25429</v>
      </c>
      <c r="Z5713" t="s">
        <v>32043</v>
      </c>
      <c r="AA5713">
        <v>0.67131135434539546</v>
      </c>
      <c r="AB5713" t="str">
        <f>HYPERLINK("Melting_Curves/meltCurve_Q9H7D7_2_WDR26.pdf", "Melting_Curves/meltCurve_Q9H7D7_2_WDR26.pdf")</f>
        <v>Melting_Curves/meltCurve_Q9H7D7_2_WDR26.pdf</v>
      </c>
    </row>
    <row r="5714" spans="1:28" x14ac:dyDescent="0.25">
      <c r="A5714" t="s">
        <v>5718</v>
      </c>
      <c r="B5714">
        <v>0.99252571173614901</v>
      </c>
      <c r="C5714">
        <v>0.896404500920012</v>
      </c>
      <c r="D5714">
        <v>0.97371710727452598</v>
      </c>
      <c r="E5714">
        <v>0.84869721715622304</v>
      </c>
      <c r="F5714">
        <v>0.36862954960592798</v>
      </c>
      <c r="G5714">
        <v>0.167202995231963</v>
      </c>
      <c r="H5714">
        <v>9.5878535312758695E-2</v>
      </c>
      <c r="I5714">
        <v>9.4936648966363502E-2</v>
      </c>
      <c r="J5714">
        <v>9.8351677384994396E-2</v>
      </c>
      <c r="K5714">
        <v>0.117780417318347</v>
      </c>
      <c r="L5714">
        <v>1721.9795280169301</v>
      </c>
      <c r="M5714">
        <v>33.188694574875399</v>
      </c>
      <c r="N5714">
        <v>52.245081618254403</v>
      </c>
      <c r="O5714">
        <v>51.697237862178802</v>
      </c>
      <c r="P5714">
        <v>-0.14406875386510601</v>
      </c>
      <c r="Q5714">
        <v>0.10235406697065499</v>
      </c>
      <c r="R5714">
        <v>0.99216207203004103</v>
      </c>
      <c r="S5714" t="s">
        <v>12360</v>
      </c>
      <c r="T5714" t="s">
        <v>13290</v>
      </c>
      <c r="U5714" t="s">
        <v>13290</v>
      </c>
      <c r="V5714" t="s">
        <v>13290</v>
      </c>
      <c r="W5714" t="s">
        <v>18953</v>
      </c>
      <c r="X5714">
        <v>3</v>
      </c>
      <c r="Y5714" t="s">
        <v>25430</v>
      </c>
      <c r="Z5714" t="s">
        <v>32044</v>
      </c>
      <c r="AA5714">
        <v>0.46263792233657552</v>
      </c>
      <c r="AB5714" t="str">
        <f>HYPERLINK("Melting_Curves/meltCurve_Q9H7E2_3_TDRD3.pdf", "Melting_Curves/meltCurve_Q9H7E2_3_TDRD3.pdf")</f>
        <v>Melting_Curves/meltCurve_Q9H7E2_3_TDRD3.pdf</v>
      </c>
    </row>
    <row r="5715" spans="1:28" x14ac:dyDescent="0.25">
      <c r="A5715" t="s">
        <v>5719</v>
      </c>
      <c r="B5715">
        <v>0.99252571173614901</v>
      </c>
      <c r="C5715">
        <v>0.936447693536829</v>
      </c>
      <c r="D5715">
        <v>0.93541888565360198</v>
      </c>
      <c r="E5715">
        <v>0.969374765055531</v>
      </c>
      <c r="F5715">
        <v>0.66729780631216395</v>
      </c>
      <c r="G5715">
        <v>0.36561266269910703</v>
      </c>
      <c r="H5715">
        <v>0.20506962965902201</v>
      </c>
      <c r="I5715">
        <v>0.22323844525692699</v>
      </c>
      <c r="J5715">
        <v>0.22905315588516201</v>
      </c>
      <c r="K5715">
        <v>0.23509912774281699</v>
      </c>
      <c r="L5715">
        <v>1665.0445422202999</v>
      </c>
      <c r="M5715">
        <v>30.9422213924583</v>
      </c>
      <c r="N5715">
        <v>54.832451125620601</v>
      </c>
      <c r="O5715">
        <v>53.588144299141703</v>
      </c>
      <c r="P5715">
        <v>-0.112742582035116</v>
      </c>
      <c r="Q5715">
        <v>0.218979029936895</v>
      </c>
      <c r="R5715">
        <v>0.99100360262266596</v>
      </c>
      <c r="S5715" t="s">
        <v>12361</v>
      </c>
      <c r="T5715" t="s">
        <v>13290</v>
      </c>
      <c r="U5715" t="s">
        <v>13290</v>
      </c>
      <c r="V5715" t="s">
        <v>13290</v>
      </c>
      <c r="W5715" t="s">
        <v>18954</v>
      </c>
      <c r="X5715">
        <v>10</v>
      </c>
      <c r="Y5715" t="s">
        <v>25431</v>
      </c>
      <c r="Z5715" t="s">
        <v>32045</v>
      </c>
      <c r="AA5715">
        <v>0.58336642570298447</v>
      </c>
      <c r="AB5715" t="str">
        <f>HYPERLINK("Melting_Curves/meltCurve_Q9H7F0_ATP13A3.pdf", "Melting_Curves/meltCurve_Q9H7F0_ATP13A3.pdf")</f>
        <v>Melting_Curves/meltCurve_Q9H7F0_ATP13A3.pdf</v>
      </c>
    </row>
    <row r="5716" spans="1:28" x14ac:dyDescent="0.25">
      <c r="A5716" t="s">
        <v>5720</v>
      </c>
      <c r="B5716">
        <v>0.99252571173614901</v>
      </c>
      <c r="C5716">
        <v>0.952816968135346</v>
      </c>
      <c r="D5716">
        <v>1.0041373725215901</v>
      </c>
      <c r="E5716">
        <v>0.92765680838126896</v>
      </c>
      <c r="F5716">
        <v>0.50986553830359804</v>
      </c>
      <c r="G5716">
        <v>0.36674867759364099</v>
      </c>
      <c r="H5716">
        <v>0.235879985035409</v>
      </c>
      <c r="I5716">
        <v>0.171753643820588</v>
      </c>
      <c r="J5716">
        <v>0.217468081898545</v>
      </c>
      <c r="K5716">
        <v>0.20240756039681801</v>
      </c>
      <c r="L5716">
        <v>1478.5999259241501</v>
      </c>
      <c r="M5716">
        <v>28.0285546572347</v>
      </c>
      <c r="N5716">
        <v>53.790967768963199</v>
      </c>
      <c r="O5716">
        <v>52.4870015664929</v>
      </c>
      <c r="P5716">
        <v>-0.10562517970647201</v>
      </c>
      <c r="Q5716">
        <v>0.20882096229765401</v>
      </c>
      <c r="R5716">
        <v>0.98969968416721299</v>
      </c>
      <c r="S5716" t="s">
        <v>12362</v>
      </c>
      <c r="T5716" t="s">
        <v>13290</v>
      </c>
      <c r="U5716" t="s">
        <v>13290</v>
      </c>
      <c r="V5716" t="s">
        <v>13290</v>
      </c>
      <c r="W5716" t="s">
        <v>18955</v>
      </c>
      <c r="X5716">
        <v>5</v>
      </c>
      <c r="Y5716" t="s">
        <v>25432</v>
      </c>
      <c r="Z5716" t="s">
        <v>32046</v>
      </c>
      <c r="AA5716">
        <v>0.5509994662204829</v>
      </c>
      <c r="AB5716" t="str">
        <f>HYPERLINK("Melting_Curves/meltCurve_Q9H7J1_PPP1R3E.pdf", "Melting_Curves/meltCurve_Q9H7J1_PPP1R3E.pdf")</f>
        <v>Melting_Curves/meltCurve_Q9H7J1_PPP1R3E.pdf</v>
      </c>
    </row>
    <row r="5717" spans="1:28" x14ac:dyDescent="0.25">
      <c r="A5717" t="s">
        <v>5721</v>
      </c>
      <c r="B5717">
        <v>0.99252571173614901</v>
      </c>
      <c r="C5717">
        <v>0.948141543790463</v>
      </c>
      <c r="D5717">
        <v>0.85133057294345804</v>
      </c>
      <c r="E5717">
        <v>0.61383578126869898</v>
      </c>
      <c r="F5717">
        <v>0.34836843761296099</v>
      </c>
      <c r="G5717">
        <v>0.242659488815653</v>
      </c>
      <c r="H5717">
        <v>0.21827122127819201</v>
      </c>
      <c r="I5717">
        <v>0.247621747907942</v>
      </c>
      <c r="J5717">
        <v>0.29637164584222297</v>
      </c>
      <c r="K5717">
        <v>0.30493902743100398</v>
      </c>
      <c r="L5717">
        <v>1144.8645487098299</v>
      </c>
      <c r="M5717">
        <v>23.312891879854199</v>
      </c>
      <c r="N5717">
        <v>50.648825051640003</v>
      </c>
      <c r="O5717">
        <v>48.751586257381902</v>
      </c>
      <c r="P5717">
        <v>-8.9195838539628994E-2</v>
      </c>
      <c r="Q5717">
        <v>0.25391298653425398</v>
      </c>
      <c r="R5717">
        <v>0.98856228425389303</v>
      </c>
      <c r="S5717" t="s">
        <v>12363</v>
      </c>
      <c r="T5717" t="s">
        <v>13290</v>
      </c>
      <c r="U5717" t="s">
        <v>13290</v>
      </c>
      <c r="V5717" t="s">
        <v>13290</v>
      </c>
      <c r="W5717" t="s">
        <v>18956</v>
      </c>
      <c r="X5717">
        <v>5</v>
      </c>
      <c r="Y5717" t="s">
        <v>25433</v>
      </c>
      <c r="Z5717" t="s">
        <v>32047</v>
      </c>
      <c r="AA5717">
        <v>0.48807801367915288</v>
      </c>
      <c r="AB5717" t="str">
        <f>HYPERLINK("Melting_Curves/meltCurve_Q9H7L9_SUDS3.pdf", "Melting_Curves/meltCurve_Q9H7L9_SUDS3.pdf")</f>
        <v>Melting_Curves/meltCurve_Q9H7L9_SUDS3.pdf</v>
      </c>
    </row>
    <row r="5718" spans="1:28" x14ac:dyDescent="0.25">
      <c r="A5718" t="s">
        <v>5722</v>
      </c>
      <c r="B5718">
        <v>0.99252571173614901</v>
      </c>
      <c r="C5718">
        <v>0.97213922165963396</v>
      </c>
      <c r="D5718">
        <v>1.02453939536883</v>
      </c>
      <c r="E5718">
        <v>1.02467363741669</v>
      </c>
      <c r="F5718">
        <v>1.10853147993021</v>
      </c>
      <c r="G5718">
        <v>0.91239045792311402</v>
      </c>
      <c r="H5718">
        <v>1.0392698727533001</v>
      </c>
      <c r="I5718">
        <v>0.88401194344560696</v>
      </c>
      <c r="J5718">
        <v>1.50050430466604</v>
      </c>
      <c r="K5718">
        <v>2.1272846828691199</v>
      </c>
      <c r="L5718">
        <v>15000</v>
      </c>
      <c r="M5718">
        <v>227.648409064059</v>
      </c>
      <c r="O5718">
        <v>65.885996899690596</v>
      </c>
      <c r="P5718">
        <v>0.43189831705411502</v>
      </c>
      <c r="Q5718">
        <v>1.5</v>
      </c>
      <c r="R5718">
        <v>0.67066989841172397</v>
      </c>
      <c r="S5718" t="s">
        <v>12364</v>
      </c>
      <c r="T5718" t="s">
        <v>13290</v>
      </c>
      <c r="U5718" t="s">
        <v>13290</v>
      </c>
      <c r="V5718" t="s">
        <v>13290</v>
      </c>
      <c r="W5718" t="s">
        <v>18957</v>
      </c>
      <c r="X5718">
        <v>3</v>
      </c>
      <c r="Y5718" t="s">
        <v>25434</v>
      </c>
      <c r="Z5718" t="s">
        <v>32048</v>
      </c>
      <c r="AA5718">
        <v>1.0684122411476951</v>
      </c>
      <c r="AB5718" t="str">
        <f>HYPERLINK("Melting_Curves/meltCurve_Q9H7S9_ZNF703.pdf", "Melting_Curves/meltCurve_Q9H7S9_ZNF703.pdf")</f>
        <v>Melting_Curves/meltCurve_Q9H7S9_ZNF703.pdf</v>
      </c>
    </row>
    <row r="5719" spans="1:28" x14ac:dyDescent="0.25">
      <c r="A5719" t="s">
        <v>5723</v>
      </c>
      <c r="B5719">
        <v>0.99252571173614901</v>
      </c>
      <c r="C5719">
        <v>0.88082293178986404</v>
      </c>
      <c r="D5719">
        <v>0.51067961771523096</v>
      </c>
      <c r="E5719">
        <v>0.29154940097923498</v>
      </c>
      <c r="F5719">
        <v>0.24063373374318001</v>
      </c>
      <c r="G5719">
        <v>0.163886851649795</v>
      </c>
      <c r="H5719">
        <v>0.15460169405990201</v>
      </c>
      <c r="I5719">
        <v>0.12633746419578401</v>
      </c>
      <c r="J5719">
        <v>0.19196342385433099</v>
      </c>
      <c r="K5719">
        <v>0.17347798862459199</v>
      </c>
      <c r="L5719">
        <v>1141.96049776728</v>
      </c>
      <c r="M5719">
        <v>25.045875053555498</v>
      </c>
      <c r="N5719">
        <v>46.371250174744503</v>
      </c>
      <c r="O5719">
        <v>45.307050487453701</v>
      </c>
      <c r="P5719">
        <v>-0.114531544368665</v>
      </c>
      <c r="Q5719">
        <v>0.17127764391917799</v>
      </c>
      <c r="R5719">
        <v>0.99182544411652696</v>
      </c>
      <c r="S5719" t="s">
        <v>12365</v>
      </c>
      <c r="T5719" t="s">
        <v>13290</v>
      </c>
      <c r="U5719" t="s">
        <v>13290</v>
      </c>
      <c r="V5719" t="s">
        <v>13290</v>
      </c>
      <c r="W5719" t="s">
        <v>18958</v>
      </c>
      <c r="X5719">
        <v>1</v>
      </c>
      <c r="Y5719" t="s">
        <v>25435</v>
      </c>
      <c r="Z5719" t="s">
        <v>32049</v>
      </c>
      <c r="AA5719">
        <v>0.33363897571635098</v>
      </c>
      <c r="AB5719" t="str">
        <f>HYPERLINK("Melting_Curves/meltCurve_Q9H7Z3_NRDE2.pdf", "Melting_Curves/meltCurve_Q9H7Z3_NRDE2.pdf")</f>
        <v>Melting_Curves/meltCurve_Q9H7Z3_NRDE2.pdf</v>
      </c>
    </row>
    <row r="5720" spans="1:28" x14ac:dyDescent="0.25">
      <c r="A5720" t="s">
        <v>5724</v>
      </c>
      <c r="B5720">
        <v>0.99252571173614901</v>
      </c>
      <c r="C5720">
        <v>0.93313535905378198</v>
      </c>
      <c r="D5720">
        <v>0.73895640741995605</v>
      </c>
      <c r="E5720">
        <v>0.68797154494287005</v>
      </c>
      <c r="F5720">
        <v>0.40875052962696401</v>
      </c>
      <c r="G5720">
        <v>0.314368233486783</v>
      </c>
      <c r="H5720">
        <v>0.29662281742700097</v>
      </c>
      <c r="I5720">
        <v>0.34204855663137501</v>
      </c>
      <c r="J5720">
        <v>0.36852765180229002</v>
      </c>
      <c r="K5720">
        <v>0.39981664818708001</v>
      </c>
      <c r="L5720">
        <v>836.69457511337896</v>
      </c>
      <c r="M5720">
        <v>17.316802694051599</v>
      </c>
      <c r="N5720">
        <v>51.542879475838902</v>
      </c>
      <c r="O5720">
        <v>47.686390140144503</v>
      </c>
      <c r="P5720">
        <v>-6.0752162654386301E-2</v>
      </c>
      <c r="Q5720">
        <v>0.33084994829990999</v>
      </c>
      <c r="R5720">
        <v>0.95769564783974004</v>
      </c>
      <c r="S5720" t="s">
        <v>12366</v>
      </c>
      <c r="T5720" t="s">
        <v>13290</v>
      </c>
      <c r="U5720" t="s">
        <v>13290</v>
      </c>
      <c r="V5720" t="s">
        <v>13290</v>
      </c>
      <c r="W5720" t="s">
        <v>18959</v>
      </c>
      <c r="X5720">
        <v>5</v>
      </c>
      <c r="Y5720" t="s">
        <v>25436</v>
      </c>
      <c r="Z5720" t="s">
        <v>32050</v>
      </c>
      <c r="AA5720">
        <v>0.52909752787495357</v>
      </c>
      <c r="AB5720" t="str">
        <f>HYPERLINK("Melting_Curves/meltCurve_Q9H7Z6_KAT8.pdf", "Melting_Curves/meltCurve_Q9H7Z6_KAT8.pdf")</f>
        <v>Melting_Curves/meltCurve_Q9H7Z6_KAT8.pdf</v>
      </c>
    </row>
    <row r="5721" spans="1:28" x14ac:dyDescent="0.25">
      <c r="A5721" t="s">
        <v>5725</v>
      </c>
      <c r="B5721">
        <v>0.99252571173614901</v>
      </c>
      <c r="C5721">
        <v>0.99235635816109402</v>
      </c>
      <c r="D5721">
        <v>0.89746712497903502</v>
      </c>
      <c r="E5721">
        <v>0.68806634716409698</v>
      </c>
      <c r="F5721">
        <v>0.47896042933582</v>
      </c>
      <c r="G5721">
        <v>0.229648107117328</v>
      </c>
      <c r="H5721">
        <v>0.10612912681083</v>
      </c>
      <c r="I5721">
        <v>9.3104618623781693E-2</v>
      </c>
      <c r="J5721">
        <v>0.106075678575308</v>
      </c>
      <c r="K5721">
        <v>9.9097361291169597E-2</v>
      </c>
      <c r="L5721">
        <v>885.34039852275498</v>
      </c>
      <c r="M5721">
        <v>17.053944229849801</v>
      </c>
      <c r="N5721">
        <v>52.367748077517597</v>
      </c>
      <c r="O5721">
        <v>51.216087570604302</v>
      </c>
      <c r="P5721">
        <v>-7.7533585848735195E-2</v>
      </c>
      <c r="Q5721">
        <v>6.8667593152269599E-2</v>
      </c>
      <c r="R5721">
        <v>0.99667883453078199</v>
      </c>
      <c r="S5721" t="s">
        <v>12367</v>
      </c>
      <c r="T5721" t="s">
        <v>13290</v>
      </c>
      <c r="U5721" t="s">
        <v>13290</v>
      </c>
      <c r="V5721" t="s">
        <v>13290</v>
      </c>
      <c r="W5721" t="s">
        <v>18960</v>
      </c>
      <c r="X5721">
        <v>18</v>
      </c>
      <c r="Y5721" t="s">
        <v>25437</v>
      </c>
      <c r="Z5721" t="s">
        <v>32051</v>
      </c>
      <c r="AA5721">
        <v>0.45553328168123491</v>
      </c>
      <c r="AB5721" t="str">
        <f>HYPERLINK("Melting_Curves/meltCurve_Q9H7Z7_PTGES2.pdf", "Melting_Curves/meltCurve_Q9H7Z7_PTGES2.pdf")</f>
        <v>Melting_Curves/meltCurve_Q9H7Z7_PTGES2.pdf</v>
      </c>
    </row>
    <row r="5722" spans="1:28" x14ac:dyDescent="0.25">
      <c r="A5722" t="s">
        <v>5726</v>
      </c>
      <c r="B5722">
        <v>0.99252571173614901</v>
      </c>
      <c r="C5722">
        <v>0.98011565371014397</v>
      </c>
      <c r="D5722">
        <v>0.89959565429928701</v>
      </c>
      <c r="E5722">
        <v>0.70654207911751599</v>
      </c>
      <c r="F5722">
        <v>0.39188474327786099</v>
      </c>
      <c r="G5722">
        <v>0.31347437403994799</v>
      </c>
      <c r="H5722">
        <v>0.27692254207696598</v>
      </c>
      <c r="I5722">
        <v>0.32156637733924798</v>
      </c>
      <c r="J5722">
        <v>0.439484554446542</v>
      </c>
      <c r="K5722">
        <v>0.508473036006169</v>
      </c>
      <c r="L5722">
        <v>1685.17274825343</v>
      </c>
      <c r="M5722">
        <v>34.0095856270868</v>
      </c>
      <c r="N5722">
        <v>51.554260457695598</v>
      </c>
      <c r="O5722">
        <v>49.379560324755097</v>
      </c>
      <c r="P5722">
        <v>-0.10904014966823</v>
      </c>
      <c r="Q5722">
        <v>0.36672756619193297</v>
      </c>
      <c r="R5722">
        <v>0.93918966283556904</v>
      </c>
      <c r="S5722" t="s">
        <v>12368</v>
      </c>
      <c r="T5722" t="s">
        <v>13290</v>
      </c>
      <c r="U5722" t="s">
        <v>13290</v>
      </c>
      <c r="V5722" t="s">
        <v>13290</v>
      </c>
      <c r="W5722" t="s">
        <v>18961</v>
      </c>
      <c r="X5722">
        <v>7</v>
      </c>
      <c r="Y5722" t="s">
        <v>25438</v>
      </c>
      <c r="Z5722" t="s">
        <v>32052</v>
      </c>
      <c r="AA5722">
        <v>0.57133191526719196</v>
      </c>
      <c r="AB5722" t="str">
        <f>HYPERLINK("Melting_Curves/meltCurve_Q9H814_PHAX.pdf", "Melting_Curves/meltCurve_Q9H814_PHAX.pdf")</f>
        <v>Melting_Curves/meltCurve_Q9H814_PHAX.pdf</v>
      </c>
    </row>
    <row r="5723" spans="1:28" x14ac:dyDescent="0.25">
      <c r="A5723" t="s">
        <v>5727</v>
      </c>
      <c r="B5723">
        <v>0.99252571173614901</v>
      </c>
      <c r="C5723">
        <v>1.0688785078704299</v>
      </c>
      <c r="D5723">
        <v>0.94964627266967805</v>
      </c>
      <c r="E5723">
        <v>0.74861721723330199</v>
      </c>
      <c r="F5723">
        <v>0.33583827153807499</v>
      </c>
      <c r="G5723">
        <v>0.110444839971577</v>
      </c>
      <c r="H5723">
        <v>6.6993800598823594E-2</v>
      </c>
      <c r="I5723">
        <v>5.8769468296203997E-2</v>
      </c>
      <c r="J5723">
        <v>7.3093456266279597E-2</v>
      </c>
      <c r="K5723">
        <v>6.9364836664495805E-2</v>
      </c>
      <c r="L5723">
        <v>1429.1888006418301</v>
      </c>
      <c r="M5723">
        <v>27.791046307246699</v>
      </c>
      <c r="N5723">
        <v>51.666330241368598</v>
      </c>
      <c r="O5723">
        <v>51.162153201236897</v>
      </c>
      <c r="P5723">
        <v>-0.12757283981615</v>
      </c>
      <c r="Q5723">
        <v>6.0582960376253402E-2</v>
      </c>
      <c r="R5723">
        <v>0.99646700529738996</v>
      </c>
      <c r="S5723" t="s">
        <v>12369</v>
      </c>
      <c r="T5723" t="s">
        <v>13290</v>
      </c>
      <c r="U5723" t="s">
        <v>13290</v>
      </c>
      <c r="V5723" t="s">
        <v>13290</v>
      </c>
      <c r="W5723" t="s">
        <v>18962</v>
      </c>
      <c r="X5723">
        <v>15</v>
      </c>
      <c r="Y5723" t="s">
        <v>25439</v>
      </c>
      <c r="Z5723" t="s">
        <v>32053</v>
      </c>
      <c r="AA5723">
        <v>0.42530713643633528</v>
      </c>
      <c r="AB5723" t="str">
        <f>HYPERLINK("Melting_Curves/meltCurve_Q9H832_UBE2Z.pdf", "Melting_Curves/meltCurve_Q9H832_UBE2Z.pdf")</f>
        <v>Melting_Curves/meltCurve_Q9H832_UBE2Z.pdf</v>
      </c>
    </row>
    <row r="5724" spans="1:28" x14ac:dyDescent="0.25">
      <c r="A5724" t="s">
        <v>5728</v>
      </c>
      <c r="B5724">
        <v>0.99252571173614901</v>
      </c>
      <c r="C5724">
        <v>1.03564516344989</v>
      </c>
      <c r="D5724">
        <v>0.93357268227026002</v>
      </c>
      <c r="E5724">
        <v>0.87801840065763703</v>
      </c>
      <c r="F5724">
        <v>0.61170558378514395</v>
      </c>
      <c r="G5724">
        <v>0.47048897371523002</v>
      </c>
      <c r="H5724">
        <v>0.205486000589443</v>
      </c>
      <c r="I5724">
        <v>0.100162736962085</v>
      </c>
      <c r="J5724">
        <v>9.7038324037100901E-2</v>
      </c>
      <c r="K5724">
        <v>7.3449667394683296E-2</v>
      </c>
      <c r="L5724">
        <v>837.13168063792796</v>
      </c>
      <c r="M5724">
        <v>15.118607364653201</v>
      </c>
      <c r="N5724">
        <v>55.521925892815801</v>
      </c>
      <c r="O5724">
        <v>54.429309104878897</v>
      </c>
      <c r="P5724">
        <v>-6.8049675235019896E-2</v>
      </c>
      <c r="Q5724">
        <v>2.01388444426015E-2</v>
      </c>
      <c r="R5724">
        <v>0.99326896258170105</v>
      </c>
      <c r="S5724" t="s">
        <v>12370</v>
      </c>
      <c r="T5724" t="s">
        <v>13290</v>
      </c>
      <c r="U5724" t="s">
        <v>13290</v>
      </c>
      <c r="V5724" t="s">
        <v>13290</v>
      </c>
      <c r="W5724" t="s">
        <v>18963</v>
      </c>
      <c r="X5724">
        <v>3</v>
      </c>
      <c r="Y5724" t="s">
        <v>25440</v>
      </c>
      <c r="Z5724" t="s">
        <v>32054</v>
      </c>
      <c r="AA5724">
        <v>0.54041510454726904</v>
      </c>
      <c r="AB5724" t="str">
        <f>HYPERLINK("Melting_Curves/meltCurve_Q9H840_GEMIN7.pdf", "Melting_Curves/meltCurve_Q9H840_GEMIN7.pdf")</f>
        <v>Melting_Curves/meltCurve_Q9H840_GEMIN7.pdf</v>
      </c>
    </row>
    <row r="5725" spans="1:28" x14ac:dyDescent="0.25">
      <c r="A5725" t="s">
        <v>5729</v>
      </c>
      <c r="B5725">
        <v>0.99252571173614901</v>
      </c>
      <c r="C5725">
        <v>0.94684761856840205</v>
      </c>
      <c r="D5725">
        <v>0.93378570296536401</v>
      </c>
      <c r="E5725">
        <v>0.806389069992694</v>
      </c>
      <c r="F5725">
        <v>0.369834433788304</v>
      </c>
      <c r="G5725">
        <v>0.23763868099441399</v>
      </c>
      <c r="H5725">
        <v>0.152869146935427</v>
      </c>
      <c r="I5725">
        <v>0.103210858979416</v>
      </c>
      <c r="J5725">
        <v>0.105749436724596</v>
      </c>
      <c r="K5725">
        <v>9.8199756550368097E-2</v>
      </c>
      <c r="L5725">
        <v>1266.73638920147</v>
      </c>
      <c r="M5725">
        <v>24.481390344364101</v>
      </c>
      <c r="N5725">
        <v>52.271293427792003</v>
      </c>
      <c r="O5725">
        <v>51.401296717364602</v>
      </c>
      <c r="P5725">
        <v>-0.106018087755469</v>
      </c>
      <c r="Q5725">
        <v>0.10962790722903699</v>
      </c>
      <c r="R5725">
        <v>0.99411851776955396</v>
      </c>
      <c r="S5725" t="s">
        <v>12371</v>
      </c>
      <c r="T5725" t="s">
        <v>13290</v>
      </c>
      <c r="U5725" t="s">
        <v>13290</v>
      </c>
      <c r="V5725" t="s">
        <v>13290</v>
      </c>
      <c r="W5725" t="s">
        <v>18964</v>
      </c>
      <c r="X5725">
        <v>22</v>
      </c>
      <c r="Y5725" t="s">
        <v>25441</v>
      </c>
      <c r="Z5725" t="s">
        <v>32055</v>
      </c>
      <c r="AA5725">
        <v>0.46658654693717638</v>
      </c>
      <c r="AB5725" t="str">
        <f>HYPERLINK("Melting_Curves/meltCurve_Q9H845_ACAD9.pdf", "Melting_Curves/meltCurve_Q9H845_ACAD9.pdf")</f>
        <v>Melting_Curves/meltCurve_Q9H845_ACAD9.pdf</v>
      </c>
    </row>
    <row r="5726" spans="1:28" x14ac:dyDescent="0.25">
      <c r="A5726" t="s">
        <v>5730</v>
      </c>
      <c r="B5726">
        <v>0.99252571173614901</v>
      </c>
      <c r="C5726">
        <v>1.0418537638051</v>
      </c>
      <c r="D5726">
        <v>0.91717600194124205</v>
      </c>
      <c r="E5726">
        <v>1.1066649229819701</v>
      </c>
      <c r="F5726">
        <v>0.71292301917289802</v>
      </c>
      <c r="G5726">
        <v>0.62393562891731302</v>
      </c>
      <c r="H5726">
        <v>0.72872149881561699</v>
      </c>
      <c r="I5726">
        <v>1.0838541586166099</v>
      </c>
      <c r="J5726">
        <v>1.7371048184355</v>
      </c>
      <c r="K5726">
        <v>2.02261400084245</v>
      </c>
      <c r="L5726">
        <v>15000</v>
      </c>
      <c r="M5726">
        <v>232.775403830605</v>
      </c>
      <c r="O5726">
        <v>64.435041996759196</v>
      </c>
      <c r="P5726">
        <v>0.45156990441697398</v>
      </c>
      <c r="Q5726">
        <v>1.5</v>
      </c>
      <c r="R5726">
        <v>0.64458985668175806</v>
      </c>
      <c r="S5726" t="s">
        <v>12372</v>
      </c>
      <c r="T5726" t="s">
        <v>13290</v>
      </c>
      <c r="U5726" t="s">
        <v>13290</v>
      </c>
      <c r="V5726" t="s">
        <v>13290</v>
      </c>
      <c r="W5726" t="s">
        <v>18965</v>
      </c>
      <c r="X5726">
        <v>5</v>
      </c>
      <c r="Y5726" t="s">
        <v>25442</v>
      </c>
      <c r="Z5726" t="s">
        <v>32056</v>
      </c>
      <c r="AA5726">
        <v>1.0926048079507811</v>
      </c>
      <c r="AB5726" t="str">
        <f>HYPERLINK("Melting_Curves/meltCurve_Q9H875_PRKRIP1.pdf", "Melting_Curves/meltCurve_Q9H875_PRKRIP1.pdf")</f>
        <v>Melting_Curves/meltCurve_Q9H875_PRKRIP1.pdf</v>
      </c>
    </row>
    <row r="5727" spans="1:28" x14ac:dyDescent="0.25">
      <c r="A5727" t="s">
        <v>5731</v>
      </c>
      <c r="B5727">
        <v>0.99252571173614901</v>
      </c>
      <c r="C5727">
        <v>0.95516606974393203</v>
      </c>
      <c r="D5727">
        <v>0.67863266975270498</v>
      </c>
      <c r="E5727">
        <v>0.49658229882207999</v>
      </c>
      <c r="F5727">
        <v>0.53896064171459401</v>
      </c>
      <c r="G5727">
        <v>0.34095911756622299</v>
      </c>
      <c r="H5727">
        <v>0.31456200515173899</v>
      </c>
      <c r="I5727">
        <v>0.42023079152905402</v>
      </c>
      <c r="J5727">
        <v>0.68012719548723199</v>
      </c>
      <c r="K5727">
        <v>0.87679319118252896</v>
      </c>
      <c r="L5727">
        <v>2075.6437040533301</v>
      </c>
      <c r="M5727">
        <v>45.902347045246202</v>
      </c>
      <c r="O5727">
        <v>45.133110453589602</v>
      </c>
      <c r="P5727">
        <v>-0.12120079369249</v>
      </c>
      <c r="Q5727">
        <v>0.52332177972946903</v>
      </c>
      <c r="R5727">
        <v>0.570940886834025</v>
      </c>
      <c r="S5727" t="s">
        <v>12373</v>
      </c>
      <c r="T5727" t="s">
        <v>13290</v>
      </c>
      <c r="U5727" t="s">
        <v>13290</v>
      </c>
      <c r="V5727" t="s">
        <v>13290</v>
      </c>
      <c r="W5727" t="s">
        <v>18966</v>
      </c>
      <c r="X5727">
        <v>7</v>
      </c>
      <c r="Y5727" t="s">
        <v>25443</v>
      </c>
      <c r="Z5727" t="s">
        <v>32057</v>
      </c>
      <c r="AA5727">
        <v>0.60740172320783536</v>
      </c>
      <c r="AB5727" t="str">
        <f>HYPERLINK("Melting_Curves/meltCurve_Q9H8G2_CAAP1.pdf", "Melting_Curves/meltCurve_Q9H8G2_CAAP1.pdf")</f>
        <v>Melting_Curves/meltCurve_Q9H8G2_CAAP1.pdf</v>
      </c>
    </row>
    <row r="5728" spans="1:28" x14ac:dyDescent="0.25">
      <c r="A5728" t="s">
        <v>5732</v>
      </c>
      <c r="B5728">
        <v>0.99252571173614901</v>
      </c>
      <c r="C5728">
        <v>1.01591608438411</v>
      </c>
      <c r="D5728">
        <v>1.26967708267457</v>
      </c>
      <c r="E5728">
        <v>1.59213970576168</v>
      </c>
      <c r="F5728">
        <v>1.26650802616319</v>
      </c>
      <c r="G5728">
        <v>0.47886736862891199</v>
      </c>
      <c r="H5728">
        <v>0.168624622457231</v>
      </c>
      <c r="I5728">
        <v>0.16113589988621599</v>
      </c>
      <c r="J5728">
        <v>0.15560654100590601</v>
      </c>
      <c r="K5728">
        <v>0.141136469019881</v>
      </c>
      <c r="L5728">
        <v>14172.6960787144</v>
      </c>
      <c r="M5728">
        <v>250</v>
      </c>
      <c r="N5728">
        <v>56.7761268543372</v>
      </c>
      <c r="O5728">
        <v>56.687140909074799</v>
      </c>
      <c r="P5728">
        <v>-0.929855838464405</v>
      </c>
      <c r="Q5728">
        <v>0.15662586528053901</v>
      </c>
      <c r="R5728">
        <v>0.82635603435443505</v>
      </c>
      <c r="S5728" t="s">
        <v>12374</v>
      </c>
      <c r="T5728" t="s">
        <v>13290</v>
      </c>
      <c r="U5728" t="s">
        <v>13290</v>
      </c>
      <c r="V5728" t="s">
        <v>13290</v>
      </c>
      <c r="W5728" t="s">
        <v>18967</v>
      </c>
      <c r="X5728">
        <v>16</v>
      </c>
      <c r="Y5728" t="s">
        <v>25444</v>
      </c>
      <c r="Z5728" t="s">
        <v>32058</v>
      </c>
      <c r="AA5728">
        <v>0.62592896643558349</v>
      </c>
      <c r="AB5728" t="str">
        <f>HYPERLINK("Melting_Curves/meltCurve_Q9H8H0_NOL11.pdf", "Melting_Curves/meltCurve_Q9H8H0_NOL11.pdf")</f>
        <v>Melting_Curves/meltCurve_Q9H8H0_NOL11.pdf</v>
      </c>
    </row>
    <row r="5729" spans="1:28" x14ac:dyDescent="0.25">
      <c r="A5729" t="s">
        <v>5733</v>
      </c>
      <c r="B5729">
        <v>0.99252571173614901</v>
      </c>
      <c r="C5729">
        <v>0.98248982850272704</v>
      </c>
      <c r="D5729">
        <v>0.91340254847494495</v>
      </c>
      <c r="E5729">
        <v>0.90127043175852495</v>
      </c>
      <c r="F5729">
        <v>0.72198399492051102</v>
      </c>
      <c r="G5729">
        <v>0.66586789815538305</v>
      </c>
      <c r="H5729">
        <v>0.48768514871634899</v>
      </c>
      <c r="I5729">
        <v>0.55864538232831396</v>
      </c>
      <c r="J5729">
        <v>0.82060277340427801</v>
      </c>
      <c r="K5729">
        <v>0.62526694353640699</v>
      </c>
      <c r="L5729">
        <v>1291.62196646396</v>
      </c>
      <c r="M5729">
        <v>25.3219380431837</v>
      </c>
      <c r="O5729">
        <v>50.6930884285294</v>
      </c>
      <c r="P5729">
        <v>-4.6789555286824401E-2</v>
      </c>
      <c r="Q5729">
        <v>0.62532461515286197</v>
      </c>
      <c r="R5729">
        <v>0.76685701038356602</v>
      </c>
      <c r="S5729" t="s">
        <v>12375</v>
      </c>
      <c r="T5729" t="s">
        <v>13290</v>
      </c>
      <c r="U5729" t="s">
        <v>13290</v>
      </c>
      <c r="V5729" t="s">
        <v>13290</v>
      </c>
      <c r="W5729" t="s">
        <v>18968</v>
      </c>
      <c r="X5729">
        <v>5</v>
      </c>
      <c r="Y5729" t="s">
        <v>25445</v>
      </c>
      <c r="Z5729" t="s">
        <v>32059</v>
      </c>
      <c r="AA5729">
        <v>0.76610665299156511</v>
      </c>
      <c r="AB5729" t="str">
        <f>HYPERLINK("Melting_Curves/meltCurve_Q9H8J5_MANSC1.pdf", "Melting_Curves/meltCurve_Q9H8J5_MANSC1.pdf")</f>
        <v>Melting_Curves/meltCurve_Q9H8J5_MANSC1.pdf</v>
      </c>
    </row>
    <row r="5730" spans="1:28" x14ac:dyDescent="0.25">
      <c r="A5730" t="s">
        <v>5734</v>
      </c>
      <c r="B5730">
        <v>0.99252571173614901</v>
      </c>
      <c r="C5730">
        <v>1.0328875735685501</v>
      </c>
      <c r="D5730">
        <v>0.92977416702694005</v>
      </c>
      <c r="E5730">
        <v>0.75444321684701698</v>
      </c>
      <c r="F5730">
        <v>0.428428127022356</v>
      </c>
      <c r="G5730">
        <v>0.11544617093986299</v>
      </c>
      <c r="H5730">
        <v>7.1569072730337704E-2</v>
      </c>
      <c r="I5730">
        <v>7.5433401251364704E-2</v>
      </c>
      <c r="J5730">
        <v>8.3258662317562099E-2</v>
      </c>
      <c r="K5730">
        <v>0.14275749832071599</v>
      </c>
      <c r="L5730">
        <v>1306.8426407634699</v>
      </c>
      <c r="M5730">
        <v>25.2498827876381</v>
      </c>
      <c r="N5730">
        <v>52.111700389380303</v>
      </c>
      <c r="O5730">
        <v>51.435016721092701</v>
      </c>
      <c r="P5730">
        <v>-0.113023983897344</v>
      </c>
      <c r="Q5730">
        <v>7.9074378828303205E-2</v>
      </c>
      <c r="R5730">
        <v>0.99241422747124197</v>
      </c>
      <c r="S5730" t="s">
        <v>12376</v>
      </c>
      <c r="T5730" t="s">
        <v>13290</v>
      </c>
      <c r="U5730" t="s">
        <v>13290</v>
      </c>
      <c r="V5730" t="s">
        <v>13290</v>
      </c>
      <c r="W5730" t="s">
        <v>18969</v>
      </c>
      <c r="X5730">
        <v>4</v>
      </c>
      <c r="Y5730" t="s">
        <v>25446</v>
      </c>
      <c r="Z5730" t="s">
        <v>32060</v>
      </c>
      <c r="AA5730">
        <v>0.44819291513181547</v>
      </c>
      <c r="AB5730" t="str">
        <f>HYPERLINK("Melting_Curves/meltCurve_Q9H8M7_FAM188A.pdf", "Melting_Curves/meltCurve_Q9H8M7_FAM188A.pdf")</f>
        <v>Melting_Curves/meltCurve_Q9H8M7_FAM188A.pdf</v>
      </c>
    </row>
    <row r="5731" spans="1:28" x14ac:dyDescent="0.25">
      <c r="A5731" t="s">
        <v>5735</v>
      </c>
      <c r="B5731">
        <v>0.99252571173614901</v>
      </c>
      <c r="C5731">
        <v>1.1160176174543299</v>
      </c>
      <c r="D5731">
        <v>1.02206442008862</v>
      </c>
      <c r="E5731">
        <v>0.87098542339766805</v>
      </c>
      <c r="F5731">
        <v>0.72242443330102502</v>
      </c>
      <c r="G5731">
        <v>0.34897379135578699</v>
      </c>
      <c r="H5731">
        <v>0.1329641073352</v>
      </c>
      <c r="I5731">
        <v>0.107106058987933</v>
      </c>
      <c r="J5731">
        <v>0.103358671999617</v>
      </c>
      <c r="K5731">
        <v>9.6396438595896999E-2</v>
      </c>
      <c r="L5731">
        <v>1330.0413377587799</v>
      </c>
      <c r="M5731">
        <v>24.297553653134401</v>
      </c>
      <c r="N5731">
        <v>55.147161501085598</v>
      </c>
      <c r="O5731">
        <v>54.372979657394602</v>
      </c>
      <c r="P5731">
        <v>-0.10253967565145999</v>
      </c>
      <c r="Q5731">
        <v>8.2162235037899795E-2</v>
      </c>
      <c r="R5731">
        <v>0.98821296244440704</v>
      </c>
      <c r="S5731" t="s">
        <v>12377</v>
      </c>
      <c r="T5731" t="s">
        <v>13290</v>
      </c>
      <c r="U5731" t="s">
        <v>13290</v>
      </c>
      <c r="V5731" t="s">
        <v>13290</v>
      </c>
      <c r="W5731" t="s">
        <v>18970</v>
      </c>
      <c r="X5731">
        <v>5</v>
      </c>
      <c r="Y5731" t="s">
        <v>25447</v>
      </c>
      <c r="Z5731" t="s">
        <v>32061</v>
      </c>
      <c r="AA5731">
        <v>0.54205199387684799</v>
      </c>
      <c r="AB5731" t="str">
        <f>HYPERLINK("Melting_Curves/meltCurve_Q9H8S9_MOB1A.pdf", "Melting_Curves/meltCurve_Q9H8S9_MOB1A.pdf")</f>
        <v>Melting_Curves/meltCurve_Q9H8S9_MOB1A.pdf</v>
      </c>
    </row>
    <row r="5732" spans="1:28" x14ac:dyDescent="0.25">
      <c r="A5732" t="s">
        <v>5736</v>
      </c>
      <c r="B5732">
        <v>0.99252571173614901</v>
      </c>
      <c r="C5732">
        <v>1.14857735614125</v>
      </c>
      <c r="D5732">
        <v>1.02218380094265</v>
      </c>
      <c r="E5732">
        <v>0.97710208819394695</v>
      </c>
      <c r="F5732">
        <v>0.88958619214084</v>
      </c>
      <c r="G5732">
        <v>0.77762360532637198</v>
      </c>
      <c r="H5732">
        <v>0.70367198086333005</v>
      </c>
      <c r="I5732">
        <v>0.71835030073809203</v>
      </c>
      <c r="J5732">
        <v>0.70949069519526997</v>
      </c>
      <c r="K5732">
        <v>0.69776868275807702</v>
      </c>
      <c r="L5732">
        <v>1520.9469975725401</v>
      </c>
      <c r="M5732">
        <v>28.013541675953999</v>
      </c>
      <c r="O5732">
        <v>54.018867853389303</v>
      </c>
      <c r="P5732">
        <v>-3.84413620496762E-2</v>
      </c>
      <c r="Q5732">
        <v>0.70349467610012195</v>
      </c>
      <c r="R5732">
        <v>0.90403563426169997</v>
      </c>
      <c r="S5732" t="s">
        <v>12378</v>
      </c>
      <c r="T5732" t="s">
        <v>13290</v>
      </c>
      <c r="U5732" t="s">
        <v>13290</v>
      </c>
      <c r="V5732" t="s">
        <v>13290</v>
      </c>
      <c r="W5732" t="s">
        <v>18971</v>
      </c>
      <c r="X5732">
        <v>7</v>
      </c>
      <c r="Y5732" t="s">
        <v>25448</v>
      </c>
      <c r="Z5732" t="s">
        <v>32062</v>
      </c>
      <c r="AA5732">
        <v>0.84698811970409937</v>
      </c>
      <c r="AB5732" t="str">
        <f>HYPERLINK("Melting_Curves/meltCurve_Q9H8U3_ZFAND3.pdf", "Melting_Curves/meltCurve_Q9H8U3_ZFAND3.pdf")</f>
        <v>Melting_Curves/meltCurve_Q9H8U3_ZFAND3.pdf</v>
      </c>
    </row>
    <row r="5733" spans="1:28" x14ac:dyDescent="0.25">
      <c r="A5733" t="s">
        <v>5737</v>
      </c>
      <c r="B5733">
        <v>0.99252571173614901</v>
      </c>
      <c r="C5733">
        <v>0.90369458554442506</v>
      </c>
      <c r="D5733">
        <v>0.64382824218118595</v>
      </c>
      <c r="E5733">
        <v>0.38390950961254</v>
      </c>
      <c r="F5733">
        <v>0.26214111407414598</v>
      </c>
      <c r="G5733">
        <v>0.12689025798633899</v>
      </c>
      <c r="H5733">
        <v>0.10977459652021899</v>
      </c>
      <c r="I5733">
        <v>0.15589310812997001</v>
      </c>
      <c r="J5733">
        <v>0.25951554399440102</v>
      </c>
      <c r="K5733">
        <v>0.29447790597182</v>
      </c>
      <c r="L5733">
        <v>1041.77346421838</v>
      </c>
      <c r="M5733">
        <v>22.329305334489199</v>
      </c>
      <c r="N5733">
        <v>47.6875661105544</v>
      </c>
      <c r="O5733">
        <v>46.285646010692901</v>
      </c>
      <c r="P5733">
        <v>-9.7489352632839907E-2</v>
      </c>
      <c r="Q5733">
        <v>0.19168809641169901</v>
      </c>
      <c r="R5733">
        <v>0.96612834526716196</v>
      </c>
      <c r="S5733" t="s">
        <v>12379</v>
      </c>
      <c r="T5733" t="s">
        <v>13290</v>
      </c>
      <c r="U5733" t="s">
        <v>13290</v>
      </c>
      <c r="V5733" t="s">
        <v>13290</v>
      </c>
      <c r="W5733" t="s">
        <v>18972</v>
      </c>
      <c r="X5733">
        <v>4</v>
      </c>
      <c r="Y5733" t="s">
        <v>25449</v>
      </c>
      <c r="Z5733" t="s">
        <v>32063</v>
      </c>
      <c r="AA5733">
        <v>0.38037883194548472</v>
      </c>
      <c r="AB5733" t="str">
        <f>HYPERLINK("Melting_Curves/meltCurve_Q9H8V3_ECT2.pdf", "Melting_Curves/meltCurve_Q9H8V3_ECT2.pdf")</f>
        <v>Melting_Curves/meltCurve_Q9H8V3_ECT2.pdf</v>
      </c>
    </row>
    <row r="5734" spans="1:28" x14ac:dyDescent="0.25">
      <c r="A5734" t="s">
        <v>5738</v>
      </c>
      <c r="B5734">
        <v>0.99252571173614901</v>
      </c>
      <c r="C5734">
        <v>0.94933170644170095</v>
      </c>
      <c r="D5734">
        <v>0.86335286339694295</v>
      </c>
      <c r="E5734">
        <v>0.70997973967943395</v>
      </c>
      <c r="F5734">
        <v>0.62963666039889299</v>
      </c>
      <c r="G5734">
        <v>0.43533480757877302</v>
      </c>
      <c r="H5734">
        <v>0.33444455572077397</v>
      </c>
      <c r="I5734">
        <v>0.34115654195575101</v>
      </c>
      <c r="J5734">
        <v>0.41020391627764302</v>
      </c>
      <c r="K5734">
        <v>0.42521501459668298</v>
      </c>
      <c r="L5734">
        <v>755.48434341002201</v>
      </c>
      <c r="M5734">
        <v>14.9544470190281</v>
      </c>
      <c r="N5734">
        <v>55.157603716198402</v>
      </c>
      <c r="O5734">
        <v>49.641490540521801</v>
      </c>
      <c r="P5734">
        <v>-4.8367859129163797E-2</v>
      </c>
      <c r="Q5734">
        <v>0.357834586965879</v>
      </c>
      <c r="R5734">
        <v>0.97091027866816204</v>
      </c>
      <c r="S5734" t="s">
        <v>12380</v>
      </c>
      <c r="T5734" t="s">
        <v>13290</v>
      </c>
      <c r="U5734" t="s">
        <v>13290</v>
      </c>
      <c r="V5734" t="s">
        <v>13290</v>
      </c>
      <c r="W5734" t="s">
        <v>18973</v>
      </c>
      <c r="X5734">
        <v>1</v>
      </c>
      <c r="Y5734" t="s">
        <v>25450</v>
      </c>
      <c r="Z5734" t="s">
        <v>32064</v>
      </c>
      <c r="AA5734">
        <v>0.59814167614098612</v>
      </c>
      <c r="AB5734" t="str">
        <f>HYPERLINK("Melting_Curves/meltCurve_Q9H8W3_FAM204A.pdf", "Melting_Curves/meltCurve_Q9H8W3_FAM204A.pdf")</f>
        <v>Melting_Curves/meltCurve_Q9H8W3_FAM204A.pdf</v>
      </c>
    </row>
    <row r="5735" spans="1:28" x14ac:dyDescent="0.25">
      <c r="A5735" t="s">
        <v>5739</v>
      </c>
      <c r="B5735">
        <v>0.99252571173614901</v>
      </c>
      <c r="C5735">
        <v>0.97777498899229998</v>
      </c>
      <c r="D5735">
        <v>0.62075037551604795</v>
      </c>
      <c r="E5735">
        <v>0.24010702945842699</v>
      </c>
      <c r="F5735">
        <v>0.14078868975860701</v>
      </c>
      <c r="G5735">
        <v>1.4700632244942001E-2</v>
      </c>
      <c r="H5735">
        <v>7.4701421404458597E-3</v>
      </c>
      <c r="I5735">
        <v>1.01859603001111E-2</v>
      </c>
      <c r="J5735">
        <v>0</v>
      </c>
      <c r="K5735">
        <v>0</v>
      </c>
      <c r="L5735">
        <v>1119.5700593250499</v>
      </c>
      <c r="M5735">
        <v>23.727939343214</v>
      </c>
      <c r="N5735">
        <v>47.2297829008156</v>
      </c>
      <c r="O5735">
        <v>46.852314736327799</v>
      </c>
      <c r="P5735">
        <v>-0.12516162434655401</v>
      </c>
      <c r="Q5735">
        <v>1.1458233401369901E-2</v>
      </c>
      <c r="R5735">
        <v>0.99339013296144196</v>
      </c>
      <c r="S5735" t="s">
        <v>12381</v>
      </c>
      <c r="T5735" t="s">
        <v>13290</v>
      </c>
      <c r="U5735" t="s">
        <v>13290</v>
      </c>
      <c r="V5735" t="s">
        <v>13290</v>
      </c>
      <c r="W5735" t="s">
        <v>18974</v>
      </c>
      <c r="X5735">
        <v>1</v>
      </c>
      <c r="Y5735" t="s">
        <v>25451</v>
      </c>
      <c r="Z5735" t="s">
        <v>32065</v>
      </c>
      <c r="AA5735">
        <v>0.25803395232723819</v>
      </c>
      <c r="AB5735" t="str">
        <f>HYPERLINK("Melting_Curves/meltCurve_Q9H8W4_PLEKHF2.pdf", "Melting_Curves/meltCurve_Q9H8W4_PLEKHF2.pdf")</f>
        <v>Melting_Curves/meltCurve_Q9H8W4_PLEKHF2.pdf</v>
      </c>
    </row>
    <row r="5736" spans="1:28" x14ac:dyDescent="0.25">
      <c r="A5736" t="s">
        <v>5740</v>
      </c>
      <c r="B5736">
        <v>0.99252571173614901</v>
      </c>
      <c r="C5736">
        <v>0.95605165091784705</v>
      </c>
      <c r="D5736">
        <v>0.68404694739303396</v>
      </c>
      <c r="E5736">
        <v>0.312179448280342</v>
      </c>
      <c r="F5736">
        <v>0.179455574338058</v>
      </c>
      <c r="G5736">
        <v>0.123693183647481</v>
      </c>
      <c r="H5736">
        <v>0.111495025045505</v>
      </c>
      <c r="I5736">
        <v>0.127869028745696</v>
      </c>
      <c r="J5736">
        <v>0.111451422965462</v>
      </c>
      <c r="K5736">
        <v>9.9929796766035806E-2</v>
      </c>
      <c r="L5736">
        <v>1196.72311412883</v>
      </c>
      <c r="M5736">
        <v>25.374454981806998</v>
      </c>
      <c r="N5736">
        <v>47.651175019652797</v>
      </c>
      <c r="O5736">
        <v>46.872538173565502</v>
      </c>
      <c r="P5736">
        <v>-0.119835359382334</v>
      </c>
      <c r="Q5736">
        <v>0.114556181525935</v>
      </c>
      <c r="R5736">
        <v>0.99888097749768201</v>
      </c>
      <c r="S5736" t="s">
        <v>12382</v>
      </c>
      <c r="T5736" t="s">
        <v>13290</v>
      </c>
      <c r="U5736" t="s">
        <v>13290</v>
      </c>
      <c r="V5736" t="s">
        <v>13290</v>
      </c>
      <c r="W5736" t="s">
        <v>18975</v>
      </c>
      <c r="X5736">
        <v>11</v>
      </c>
      <c r="Y5736" t="s">
        <v>25452</v>
      </c>
      <c r="Z5736" t="s">
        <v>32066</v>
      </c>
      <c r="AA5736">
        <v>0.33358646016312421</v>
      </c>
      <c r="AB5736" t="str">
        <f>HYPERLINK("Melting_Curves/meltCurve_Q9H8Y5_ANKZF1.pdf", "Melting_Curves/meltCurve_Q9H8Y5_ANKZF1.pdf")</f>
        <v>Melting_Curves/meltCurve_Q9H8Y5_ANKZF1.pdf</v>
      </c>
    </row>
    <row r="5737" spans="1:28" x14ac:dyDescent="0.25">
      <c r="A5737" t="s">
        <v>5741</v>
      </c>
      <c r="B5737">
        <v>0.99252571173614901</v>
      </c>
      <c r="C5737">
        <v>0.91171989504487105</v>
      </c>
      <c r="D5737">
        <v>0.77991320548008602</v>
      </c>
      <c r="E5737">
        <v>0.45738399657613499</v>
      </c>
      <c r="F5737">
        <v>0.207882732504481</v>
      </c>
      <c r="G5737">
        <v>8.4663550553592801E-2</v>
      </c>
      <c r="H5737">
        <v>5.7573876161442598E-2</v>
      </c>
      <c r="I5737">
        <v>5.6767854467844603E-2</v>
      </c>
      <c r="J5737">
        <v>7.2009766372637604E-2</v>
      </c>
      <c r="K5737">
        <v>7.0878635230745196E-2</v>
      </c>
      <c r="L5737">
        <v>952.033593969545</v>
      </c>
      <c r="M5737">
        <v>19.522860231518099</v>
      </c>
      <c r="N5737">
        <v>49.037149223353701</v>
      </c>
      <c r="O5737">
        <v>48.262069399148501</v>
      </c>
      <c r="P5737">
        <v>-9.5941810728660898E-2</v>
      </c>
      <c r="Q5737">
        <v>5.1330808489849701E-2</v>
      </c>
      <c r="R5737">
        <v>0.99842072918799596</v>
      </c>
      <c r="S5737" t="s">
        <v>12383</v>
      </c>
      <c r="T5737" t="s">
        <v>13290</v>
      </c>
      <c r="U5737" t="s">
        <v>13290</v>
      </c>
      <c r="V5737" t="s">
        <v>13290</v>
      </c>
      <c r="W5737" t="s">
        <v>18976</v>
      </c>
      <c r="X5737">
        <v>9</v>
      </c>
      <c r="Y5737" t="s">
        <v>25453</v>
      </c>
      <c r="Z5737" t="s">
        <v>32067</v>
      </c>
      <c r="AA5737">
        <v>0.34249935057324782</v>
      </c>
      <c r="AB5737" t="str">
        <f>HYPERLINK("Melting_Curves/meltCurve_Q9H8Y8_GORASP2.pdf", "Melting_Curves/meltCurve_Q9H8Y8_GORASP2.pdf")</f>
        <v>Melting_Curves/meltCurve_Q9H8Y8_GORASP2.pdf</v>
      </c>
    </row>
    <row r="5738" spans="1:28" x14ac:dyDescent="0.25">
      <c r="A5738" t="s">
        <v>5742</v>
      </c>
      <c r="B5738">
        <v>0.99252571173614901</v>
      </c>
      <c r="C5738">
        <v>0.85454818059975002</v>
      </c>
      <c r="D5738">
        <v>1.0142914655759301</v>
      </c>
      <c r="E5738">
        <v>0.57896036523127803</v>
      </c>
      <c r="F5738">
        <v>0.43060201859701402</v>
      </c>
      <c r="G5738">
        <v>0.17453100621570999</v>
      </c>
      <c r="H5738">
        <v>8.7662613689813207E-2</v>
      </c>
      <c r="I5738">
        <v>8.2478488280686796E-2</v>
      </c>
      <c r="J5738">
        <v>9.7325724527339494E-2</v>
      </c>
      <c r="K5738">
        <v>9.1276901181181105E-2</v>
      </c>
      <c r="L5738">
        <v>954.79179106971401</v>
      </c>
      <c r="M5738">
        <v>18.698951057733399</v>
      </c>
      <c r="N5738">
        <v>51.4843104747642</v>
      </c>
      <c r="O5738">
        <v>50.488007442302198</v>
      </c>
      <c r="P5738">
        <v>-8.6000740542126905E-2</v>
      </c>
      <c r="Q5738">
        <v>7.1215991948509E-2</v>
      </c>
      <c r="R5738">
        <v>0.97065863272169595</v>
      </c>
      <c r="S5738" t="s">
        <v>12384</v>
      </c>
      <c r="T5738" t="s">
        <v>13290</v>
      </c>
      <c r="U5738" t="s">
        <v>13290</v>
      </c>
      <c r="V5738" t="s">
        <v>13290</v>
      </c>
      <c r="W5738" t="s">
        <v>18977</v>
      </c>
      <c r="X5738">
        <v>3</v>
      </c>
      <c r="Y5738" t="s">
        <v>25454</v>
      </c>
      <c r="Z5738" t="s">
        <v>32068</v>
      </c>
      <c r="AA5738">
        <v>0.42826191820469017</v>
      </c>
      <c r="AB5738" t="str">
        <f>HYPERLINK("Melting_Curves/meltCurve_Q9H900_ZWILCH.pdf", "Melting_Curves/meltCurve_Q9H900_ZWILCH.pdf")</f>
        <v>Melting_Curves/meltCurve_Q9H900_ZWILCH.pdf</v>
      </c>
    </row>
    <row r="5739" spans="1:28" x14ac:dyDescent="0.25">
      <c r="A5739" t="s">
        <v>5743</v>
      </c>
      <c r="B5739">
        <v>0.99252571173614901</v>
      </c>
      <c r="C5739">
        <v>1.1036473659988899</v>
      </c>
      <c r="D5739">
        <v>1.1049325306348801</v>
      </c>
      <c r="E5739">
        <v>1.2386528536379999</v>
      </c>
      <c r="F5739">
        <v>0.72881351373557801</v>
      </c>
      <c r="G5739">
        <v>0.42420835267919199</v>
      </c>
      <c r="H5739">
        <v>0.23586008973463199</v>
      </c>
      <c r="I5739">
        <v>0.15903496063095801</v>
      </c>
      <c r="J5739">
        <v>0.159406954351936</v>
      </c>
      <c r="K5739">
        <v>0.14528061030477299</v>
      </c>
      <c r="L5739">
        <v>1796.1709827857301</v>
      </c>
      <c r="M5739">
        <v>32.577962247672502</v>
      </c>
      <c r="N5739">
        <v>55.816609268102098</v>
      </c>
      <c r="O5739">
        <v>54.928041216301601</v>
      </c>
      <c r="P5739">
        <v>-0.123929032883317</v>
      </c>
      <c r="Q5739">
        <v>0.164202227320634</v>
      </c>
      <c r="R5739">
        <v>0.94667199402340396</v>
      </c>
      <c r="S5739" t="s">
        <v>12385</v>
      </c>
      <c r="T5739" t="s">
        <v>13290</v>
      </c>
      <c r="U5739" t="s">
        <v>13290</v>
      </c>
      <c r="V5739" t="s">
        <v>13290</v>
      </c>
      <c r="W5739" t="s">
        <v>18978</v>
      </c>
      <c r="X5739">
        <v>6</v>
      </c>
      <c r="Y5739" t="s">
        <v>25455</v>
      </c>
      <c r="Z5739" t="s">
        <v>32069</v>
      </c>
      <c r="AA5739">
        <v>0.59059298474369182</v>
      </c>
      <c r="AB5739" t="str">
        <f>HYPERLINK("Melting_Curves/meltCurve_Q9H903_1_MTHFD2L.pdf", "Melting_Curves/meltCurve_Q9H903_1_MTHFD2L.pdf")</f>
        <v>Melting_Curves/meltCurve_Q9H903_1_MTHFD2L.pdf</v>
      </c>
    </row>
    <row r="5740" spans="1:28" x14ac:dyDescent="0.25">
      <c r="A5740" t="s">
        <v>5744</v>
      </c>
      <c r="B5740">
        <v>0.99252571173614901</v>
      </c>
      <c r="C5740">
        <v>1.1466006336035099</v>
      </c>
      <c r="D5740">
        <v>1.0710471819239</v>
      </c>
      <c r="E5740">
        <v>1.1896863903397901</v>
      </c>
      <c r="F5740">
        <v>0.94288339617431005</v>
      </c>
      <c r="G5740">
        <v>0.79246956869653795</v>
      </c>
      <c r="H5740">
        <v>0.86460449743895695</v>
      </c>
      <c r="I5740">
        <v>1.12073380483107</v>
      </c>
      <c r="J5740">
        <v>1.4349160120336499</v>
      </c>
      <c r="K5740">
        <v>1.6553539800220201</v>
      </c>
      <c r="L5740">
        <v>5085.6093677892404</v>
      </c>
      <c r="M5740">
        <v>78.200809470688995</v>
      </c>
      <c r="O5740">
        <v>64.990207287942596</v>
      </c>
      <c r="P5740">
        <v>0.150408861747373</v>
      </c>
      <c r="Q5740">
        <v>1.5</v>
      </c>
      <c r="R5740">
        <v>0.75035037732194698</v>
      </c>
      <c r="S5740" t="s">
        <v>12386</v>
      </c>
      <c r="T5740" t="s">
        <v>13290</v>
      </c>
      <c r="U5740" t="s">
        <v>13290</v>
      </c>
      <c r="V5740" t="s">
        <v>13290</v>
      </c>
      <c r="W5740" t="s">
        <v>18979</v>
      </c>
      <c r="X5740">
        <v>22</v>
      </c>
      <c r="Y5740" t="s">
        <v>25456</v>
      </c>
      <c r="Z5740" t="s">
        <v>32070</v>
      </c>
      <c r="AA5740">
        <v>1.0822681515683421</v>
      </c>
      <c r="AB5740" t="str">
        <f>HYPERLINK("Melting_Curves/meltCurve_Q9H910_HN1L.pdf", "Melting_Curves/meltCurve_Q9H910_HN1L.pdf")</f>
        <v>Melting_Curves/meltCurve_Q9H910_HN1L.pdf</v>
      </c>
    </row>
    <row r="5741" spans="1:28" x14ac:dyDescent="0.25">
      <c r="A5741" t="s">
        <v>5745</v>
      </c>
      <c r="B5741">
        <v>0.99252571173614901</v>
      </c>
      <c r="C5741">
        <v>1.1271521035873699</v>
      </c>
      <c r="D5741">
        <v>1.0151383512532499</v>
      </c>
      <c r="E5741">
        <v>1.0493446895215199</v>
      </c>
      <c r="F5741">
        <v>0.86522780784031506</v>
      </c>
      <c r="G5741">
        <v>0.73958257098996005</v>
      </c>
      <c r="H5741">
        <v>0.84628888359267995</v>
      </c>
      <c r="I5741">
        <v>1.15078019670159</v>
      </c>
      <c r="J5741">
        <v>1.72942942850091</v>
      </c>
      <c r="K5741">
        <v>1.89747039556069</v>
      </c>
      <c r="L5741">
        <v>15000</v>
      </c>
      <c r="M5741">
        <v>233.535583358005</v>
      </c>
      <c r="O5741">
        <v>64.225323739262507</v>
      </c>
      <c r="P5741">
        <v>0.45452390490483002</v>
      </c>
      <c r="Q5741">
        <v>1.5</v>
      </c>
      <c r="R5741">
        <v>0.73692955666388604</v>
      </c>
      <c r="S5741" t="s">
        <v>12387</v>
      </c>
      <c r="T5741" t="s">
        <v>13290</v>
      </c>
      <c r="U5741" t="s">
        <v>13290</v>
      </c>
      <c r="V5741" t="s">
        <v>13290</v>
      </c>
      <c r="W5741" t="s">
        <v>18980</v>
      </c>
      <c r="X5741">
        <v>21</v>
      </c>
      <c r="Y5741" t="s">
        <v>25456</v>
      </c>
      <c r="Z5741" t="s">
        <v>32071</v>
      </c>
      <c r="AA5741">
        <v>1.096101399458389</v>
      </c>
      <c r="AB5741" t="str">
        <f>HYPERLINK("Melting_Curves/meltCurve_Q9H910_2_HN1L.pdf", "Melting_Curves/meltCurve_Q9H910_2_HN1L.pdf")</f>
        <v>Melting_Curves/meltCurve_Q9H910_2_HN1L.pdf</v>
      </c>
    </row>
    <row r="5742" spans="1:28" x14ac:dyDescent="0.25">
      <c r="A5742" t="s">
        <v>5746</v>
      </c>
      <c r="B5742">
        <v>0.99252571173614901</v>
      </c>
      <c r="C5742">
        <v>0.90755260903097001</v>
      </c>
      <c r="D5742">
        <v>0.87797688691904996</v>
      </c>
      <c r="E5742">
        <v>0.86443876723579705</v>
      </c>
      <c r="F5742">
        <v>0.74831967856616399</v>
      </c>
      <c r="G5742">
        <v>0.60059859827787598</v>
      </c>
      <c r="H5742">
        <v>0.541914825571571</v>
      </c>
      <c r="I5742">
        <v>0.58027139671767103</v>
      </c>
      <c r="J5742">
        <v>0.39860515247260803</v>
      </c>
      <c r="K5742">
        <v>0.17563927358647599</v>
      </c>
      <c r="L5742">
        <v>417.92549772237999</v>
      </c>
      <c r="M5742">
        <v>6.7511524151909796</v>
      </c>
      <c r="N5742">
        <v>61.904319731713002</v>
      </c>
      <c r="O5742">
        <v>57.152580572653399</v>
      </c>
      <c r="P5742">
        <v>-2.95937587365326E-2</v>
      </c>
      <c r="Q5742">
        <v>0</v>
      </c>
      <c r="R5742">
        <v>0.92537958928822295</v>
      </c>
      <c r="S5742" t="s">
        <v>12388</v>
      </c>
      <c r="T5742" t="s">
        <v>13290</v>
      </c>
      <c r="U5742" t="s">
        <v>13290</v>
      </c>
      <c r="V5742" t="s">
        <v>13290</v>
      </c>
      <c r="W5742" t="s">
        <v>18981</v>
      </c>
      <c r="X5742">
        <v>9</v>
      </c>
      <c r="Y5742" t="s">
        <v>25457</v>
      </c>
      <c r="Z5742" t="s">
        <v>32072</v>
      </c>
      <c r="AA5742">
        <v>0.68057827339438759</v>
      </c>
      <c r="AB5742" t="str">
        <f>HYPERLINK("Melting_Curves/meltCurve_Q9H936_SLC25A22.pdf", "Melting_Curves/meltCurve_Q9H936_SLC25A22.pdf")</f>
        <v>Melting_Curves/meltCurve_Q9H936_SLC25A22.pdf</v>
      </c>
    </row>
    <row r="5743" spans="1:28" x14ac:dyDescent="0.25">
      <c r="A5743" t="s">
        <v>5747</v>
      </c>
      <c r="B5743">
        <v>0.99252571173614901</v>
      </c>
      <c r="C5743">
        <v>1.0435949797978099</v>
      </c>
      <c r="D5743">
        <v>0.68239329573335195</v>
      </c>
      <c r="E5743">
        <v>0.45650050220355698</v>
      </c>
      <c r="F5743">
        <v>0.25756606360194001</v>
      </c>
      <c r="G5743">
        <v>0.173096426695037</v>
      </c>
      <c r="H5743">
        <v>0.13594888186679699</v>
      </c>
      <c r="I5743">
        <v>9.6735425590770696E-2</v>
      </c>
      <c r="J5743">
        <v>0.12739619902289101</v>
      </c>
      <c r="K5743">
        <v>0.13367136459932499</v>
      </c>
      <c r="L5743">
        <v>965.654886971221</v>
      </c>
      <c r="M5743">
        <v>20.0457737472662</v>
      </c>
      <c r="N5743">
        <v>48.866096269104403</v>
      </c>
      <c r="O5743">
        <v>47.700775958124801</v>
      </c>
      <c r="P5743">
        <v>-9.2054579459297195E-2</v>
      </c>
      <c r="Q5743">
        <v>0.12381873623933901</v>
      </c>
      <c r="R5743">
        <v>0.98378111199256402</v>
      </c>
      <c r="S5743" t="s">
        <v>12389</v>
      </c>
      <c r="T5743" t="s">
        <v>13290</v>
      </c>
      <c r="U5743" t="s">
        <v>13290</v>
      </c>
      <c r="V5743" t="s">
        <v>13290</v>
      </c>
      <c r="W5743" t="s">
        <v>18982</v>
      </c>
      <c r="X5743">
        <v>4</v>
      </c>
      <c r="Y5743" t="s">
        <v>25458</v>
      </c>
      <c r="Z5743" t="s">
        <v>32073</v>
      </c>
      <c r="AA5743">
        <v>0.37485538397509049</v>
      </c>
      <c r="AB5743" t="str">
        <f>HYPERLINK("Melting_Curves/meltCurve_Q9H939_PSTPIP2.pdf", "Melting_Curves/meltCurve_Q9H939_PSTPIP2.pdf")</f>
        <v>Melting_Curves/meltCurve_Q9H939_PSTPIP2.pdf</v>
      </c>
    </row>
    <row r="5744" spans="1:28" x14ac:dyDescent="0.25">
      <c r="A5744" t="s">
        <v>5748</v>
      </c>
      <c r="B5744">
        <v>0.99252571173614901</v>
      </c>
      <c r="C5744">
        <v>0.99442540118240297</v>
      </c>
      <c r="D5744">
        <v>1.0223908387960099</v>
      </c>
      <c r="E5744">
        <v>0.99540723168962097</v>
      </c>
      <c r="F5744">
        <v>0.77956486678185399</v>
      </c>
      <c r="G5744">
        <v>0.45716549892659802</v>
      </c>
      <c r="H5744">
        <v>0.13565746837075701</v>
      </c>
      <c r="I5744">
        <v>0.118973485992674</v>
      </c>
      <c r="J5744">
        <v>0.108989664056545</v>
      </c>
      <c r="K5744">
        <v>9.0212436719188702E-2</v>
      </c>
      <c r="L5744">
        <v>1521.0977391501699</v>
      </c>
      <c r="M5744">
        <v>27.282694126352901</v>
      </c>
      <c r="N5744">
        <v>56.141613428187497</v>
      </c>
      <c r="O5744">
        <v>55.456256175483503</v>
      </c>
      <c r="P5744">
        <v>-0.11241532059529701</v>
      </c>
      <c r="Q5744">
        <v>8.6003243779012903E-2</v>
      </c>
      <c r="R5744">
        <v>0.99735997945043098</v>
      </c>
      <c r="S5744" t="s">
        <v>12390</v>
      </c>
      <c r="T5744" t="s">
        <v>13290</v>
      </c>
      <c r="U5744" t="s">
        <v>13290</v>
      </c>
      <c r="V5744" t="s">
        <v>13290</v>
      </c>
      <c r="W5744" t="s">
        <v>18983</v>
      </c>
      <c r="X5744">
        <v>14</v>
      </c>
      <c r="Y5744" t="s">
        <v>25459</v>
      </c>
      <c r="Z5744" t="s">
        <v>32074</v>
      </c>
      <c r="AA5744">
        <v>0.57318245453730665</v>
      </c>
      <c r="AB5744" t="str">
        <f>HYPERLINK("Melting_Curves/meltCurve_Q9H974_QTRTD1.pdf", "Melting_Curves/meltCurve_Q9H974_QTRTD1.pdf")</f>
        <v>Melting_Curves/meltCurve_Q9H974_QTRTD1.pdf</v>
      </c>
    </row>
    <row r="5745" spans="1:28" x14ac:dyDescent="0.25">
      <c r="A5745" t="s">
        <v>5749</v>
      </c>
      <c r="B5745">
        <v>0.99252571173614901</v>
      </c>
      <c r="C5745">
        <v>1.0320351297360599</v>
      </c>
      <c r="D5745">
        <v>1.0558857865640701</v>
      </c>
      <c r="E5745">
        <v>0.82597430568658503</v>
      </c>
      <c r="F5745">
        <v>0.58978128411700204</v>
      </c>
      <c r="G5745">
        <v>0.352133237777709</v>
      </c>
      <c r="H5745">
        <v>0.106051146744566</v>
      </c>
      <c r="I5745">
        <v>5.22014319222577E-2</v>
      </c>
      <c r="J5745">
        <v>6.5412406715821006E-2</v>
      </c>
      <c r="K5745">
        <v>0</v>
      </c>
      <c r="L5745">
        <v>1009.34712785171</v>
      </c>
      <c r="M5745">
        <v>18.544161680667798</v>
      </c>
      <c r="N5745">
        <v>54.448470673896203</v>
      </c>
      <c r="O5745">
        <v>53.808271055696103</v>
      </c>
      <c r="P5745">
        <v>-8.5883012832641895E-2</v>
      </c>
      <c r="Q5745">
        <v>3.2412820179484698E-3</v>
      </c>
      <c r="R5745">
        <v>0.99211094223476104</v>
      </c>
      <c r="S5745" t="s">
        <v>12391</v>
      </c>
      <c r="T5745" t="s">
        <v>13290</v>
      </c>
      <c r="U5745" t="s">
        <v>13290</v>
      </c>
      <c r="V5745" t="s">
        <v>13290</v>
      </c>
      <c r="W5745" t="s">
        <v>18984</v>
      </c>
      <c r="X5745">
        <v>5</v>
      </c>
      <c r="Y5745" t="s">
        <v>25460</v>
      </c>
      <c r="Z5745" t="s">
        <v>32075</v>
      </c>
      <c r="AA5745">
        <v>0.4977398616854542</v>
      </c>
      <c r="AB5745" t="str">
        <f>HYPERLINK("Melting_Curves/meltCurve_Q9H977_WDR54.pdf", "Melting_Curves/meltCurve_Q9H977_WDR54.pdf")</f>
        <v>Melting_Curves/meltCurve_Q9H977_WDR54.pdf</v>
      </c>
    </row>
    <row r="5746" spans="1:28" x14ac:dyDescent="0.25">
      <c r="A5746" t="s">
        <v>5750</v>
      </c>
      <c r="B5746">
        <v>0.99252571173614901</v>
      </c>
      <c r="C5746">
        <v>0.71836062233259601</v>
      </c>
      <c r="D5746">
        <v>0.40834101388514499</v>
      </c>
      <c r="E5746">
        <v>0.37665199323051102</v>
      </c>
      <c r="F5746">
        <v>0.25626459263017498</v>
      </c>
      <c r="G5746">
        <v>0.148164963171807</v>
      </c>
      <c r="H5746">
        <v>0.101963080918846</v>
      </c>
      <c r="I5746">
        <v>8.91442862357886E-2</v>
      </c>
      <c r="J5746">
        <v>9.4054359789980904E-2</v>
      </c>
      <c r="K5746">
        <v>9.3070169811737505E-2</v>
      </c>
      <c r="L5746">
        <v>654.52079450701501</v>
      </c>
      <c r="M5746">
        <v>14.393637976330901</v>
      </c>
      <c r="N5746">
        <v>46.167492387110997</v>
      </c>
      <c r="O5746">
        <v>44.622213274100297</v>
      </c>
      <c r="P5746">
        <v>-7.2799648069868605E-2</v>
      </c>
      <c r="Q5746">
        <v>9.7352385518563594E-2</v>
      </c>
      <c r="R5746">
        <v>0.96388515468618796</v>
      </c>
      <c r="S5746" t="s">
        <v>12392</v>
      </c>
      <c r="T5746" t="s">
        <v>13290</v>
      </c>
      <c r="U5746" t="s">
        <v>13290</v>
      </c>
      <c r="V5746" t="s">
        <v>13290</v>
      </c>
      <c r="W5746" t="s">
        <v>18985</v>
      </c>
      <c r="X5746">
        <v>2</v>
      </c>
      <c r="Y5746" t="s">
        <v>25461</v>
      </c>
      <c r="Z5746" t="s">
        <v>32076</v>
      </c>
      <c r="AA5746">
        <v>0.29214149578256032</v>
      </c>
      <c r="AB5746" t="str">
        <f>HYPERLINK("Melting_Curves/meltCurve_Q9H981_ACTR8.pdf", "Melting_Curves/meltCurve_Q9H981_ACTR8.pdf")</f>
        <v>Melting_Curves/meltCurve_Q9H981_ACTR8.pdf</v>
      </c>
    </row>
    <row r="5747" spans="1:28" x14ac:dyDescent="0.25">
      <c r="A5747" t="s">
        <v>5751</v>
      </c>
      <c r="B5747">
        <v>0.99252571173614901</v>
      </c>
      <c r="C5747">
        <v>0.98197646534345095</v>
      </c>
      <c r="D5747">
        <v>0.56856013625972801</v>
      </c>
      <c r="E5747">
        <v>0.181386328259413</v>
      </c>
      <c r="F5747">
        <v>0.109186307882035</v>
      </c>
      <c r="G5747">
        <v>4.6955090444078099E-2</v>
      </c>
      <c r="H5747">
        <v>2.7987154831655901E-2</v>
      </c>
      <c r="I5747">
        <v>3.2748614031376397E-2</v>
      </c>
      <c r="J5747">
        <v>3.8948503000979302E-2</v>
      </c>
      <c r="K5747">
        <v>5.6646125797057398E-2</v>
      </c>
      <c r="L5747">
        <v>1453.3442210779201</v>
      </c>
      <c r="M5747">
        <v>31.307240944336598</v>
      </c>
      <c r="N5747">
        <v>46.578829541694198</v>
      </c>
      <c r="O5747">
        <v>46.233811864551797</v>
      </c>
      <c r="P5747">
        <v>-0.16081963960000201</v>
      </c>
      <c r="Q5747">
        <v>5.0026265855180801E-2</v>
      </c>
      <c r="R5747">
        <v>0.99560997736378598</v>
      </c>
      <c r="S5747" t="s">
        <v>12393</v>
      </c>
      <c r="T5747" t="s">
        <v>13290</v>
      </c>
      <c r="U5747" t="s">
        <v>13290</v>
      </c>
      <c r="V5747" t="s">
        <v>13290</v>
      </c>
      <c r="W5747" t="s">
        <v>18986</v>
      </c>
      <c r="X5747">
        <v>3</v>
      </c>
      <c r="Y5747" t="s">
        <v>25462</v>
      </c>
      <c r="Z5747" t="s">
        <v>32077</v>
      </c>
      <c r="AA5747">
        <v>0.2586026787027812</v>
      </c>
      <c r="AB5747" t="str">
        <f>HYPERLINK("Melting_Curves/meltCurve_Q9H993_C6orf211.pdf", "Melting_Curves/meltCurve_Q9H993_C6orf211.pdf")</f>
        <v>Melting_Curves/meltCurve_Q9H993_C6orf211.pdf</v>
      </c>
    </row>
    <row r="5748" spans="1:28" x14ac:dyDescent="0.25">
      <c r="A5748" t="s">
        <v>5752</v>
      </c>
      <c r="B5748">
        <v>0.99252571173614901</v>
      </c>
      <c r="C5748">
        <v>0.97326643962082104</v>
      </c>
      <c r="D5748">
        <v>0.80046421002709001</v>
      </c>
      <c r="E5748">
        <v>0.47251583670439301</v>
      </c>
      <c r="F5748">
        <v>0.60749393946483399</v>
      </c>
      <c r="G5748">
        <v>0.10213601673346701</v>
      </c>
      <c r="H5748">
        <v>1.7217835613369099E-2</v>
      </c>
      <c r="I5748">
        <v>4.5262325561241303E-2</v>
      </c>
      <c r="J5748">
        <v>2.8653294594412699E-2</v>
      </c>
      <c r="K5748">
        <v>1.7077185103501102E-2</v>
      </c>
      <c r="L5748">
        <v>707.153511622785</v>
      </c>
      <c r="M5748">
        <v>13.8374452807531</v>
      </c>
      <c r="N5748">
        <v>51.104340294313097</v>
      </c>
      <c r="O5748">
        <v>50.072489871564102</v>
      </c>
      <c r="P5748">
        <v>-6.9096635928940803E-2</v>
      </c>
      <c r="Q5748">
        <v>0</v>
      </c>
      <c r="R5748">
        <v>0.938899864329935</v>
      </c>
      <c r="S5748" t="s">
        <v>12394</v>
      </c>
      <c r="T5748" t="s">
        <v>13290</v>
      </c>
      <c r="U5748" t="s">
        <v>13290</v>
      </c>
      <c r="V5748" t="s">
        <v>13290</v>
      </c>
      <c r="W5748" t="s">
        <v>18987</v>
      </c>
      <c r="X5748">
        <v>4</v>
      </c>
      <c r="Y5748" t="s">
        <v>25463</v>
      </c>
      <c r="Z5748" t="s">
        <v>32078</v>
      </c>
      <c r="AA5748">
        <v>0.39635137664618642</v>
      </c>
      <c r="AB5748" t="str">
        <f>HYPERLINK("Melting_Curves/meltCurve_Q9H999_PANK3.pdf", "Melting_Curves/meltCurve_Q9H999_PANK3.pdf")</f>
        <v>Melting_Curves/meltCurve_Q9H999_PANK3.pdf</v>
      </c>
    </row>
    <row r="5749" spans="1:28" x14ac:dyDescent="0.25">
      <c r="A5749" t="s">
        <v>5753</v>
      </c>
      <c r="B5749">
        <v>0.99252571173614901</v>
      </c>
      <c r="C5749">
        <v>0.78361320607257701</v>
      </c>
      <c r="D5749">
        <v>1.0008814374466599</v>
      </c>
      <c r="E5749">
        <v>0.66912196776232902</v>
      </c>
      <c r="F5749">
        <v>0.197549518535689</v>
      </c>
      <c r="G5749">
        <v>0.10331211457546501</v>
      </c>
      <c r="H5749">
        <v>7.2282422127866799E-2</v>
      </c>
      <c r="I5749">
        <v>7.7266222578452198E-2</v>
      </c>
      <c r="J5749">
        <v>9.9679320215029496E-2</v>
      </c>
      <c r="K5749">
        <v>0.105001677028999</v>
      </c>
      <c r="L5749">
        <v>1893.3910257041</v>
      </c>
      <c r="M5749">
        <v>37.600788712775604</v>
      </c>
      <c r="N5749">
        <v>50.6181790321153</v>
      </c>
      <c r="O5749">
        <v>50.213290990453103</v>
      </c>
      <c r="P5749">
        <v>-0.17059039934786199</v>
      </c>
      <c r="Q5749">
        <v>8.8755005754182104E-2</v>
      </c>
      <c r="R5749">
        <v>0.96697352961666405</v>
      </c>
      <c r="S5749" t="s">
        <v>12395</v>
      </c>
      <c r="T5749" t="s">
        <v>13290</v>
      </c>
      <c r="U5749" t="s">
        <v>13290</v>
      </c>
      <c r="V5749" t="s">
        <v>13290</v>
      </c>
      <c r="W5749" t="s">
        <v>18988</v>
      </c>
      <c r="X5749">
        <v>5</v>
      </c>
      <c r="Y5749" t="s">
        <v>25464</v>
      </c>
      <c r="Z5749" t="s">
        <v>32079</v>
      </c>
      <c r="AA5749">
        <v>0.40688300907432279</v>
      </c>
      <c r="AB5749" t="str">
        <f>HYPERLINK("Melting_Curves/meltCurve_Q9H9A5_2_CNOT10.pdf", "Melting_Curves/meltCurve_Q9H9A5_2_CNOT10.pdf")</f>
        <v>Melting_Curves/meltCurve_Q9H9A5_2_CNOT10.pdf</v>
      </c>
    </row>
    <row r="5750" spans="1:28" x14ac:dyDescent="0.25">
      <c r="A5750" t="s">
        <v>5754</v>
      </c>
      <c r="B5750">
        <v>0.99252571173614901</v>
      </c>
      <c r="C5750">
        <v>1.0124711911053501</v>
      </c>
      <c r="D5750">
        <v>0.79093610648769297</v>
      </c>
      <c r="E5750">
        <v>0.255569576286515</v>
      </c>
      <c r="F5750">
        <v>0.13132241947797699</v>
      </c>
      <c r="G5750">
        <v>7.35928254843463E-2</v>
      </c>
      <c r="H5750">
        <v>5.5259716950590197E-2</v>
      </c>
      <c r="I5750">
        <v>5.3123554149633503E-2</v>
      </c>
      <c r="J5750">
        <v>4.6745867509884499E-2</v>
      </c>
      <c r="K5750">
        <v>5.42375413292999E-2</v>
      </c>
      <c r="L5750">
        <v>1615.3565368672801</v>
      </c>
      <c r="M5750">
        <v>33.855992952494702</v>
      </c>
      <c r="N5750">
        <v>47.900571316243102</v>
      </c>
      <c r="O5750">
        <v>47.547032770422298</v>
      </c>
      <c r="P5750">
        <v>-0.166939013639822</v>
      </c>
      <c r="Q5750">
        <v>6.2213569522615697E-2</v>
      </c>
      <c r="R5750">
        <v>0.997760529592566</v>
      </c>
      <c r="S5750" t="s">
        <v>12396</v>
      </c>
      <c r="T5750" t="s">
        <v>13290</v>
      </c>
      <c r="U5750" t="s">
        <v>13290</v>
      </c>
      <c r="V5750" t="s">
        <v>13290</v>
      </c>
      <c r="W5750" t="s">
        <v>18989</v>
      </c>
      <c r="X5750">
        <v>24</v>
      </c>
      <c r="Y5750" t="s">
        <v>25465</v>
      </c>
      <c r="Z5750" t="s">
        <v>32080</v>
      </c>
      <c r="AA5750">
        <v>0.30767995237036783</v>
      </c>
      <c r="AB5750" t="str">
        <f>HYPERLINK("Melting_Curves/meltCurve_Q9H9A6_LRRC40.pdf", "Melting_Curves/meltCurve_Q9H9A6_LRRC40.pdf")</f>
        <v>Melting_Curves/meltCurve_Q9H9A6_LRRC40.pdf</v>
      </c>
    </row>
    <row r="5751" spans="1:28" x14ac:dyDescent="0.25">
      <c r="A5751" t="s">
        <v>5755</v>
      </c>
      <c r="B5751">
        <v>0.99252571173614901</v>
      </c>
      <c r="C5751">
        <v>0.83501426797129097</v>
      </c>
      <c r="D5751">
        <v>0.43780791047426798</v>
      </c>
      <c r="E5751">
        <v>0.28092437562174799</v>
      </c>
      <c r="F5751">
        <v>0.164304467349738</v>
      </c>
      <c r="G5751">
        <v>0.119066172899915</v>
      </c>
      <c r="H5751">
        <v>0.12550326708703199</v>
      </c>
      <c r="I5751">
        <v>0.107816806575562</v>
      </c>
      <c r="J5751">
        <v>9.0999061431145306E-2</v>
      </c>
      <c r="K5751">
        <v>0.110471918189262</v>
      </c>
      <c r="L5751">
        <v>1038.7393519276</v>
      </c>
      <c r="M5751">
        <v>22.910639303315701</v>
      </c>
      <c r="N5751">
        <v>45.8730188626146</v>
      </c>
      <c r="O5751">
        <v>44.9975588930442</v>
      </c>
      <c r="P5751">
        <v>-0.11238456981766599</v>
      </c>
      <c r="Q5751">
        <v>0.11710286991937199</v>
      </c>
      <c r="R5751">
        <v>0.99146046404268995</v>
      </c>
      <c r="S5751" t="s">
        <v>12397</v>
      </c>
      <c r="T5751" t="s">
        <v>13290</v>
      </c>
      <c r="U5751" t="s">
        <v>13290</v>
      </c>
      <c r="V5751" t="s">
        <v>13290</v>
      </c>
      <c r="W5751" t="s">
        <v>18990</v>
      </c>
      <c r="X5751">
        <v>1</v>
      </c>
      <c r="Y5751" t="s">
        <v>25466</v>
      </c>
      <c r="Z5751" t="s">
        <v>32081</v>
      </c>
      <c r="AA5751">
        <v>0.28470415332538512</v>
      </c>
      <c r="AB5751" t="str">
        <f>HYPERLINK("Melting_Curves/meltCurve_Q9H9A7_RMI1.pdf", "Melting_Curves/meltCurve_Q9H9A7_RMI1.pdf")</f>
        <v>Melting_Curves/meltCurve_Q9H9A7_RMI1.pdf</v>
      </c>
    </row>
    <row r="5752" spans="1:28" x14ac:dyDescent="0.25">
      <c r="A5752" t="s">
        <v>5756</v>
      </c>
      <c r="B5752">
        <v>0.99252571173614901</v>
      </c>
      <c r="C5752">
        <v>0.98928928334667698</v>
      </c>
      <c r="D5752">
        <v>0.79561654705576101</v>
      </c>
      <c r="E5752">
        <v>0.52785121428847104</v>
      </c>
      <c r="F5752">
        <v>0.427393419696937</v>
      </c>
      <c r="G5752">
        <v>0.25500775209937399</v>
      </c>
      <c r="H5752">
        <v>0.300171634244705</v>
      </c>
      <c r="I5752">
        <v>0.403273619491262</v>
      </c>
      <c r="J5752">
        <v>0.64319843228533402</v>
      </c>
      <c r="K5752">
        <v>0.71361707942728703</v>
      </c>
      <c r="L5752">
        <v>1773.6643593971201</v>
      </c>
      <c r="M5752">
        <v>38.016937625174101</v>
      </c>
      <c r="N5752">
        <v>49.929246076017002</v>
      </c>
      <c r="O5752">
        <v>46.526034989601001</v>
      </c>
      <c r="P5752">
        <v>-0.11057886062417301</v>
      </c>
      <c r="Q5752">
        <v>0.45868497325405799</v>
      </c>
      <c r="R5752">
        <v>0.73362450718106098</v>
      </c>
      <c r="S5752" t="s">
        <v>12398</v>
      </c>
      <c r="T5752" t="s">
        <v>13290</v>
      </c>
      <c r="U5752" t="s">
        <v>13290</v>
      </c>
      <c r="V5752" t="s">
        <v>13290</v>
      </c>
      <c r="W5752" t="s">
        <v>18991</v>
      </c>
      <c r="X5752">
        <v>2</v>
      </c>
      <c r="Y5752" t="s">
        <v>25467</v>
      </c>
      <c r="Z5752" t="s">
        <v>32082</v>
      </c>
      <c r="AA5752">
        <v>0.58072185369754126</v>
      </c>
      <c r="AB5752" t="str">
        <f>HYPERLINK("Melting_Curves/meltCurve_Q9H9B1_EHMT1.pdf", "Melting_Curves/meltCurve_Q9H9B1_EHMT1.pdf")</f>
        <v>Melting_Curves/meltCurve_Q9H9B1_EHMT1.pdf</v>
      </c>
    </row>
    <row r="5753" spans="1:28" x14ac:dyDescent="0.25">
      <c r="A5753" t="s">
        <v>5757</v>
      </c>
      <c r="B5753">
        <v>0.99252571173614901</v>
      </c>
      <c r="C5753">
        <v>0.95688369910280502</v>
      </c>
      <c r="D5753">
        <v>0.48339886072195198</v>
      </c>
      <c r="E5753">
        <v>0.66980144240996298</v>
      </c>
      <c r="F5753">
        <v>0.66874615666973503</v>
      </c>
      <c r="G5753">
        <v>0.29029958870635297</v>
      </c>
      <c r="H5753">
        <v>9.04658646807458E-2</v>
      </c>
      <c r="I5753">
        <v>7.4955981439947403E-2</v>
      </c>
      <c r="J5753">
        <v>8.6244507608195201E-2</v>
      </c>
      <c r="K5753">
        <v>8.6971554081932995E-2</v>
      </c>
      <c r="L5753">
        <v>491.47621329475697</v>
      </c>
      <c r="M5753">
        <v>9.4692905609783402</v>
      </c>
      <c r="N5753">
        <v>51.9021091428368</v>
      </c>
      <c r="O5753">
        <v>49.745430357134303</v>
      </c>
      <c r="P5753">
        <v>-4.7617243190229697E-2</v>
      </c>
      <c r="Q5753">
        <v>0</v>
      </c>
      <c r="R5753">
        <v>0.86453782296670401</v>
      </c>
      <c r="S5753" t="s">
        <v>12399</v>
      </c>
      <c r="T5753" t="s">
        <v>13290</v>
      </c>
      <c r="U5753" t="s">
        <v>13290</v>
      </c>
      <c r="V5753" t="s">
        <v>13290</v>
      </c>
      <c r="W5753" t="s">
        <v>18992</v>
      </c>
      <c r="X5753">
        <v>17</v>
      </c>
      <c r="Y5753" t="s">
        <v>25468</v>
      </c>
      <c r="Z5753" t="s">
        <v>32083</v>
      </c>
      <c r="AA5753">
        <v>0.4373650032662495</v>
      </c>
      <c r="AB5753" t="str">
        <f>HYPERLINK("Melting_Curves/meltCurve_Q9H9B4_SFXN1.pdf", "Melting_Curves/meltCurve_Q9H9B4_SFXN1.pdf")</f>
        <v>Melting_Curves/meltCurve_Q9H9B4_SFXN1.pdf</v>
      </c>
    </row>
    <row r="5754" spans="1:28" x14ac:dyDescent="0.25">
      <c r="A5754" t="s">
        <v>5758</v>
      </c>
      <c r="B5754">
        <v>0.99252571173614901</v>
      </c>
      <c r="C5754">
        <v>0.857519604612757</v>
      </c>
      <c r="D5754">
        <v>0.428974429215915</v>
      </c>
      <c r="E5754">
        <v>0.20879936918186501</v>
      </c>
      <c r="F5754">
        <v>0.10317575087899999</v>
      </c>
      <c r="G5754">
        <v>5.7931038643193898E-2</v>
      </c>
      <c r="H5754">
        <v>3.3913060079295697E-2</v>
      </c>
      <c r="I5754">
        <v>3.5966278465118198E-2</v>
      </c>
      <c r="J5754">
        <v>5.1044164252457599E-2</v>
      </c>
      <c r="K5754">
        <v>5.15974797472252E-2</v>
      </c>
      <c r="L5754">
        <v>1120.5914565483799</v>
      </c>
      <c r="M5754">
        <v>24.6031224058781</v>
      </c>
      <c r="N5754">
        <v>45.754925540632101</v>
      </c>
      <c r="O5754">
        <v>45.249005095779196</v>
      </c>
      <c r="P5754">
        <v>-0.12873491227862799</v>
      </c>
      <c r="Q5754">
        <v>5.2958575432082003E-2</v>
      </c>
      <c r="R5754">
        <v>0.99473598056989898</v>
      </c>
      <c r="S5754" t="s">
        <v>12400</v>
      </c>
      <c r="T5754" t="s">
        <v>13290</v>
      </c>
      <c r="U5754" t="s">
        <v>13290</v>
      </c>
      <c r="V5754" t="s">
        <v>13290</v>
      </c>
      <c r="W5754" t="s">
        <v>18993</v>
      </c>
      <c r="X5754">
        <v>4</v>
      </c>
      <c r="Y5754" t="s">
        <v>25469</v>
      </c>
      <c r="Z5754" t="s">
        <v>32084</v>
      </c>
      <c r="AA5754">
        <v>0.23739864652407311</v>
      </c>
      <c r="AB5754" t="str">
        <f>HYPERLINK("Melting_Curves/meltCurve_Q9H9F9_ACTR5.pdf", "Melting_Curves/meltCurve_Q9H9F9_ACTR5.pdf")</f>
        <v>Melting_Curves/meltCurve_Q9H9F9_ACTR5.pdf</v>
      </c>
    </row>
    <row r="5755" spans="1:28" x14ac:dyDescent="0.25">
      <c r="A5755" t="s">
        <v>5759</v>
      </c>
      <c r="B5755">
        <v>0.99252571173614901</v>
      </c>
      <c r="C5755">
        <v>0.99690811756835596</v>
      </c>
      <c r="D5755">
        <v>0.86828379573711101</v>
      </c>
      <c r="E5755">
        <v>0.38758001543250598</v>
      </c>
      <c r="F5755">
        <v>0.122734761908926</v>
      </c>
      <c r="G5755">
        <v>6.9674764215122406E-2</v>
      </c>
      <c r="H5755">
        <v>4.4882449173316498E-2</v>
      </c>
      <c r="I5755">
        <v>4.1011104472987503E-2</v>
      </c>
      <c r="J5755">
        <v>4.27899976504863E-2</v>
      </c>
      <c r="K5755">
        <v>4.62712391841913E-2</v>
      </c>
      <c r="L5755">
        <v>1497.7513279944801</v>
      </c>
      <c r="M5755">
        <v>30.758124607426801</v>
      </c>
      <c r="N5755">
        <v>48.852067740467596</v>
      </c>
      <c r="O5755">
        <v>48.490058232715</v>
      </c>
      <c r="P5755">
        <v>-0.15109173911017601</v>
      </c>
      <c r="Q5755">
        <v>4.7223720999470802E-2</v>
      </c>
      <c r="R5755">
        <v>0.99967543788101298</v>
      </c>
      <c r="S5755" t="s">
        <v>12401</v>
      </c>
      <c r="T5755" t="s">
        <v>13290</v>
      </c>
      <c r="U5755" t="s">
        <v>13290</v>
      </c>
      <c r="V5755" t="s">
        <v>13290</v>
      </c>
      <c r="W5755" t="s">
        <v>18994</v>
      </c>
      <c r="X5755">
        <v>6</v>
      </c>
      <c r="Y5755" t="s">
        <v>25470</v>
      </c>
      <c r="Z5755" t="s">
        <v>32085</v>
      </c>
      <c r="AA5755">
        <v>0.32884347337572201</v>
      </c>
      <c r="AB5755" t="str">
        <f>HYPERLINK("Melting_Curves/meltCurve_Q9H9H4_VPS37B.pdf", "Melting_Curves/meltCurve_Q9H9H4_VPS37B.pdf")</f>
        <v>Melting_Curves/meltCurve_Q9H9H4_VPS37B.pdf</v>
      </c>
    </row>
    <row r="5756" spans="1:28" x14ac:dyDescent="0.25">
      <c r="A5756" t="s">
        <v>5760</v>
      </c>
      <c r="B5756">
        <v>0.99252571173614901</v>
      </c>
      <c r="C5756">
        <v>0.96961839998153099</v>
      </c>
      <c r="D5756">
        <v>0.99435278426185503</v>
      </c>
      <c r="E5756">
        <v>0.708871228040032</v>
      </c>
      <c r="F5756">
        <v>0.70435595910416904</v>
      </c>
      <c r="G5756">
        <v>0.33361970806176</v>
      </c>
      <c r="H5756">
        <v>0.263948108089336</v>
      </c>
      <c r="I5756">
        <v>0.167923179593436</v>
      </c>
      <c r="J5756">
        <v>0.196006045528792</v>
      </c>
      <c r="K5756">
        <v>0.162047849424199</v>
      </c>
      <c r="L5756">
        <v>828.33552812500602</v>
      </c>
      <c r="M5756">
        <v>15.4225345682288</v>
      </c>
      <c r="N5756">
        <v>54.794878734505197</v>
      </c>
      <c r="O5756">
        <v>52.830723086706797</v>
      </c>
      <c r="P5756">
        <v>-6.3380442707147294E-2</v>
      </c>
      <c r="Q5756">
        <v>0.13162618445211499</v>
      </c>
      <c r="R5756">
        <v>0.97405623889258497</v>
      </c>
      <c r="S5756" t="s">
        <v>12402</v>
      </c>
      <c r="T5756" t="s">
        <v>13290</v>
      </c>
      <c r="U5756" t="s">
        <v>13290</v>
      </c>
      <c r="V5756" t="s">
        <v>13290</v>
      </c>
      <c r="W5756" t="s">
        <v>18995</v>
      </c>
      <c r="X5756">
        <v>2</v>
      </c>
      <c r="Y5756" t="s">
        <v>25471</v>
      </c>
      <c r="Z5756" t="s">
        <v>32086</v>
      </c>
      <c r="AA5756">
        <v>0.54590050756918951</v>
      </c>
      <c r="AB5756" t="str">
        <f>HYPERLINK("Melting_Curves/meltCurve_Q9H9J2_MRPL44.pdf", "Melting_Curves/meltCurve_Q9H9J2_MRPL44.pdf")</f>
        <v>Melting_Curves/meltCurve_Q9H9J2_MRPL44.pdf</v>
      </c>
    </row>
    <row r="5757" spans="1:28" x14ac:dyDescent="0.25">
      <c r="A5757" t="s">
        <v>5761</v>
      </c>
      <c r="B5757">
        <v>0.99252571173614901</v>
      </c>
      <c r="C5757">
        <v>0.94980351010631903</v>
      </c>
      <c r="D5757">
        <v>0.93907984657459598</v>
      </c>
      <c r="E5757">
        <v>0.80954138454486402</v>
      </c>
      <c r="F5757">
        <v>0.55238141848846301</v>
      </c>
      <c r="G5757">
        <v>0.31060088444311901</v>
      </c>
      <c r="H5757">
        <v>0.22899631665335099</v>
      </c>
      <c r="I5757">
        <v>0.26836208642043002</v>
      </c>
      <c r="J5757">
        <v>0.36813831372232902</v>
      </c>
      <c r="K5757">
        <v>0.45140150716963001</v>
      </c>
      <c r="L5757">
        <v>1430.0787139490201</v>
      </c>
      <c r="M5757">
        <v>27.813561634070201</v>
      </c>
      <c r="N5757">
        <v>53.374038115848997</v>
      </c>
      <c r="O5757">
        <v>51.152985461074401</v>
      </c>
      <c r="P5757">
        <v>-9.2474946005498701E-2</v>
      </c>
      <c r="Q5757">
        <v>0.31970883872157302</v>
      </c>
      <c r="R5757">
        <v>0.95169276183872198</v>
      </c>
      <c r="S5757" t="s">
        <v>12403</v>
      </c>
      <c r="T5757" t="s">
        <v>13290</v>
      </c>
      <c r="U5757" t="s">
        <v>13290</v>
      </c>
      <c r="V5757" t="s">
        <v>13290</v>
      </c>
      <c r="W5757" t="s">
        <v>18996</v>
      </c>
      <c r="X5757">
        <v>2</v>
      </c>
      <c r="Y5757" t="s">
        <v>25472</v>
      </c>
      <c r="Z5757" t="s">
        <v>32087</v>
      </c>
      <c r="AA5757">
        <v>0.58360143256157671</v>
      </c>
      <c r="AB5757" t="str">
        <f>HYPERLINK("Melting_Curves/meltCurve_Q9H9K5_ERVMER34_1.pdf", "Melting_Curves/meltCurve_Q9H9K5_ERVMER34_1.pdf")</f>
        <v>Melting_Curves/meltCurve_Q9H9K5_ERVMER34_1.pdf</v>
      </c>
    </row>
    <row r="5758" spans="1:28" x14ac:dyDescent="0.25">
      <c r="A5758" t="s">
        <v>5762</v>
      </c>
      <c r="B5758">
        <v>0.99252571173614901</v>
      </c>
      <c r="C5758">
        <v>0.96906306646588802</v>
      </c>
      <c r="D5758">
        <v>0.92782548841641199</v>
      </c>
      <c r="E5758">
        <v>0.67902914360103706</v>
      </c>
      <c r="F5758">
        <v>0.59309868454637904</v>
      </c>
      <c r="G5758">
        <v>0.39186432269959998</v>
      </c>
      <c r="H5758">
        <v>0.191166396345783</v>
      </c>
      <c r="I5758">
        <v>0.107859158592157</v>
      </c>
      <c r="J5758">
        <v>9.6176187551269998E-2</v>
      </c>
      <c r="K5758">
        <v>8.0334649585183104E-2</v>
      </c>
      <c r="L5758">
        <v>648.24739977035904</v>
      </c>
      <c r="M5758">
        <v>11.964614146013201</v>
      </c>
      <c r="N5758">
        <v>54.180384745076601</v>
      </c>
      <c r="O5758">
        <v>52.733384021817201</v>
      </c>
      <c r="P5758">
        <v>-5.6736029427240202E-2</v>
      </c>
      <c r="Q5758">
        <v>0</v>
      </c>
      <c r="R5758">
        <v>0.99190262128078199</v>
      </c>
      <c r="S5758" t="s">
        <v>12404</v>
      </c>
      <c r="T5758" t="s">
        <v>13290</v>
      </c>
      <c r="U5758" t="s">
        <v>13290</v>
      </c>
      <c r="V5758" t="s">
        <v>13290</v>
      </c>
      <c r="W5758" t="s">
        <v>18997</v>
      </c>
      <c r="X5758">
        <v>17</v>
      </c>
      <c r="Y5758" t="s">
        <v>25473</v>
      </c>
      <c r="Z5758" t="s">
        <v>32088</v>
      </c>
      <c r="AA5758">
        <v>0.49840877547240442</v>
      </c>
      <c r="AB5758" t="str">
        <f>HYPERLINK("Melting_Curves/meltCurve_Q9H9P8_L2HGDH.pdf", "Melting_Curves/meltCurve_Q9H9P8_L2HGDH.pdf")</f>
        <v>Melting_Curves/meltCurve_Q9H9P8_L2HGDH.pdf</v>
      </c>
    </row>
    <row r="5759" spans="1:28" x14ac:dyDescent="0.25">
      <c r="A5759" t="s">
        <v>5763</v>
      </c>
      <c r="B5759">
        <v>0.99252571173614901</v>
      </c>
      <c r="C5759">
        <v>1.0361825562278599</v>
      </c>
      <c r="D5759">
        <v>0.93839409294176901</v>
      </c>
      <c r="E5759">
        <v>0.84220293574892402</v>
      </c>
      <c r="F5759">
        <v>0.33228137786004502</v>
      </c>
      <c r="G5759">
        <v>8.6663788521926396E-2</v>
      </c>
      <c r="H5759">
        <v>4.75828228733624E-2</v>
      </c>
      <c r="I5759">
        <v>5.2427781226049297E-2</v>
      </c>
      <c r="J5759">
        <v>8.2467638944719604E-2</v>
      </c>
      <c r="K5759">
        <v>6.5712973543388203E-2</v>
      </c>
      <c r="L5759">
        <v>1817.3607528897201</v>
      </c>
      <c r="M5759">
        <v>35.066089641694496</v>
      </c>
      <c r="N5759">
        <v>52.009033632225098</v>
      </c>
      <c r="O5759">
        <v>51.659045395727297</v>
      </c>
      <c r="P5759">
        <v>-0.15988692226436699</v>
      </c>
      <c r="Q5759">
        <v>5.7827440352491703E-2</v>
      </c>
      <c r="R5759">
        <v>0.99713011940263097</v>
      </c>
      <c r="S5759" t="s">
        <v>12405</v>
      </c>
      <c r="T5759" t="s">
        <v>13290</v>
      </c>
      <c r="U5759" t="s">
        <v>13290</v>
      </c>
      <c r="V5759" t="s">
        <v>13290</v>
      </c>
      <c r="W5759" t="s">
        <v>18998</v>
      </c>
      <c r="X5759">
        <v>9</v>
      </c>
      <c r="Y5759" t="s">
        <v>25474</v>
      </c>
      <c r="Z5759" t="s">
        <v>32089</v>
      </c>
      <c r="AA5759">
        <v>0.43365039665891969</v>
      </c>
      <c r="AB5759" t="str">
        <f>HYPERLINK("Melting_Curves/meltCurve_Q9H9S4_CAB39L.pdf", "Melting_Curves/meltCurve_Q9H9S4_CAB39L.pdf")</f>
        <v>Melting_Curves/meltCurve_Q9H9S4_CAB39L.pdf</v>
      </c>
    </row>
    <row r="5760" spans="1:28" x14ac:dyDescent="0.25">
      <c r="A5760" t="s">
        <v>5764</v>
      </c>
      <c r="B5760">
        <v>0.99252571173614901</v>
      </c>
      <c r="C5760">
        <v>0.82930184417011099</v>
      </c>
      <c r="D5760">
        <v>0.68407116501591203</v>
      </c>
      <c r="E5760">
        <v>0.368704843206902</v>
      </c>
      <c r="F5760">
        <v>0.20521247803050299</v>
      </c>
      <c r="G5760">
        <v>7.7162560947388797E-2</v>
      </c>
      <c r="H5760">
        <v>5.60698898257481E-2</v>
      </c>
      <c r="I5760">
        <v>6.1986110926099097E-2</v>
      </c>
      <c r="J5760">
        <v>8.2291489767369302E-2</v>
      </c>
      <c r="K5760">
        <v>8.6635265653803403E-2</v>
      </c>
      <c r="L5760">
        <v>811.72855893092196</v>
      </c>
      <c r="M5760">
        <v>17.059358148870299</v>
      </c>
      <c r="N5760">
        <v>47.9171054030828</v>
      </c>
      <c r="O5760">
        <v>46.9432028800042</v>
      </c>
      <c r="P5760">
        <v>-8.5756241769056898E-2</v>
      </c>
      <c r="Q5760">
        <v>5.6136617320756199E-2</v>
      </c>
      <c r="R5760">
        <v>0.99460955143471397</v>
      </c>
      <c r="S5760" t="s">
        <v>12406</v>
      </c>
      <c r="T5760" t="s">
        <v>13290</v>
      </c>
      <c r="U5760" t="s">
        <v>13290</v>
      </c>
      <c r="V5760" t="s">
        <v>13290</v>
      </c>
      <c r="W5760" t="s">
        <v>18999</v>
      </c>
      <c r="X5760">
        <v>2</v>
      </c>
      <c r="Y5760" t="s">
        <v>25475</v>
      </c>
      <c r="Z5760" t="s">
        <v>32090</v>
      </c>
      <c r="AA5760">
        <v>0.31372557369053372</v>
      </c>
      <c r="AB5760" t="str">
        <f>HYPERLINK("Melting_Curves/meltCurve_Q9H9V9_2_JMJD4.pdf", "Melting_Curves/meltCurve_Q9H9V9_2_JMJD4.pdf")</f>
        <v>Melting_Curves/meltCurve_Q9H9V9_2_JMJD4.pdf</v>
      </c>
    </row>
    <row r="5761" spans="1:28" x14ac:dyDescent="0.25">
      <c r="A5761" t="s">
        <v>5765</v>
      </c>
      <c r="B5761">
        <v>0.99252571173614901</v>
      </c>
      <c r="C5761">
        <v>0.85480134468528302</v>
      </c>
      <c r="D5761">
        <v>1.10026186023363</v>
      </c>
      <c r="E5761">
        <v>0.93285183008036499</v>
      </c>
      <c r="F5761">
        <v>0.76336433905534895</v>
      </c>
      <c r="G5761">
        <v>0.55861897373329605</v>
      </c>
      <c r="H5761">
        <v>0.48716157731488402</v>
      </c>
      <c r="I5761">
        <v>0.430131970411335</v>
      </c>
      <c r="J5761">
        <v>0.12423846904991601</v>
      </c>
      <c r="K5761">
        <v>6.4092092397946193E-2</v>
      </c>
      <c r="L5761">
        <v>707.519670035167</v>
      </c>
      <c r="M5761">
        <v>11.9117640520262</v>
      </c>
      <c r="N5761">
        <v>59.396716336727799</v>
      </c>
      <c r="O5761">
        <v>57.796921068444902</v>
      </c>
      <c r="P5761">
        <v>-5.15369964954406E-2</v>
      </c>
      <c r="Q5761">
        <v>0</v>
      </c>
      <c r="R5761">
        <v>0.93480538262159296</v>
      </c>
      <c r="S5761" t="s">
        <v>12407</v>
      </c>
      <c r="T5761" t="s">
        <v>13290</v>
      </c>
      <c r="U5761" t="s">
        <v>13290</v>
      </c>
      <c r="V5761" t="s">
        <v>13290</v>
      </c>
      <c r="W5761" t="s">
        <v>19000</v>
      </c>
      <c r="X5761">
        <v>1</v>
      </c>
      <c r="Y5761" t="s">
        <v>25476</v>
      </c>
      <c r="Z5761" t="s">
        <v>32091</v>
      </c>
      <c r="AA5761">
        <v>0.6521998670516046</v>
      </c>
      <c r="AB5761" t="str">
        <f>HYPERLINK("Melting_Curves/meltCurve_Q9H9Y4_GPN2.pdf", "Melting_Curves/meltCurve_Q9H9Y4_GPN2.pdf")</f>
        <v>Melting_Curves/meltCurve_Q9H9Y4_GPN2.pdf</v>
      </c>
    </row>
    <row r="5762" spans="1:28" x14ac:dyDescent="0.25">
      <c r="A5762" t="s">
        <v>5766</v>
      </c>
      <c r="B5762">
        <v>0.99252571173614901</v>
      </c>
      <c r="C5762">
        <v>1.02426942710541</v>
      </c>
      <c r="D5762">
        <v>0.78221347553539</v>
      </c>
      <c r="E5762">
        <v>0.73877671392532196</v>
      </c>
      <c r="F5762">
        <v>0.62898081573901699</v>
      </c>
      <c r="G5762">
        <v>0.33698120825056899</v>
      </c>
      <c r="H5762">
        <v>0.24777919127013801</v>
      </c>
      <c r="I5762">
        <v>0.21964444743875999</v>
      </c>
      <c r="J5762">
        <v>0.21163677300907099</v>
      </c>
      <c r="K5762">
        <v>0.21375511446975401</v>
      </c>
      <c r="L5762">
        <v>675.06514316779305</v>
      </c>
      <c r="M5762">
        <v>12.8339815150915</v>
      </c>
      <c r="N5762">
        <v>54.125107756304203</v>
      </c>
      <c r="O5762">
        <v>51.371860240139</v>
      </c>
      <c r="P5762">
        <v>-5.2988779150284403E-2</v>
      </c>
      <c r="Q5762">
        <v>0.15174389233803401</v>
      </c>
      <c r="R5762">
        <v>0.97290627292252396</v>
      </c>
      <c r="S5762" t="s">
        <v>12408</v>
      </c>
      <c r="T5762" t="s">
        <v>13290</v>
      </c>
      <c r="U5762" t="s">
        <v>13290</v>
      </c>
      <c r="V5762" t="s">
        <v>13290</v>
      </c>
      <c r="W5762" t="s">
        <v>19001</v>
      </c>
      <c r="X5762">
        <v>5</v>
      </c>
      <c r="Y5762" t="s">
        <v>25477</v>
      </c>
      <c r="Z5762" t="s">
        <v>32092</v>
      </c>
      <c r="AA5762">
        <v>0.53093078396531501</v>
      </c>
      <c r="AB5762" t="str">
        <f>HYPERLINK("Melting_Curves/meltCurve_Q9HA47_3_UCK1.pdf", "Melting_Curves/meltCurve_Q9HA47_3_UCK1.pdf")</f>
        <v>Melting_Curves/meltCurve_Q9HA47_3_UCK1.pdf</v>
      </c>
    </row>
    <row r="5763" spans="1:28" x14ac:dyDescent="0.25">
      <c r="A5763" t="s">
        <v>5767</v>
      </c>
      <c r="B5763">
        <v>0.99252571173614901</v>
      </c>
      <c r="C5763">
        <v>1.00958112466133</v>
      </c>
      <c r="D5763">
        <v>0.951624595266648</v>
      </c>
      <c r="E5763">
        <v>0.81667650352702204</v>
      </c>
      <c r="F5763">
        <v>0.75632946957426495</v>
      </c>
      <c r="G5763">
        <v>0.62569814231796606</v>
      </c>
      <c r="H5763">
        <v>0.55246442474091595</v>
      </c>
      <c r="I5763">
        <v>0.52716633447951899</v>
      </c>
      <c r="J5763">
        <v>0.19645483789505599</v>
      </c>
      <c r="K5763">
        <v>0.15813014550492799</v>
      </c>
      <c r="L5763">
        <v>544.61438573246801</v>
      </c>
      <c r="M5763">
        <v>8.9804222338287492</v>
      </c>
      <c r="N5763">
        <v>60.644624776895398</v>
      </c>
      <c r="O5763">
        <v>57.863906126461202</v>
      </c>
      <c r="P5763">
        <v>-3.8828168609807097E-2</v>
      </c>
      <c r="Q5763">
        <v>0</v>
      </c>
      <c r="R5763">
        <v>0.946544627783801</v>
      </c>
      <c r="S5763" t="s">
        <v>12409</v>
      </c>
      <c r="T5763" t="s">
        <v>13290</v>
      </c>
      <c r="U5763" t="s">
        <v>13290</v>
      </c>
      <c r="V5763" t="s">
        <v>13290</v>
      </c>
      <c r="W5763" t="s">
        <v>19002</v>
      </c>
      <c r="X5763">
        <v>9</v>
      </c>
      <c r="Y5763" t="s">
        <v>25478</v>
      </c>
      <c r="Z5763" t="s">
        <v>32093</v>
      </c>
      <c r="AA5763">
        <v>0.67337787513101333</v>
      </c>
      <c r="AB5763" t="str">
        <f>HYPERLINK("Melting_Curves/meltCurve_Q9HA64_FN3KRP.pdf", "Melting_Curves/meltCurve_Q9HA64_FN3KRP.pdf")</f>
        <v>Melting_Curves/meltCurve_Q9HA64_FN3KRP.pdf</v>
      </c>
    </row>
    <row r="5764" spans="1:28" x14ac:dyDescent="0.25">
      <c r="A5764" t="s">
        <v>5768</v>
      </c>
      <c r="B5764">
        <v>0.99252571173614901</v>
      </c>
      <c r="C5764">
        <v>0.90762855014503796</v>
      </c>
      <c r="D5764">
        <v>0.71802731949876997</v>
      </c>
      <c r="E5764">
        <v>0.34653852109667399</v>
      </c>
      <c r="F5764">
        <v>0.20706930169078899</v>
      </c>
      <c r="G5764">
        <v>0.13054803975875201</v>
      </c>
      <c r="H5764">
        <v>0.12907178724953</v>
      </c>
      <c r="I5764">
        <v>0.14494495331747501</v>
      </c>
      <c r="J5764">
        <v>0.123337112103551</v>
      </c>
      <c r="K5764">
        <v>7.0344201950877802E-2</v>
      </c>
      <c r="L5764">
        <v>1035.9548376502</v>
      </c>
      <c r="M5764">
        <v>21.826448803980401</v>
      </c>
      <c r="N5764">
        <v>48.031026365728501</v>
      </c>
      <c r="O5764">
        <v>47.070228343841897</v>
      </c>
      <c r="P5764">
        <v>-0.102746155614326</v>
      </c>
      <c r="Q5764">
        <v>0.11370364965674599</v>
      </c>
      <c r="R5764">
        <v>0.99662456077988604</v>
      </c>
      <c r="S5764" t="s">
        <v>12410</v>
      </c>
      <c r="T5764" t="s">
        <v>13290</v>
      </c>
      <c r="U5764" t="s">
        <v>13290</v>
      </c>
      <c r="V5764" t="s">
        <v>13290</v>
      </c>
      <c r="W5764" t="s">
        <v>19003</v>
      </c>
      <c r="X5764">
        <v>4</v>
      </c>
      <c r="Y5764" t="s">
        <v>25479</v>
      </c>
      <c r="Z5764" t="s">
        <v>32094</v>
      </c>
      <c r="AA5764">
        <v>0.34474978617922353</v>
      </c>
      <c r="AB5764" t="str">
        <f>HYPERLINK("Melting_Curves/meltCurve_Q9HA65_TBC1D17.pdf", "Melting_Curves/meltCurve_Q9HA65_TBC1D17.pdf")</f>
        <v>Melting_Curves/meltCurve_Q9HA65_TBC1D17.pdf</v>
      </c>
    </row>
    <row r="5765" spans="1:28" x14ac:dyDescent="0.25">
      <c r="A5765" t="s">
        <v>5769</v>
      </c>
      <c r="B5765">
        <v>0.99252571173614901</v>
      </c>
      <c r="C5765">
        <v>0.98483116482559196</v>
      </c>
      <c r="D5765">
        <v>1.0103864996502301</v>
      </c>
      <c r="E5765">
        <v>0.99079611039415005</v>
      </c>
      <c r="F5765">
        <v>0.83774538450912395</v>
      </c>
      <c r="G5765">
        <v>0.59515135671160202</v>
      </c>
      <c r="H5765">
        <v>0.40953576795455798</v>
      </c>
      <c r="I5765">
        <v>0.17183908876903001</v>
      </c>
      <c r="J5765">
        <v>0.13966024825415799</v>
      </c>
      <c r="K5765">
        <v>0.13391762066597401</v>
      </c>
      <c r="L5765">
        <v>1046.7241666258501</v>
      </c>
      <c r="M5765">
        <v>18.061840552343</v>
      </c>
      <c r="N5765">
        <v>58.483648338975499</v>
      </c>
      <c r="O5765">
        <v>57.255861107693399</v>
      </c>
      <c r="P5765">
        <v>-7.2899793147159705E-2</v>
      </c>
      <c r="Q5765">
        <v>7.5678418088099997E-2</v>
      </c>
      <c r="R5765">
        <v>0.99384134792522605</v>
      </c>
      <c r="S5765" t="s">
        <v>12411</v>
      </c>
      <c r="T5765" t="s">
        <v>13290</v>
      </c>
      <c r="U5765" t="s">
        <v>13290</v>
      </c>
      <c r="V5765" t="s">
        <v>13290</v>
      </c>
      <c r="W5765" t="s">
        <v>19004</v>
      </c>
      <c r="X5765">
        <v>20</v>
      </c>
      <c r="Y5765" t="s">
        <v>25480</v>
      </c>
      <c r="Z5765" t="s">
        <v>32095</v>
      </c>
      <c r="AA5765">
        <v>0.64027304565437249</v>
      </c>
      <c r="AB5765" t="str">
        <f>HYPERLINK("Melting_Curves/meltCurve_Q9HA77_CARS2.pdf", "Melting_Curves/meltCurve_Q9HA77_CARS2.pdf")</f>
        <v>Melting_Curves/meltCurve_Q9HA77_CARS2.pdf</v>
      </c>
    </row>
    <row r="5766" spans="1:28" x14ac:dyDescent="0.25">
      <c r="A5766" t="s">
        <v>5770</v>
      </c>
      <c r="B5766">
        <v>0.99252571173614901</v>
      </c>
      <c r="C5766">
        <v>1.0609093404518399</v>
      </c>
      <c r="D5766">
        <v>0.97046243475729099</v>
      </c>
      <c r="E5766">
        <v>0.81737933606195901</v>
      </c>
      <c r="F5766">
        <v>0.69851104886423598</v>
      </c>
      <c r="G5766">
        <v>0.29432958575924001</v>
      </c>
      <c r="H5766">
        <v>8.8333876337769499E-2</v>
      </c>
      <c r="I5766">
        <v>7.2857472225676997E-2</v>
      </c>
      <c r="J5766">
        <v>6.4106411845695405E-2</v>
      </c>
      <c r="K5766">
        <v>5.7118465079033003E-2</v>
      </c>
      <c r="L5766">
        <v>1183.0226899449499</v>
      </c>
      <c r="M5766">
        <v>21.7254163951877</v>
      </c>
      <c r="N5766">
        <v>54.629510897005602</v>
      </c>
      <c r="O5766">
        <v>53.998331962621002</v>
      </c>
      <c r="P5766">
        <v>-9.7184164484711205E-2</v>
      </c>
      <c r="Q5766">
        <v>3.3821082930220098E-2</v>
      </c>
      <c r="R5766">
        <v>0.99034149163200202</v>
      </c>
      <c r="S5766" t="s">
        <v>12412</v>
      </c>
      <c r="T5766" t="s">
        <v>13290</v>
      </c>
      <c r="U5766" t="s">
        <v>13290</v>
      </c>
      <c r="V5766" t="s">
        <v>13290</v>
      </c>
      <c r="W5766" t="s">
        <v>19005</v>
      </c>
      <c r="X5766">
        <v>11</v>
      </c>
      <c r="Y5766" t="s">
        <v>25481</v>
      </c>
      <c r="Z5766" t="s">
        <v>32096</v>
      </c>
      <c r="AA5766">
        <v>0.5107082330918542</v>
      </c>
      <c r="AB5766" t="str">
        <f>HYPERLINK("Melting_Curves/meltCurve_Q9HAB8_PPCS.pdf", "Melting_Curves/meltCurve_Q9HAB8_PPCS.pdf")</f>
        <v>Melting_Curves/meltCurve_Q9HAB8_PPCS.pdf</v>
      </c>
    </row>
    <row r="5767" spans="1:28" x14ac:dyDescent="0.25">
      <c r="A5767" t="s">
        <v>5771</v>
      </c>
      <c r="B5767">
        <v>0.99252571173614901</v>
      </c>
      <c r="C5767">
        <v>1.00095009265482</v>
      </c>
      <c r="D5767">
        <v>1.2765039831279299</v>
      </c>
      <c r="E5767">
        <v>1.5715254932360501</v>
      </c>
      <c r="F5767">
        <v>1.3451827259332001</v>
      </c>
      <c r="G5767">
        <v>1.0700619294592999</v>
      </c>
      <c r="H5767">
        <v>1.0559247245888199</v>
      </c>
      <c r="I5767">
        <v>1.42452710186595</v>
      </c>
      <c r="J5767">
        <v>2.4388173120664698</v>
      </c>
      <c r="K5767">
        <v>2.7154199731545199</v>
      </c>
      <c r="L5767">
        <v>11490.2097436761</v>
      </c>
      <c r="M5767">
        <v>250</v>
      </c>
      <c r="O5767">
        <v>45.957897997151498</v>
      </c>
      <c r="P5767">
        <v>0.67997018014678601</v>
      </c>
      <c r="Q5767">
        <v>1.5</v>
      </c>
      <c r="R5767">
        <v>0.16671520942686999</v>
      </c>
      <c r="S5767" t="s">
        <v>12413</v>
      </c>
      <c r="T5767" t="s">
        <v>13290</v>
      </c>
      <c r="U5767" t="s">
        <v>13290</v>
      </c>
      <c r="V5767" t="s">
        <v>13290</v>
      </c>
      <c r="W5767" t="s">
        <v>19006</v>
      </c>
      <c r="X5767">
        <v>3</v>
      </c>
      <c r="Y5767" t="s">
        <v>25482</v>
      </c>
      <c r="Z5767" t="s">
        <v>32097</v>
      </c>
      <c r="AA5767">
        <v>1.400612353476381</v>
      </c>
      <c r="AB5767" t="str">
        <f>HYPERLINK("Melting_Curves/meltCurve_Q9HAF1_2_MEAF6.pdf", "Melting_Curves/meltCurve_Q9HAF1_2_MEAF6.pdf")</f>
        <v>Melting_Curves/meltCurve_Q9HAF1_2_MEAF6.pdf</v>
      </c>
    </row>
    <row r="5768" spans="1:28" x14ac:dyDescent="0.25">
      <c r="A5768" t="s">
        <v>5772</v>
      </c>
      <c r="B5768">
        <v>0.99252571173614901</v>
      </c>
      <c r="C5768">
        <v>0.940571872307993</v>
      </c>
      <c r="D5768">
        <v>0.96793266503545905</v>
      </c>
      <c r="E5768">
        <v>0.89736295862714799</v>
      </c>
      <c r="F5768">
        <v>0.932442090426579</v>
      </c>
      <c r="G5768">
        <v>0.70587575153282101</v>
      </c>
      <c r="H5768">
        <v>0.70325147134605104</v>
      </c>
      <c r="I5768">
        <v>0.83561535463302805</v>
      </c>
      <c r="J5768">
        <v>0.79758676281921403</v>
      </c>
      <c r="K5768">
        <v>0.353822981912368</v>
      </c>
      <c r="L5768">
        <v>393.26281706119698</v>
      </c>
      <c r="M5768">
        <v>5.3708211837352202</v>
      </c>
      <c r="O5768">
        <v>64.927784209585397</v>
      </c>
      <c r="P5768">
        <v>-2.0778961209916499E-2</v>
      </c>
      <c r="Q5768">
        <v>0</v>
      </c>
      <c r="R5768">
        <v>0.63891301202669504</v>
      </c>
      <c r="S5768" t="s">
        <v>12414</v>
      </c>
      <c r="T5768" t="s">
        <v>13290</v>
      </c>
      <c r="U5768" t="s">
        <v>13290</v>
      </c>
      <c r="V5768" t="s">
        <v>13290</v>
      </c>
      <c r="W5768" t="s">
        <v>19007</v>
      </c>
      <c r="X5768">
        <v>13</v>
      </c>
      <c r="Y5768" t="s">
        <v>25483</v>
      </c>
      <c r="Z5768" t="s">
        <v>32098</v>
      </c>
      <c r="AA5768">
        <v>0.82623260813090849</v>
      </c>
      <c r="AB5768" t="str">
        <f>HYPERLINK("Melting_Curves/meltCurve_Q9HAN9_NMNAT1.pdf", "Melting_Curves/meltCurve_Q9HAN9_NMNAT1.pdf")</f>
        <v>Melting_Curves/meltCurve_Q9HAN9_NMNAT1.pdf</v>
      </c>
    </row>
    <row r="5769" spans="1:28" x14ac:dyDescent="0.25">
      <c r="A5769" t="s">
        <v>5773</v>
      </c>
      <c r="B5769">
        <v>0.99252571173614901</v>
      </c>
      <c r="C5769">
        <v>0.77854871259515401</v>
      </c>
      <c r="D5769">
        <v>0.43317659390168101</v>
      </c>
      <c r="E5769">
        <v>0.28194990025621303</v>
      </c>
      <c r="F5769">
        <v>0.187356371713086</v>
      </c>
      <c r="G5769">
        <v>0.14740822582361901</v>
      </c>
      <c r="H5769">
        <v>0.119791482744145</v>
      </c>
      <c r="I5769">
        <v>0.134176752237084</v>
      </c>
      <c r="J5769">
        <v>0.182288113514464</v>
      </c>
      <c r="K5769">
        <v>0.19364669601253801</v>
      </c>
      <c r="L5769">
        <v>1062.51778046353</v>
      </c>
      <c r="M5769">
        <v>23.716681438199402</v>
      </c>
      <c r="N5769">
        <v>45.545263778450099</v>
      </c>
      <c r="O5769">
        <v>44.485574525931398</v>
      </c>
      <c r="P5769">
        <v>-0.111860553809247</v>
      </c>
      <c r="Q5769">
        <v>0.16074287046761199</v>
      </c>
      <c r="R5769">
        <v>0.98982408204614003</v>
      </c>
      <c r="S5769" t="s">
        <v>12415</v>
      </c>
      <c r="T5769" t="s">
        <v>13290</v>
      </c>
      <c r="U5769" t="s">
        <v>13290</v>
      </c>
      <c r="V5769" t="s">
        <v>13290</v>
      </c>
      <c r="W5769" t="s">
        <v>19008</v>
      </c>
      <c r="X5769">
        <v>23</v>
      </c>
      <c r="Y5769" t="s">
        <v>25484</v>
      </c>
      <c r="Z5769" t="s">
        <v>32099</v>
      </c>
      <c r="AA5769">
        <v>0.3047424808944913</v>
      </c>
      <c r="AB5769" t="str">
        <f>HYPERLINK("Melting_Curves/meltCurve_Q9HAU0_PLEKHA5.pdf", "Melting_Curves/meltCurve_Q9HAU0_PLEKHA5.pdf")</f>
        <v>Melting_Curves/meltCurve_Q9HAU0_PLEKHA5.pdf</v>
      </c>
    </row>
    <row r="5770" spans="1:28" x14ac:dyDescent="0.25">
      <c r="A5770" t="s">
        <v>5774</v>
      </c>
      <c r="B5770">
        <v>0.99252571173614901</v>
      </c>
      <c r="C5770">
        <v>0.90869415922054497</v>
      </c>
      <c r="D5770">
        <v>0.99305532286521103</v>
      </c>
      <c r="E5770">
        <v>0.36502408734658898</v>
      </c>
      <c r="F5770">
        <v>0.16064382394708701</v>
      </c>
      <c r="G5770">
        <v>9.2175048671298998E-2</v>
      </c>
      <c r="H5770">
        <v>7.0831200357496196E-2</v>
      </c>
      <c r="I5770">
        <v>8.1488867081275895E-2</v>
      </c>
      <c r="J5770">
        <v>0.109562143609617</v>
      </c>
      <c r="K5770">
        <v>0.10154597502584101</v>
      </c>
      <c r="L5770">
        <v>2811.0255568048201</v>
      </c>
      <c r="M5770">
        <v>57.5279506385438</v>
      </c>
      <c r="N5770">
        <v>49.055614765243497</v>
      </c>
      <c r="O5770">
        <v>48.80470951065</v>
      </c>
      <c r="P5770">
        <v>-0.26498331790697399</v>
      </c>
      <c r="Q5770">
        <v>0.100789998400495</v>
      </c>
      <c r="R5770">
        <v>0.99147679769117003</v>
      </c>
      <c r="S5770" t="s">
        <v>12416</v>
      </c>
      <c r="T5770" t="s">
        <v>13290</v>
      </c>
      <c r="U5770" t="s">
        <v>13290</v>
      </c>
      <c r="V5770" t="s">
        <v>13290</v>
      </c>
      <c r="W5770" t="s">
        <v>19009</v>
      </c>
      <c r="X5770">
        <v>16</v>
      </c>
      <c r="Y5770" t="s">
        <v>25485</v>
      </c>
      <c r="Z5770" t="s">
        <v>32100</v>
      </c>
      <c r="AA5770">
        <v>0.36792817715303178</v>
      </c>
      <c r="AB5770" t="str">
        <f>HYPERLINK("Melting_Curves/meltCurve_Q9HAU5_UPF2.pdf", "Melting_Curves/meltCurve_Q9HAU5_UPF2.pdf")</f>
        <v>Melting_Curves/meltCurve_Q9HAU5_UPF2.pdf</v>
      </c>
    </row>
    <row r="5771" spans="1:28" x14ac:dyDescent="0.25">
      <c r="A5771" t="s">
        <v>5775</v>
      </c>
      <c r="B5771">
        <v>0.99252571173614901</v>
      </c>
      <c r="C5771">
        <v>1.02328104788923</v>
      </c>
      <c r="D5771">
        <v>0.60317769167343804</v>
      </c>
      <c r="E5771">
        <v>0.33357774838351401</v>
      </c>
      <c r="F5771">
        <v>9.9447770056126594E-2</v>
      </c>
      <c r="G5771">
        <v>5.3231267892404302E-2</v>
      </c>
      <c r="H5771">
        <v>3.6636644291519499E-2</v>
      </c>
      <c r="I5771">
        <v>3.5725013622329702E-2</v>
      </c>
      <c r="J5771">
        <v>4.0895118312428903E-2</v>
      </c>
      <c r="K5771">
        <v>4.0794947271735403E-2</v>
      </c>
      <c r="L5771">
        <v>1102.9942337530799</v>
      </c>
      <c r="M5771">
        <v>23.2989256568722</v>
      </c>
      <c r="N5771">
        <v>47.5033398055403</v>
      </c>
      <c r="O5771">
        <v>46.996376242466397</v>
      </c>
      <c r="P5771">
        <v>-0.119198964271955</v>
      </c>
      <c r="Q5771">
        <v>3.8269863025120698E-2</v>
      </c>
      <c r="R5771">
        <v>0.98746222590766297</v>
      </c>
      <c r="S5771" t="s">
        <v>12417</v>
      </c>
      <c r="T5771" t="s">
        <v>13290</v>
      </c>
      <c r="U5771" t="s">
        <v>13290</v>
      </c>
      <c r="V5771" t="s">
        <v>13290</v>
      </c>
      <c r="W5771" t="s">
        <v>19010</v>
      </c>
      <c r="X5771">
        <v>40</v>
      </c>
      <c r="Y5771" t="s">
        <v>25486</v>
      </c>
      <c r="Z5771" t="s">
        <v>32101</v>
      </c>
      <c r="AA5771">
        <v>0.28356387564272462</v>
      </c>
      <c r="AB5771" t="str">
        <f>HYPERLINK("Melting_Curves/meltCurve_Q9HAV4_XPO5.pdf", "Melting_Curves/meltCurve_Q9HAV4_XPO5.pdf")</f>
        <v>Melting_Curves/meltCurve_Q9HAV4_XPO5.pdf</v>
      </c>
    </row>
    <row r="5772" spans="1:28" x14ac:dyDescent="0.25">
      <c r="A5772" t="s">
        <v>5776</v>
      </c>
      <c r="B5772">
        <v>0.99252571173614901</v>
      </c>
      <c r="C5772">
        <v>1.22130091275095</v>
      </c>
      <c r="D5772">
        <v>0.49263440684521997</v>
      </c>
      <c r="E5772">
        <v>0.67757924837215999</v>
      </c>
      <c r="F5772">
        <v>0.19325976294748701</v>
      </c>
      <c r="G5772">
        <v>8.0142738532366101E-2</v>
      </c>
      <c r="H5772">
        <v>5.5495930109760498E-2</v>
      </c>
      <c r="I5772">
        <v>5.0321097058124098E-2</v>
      </c>
      <c r="J5772">
        <v>7.0610680913119006E-2</v>
      </c>
      <c r="K5772">
        <v>5.8850514415605397E-2</v>
      </c>
      <c r="L5772">
        <v>858.955988631624</v>
      </c>
      <c r="M5772">
        <v>17.404969333535401</v>
      </c>
      <c r="N5772">
        <v>49.551064222024998</v>
      </c>
      <c r="O5772">
        <v>48.713534047293798</v>
      </c>
      <c r="P5772">
        <v>-8.6299971705966094E-2</v>
      </c>
      <c r="Q5772">
        <v>3.3898943075017597E-2</v>
      </c>
      <c r="R5772">
        <v>0.87871622469173505</v>
      </c>
      <c r="S5772" t="s">
        <v>12418</v>
      </c>
      <c r="T5772" t="s">
        <v>13290</v>
      </c>
      <c r="U5772" t="s">
        <v>13290</v>
      </c>
      <c r="V5772" t="s">
        <v>13290</v>
      </c>
      <c r="W5772" t="s">
        <v>19011</v>
      </c>
      <c r="X5772">
        <v>13</v>
      </c>
      <c r="Y5772" t="s">
        <v>25487</v>
      </c>
      <c r="Z5772" t="s">
        <v>32102</v>
      </c>
      <c r="AA5772">
        <v>0.35279780618249917</v>
      </c>
      <c r="AB5772" t="str">
        <f>HYPERLINK("Melting_Curves/meltCurve_Q9HAV7_GRPEL1.pdf", "Melting_Curves/meltCurve_Q9HAV7_GRPEL1.pdf")</f>
        <v>Melting_Curves/meltCurve_Q9HAV7_GRPEL1.pdf</v>
      </c>
    </row>
    <row r="5773" spans="1:28" x14ac:dyDescent="0.25">
      <c r="A5773" t="s">
        <v>5777</v>
      </c>
      <c r="B5773">
        <v>0.99252571173614901</v>
      </c>
      <c r="C5773">
        <v>1.0288660845263899</v>
      </c>
      <c r="D5773">
        <v>0.85606542622982595</v>
      </c>
      <c r="E5773">
        <v>0.80540287125524201</v>
      </c>
      <c r="F5773">
        <v>0.54798584966904695</v>
      </c>
      <c r="G5773">
        <v>0.41922778672662198</v>
      </c>
      <c r="H5773">
        <v>0.44020541727788898</v>
      </c>
      <c r="I5773">
        <v>0.64284620703533002</v>
      </c>
      <c r="J5773">
        <v>0.751304518183324</v>
      </c>
      <c r="K5773">
        <v>0.83206719169584298</v>
      </c>
      <c r="L5773">
        <v>1402.1368373611001</v>
      </c>
      <c r="M5773">
        <v>29.122262854582999</v>
      </c>
      <c r="O5773">
        <v>47.921252436071399</v>
      </c>
      <c r="P5773">
        <v>-5.9357636377939303E-2</v>
      </c>
      <c r="Q5773">
        <v>0.60930625820011597</v>
      </c>
      <c r="R5773">
        <v>0.61940605807217797</v>
      </c>
      <c r="S5773" t="s">
        <v>12419</v>
      </c>
      <c r="T5773" t="s">
        <v>13290</v>
      </c>
      <c r="U5773" t="s">
        <v>13290</v>
      </c>
      <c r="V5773" t="s">
        <v>13290</v>
      </c>
      <c r="W5773" t="s">
        <v>19012</v>
      </c>
      <c r="X5773">
        <v>7</v>
      </c>
      <c r="Y5773" t="s">
        <v>25488</v>
      </c>
      <c r="Z5773" t="s">
        <v>32103</v>
      </c>
      <c r="AA5773">
        <v>0.71790500022164783</v>
      </c>
      <c r="AB5773" t="str">
        <f>HYPERLINK("Melting_Curves/meltCurve_Q9HAW4_3_CLSPN.pdf", "Melting_Curves/meltCurve_Q9HAW4_3_CLSPN.pdf")</f>
        <v>Melting_Curves/meltCurve_Q9HAW4_3_CLSPN.pdf</v>
      </c>
    </row>
    <row r="5774" spans="1:28" x14ac:dyDescent="0.25">
      <c r="A5774" t="s">
        <v>5778</v>
      </c>
      <c r="B5774">
        <v>0.99252571173614901</v>
      </c>
      <c r="C5774">
        <v>1.06979436862577</v>
      </c>
      <c r="D5774">
        <v>0.68877095835255997</v>
      </c>
      <c r="E5774">
        <v>0.65877547591324803</v>
      </c>
      <c r="F5774">
        <v>0.37849935292509801</v>
      </c>
      <c r="G5774">
        <v>0.202153109213665</v>
      </c>
      <c r="H5774">
        <v>0.120257682113298</v>
      </c>
      <c r="I5774">
        <v>0.10032352445538401</v>
      </c>
      <c r="J5774">
        <v>9.8400402672486606E-2</v>
      </c>
      <c r="K5774">
        <v>9.6291365387254593E-2</v>
      </c>
      <c r="L5774">
        <v>751.41649240285801</v>
      </c>
      <c r="M5774">
        <v>14.8573130076513</v>
      </c>
      <c r="N5774">
        <v>51.067427068370698</v>
      </c>
      <c r="O5774">
        <v>49.685807766906102</v>
      </c>
      <c r="P5774">
        <v>-6.9779592265537899E-2</v>
      </c>
      <c r="Q5774">
        <v>6.66705867122874E-2</v>
      </c>
      <c r="R5774">
        <v>0.96934588165883895</v>
      </c>
      <c r="S5774" t="s">
        <v>12420</v>
      </c>
      <c r="T5774" t="s">
        <v>13290</v>
      </c>
      <c r="U5774" t="s">
        <v>13290</v>
      </c>
      <c r="V5774" t="s">
        <v>13290</v>
      </c>
      <c r="W5774" t="s">
        <v>19013</v>
      </c>
      <c r="X5774">
        <v>18</v>
      </c>
      <c r="Y5774" t="s">
        <v>25489</v>
      </c>
      <c r="Z5774" t="s">
        <v>32104</v>
      </c>
      <c r="AA5774">
        <v>0.41789776436996312</v>
      </c>
      <c r="AB5774" t="str">
        <f>HYPERLINK("Melting_Curves/meltCurve_Q9HB07_C12orf10.pdf", "Melting_Curves/meltCurve_Q9HB07_C12orf10.pdf")</f>
        <v>Melting_Curves/meltCurve_Q9HB07_C12orf10.pdf</v>
      </c>
    </row>
    <row r="5775" spans="1:28" x14ac:dyDescent="0.25">
      <c r="A5775" t="s">
        <v>5779</v>
      </c>
      <c r="B5775">
        <v>0.99252571173614901</v>
      </c>
      <c r="C5775">
        <v>0.85453300035884106</v>
      </c>
      <c r="D5775">
        <v>0.43525784077200302</v>
      </c>
      <c r="E5775">
        <v>9.3247821004562498E-2</v>
      </c>
      <c r="F5775">
        <v>0.194856741416605</v>
      </c>
      <c r="G5775">
        <v>3.5641868653965902E-2</v>
      </c>
      <c r="H5775">
        <v>2.4714483322529901E-2</v>
      </c>
      <c r="I5775">
        <v>8.50083422388603E-3</v>
      </c>
      <c r="J5775">
        <v>3.2326797091396901E-2</v>
      </c>
      <c r="K5775">
        <v>1.49755719923238E-2</v>
      </c>
      <c r="L5775">
        <v>1287.7438966944201</v>
      </c>
      <c r="M5775">
        <v>28.347300017837799</v>
      </c>
      <c r="N5775">
        <v>45.573611262464297</v>
      </c>
      <c r="O5775">
        <v>45.2031226239232</v>
      </c>
      <c r="P5775">
        <v>-0.149964756910341</v>
      </c>
      <c r="Q5775">
        <v>4.3461657694621902E-2</v>
      </c>
      <c r="R5775">
        <v>0.981789129558301</v>
      </c>
      <c r="S5775" t="s">
        <v>12421</v>
      </c>
      <c r="T5775" t="s">
        <v>13290</v>
      </c>
      <c r="U5775" t="s">
        <v>13290</v>
      </c>
      <c r="V5775" t="s">
        <v>13290</v>
      </c>
      <c r="W5775" t="s">
        <v>19014</v>
      </c>
      <c r="X5775">
        <v>5</v>
      </c>
      <c r="Y5775" t="s">
        <v>25490</v>
      </c>
      <c r="Z5775" t="s">
        <v>32105</v>
      </c>
      <c r="AA5775">
        <v>0.22333092278184929</v>
      </c>
      <c r="AB5775" t="str">
        <f>HYPERLINK("Melting_Curves/meltCurve_Q9HB21_PLEKHA1.pdf", "Melting_Curves/meltCurve_Q9HB21_PLEKHA1.pdf")</f>
        <v>Melting_Curves/meltCurve_Q9HB21_PLEKHA1.pdf</v>
      </c>
    </row>
    <row r="5776" spans="1:28" x14ac:dyDescent="0.25">
      <c r="A5776" t="s">
        <v>5780</v>
      </c>
      <c r="B5776">
        <v>0.99252571173614901</v>
      </c>
      <c r="C5776">
        <v>1.02483957649612</v>
      </c>
      <c r="D5776">
        <v>0.93051599209717495</v>
      </c>
      <c r="E5776">
        <v>0.75969336868125603</v>
      </c>
      <c r="F5776">
        <v>0.76258749565544504</v>
      </c>
      <c r="G5776">
        <v>0.63554036196237296</v>
      </c>
      <c r="H5776">
        <v>0.52197727838267105</v>
      </c>
      <c r="I5776">
        <v>0.149039185965649</v>
      </c>
      <c r="J5776">
        <v>0.151263512924211</v>
      </c>
      <c r="K5776">
        <v>0.126500410696121</v>
      </c>
      <c r="L5776">
        <v>663.96155872501799</v>
      </c>
      <c r="M5776">
        <v>11.3519637888067</v>
      </c>
      <c r="N5776">
        <v>58.488718700676699</v>
      </c>
      <c r="O5776">
        <v>56.761879409573602</v>
      </c>
      <c r="P5776">
        <v>-5.0013124550724701E-2</v>
      </c>
      <c r="Q5776">
        <v>0</v>
      </c>
      <c r="R5776">
        <v>0.95229702572633201</v>
      </c>
      <c r="S5776" t="s">
        <v>12422</v>
      </c>
      <c r="T5776" t="s">
        <v>13290</v>
      </c>
      <c r="U5776" t="s">
        <v>13290</v>
      </c>
      <c r="V5776" t="s">
        <v>13290</v>
      </c>
      <c r="W5776" t="s">
        <v>19015</v>
      </c>
      <c r="X5776">
        <v>12</v>
      </c>
      <c r="Y5776" t="s">
        <v>25491</v>
      </c>
      <c r="Z5776" t="s">
        <v>32106</v>
      </c>
      <c r="AA5776">
        <v>0.6258635007515907</v>
      </c>
      <c r="AB5776" t="str">
        <f>HYPERLINK("Melting_Curves/meltCurve_Q9HB40_SCPEP1.pdf", "Melting_Curves/meltCurve_Q9HB40_SCPEP1.pdf")</f>
        <v>Melting_Curves/meltCurve_Q9HB40_SCPEP1.pdf</v>
      </c>
    </row>
    <row r="5777" spans="1:28" x14ac:dyDescent="0.25">
      <c r="A5777" t="s">
        <v>5781</v>
      </c>
      <c r="B5777">
        <v>0.99252571173614901</v>
      </c>
      <c r="C5777">
        <v>1.0097521978966899</v>
      </c>
      <c r="D5777">
        <v>0.88793717451763499</v>
      </c>
      <c r="E5777">
        <v>0.460644546786525</v>
      </c>
      <c r="F5777">
        <v>0.25413444505135202</v>
      </c>
      <c r="G5777">
        <v>0.15600310808957801</v>
      </c>
      <c r="H5777">
        <v>0.14832055763219901</v>
      </c>
      <c r="I5777">
        <v>0.185304829796305</v>
      </c>
      <c r="J5777">
        <v>0.29035308850711999</v>
      </c>
      <c r="K5777">
        <v>0.283501848313926</v>
      </c>
      <c r="L5777">
        <v>1693.7057088628301</v>
      </c>
      <c r="M5777">
        <v>34.948370344085198</v>
      </c>
      <c r="N5777">
        <v>49.247288759497401</v>
      </c>
      <c r="O5777">
        <v>48.305227691628403</v>
      </c>
      <c r="P5777">
        <v>-0.142275292081467</v>
      </c>
      <c r="Q5777">
        <v>0.21339783382466301</v>
      </c>
      <c r="R5777">
        <v>0.98213960607727702</v>
      </c>
      <c r="S5777" t="s">
        <v>12423</v>
      </c>
      <c r="T5777" t="s">
        <v>13290</v>
      </c>
      <c r="U5777" t="s">
        <v>13290</v>
      </c>
      <c r="V5777" t="s">
        <v>13290</v>
      </c>
      <c r="W5777" t="s">
        <v>19016</v>
      </c>
      <c r="X5777">
        <v>2</v>
      </c>
      <c r="Y5777" t="s">
        <v>25492</v>
      </c>
      <c r="Z5777" t="s">
        <v>32107</v>
      </c>
      <c r="AA5777">
        <v>0.43877567231465148</v>
      </c>
      <c r="AB5777" t="str">
        <f>HYPERLINK("Melting_Curves/meltCurve_Q9HB65_ELL3.pdf", "Melting_Curves/meltCurve_Q9HB65_ELL3.pdf")</f>
        <v>Melting_Curves/meltCurve_Q9HB65_ELL3.pdf</v>
      </c>
    </row>
    <row r="5778" spans="1:28" x14ac:dyDescent="0.25">
      <c r="A5778" t="s">
        <v>5782</v>
      </c>
      <c r="B5778">
        <v>0.99252571173614901</v>
      </c>
      <c r="C5778">
        <v>0.84293209368880895</v>
      </c>
      <c r="D5778">
        <v>0.938699854383514</v>
      </c>
      <c r="E5778">
        <v>0.70729429362922103</v>
      </c>
      <c r="F5778">
        <v>0.34421686404074597</v>
      </c>
      <c r="G5778">
        <v>0.110280782470945</v>
      </c>
      <c r="H5778">
        <v>6.4123666876388305E-2</v>
      </c>
      <c r="I5778">
        <v>5.99798965154522E-2</v>
      </c>
      <c r="J5778">
        <v>6.8171198534295194E-2</v>
      </c>
      <c r="K5778">
        <v>6.2239003237514703E-2</v>
      </c>
      <c r="L5778">
        <v>1165.8276515365201</v>
      </c>
      <c r="M5778">
        <v>22.749436476833498</v>
      </c>
      <c r="N5778">
        <v>51.4752747933669</v>
      </c>
      <c r="O5778">
        <v>50.8554062700182</v>
      </c>
      <c r="P5778">
        <v>-0.10645768899258</v>
      </c>
      <c r="Q5778">
        <v>4.8092229055645398E-2</v>
      </c>
      <c r="R5778">
        <v>0.98436120384999004</v>
      </c>
      <c r="S5778" t="s">
        <v>12424</v>
      </c>
      <c r="T5778" t="s">
        <v>13290</v>
      </c>
      <c r="U5778" t="s">
        <v>13290</v>
      </c>
      <c r="V5778" t="s">
        <v>13290</v>
      </c>
      <c r="W5778" t="s">
        <v>19017</v>
      </c>
      <c r="X5778">
        <v>26</v>
      </c>
      <c r="Y5778" t="s">
        <v>25493</v>
      </c>
      <c r="Z5778" t="s">
        <v>32108</v>
      </c>
      <c r="AA5778">
        <v>0.41529886883083178</v>
      </c>
      <c r="AB5778" t="str">
        <f>HYPERLINK("Melting_Curves/meltCurve_Q9HB71_CACYBP.pdf", "Melting_Curves/meltCurve_Q9HB71_CACYBP.pdf")</f>
        <v>Melting_Curves/meltCurve_Q9HB71_CACYBP.pdf</v>
      </c>
    </row>
    <row r="5779" spans="1:28" x14ac:dyDescent="0.25">
      <c r="A5779" t="s">
        <v>5783</v>
      </c>
      <c r="B5779">
        <v>0.99252571173614901</v>
      </c>
      <c r="C5779">
        <v>0.89516631623030196</v>
      </c>
      <c r="D5779">
        <v>0.83487875042345505</v>
      </c>
      <c r="E5779">
        <v>0.68429747701841903</v>
      </c>
      <c r="F5779">
        <v>0.74289430636674003</v>
      </c>
      <c r="G5779">
        <v>0.59258235055557595</v>
      </c>
      <c r="H5779">
        <v>0.43029409058915002</v>
      </c>
      <c r="I5779">
        <v>0.45735836569636401</v>
      </c>
      <c r="J5779">
        <v>0.30936025782231003</v>
      </c>
      <c r="K5779">
        <v>0.15476505104747601</v>
      </c>
      <c r="L5779">
        <v>386.49124955259998</v>
      </c>
      <c r="M5779">
        <v>6.5626553172413598</v>
      </c>
      <c r="N5779">
        <v>58.892519889150599</v>
      </c>
      <c r="O5779">
        <v>54.142587273178002</v>
      </c>
      <c r="P5779">
        <v>-3.0373740643977801E-2</v>
      </c>
      <c r="Q5779">
        <v>0</v>
      </c>
      <c r="R5779">
        <v>0.94482441100495196</v>
      </c>
      <c r="S5779" t="s">
        <v>12425</v>
      </c>
      <c r="T5779" t="s">
        <v>13290</v>
      </c>
      <c r="U5779" t="s">
        <v>13290</v>
      </c>
      <c r="V5779" t="s">
        <v>13290</v>
      </c>
      <c r="W5779" t="s">
        <v>19018</v>
      </c>
      <c r="X5779">
        <v>6</v>
      </c>
      <c r="Y5779" t="s">
        <v>25494</v>
      </c>
      <c r="Z5779" t="s">
        <v>32109</v>
      </c>
      <c r="AA5779">
        <v>0.61526546050190223</v>
      </c>
      <c r="AB5779" t="str">
        <f>HYPERLINK("Melting_Curves/meltCurve_Q9HB90_RRAGC.pdf", "Melting_Curves/meltCurve_Q9HB90_RRAGC.pdf")</f>
        <v>Melting_Curves/meltCurve_Q9HB90_RRAGC.pdf</v>
      </c>
    </row>
    <row r="5780" spans="1:28" x14ac:dyDescent="0.25">
      <c r="A5780" t="s">
        <v>5784</v>
      </c>
      <c r="B5780">
        <v>0.99252571173614901</v>
      </c>
      <c r="C5780">
        <v>0.81112315838212201</v>
      </c>
      <c r="D5780">
        <v>0.61988389273974798</v>
      </c>
      <c r="E5780">
        <v>0.36366671183402</v>
      </c>
      <c r="F5780">
        <v>0.25846609985985503</v>
      </c>
      <c r="G5780">
        <v>0.18927388197703601</v>
      </c>
      <c r="H5780">
        <v>0.14635585657845299</v>
      </c>
      <c r="I5780">
        <v>0.144637888950928</v>
      </c>
      <c r="J5780">
        <v>0.14798213678712499</v>
      </c>
      <c r="K5780">
        <v>0.15689261692114501</v>
      </c>
      <c r="L5780">
        <v>778.91511091959899</v>
      </c>
      <c r="M5780">
        <v>16.725991912911201</v>
      </c>
      <c r="N5780">
        <v>47.539053089703998</v>
      </c>
      <c r="O5780">
        <v>45.918746024140702</v>
      </c>
      <c r="P5780">
        <v>-7.7904107602603204E-2</v>
      </c>
      <c r="Q5780">
        <v>0.144559477936782</v>
      </c>
      <c r="R5780">
        <v>0.99620340792148498</v>
      </c>
      <c r="S5780" t="s">
        <v>12426</v>
      </c>
      <c r="T5780" t="s">
        <v>13290</v>
      </c>
      <c r="U5780" t="s">
        <v>13290</v>
      </c>
      <c r="V5780" t="s">
        <v>13290</v>
      </c>
      <c r="W5780" t="s">
        <v>19019</v>
      </c>
      <c r="X5780">
        <v>16</v>
      </c>
      <c r="Y5780" t="s">
        <v>25495</v>
      </c>
      <c r="Z5780" t="s">
        <v>32110</v>
      </c>
      <c r="AA5780">
        <v>0.35084888726437191</v>
      </c>
      <c r="AB5780" t="str">
        <f>HYPERLINK("Melting_Curves/meltCurve_Q9HBD4_SMARCA4.pdf", "Melting_Curves/meltCurve_Q9HBD4_SMARCA4.pdf")</f>
        <v>Melting_Curves/meltCurve_Q9HBD4_SMARCA4.pdf</v>
      </c>
    </row>
    <row r="5781" spans="1:28" x14ac:dyDescent="0.25">
      <c r="A5781" t="s">
        <v>5785</v>
      </c>
      <c r="B5781">
        <v>0.99252571173614901</v>
      </c>
      <c r="C5781">
        <v>0.95631930938305598</v>
      </c>
      <c r="D5781">
        <v>0.68908118838323296</v>
      </c>
      <c r="E5781">
        <v>0.52266425344572098</v>
      </c>
      <c r="F5781">
        <v>0.27535508917319801</v>
      </c>
      <c r="G5781">
        <v>0.143646060644495</v>
      </c>
      <c r="H5781">
        <v>0.11180950420284499</v>
      </c>
      <c r="I5781">
        <v>0.128332726850728</v>
      </c>
      <c r="J5781">
        <v>0.20645073111124301</v>
      </c>
      <c r="K5781">
        <v>0.117083894456776</v>
      </c>
      <c r="L5781">
        <v>851.27529656449599</v>
      </c>
      <c r="M5781">
        <v>17.580270689581301</v>
      </c>
      <c r="N5781">
        <v>49.222633646745301</v>
      </c>
      <c r="O5781">
        <v>47.808695006886701</v>
      </c>
      <c r="P5781">
        <v>-8.0505440512735602E-2</v>
      </c>
      <c r="Q5781">
        <v>0.124324826307549</v>
      </c>
      <c r="R5781">
        <v>0.984631101608897</v>
      </c>
      <c r="S5781" t="s">
        <v>12427</v>
      </c>
      <c r="T5781" t="s">
        <v>13290</v>
      </c>
      <c r="U5781" t="s">
        <v>13290</v>
      </c>
      <c r="V5781" t="s">
        <v>13290</v>
      </c>
      <c r="W5781" t="s">
        <v>19020</v>
      </c>
      <c r="X5781">
        <v>4</v>
      </c>
      <c r="Y5781" t="s">
        <v>25496</v>
      </c>
      <c r="Z5781" t="s">
        <v>32111</v>
      </c>
      <c r="AA5781">
        <v>0.38627833541919449</v>
      </c>
      <c r="AB5781" t="str">
        <f>HYPERLINK("Melting_Curves/meltCurve_Q9HBH1_PDF.pdf", "Melting_Curves/meltCurve_Q9HBH1_PDF.pdf")</f>
        <v>Melting_Curves/meltCurve_Q9HBH1_PDF.pdf</v>
      </c>
    </row>
    <row r="5782" spans="1:28" x14ac:dyDescent="0.25">
      <c r="A5782" t="s">
        <v>5786</v>
      </c>
      <c r="B5782">
        <v>0.99252571173614901</v>
      </c>
      <c r="C5782">
        <v>0.94044836442408897</v>
      </c>
      <c r="D5782">
        <v>0.82222118542048805</v>
      </c>
      <c r="E5782">
        <v>0.67644864666709303</v>
      </c>
      <c r="F5782">
        <v>0.19867049900456099</v>
      </c>
      <c r="G5782">
        <v>0.122718683957453</v>
      </c>
      <c r="H5782">
        <v>9.66773839058543E-2</v>
      </c>
      <c r="I5782">
        <v>0.106095452064344</v>
      </c>
      <c r="J5782">
        <v>0.10393389925431901</v>
      </c>
      <c r="K5782">
        <v>8.6376645873573299E-2</v>
      </c>
      <c r="L5782">
        <v>1222.29153648582</v>
      </c>
      <c r="M5782">
        <v>24.390985734698699</v>
      </c>
      <c r="N5782">
        <v>50.493176343268999</v>
      </c>
      <c r="O5782">
        <v>49.779220015756302</v>
      </c>
      <c r="P5782">
        <v>-0.112207947866919</v>
      </c>
      <c r="Q5782">
        <v>8.3999070628970898E-2</v>
      </c>
      <c r="R5782">
        <v>0.98546573519847902</v>
      </c>
      <c r="S5782" t="s">
        <v>12428</v>
      </c>
      <c r="T5782" t="s">
        <v>13290</v>
      </c>
      <c r="U5782" t="s">
        <v>13290</v>
      </c>
      <c r="V5782" t="s">
        <v>13290</v>
      </c>
      <c r="W5782" t="s">
        <v>19021</v>
      </c>
      <c r="X5782">
        <v>9</v>
      </c>
      <c r="Y5782" t="s">
        <v>25497</v>
      </c>
      <c r="Z5782" t="s">
        <v>32112</v>
      </c>
      <c r="AA5782">
        <v>0.40137715768279092</v>
      </c>
      <c r="AB5782" t="str">
        <f>HYPERLINK("Melting_Curves/meltCurve_Q9HBH5_RDH14.pdf", "Melting_Curves/meltCurve_Q9HBH5_RDH14.pdf")</f>
        <v>Melting_Curves/meltCurve_Q9HBH5_RDH14.pdf</v>
      </c>
    </row>
    <row r="5783" spans="1:28" x14ac:dyDescent="0.25">
      <c r="A5783" t="s">
        <v>5787</v>
      </c>
      <c r="B5783">
        <v>0.99252571173614901</v>
      </c>
      <c r="C5783">
        <v>0.91128223248723905</v>
      </c>
      <c r="D5783">
        <v>0.78394990182721602</v>
      </c>
      <c r="E5783">
        <v>0.48005329252054602</v>
      </c>
      <c r="F5783">
        <v>0.21264171093014</v>
      </c>
      <c r="G5783">
        <v>0.110455129073286</v>
      </c>
      <c r="H5783">
        <v>6.5391032558988205E-2</v>
      </c>
      <c r="I5783">
        <v>5.4871667510577302E-2</v>
      </c>
      <c r="J5783">
        <v>7.6330889678915603E-2</v>
      </c>
      <c r="K5783">
        <v>5.7844714695112598E-2</v>
      </c>
      <c r="L5783">
        <v>918.77761509561401</v>
      </c>
      <c r="M5783">
        <v>18.769473756344102</v>
      </c>
      <c r="N5783">
        <v>49.2295451160985</v>
      </c>
      <c r="O5783">
        <v>48.405139016529603</v>
      </c>
      <c r="P5783">
        <v>-9.2053680560765405E-2</v>
      </c>
      <c r="Q5783">
        <v>5.0440257602064602E-2</v>
      </c>
      <c r="R5783">
        <v>0.99880367971226303</v>
      </c>
      <c r="S5783" t="s">
        <v>12429</v>
      </c>
      <c r="T5783" t="s">
        <v>13290</v>
      </c>
      <c r="U5783" t="s">
        <v>13290</v>
      </c>
      <c r="V5783" t="s">
        <v>13290</v>
      </c>
      <c r="W5783" t="s">
        <v>19022</v>
      </c>
      <c r="X5783">
        <v>2</v>
      </c>
      <c r="Y5783" t="s">
        <v>25498</v>
      </c>
      <c r="Z5783" t="s">
        <v>32113</v>
      </c>
      <c r="AA5783">
        <v>0.34888122764799939</v>
      </c>
      <c r="AB5783" t="str">
        <f>HYPERLINK("Melting_Curves/meltCurve_Q9HBI1_PARVB.pdf", "Melting_Curves/meltCurve_Q9HBI1_PARVB.pdf")</f>
        <v>Melting_Curves/meltCurve_Q9HBI1_PARVB.pdf</v>
      </c>
    </row>
    <row r="5784" spans="1:28" x14ac:dyDescent="0.25">
      <c r="A5784" t="s">
        <v>5788</v>
      </c>
      <c r="B5784">
        <v>0.99252571173614901</v>
      </c>
      <c r="C5784">
        <v>0.95778051271130504</v>
      </c>
      <c r="D5784">
        <v>0.89323613300573002</v>
      </c>
      <c r="E5784">
        <v>0.74380403522001404</v>
      </c>
      <c r="F5784">
        <v>0.642246802666678</v>
      </c>
      <c r="G5784">
        <v>0.53382920010537205</v>
      </c>
      <c r="H5784">
        <v>0.56503870785102095</v>
      </c>
      <c r="I5784">
        <v>0.78093162707395902</v>
      </c>
      <c r="J5784">
        <v>1.1614245855443599</v>
      </c>
      <c r="K5784">
        <v>1.2857735538639501</v>
      </c>
      <c r="L5784">
        <v>1944.0598222710601</v>
      </c>
      <c r="M5784">
        <v>43.049743003042103</v>
      </c>
      <c r="O5784">
        <v>45.061338568739103</v>
      </c>
      <c r="P5784">
        <v>-4.3626018632282999E-2</v>
      </c>
      <c r="Q5784">
        <v>0.81734212593466804</v>
      </c>
      <c r="R5784">
        <v>7.0942879516153606E-2</v>
      </c>
      <c r="S5784" t="s">
        <v>12430</v>
      </c>
      <c r="T5784" t="s">
        <v>13290</v>
      </c>
      <c r="U5784" t="s">
        <v>13290</v>
      </c>
      <c r="V5784" t="s">
        <v>13290</v>
      </c>
      <c r="W5784" t="s">
        <v>19023</v>
      </c>
      <c r="X5784">
        <v>3</v>
      </c>
      <c r="Y5784" t="s">
        <v>25499</v>
      </c>
      <c r="Z5784" t="s">
        <v>32114</v>
      </c>
      <c r="AA5784">
        <v>0.84926030088107918</v>
      </c>
      <c r="AB5784" t="str">
        <f>HYPERLINK("Melting_Curves/meltCurve_Q9HBL7_PLGRKT.pdf", "Melting_Curves/meltCurve_Q9HBL7_PLGRKT.pdf")</f>
        <v>Melting_Curves/meltCurve_Q9HBL7_PLGRKT.pdf</v>
      </c>
    </row>
    <row r="5785" spans="1:28" x14ac:dyDescent="0.25">
      <c r="A5785" t="s">
        <v>5789</v>
      </c>
      <c r="B5785">
        <v>0.99252571173614901</v>
      </c>
      <c r="C5785">
        <v>1.0360782523390799</v>
      </c>
      <c r="D5785">
        <v>0.84549945315636499</v>
      </c>
      <c r="E5785">
        <v>0.46275591820675999</v>
      </c>
      <c r="F5785">
        <v>0.17438390287092101</v>
      </c>
      <c r="G5785">
        <v>0.10705138452914</v>
      </c>
      <c r="H5785">
        <v>8.4411438494805702E-2</v>
      </c>
      <c r="I5785">
        <v>9.1242086886044002E-2</v>
      </c>
      <c r="J5785">
        <v>0.104611021978734</v>
      </c>
      <c r="K5785">
        <v>9.5301834026285795E-2</v>
      </c>
      <c r="L5785">
        <v>1363.4379719583201</v>
      </c>
      <c r="M5785">
        <v>27.892790009752002</v>
      </c>
      <c r="N5785">
        <v>49.239274390649697</v>
      </c>
      <c r="O5785">
        <v>48.632206563846303</v>
      </c>
      <c r="P5785">
        <v>-0.13023132588280301</v>
      </c>
      <c r="Q5785">
        <v>9.1753833045459698E-2</v>
      </c>
      <c r="R5785">
        <v>0.99746092817997001</v>
      </c>
      <c r="S5785" t="s">
        <v>12431</v>
      </c>
      <c r="T5785" t="s">
        <v>13290</v>
      </c>
      <c r="U5785" t="s">
        <v>13290</v>
      </c>
      <c r="V5785" t="s">
        <v>13290</v>
      </c>
      <c r="W5785" t="s">
        <v>19024</v>
      </c>
      <c r="X5785">
        <v>12</v>
      </c>
      <c r="Y5785" t="s">
        <v>25500</v>
      </c>
      <c r="Z5785" t="s">
        <v>32115</v>
      </c>
      <c r="AA5785">
        <v>0.3670516629258605</v>
      </c>
      <c r="AB5785" t="str">
        <f>HYPERLINK("Melting_Curves/meltCurve_Q9HBL8_NMRAL1.pdf", "Melting_Curves/meltCurve_Q9HBL8_NMRAL1.pdf")</f>
        <v>Melting_Curves/meltCurve_Q9HBL8_NMRAL1.pdf</v>
      </c>
    </row>
    <row r="5786" spans="1:28" x14ac:dyDescent="0.25">
      <c r="A5786" t="s">
        <v>5790</v>
      </c>
      <c r="B5786">
        <v>0.99252571173614901</v>
      </c>
      <c r="C5786">
        <v>0.90370711123131198</v>
      </c>
      <c r="D5786">
        <v>0.54603850457354597</v>
      </c>
      <c r="E5786">
        <v>0.25429680702603003</v>
      </c>
      <c r="F5786">
        <v>0.12684692412080301</v>
      </c>
      <c r="G5786">
        <v>9.0797542935398198E-2</v>
      </c>
      <c r="H5786">
        <v>6.3107368327679395E-2</v>
      </c>
      <c r="I5786">
        <v>7.0740505432642403E-2</v>
      </c>
      <c r="J5786">
        <v>0.106711233932148</v>
      </c>
      <c r="K5786">
        <v>0.16328970162400899</v>
      </c>
      <c r="L5786">
        <v>1179.37614590931</v>
      </c>
      <c r="M5786">
        <v>25.5645955439152</v>
      </c>
      <c r="N5786">
        <v>46.536990571904603</v>
      </c>
      <c r="O5786">
        <v>45.8536741734667</v>
      </c>
      <c r="P5786">
        <v>-0.12551820572400901</v>
      </c>
      <c r="Q5786">
        <v>9.9473323481973602E-2</v>
      </c>
      <c r="R5786">
        <v>0.99277999357234303</v>
      </c>
      <c r="S5786" t="s">
        <v>12432</v>
      </c>
      <c r="T5786" t="s">
        <v>13290</v>
      </c>
      <c r="U5786" t="s">
        <v>13290</v>
      </c>
      <c r="V5786" t="s">
        <v>13290</v>
      </c>
      <c r="W5786" t="s">
        <v>19025</v>
      </c>
      <c r="X5786">
        <v>1</v>
      </c>
      <c r="Y5786" t="s">
        <v>25501</v>
      </c>
      <c r="Z5786" t="s">
        <v>32116</v>
      </c>
      <c r="AA5786">
        <v>0.29142966648576951</v>
      </c>
      <c r="AB5786" t="str">
        <f>HYPERLINK("Melting_Curves/meltCurve_Q9HBM1_SPC25.pdf", "Melting_Curves/meltCurve_Q9HBM1_SPC25.pdf")</f>
        <v>Melting_Curves/meltCurve_Q9HBM1_SPC25.pdf</v>
      </c>
    </row>
    <row r="5787" spans="1:28" x14ac:dyDescent="0.25">
      <c r="A5787" t="s">
        <v>5791</v>
      </c>
      <c r="B5787">
        <v>0.99252571173614901</v>
      </c>
      <c r="C5787">
        <v>0.93616555913015997</v>
      </c>
      <c r="D5787">
        <v>0.86814041622917704</v>
      </c>
      <c r="E5787">
        <v>0.75214989973777002</v>
      </c>
      <c r="F5787">
        <v>0.53102062766824298</v>
      </c>
      <c r="G5787">
        <v>0.47093780850649303</v>
      </c>
      <c r="H5787">
        <v>0.39658220499410701</v>
      </c>
      <c r="I5787">
        <v>0.38417629279038701</v>
      </c>
      <c r="J5787">
        <v>0.469797054424963</v>
      </c>
      <c r="K5787">
        <v>0.46861485809005898</v>
      </c>
      <c r="L5787">
        <v>908.85442960804301</v>
      </c>
      <c r="M5787">
        <v>18.314531797257299</v>
      </c>
      <c r="N5787">
        <v>55.1590086076489</v>
      </c>
      <c r="O5787">
        <v>49.044459742258397</v>
      </c>
      <c r="P5787">
        <v>-5.4112449122158797E-2</v>
      </c>
      <c r="Q5787">
        <v>0.42039585163678</v>
      </c>
      <c r="R5787">
        <v>0.97678463622147604</v>
      </c>
      <c r="S5787" t="s">
        <v>12433</v>
      </c>
      <c r="T5787" t="s">
        <v>13290</v>
      </c>
      <c r="U5787" t="s">
        <v>13290</v>
      </c>
      <c r="V5787" t="s">
        <v>13290</v>
      </c>
      <c r="W5787" t="s">
        <v>19026</v>
      </c>
      <c r="X5787">
        <v>5</v>
      </c>
      <c r="Y5787" t="s">
        <v>25502</v>
      </c>
      <c r="Z5787" t="s">
        <v>32117</v>
      </c>
      <c r="AA5787">
        <v>0.61595524371832766</v>
      </c>
      <c r="AB5787" t="str">
        <f>HYPERLINK("Melting_Curves/meltCurve_Q9HBM6_TAF9B.pdf", "Melting_Curves/meltCurve_Q9HBM6_TAF9B.pdf")</f>
        <v>Melting_Curves/meltCurve_Q9HBM6_TAF9B.pdf</v>
      </c>
    </row>
    <row r="5788" spans="1:28" x14ac:dyDescent="0.25">
      <c r="A5788" t="s">
        <v>5792</v>
      </c>
      <c r="B5788">
        <v>0.99252571173614901</v>
      </c>
      <c r="C5788">
        <v>1.05334244234217</v>
      </c>
      <c r="D5788">
        <v>0.97513215208280801</v>
      </c>
      <c r="E5788">
        <v>0.85828841859999505</v>
      </c>
      <c r="F5788">
        <v>0.324682369984506</v>
      </c>
      <c r="G5788">
        <v>0.194273962024089</v>
      </c>
      <c r="H5788">
        <v>9.4451253908428595E-2</v>
      </c>
      <c r="I5788">
        <v>9.9064641329092096E-2</v>
      </c>
      <c r="J5788">
        <v>0.110079198910258</v>
      </c>
      <c r="K5788">
        <v>9.9769690703794905E-2</v>
      </c>
      <c r="L5788">
        <v>1916.6599303681201</v>
      </c>
      <c r="M5788">
        <v>37.0730806303809</v>
      </c>
      <c r="N5788">
        <v>52.048428491391299</v>
      </c>
      <c r="O5788">
        <v>51.549766062572097</v>
      </c>
      <c r="P5788">
        <v>-0.16001089946977801</v>
      </c>
      <c r="Q5788">
        <v>0.11002791933813</v>
      </c>
      <c r="R5788">
        <v>0.99573406777772</v>
      </c>
      <c r="S5788" t="s">
        <v>12434</v>
      </c>
      <c r="T5788" t="s">
        <v>13290</v>
      </c>
      <c r="U5788" t="s">
        <v>13290</v>
      </c>
      <c r="V5788" t="s">
        <v>13290</v>
      </c>
      <c r="W5788" t="s">
        <v>19027</v>
      </c>
      <c r="X5788">
        <v>8</v>
      </c>
      <c r="Y5788" t="s">
        <v>25503</v>
      </c>
      <c r="Z5788" t="s">
        <v>32118</v>
      </c>
      <c r="AA5788">
        <v>0.46080668817129727</v>
      </c>
      <c r="AB5788" t="str">
        <f>HYPERLINK("Melting_Curves/meltCurve_Q9HBM8_AGPAT1.pdf", "Melting_Curves/meltCurve_Q9HBM8_AGPAT1.pdf")</f>
        <v>Melting_Curves/meltCurve_Q9HBM8_AGPAT1.pdf</v>
      </c>
    </row>
    <row r="5789" spans="1:28" x14ac:dyDescent="0.25">
      <c r="A5789" t="s">
        <v>5793</v>
      </c>
      <c r="B5789">
        <v>0.99252571173614901</v>
      </c>
      <c r="C5789">
        <v>0.96337277098039797</v>
      </c>
      <c r="D5789">
        <v>0.85588827990059202</v>
      </c>
      <c r="E5789">
        <v>0.78270103649435896</v>
      </c>
      <c r="F5789">
        <v>0.79737392722602696</v>
      </c>
      <c r="G5789">
        <v>0.50703537533802401</v>
      </c>
      <c r="H5789">
        <v>0.37595187899402899</v>
      </c>
      <c r="I5789">
        <v>0.455712815958073</v>
      </c>
      <c r="J5789">
        <v>0.45278669457290799</v>
      </c>
      <c r="K5789">
        <v>0.49616708379003199</v>
      </c>
      <c r="L5789">
        <v>700.356896097765</v>
      </c>
      <c r="M5789">
        <v>13.4219161200354</v>
      </c>
      <c r="N5789">
        <v>59.847136758897499</v>
      </c>
      <c r="O5789">
        <v>51.062619422043298</v>
      </c>
      <c r="P5789">
        <v>-3.87490691148498E-2</v>
      </c>
      <c r="Q5789">
        <v>0.41042088674056898</v>
      </c>
      <c r="R5789">
        <v>0.91688233975392897</v>
      </c>
      <c r="S5789" t="s">
        <v>12435</v>
      </c>
      <c r="T5789" t="s">
        <v>13290</v>
      </c>
      <c r="U5789" t="s">
        <v>13290</v>
      </c>
      <c r="V5789" t="s">
        <v>13290</v>
      </c>
      <c r="W5789" t="s">
        <v>19028</v>
      </c>
      <c r="X5789">
        <v>5</v>
      </c>
      <c r="Y5789" t="s">
        <v>25504</v>
      </c>
      <c r="Z5789" t="s">
        <v>32119</v>
      </c>
      <c r="AA5789">
        <v>0.66516893954399292</v>
      </c>
      <c r="AB5789" t="str">
        <f>HYPERLINK("Melting_Curves/meltCurve_Q9HBR0_SLC38A10.pdf", "Melting_Curves/meltCurve_Q9HBR0_SLC38A10.pdf")</f>
        <v>Melting_Curves/meltCurve_Q9HBR0_SLC38A10.pdf</v>
      </c>
    </row>
    <row r="5790" spans="1:28" x14ac:dyDescent="0.25">
      <c r="A5790" t="s">
        <v>5794</v>
      </c>
      <c r="B5790">
        <v>0.99252571173614901</v>
      </c>
      <c r="C5790">
        <v>1.0377485027911699</v>
      </c>
      <c r="D5790">
        <v>0.898887652337786</v>
      </c>
      <c r="E5790">
        <v>0.60632747367769402</v>
      </c>
      <c r="F5790">
        <v>0.49925263509386397</v>
      </c>
      <c r="G5790">
        <v>0.23814666123030101</v>
      </c>
      <c r="H5790">
        <v>0.122774521753715</v>
      </c>
      <c r="I5790">
        <v>9.6574352759340704E-2</v>
      </c>
      <c r="J5790">
        <v>6.6673574427038002E-2</v>
      </c>
      <c r="K5790">
        <v>5.8850380897364003E-2</v>
      </c>
      <c r="L5790">
        <v>779.45998081136202</v>
      </c>
      <c r="M5790">
        <v>14.993420144778</v>
      </c>
      <c r="N5790">
        <v>52.257504729442402</v>
      </c>
      <c r="O5790">
        <v>51.088309677946398</v>
      </c>
      <c r="P5790">
        <v>-7.0635839537480996E-2</v>
      </c>
      <c r="Q5790">
        <v>3.7364270379925298E-2</v>
      </c>
      <c r="R5790">
        <v>0.98853263975578998</v>
      </c>
      <c r="S5790" t="s">
        <v>12436</v>
      </c>
      <c r="T5790" t="s">
        <v>13290</v>
      </c>
      <c r="U5790" t="s">
        <v>13290</v>
      </c>
      <c r="V5790" t="s">
        <v>13290</v>
      </c>
      <c r="W5790" t="s">
        <v>19029</v>
      </c>
      <c r="X5790">
        <v>3</v>
      </c>
      <c r="Y5790" t="s">
        <v>25505</v>
      </c>
      <c r="Z5790" t="s">
        <v>32120</v>
      </c>
      <c r="AA5790">
        <v>0.44354070662641271</v>
      </c>
      <c r="AB5790" t="str">
        <f>HYPERLINK("Melting_Curves/meltCurve_Q9HBU6_ETNK1.pdf", "Melting_Curves/meltCurve_Q9HBU6_ETNK1.pdf")</f>
        <v>Melting_Curves/meltCurve_Q9HBU6_ETNK1.pdf</v>
      </c>
    </row>
    <row r="5791" spans="1:28" x14ac:dyDescent="0.25">
      <c r="A5791" t="s">
        <v>5795</v>
      </c>
      <c r="B5791">
        <v>0.99252571173614901</v>
      </c>
      <c r="C5791">
        <v>0.84457930651178903</v>
      </c>
      <c r="D5791">
        <v>0.74112650729232499</v>
      </c>
      <c r="E5791">
        <v>0.54664445206067502</v>
      </c>
      <c r="F5791">
        <v>0.69517310402903698</v>
      </c>
      <c r="G5791">
        <v>0.50974533563995394</v>
      </c>
      <c r="H5791">
        <v>0.365670217792679</v>
      </c>
      <c r="I5791">
        <v>0.41390734004235902</v>
      </c>
      <c r="J5791">
        <v>0.38179656368320097</v>
      </c>
      <c r="K5791">
        <v>0.195407532506471</v>
      </c>
      <c r="L5791">
        <v>296.33152637360303</v>
      </c>
      <c r="M5791">
        <v>5.2290716570193396</v>
      </c>
      <c r="N5791">
        <v>56.866587158372099</v>
      </c>
      <c r="O5791">
        <v>49.963485640112403</v>
      </c>
      <c r="P5791">
        <v>-2.6066299186589498E-2</v>
      </c>
      <c r="Q5791">
        <v>8.9569111474879694E-3</v>
      </c>
      <c r="R5791">
        <v>0.89716211966828696</v>
      </c>
      <c r="S5791" t="s">
        <v>12437</v>
      </c>
      <c r="T5791" t="s">
        <v>13290</v>
      </c>
      <c r="U5791" t="s">
        <v>13290</v>
      </c>
      <c r="V5791" t="s">
        <v>13290</v>
      </c>
      <c r="W5791" t="s">
        <v>19030</v>
      </c>
      <c r="X5791">
        <v>3</v>
      </c>
      <c r="Y5791" t="s">
        <v>25506</v>
      </c>
      <c r="Z5791" t="s">
        <v>32121</v>
      </c>
      <c r="AA5791">
        <v>0.56241696193891755</v>
      </c>
      <c r="AB5791" t="str">
        <f>HYPERLINK("Melting_Curves/meltCurve_Q9HC07_TMEM165.pdf", "Melting_Curves/meltCurve_Q9HC07_TMEM165.pdf")</f>
        <v>Melting_Curves/meltCurve_Q9HC07_TMEM165.pdf</v>
      </c>
    </row>
    <row r="5792" spans="1:28" x14ac:dyDescent="0.25">
      <c r="A5792" t="s">
        <v>5796</v>
      </c>
      <c r="B5792">
        <v>0.99252571173614901</v>
      </c>
      <c r="C5792">
        <v>0.97191546492051295</v>
      </c>
      <c r="D5792">
        <v>0.76606983778373094</v>
      </c>
      <c r="E5792">
        <v>0.37025234239061</v>
      </c>
      <c r="F5792">
        <v>0.21661714443378299</v>
      </c>
      <c r="G5792">
        <v>0.120862463865575</v>
      </c>
      <c r="H5792">
        <v>8.6340187327414802E-2</v>
      </c>
      <c r="I5792">
        <v>8.7780217434372906E-2</v>
      </c>
      <c r="J5792">
        <v>0.104886617496395</v>
      </c>
      <c r="K5792">
        <v>9.9143462381936207E-2</v>
      </c>
      <c r="L5792">
        <v>1136.0878684699101</v>
      </c>
      <c r="M5792">
        <v>23.646822430903601</v>
      </c>
      <c r="N5792">
        <v>48.488728685629901</v>
      </c>
      <c r="O5792">
        <v>47.704358512799899</v>
      </c>
      <c r="P5792">
        <v>-0.111844026763163</v>
      </c>
      <c r="Q5792">
        <v>9.74925736824475E-2</v>
      </c>
      <c r="R5792">
        <v>0.99796928123238704</v>
      </c>
      <c r="S5792" t="s">
        <v>12438</v>
      </c>
      <c r="T5792" t="s">
        <v>13290</v>
      </c>
      <c r="U5792" t="s">
        <v>13290</v>
      </c>
      <c r="V5792" t="s">
        <v>13290</v>
      </c>
      <c r="W5792" t="s">
        <v>19031</v>
      </c>
      <c r="X5792">
        <v>21</v>
      </c>
      <c r="Y5792" t="s">
        <v>25507</v>
      </c>
      <c r="Z5792" t="s">
        <v>32122</v>
      </c>
      <c r="AA5792">
        <v>0.34846148819231909</v>
      </c>
      <c r="AB5792" t="str">
        <f>HYPERLINK("Melting_Curves/meltCurve_Q9HC35_EML4.pdf", "Melting_Curves/meltCurve_Q9HC35_EML4.pdf")</f>
        <v>Melting_Curves/meltCurve_Q9HC35_EML4.pdf</v>
      </c>
    </row>
    <row r="5793" spans="1:28" x14ac:dyDescent="0.25">
      <c r="A5793" t="s">
        <v>5797</v>
      </c>
      <c r="B5793">
        <v>0.99252571173614901</v>
      </c>
      <c r="C5793">
        <v>0.99047589047453199</v>
      </c>
      <c r="D5793">
        <v>0.89531261834932596</v>
      </c>
      <c r="E5793">
        <v>0.87350030783020804</v>
      </c>
      <c r="F5793">
        <v>0.52340115493877304</v>
      </c>
      <c r="G5793">
        <v>0.22137400706475099</v>
      </c>
      <c r="H5793">
        <v>0.11805404344451401</v>
      </c>
      <c r="I5793">
        <v>0.134182939493911</v>
      </c>
      <c r="J5793">
        <v>0.14249352080904101</v>
      </c>
      <c r="K5793">
        <v>0.12694191089719301</v>
      </c>
      <c r="L5793">
        <v>1399.5743874145701</v>
      </c>
      <c r="M5793">
        <v>26.522148131437401</v>
      </c>
      <c r="N5793">
        <v>53.318124313687399</v>
      </c>
      <c r="O5793">
        <v>52.472761871594699</v>
      </c>
      <c r="P5793">
        <v>-0.111285954110311</v>
      </c>
      <c r="Q5793">
        <v>0.11931427885986801</v>
      </c>
      <c r="R5793">
        <v>0.99332612077730298</v>
      </c>
      <c r="S5793" t="s">
        <v>12439</v>
      </c>
      <c r="T5793" t="s">
        <v>13290</v>
      </c>
      <c r="U5793" t="s">
        <v>13290</v>
      </c>
      <c r="V5793" t="s">
        <v>13290</v>
      </c>
      <c r="W5793" t="s">
        <v>19032</v>
      </c>
      <c r="X5793">
        <v>9</v>
      </c>
      <c r="Y5793" t="s">
        <v>25508</v>
      </c>
      <c r="Z5793" t="s">
        <v>32123</v>
      </c>
      <c r="AA5793">
        <v>0.50142659777711895</v>
      </c>
      <c r="AB5793" t="str">
        <f>HYPERLINK("Melting_Curves/meltCurve_Q9HC36_RNMTL1.pdf", "Melting_Curves/meltCurve_Q9HC36_RNMTL1.pdf")</f>
        <v>Melting_Curves/meltCurve_Q9HC36_RNMTL1.pdf</v>
      </c>
    </row>
    <row r="5794" spans="1:28" x14ac:dyDescent="0.25">
      <c r="A5794" t="s">
        <v>5798</v>
      </c>
      <c r="B5794">
        <v>0.99252571173614901</v>
      </c>
      <c r="C5794">
        <v>1.0403308439280901</v>
      </c>
      <c r="D5794">
        <v>0.73374593883629002</v>
      </c>
      <c r="E5794">
        <v>0.25881525594849603</v>
      </c>
      <c r="F5794">
        <v>0.106462084422294</v>
      </c>
      <c r="G5794">
        <v>5.7024235523657499E-2</v>
      </c>
      <c r="H5794">
        <v>4.0714533891860402E-2</v>
      </c>
      <c r="I5794">
        <v>4.0541354198481802E-2</v>
      </c>
      <c r="J5794">
        <v>4.2181060290897902E-2</v>
      </c>
      <c r="K5794">
        <v>3.8317485773107902E-2</v>
      </c>
      <c r="L5794">
        <v>1475.87163066109</v>
      </c>
      <c r="M5794">
        <v>31.030819990004598</v>
      </c>
      <c r="N5794">
        <v>47.713542191263002</v>
      </c>
      <c r="O5794">
        <v>47.365260534548597</v>
      </c>
      <c r="P5794">
        <v>-0.15607425250538001</v>
      </c>
      <c r="Q5794">
        <v>4.70821555057356E-2</v>
      </c>
      <c r="R5794">
        <v>0.99588874360365098</v>
      </c>
      <c r="S5794" t="s">
        <v>12440</v>
      </c>
      <c r="T5794" t="s">
        <v>13290</v>
      </c>
      <c r="U5794" t="s">
        <v>13290</v>
      </c>
      <c r="V5794" t="s">
        <v>13290</v>
      </c>
      <c r="W5794" t="s">
        <v>19033</v>
      </c>
      <c r="X5794">
        <v>30</v>
      </c>
      <c r="Y5794" t="s">
        <v>25509</v>
      </c>
      <c r="Z5794" t="s">
        <v>32124</v>
      </c>
      <c r="AA5794">
        <v>0.29258950876158629</v>
      </c>
      <c r="AB5794" t="str">
        <f>HYPERLINK("Melting_Curves/meltCurve_Q9HC38_2_GLOD4.pdf", "Melting_Curves/meltCurve_Q9HC38_2_GLOD4.pdf")</f>
        <v>Melting_Curves/meltCurve_Q9HC38_2_GLOD4.pdf</v>
      </c>
    </row>
    <row r="5795" spans="1:28" x14ac:dyDescent="0.25">
      <c r="A5795" t="s">
        <v>5799</v>
      </c>
      <c r="B5795">
        <v>0.99252571173614901</v>
      </c>
      <c r="C5795">
        <v>0.98036678715820202</v>
      </c>
      <c r="D5795">
        <v>0.53773278925633305</v>
      </c>
      <c r="E5795">
        <v>0.335132930367672</v>
      </c>
      <c r="F5795">
        <v>0.19415787988765601</v>
      </c>
      <c r="G5795">
        <v>0.14930337189020201</v>
      </c>
      <c r="H5795">
        <v>0.15081853485383401</v>
      </c>
      <c r="I5795">
        <v>0.18541392669781501</v>
      </c>
      <c r="J5795">
        <v>0.30304155276985001</v>
      </c>
      <c r="K5795">
        <v>0.47230708397400101</v>
      </c>
      <c r="L5795">
        <v>2006.1179384745501</v>
      </c>
      <c r="M5795">
        <v>44.020522581657403</v>
      </c>
      <c r="N5795">
        <v>46.307962791110903</v>
      </c>
      <c r="O5795">
        <v>45.478585972676903</v>
      </c>
      <c r="P5795">
        <v>-0.18111887133837201</v>
      </c>
      <c r="Q5795">
        <v>0.25152923803945998</v>
      </c>
      <c r="R5795">
        <v>0.90894792474818897</v>
      </c>
      <c r="S5795" t="s">
        <v>12441</v>
      </c>
      <c r="T5795" t="s">
        <v>13290</v>
      </c>
      <c r="U5795" t="s">
        <v>13290</v>
      </c>
      <c r="V5795" t="s">
        <v>13290</v>
      </c>
      <c r="W5795" t="s">
        <v>19034</v>
      </c>
      <c r="X5795">
        <v>2</v>
      </c>
      <c r="Y5795" t="s">
        <v>25510</v>
      </c>
      <c r="Z5795" t="s">
        <v>32125</v>
      </c>
      <c r="AA5795">
        <v>0.39253933180234479</v>
      </c>
      <c r="AB5795" t="str">
        <f>HYPERLINK("Melting_Curves/meltCurve_Q9HC52_CBX8.pdf", "Melting_Curves/meltCurve_Q9HC52_CBX8.pdf")</f>
        <v>Melting_Curves/meltCurve_Q9HC52_CBX8.pdf</v>
      </c>
    </row>
    <row r="5796" spans="1:28" x14ac:dyDescent="0.25">
      <c r="A5796" t="s">
        <v>5800</v>
      </c>
      <c r="B5796">
        <v>0.99252571173614901</v>
      </c>
      <c r="C5796">
        <v>0.95889134090429995</v>
      </c>
      <c r="D5796">
        <v>1.03031061497034</v>
      </c>
      <c r="E5796">
        <v>1.0752934256903499</v>
      </c>
      <c r="F5796">
        <v>1.30433922750118</v>
      </c>
      <c r="G5796">
        <v>0.89994999307460299</v>
      </c>
      <c r="H5796">
        <v>1.44749215990766</v>
      </c>
      <c r="I5796">
        <v>1.7976495980504199</v>
      </c>
      <c r="J5796">
        <v>1.6691718695911399</v>
      </c>
      <c r="K5796">
        <v>0.41465800368355799</v>
      </c>
      <c r="L5796">
        <v>1102.38017546073</v>
      </c>
      <c r="M5796">
        <v>21.540013566760202</v>
      </c>
      <c r="O5796">
        <v>50.743258623877701</v>
      </c>
      <c r="P5796">
        <v>2.9088592323992701E-2</v>
      </c>
      <c r="Q5796">
        <v>1.27409720674534</v>
      </c>
      <c r="R5796">
        <v>9.7462180816090399E-2</v>
      </c>
      <c r="S5796" t="s">
        <v>12442</v>
      </c>
      <c r="T5796" t="s">
        <v>13290</v>
      </c>
      <c r="U5796" t="s">
        <v>13290</v>
      </c>
      <c r="V5796" t="s">
        <v>13290</v>
      </c>
      <c r="W5796" t="s">
        <v>19035</v>
      </c>
      <c r="X5796">
        <v>33</v>
      </c>
      <c r="Y5796" t="s">
        <v>25511</v>
      </c>
      <c r="Z5796" t="s">
        <v>32126</v>
      </c>
      <c r="AA5796">
        <v>1.1686579599962299</v>
      </c>
      <c r="AB5796" t="str">
        <f>HYPERLINK("Melting_Curves/meltCurve_Q9HCC0_MCCC2.pdf", "Melting_Curves/meltCurve_Q9HCC0_MCCC2.pdf")</f>
        <v>Melting_Curves/meltCurve_Q9HCC0_MCCC2.pdf</v>
      </c>
    </row>
    <row r="5797" spans="1:28" x14ac:dyDescent="0.25">
      <c r="A5797" t="s">
        <v>5801</v>
      </c>
      <c r="B5797">
        <v>0.99252571173614901</v>
      </c>
      <c r="C5797">
        <v>0.99383107000297999</v>
      </c>
      <c r="D5797">
        <v>0.90749450198627502</v>
      </c>
      <c r="E5797">
        <v>0.701823337801322</v>
      </c>
      <c r="F5797">
        <v>0.20814719334999701</v>
      </c>
      <c r="G5797">
        <v>0.119715137509287</v>
      </c>
      <c r="H5797">
        <v>8.72613194419736E-2</v>
      </c>
      <c r="I5797">
        <v>8.3457423588567003E-2</v>
      </c>
      <c r="J5797">
        <v>0.116155468773892</v>
      </c>
      <c r="K5797">
        <v>0.114759605709826</v>
      </c>
      <c r="L5797">
        <v>1756.53070443161</v>
      </c>
      <c r="M5797">
        <v>34.801456502060802</v>
      </c>
      <c r="N5797">
        <v>50.789798146199203</v>
      </c>
      <c r="O5797">
        <v>50.307130212756</v>
      </c>
      <c r="P5797">
        <v>-0.156068906719838</v>
      </c>
      <c r="Q5797">
        <v>9.7583797505419095E-2</v>
      </c>
      <c r="R5797">
        <v>0.996186023988053</v>
      </c>
      <c r="S5797" t="s">
        <v>12443</v>
      </c>
      <c r="T5797" t="s">
        <v>13290</v>
      </c>
      <c r="U5797" t="s">
        <v>13290</v>
      </c>
      <c r="V5797" t="s">
        <v>13290</v>
      </c>
      <c r="W5797" t="s">
        <v>19036</v>
      </c>
      <c r="X5797">
        <v>15</v>
      </c>
      <c r="Y5797" t="s">
        <v>25512</v>
      </c>
      <c r="Z5797" t="s">
        <v>32127</v>
      </c>
      <c r="AA5797">
        <v>0.41678425798938501</v>
      </c>
      <c r="AB5797" t="str">
        <f>HYPERLINK("Melting_Curves/meltCurve_Q9HCD5_NCOA5.pdf", "Melting_Curves/meltCurve_Q9HCD5_NCOA5.pdf")</f>
        <v>Melting_Curves/meltCurve_Q9HCD5_NCOA5.pdf</v>
      </c>
    </row>
    <row r="5798" spans="1:28" x14ac:dyDescent="0.25">
      <c r="A5798" t="s">
        <v>5802</v>
      </c>
      <c r="B5798">
        <v>0.99252571173614901</v>
      </c>
      <c r="C5798">
        <v>1.08101138673103</v>
      </c>
      <c r="D5798">
        <v>0.94338822833111602</v>
      </c>
      <c r="E5798">
        <v>0.71479482561815799</v>
      </c>
      <c r="F5798">
        <v>0.34358677548711702</v>
      </c>
      <c r="G5798">
        <v>0.22556137084664199</v>
      </c>
      <c r="H5798">
        <v>0.21980037800921801</v>
      </c>
      <c r="I5798">
        <v>0.313636332502924</v>
      </c>
      <c r="J5798">
        <v>0.52446773754610598</v>
      </c>
      <c r="K5798">
        <v>0.455063129912816</v>
      </c>
      <c r="L5798">
        <v>3111.7019771895698</v>
      </c>
      <c r="M5798">
        <v>62.491533050865002</v>
      </c>
      <c r="N5798">
        <v>50.745985758822499</v>
      </c>
      <c r="O5798">
        <v>49.743060935194599</v>
      </c>
      <c r="P5798">
        <v>-0.20565979320396999</v>
      </c>
      <c r="Q5798">
        <v>0.345182066216145</v>
      </c>
      <c r="R5798">
        <v>0.91266507717684797</v>
      </c>
      <c r="S5798" t="s">
        <v>12444</v>
      </c>
      <c r="T5798" t="s">
        <v>13290</v>
      </c>
      <c r="U5798" t="s">
        <v>13290</v>
      </c>
      <c r="V5798" t="s">
        <v>13290</v>
      </c>
      <c r="W5798" t="s">
        <v>19037</v>
      </c>
      <c r="X5798">
        <v>2</v>
      </c>
      <c r="Y5798" t="s">
        <v>25513</v>
      </c>
      <c r="Z5798" t="s">
        <v>32128</v>
      </c>
      <c r="AA5798">
        <v>0.55987668004209856</v>
      </c>
      <c r="AB5798" t="str">
        <f>HYPERLINK("Melting_Curves/meltCurve_Q9HCE0_2_EPG5.pdf", "Melting_Curves/meltCurve_Q9HCE0_2_EPG5.pdf")</f>
        <v>Melting_Curves/meltCurve_Q9HCE0_2_EPG5.pdf</v>
      </c>
    </row>
    <row r="5799" spans="1:28" x14ac:dyDescent="0.25">
      <c r="A5799" t="s">
        <v>5803</v>
      </c>
      <c r="B5799">
        <v>0.99252571173614901</v>
      </c>
      <c r="C5799">
        <v>0.88119896440765</v>
      </c>
      <c r="D5799">
        <v>0.852415034267335</v>
      </c>
      <c r="E5799">
        <v>0.66817236138454195</v>
      </c>
      <c r="F5799">
        <v>0.39928402696435</v>
      </c>
      <c r="G5799">
        <v>0.269915653262495</v>
      </c>
      <c r="H5799">
        <v>0.25268009955348297</v>
      </c>
      <c r="I5799">
        <v>0.26235379568997702</v>
      </c>
      <c r="J5799">
        <v>0.466996986067099</v>
      </c>
      <c r="K5799">
        <v>0.39989328296549598</v>
      </c>
      <c r="L5799">
        <v>1091.1345707294799</v>
      </c>
      <c r="M5799">
        <v>22.2873481490914</v>
      </c>
      <c r="N5799">
        <v>51.3566441366712</v>
      </c>
      <c r="O5799">
        <v>48.568555438536499</v>
      </c>
      <c r="P5799">
        <v>-7.76136947564533E-2</v>
      </c>
      <c r="Q5799">
        <v>0.32347189350070898</v>
      </c>
      <c r="R5799">
        <v>0.92226482253356001</v>
      </c>
      <c r="S5799" t="s">
        <v>12445</v>
      </c>
      <c r="T5799" t="s">
        <v>13290</v>
      </c>
      <c r="U5799" t="s">
        <v>13290</v>
      </c>
      <c r="V5799" t="s">
        <v>13290</v>
      </c>
      <c r="W5799" t="s">
        <v>19038</v>
      </c>
      <c r="X5799">
        <v>1</v>
      </c>
      <c r="Y5799" t="s">
        <v>25514</v>
      </c>
      <c r="Z5799" t="s">
        <v>32129</v>
      </c>
      <c r="AA5799">
        <v>0.53306811175485413</v>
      </c>
      <c r="AB5799" t="str">
        <f>HYPERLINK("Melting_Curves/meltCurve_Q9HCE1_MOV10.pdf", "Melting_Curves/meltCurve_Q9HCE1_MOV10.pdf")</f>
        <v>Melting_Curves/meltCurve_Q9HCE1_MOV10.pdf</v>
      </c>
    </row>
    <row r="5800" spans="1:28" x14ac:dyDescent="0.25">
      <c r="A5800" t="s">
        <v>5804</v>
      </c>
      <c r="B5800">
        <v>0.99252571173614901</v>
      </c>
      <c r="C5800">
        <v>1.0097914738206</v>
      </c>
      <c r="D5800">
        <v>0.93451336301583998</v>
      </c>
      <c r="E5800">
        <v>0.72773519399156095</v>
      </c>
      <c r="F5800">
        <v>0.27676039210036102</v>
      </c>
      <c r="G5800">
        <v>0.128044965794302</v>
      </c>
      <c r="H5800">
        <v>8.8615305961042598E-2</v>
      </c>
      <c r="I5800">
        <v>9.4804619235065404E-2</v>
      </c>
      <c r="J5800">
        <v>9.8388166988549602E-2</v>
      </c>
      <c r="K5800">
        <v>8.9259436822609201E-2</v>
      </c>
      <c r="L5800">
        <v>1542.44955851688</v>
      </c>
      <c r="M5800">
        <v>30.300854777633401</v>
      </c>
      <c r="N5800">
        <v>51.239328296923297</v>
      </c>
      <c r="O5800">
        <v>50.684317802695404</v>
      </c>
      <c r="P5800">
        <v>-0.13603541478136599</v>
      </c>
      <c r="Q5800">
        <v>8.9818592661913194E-2</v>
      </c>
      <c r="R5800">
        <v>0.999062762223769</v>
      </c>
      <c r="S5800" t="s">
        <v>12446</v>
      </c>
      <c r="T5800" t="s">
        <v>13290</v>
      </c>
      <c r="U5800" t="s">
        <v>13290</v>
      </c>
      <c r="V5800" t="s">
        <v>13290</v>
      </c>
      <c r="W5800" t="s">
        <v>19039</v>
      </c>
      <c r="X5800">
        <v>11</v>
      </c>
      <c r="Y5800" t="s">
        <v>25515</v>
      </c>
      <c r="Z5800" t="s">
        <v>32130</v>
      </c>
      <c r="AA5800">
        <v>0.42625460585013841</v>
      </c>
      <c r="AB5800" t="str">
        <f>HYPERLINK("Melting_Curves/meltCurve_Q9HCE5_METTL14.pdf", "Melting_Curves/meltCurve_Q9HCE5_METTL14.pdf")</f>
        <v>Melting_Curves/meltCurve_Q9HCE5_METTL14.pdf</v>
      </c>
    </row>
    <row r="5801" spans="1:28" x14ac:dyDescent="0.25">
      <c r="A5801" t="s">
        <v>5805</v>
      </c>
      <c r="B5801">
        <v>0.99252571173614901</v>
      </c>
      <c r="C5801">
        <v>0.96489395061891303</v>
      </c>
      <c r="D5801">
        <v>0.87926095734854404</v>
      </c>
      <c r="E5801">
        <v>0.72632594268794703</v>
      </c>
      <c r="F5801">
        <v>0.37771162125282598</v>
      </c>
      <c r="G5801">
        <v>0.21480031555448301</v>
      </c>
      <c r="H5801">
        <v>0.14232968034542801</v>
      </c>
      <c r="I5801">
        <v>0.13309631676332301</v>
      </c>
      <c r="J5801">
        <v>0.176281350297431</v>
      </c>
      <c r="K5801">
        <v>0.205954525588743</v>
      </c>
      <c r="L5801">
        <v>1146.49717682716</v>
      </c>
      <c r="M5801">
        <v>22.539174847686699</v>
      </c>
      <c r="N5801">
        <v>51.710451001557097</v>
      </c>
      <c r="O5801">
        <v>50.471528140773401</v>
      </c>
      <c r="P5801">
        <v>-9.4470202107589496E-2</v>
      </c>
      <c r="Q5801">
        <v>0.15383614588238101</v>
      </c>
      <c r="R5801">
        <v>0.99260265004128401</v>
      </c>
      <c r="S5801" t="s">
        <v>12447</v>
      </c>
      <c r="T5801" t="s">
        <v>13290</v>
      </c>
      <c r="U5801" t="s">
        <v>13290</v>
      </c>
      <c r="V5801" t="s">
        <v>13290</v>
      </c>
      <c r="W5801" t="s">
        <v>19040</v>
      </c>
      <c r="X5801">
        <v>6</v>
      </c>
      <c r="Y5801" t="s">
        <v>25516</v>
      </c>
      <c r="Z5801" t="s">
        <v>32131</v>
      </c>
      <c r="AA5801">
        <v>0.46969033826319001</v>
      </c>
      <c r="AB5801" t="str">
        <f>HYPERLINK("Melting_Curves/meltCurve_Q9HCG7_GBA2.pdf", "Melting_Curves/meltCurve_Q9HCG7_GBA2.pdf")</f>
        <v>Melting_Curves/meltCurve_Q9HCG7_GBA2.pdf</v>
      </c>
    </row>
    <row r="5802" spans="1:28" x14ac:dyDescent="0.25">
      <c r="A5802" t="s">
        <v>5806</v>
      </c>
      <c r="B5802">
        <v>0.99252571173614901</v>
      </c>
      <c r="C5802">
        <v>0.90215598716902801</v>
      </c>
      <c r="D5802">
        <v>0.62667268357869599</v>
      </c>
      <c r="E5802">
        <v>0.29649856706140898</v>
      </c>
      <c r="F5802">
        <v>0.18016931816189299</v>
      </c>
      <c r="G5802">
        <v>7.74235315587114E-2</v>
      </c>
      <c r="H5802">
        <v>6.09146725138833E-2</v>
      </c>
      <c r="I5802">
        <v>6.62519709486106E-2</v>
      </c>
      <c r="J5802">
        <v>8.6164381922692407E-2</v>
      </c>
      <c r="K5802">
        <v>7.5721564167992403E-2</v>
      </c>
      <c r="L5802">
        <v>986.11078885265897</v>
      </c>
      <c r="M5802">
        <v>20.987722804521901</v>
      </c>
      <c r="N5802">
        <v>47.330623764754002</v>
      </c>
      <c r="O5802">
        <v>46.564804683905898</v>
      </c>
      <c r="P5802">
        <v>-0.104680170113973</v>
      </c>
      <c r="Q5802">
        <v>7.1022499930648894E-2</v>
      </c>
      <c r="R5802">
        <v>0.99773614136459798</v>
      </c>
      <c r="S5802" t="s">
        <v>12448</v>
      </c>
      <c r="T5802" t="s">
        <v>13290</v>
      </c>
      <c r="U5802" t="s">
        <v>13290</v>
      </c>
      <c r="V5802" t="s">
        <v>13290</v>
      </c>
      <c r="W5802" t="s">
        <v>19041</v>
      </c>
      <c r="X5802">
        <v>4</v>
      </c>
      <c r="Y5802" t="s">
        <v>25517</v>
      </c>
      <c r="Z5802" t="s">
        <v>32132</v>
      </c>
      <c r="AA5802">
        <v>0.29955254825360228</v>
      </c>
      <c r="AB5802" t="str">
        <f>HYPERLINK("Melting_Curves/meltCurve_Q9HCJ3_2_RAVER2.pdf", "Melting_Curves/meltCurve_Q9HCJ3_2_RAVER2.pdf")</f>
        <v>Melting_Curves/meltCurve_Q9HCJ3_2_RAVER2.pdf</v>
      </c>
    </row>
    <row r="5803" spans="1:28" x14ac:dyDescent="0.25">
      <c r="A5803" t="s">
        <v>5807</v>
      </c>
      <c r="B5803">
        <v>0.99252571173614901</v>
      </c>
      <c r="C5803">
        <v>0.83050119925135002</v>
      </c>
      <c r="D5803">
        <v>0.93203760520568402</v>
      </c>
      <c r="E5803">
        <v>0.87589636796765402</v>
      </c>
      <c r="F5803">
        <v>0.80865774083743402</v>
      </c>
      <c r="G5803">
        <v>0.63417341790861503</v>
      </c>
      <c r="H5803">
        <v>0.43757264366735499</v>
      </c>
      <c r="I5803">
        <v>0.34140302779474202</v>
      </c>
      <c r="J5803">
        <v>0.308558930915663</v>
      </c>
      <c r="K5803">
        <v>0.19021698016364899</v>
      </c>
      <c r="L5803">
        <v>546.17504557665302</v>
      </c>
      <c r="M5803">
        <v>9.1143156401968799</v>
      </c>
      <c r="N5803">
        <v>59.924961349911797</v>
      </c>
      <c r="O5803">
        <v>57.251574767986199</v>
      </c>
      <c r="P5803">
        <v>-3.9826978816971198E-2</v>
      </c>
      <c r="Q5803">
        <v>0</v>
      </c>
      <c r="R5803">
        <v>0.96627444730245804</v>
      </c>
      <c r="S5803" t="s">
        <v>12449</v>
      </c>
      <c r="T5803" t="s">
        <v>13290</v>
      </c>
      <c r="U5803" t="s">
        <v>13290</v>
      </c>
      <c r="V5803" t="s">
        <v>13290</v>
      </c>
      <c r="W5803" t="s">
        <v>19042</v>
      </c>
      <c r="X5803">
        <v>4</v>
      </c>
      <c r="Y5803" t="s">
        <v>25518</v>
      </c>
      <c r="Z5803" t="s">
        <v>32133</v>
      </c>
      <c r="AA5803">
        <v>0.65662914359432289</v>
      </c>
      <c r="AB5803" t="str">
        <f>HYPERLINK("Melting_Curves/meltCurve_Q9HCN3_TMEM8A.pdf", "Melting_Curves/meltCurve_Q9HCN3_TMEM8A.pdf")</f>
        <v>Melting_Curves/meltCurve_Q9HCN3_TMEM8A.pdf</v>
      </c>
    </row>
    <row r="5804" spans="1:28" x14ac:dyDescent="0.25">
      <c r="A5804" t="s">
        <v>5808</v>
      </c>
      <c r="B5804">
        <v>0.99252571173614901</v>
      </c>
      <c r="C5804">
        <v>1.0298719855223899</v>
      </c>
      <c r="D5804">
        <v>1.0509642925678</v>
      </c>
      <c r="E5804">
        <v>1.0756439768169701</v>
      </c>
      <c r="F5804">
        <v>1.0599797646097</v>
      </c>
      <c r="G5804">
        <v>0.86886066143765295</v>
      </c>
      <c r="H5804">
        <v>0.80592542960894797</v>
      </c>
      <c r="I5804">
        <v>1.0003498464984699</v>
      </c>
      <c r="J5804">
        <v>0.93698834340586501</v>
      </c>
      <c r="K5804">
        <v>0.37687470292541703</v>
      </c>
      <c r="L5804">
        <v>5182.2253814631704</v>
      </c>
      <c r="M5804">
        <v>74.534492752211094</v>
      </c>
      <c r="N5804">
        <v>69.527881525644702</v>
      </c>
      <c r="O5804">
        <v>69.477880040767104</v>
      </c>
      <c r="P5804">
        <v>-0.268195091944256</v>
      </c>
      <c r="Q5804">
        <v>0</v>
      </c>
      <c r="R5804">
        <v>0.82883645050326205</v>
      </c>
      <c r="S5804" t="s">
        <v>12450</v>
      </c>
      <c r="T5804" t="s">
        <v>13290</v>
      </c>
      <c r="U5804" t="s">
        <v>13290</v>
      </c>
      <c r="V5804" t="s">
        <v>13290</v>
      </c>
      <c r="W5804" t="s">
        <v>19043</v>
      </c>
      <c r="X5804">
        <v>8</v>
      </c>
      <c r="Y5804" t="s">
        <v>25519</v>
      </c>
      <c r="Z5804" t="s">
        <v>32134</v>
      </c>
      <c r="AA5804">
        <v>0.97025516071303186</v>
      </c>
      <c r="AB5804" t="str">
        <f>HYPERLINK("Melting_Curves/meltCurve_Q9HCN4_GPN1.pdf", "Melting_Curves/meltCurve_Q9HCN4_GPN1.pdf")</f>
        <v>Melting_Curves/meltCurve_Q9HCN4_GPN1.pdf</v>
      </c>
    </row>
    <row r="5805" spans="1:28" x14ac:dyDescent="0.25">
      <c r="A5805" t="s">
        <v>5809</v>
      </c>
      <c r="B5805">
        <v>0.99252571173614901</v>
      </c>
      <c r="C5805">
        <v>0.99996832533763003</v>
      </c>
      <c r="D5805">
        <v>1.0849018778939601</v>
      </c>
      <c r="E5805">
        <v>1.0455229502594401</v>
      </c>
      <c r="F5805">
        <v>0.65746563714984196</v>
      </c>
      <c r="G5805">
        <v>0.42144354021547797</v>
      </c>
      <c r="H5805">
        <v>0.32097190426194999</v>
      </c>
      <c r="I5805">
        <v>0.28026285833842601</v>
      </c>
      <c r="J5805">
        <v>0.30985954047113301</v>
      </c>
      <c r="K5805">
        <v>0.26980929166274997</v>
      </c>
      <c r="L5805">
        <v>2012.63525196358</v>
      </c>
      <c r="M5805">
        <v>37.5955082213883</v>
      </c>
      <c r="N5805">
        <v>54.8778740156637</v>
      </c>
      <c r="O5805">
        <v>53.383140764193698</v>
      </c>
      <c r="P5805">
        <v>-0.12309044337726401</v>
      </c>
      <c r="Q5805">
        <v>0.30088066609863401</v>
      </c>
      <c r="R5805">
        <v>0.98336729617690799</v>
      </c>
      <c r="S5805" t="s">
        <v>12451</v>
      </c>
      <c r="T5805" t="s">
        <v>13290</v>
      </c>
      <c r="U5805" t="s">
        <v>13290</v>
      </c>
      <c r="V5805" t="s">
        <v>13290</v>
      </c>
      <c r="W5805" t="s">
        <v>19044</v>
      </c>
      <c r="X5805">
        <v>3</v>
      </c>
      <c r="Y5805" t="s">
        <v>25520</v>
      </c>
      <c r="Z5805" t="s">
        <v>32135</v>
      </c>
      <c r="AA5805">
        <v>0.61919909931569306</v>
      </c>
      <c r="AB5805" t="str">
        <f>HYPERLINK("Melting_Curves/meltCurve_Q9HCN8_SDF2L1.pdf", "Melting_Curves/meltCurve_Q9HCN8_SDF2L1.pdf")</f>
        <v>Melting_Curves/meltCurve_Q9HCN8_SDF2L1.pdf</v>
      </c>
    </row>
    <row r="5806" spans="1:28" x14ac:dyDescent="0.25">
      <c r="A5806" t="s">
        <v>5810</v>
      </c>
      <c r="B5806">
        <v>0.99252571173614901</v>
      </c>
      <c r="C5806">
        <v>1.0354673547981199</v>
      </c>
      <c r="D5806">
        <v>0.94610257185557101</v>
      </c>
      <c r="E5806">
        <v>0.916073058582765</v>
      </c>
      <c r="F5806">
        <v>0.48613417757112998</v>
      </c>
      <c r="G5806">
        <v>0.26555186304098299</v>
      </c>
      <c r="H5806">
        <v>0.14804655227664301</v>
      </c>
      <c r="I5806">
        <v>0.10872978643440701</v>
      </c>
      <c r="J5806">
        <v>9.8454217918587605E-2</v>
      </c>
      <c r="K5806">
        <v>8.7442324052639298E-2</v>
      </c>
      <c r="L5806">
        <v>1404.5612321472499</v>
      </c>
      <c r="M5806">
        <v>26.526844355065499</v>
      </c>
      <c r="N5806">
        <v>53.417528095277198</v>
      </c>
      <c r="O5806">
        <v>52.6505108922142</v>
      </c>
      <c r="P5806">
        <v>-0.11287700873155899</v>
      </c>
      <c r="Q5806">
        <v>0.10385586907080301</v>
      </c>
      <c r="R5806">
        <v>0.99481795846716903</v>
      </c>
      <c r="S5806" t="s">
        <v>12452</v>
      </c>
      <c r="T5806" t="s">
        <v>13290</v>
      </c>
      <c r="U5806" t="s">
        <v>13290</v>
      </c>
      <c r="V5806" t="s">
        <v>13290</v>
      </c>
      <c r="W5806" t="s">
        <v>19045</v>
      </c>
      <c r="X5806">
        <v>6</v>
      </c>
      <c r="Y5806" t="s">
        <v>25521</v>
      </c>
      <c r="Z5806" t="s">
        <v>32136</v>
      </c>
      <c r="AA5806">
        <v>0.49802276442946958</v>
      </c>
      <c r="AB5806" t="str">
        <f>HYPERLINK("Melting_Curves/meltCurve_Q9HCP0_2_CSNK1G1.pdf", "Melting_Curves/meltCurve_Q9HCP0_2_CSNK1G1.pdf")</f>
        <v>Melting_Curves/meltCurve_Q9HCP0_2_CSNK1G1.pdf</v>
      </c>
    </row>
    <row r="5807" spans="1:28" x14ac:dyDescent="0.25">
      <c r="A5807" t="s">
        <v>5811</v>
      </c>
      <c r="B5807">
        <v>0.99252571173614901</v>
      </c>
      <c r="C5807">
        <v>0.92461414039463297</v>
      </c>
      <c r="D5807">
        <v>0.89472695948686098</v>
      </c>
      <c r="E5807">
        <v>0.62053267511083499</v>
      </c>
      <c r="F5807">
        <v>0.26340043366342503</v>
      </c>
      <c r="G5807">
        <v>0.16772034823180401</v>
      </c>
      <c r="H5807">
        <v>0.23651293257125999</v>
      </c>
      <c r="I5807">
        <v>0.142894437792667</v>
      </c>
      <c r="J5807">
        <v>0.13108874239565499</v>
      </c>
      <c r="K5807">
        <v>0.15662786591695399</v>
      </c>
      <c r="L5807">
        <v>1270.41175171242</v>
      </c>
      <c r="M5807">
        <v>25.5269085950526</v>
      </c>
      <c r="N5807">
        <v>50.500622509664801</v>
      </c>
      <c r="O5807">
        <v>49.465159539234797</v>
      </c>
      <c r="P5807">
        <v>-0.10904156991377199</v>
      </c>
      <c r="Q5807">
        <v>0.15482284536337501</v>
      </c>
      <c r="R5807">
        <v>0.98984528199027799</v>
      </c>
      <c r="S5807" t="s">
        <v>12453</v>
      </c>
      <c r="T5807" t="s">
        <v>13290</v>
      </c>
      <c r="U5807" t="s">
        <v>13290</v>
      </c>
      <c r="V5807" t="s">
        <v>13290</v>
      </c>
      <c r="W5807" t="s">
        <v>19046</v>
      </c>
      <c r="X5807">
        <v>5</v>
      </c>
      <c r="Y5807" t="s">
        <v>25522</v>
      </c>
      <c r="Z5807" t="s">
        <v>32137</v>
      </c>
      <c r="AA5807">
        <v>0.43722524606941893</v>
      </c>
      <c r="AB5807" t="str">
        <f>HYPERLINK("Melting_Curves/meltCurve_Q9HCR9_PDE11A.pdf", "Melting_Curves/meltCurve_Q9HCR9_PDE11A.pdf")</f>
        <v>Melting_Curves/meltCurve_Q9HCR9_PDE11A.pdf</v>
      </c>
    </row>
    <row r="5808" spans="1:28" x14ac:dyDescent="0.25">
      <c r="A5808" t="s">
        <v>5812</v>
      </c>
      <c r="B5808">
        <v>0.99252571173614901</v>
      </c>
      <c r="C5808">
        <v>0.94467835448582205</v>
      </c>
      <c r="D5808">
        <v>0.91781884093471799</v>
      </c>
      <c r="E5808">
        <v>0.941824184440478</v>
      </c>
      <c r="F5808">
        <v>0.533526684329931</v>
      </c>
      <c r="G5808">
        <v>0.33630123725545802</v>
      </c>
      <c r="H5808">
        <v>0.20988425789372001</v>
      </c>
      <c r="I5808">
        <v>0.19568959595926999</v>
      </c>
      <c r="J5808">
        <v>0.13845157833962099</v>
      </c>
      <c r="K5808">
        <v>9.9139309630697697E-2</v>
      </c>
      <c r="L5808">
        <v>1195.61101493706</v>
      </c>
      <c r="M5808">
        <v>22.402744726449399</v>
      </c>
      <c r="N5808">
        <v>54.158100939374997</v>
      </c>
      <c r="O5808">
        <v>52.949168131799503</v>
      </c>
      <c r="P5808">
        <v>-9.1047144858557499E-2</v>
      </c>
      <c r="Q5808">
        <v>0.13925361751013099</v>
      </c>
      <c r="R5808">
        <v>0.98572719672895903</v>
      </c>
      <c r="S5808" t="s">
        <v>12454</v>
      </c>
      <c r="T5808" t="s">
        <v>13290</v>
      </c>
      <c r="U5808" t="s">
        <v>13290</v>
      </c>
      <c r="V5808" t="s">
        <v>13290</v>
      </c>
      <c r="W5808" t="s">
        <v>19047</v>
      </c>
      <c r="X5808">
        <v>20</v>
      </c>
      <c r="Y5808" t="s">
        <v>25523</v>
      </c>
      <c r="Z5808" t="s">
        <v>32138</v>
      </c>
      <c r="AA5808">
        <v>0.53252757413992791</v>
      </c>
      <c r="AB5808" t="str">
        <f>HYPERLINK("Melting_Curves/meltCurve_Q9HCU5_PREB.pdf", "Melting_Curves/meltCurve_Q9HCU5_PREB.pdf")</f>
        <v>Melting_Curves/meltCurve_Q9HCU5_PREB.pdf</v>
      </c>
    </row>
    <row r="5809" spans="1:28" x14ac:dyDescent="0.25">
      <c r="A5809" t="s">
        <v>5813</v>
      </c>
      <c r="B5809">
        <v>0.99252571173614901</v>
      </c>
      <c r="C5809">
        <v>0.97233203437079996</v>
      </c>
      <c r="D5809">
        <v>0.98052948675587204</v>
      </c>
      <c r="E5809">
        <v>0.98741076278988904</v>
      </c>
      <c r="F5809">
        <v>0.87073858955888395</v>
      </c>
      <c r="G5809">
        <v>0.57890951385423695</v>
      </c>
      <c r="H5809">
        <v>0.35175152815321797</v>
      </c>
      <c r="I5809">
        <v>0.20404432526869801</v>
      </c>
      <c r="J5809">
        <v>0.25209035638967198</v>
      </c>
      <c r="K5809">
        <v>0.30867964648238599</v>
      </c>
      <c r="L5809">
        <v>1609.1699835151001</v>
      </c>
      <c r="M5809">
        <v>28.603463881828599</v>
      </c>
      <c r="N5809">
        <v>57.666360864382199</v>
      </c>
      <c r="O5809">
        <v>55.985045025035198</v>
      </c>
      <c r="P5809">
        <v>-9.56221507610686E-2</v>
      </c>
      <c r="Q5809">
        <v>0.25136783754674402</v>
      </c>
      <c r="R5809">
        <v>0.99091577690744503</v>
      </c>
      <c r="S5809" t="s">
        <v>12455</v>
      </c>
      <c r="T5809" t="s">
        <v>13290</v>
      </c>
      <c r="U5809" t="s">
        <v>13290</v>
      </c>
      <c r="V5809" t="s">
        <v>13290</v>
      </c>
      <c r="W5809" t="s">
        <v>19048</v>
      </c>
      <c r="X5809">
        <v>3</v>
      </c>
      <c r="Y5809" t="s">
        <v>25524</v>
      </c>
      <c r="Z5809" t="s">
        <v>32139</v>
      </c>
      <c r="AA5809">
        <v>0.66251379603253324</v>
      </c>
      <c r="AB5809" t="str">
        <f>HYPERLINK("Melting_Curves/meltCurve_Q9HCU8_POLD4.pdf", "Melting_Curves/meltCurve_Q9HCU8_POLD4.pdf")</f>
        <v>Melting_Curves/meltCurve_Q9HCU8_POLD4.pdf</v>
      </c>
    </row>
    <row r="5810" spans="1:28" x14ac:dyDescent="0.25">
      <c r="A5810" t="s">
        <v>5814</v>
      </c>
      <c r="B5810">
        <v>0.99252571173614901</v>
      </c>
      <c r="C5810">
        <v>1.0046496241129499</v>
      </c>
      <c r="D5810">
        <v>0.93448958012066197</v>
      </c>
      <c r="E5810">
        <v>0.96116124673041503</v>
      </c>
      <c r="F5810">
        <v>0.75928207181964902</v>
      </c>
      <c r="G5810">
        <v>0.66087324927842805</v>
      </c>
      <c r="H5810">
        <v>0.56343045496440602</v>
      </c>
      <c r="I5810">
        <v>0.66758811540272101</v>
      </c>
      <c r="J5810">
        <v>1.1424817001387499</v>
      </c>
      <c r="K5810">
        <v>1.0677413295041001</v>
      </c>
      <c r="L5810">
        <v>12467.326329772401</v>
      </c>
      <c r="M5810">
        <v>250</v>
      </c>
      <c r="O5810">
        <v>49.866114445011199</v>
      </c>
      <c r="P5810">
        <v>-0.23784586224610499</v>
      </c>
      <c r="Q5810">
        <v>0.81023281806862602</v>
      </c>
      <c r="R5810">
        <v>0.17843078293998901</v>
      </c>
      <c r="S5810" t="s">
        <v>12456</v>
      </c>
      <c r="T5810" t="s">
        <v>13290</v>
      </c>
      <c r="U5810" t="s">
        <v>13290</v>
      </c>
      <c r="V5810" t="s">
        <v>13290</v>
      </c>
      <c r="W5810" t="s">
        <v>19049</v>
      </c>
      <c r="X5810">
        <v>9</v>
      </c>
      <c r="Y5810" t="s">
        <v>25525</v>
      </c>
      <c r="Z5810" t="s">
        <v>32140</v>
      </c>
      <c r="AA5810">
        <v>0.87267843506561327</v>
      </c>
      <c r="AB5810" t="str">
        <f>HYPERLINK("Melting_Curves/meltCurve_Q9HCY8_S100A14.pdf", "Melting_Curves/meltCurve_Q9HCY8_S100A14.pdf")</f>
        <v>Melting_Curves/meltCurve_Q9HCY8_S100A14.pdf</v>
      </c>
    </row>
    <row r="5811" spans="1:28" x14ac:dyDescent="0.25">
      <c r="A5811" t="s">
        <v>5815</v>
      </c>
      <c r="B5811">
        <v>0.99252571173614901</v>
      </c>
      <c r="C5811">
        <v>1.1108647096792701</v>
      </c>
      <c r="D5811">
        <v>0.97941844572952297</v>
      </c>
      <c r="E5811">
        <v>0.83330047166917798</v>
      </c>
      <c r="F5811">
        <v>0.45953641467879103</v>
      </c>
      <c r="G5811">
        <v>0.23356147943818101</v>
      </c>
      <c r="H5811">
        <v>0.14084125342225301</v>
      </c>
      <c r="I5811">
        <v>0.13718631374922599</v>
      </c>
      <c r="J5811">
        <v>0.175183685566414</v>
      </c>
      <c r="K5811">
        <v>0.180515098434508</v>
      </c>
      <c r="L5811">
        <v>1502.49740344831</v>
      </c>
      <c r="M5811">
        <v>28.837474990859601</v>
      </c>
      <c r="N5811">
        <v>52.784726857363196</v>
      </c>
      <c r="O5811">
        <v>51.853631869052997</v>
      </c>
      <c r="P5811">
        <v>-0.117398105317941</v>
      </c>
      <c r="Q5811">
        <v>0.15561655283458301</v>
      </c>
      <c r="R5811">
        <v>0.98989786716264305</v>
      </c>
      <c r="S5811" t="s">
        <v>12457</v>
      </c>
      <c r="T5811" t="s">
        <v>13290</v>
      </c>
      <c r="U5811" t="s">
        <v>13290</v>
      </c>
      <c r="V5811" t="s">
        <v>13290</v>
      </c>
      <c r="W5811" t="s">
        <v>19050</v>
      </c>
      <c r="X5811">
        <v>11</v>
      </c>
      <c r="Y5811" t="s">
        <v>25526</v>
      </c>
      <c r="Z5811" t="s">
        <v>32141</v>
      </c>
      <c r="AA5811">
        <v>0.50209042779912605</v>
      </c>
      <c r="AB5811" t="str">
        <f>HYPERLINK("Melting_Curves/meltCurve_Q9HD15_SRA1.pdf", "Melting_Curves/meltCurve_Q9HD15_SRA1.pdf")</f>
        <v>Melting_Curves/meltCurve_Q9HD15_SRA1.pdf</v>
      </c>
    </row>
    <row r="5812" spans="1:28" x14ac:dyDescent="0.25">
      <c r="A5812" t="s">
        <v>5816</v>
      </c>
      <c r="B5812">
        <v>0.99252571173614901</v>
      </c>
      <c r="C5812">
        <v>0.87824110226282903</v>
      </c>
      <c r="D5812">
        <v>0.79925858843673303</v>
      </c>
      <c r="E5812">
        <v>0.68313687201343298</v>
      </c>
      <c r="F5812">
        <v>0.30745358967786601</v>
      </c>
      <c r="G5812">
        <v>8.0724576341392101E-2</v>
      </c>
      <c r="H5812">
        <v>5.1045090681943503E-2</v>
      </c>
      <c r="I5812">
        <v>5.3728436885718697E-2</v>
      </c>
      <c r="J5812">
        <v>7.30374388081306E-2</v>
      </c>
      <c r="K5812">
        <v>7.28132152154356E-2</v>
      </c>
      <c r="L5812">
        <v>905.85211243286506</v>
      </c>
      <c r="M5812">
        <v>17.9086291704734</v>
      </c>
      <c r="N5812">
        <v>50.759511511672898</v>
      </c>
      <c r="O5812">
        <v>49.963831200754797</v>
      </c>
      <c r="P5812">
        <v>-8.6890546644114205E-2</v>
      </c>
      <c r="Q5812">
        <v>3.03744793825362E-2</v>
      </c>
      <c r="R5812">
        <v>0.98166674507437002</v>
      </c>
      <c r="S5812" t="s">
        <v>12458</v>
      </c>
      <c r="T5812" t="s">
        <v>13290</v>
      </c>
      <c r="U5812" t="s">
        <v>13290</v>
      </c>
      <c r="V5812" t="s">
        <v>13290</v>
      </c>
      <c r="W5812" t="s">
        <v>19051</v>
      </c>
      <c r="X5812">
        <v>18</v>
      </c>
      <c r="Y5812" t="s">
        <v>25527</v>
      </c>
      <c r="Z5812" t="s">
        <v>32142</v>
      </c>
      <c r="AA5812">
        <v>0.38896191773042671</v>
      </c>
      <c r="AB5812" t="str">
        <f>HYPERLINK("Melting_Curves/meltCurve_Q9HD20_2_ATP13A1.pdf", "Melting_Curves/meltCurve_Q9HD20_2_ATP13A1.pdf")</f>
        <v>Melting_Curves/meltCurve_Q9HD20_2_ATP13A1.pdf</v>
      </c>
    </row>
    <row r="5813" spans="1:28" x14ac:dyDescent="0.25">
      <c r="A5813" t="s">
        <v>5817</v>
      </c>
      <c r="B5813">
        <v>0.99252571173614901</v>
      </c>
      <c r="C5813">
        <v>1.0387411169254299</v>
      </c>
      <c r="D5813">
        <v>0.95489631376808004</v>
      </c>
      <c r="E5813">
        <v>0.80807679738612603</v>
      </c>
      <c r="F5813">
        <v>0.67370933583907</v>
      </c>
      <c r="G5813">
        <v>0.44313841352618899</v>
      </c>
      <c r="H5813">
        <v>0.377650918925793</v>
      </c>
      <c r="I5813">
        <v>0.37164175015711498</v>
      </c>
      <c r="J5813">
        <v>0.47895003886794801</v>
      </c>
      <c r="K5813">
        <v>0.39048112458581002</v>
      </c>
      <c r="L5813">
        <v>1116.59319346807</v>
      </c>
      <c r="M5813">
        <v>21.482001986319599</v>
      </c>
      <c r="N5813">
        <v>55.988285771435798</v>
      </c>
      <c r="O5813">
        <v>51.533958315357197</v>
      </c>
      <c r="P5813">
        <v>-6.3293537661089999E-2</v>
      </c>
      <c r="Q5813">
        <v>0.39266636363174101</v>
      </c>
      <c r="R5813">
        <v>0.97599775218848195</v>
      </c>
      <c r="S5813" t="s">
        <v>12459</v>
      </c>
      <c r="T5813" t="s">
        <v>13290</v>
      </c>
      <c r="U5813" t="s">
        <v>13290</v>
      </c>
      <c r="V5813" t="s">
        <v>13290</v>
      </c>
      <c r="W5813" t="s">
        <v>19052</v>
      </c>
      <c r="X5813">
        <v>1</v>
      </c>
      <c r="Y5813" t="s">
        <v>25528</v>
      </c>
      <c r="Z5813" t="s">
        <v>32143</v>
      </c>
      <c r="AA5813">
        <v>0.64253642819212531</v>
      </c>
      <c r="AB5813" t="str">
        <f>HYPERLINK("Melting_Curves/meltCurve_Q9HD33_2_MRPL47.pdf", "Melting_Curves/meltCurve_Q9HD33_2_MRPL47.pdf")</f>
        <v>Melting_Curves/meltCurve_Q9HD33_2_MRPL47.pdf</v>
      </c>
    </row>
    <row r="5814" spans="1:28" x14ac:dyDescent="0.25">
      <c r="A5814" t="s">
        <v>5818</v>
      </c>
      <c r="B5814">
        <v>0.99252571173614901</v>
      </c>
      <c r="C5814">
        <v>0.95090687939674101</v>
      </c>
      <c r="D5814">
        <v>1.0690564004882199</v>
      </c>
      <c r="E5814">
        <v>1.02482815828197</v>
      </c>
      <c r="F5814">
        <v>0.80305579428424301</v>
      </c>
      <c r="G5814">
        <v>0.49158631531977398</v>
      </c>
      <c r="H5814">
        <v>0.31456855137378098</v>
      </c>
      <c r="I5814">
        <v>0.24847649092468699</v>
      </c>
      <c r="J5814">
        <v>0.216873598596868</v>
      </c>
      <c r="K5814">
        <v>0.150341678538191</v>
      </c>
      <c r="L5814">
        <v>1399.0575576746901</v>
      </c>
      <c r="M5814">
        <v>25.079048281071898</v>
      </c>
      <c r="N5814">
        <v>56.9032634249563</v>
      </c>
      <c r="O5814">
        <v>55.434852372702103</v>
      </c>
      <c r="P5814">
        <v>-9.1111565347762005E-2</v>
      </c>
      <c r="Q5814">
        <v>0.19443700566395899</v>
      </c>
      <c r="R5814">
        <v>0.98781062601423897</v>
      </c>
      <c r="S5814" t="s">
        <v>12460</v>
      </c>
      <c r="T5814" t="s">
        <v>13290</v>
      </c>
      <c r="U5814" t="s">
        <v>13290</v>
      </c>
      <c r="V5814" t="s">
        <v>13290</v>
      </c>
      <c r="W5814" t="s">
        <v>19053</v>
      </c>
      <c r="X5814">
        <v>4</v>
      </c>
      <c r="Y5814" t="s">
        <v>25529</v>
      </c>
      <c r="Z5814" t="s">
        <v>32144</v>
      </c>
      <c r="AA5814">
        <v>0.62569559754027393</v>
      </c>
      <c r="AB5814" t="str">
        <f>HYPERLINK("Melting_Curves/meltCurve_Q9HD34_LYRM4.pdf", "Melting_Curves/meltCurve_Q9HD34_LYRM4.pdf")</f>
        <v>Melting_Curves/meltCurve_Q9HD34_LYRM4.pdf</v>
      </c>
    </row>
    <row r="5815" spans="1:28" x14ac:dyDescent="0.25">
      <c r="A5815" t="s">
        <v>5819</v>
      </c>
      <c r="B5815">
        <v>0.99252571173614901</v>
      </c>
      <c r="C5815">
        <v>0.8187166719947</v>
      </c>
      <c r="D5815">
        <v>1.00932067205064</v>
      </c>
      <c r="E5815">
        <v>1.0712124233098701</v>
      </c>
      <c r="F5815">
        <v>1.0319215262800701</v>
      </c>
      <c r="G5815">
        <v>0.90627947967922096</v>
      </c>
      <c r="H5815">
        <v>0.94639995372863595</v>
      </c>
      <c r="I5815">
        <v>1.13648871137467</v>
      </c>
      <c r="J5815">
        <v>1.0158060462533001</v>
      </c>
      <c r="K5815">
        <v>0.35843013398232898</v>
      </c>
      <c r="L5815">
        <v>15000</v>
      </c>
      <c r="M5815">
        <v>214.86784723582301</v>
      </c>
      <c r="N5815">
        <v>69.810333217534406</v>
      </c>
      <c r="O5815">
        <v>69.804304318316795</v>
      </c>
      <c r="P5815">
        <v>-0.76953652767081804</v>
      </c>
      <c r="Q5815">
        <v>0</v>
      </c>
      <c r="R5815">
        <v>0.83821095945177604</v>
      </c>
      <c r="S5815" t="s">
        <v>12461</v>
      </c>
      <c r="T5815" t="s">
        <v>13290</v>
      </c>
      <c r="U5815" t="s">
        <v>13290</v>
      </c>
      <c r="V5815" t="s">
        <v>13290</v>
      </c>
      <c r="W5815" t="s">
        <v>19054</v>
      </c>
      <c r="X5815">
        <v>3</v>
      </c>
      <c r="Y5815" t="s">
        <v>25530</v>
      </c>
      <c r="Z5815" t="s">
        <v>32145</v>
      </c>
      <c r="AA5815">
        <v>0.98896004428599327</v>
      </c>
      <c r="AB5815" t="str">
        <f>HYPERLINK("Melting_Curves/meltCurve_Q9HD40_3_SEPSECS.pdf", "Melting_Curves/meltCurve_Q9HD40_3_SEPSECS.pdf")</f>
        <v>Melting_Curves/meltCurve_Q9HD40_3_SEPSECS.pdf</v>
      </c>
    </row>
    <row r="5816" spans="1:28" x14ac:dyDescent="0.25">
      <c r="A5816" t="s">
        <v>5820</v>
      </c>
      <c r="B5816">
        <v>0.99252571173614901</v>
      </c>
      <c r="C5816">
        <v>1.1879221775864299</v>
      </c>
      <c r="D5816">
        <v>1.0817076531072101</v>
      </c>
      <c r="E5816">
        <v>1.1337997617152999</v>
      </c>
      <c r="F5816">
        <v>0.71871385242475505</v>
      </c>
      <c r="G5816">
        <v>0.484334390734878</v>
      </c>
      <c r="H5816">
        <v>0.30113809936764502</v>
      </c>
      <c r="I5816">
        <v>0.31718073120694301</v>
      </c>
      <c r="J5816">
        <v>0.44223666429881198</v>
      </c>
      <c r="K5816">
        <v>0.49714503773851798</v>
      </c>
      <c r="L5816">
        <v>3463.2254260232598</v>
      </c>
      <c r="M5816">
        <v>64.929093631051501</v>
      </c>
      <c r="N5816">
        <v>54.7410807318292</v>
      </c>
      <c r="O5816">
        <v>53.288049413534097</v>
      </c>
      <c r="P5816">
        <v>-0.181164425455939</v>
      </c>
      <c r="Q5816">
        <v>0.40526533427906702</v>
      </c>
      <c r="R5816">
        <v>0.91543563202845202</v>
      </c>
      <c r="S5816" t="s">
        <v>12462</v>
      </c>
      <c r="T5816" t="s">
        <v>13290</v>
      </c>
      <c r="U5816" t="s">
        <v>13290</v>
      </c>
      <c r="V5816" t="s">
        <v>13290</v>
      </c>
      <c r="W5816" t="s">
        <v>13332</v>
      </c>
      <c r="X5816">
        <v>8</v>
      </c>
      <c r="Y5816" t="s">
        <v>19917</v>
      </c>
      <c r="Z5816" t="s">
        <v>32146</v>
      </c>
      <c r="AA5816">
        <v>0.67052368373631033</v>
      </c>
      <c r="AB5816" t="str">
        <f>HYPERLINK("Melting_Curves/meltCurve_Q9HD42_CHMP1A.pdf", "Melting_Curves/meltCurve_Q9HD42_CHMP1A.pdf")</f>
        <v>Melting_Curves/meltCurve_Q9HD42_CHMP1A.pdf</v>
      </c>
    </row>
    <row r="5817" spans="1:28" x14ac:dyDescent="0.25">
      <c r="A5817" t="s">
        <v>5821</v>
      </c>
      <c r="B5817">
        <v>0.99252571173614901</v>
      </c>
      <c r="C5817">
        <v>0.79791587871476</v>
      </c>
      <c r="D5817">
        <v>0.76777354346086402</v>
      </c>
      <c r="E5817">
        <v>0.59514122621397203</v>
      </c>
      <c r="F5817">
        <v>0.24964654199863401</v>
      </c>
      <c r="G5817">
        <v>0.13406316114524799</v>
      </c>
      <c r="H5817">
        <v>0.10269398529483301</v>
      </c>
      <c r="I5817">
        <v>0.10021203310266701</v>
      </c>
      <c r="J5817">
        <v>0.10988817416372799</v>
      </c>
      <c r="K5817">
        <v>9.1962869023120494E-2</v>
      </c>
      <c r="L5817">
        <v>720.32921416132797</v>
      </c>
      <c r="M5817">
        <v>14.6120993413709</v>
      </c>
      <c r="N5817">
        <v>49.741879115242902</v>
      </c>
      <c r="O5817">
        <v>48.401066080415802</v>
      </c>
      <c r="P5817">
        <v>-7.0856619862237902E-2</v>
      </c>
      <c r="Q5817">
        <v>6.1284204387235398E-2</v>
      </c>
      <c r="R5817">
        <v>0.97746045625705402</v>
      </c>
      <c r="S5817" t="s">
        <v>12463</v>
      </c>
      <c r="T5817" t="s">
        <v>13290</v>
      </c>
      <c r="U5817" t="s">
        <v>13290</v>
      </c>
      <c r="V5817" t="s">
        <v>13290</v>
      </c>
      <c r="W5817" t="s">
        <v>19055</v>
      </c>
      <c r="X5817">
        <v>4</v>
      </c>
      <c r="Y5817" t="s">
        <v>25531</v>
      </c>
      <c r="Z5817" t="s">
        <v>32147</v>
      </c>
      <c r="AA5817">
        <v>0.37623622542049601</v>
      </c>
      <c r="AB5817" t="str">
        <f>HYPERLINK("Melting_Curves/meltCurve_Q9HD45_TM9SF3.pdf", "Melting_Curves/meltCurve_Q9HD45_TM9SF3.pdf")</f>
        <v>Melting_Curves/meltCurve_Q9HD45_TM9SF3.pdf</v>
      </c>
    </row>
    <row r="5818" spans="1:28" x14ac:dyDescent="0.25">
      <c r="A5818" t="s">
        <v>5822</v>
      </c>
      <c r="B5818">
        <v>0.99252571173614901</v>
      </c>
      <c r="C5818">
        <v>1.0692953411255</v>
      </c>
      <c r="D5818">
        <v>0.98270944985397002</v>
      </c>
      <c r="E5818">
        <v>0.93060769248059205</v>
      </c>
      <c r="F5818">
        <v>0.69684664427095</v>
      </c>
      <c r="G5818">
        <v>0.38538794102692497</v>
      </c>
      <c r="H5818">
        <v>0.15417535734040499</v>
      </c>
      <c r="I5818">
        <v>0.111092165743974</v>
      </c>
      <c r="J5818">
        <v>0.12515771226551201</v>
      </c>
      <c r="K5818">
        <v>0.135323278421903</v>
      </c>
      <c r="L5818">
        <v>1344.18802084966</v>
      </c>
      <c r="M5818">
        <v>24.564426825684102</v>
      </c>
      <c r="N5818">
        <v>55.266163921040899</v>
      </c>
      <c r="O5818">
        <v>54.362147033674603</v>
      </c>
      <c r="P5818">
        <v>-0.10081194449571999</v>
      </c>
      <c r="Q5818">
        <v>0.107608193198779</v>
      </c>
      <c r="R5818">
        <v>0.99536203282871405</v>
      </c>
      <c r="S5818" t="s">
        <v>12464</v>
      </c>
      <c r="T5818" t="s">
        <v>13290</v>
      </c>
      <c r="U5818" t="s">
        <v>13290</v>
      </c>
      <c r="V5818" t="s">
        <v>13290</v>
      </c>
      <c r="W5818" t="s">
        <v>19056</v>
      </c>
      <c r="X5818">
        <v>5</v>
      </c>
      <c r="Y5818" t="s">
        <v>25532</v>
      </c>
      <c r="Z5818" t="s">
        <v>32148</v>
      </c>
      <c r="AA5818">
        <v>0.5540247377063966</v>
      </c>
      <c r="AB5818" t="str">
        <f>HYPERLINK("Melting_Curves/meltCurve_Q9HD47_2_RANGRF.pdf", "Melting_Curves/meltCurve_Q9HD47_2_RANGRF.pdf")</f>
        <v>Melting_Curves/meltCurve_Q9HD47_2_RANGRF.pdf</v>
      </c>
    </row>
    <row r="5819" spans="1:28" x14ac:dyDescent="0.25">
      <c r="A5819" t="s">
        <v>5823</v>
      </c>
      <c r="B5819">
        <v>0.99252571173614901</v>
      </c>
      <c r="C5819">
        <v>0.70632372072108196</v>
      </c>
      <c r="D5819">
        <v>0.47777457166903398</v>
      </c>
      <c r="E5819">
        <v>0.39972484215577497</v>
      </c>
      <c r="F5819">
        <v>0.30347980112297601</v>
      </c>
      <c r="G5819">
        <v>0.214218016882644</v>
      </c>
      <c r="H5819">
        <v>0.23397350752337101</v>
      </c>
      <c r="I5819">
        <v>0.23520124582965801</v>
      </c>
      <c r="J5819">
        <v>0.25459413036976197</v>
      </c>
      <c r="K5819">
        <v>0.27417097449309902</v>
      </c>
      <c r="L5819">
        <v>862.83700298131703</v>
      </c>
      <c r="M5819">
        <v>19.4542890600598</v>
      </c>
      <c r="N5819">
        <v>46.000524836773799</v>
      </c>
      <c r="O5819">
        <v>43.891367668176599</v>
      </c>
      <c r="P5819">
        <v>-8.2998633241803899E-2</v>
      </c>
      <c r="Q5819">
        <v>0.25100512974996297</v>
      </c>
      <c r="R5819">
        <v>0.97361925778153802</v>
      </c>
      <c r="S5819" t="s">
        <v>12465</v>
      </c>
      <c r="T5819" t="s">
        <v>13290</v>
      </c>
      <c r="U5819" t="s">
        <v>13290</v>
      </c>
      <c r="V5819" t="s">
        <v>13290</v>
      </c>
      <c r="W5819" t="s">
        <v>19057</v>
      </c>
      <c r="X5819">
        <v>4</v>
      </c>
      <c r="Y5819" t="s">
        <v>25533</v>
      </c>
      <c r="Z5819" t="s">
        <v>32149</v>
      </c>
      <c r="AA5819">
        <v>0.37435484294781007</v>
      </c>
      <c r="AB5819" t="str">
        <f>HYPERLINK("Melting_Curves/meltCurve_Q9HD67_MYO10.pdf", "Melting_Curves/meltCurve_Q9HD67_MYO10.pdf")</f>
        <v>Melting_Curves/meltCurve_Q9HD67_MYO10.pdf</v>
      </c>
    </row>
    <row r="5820" spans="1:28" x14ac:dyDescent="0.25">
      <c r="A5820" t="s">
        <v>5824</v>
      </c>
      <c r="B5820">
        <v>0.99252571173614901</v>
      </c>
      <c r="C5820">
        <v>0.98879577396324103</v>
      </c>
      <c r="D5820">
        <v>0.92191357807771601</v>
      </c>
      <c r="E5820">
        <v>0.64494100764018703</v>
      </c>
      <c r="F5820">
        <v>0.467516863776267</v>
      </c>
      <c r="G5820">
        <v>0.38839552026373603</v>
      </c>
      <c r="H5820">
        <v>0.38586174490693698</v>
      </c>
      <c r="I5820">
        <v>0.46009459179108397</v>
      </c>
      <c r="J5820">
        <v>0.561622884941129</v>
      </c>
      <c r="K5820">
        <v>0.45723666505551802</v>
      </c>
      <c r="L5820">
        <v>1668.59950343984</v>
      </c>
      <c r="M5820">
        <v>34.311266569032902</v>
      </c>
      <c r="N5820">
        <v>52.099452468361903</v>
      </c>
      <c r="O5820">
        <v>48.466914350211901</v>
      </c>
      <c r="P5820">
        <v>-9.7506327047620397E-2</v>
      </c>
      <c r="Q5820">
        <v>0.44906552232373598</v>
      </c>
      <c r="R5820">
        <v>0.96124307002589604</v>
      </c>
      <c r="S5820" t="s">
        <v>12466</v>
      </c>
      <c r="T5820" t="s">
        <v>13290</v>
      </c>
      <c r="U5820" t="s">
        <v>13290</v>
      </c>
      <c r="V5820" t="s">
        <v>13290</v>
      </c>
      <c r="W5820" t="s">
        <v>19058</v>
      </c>
      <c r="X5820">
        <v>12</v>
      </c>
      <c r="Y5820" t="s">
        <v>25534</v>
      </c>
      <c r="Z5820" t="s">
        <v>32150</v>
      </c>
      <c r="AA5820">
        <v>0.61010823041502271</v>
      </c>
      <c r="AB5820" t="str">
        <f>HYPERLINK("Melting_Curves/meltCurve_Q9HDC5_JPH1.pdf", "Melting_Curves/meltCurve_Q9HDC5_JPH1.pdf")</f>
        <v>Melting_Curves/meltCurve_Q9HDC5_JPH1.pdf</v>
      </c>
    </row>
    <row r="5821" spans="1:28" x14ac:dyDescent="0.25">
      <c r="A5821" t="s">
        <v>5825</v>
      </c>
      <c r="B5821">
        <v>0.99252571173614901</v>
      </c>
      <c r="C5821">
        <v>0.81336853843094503</v>
      </c>
      <c r="D5821">
        <v>0.90285837171223204</v>
      </c>
      <c r="E5821">
        <v>0.77636236621199795</v>
      </c>
      <c r="F5821">
        <v>0.70755351763667196</v>
      </c>
      <c r="G5821">
        <v>0.605426746720787</v>
      </c>
      <c r="H5821">
        <v>0.24380213299811901</v>
      </c>
      <c r="I5821">
        <v>0.118497190307829</v>
      </c>
      <c r="J5821">
        <v>0.11526215845120701</v>
      </c>
      <c r="K5821">
        <v>0.10243480608232999</v>
      </c>
      <c r="L5821">
        <v>666.48781307394097</v>
      </c>
      <c r="M5821">
        <v>11.812802661939401</v>
      </c>
      <c r="N5821">
        <v>56.420808631748599</v>
      </c>
      <c r="O5821">
        <v>54.876743421656997</v>
      </c>
      <c r="P5821">
        <v>-5.3828946391152301E-2</v>
      </c>
      <c r="Q5821">
        <v>0</v>
      </c>
      <c r="R5821">
        <v>0.94906330475881995</v>
      </c>
      <c r="S5821" t="s">
        <v>12467</v>
      </c>
      <c r="T5821" t="s">
        <v>13290</v>
      </c>
      <c r="U5821" t="s">
        <v>13290</v>
      </c>
      <c r="V5821" t="s">
        <v>13290</v>
      </c>
      <c r="W5821" t="s">
        <v>19059</v>
      </c>
      <c r="X5821">
        <v>25</v>
      </c>
      <c r="Y5821" t="s">
        <v>25535</v>
      </c>
      <c r="Z5821" t="s">
        <v>32151</v>
      </c>
      <c r="AA5821">
        <v>0.56637646593668856</v>
      </c>
      <c r="AB5821" t="str">
        <f>HYPERLINK("Melting_Curves/meltCurve_Q9HDC9_APMAP.pdf", "Melting_Curves/meltCurve_Q9HDC9_APMAP.pdf")</f>
        <v>Melting_Curves/meltCurve_Q9HDC9_APMAP.pdf</v>
      </c>
    </row>
    <row r="5822" spans="1:28" x14ac:dyDescent="0.25">
      <c r="A5822" t="s">
        <v>5826</v>
      </c>
      <c r="B5822">
        <v>0.99252571173614901</v>
      </c>
      <c r="C5822">
        <v>0.88489619456605095</v>
      </c>
      <c r="D5822">
        <v>0.92782426082886105</v>
      </c>
      <c r="E5822">
        <v>0.77237101935571095</v>
      </c>
      <c r="F5822">
        <v>0.35331200460491102</v>
      </c>
      <c r="G5822">
        <v>0.21162314986096301</v>
      </c>
      <c r="H5822">
        <v>0.195063137563631</v>
      </c>
      <c r="I5822">
        <v>0.13890584816523799</v>
      </c>
      <c r="J5822">
        <v>0.12958213215168901</v>
      </c>
      <c r="K5822">
        <v>0.147156038910811</v>
      </c>
      <c r="L5822">
        <v>1331.7522418005699</v>
      </c>
      <c r="M5822">
        <v>26.011556985286099</v>
      </c>
      <c r="N5822">
        <v>51.884703450520597</v>
      </c>
      <c r="O5822">
        <v>50.898751078732701</v>
      </c>
      <c r="P5822">
        <v>-0.10916749059064899</v>
      </c>
      <c r="Q5822">
        <v>0.14554517771068201</v>
      </c>
      <c r="R5822">
        <v>0.98682391445710105</v>
      </c>
      <c r="S5822" t="s">
        <v>12468</v>
      </c>
      <c r="T5822" t="s">
        <v>13290</v>
      </c>
      <c r="U5822" t="s">
        <v>13290</v>
      </c>
      <c r="V5822" t="s">
        <v>13290</v>
      </c>
      <c r="W5822" t="s">
        <v>19060</v>
      </c>
      <c r="X5822">
        <v>3</v>
      </c>
      <c r="Y5822" t="s">
        <v>25536</v>
      </c>
      <c r="Z5822" t="s">
        <v>32152</v>
      </c>
      <c r="AA5822">
        <v>0.47165410657955881</v>
      </c>
      <c r="AB5822" t="str">
        <f>HYPERLINK("Melting_Curves/meltCurve_Q9NNW5_WDR6.pdf", "Melting_Curves/meltCurve_Q9NNW5_WDR6.pdf")</f>
        <v>Melting_Curves/meltCurve_Q9NNW5_WDR6.pdf</v>
      </c>
    </row>
    <row r="5823" spans="1:28" x14ac:dyDescent="0.25">
      <c r="A5823" t="s">
        <v>5827</v>
      </c>
      <c r="B5823">
        <v>0.99252571173614901</v>
      </c>
      <c r="C5823">
        <v>0.87393114302869701</v>
      </c>
      <c r="D5823">
        <v>0.85044971251994295</v>
      </c>
      <c r="E5823">
        <v>0.69131130921588402</v>
      </c>
      <c r="F5823">
        <v>0.39162212019984899</v>
      </c>
      <c r="G5823">
        <v>0.171985967660779</v>
      </c>
      <c r="H5823">
        <v>0.16018129233518499</v>
      </c>
      <c r="I5823">
        <v>0.17422166842789599</v>
      </c>
      <c r="J5823">
        <v>0.20395982760459</v>
      </c>
      <c r="K5823">
        <v>0.213189605709353</v>
      </c>
      <c r="L5823">
        <v>968.31144308293597</v>
      </c>
      <c r="M5823">
        <v>19.242037100417299</v>
      </c>
      <c r="N5823">
        <v>51.378107516240803</v>
      </c>
      <c r="O5823">
        <v>49.788646480847397</v>
      </c>
      <c r="P5823">
        <v>-8.0848531012549504E-2</v>
      </c>
      <c r="Q5823">
        <v>0.16325152576580201</v>
      </c>
      <c r="R5823">
        <v>0.97782085191270196</v>
      </c>
      <c r="S5823" t="s">
        <v>12469</v>
      </c>
      <c r="T5823" t="s">
        <v>13290</v>
      </c>
      <c r="U5823" t="s">
        <v>13290</v>
      </c>
      <c r="V5823" t="s">
        <v>13290</v>
      </c>
      <c r="W5823" t="s">
        <v>19061</v>
      </c>
      <c r="X5823">
        <v>6</v>
      </c>
      <c r="Y5823" t="s">
        <v>25537</v>
      </c>
      <c r="Z5823" t="s">
        <v>32153</v>
      </c>
      <c r="AA5823">
        <v>0.46369836001818349</v>
      </c>
      <c r="AB5823" t="str">
        <f>HYPERLINK("Melting_Curves/meltCurve_Q9NP58_4_ABCB6.pdf", "Melting_Curves/meltCurve_Q9NP58_4_ABCB6.pdf")</f>
        <v>Melting_Curves/meltCurve_Q9NP58_4_ABCB6.pdf</v>
      </c>
    </row>
    <row r="5824" spans="1:28" x14ac:dyDescent="0.25">
      <c r="A5824" t="s">
        <v>5828</v>
      </c>
      <c r="B5824">
        <v>0.99252571173614901</v>
      </c>
      <c r="C5824">
        <v>1.1462083471856399</v>
      </c>
      <c r="D5824">
        <v>1.2903951377195599</v>
      </c>
      <c r="E5824">
        <v>1.6924893531808101</v>
      </c>
      <c r="F5824">
        <v>1.4832609976728399</v>
      </c>
      <c r="G5824">
        <v>1.0808092983506601</v>
      </c>
      <c r="H5824">
        <v>1.05827885185216</v>
      </c>
      <c r="I5824">
        <v>1.59498280293238</v>
      </c>
      <c r="J5824">
        <v>2.4397741516568199</v>
      </c>
      <c r="K5824">
        <v>2.90033866772671</v>
      </c>
      <c r="L5824">
        <v>1462.36293141902</v>
      </c>
      <c r="M5824">
        <v>32.727169055841699</v>
      </c>
      <c r="O5824">
        <v>44.517611045887101</v>
      </c>
      <c r="P5824">
        <v>9.1894308010590703E-2</v>
      </c>
      <c r="Q5824">
        <v>1.5</v>
      </c>
      <c r="R5824">
        <v>0.100620918184484</v>
      </c>
      <c r="S5824" t="s">
        <v>12470</v>
      </c>
      <c r="T5824" t="s">
        <v>13290</v>
      </c>
      <c r="U5824" t="s">
        <v>13290</v>
      </c>
      <c r="V5824" t="s">
        <v>13290</v>
      </c>
      <c r="W5824" t="s">
        <v>19062</v>
      </c>
      <c r="X5824">
        <v>6</v>
      </c>
      <c r="Y5824" t="s">
        <v>25538</v>
      </c>
      <c r="Z5824" t="s">
        <v>32154</v>
      </c>
      <c r="AA5824">
        <v>1.4192539884741531</v>
      </c>
      <c r="AB5824" t="str">
        <f>HYPERLINK("Melting_Curves/meltCurve_Q9NP66_HMG20A.pdf", "Melting_Curves/meltCurve_Q9NP66_HMG20A.pdf")</f>
        <v>Melting_Curves/meltCurve_Q9NP66_HMG20A.pdf</v>
      </c>
    </row>
    <row r="5825" spans="1:28" x14ac:dyDescent="0.25">
      <c r="A5825" t="s">
        <v>5829</v>
      </c>
      <c r="B5825">
        <v>0.99252571173614901</v>
      </c>
      <c r="C5825">
        <v>0.95560475542869505</v>
      </c>
      <c r="D5825">
        <v>0.874836780711721</v>
      </c>
      <c r="E5825">
        <v>0.82456772753581198</v>
      </c>
      <c r="F5825">
        <v>0.68249609447440396</v>
      </c>
      <c r="G5825">
        <v>0.57438976344465298</v>
      </c>
      <c r="H5825">
        <v>0.41763263874075901</v>
      </c>
      <c r="I5825">
        <v>0.30450098038975398</v>
      </c>
      <c r="J5825">
        <v>0.180016895109431</v>
      </c>
      <c r="K5825">
        <v>0.15612017099477199</v>
      </c>
      <c r="L5825">
        <v>531.961609671872</v>
      </c>
      <c r="M5825">
        <v>9.1819625289777207</v>
      </c>
      <c r="N5825">
        <v>57.935502131315197</v>
      </c>
      <c r="O5825">
        <v>55.3860691755212</v>
      </c>
      <c r="P5825">
        <v>-4.1473170958434002E-2</v>
      </c>
      <c r="Q5825">
        <v>0</v>
      </c>
      <c r="R5825">
        <v>0.99411814734197301</v>
      </c>
      <c r="S5825" t="s">
        <v>12471</v>
      </c>
      <c r="T5825" t="s">
        <v>13290</v>
      </c>
      <c r="U5825" t="s">
        <v>13290</v>
      </c>
      <c r="V5825" t="s">
        <v>13290</v>
      </c>
      <c r="W5825" t="s">
        <v>19063</v>
      </c>
      <c r="X5825">
        <v>14</v>
      </c>
      <c r="Y5825" t="s">
        <v>25539</v>
      </c>
      <c r="Z5825" t="s">
        <v>32155</v>
      </c>
      <c r="AA5825">
        <v>0.60617456119041213</v>
      </c>
      <c r="AB5825" t="str">
        <f>HYPERLINK("Melting_Curves/meltCurve_Q9NP72_RAB18.pdf", "Melting_Curves/meltCurve_Q9NP72_RAB18.pdf")</f>
        <v>Melting_Curves/meltCurve_Q9NP72_RAB18.pdf</v>
      </c>
    </row>
    <row r="5826" spans="1:28" x14ac:dyDescent="0.25">
      <c r="A5826" t="s">
        <v>5830</v>
      </c>
      <c r="B5826">
        <v>0.99252571173614901</v>
      </c>
      <c r="C5826">
        <v>1.0427164213048601</v>
      </c>
      <c r="D5826">
        <v>0.93136840013183497</v>
      </c>
      <c r="E5826">
        <v>0.69267923160159595</v>
      </c>
      <c r="F5826">
        <v>0.39322283233933603</v>
      </c>
      <c r="G5826">
        <v>0.22796971155021301</v>
      </c>
      <c r="H5826">
        <v>9.79327317025247E-2</v>
      </c>
      <c r="I5826">
        <v>6.9750241127842103E-2</v>
      </c>
      <c r="J5826">
        <v>7.2008194482718002E-2</v>
      </c>
      <c r="K5826">
        <v>7.26172342098243E-2</v>
      </c>
      <c r="L5826">
        <v>1008.38868809683</v>
      </c>
      <c r="M5826">
        <v>19.532804658097401</v>
      </c>
      <c r="N5826">
        <v>51.978803642058203</v>
      </c>
      <c r="O5826">
        <v>51.0934169204548</v>
      </c>
      <c r="P5826">
        <v>-8.96341659964148E-2</v>
      </c>
      <c r="Q5826">
        <v>6.2182361753410999E-2</v>
      </c>
      <c r="R5826">
        <v>0.99658100228302504</v>
      </c>
      <c r="S5826" t="s">
        <v>12472</v>
      </c>
      <c r="T5826" t="s">
        <v>13290</v>
      </c>
      <c r="U5826" t="s">
        <v>13290</v>
      </c>
      <c r="V5826" t="s">
        <v>13290</v>
      </c>
      <c r="W5826" t="s">
        <v>19064</v>
      </c>
      <c r="X5826">
        <v>3</v>
      </c>
      <c r="Y5826" t="s">
        <v>25540</v>
      </c>
      <c r="Z5826" t="s">
        <v>32156</v>
      </c>
      <c r="AA5826">
        <v>0.43916438748472381</v>
      </c>
      <c r="AB5826" t="str">
        <f>HYPERLINK("Melting_Curves/meltCurve_Q9NP73_2_ALG13.pdf", "Melting_Curves/meltCurve_Q9NP73_2_ALG13.pdf")</f>
        <v>Melting_Curves/meltCurve_Q9NP73_2_ALG13.pdf</v>
      </c>
    </row>
    <row r="5827" spans="1:28" x14ac:dyDescent="0.25">
      <c r="A5827" t="s">
        <v>5831</v>
      </c>
      <c r="B5827">
        <v>0.99252571173614901</v>
      </c>
      <c r="C5827">
        <v>1.00118859222376</v>
      </c>
      <c r="D5827">
        <v>0.74872185690232895</v>
      </c>
      <c r="E5827">
        <v>0.24951888849077</v>
      </c>
      <c r="F5827">
        <v>0.139206011514631</v>
      </c>
      <c r="G5827">
        <v>7.37327432365152E-2</v>
      </c>
      <c r="H5827">
        <v>4.7988847479982097E-2</v>
      </c>
      <c r="I5827">
        <v>4.4523058730100297E-2</v>
      </c>
      <c r="J5827">
        <v>5.36371357421212E-2</v>
      </c>
      <c r="K5827">
        <v>5.2699203512824699E-2</v>
      </c>
      <c r="L5827">
        <v>1478.5213304014301</v>
      </c>
      <c r="M5827">
        <v>31.1128691060634</v>
      </c>
      <c r="N5827">
        <v>47.717996293238699</v>
      </c>
      <c r="O5827">
        <v>47.326189972026</v>
      </c>
      <c r="P5827">
        <v>-0.154458344122126</v>
      </c>
      <c r="Q5827">
        <v>6.0210911758310101E-2</v>
      </c>
      <c r="R5827">
        <v>0.99731828876809403</v>
      </c>
      <c r="S5827" t="s">
        <v>12473</v>
      </c>
      <c r="T5827" t="s">
        <v>13290</v>
      </c>
      <c r="U5827" t="s">
        <v>13290</v>
      </c>
      <c r="V5827" t="s">
        <v>13290</v>
      </c>
      <c r="W5827" t="s">
        <v>19065</v>
      </c>
      <c r="X5827">
        <v>8</v>
      </c>
      <c r="Y5827" t="s">
        <v>25541</v>
      </c>
      <c r="Z5827" t="s">
        <v>32157</v>
      </c>
      <c r="AA5827">
        <v>0.30104410776185192</v>
      </c>
      <c r="AB5827" t="str">
        <f>HYPERLINK("Melting_Curves/meltCurve_Q9NP77_SSU72.pdf", "Melting_Curves/meltCurve_Q9NP77_SSU72.pdf")</f>
        <v>Melting_Curves/meltCurve_Q9NP77_SSU72.pdf</v>
      </c>
    </row>
    <row r="5828" spans="1:28" x14ac:dyDescent="0.25">
      <c r="A5828" t="s">
        <v>5832</v>
      </c>
      <c r="B5828">
        <v>0.99252571173614901</v>
      </c>
      <c r="C5828">
        <v>1.0327935907089301</v>
      </c>
      <c r="D5828">
        <v>0.93349491786063499</v>
      </c>
      <c r="E5828">
        <v>0.65455967662518999</v>
      </c>
      <c r="F5828">
        <v>0.30455518910470403</v>
      </c>
      <c r="G5828">
        <v>0.17467418441240701</v>
      </c>
      <c r="H5828">
        <v>0.138018515873187</v>
      </c>
      <c r="I5828">
        <v>0.137572779126031</v>
      </c>
      <c r="J5828">
        <v>0.18030112596703499</v>
      </c>
      <c r="K5828">
        <v>0.16431935590087501</v>
      </c>
      <c r="L5828">
        <v>1428.2893768767501</v>
      </c>
      <c r="M5828">
        <v>28.4178570376457</v>
      </c>
      <c r="N5828">
        <v>50.909678898843403</v>
      </c>
      <c r="O5828">
        <v>50.013377889846403</v>
      </c>
      <c r="P5828">
        <v>-0.120455977046022</v>
      </c>
      <c r="Q5828">
        <v>0.152031695144036</v>
      </c>
      <c r="R5828">
        <v>0.99750758689090901</v>
      </c>
      <c r="S5828" t="s">
        <v>12474</v>
      </c>
      <c r="T5828" t="s">
        <v>13290</v>
      </c>
      <c r="U5828" t="s">
        <v>13290</v>
      </c>
      <c r="V5828" t="s">
        <v>13290</v>
      </c>
      <c r="W5828" t="s">
        <v>19066</v>
      </c>
      <c r="X5828">
        <v>10</v>
      </c>
      <c r="Y5828" t="s">
        <v>25542</v>
      </c>
      <c r="Z5828" t="s">
        <v>32158</v>
      </c>
      <c r="AA5828">
        <v>0.44791987010896311</v>
      </c>
      <c r="AB5828" t="str">
        <f>HYPERLINK("Melting_Curves/meltCurve_Q9NP79_VTA1.pdf", "Melting_Curves/meltCurve_Q9NP79_VTA1.pdf")</f>
        <v>Melting_Curves/meltCurve_Q9NP79_VTA1.pdf</v>
      </c>
    </row>
    <row r="5829" spans="1:28" x14ac:dyDescent="0.25">
      <c r="A5829" t="s">
        <v>5833</v>
      </c>
      <c r="B5829">
        <v>0.99252571173614901</v>
      </c>
      <c r="C5829">
        <v>0.933975513889302</v>
      </c>
      <c r="D5829">
        <v>0.83144086628070202</v>
      </c>
      <c r="E5829">
        <v>0.83354474657954403</v>
      </c>
      <c r="F5829">
        <v>0.57048272762925401</v>
      </c>
      <c r="G5829">
        <v>0.21682443691749101</v>
      </c>
      <c r="H5829">
        <v>0.110333973356518</v>
      </c>
      <c r="I5829">
        <v>0.121341996113147</v>
      </c>
      <c r="J5829">
        <v>0.17492389262074901</v>
      </c>
      <c r="K5829">
        <v>0.17922629498482201</v>
      </c>
      <c r="L5829">
        <v>1166.73781883076</v>
      </c>
      <c r="M5829">
        <v>22.149816016377699</v>
      </c>
      <c r="N5829">
        <v>53.367441983982701</v>
      </c>
      <c r="O5829">
        <v>52.251117241533798</v>
      </c>
      <c r="P5829">
        <v>-9.27414824310418E-2</v>
      </c>
      <c r="Q5829">
        <v>0.124915399331604</v>
      </c>
      <c r="R5829">
        <v>0.97089367981425601</v>
      </c>
      <c r="S5829" t="s">
        <v>12475</v>
      </c>
      <c r="T5829" t="s">
        <v>13290</v>
      </c>
      <c r="U5829" t="s">
        <v>13290</v>
      </c>
      <c r="V5829" t="s">
        <v>13290</v>
      </c>
      <c r="W5829" t="s">
        <v>19067</v>
      </c>
      <c r="X5829">
        <v>8</v>
      </c>
      <c r="Y5829" t="s">
        <v>25543</v>
      </c>
      <c r="Z5829" t="s">
        <v>32159</v>
      </c>
      <c r="AA5829">
        <v>0.50469707777573325</v>
      </c>
      <c r="AB5829" t="str">
        <f>HYPERLINK("Melting_Curves/meltCurve_Q9NP80_3_PNPLA8.pdf", "Melting_Curves/meltCurve_Q9NP80_3_PNPLA8.pdf")</f>
        <v>Melting_Curves/meltCurve_Q9NP80_3_PNPLA8.pdf</v>
      </c>
    </row>
    <row r="5830" spans="1:28" x14ac:dyDescent="0.25">
      <c r="A5830" t="s">
        <v>5834</v>
      </c>
      <c r="B5830">
        <v>0.99252571173614901</v>
      </c>
      <c r="C5830">
        <v>0.92842891070914302</v>
      </c>
      <c r="D5830">
        <v>0.88319002145704395</v>
      </c>
      <c r="E5830">
        <v>0.77764323971368299</v>
      </c>
      <c r="F5830">
        <v>0.86493662913510605</v>
      </c>
      <c r="G5830">
        <v>0.70449161852123998</v>
      </c>
      <c r="H5830">
        <v>0.58280280813551799</v>
      </c>
      <c r="I5830">
        <v>0.69078747529266504</v>
      </c>
      <c r="J5830">
        <v>0.94740054208355495</v>
      </c>
      <c r="K5830">
        <v>0.86862080749636805</v>
      </c>
      <c r="L5830">
        <v>929.17129552413496</v>
      </c>
      <c r="M5830">
        <v>20.528769913672601</v>
      </c>
      <c r="O5830">
        <v>44.838980146745797</v>
      </c>
      <c r="P5830">
        <v>-2.6224505001252001E-2</v>
      </c>
      <c r="Q5830">
        <v>0.77088826420635104</v>
      </c>
      <c r="R5830">
        <v>0.376514293269544</v>
      </c>
      <c r="S5830" t="s">
        <v>12476</v>
      </c>
      <c r="T5830" t="s">
        <v>13290</v>
      </c>
      <c r="U5830" t="s">
        <v>13290</v>
      </c>
      <c r="V5830" t="s">
        <v>13290</v>
      </c>
      <c r="W5830" t="s">
        <v>19068</v>
      </c>
      <c r="X5830">
        <v>1</v>
      </c>
      <c r="Y5830" t="s">
        <v>25544</v>
      </c>
      <c r="Z5830" t="s">
        <v>32160</v>
      </c>
      <c r="AA5830">
        <v>0.81462264883616053</v>
      </c>
      <c r="AB5830" t="str">
        <f>HYPERLINK("Melting_Curves/meltCurve_Q9NP84_TNFRSF12A.pdf", "Melting_Curves/meltCurve_Q9NP84_TNFRSF12A.pdf")</f>
        <v>Melting_Curves/meltCurve_Q9NP84_TNFRSF12A.pdf</v>
      </c>
    </row>
    <row r="5831" spans="1:28" x14ac:dyDescent="0.25">
      <c r="A5831" t="s">
        <v>5835</v>
      </c>
      <c r="B5831">
        <v>0.99252571173614901</v>
      </c>
      <c r="C5831">
        <v>0.85210860645407305</v>
      </c>
      <c r="D5831">
        <v>0.49729138593269701</v>
      </c>
      <c r="E5831">
        <v>0.30413575566269502</v>
      </c>
      <c r="F5831">
        <v>0.13450517124491801</v>
      </c>
      <c r="G5831">
        <v>7.6897533477709598E-2</v>
      </c>
      <c r="H5831">
        <v>6.2111774625185301E-2</v>
      </c>
      <c r="I5831">
        <v>7.8890166975844195E-2</v>
      </c>
      <c r="J5831">
        <v>0.109438201547693</v>
      </c>
      <c r="K5831">
        <v>0.114292143980139</v>
      </c>
      <c r="L5831">
        <v>957.179646520706</v>
      </c>
      <c r="M5831">
        <v>20.817568206102202</v>
      </c>
      <c r="N5831">
        <v>46.408032900883001</v>
      </c>
      <c r="O5831">
        <v>45.561442360878601</v>
      </c>
      <c r="P5831">
        <v>-0.104241258876652</v>
      </c>
      <c r="Q5831">
        <v>8.7453398300271198E-2</v>
      </c>
      <c r="R5831">
        <v>0.99151984843065999</v>
      </c>
      <c r="S5831" t="s">
        <v>12477</v>
      </c>
      <c r="T5831" t="s">
        <v>13290</v>
      </c>
      <c r="U5831" t="s">
        <v>13290</v>
      </c>
      <c r="V5831" t="s">
        <v>13290</v>
      </c>
      <c r="W5831" t="s">
        <v>19069</v>
      </c>
      <c r="X5831">
        <v>2</v>
      </c>
      <c r="Y5831" t="s">
        <v>25545</v>
      </c>
      <c r="Z5831" t="s">
        <v>32161</v>
      </c>
      <c r="AA5831">
        <v>0.28222187847525743</v>
      </c>
      <c r="AB5831" t="str">
        <f>HYPERLINK("Melting_Curves/meltCurve_Q9NP92_MRPS30.pdf", "Melting_Curves/meltCurve_Q9NP92_MRPS30.pdf")</f>
        <v>Melting_Curves/meltCurve_Q9NP92_MRPS30.pdf</v>
      </c>
    </row>
    <row r="5832" spans="1:28" x14ac:dyDescent="0.25">
      <c r="A5832" t="s">
        <v>5836</v>
      </c>
      <c r="B5832">
        <v>0.99252571173614901</v>
      </c>
      <c r="C5832">
        <v>0.84656269370473702</v>
      </c>
      <c r="D5832">
        <v>0.82738895666387902</v>
      </c>
      <c r="E5832">
        <v>0.72610385216248297</v>
      </c>
      <c r="F5832">
        <v>0.51243488789140901</v>
      </c>
      <c r="G5832">
        <v>0.29028035119655099</v>
      </c>
      <c r="H5832">
        <v>0.16479288049413701</v>
      </c>
      <c r="I5832">
        <v>0.17314593666123601</v>
      </c>
      <c r="J5832">
        <v>0.25708170608452502</v>
      </c>
      <c r="K5832">
        <v>0.22508808202571601</v>
      </c>
      <c r="L5832">
        <v>703.28587949518203</v>
      </c>
      <c r="M5832">
        <v>13.7427778595078</v>
      </c>
      <c r="N5832">
        <v>52.6605734469521</v>
      </c>
      <c r="O5832">
        <v>50.1278732117744</v>
      </c>
      <c r="P5832">
        <v>-5.7533016263768201E-2</v>
      </c>
      <c r="Q5832">
        <v>0.160694599642074</v>
      </c>
      <c r="R5832">
        <v>0.96622685474367098</v>
      </c>
      <c r="S5832" t="s">
        <v>12478</v>
      </c>
      <c r="T5832" t="s">
        <v>13290</v>
      </c>
      <c r="U5832" t="s">
        <v>13290</v>
      </c>
      <c r="V5832" t="s">
        <v>13290</v>
      </c>
      <c r="W5832" t="s">
        <v>19070</v>
      </c>
      <c r="X5832">
        <v>3</v>
      </c>
      <c r="Y5832" t="s">
        <v>25546</v>
      </c>
      <c r="Z5832" t="s">
        <v>32162</v>
      </c>
      <c r="AA5832">
        <v>0.49549917219310841</v>
      </c>
      <c r="AB5832" t="str">
        <f>HYPERLINK("Melting_Curves/meltCurve_Q9NPA0_EMC7.pdf", "Melting_Curves/meltCurve_Q9NPA0_EMC7.pdf")</f>
        <v>Melting_Curves/meltCurve_Q9NPA0_EMC7.pdf</v>
      </c>
    </row>
    <row r="5833" spans="1:28" x14ac:dyDescent="0.25">
      <c r="A5833" t="s">
        <v>5837</v>
      </c>
      <c r="B5833">
        <v>0.99252571173614901</v>
      </c>
      <c r="C5833">
        <v>0.83528504711607299</v>
      </c>
      <c r="D5833">
        <v>0.54315295012986797</v>
      </c>
      <c r="E5833">
        <v>0.280248540302942</v>
      </c>
      <c r="F5833">
        <v>0.260378250367232</v>
      </c>
      <c r="G5833">
        <v>0.16372545314980699</v>
      </c>
      <c r="H5833">
        <v>6.9525930038661601E-2</v>
      </c>
      <c r="I5833">
        <v>1.4130149253864299E-2</v>
      </c>
      <c r="J5833">
        <v>0</v>
      </c>
      <c r="K5833">
        <v>0</v>
      </c>
      <c r="L5833">
        <v>661.79908783937003</v>
      </c>
      <c r="M5833">
        <v>14.0527944860935</v>
      </c>
      <c r="N5833">
        <v>47.218216881958</v>
      </c>
      <c r="O5833">
        <v>46.170881315185397</v>
      </c>
      <c r="P5833">
        <v>-7.4717832608927504E-2</v>
      </c>
      <c r="Q5833">
        <v>1.81772374022359E-2</v>
      </c>
      <c r="R5833">
        <v>0.97858665972366199</v>
      </c>
      <c r="S5833" t="s">
        <v>12479</v>
      </c>
      <c r="T5833" t="s">
        <v>13290</v>
      </c>
      <c r="U5833" t="s">
        <v>13290</v>
      </c>
      <c r="V5833" t="s">
        <v>13290</v>
      </c>
      <c r="W5833" t="s">
        <v>19071</v>
      </c>
      <c r="X5833">
        <v>1</v>
      </c>
      <c r="Y5833" t="s">
        <v>25547</v>
      </c>
      <c r="Z5833" t="s">
        <v>32163</v>
      </c>
      <c r="AA5833">
        <v>0.28060160984758381</v>
      </c>
      <c r="AB5833" t="str">
        <f>HYPERLINK("Melting_Curves/meltCurve_Q9NPA3_MID1IP1.pdf", "Melting_Curves/meltCurve_Q9NPA3_MID1IP1.pdf")</f>
        <v>Melting_Curves/meltCurve_Q9NPA3_MID1IP1.pdf</v>
      </c>
    </row>
    <row r="5834" spans="1:28" x14ac:dyDescent="0.25">
      <c r="A5834" t="s">
        <v>5838</v>
      </c>
      <c r="B5834">
        <v>0.99252571173614901</v>
      </c>
      <c r="C5834">
        <v>1.0539801462915199</v>
      </c>
      <c r="D5834">
        <v>1.0310248308947401</v>
      </c>
      <c r="E5834">
        <v>0.84591727041257103</v>
      </c>
      <c r="F5834">
        <v>0.72622036338456397</v>
      </c>
      <c r="G5834">
        <v>0.58792020046802096</v>
      </c>
      <c r="H5834">
        <v>0.58294524919238799</v>
      </c>
      <c r="I5834">
        <v>0.71221055441342696</v>
      </c>
      <c r="J5834">
        <v>1.0451837552943</v>
      </c>
      <c r="K5834">
        <v>1.0589280179848</v>
      </c>
      <c r="L5834">
        <v>12353.5078725971</v>
      </c>
      <c r="M5834">
        <v>250</v>
      </c>
      <c r="O5834">
        <v>49.410869230345</v>
      </c>
      <c r="P5834">
        <v>-0.27123583806179402</v>
      </c>
      <c r="Q5834">
        <v>0.785568023460818</v>
      </c>
      <c r="R5834">
        <v>0.32620719560151701</v>
      </c>
      <c r="S5834" t="s">
        <v>12480</v>
      </c>
      <c r="T5834" t="s">
        <v>13290</v>
      </c>
      <c r="U5834" t="s">
        <v>13290</v>
      </c>
      <c r="V5834" t="s">
        <v>13290</v>
      </c>
      <c r="W5834" t="s">
        <v>19072</v>
      </c>
      <c r="X5834">
        <v>7</v>
      </c>
      <c r="Y5834" t="s">
        <v>25548</v>
      </c>
      <c r="Z5834" t="s">
        <v>32164</v>
      </c>
      <c r="AA5834">
        <v>0.85287559850829253</v>
      </c>
      <c r="AB5834" t="str">
        <f>HYPERLINK("Melting_Curves/meltCurve_Q9NPA8_2_ENY2.pdf", "Melting_Curves/meltCurve_Q9NPA8_2_ENY2.pdf")</f>
        <v>Melting_Curves/meltCurve_Q9NPA8_2_ENY2.pdf</v>
      </c>
    </row>
    <row r="5835" spans="1:28" x14ac:dyDescent="0.25">
      <c r="A5835" t="s">
        <v>5839</v>
      </c>
      <c r="B5835">
        <v>0.99252571173614901</v>
      </c>
      <c r="C5835">
        <v>0.97666922017017199</v>
      </c>
      <c r="D5835">
        <v>0.82241682515588999</v>
      </c>
      <c r="E5835">
        <v>0.394585297613681</v>
      </c>
      <c r="F5835">
        <v>0.27655862925039398</v>
      </c>
      <c r="G5835">
        <v>0.15779376427617101</v>
      </c>
      <c r="H5835">
        <v>7.3220477651802895E-2</v>
      </c>
      <c r="I5835">
        <v>7.39661874092407E-2</v>
      </c>
      <c r="J5835">
        <v>7.4417221217821405E-2</v>
      </c>
      <c r="K5835">
        <v>6.5995386885392499E-2</v>
      </c>
      <c r="L5835">
        <v>1014.645479536</v>
      </c>
      <c r="M5835">
        <v>20.815983878923799</v>
      </c>
      <c r="N5835">
        <v>49.149766617811103</v>
      </c>
      <c r="O5835">
        <v>48.300414794658998</v>
      </c>
      <c r="P5835">
        <v>-9.9230885449347703E-2</v>
      </c>
      <c r="Q5835">
        <v>7.9023292329706896E-2</v>
      </c>
      <c r="R5835">
        <v>0.99183357379356696</v>
      </c>
      <c r="S5835" t="s">
        <v>12481</v>
      </c>
      <c r="T5835" t="s">
        <v>13290</v>
      </c>
      <c r="U5835" t="s">
        <v>13290</v>
      </c>
      <c r="V5835" t="s">
        <v>13290</v>
      </c>
      <c r="W5835" t="s">
        <v>19073</v>
      </c>
      <c r="X5835">
        <v>6</v>
      </c>
      <c r="Y5835" t="s">
        <v>25549</v>
      </c>
      <c r="Z5835" t="s">
        <v>32165</v>
      </c>
      <c r="AA5835">
        <v>0.35935702702046118</v>
      </c>
      <c r="AB5835" t="str">
        <f>HYPERLINK("Melting_Curves/meltCurve_Q9NPB8_GPCPD1.pdf", "Melting_Curves/meltCurve_Q9NPB8_GPCPD1.pdf")</f>
        <v>Melting_Curves/meltCurve_Q9NPB8_GPCPD1.pdf</v>
      </c>
    </row>
    <row r="5836" spans="1:28" x14ac:dyDescent="0.25">
      <c r="A5836" t="s">
        <v>5840</v>
      </c>
      <c r="B5836">
        <v>0.99252571173614901</v>
      </c>
      <c r="C5836">
        <v>1.07765130583049</v>
      </c>
      <c r="D5836">
        <v>1.5080593428028299</v>
      </c>
      <c r="E5836">
        <v>1.9924053106620101</v>
      </c>
      <c r="F5836">
        <v>2.1562037230187898</v>
      </c>
      <c r="G5836">
        <v>1.7590533270558899</v>
      </c>
      <c r="H5836">
        <v>1.49656328866994</v>
      </c>
      <c r="I5836">
        <v>0.68952788207562499</v>
      </c>
      <c r="J5836">
        <v>0.27514774235365003</v>
      </c>
      <c r="K5836">
        <v>0.24877928148197101</v>
      </c>
      <c r="L5836">
        <v>15000</v>
      </c>
      <c r="M5836">
        <v>234.054918833805</v>
      </c>
      <c r="N5836">
        <v>64.291380349649401</v>
      </c>
      <c r="O5836">
        <v>64.082844115776396</v>
      </c>
      <c r="P5836">
        <v>-0.67390766707681304</v>
      </c>
      <c r="Q5836">
        <v>0.26195236377639097</v>
      </c>
      <c r="R5836">
        <v>0.171081479806766</v>
      </c>
      <c r="S5836" t="s">
        <v>12482</v>
      </c>
      <c r="T5836" t="s">
        <v>13290</v>
      </c>
      <c r="U5836" t="s">
        <v>13290</v>
      </c>
      <c r="V5836" t="s">
        <v>13290</v>
      </c>
      <c r="W5836" t="s">
        <v>19074</v>
      </c>
      <c r="X5836">
        <v>10</v>
      </c>
      <c r="Y5836" t="s">
        <v>25550</v>
      </c>
      <c r="Z5836" t="s">
        <v>32166</v>
      </c>
      <c r="AA5836">
        <v>0.85463838668190806</v>
      </c>
      <c r="AB5836" t="str">
        <f>HYPERLINK("Melting_Curves/meltCurve_Q9NPD3_EXOSC4.pdf", "Melting_Curves/meltCurve_Q9NPD3_EXOSC4.pdf")</f>
        <v>Melting_Curves/meltCurve_Q9NPD3_EXOSC4.pdf</v>
      </c>
    </row>
    <row r="5837" spans="1:28" x14ac:dyDescent="0.25">
      <c r="A5837" t="s">
        <v>5841</v>
      </c>
      <c r="B5837">
        <v>0.99252571173614901</v>
      </c>
      <c r="C5837">
        <v>1.0688140152686501</v>
      </c>
      <c r="D5837">
        <v>0.81574919806776403</v>
      </c>
      <c r="E5837">
        <v>0.413486168467457</v>
      </c>
      <c r="F5837">
        <v>0.212247863276947</v>
      </c>
      <c r="G5837">
        <v>0.116131420238397</v>
      </c>
      <c r="H5837">
        <v>9.05380104951439E-2</v>
      </c>
      <c r="I5837">
        <v>9.6672679956244303E-2</v>
      </c>
      <c r="J5837">
        <v>0.157682620207305</v>
      </c>
      <c r="K5837">
        <v>0.13123699759238799</v>
      </c>
      <c r="L5837">
        <v>1377.29877884248</v>
      </c>
      <c r="M5837">
        <v>28.450150280149899</v>
      </c>
      <c r="N5837">
        <v>48.882138980190902</v>
      </c>
      <c r="O5837">
        <v>48.1736608375614</v>
      </c>
      <c r="P5837">
        <v>-0.12993856495773201</v>
      </c>
      <c r="Q5837">
        <v>0.119925071918873</v>
      </c>
      <c r="R5837">
        <v>0.99068189723765698</v>
      </c>
      <c r="S5837" t="s">
        <v>12483</v>
      </c>
      <c r="T5837" t="s">
        <v>13290</v>
      </c>
      <c r="U5837" t="s">
        <v>13290</v>
      </c>
      <c r="V5837" t="s">
        <v>13290</v>
      </c>
      <c r="W5837" t="s">
        <v>19075</v>
      </c>
      <c r="X5837">
        <v>7</v>
      </c>
      <c r="Y5837" t="s">
        <v>25551</v>
      </c>
      <c r="Z5837" t="s">
        <v>32167</v>
      </c>
      <c r="AA5837">
        <v>0.3726054033793737</v>
      </c>
      <c r="AB5837" t="str">
        <f>HYPERLINK("Melting_Curves/meltCurve_Q9NPD8_UBE2T.pdf", "Melting_Curves/meltCurve_Q9NPD8_UBE2T.pdf")</f>
        <v>Melting_Curves/meltCurve_Q9NPD8_UBE2T.pdf</v>
      </c>
    </row>
    <row r="5838" spans="1:28" x14ac:dyDescent="0.25">
      <c r="A5838" t="s">
        <v>5842</v>
      </c>
      <c r="B5838">
        <v>0.99252571173614901</v>
      </c>
      <c r="C5838">
        <v>1.0084279033513199</v>
      </c>
      <c r="D5838">
        <v>0.82718264059773094</v>
      </c>
      <c r="E5838">
        <v>0.67649264602880999</v>
      </c>
      <c r="F5838">
        <v>0.49488049327089301</v>
      </c>
      <c r="G5838">
        <v>0.31230437022465601</v>
      </c>
      <c r="H5838">
        <v>0.24065612249464</v>
      </c>
      <c r="I5838">
        <v>0.240615705334733</v>
      </c>
      <c r="J5838">
        <v>0.27928112093171598</v>
      </c>
      <c r="K5838">
        <v>0.26090828919391101</v>
      </c>
      <c r="L5838">
        <v>844.90581330330804</v>
      </c>
      <c r="M5838">
        <v>16.755376367164398</v>
      </c>
      <c r="N5838">
        <v>52.418184404923203</v>
      </c>
      <c r="O5838">
        <v>49.724106652587203</v>
      </c>
      <c r="P5838">
        <v>-6.4405987618912197E-2</v>
      </c>
      <c r="Q5838">
        <v>0.23551226612301601</v>
      </c>
      <c r="R5838">
        <v>0.99000694219935204</v>
      </c>
      <c r="S5838" t="s">
        <v>12484</v>
      </c>
      <c r="T5838" t="s">
        <v>13290</v>
      </c>
      <c r="U5838" t="s">
        <v>13290</v>
      </c>
      <c r="V5838" t="s">
        <v>13290</v>
      </c>
      <c r="W5838" t="s">
        <v>19076</v>
      </c>
      <c r="X5838">
        <v>4</v>
      </c>
      <c r="Y5838" t="s">
        <v>25552</v>
      </c>
      <c r="Z5838" t="s">
        <v>32168</v>
      </c>
      <c r="AA5838">
        <v>0.51598612308409497</v>
      </c>
      <c r="AB5838" t="str">
        <f>HYPERLINK("Melting_Curves/meltCurve_Q9NPE2_NGRN.pdf", "Melting_Curves/meltCurve_Q9NPE2_NGRN.pdf")</f>
        <v>Melting_Curves/meltCurve_Q9NPE2_NGRN.pdf</v>
      </c>
    </row>
    <row r="5839" spans="1:28" x14ac:dyDescent="0.25">
      <c r="A5839" t="s">
        <v>5843</v>
      </c>
      <c r="B5839">
        <v>0.99252571173614901</v>
      </c>
      <c r="C5839">
        <v>1.1001642527651401</v>
      </c>
      <c r="D5839">
        <v>0.99726813895356503</v>
      </c>
      <c r="E5839">
        <v>1.1829265935469</v>
      </c>
      <c r="F5839">
        <v>0.77628237301509795</v>
      </c>
      <c r="G5839">
        <v>0.70955400445180306</v>
      </c>
      <c r="H5839">
        <v>0.684961912408799</v>
      </c>
      <c r="I5839">
        <v>0.71820407818586396</v>
      </c>
      <c r="J5839">
        <v>0.57809077367873296</v>
      </c>
      <c r="K5839">
        <v>0.346517238758281</v>
      </c>
      <c r="L5839">
        <v>555.42196518380501</v>
      </c>
      <c r="M5839">
        <v>8.2244698488808297</v>
      </c>
      <c r="N5839">
        <v>67.532859214463699</v>
      </c>
      <c r="O5839">
        <v>63.893034478231897</v>
      </c>
      <c r="P5839">
        <v>-3.2213435702066799E-2</v>
      </c>
      <c r="Q5839">
        <v>0</v>
      </c>
      <c r="R5839">
        <v>0.80183033301486495</v>
      </c>
      <c r="S5839" t="s">
        <v>12485</v>
      </c>
      <c r="T5839" t="s">
        <v>13290</v>
      </c>
      <c r="U5839" t="s">
        <v>13290</v>
      </c>
      <c r="V5839" t="s">
        <v>13290</v>
      </c>
      <c r="W5839" t="s">
        <v>19077</v>
      </c>
      <c r="X5839">
        <v>3</v>
      </c>
      <c r="Y5839" t="s">
        <v>25553</v>
      </c>
      <c r="Z5839" t="s">
        <v>32169</v>
      </c>
      <c r="AA5839">
        <v>0.80636694807860398</v>
      </c>
      <c r="AB5839" t="str">
        <f>HYPERLINK("Melting_Curves/meltCurve_Q9NPE3_NOP10.pdf", "Melting_Curves/meltCurve_Q9NPE3_NOP10.pdf")</f>
        <v>Melting_Curves/meltCurve_Q9NPE3_NOP10.pdf</v>
      </c>
    </row>
    <row r="5840" spans="1:28" x14ac:dyDescent="0.25">
      <c r="A5840" t="s">
        <v>5844</v>
      </c>
      <c r="B5840">
        <v>0.99252571173614901</v>
      </c>
      <c r="C5840">
        <v>0.986700226221354</v>
      </c>
      <c r="D5840">
        <v>0.89330907068621501</v>
      </c>
      <c r="E5840">
        <v>0.79142742834103996</v>
      </c>
      <c r="F5840">
        <v>0.67743409887292605</v>
      </c>
      <c r="G5840">
        <v>0.60121591564171195</v>
      </c>
      <c r="H5840">
        <v>0.533436578109591</v>
      </c>
      <c r="I5840">
        <v>0.63440257588405302</v>
      </c>
      <c r="J5840">
        <v>1.0451651213036099</v>
      </c>
      <c r="K5840">
        <v>0.96587964434291596</v>
      </c>
      <c r="L5840">
        <v>1687.61662447961</v>
      </c>
      <c r="M5840">
        <v>36.3068876868129</v>
      </c>
      <c r="O5840">
        <v>46.341679155186903</v>
      </c>
      <c r="P5840">
        <v>-4.9810273148140898E-2</v>
      </c>
      <c r="Q5840">
        <v>0.74569193416035096</v>
      </c>
      <c r="R5840">
        <v>0.30543213982883699</v>
      </c>
      <c r="S5840" t="s">
        <v>12486</v>
      </c>
      <c r="T5840" t="s">
        <v>13290</v>
      </c>
      <c r="U5840" t="s">
        <v>13290</v>
      </c>
      <c r="V5840" t="s">
        <v>13290</v>
      </c>
      <c r="W5840" t="s">
        <v>19078</v>
      </c>
      <c r="X5840">
        <v>7</v>
      </c>
      <c r="Y5840" t="s">
        <v>25554</v>
      </c>
      <c r="Z5840" t="s">
        <v>32170</v>
      </c>
      <c r="AA5840">
        <v>0.80165457359198056</v>
      </c>
      <c r="AB5840" t="str">
        <f>HYPERLINK("Melting_Curves/meltCurve_Q9NPF0_CD320.pdf", "Melting_Curves/meltCurve_Q9NPF0_CD320.pdf")</f>
        <v>Melting_Curves/meltCurve_Q9NPF0_CD320.pdf</v>
      </c>
    </row>
    <row r="5841" spans="1:28" x14ac:dyDescent="0.25">
      <c r="A5841" t="s">
        <v>5845</v>
      </c>
      <c r="B5841">
        <v>0.99252571173614901</v>
      </c>
      <c r="C5841">
        <v>1.07074863370091</v>
      </c>
      <c r="D5841">
        <v>1.0138509800665501</v>
      </c>
      <c r="E5841">
        <v>1.0277317682254199</v>
      </c>
      <c r="F5841">
        <v>0.871483284424588</v>
      </c>
      <c r="G5841">
        <v>0.71700536329516995</v>
      </c>
      <c r="H5841">
        <v>0.40442024134002902</v>
      </c>
      <c r="I5841">
        <v>0.13925075951080401</v>
      </c>
      <c r="J5841">
        <v>0.109166490098353</v>
      </c>
      <c r="K5841">
        <v>0.11884877284555399</v>
      </c>
      <c r="L5841">
        <v>1309.7827201631001</v>
      </c>
      <c r="M5841">
        <v>22.253895180714899</v>
      </c>
      <c r="N5841">
        <v>59.193656308646901</v>
      </c>
      <c r="O5841">
        <v>58.387263540495503</v>
      </c>
      <c r="P5841">
        <v>-8.96129198796599E-2</v>
      </c>
      <c r="Q5841">
        <v>5.9555025731840398E-2</v>
      </c>
      <c r="R5841">
        <v>0.99020324698112505</v>
      </c>
      <c r="S5841" t="s">
        <v>12487</v>
      </c>
      <c r="T5841" t="s">
        <v>13290</v>
      </c>
      <c r="U5841" t="s">
        <v>13290</v>
      </c>
      <c r="V5841" t="s">
        <v>13290</v>
      </c>
      <c r="W5841" t="s">
        <v>19079</v>
      </c>
      <c r="X5841">
        <v>16</v>
      </c>
      <c r="Y5841" t="s">
        <v>25555</v>
      </c>
      <c r="Z5841" t="s">
        <v>32171</v>
      </c>
      <c r="AA5841">
        <v>0.65951004997936902</v>
      </c>
      <c r="AB5841" t="str">
        <f>HYPERLINK("Melting_Curves/meltCurve_Q9NPF4_OSGEP.pdf", "Melting_Curves/meltCurve_Q9NPF4_OSGEP.pdf")</f>
        <v>Melting_Curves/meltCurve_Q9NPF4_OSGEP.pdf</v>
      </c>
    </row>
    <row r="5842" spans="1:28" x14ac:dyDescent="0.25">
      <c r="A5842" t="s">
        <v>5846</v>
      </c>
      <c r="B5842">
        <v>0.99252571173614901</v>
      </c>
      <c r="C5842">
        <v>0.79510788398655996</v>
      </c>
      <c r="D5842">
        <v>0.56650515247956001</v>
      </c>
      <c r="E5842">
        <v>0.37773207968877698</v>
      </c>
      <c r="F5842">
        <v>0.24938243299388799</v>
      </c>
      <c r="G5842">
        <v>0.12980417247149301</v>
      </c>
      <c r="H5842">
        <v>0.101891223802693</v>
      </c>
      <c r="I5842">
        <v>0.11227221767991601</v>
      </c>
      <c r="J5842">
        <v>0.153301579367605</v>
      </c>
      <c r="K5842">
        <v>0.26546255307685002</v>
      </c>
      <c r="L5842">
        <v>802.07902849847699</v>
      </c>
      <c r="M5842">
        <v>17.392888050967802</v>
      </c>
      <c r="N5842">
        <v>47.0765397742408</v>
      </c>
      <c r="O5842">
        <v>45.518686330320797</v>
      </c>
      <c r="P5842">
        <v>-8.1253804081856895E-2</v>
      </c>
      <c r="Q5842">
        <v>0.14945522839433201</v>
      </c>
      <c r="R5842">
        <v>0.97032685862557699</v>
      </c>
      <c r="S5842" t="s">
        <v>12488</v>
      </c>
      <c r="T5842" t="s">
        <v>13290</v>
      </c>
      <c r="U5842" t="s">
        <v>13290</v>
      </c>
      <c r="V5842" t="s">
        <v>13290</v>
      </c>
      <c r="W5842" t="s">
        <v>19080</v>
      </c>
      <c r="X5842">
        <v>1</v>
      </c>
      <c r="Y5842" t="s">
        <v>25556</v>
      </c>
      <c r="Z5842" t="s">
        <v>32172</v>
      </c>
      <c r="AA5842">
        <v>0.34070334973487892</v>
      </c>
      <c r="AB5842" t="str">
        <f>HYPERLINK("Melting_Curves/meltCurve_Q9NPG3_2_UBN1.pdf", "Melting_Curves/meltCurve_Q9NPG3_2_UBN1.pdf")</f>
        <v>Melting_Curves/meltCurve_Q9NPG3_2_UBN1.pdf</v>
      </c>
    </row>
    <row r="5843" spans="1:28" x14ac:dyDescent="0.25">
      <c r="A5843" t="s">
        <v>5847</v>
      </c>
      <c r="B5843">
        <v>0.99252571173614901</v>
      </c>
      <c r="C5843">
        <v>1.05490338949471</v>
      </c>
      <c r="D5843">
        <v>0.96398123790789203</v>
      </c>
      <c r="E5843">
        <v>0.71489883900282203</v>
      </c>
      <c r="F5843">
        <v>0.457868966152013</v>
      </c>
      <c r="G5843">
        <v>0.169406590195539</v>
      </c>
      <c r="H5843">
        <v>9.8462674577636897E-2</v>
      </c>
      <c r="I5843">
        <v>7.6856238784134695E-2</v>
      </c>
      <c r="J5843">
        <v>7.2804011781533506E-2</v>
      </c>
      <c r="K5843">
        <v>5.75343531776965E-2</v>
      </c>
      <c r="L5843">
        <v>1094.1280266200199</v>
      </c>
      <c r="M5843">
        <v>21.023466906131802</v>
      </c>
      <c r="N5843">
        <v>52.338610964726101</v>
      </c>
      <c r="O5843">
        <v>51.579167069497899</v>
      </c>
      <c r="P5843">
        <v>-9.6200389752332499E-2</v>
      </c>
      <c r="Q5843">
        <v>5.5949540561212797E-2</v>
      </c>
      <c r="R5843">
        <v>0.99499622595338699</v>
      </c>
      <c r="S5843" t="s">
        <v>12489</v>
      </c>
      <c r="T5843" t="s">
        <v>13290</v>
      </c>
      <c r="U5843" t="s">
        <v>13290</v>
      </c>
      <c r="V5843" t="s">
        <v>13290</v>
      </c>
      <c r="W5843" t="s">
        <v>19081</v>
      </c>
      <c r="X5843">
        <v>7</v>
      </c>
      <c r="Y5843" t="s">
        <v>25557</v>
      </c>
      <c r="Z5843" t="s">
        <v>32173</v>
      </c>
      <c r="AA5843">
        <v>0.44686416427812958</v>
      </c>
      <c r="AB5843" t="str">
        <f>HYPERLINK("Melting_Curves/meltCurve_Q9NPH0_ACP6.pdf", "Melting_Curves/meltCurve_Q9NPH0_ACP6.pdf")</f>
        <v>Melting_Curves/meltCurve_Q9NPH0_ACP6.pdf</v>
      </c>
    </row>
    <row r="5844" spans="1:28" x14ac:dyDescent="0.25">
      <c r="A5844" t="s">
        <v>5848</v>
      </c>
      <c r="B5844">
        <v>0.99252571173614901</v>
      </c>
      <c r="C5844">
        <v>0.85916731710423999</v>
      </c>
      <c r="D5844">
        <v>0.76799911328668202</v>
      </c>
      <c r="E5844">
        <v>0.411613900741223</v>
      </c>
      <c r="F5844">
        <v>0.18148061362870599</v>
      </c>
      <c r="G5844">
        <v>0.118310098383707</v>
      </c>
      <c r="H5844">
        <v>8.2643581126910198E-2</v>
      </c>
      <c r="I5844">
        <v>9.5891663960177995E-2</v>
      </c>
      <c r="J5844">
        <v>9.3407775938922397E-2</v>
      </c>
      <c r="K5844">
        <v>9.7421674859820298E-2</v>
      </c>
      <c r="L5844">
        <v>948.86248548855895</v>
      </c>
      <c r="M5844">
        <v>19.7231897981721</v>
      </c>
      <c r="N5844">
        <v>48.545942375163598</v>
      </c>
      <c r="O5844">
        <v>47.622602521419502</v>
      </c>
      <c r="P5844">
        <v>-9.5120881580523897E-2</v>
      </c>
      <c r="Q5844">
        <v>8.1335588802050801E-2</v>
      </c>
      <c r="R5844">
        <v>0.99477014368281402</v>
      </c>
      <c r="S5844" t="s">
        <v>12490</v>
      </c>
      <c r="T5844" t="s">
        <v>13290</v>
      </c>
      <c r="U5844" t="s">
        <v>13290</v>
      </c>
      <c r="V5844" t="s">
        <v>13290</v>
      </c>
      <c r="W5844" t="s">
        <v>19082</v>
      </c>
      <c r="X5844">
        <v>6</v>
      </c>
      <c r="Y5844" t="s">
        <v>25558</v>
      </c>
      <c r="Z5844" t="s">
        <v>32174</v>
      </c>
      <c r="AA5844">
        <v>0.343065727929315</v>
      </c>
      <c r="AB5844" t="str">
        <f>HYPERLINK("Melting_Curves/meltCurve_Q9NPI6_DCP1A.pdf", "Melting_Curves/meltCurve_Q9NPI6_DCP1A.pdf")</f>
        <v>Melting_Curves/meltCurve_Q9NPI6_DCP1A.pdf</v>
      </c>
    </row>
    <row r="5845" spans="1:28" x14ac:dyDescent="0.25">
      <c r="A5845" t="s">
        <v>5849</v>
      </c>
      <c r="B5845">
        <v>0.99252571173614901</v>
      </c>
      <c r="C5845">
        <v>1.05887275858022</v>
      </c>
      <c r="D5845">
        <v>1.00053345081123</v>
      </c>
      <c r="E5845">
        <v>0.83703718451437403</v>
      </c>
      <c r="F5845">
        <v>0.91678089807868401</v>
      </c>
      <c r="G5845">
        <v>0.85332540755207098</v>
      </c>
      <c r="H5845">
        <v>0.81611356114410205</v>
      </c>
      <c r="I5845">
        <v>0.98283860857657401</v>
      </c>
      <c r="J5845">
        <v>1.09209576788616</v>
      </c>
      <c r="K5845">
        <v>0.77029886524680202</v>
      </c>
      <c r="L5845">
        <v>11826.2338660889</v>
      </c>
      <c r="M5845">
        <v>250</v>
      </c>
      <c r="O5845">
        <v>47.301914249068098</v>
      </c>
      <c r="P5845">
        <v>-0.13807764219485</v>
      </c>
      <c r="Q5845">
        <v>0.89549862466970698</v>
      </c>
      <c r="R5845">
        <v>0.28100523172048802</v>
      </c>
      <c r="S5845" t="s">
        <v>12491</v>
      </c>
      <c r="T5845" t="s">
        <v>13290</v>
      </c>
      <c r="U5845" t="s">
        <v>13290</v>
      </c>
      <c r="V5845" t="s">
        <v>13290</v>
      </c>
      <c r="W5845" t="s">
        <v>19083</v>
      </c>
      <c r="X5845">
        <v>7</v>
      </c>
      <c r="Y5845" t="s">
        <v>25559</v>
      </c>
      <c r="Z5845" t="s">
        <v>32175</v>
      </c>
      <c r="AA5845">
        <v>0.9209531604046598</v>
      </c>
      <c r="AB5845" t="str">
        <f>HYPERLINK("Melting_Curves/meltCurve_Q9NPJ3_ACOT13.pdf", "Melting_Curves/meltCurve_Q9NPJ3_ACOT13.pdf")</f>
        <v>Melting_Curves/meltCurve_Q9NPJ3_ACOT13.pdf</v>
      </c>
    </row>
    <row r="5846" spans="1:28" x14ac:dyDescent="0.25">
      <c r="A5846" t="s">
        <v>5850</v>
      </c>
      <c r="B5846">
        <v>0.99252571173614901</v>
      </c>
      <c r="C5846">
        <v>0.96980202429913298</v>
      </c>
      <c r="D5846">
        <v>0.90739941590034401</v>
      </c>
      <c r="E5846">
        <v>0.91535688314909402</v>
      </c>
      <c r="F5846">
        <v>0.57392518549596105</v>
      </c>
      <c r="G5846">
        <v>0.34727987129898902</v>
      </c>
      <c r="H5846">
        <v>0.28540990615810502</v>
      </c>
      <c r="I5846">
        <v>0.32974141655331501</v>
      </c>
      <c r="J5846">
        <v>0.426662488107311</v>
      </c>
      <c r="K5846">
        <v>0.47003596178829599</v>
      </c>
      <c r="L5846">
        <v>2060.73987852856</v>
      </c>
      <c r="M5846">
        <v>39.576272091377803</v>
      </c>
      <c r="N5846">
        <v>53.893496418305403</v>
      </c>
      <c r="O5846">
        <v>51.937674340996303</v>
      </c>
      <c r="P5846">
        <v>-0.120215022390928</v>
      </c>
      <c r="Q5846">
        <v>0.36894765491588699</v>
      </c>
      <c r="R5846">
        <v>0.956004329913269</v>
      </c>
      <c r="S5846" t="s">
        <v>12492</v>
      </c>
      <c r="T5846" t="s">
        <v>13290</v>
      </c>
      <c r="U5846" t="s">
        <v>13290</v>
      </c>
      <c r="V5846" t="s">
        <v>13290</v>
      </c>
      <c r="W5846" t="s">
        <v>19084</v>
      </c>
      <c r="X5846">
        <v>6</v>
      </c>
      <c r="Y5846" t="s">
        <v>25560</v>
      </c>
      <c r="Z5846" t="s">
        <v>32176</v>
      </c>
      <c r="AA5846">
        <v>0.6251621385461722</v>
      </c>
      <c r="AB5846" t="str">
        <f>HYPERLINK("Melting_Curves/meltCurve_Q9NPJ6_MED4.pdf", "Melting_Curves/meltCurve_Q9NPJ6_MED4.pdf")</f>
        <v>Melting_Curves/meltCurve_Q9NPJ6_MED4.pdf</v>
      </c>
    </row>
    <row r="5847" spans="1:28" x14ac:dyDescent="0.25">
      <c r="A5847" t="s">
        <v>5851</v>
      </c>
      <c r="B5847">
        <v>0.99252571173614901</v>
      </c>
      <c r="C5847">
        <v>0.99335653811507196</v>
      </c>
      <c r="D5847">
        <v>0.88226191043587598</v>
      </c>
      <c r="E5847">
        <v>0.85710496533619895</v>
      </c>
      <c r="F5847">
        <v>0.70545353906780595</v>
      </c>
      <c r="G5847">
        <v>0.52997608591758305</v>
      </c>
      <c r="H5847">
        <v>0.49576788257594501</v>
      </c>
      <c r="I5847">
        <v>0.68672269852420198</v>
      </c>
      <c r="J5847">
        <v>1.0156482899424899</v>
      </c>
      <c r="K5847">
        <v>0.79556343440742505</v>
      </c>
      <c r="L5847">
        <v>1239.0492153390401</v>
      </c>
      <c r="M5847">
        <v>25.851081463725802</v>
      </c>
      <c r="O5847">
        <v>47.646205198404502</v>
      </c>
      <c r="P5847">
        <v>-3.9771929096286199E-2</v>
      </c>
      <c r="Q5847">
        <v>0.70678839336618504</v>
      </c>
      <c r="R5847">
        <v>0.40806491352881402</v>
      </c>
      <c r="S5847" t="s">
        <v>12493</v>
      </c>
      <c r="T5847" t="s">
        <v>13290</v>
      </c>
      <c r="U5847" t="s">
        <v>13290</v>
      </c>
      <c r="V5847" t="s">
        <v>13290</v>
      </c>
      <c r="W5847" t="s">
        <v>19085</v>
      </c>
      <c r="X5847">
        <v>12</v>
      </c>
      <c r="Y5847" t="s">
        <v>25561</v>
      </c>
      <c r="Z5847" t="s">
        <v>32177</v>
      </c>
      <c r="AA5847">
        <v>0.78671058917512815</v>
      </c>
      <c r="AB5847" t="str">
        <f>HYPERLINK("Melting_Curves/meltCurve_Q9NPL8_TIMMDC1.pdf", "Melting_Curves/meltCurve_Q9NPL8_TIMMDC1.pdf")</f>
        <v>Melting_Curves/meltCurve_Q9NPL8_TIMMDC1.pdf</v>
      </c>
    </row>
    <row r="5848" spans="1:28" x14ac:dyDescent="0.25">
      <c r="A5848" t="s">
        <v>5852</v>
      </c>
      <c r="B5848">
        <v>0.99252571173614901</v>
      </c>
      <c r="C5848">
        <v>0.97352348963532198</v>
      </c>
      <c r="D5848">
        <v>0.70061007534932895</v>
      </c>
      <c r="E5848">
        <v>0.30867372345760202</v>
      </c>
      <c r="F5848">
        <v>0.20572090999637399</v>
      </c>
      <c r="G5848">
        <v>0.12746856276868601</v>
      </c>
      <c r="H5848">
        <v>0.110643708556762</v>
      </c>
      <c r="I5848">
        <v>0.114747197748874</v>
      </c>
      <c r="J5848">
        <v>0.155514187335414</v>
      </c>
      <c r="K5848">
        <v>0.15833962786403499</v>
      </c>
      <c r="L5848">
        <v>1305.9566366571701</v>
      </c>
      <c r="M5848">
        <v>27.706638533689201</v>
      </c>
      <c r="N5848">
        <v>47.686500520184197</v>
      </c>
      <c r="O5848">
        <v>46.891654719461201</v>
      </c>
      <c r="P5848">
        <v>-0.12747344907594299</v>
      </c>
      <c r="Q5848">
        <v>0.13704607245550801</v>
      </c>
      <c r="R5848">
        <v>0.996328419969427</v>
      </c>
      <c r="S5848" t="s">
        <v>12494</v>
      </c>
      <c r="T5848" t="s">
        <v>13290</v>
      </c>
      <c r="U5848" t="s">
        <v>13290</v>
      </c>
      <c r="V5848" t="s">
        <v>13290</v>
      </c>
      <c r="W5848" t="s">
        <v>19086</v>
      </c>
      <c r="X5848">
        <v>15</v>
      </c>
      <c r="Y5848" t="s">
        <v>25562</v>
      </c>
      <c r="Z5848" t="s">
        <v>32178</v>
      </c>
      <c r="AA5848">
        <v>0.34843173213544471</v>
      </c>
      <c r="AB5848" t="str">
        <f>HYPERLINK("Melting_Curves/meltCurve_Q9NPQ8_4_RIC8A.pdf", "Melting_Curves/meltCurve_Q9NPQ8_4_RIC8A.pdf")</f>
        <v>Melting_Curves/meltCurve_Q9NPQ8_4_RIC8A.pdf</v>
      </c>
    </row>
    <row r="5849" spans="1:28" x14ac:dyDescent="0.25">
      <c r="A5849" t="s">
        <v>5853</v>
      </c>
      <c r="B5849">
        <v>0.99252571173614901</v>
      </c>
      <c r="C5849">
        <v>1.0548329858824199</v>
      </c>
      <c r="D5849">
        <v>1.0346623701545601</v>
      </c>
      <c r="E5849">
        <v>0.86343043914951501</v>
      </c>
      <c r="F5849">
        <v>0.421559018194962</v>
      </c>
      <c r="G5849">
        <v>9.7414095702408193E-2</v>
      </c>
      <c r="H5849">
        <v>5.5255222813890899E-2</v>
      </c>
      <c r="I5849">
        <v>4.8404324885140897E-2</v>
      </c>
      <c r="J5849">
        <v>7.1037545930979204E-2</v>
      </c>
      <c r="K5849">
        <v>6.6846125611422197E-2</v>
      </c>
      <c r="L5849">
        <v>1799.4469404418701</v>
      </c>
      <c r="M5849">
        <v>34.334507599546498</v>
      </c>
      <c r="N5849">
        <v>52.586506373025699</v>
      </c>
      <c r="O5849">
        <v>52.232455129338597</v>
      </c>
      <c r="P5849">
        <v>-0.155357451772204</v>
      </c>
      <c r="Q5849">
        <v>5.4633916217541302E-2</v>
      </c>
      <c r="R5849">
        <v>0.99668593136109696</v>
      </c>
      <c r="S5849" t="s">
        <v>12495</v>
      </c>
      <c r="T5849" t="s">
        <v>13290</v>
      </c>
      <c r="U5849" t="s">
        <v>13290</v>
      </c>
      <c r="V5849" t="s">
        <v>13290</v>
      </c>
      <c r="W5849" t="s">
        <v>19087</v>
      </c>
      <c r="X5849">
        <v>2</v>
      </c>
      <c r="Y5849" t="s">
        <v>25563</v>
      </c>
      <c r="Z5849" t="s">
        <v>32179</v>
      </c>
      <c r="AA5849">
        <v>0.45032618407351782</v>
      </c>
      <c r="AB5849" t="str">
        <f>HYPERLINK("Melting_Curves/meltCurve_Q9NPR9_GPR108.pdf", "Melting_Curves/meltCurve_Q9NPR9_GPR108.pdf")</f>
        <v>Melting_Curves/meltCurve_Q9NPR9_GPR108.pdf</v>
      </c>
    </row>
    <row r="5850" spans="1:28" x14ac:dyDescent="0.25">
      <c r="A5850" t="s">
        <v>5854</v>
      </c>
      <c r="B5850">
        <v>0.99252571173614901</v>
      </c>
      <c r="C5850">
        <v>1.00319034107002</v>
      </c>
      <c r="D5850">
        <v>0.85317008776248504</v>
      </c>
      <c r="E5850">
        <v>0.83734596668725603</v>
      </c>
      <c r="F5850">
        <v>0.35364571693643598</v>
      </c>
      <c r="G5850">
        <v>0.11892336473402899</v>
      </c>
      <c r="H5850">
        <v>7.2259518598472905E-2</v>
      </c>
      <c r="I5850">
        <v>7.1437501481192794E-2</v>
      </c>
      <c r="J5850">
        <v>9.2332688769413904E-2</v>
      </c>
      <c r="K5850">
        <v>0.115695008744815</v>
      </c>
      <c r="L5850">
        <v>1611.7491439728501</v>
      </c>
      <c r="M5850">
        <v>31.143105860451001</v>
      </c>
      <c r="N5850">
        <v>52.049058978026601</v>
      </c>
      <c r="O5850">
        <v>51.541026830370598</v>
      </c>
      <c r="P5850">
        <v>-0.13879896594792701</v>
      </c>
      <c r="Q5850">
        <v>8.1170676115562598E-2</v>
      </c>
      <c r="R5850">
        <v>0.98760392440102096</v>
      </c>
      <c r="S5850" t="s">
        <v>12496</v>
      </c>
      <c r="T5850" t="s">
        <v>13290</v>
      </c>
      <c r="U5850" t="s">
        <v>13290</v>
      </c>
      <c r="V5850" t="s">
        <v>13290</v>
      </c>
      <c r="W5850" t="s">
        <v>19088</v>
      </c>
      <c r="X5850">
        <v>28</v>
      </c>
      <c r="Y5850" t="s">
        <v>25564</v>
      </c>
      <c r="Z5850" t="s">
        <v>32180</v>
      </c>
      <c r="AA5850">
        <v>0.4465656667406725</v>
      </c>
      <c r="AB5850" t="str">
        <f>HYPERLINK("Melting_Curves/meltCurve_Q9NQ29_LUC7L.pdf", "Melting_Curves/meltCurve_Q9NQ29_LUC7L.pdf")</f>
        <v>Melting_Curves/meltCurve_Q9NQ29_LUC7L.pdf</v>
      </c>
    </row>
    <row r="5851" spans="1:28" x14ac:dyDescent="0.25">
      <c r="A5851" t="s">
        <v>5855</v>
      </c>
      <c r="B5851">
        <v>0.99252571173614901</v>
      </c>
      <c r="C5851">
        <v>1.1168422380922101</v>
      </c>
      <c r="D5851">
        <v>0.93894140339943599</v>
      </c>
      <c r="E5851">
        <v>0.54430801666904105</v>
      </c>
      <c r="F5851">
        <v>0.150184850195869</v>
      </c>
      <c r="G5851">
        <v>8.63443351827409E-2</v>
      </c>
      <c r="H5851">
        <v>6.2505460583596406E-2</v>
      </c>
      <c r="I5851">
        <v>7.0081589653149395E-2</v>
      </c>
      <c r="J5851">
        <v>7.7080974389824294E-2</v>
      </c>
      <c r="K5851">
        <v>6.8554159804108394E-2</v>
      </c>
      <c r="L5851">
        <v>1794.55960370353</v>
      </c>
      <c r="M5851">
        <v>36.141596785440498</v>
      </c>
      <c r="N5851">
        <v>49.864973888062202</v>
      </c>
      <c r="O5851">
        <v>49.5023003528757</v>
      </c>
      <c r="P5851">
        <v>-0.16956010614292899</v>
      </c>
      <c r="Q5851">
        <v>7.1032899357470397E-2</v>
      </c>
      <c r="R5851">
        <v>0.99167984052749902</v>
      </c>
      <c r="S5851" t="s">
        <v>12497</v>
      </c>
      <c r="T5851" t="s">
        <v>13290</v>
      </c>
      <c r="U5851" t="s">
        <v>13290</v>
      </c>
      <c r="V5851" t="s">
        <v>13290</v>
      </c>
      <c r="W5851" t="s">
        <v>19089</v>
      </c>
      <c r="X5851">
        <v>13</v>
      </c>
      <c r="Y5851" t="s">
        <v>25565</v>
      </c>
      <c r="Z5851" t="s">
        <v>32181</v>
      </c>
      <c r="AA5851">
        <v>0.37387774580678979</v>
      </c>
      <c r="AB5851" t="str">
        <f>HYPERLINK("Melting_Curves/meltCurve_Q9NQ88_TIGAR.pdf", "Melting_Curves/meltCurve_Q9NQ88_TIGAR.pdf")</f>
        <v>Melting_Curves/meltCurve_Q9NQ88_TIGAR.pdf</v>
      </c>
    </row>
    <row r="5852" spans="1:28" x14ac:dyDescent="0.25">
      <c r="A5852" t="s">
        <v>5856</v>
      </c>
      <c r="B5852">
        <v>0.99252571173614901</v>
      </c>
      <c r="C5852">
        <v>1.0551281403470001</v>
      </c>
      <c r="D5852">
        <v>0.64005938638246795</v>
      </c>
      <c r="E5852">
        <v>0.73426664645446604</v>
      </c>
      <c r="F5852">
        <v>0.64966823530166595</v>
      </c>
      <c r="G5852">
        <v>0.57904176035535104</v>
      </c>
      <c r="H5852">
        <v>0.434629468455904</v>
      </c>
      <c r="I5852">
        <v>0.38382535445050803</v>
      </c>
      <c r="J5852">
        <v>0.52231362819559501</v>
      </c>
      <c r="K5852">
        <v>0.411925454757334</v>
      </c>
      <c r="L5852">
        <v>535.33966674602198</v>
      </c>
      <c r="M5852">
        <v>10.7645117223366</v>
      </c>
      <c r="N5852">
        <v>58.984290957401697</v>
      </c>
      <c r="O5852">
        <v>48.107814195337397</v>
      </c>
      <c r="P5852">
        <v>-3.3150410584974199E-2</v>
      </c>
      <c r="Q5852">
        <v>0.407605578094555</v>
      </c>
      <c r="R5852">
        <v>0.84239534314077502</v>
      </c>
      <c r="S5852" t="s">
        <v>12498</v>
      </c>
      <c r="T5852" t="s">
        <v>13290</v>
      </c>
      <c r="U5852" t="s">
        <v>13290</v>
      </c>
      <c r="V5852" t="s">
        <v>13290</v>
      </c>
      <c r="W5852" t="s">
        <v>19090</v>
      </c>
      <c r="X5852">
        <v>20</v>
      </c>
      <c r="Y5852" t="s">
        <v>25566</v>
      </c>
      <c r="Z5852" t="s">
        <v>32182</v>
      </c>
      <c r="AA5852">
        <v>0.6243921400367729</v>
      </c>
      <c r="AB5852" t="str">
        <f>HYPERLINK("Melting_Curves/meltCurve_Q9NQC3_RTN4.pdf", "Melting_Curves/meltCurve_Q9NQC3_RTN4.pdf")</f>
        <v>Melting_Curves/meltCurve_Q9NQC3_RTN4.pdf</v>
      </c>
    </row>
    <row r="5853" spans="1:28" x14ac:dyDescent="0.25">
      <c r="A5853" t="s">
        <v>5857</v>
      </c>
      <c r="B5853">
        <v>0.99252571173614901</v>
      </c>
      <c r="C5853">
        <v>1.0650797526382301</v>
      </c>
      <c r="D5853">
        <v>0.97763574218301497</v>
      </c>
      <c r="E5853">
        <v>0.77167749662447205</v>
      </c>
      <c r="F5853">
        <v>0.61352309862834697</v>
      </c>
      <c r="G5853">
        <v>0.38733437427409001</v>
      </c>
      <c r="H5853">
        <v>0.25238761100056101</v>
      </c>
      <c r="I5853">
        <v>0.24588706368249399</v>
      </c>
      <c r="J5853">
        <v>0.26949596141580201</v>
      </c>
      <c r="K5853">
        <v>0.19077168542512701</v>
      </c>
      <c r="L5853">
        <v>962.79079305459095</v>
      </c>
      <c r="M5853">
        <v>18.1986459363691</v>
      </c>
      <c r="N5853">
        <v>54.541109018886999</v>
      </c>
      <c r="O5853">
        <v>52.278143394060102</v>
      </c>
      <c r="P5853">
        <v>-6.8721366571232595E-2</v>
      </c>
      <c r="Q5853">
        <v>0.21039062366738601</v>
      </c>
      <c r="R5853">
        <v>0.98834832024918595</v>
      </c>
      <c r="S5853" t="s">
        <v>12499</v>
      </c>
      <c r="T5853" t="s">
        <v>13290</v>
      </c>
      <c r="U5853" t="s">
        <v>13290</v>
      </c>
      <c r="V5853" t="s">
        <v>13290</v>
      </c>
      <c r="W5853" t="s">
        <v>19091</v>
      </c>
      <c r="X5853">
        <v>10</v>
      </c>
      <c r="Y5853" t="s">
        <v>25566</v>
      </c>
      <c r="Z5853" t="s">
        <v>32183</v>
      </c>
      <c r="AA5853">
        <v>0.56276618217143493</v>
      </c>
      <c r="AB5853" t="str">
        <f>HYPERLINK("Melting_Curves/meltCurve_Q9NQC3_2_RTN4.pdf", "Melting_Curves/meltCurve_Q9NQC3_2_RTN4.pdf")</f>
        <v>Melting_Curves/meltCurve_Q9NQC3_2_RTN4.pdf</v>
      </c>
    </row>
    <row r="5854" spans="1:28" x14ac:dyDescent="0.25">
      <c r="A5854" t="s">
        <v>5858</v>
      </c>
      <c r="B5854">
        <v>0.99252571173614901</v>
      </c>
      <c r="C5854">
        <v>0.99655600575763104</v>
      </c>
      <c r="D5854">
        <v>0.943461382143164</v>
      </c>
      <c r="E5854">
        <v>0.79268312684684505</v>
      </c>
      <c r="F5854">
        <v>0.65604817279973004</v>
      </c>
      <c r="G5854">
        <v>0.41200826062634099</v>
      </c>
      <c r="H5854">
        <v>0.14961030001061801</v>
      </c>
      <c r="I5854">
        <v>8.58578342840952E-2</v>
      </c>
      <c r="J5854">
        <v>9.1153869911619501E-2</v>
      </c>
      <c r="K5854">
        <v>8.7989260793550197E-2</v>
      </c>
      <c r="L5854">
        <v>848.98316643650901</v>
      </c>
      <c r="M5854">
        <v>15.4912294824843</v>
      </c>
      <c r="N5854">
        <v>54.971130271522902</v>
      </c>
      <c r="O5854">
        <v>53.915225189700102</v>
      </c>
      <c r="P5854">
        <v>-7.0186455519474306E-2</v>
      </c>
      <c r="Q5854">
        <v>2.2987399787515499E-2</v>
      </c>
      <c r="R5854">
        <v>0.99378498128273496</v>
      </c>
      <c r="S5854" t="s">
        <v>12500</v>
      </c>
      <c r="T5854" t="s">
        <v>13290</v>
      </c>
      <c r="U5854" t="s">
        <v>13290</v>
      </c>
      <c r="V5854" t="s">
        <v>13290</v>
      </c>
      <c r="W5854" t="s">
        <v>19092</v>
      </c>
      <c r="X5854">
        <v>8</v>
      </c>
      <c r="Y5854" t="s">
        <v>25567</v>
      </c>
      <c r="Z5854" t="s">
        <v>32184</v>
      </c>
      <c r="AA5854">
        <v>0.52353114397406608</v>
      </c>
      <c r="AB5854" t="str">
        <f>HYPERLINK("Melting_Curves/meltCurve_Q9NQE9_HINT3.pdf", "Melting_Curves/meltCurve_Q9NQE9_HINT3.pdf")</f>
        <v>Melting_Curves/meltCurve_Q9NQE9_HINT3.pdf</v>
      </c>
    </row>
    <row r="5855" spans="1:28" x14ac:dyDescent="0.25">
      <c r="A5855" t="s">
        <v>5859</v>
      </c>
      <c r="B5855">
        <v>0.99252571173614901</v>
      </c>
      <c r="C5855">
        <v>0.99416155165866604</v>
      </c>
      <c r="D5855">
        <v>0.58785967682352303</v>
      </c>
      <c r="E5855">
        <v>0.64540176627060097</v>
      </c>
      <c r="F5855">
        <v>0.18193479100215801</v>
      </c>
      <c r="G5855">
        <v>0.116756446042041</v>
      </c>
      <c r="H5855">
        <v>8.3380854257740097E-2</v>
      </c>
      <c r="I5855">
        <v>9.2366892166790296E-2</v>
      </c>
      <c r="J5855">
        <v>8.7677065812305693E-2</v>
      </c>
      <c r="K5855">
        <v>9.0826507876415802E-2</v>
      </c>
      <c r="L5855">
        <v>784.74332105511098</v>
      </c>
      <c r="M5855">
        <v>16.034498310598199</v>
      </c>
      <c r="N5855">
        <v>49.327281983960503</v>
      </c>
      <c r="O5855">
        <v>48.198690237337999</v>
      </c>
      <c r="P5855">
        <v>-7.8266979382875607E-2</v>
      </c>
      <c r="Q5855">
        <v>5.9010770137985301E-2</v>
      </c>
      <c r="R5855">
        <v>0.94628011744683105</v>
      </c>
      <c r="S5855" t="s">
        <v>12501</v>
      </c>
      <c r="T5855" t="s">
        <v>13290</v>
      </c>
      <c r="U5855" t="s">
        <v>13290</v>
      </c>
      <c r="V5855" t="s">
        <v>13290</v>
      </c>
      <c r="W5855" t="s">
        <v>19093</v>
      </c>
      <c r="X5855">
        <v>17</v>
      </c>
      <c r="Y5855" t="s">
        <v>25568</v>
      </c>
      <c r="Z5855" t="s">
        <v>32185</v>
      </c>
      <c r="AA5855">
        <v>0.35994434828929939</v>
      </c>
      <c r="AB5855" t="str">
        <f>HYPERLINK("Melting_Curves/meltCurve_Q9NQG5_RPRD1B.pdf", "Melting_Curves/meltCurve_Q9NQG5_RPRD1B.pdf")</f>
        <v>Melting_Curves/meltCurve_Q9NQG5_RPRD1B.pdf</v>
      </c>
    </row>
    <row r="5856" spans="1:28" x14ac:dyDescent="0.25">
      <c r="A5856" t="s">
        <v>5860</v>
      </c>
      <c r="B5856">
        <v>0.99252571173614901</v>
      </c>
      <c r="C5856">
        <v>0.88131129304870204</v>
      </c>
      <c r="D5856">
        <v>0.74945746872796104</v>
      </c>
      <c r="E5856">
        <v>0.63150211291533298</v>
      </c>
      <c r="F5856">
        <v>0.204031411374474</v>
      </c>
      <c r="G5856">
        <v>8.4628651850235007E-2</v>
      </c>
      <c r="H5856">
        <v>6.19849867664806E-2</v>
      </c>
      <c r="I5856">
        <v>7.4446563950936295E-2</v>
      </c>
      <c r="J5856">
        <v>5.3373124254278002E-2</v>
      </c>
      <c r="K5856">
        <v>8.6083515727775894E-2</v>
      </c>
      <c r="L5856">
        <v>867.36643066220904</v>
      </c>
      <c r="M5856">
        <v>17.480361196580098</v>
      </c>
      <c r="N5856">
        <v>49.847435842104602</v>
      </c>
      <c r="O5856">
        <v>48.983756390901</v>
      </c>
      <c r="P5856">
        <v>-8.5792765285047701E-2</v>
      </c>
      <c r="Q5856">
        <v>3.8413644433497103E-2</v>
      </c>
      <c r="R5856">
        <v>0.97936599783673906</v>
      </c>
      <c r="S5856" t="s">
        <v>12502</v>
      </c>
      <c r="T5856" t="s">
        <v>13290</v>
      </c>
      <c r="U5856" t="s">
        <v>13290</v>
      </c>
      <c r="V5856" t="s">
        <v>13290</v>
      </c>
      <c r="W5856" t="s">
        <v>19094</v>
      </c>
      <c r="X5856">
        <v>3</v>
      </c>
      <c r="Y5856" t="s">
        <v>25569</v>
      </c>
      <c r="Z5856" t="s">
        <v>32186</v>
      </c>
      <c r="AA5856">
        <v>0.36418800593449202</v>
      </c>
      <c r="AB5856" t="str">
        <f>HYPERLINK("Melting_Curves/meltCurve_Q9NQG7_3_HPS4.pdf", "Melting_Curves/meltCurve_Q9NQG7_3_HPS4.pdf")</f>
        <v>Melting_Curves/meltCurve_Q9NQG7_3_HPS4.pdf</v>
      </c>
    </row>
    <row r="5857" spans="1:28" x14ac:dyDescent="0.25">
      <c r="A5857" t="s">
        <v>5861</v>
      </c>
      <c r="B5857">
        <v>0.99252571173614901</v>
      </c>
      <c r="C5857">
        <v>0.90267302124013604</v>
      </c>
      <c r="D5857">
        <v>0.98553963389418497</v>
      </c>
      <c r="E5857">
        <v>0.78531702259458203</v>
      </c>
      <c r="F5857">
        <v>0.73740140419665201</v>
      </c>
      <c r="G5857">
        <v>0.46189131178665499</v>
      </c>
      <c r="H5857">
        <v>0.165501329077891</v>
      </c>
      <c r="I5857">
        <v>9.8127139144841405E-2</v>
      </c>
      <c r="J5857">
        <v>7.4593219293367999E-2</v>
      </c>
      <c r="K5857">
        <v>6.60997564215174E-2</v>
      </c>
      <c r="L5857">
        <v>860.12155080948901</v>
      </c>
      <c r="M5857">
        <v>15.4179970308587</v>
      </c>
      <c r="N5857">
        <v>55.786855644597999</v>
      </c>
      <c r="O5857">
        <v>54.873638434613802</v>
      </c>
      <c r="P5857">
        <v>-7.0249558973824094E-2</v>
      </c>
      <c r="Q5857">
        <v>0</v>
      </c>
      <c r="R5857">
        <v>0.98294934302566295</v>
      </c>
      <c r="S5857" t="s">
        <v>12503</v>
      </c>
      <c r="T5857" t="s">
        <v>13290</v>
      </c>
      <c r="U5857" t="s">
        <v>13290</v>
      </c>
      <c r="V5857" t="s">
        <v>13290</v>
      </c>
      <c r="W5857" t="s">
        <v>19095</v>
      </c>
      <c r="X5857">
        <v>9</v>
      </c>
      <c r="Y5857" t="s">
        <v>25570</v>
      </c>
      <c r="Z5857" t="s">
        <v>32187</v>
      </c>
      <c r="AA5857">
        <v>0.54387455097226056</v>
      </c>
      <c r="AB5857" t="str">
        <f>HYPERLINK("Melting_Curves/meltCurve_Q9NQH7_2_XPNPEP3.pdf", "Melting_Curves/meltCurve_Q9NQH7_2_XPNPEP3.pdf")</f>
        <v>Melting_Curves/meltCurve_Q9NQH7_2_XPNPEP3.pdf</v>
      </c>
    </row>
    <row r="5858" spans="1:28" x14ac:dyDescent="0.25">
      <c r="A5858" t="s">
        <v>5862</v>
      </c>
      <c r="B5858">
        <v>0.99252571173614901</v>
      </c>
      <c r="C5858">
        <v>1.03106706976381</v>
      </c>
      <c r="D5858">
        <v>0.974072208952241</v>
      </c>
      <c r="E5858">
        <v>0.87902601139816505</v>
      </c>
      <c r="F5858">
        <v>0.747103701219063</v>
      </c>
      <c r="G5858">
        <v>0.52643803080657303</v>
      </c>
      <c r="H5858">
        <v>0.12965891883272401</v>
      </c>
      <c r="I5858">
        <v>0.103702894508935</v>
      </c>
      <c r="J5858">
        <v>0.10539433977674199</v>
      </c>
      <c r="K5858">
        <v>9.5902737080947195E-2</v>
      </c>
      <c r="L5858">
        <v>1135.2167131393701</v>
      </c>
      <c r="M5858">
        <v>20.271992271748701</v>
      </c>
      <c r="N5858">
        <v>56.297108371585097</v>
      </c>
      <c r="O5858">
        <v>55.462880308698402</v>
      </c>
      <c r="P5858">
        <v>-8.6732845531139899E-2</v>
      </c>
      <c r="Q5858">
        <v>5.0847100782437503E-2</v>
      </c>
      <c r="R5858">
        <v>0.98865316361118805</v>
      </c>
      <c r="S5858" t="s">
        <v>12504</v>
      </c>
      <c r="T5858" t="s">
        <v>13290</v>
      </c>
      <c r="U5858" t="s">
        <v>13290</v>
      </c>
      <c r="V5858" t="s">
        <v>13290</v>
      </c>
      <c r="W5858" t="s">
        <v>19096</v>
      </c>
      <c r="X5858">
        <v>22</v>
      </c>
      <c r="Y5858" t="s">
        <v>25571</v>
      </c>
      <c r="Z5858" t="s">
        <v>32188</v>
      </c>
      <c r="AA5858">
        <v>0.56904154918966476</v>
      </c>
      <c r="AB5858" t="str">
        <f>HYPERLINK("Melting_Curves/meltCurve_Q9NQR4_NIT2.pdf", "Melting_Curves/meltCurve_Q9NQR4_NIT2.pdf")</f>
        <v>Melting_Curves/meltCurve_Q9NQR4_NIT2.pdf</v>
      </c>
    </row>
    <row r="5859" spans="1:28" x14ac:dyDescent="0.25">
      <c r="A5859" t="s">
        <v>5863</v>
      </c>
      <c r="B5859">
        <v>0.99252571173614901</v>
      </c>
      <c r="C5859">
        <v>0.92665472883284605</v>
      </c>
      <c r="D5859">
        <v>1.0036806486071901</v>
      </c>
      <c r="E5859">
        <v>1.0304519361379201</v>
      </c>
      <c r="F5859">
        <v>0.70603701313916101</v>
      </c>
      <c r="G5859">
        <v>0.38992811312125403</v>
      </c>
      <c r="H5859">
        <v>0.47055665204098701</v>
      </c>
      <c r="I5859">
        <v>0.62782054327304804</v>
      </c>
      <c r="J5859">
        <v>0.94452100817649098</v>
      </c>
      <c r="K5859">
        <v>1.06359625378261</v>
      </c>
      <c r="L5859">
        <v>13099.257848317</v>
      </c>
      <c r="M5859">
        <v>250</v>
      </c>
      <c r="O5859">
        <v>52.393678996597203</v>
      </c>
      <c r="P5859">
        <v>-0.35872134386058302</v>
      </c>
      <c r="Q5859">
        <v>0.69928430914176098</v>
      </c>
      <c r="R5859">
        <v>0.36027928315086999</v>
      </c>
      <c r="S5859" t="s">
        <v>12505</v>
      </c>
      <c r="T5859" t="s">
        <v>13290</v>
      </c>
      <c r="U5859" t="s">
        <v>13290</v>
      </c>
      <c r="V5859" t="s">
        <v>13290</v>
      </c>
      <c r="W5859" t="s">
        <v>19097</v>
      </c>
      <c r="X5859">
        <v>10</v>
      </c>
      <c r="Y5859" t="s">
        <v>25572</v>
      </c>
      <c r="Z5859" t="s">
        <v>32189</v>
      </c>
      <c r="AA5859">
        <v>0.82357802374679212</v>
      </c>
      <c r="AB5859" t="str">
        <f>HYPERLINK("Melting_Curves/meltCurve_Q9NQS1_AVEN.pdf", "Melting_Curves/meltCurve_Q9NQS1_AVEN.pdf")</f>
        <v>Melting_Curves/meltCurve_Q9NQS1_AVEN.pdf</v>
      </c>
    </row>
    <row r="5860" spans="1:28" x14ac:dyDescent="0.25">
      <c r="A5860" t="s">
        <v>5864</v>
      </c>
      <c r="B5860">
        <v>0.99252571173614901</v>
      </c>
      <c r="C5860">
        <v>1.1410193291295301</v>
      </c>
      <c r="D5860">
        <v>1.7057679933733001</v>
      </c>
      <c r="E5860">
        <v>2.3168272865016699</v>
      </c>
      <c r="F5860">
        <v>2.3338520543814698</v>
      </c>
      <c r="G5860">
        <v>1.4520312648792399</v>
      </c>
      <c r="H5860">
        <v>0.39681308971113299</v>
      </c>
      <c r="I5860">
        <v>0.25593019768369302</v>
      </c>
      <c r="J5860">
        <v>0.22176450629844999</v>
      </c>
      <c r="K5860">
        <v>0.19734138963789999</v>
      </c>
      <c r="L5860">
        <v>15000</v>
      </c>
      <c r="M5860">
        <v>247.96641002157401</v>
      </c>
      <c r="N5860">
        <v>60.638249141209997</v>
      </c>
      <c r="O5860">
        <v>60.488129400882698</v>
      </c>
      <c r="P5860">
        <v>-0.79425127513002303</v>
      </c>
      <c r="Q5860">
        <v>0.22501158393509901</v>
      </c>
      <c r="R5860">
        <v>0.32742919487945599</v>
      </c>
      <c r="S5860" t="s">
        <v>12506</v>
      </c>
      <c r="T5860" t="s">
        <v>13290</v>
      </c>
      <c r="U5860" t="s">
        <v>13290</v>
      </c>
      <c r="V5860" t="s">
        <v>13290</v>
      </c>
      <c r="W5860" t="s">
        <v>19098</v>
      </c>
      <c r="X5860">
        <v>10</v>
      </c>
      <c r="Y5860" t="s">
        <v>25573</v>
      </c>
      <c r="Z5860" t="s">
        <v>32190</v>
      </c>
      <c r="AA5860">
        <v>0.7544656271840805</v>
      </c>
      <c r="AB5860" t="str">
        <f>HYPERLINK("Melting_Curves/meltCurve_Q9NQT4_EXOSC5.pdf", "Melting_Curves/meltCurve_Q9NQT4_EXOSC5.pdf")</f>
        <v>Melting_Curves/meltCurve_Q9NQT4_EXOSC5.pdf</v>
      </c>
    </row>
    <row r="5861" spans="1:28" x14ac:dyDescent="0.25">
      <c r="A5861" t="s">
        <v>5865</v>
      </c>
      <c r="B5861">
        <v>0.99252571173614901</v>
      </c>
      <c r="C5861">
        <v>1.1424102229967401</v>
      </c>
      <c r="D5861">
        <v>1.7524677843302501</v>
      </c>
      <c r="E5861">
        <v>1.7368784046318799</v>
      </c>
      <c r="F5861">
        <v>0.47378172135051599</v>
      </c>
      <c r="G5861">
        <v>0.3243885806447</v>
      </c>
      <c r="H5861">
        <v>0.187115009266274</v>
      </c>
      <c r="I5861">
        <v>0.169480053207441</v>
      </c>
      <c r="J5861">
        <v>0.215201997974551</v>
      </c>
      <c r="K5861">
        <v>0.178815761171736</v>
      </c>
      <c r="L5861">
        <v>13262.2422905404</v>
      </c>
      <c r="M5861">
        <v>250</v>
      </c>
      <c r="N5861">
        <v>53.168495115530703</v>
      </c>
      <c r="O5861">
        <v>53.045574392403303</v>
      </c>
      <c r="P5861">
        <v>-0.92491192632004104</v>
      </c>
      <c r="Q5861">
        <v>0.21500025079916801</v>
      </c>
      <c r="R5861">
        <v>0.69074119613645701</v>
      </c>
      <c r="S5861" t="s">
        <v>12507</v>
      </c>
      <c r="T5861" t="s">
        <v>13290</v>
      </c>
      <c r="U5861" t="s">
        <v>13290</v>
      </c>
      <c r="V5861" t="s">
        <v>13290</v>
      </c>
      <c r="W5861" t="s">
        <v>19099</v>
      </c>
      <c r="X5861">
        <v>2</v>
      </c>
      <c r="Y5861" t="s">
        <v>25574</v>
      </c>
      <c r="Z5861" t="s">
        <v>32191</v>
      </c>
      <c r="AA5861">
        <v>0.55652125168716859</v>
      </c>
      <c r="AB5861" t="str">
        <f>HYPERLINK("Melting_Curves/meltCurve_Q9NQT5_EXOSC3.pdf", "Melting_Curves/meltCurve_Q9NQT5_EXOSC3.pdf")</f>
        <v>Melting_Curves/meltCurve_Q9NQT5_EXOSC3.pdf</v>
      </c>
    </row>
    <row r="5862" spans="1:28" x14ac:dyDescent="0.25">
      <c r="A5862" t="s">
        <v>5866</v>
      </c>
      <c r="B5862">
        <v>0.99252571173614901</v>
      </c>
      <c r="C5862">
        <v>0.89402207299110703</v>
      </c>
      <c r="D5862">
        <v>0.76658577812155604</v>
      </c>
      <c r="E5862">
        <v>0.25570151092766502</v>
      </c>
      <c r="F5862">
        <v>0.15294286659435999</v>
      </c>
      <c r="G5862">
        <v>8.2213670544799097E-2</v>
      </c>
      <c r="H5862">
        <v>6.2572525706023396E-2</v>
      </c>
      <c r="I5862">
        <v>5.86577380750362E-2</v>
      </c>
      <c r="J5862">
        <v>9.1334426426067303E-2</v>
      </c>
      <c r="K5862">
        <v>7.2538403829082998E-2</v>
      </c>
      <c r="L5862">
        <v>1337.8117539283801</v>
      </c>
      <c r="M5862">
        <v>28.180038603832699</v>
      </c>
      <c r="N5862">
        <v>47.746869528463101</v>
      </c>
      <c r="O5862">
        <v>47.236598003614098</v>
      </c>
      <c r="P5862">
        <v>-0.138042827328025</v>
      </c>
      <c r="Q5862">
        <v>7.4434336702036599E-2</v>
      </c>
      <c r="R5862">
        <v>0.99386637896612995</v>
      </c>
      <c r="S5862" t="s">
        <v>12508</v>
      </c>
      <c r="T5862" t="s">
        <v>13290</v>
      </c>
      <c r="U5862" t="s">
        <v>13290</v>
      </c>
      <c r="V5862" t="s">
        <v>13290</v>
      </c>
      <c r="W5862" t="s">
        <v>19100</v>
      </c>
      <c r="X5862">
        <v>12</v>
      </c>
      <c r="Y5862" t="s">
        <v>25575</v>
      </c>
      <c r="Z5862" t="s">
        <v>32192</v>
      </c>
      <c r="AA5862">
        <v>0.3113584801777679</v>
      </c>
      <c r="AB5862" t="str">
        <f>HYPERLINK("Melting_Curves/meltCurve_Q9NQT8_KIF13B.pdf", "Melting_Curves/meltCurve_Q9NQT8_KIF13B.pdf")</f>
        <v>Melting_Curves/meltCurve_Q9NQT8_KIF13B.pdf</v>
      </c>
    </row>
    <row r="5863" spans="1:28" x14ac:dyDescent="0.25">
      <c r="A5863" t="s">
        <v>5867</v>
      </c>
      <c r="B5863">
        <v>0.99252571173614901</v>
      </c>
      <c r="C5863">
        <v>0.97448391936009804</v>
      </c>
      <c r="D5863">
        <v>0.61572118612848503</v>
      </c>
      <c r="E5863">
        <v>0.383205346272595</v>
      </c>
      <c r="F5863">
        <v>0.23416947112171699</v>
      </c>
      <c r="G5863">
        <v>0.173228903666308</v>
      </c>
      <c r="H5863">
        <v>0.13495075163801201</v>
      </c>
      <c r="I5863">
        <v>0.112821727897569</v>
      </c>
      <c r="J5863">
        <v>0.147120549712834</v>
      </c>
      <c r="K5863">
        <v>0.14113632852178001</v>
      </c>
      <c r="L5863">
        <v>992.25838854352799</v>
      </c>
      <c r="M5863">
        <v>21.073506920539899</v>
      </c>
      <c r="N5863">
        <v>47.830115390374203</v>
      </c>
      <c r="O5863">
        <v>46.667736939413501</v>
      </c>
      <c r="P5863">
        <v>-9.7108144139929006E-2</v>
      </c>
      <c r="Q5863">
        <v>0.13983042404868201</v>
      </c>
      <c r="R5863">
        <v>0.98974189203849705</v>
      </c>
      <c r="S5863" t="s">
        <v>12509</v>
      </c>
      <c r="T5863" t="s">
        <v>13290</v>
      </c>
      <c r="U5863" t="s">
        <v>13290</v>
      </c>
      <c r="V5863" t="s">
        <v>13290</v>
      </c>
      <c r="W5863" t="s">
        <v>19101</v>
      </c>
      <c r="X5863">
        <v>25</v>
      </c>
      <c r="Y5863" t="s">
        <v>25576</v>
      </c>
      <c r="Z5863" t="s">
        <v>32193</v>
      </c>
      <c r="AA5863">
        <v>0.35417288321391882</v>
      </c>
      <c r="AB5863" t="str">
        <f>HYPERLINK("Melting_Curves/meltCurve_Q9NQW6_2_ANLN.pdf", "Melting_Curves/meltCurve_Q9NQW6_2_ANLN.pdf")</f>
        <v>Melting_Curves/meltCurve_Q9NQW6_2_ANLN.pdf</v>
      </c>
    </row>
    <row r="5864" spans="1:28" x14ac:dyDescent="0.25">
      <c r="A5864" t="s">
        <v>5868</v>
      </c>
      <c r="B5864">
        <v>0.99252571173614901</v>
      </c>
      <c r="C5864">
        <v>1.1767958472161899</v>
      </c>
      <c r="D5864">
        <v>1.3745097503863899</v>
      </c>
      <c r="E5864">
        <v>1.7836526415271701</v>
      </c>
      <c r="F5864">
        <v>0.30481569747722098</v>
      </c>
      <c r="G5864">
        <v>0.122709207088359</v>
      </c>
      <c r="H5864">
        <v>4.0878883944930597E-2</v>
      </c>
      <c r="I5864">
        <v>3.3377472412291401E-2</v>
      </c>
      <c r="J5864">
        <v>2.9449385719877302E-2</v>
      </c>
      <c r="K5864">
        <v>1.9219412146602399E-2</v>
      </c>
      <c r="L5864">
        <v>13246.7885784301</v>
      </c>
      <c r="M5864">
        <v>250</v>
      </c>
      <c r="N5864">
        <v>53.0090835428025</v>
      </c>
      <c r="O5864">
        <v>52.983749587256803</v>
      </c>
      <c r="P5864">
        <v>-1.1216563132646999</v>
      </c>
      <c r="Q5864">
        <v>4.9126835033490898E-2</v>
      </c>
      <c r="R5864">
        <v>0.80654825761541205</v>
      </c>
      <c r="S5864" t="s">
        <v>12510</v>
      </c>
      <c r="T5864" t="s">
        <v>13290</v>
      </c>
      <c r="U5864" t="s">
        <v>13290</v>
      </c>
      <c r="V5864" t="s">
        <v>13290</v>
      </c>
      <c r="W5864" t="s">
        <v>19102</v>
      </c>
      <c r="X5864">
        <v>37</v>
      </c>
      <c r="Y5864" t="s">
        <v>25577</v>
      </c>
      <c r="Z5864" t="s">
        <v>32194</v>
      </c>
      <c r="AA5864">
        <v>0.46085314248665171</v>
      </c>
      <c r="AB5864" t="str">
        <f>HYPERLINK("Melting_Curves/meltCurve_Q9NQW7_XPNPEP1.pdf", "Melting_Curves/meltCurve_Q9NQW7_XPNPEP1.pdf")</f>
        <v>Melting_Curves/meltCurve_Q9NQW7_XPNPEP1.pdf</v>
      </c>
    </row>
    <row r="5865" spans="1:28" x14ac:dyDescent="0.25">
      <c r="A5865" t="s">
        <v>5869</v>
      </c>
      <c r="B5865">
        <v>0.99252571173614901</v>
      </c>
      <c r="C5865">
        <v>0.94698703186422994</v>
      </c>
      <c r="D5865">
        <v>0.96240991441671397</v>
      </c>
      <c r="E5865">
        <v>0.727010210656306</v>
      </c>
      <c r="F5865">
        <v>0.28348907569544401</v>
      </c>
      <c r="G5865">
        <v>0.12813481974239399</v>
      </c>
      <c r="H5865">
        <v>7.9873973573368798E-2</v>
      </c>
      <c r="I5865">
        <v>8.1852916879342305E-2</v>
      </c>
      <c r="J5865">
        <v>8.0315203188005904E-2</v>
      </c>
      <c r="K5865">
        <v>6.7903527064049896E-2</v>
      </c>
      <c r="L5865">
        <v>1496.5356423277799</v>
      </c>
      <c r="M5865">
        <v>29.328057823499101</v>
      </c>
      <c r="N5865">
        <v>51.3139400997037</v>
      </c>
      <c r="O5865">
        <v>50.791961364871597</v>
      </c>
      <c r="P5865">
        <v>-0.13345310863604001</v>
      </c>
      <c r="Q5865">
        <v>7.5520540634336997E-2</v>
      </c>
      <c r="R5865">
        <v>0.99825019695571404</v>
      </c>
      <c r="S5865" t="s">
        <v>12511</v>
      </c>
      <c r="T5865" t="s">
        <v>13290</v>
      </c>
      <c r="U5865" t="s">
        <v>13290</v>
      </c>
      <c r="V5865" t="s">
        <v>13290</v>
      </c>
      <c r="W5865" t="s">
        <v>19103</v>
      </c>
      <c r="X5865">
        <v>40</v>
      </c>
      <c r="Y5865" t="s">
        <v>25577</v>
      </c>
      <c r="Z5865" t="s">
        <v>32195</v>
      </c>
      <c r="AA5865">
        <v>0.42142674954655368</v>
      </c>
      <c r="AB5865" t="str">
        <f>HYPERLINK("Melting_Curves/meltCurve_Q9NQW7_3_XPNPEP1.pdf", "Melting_Curves/meltCurve_Q9NQW7_3_XPNPEP1.pdf")</f>
        <v>Melting_Curves/meltCurve_Q9NQW7_3_XPNPEP1.pdf</v>
      </c>
    </row>
    <row r="5866" spans="1:28" x14ac:dyDescent="0.25">
      <c r="A5866" t="s">
        <v>5870</v>
      </c>
      <c r="B5866">
        <v>0.99252571173614901</v>
      </c>
      <c r="C5866">
        <v>0.93734299683049305</v>
      </c>
      <c r="D5866">
        <v>0.78196120982468997</v>
      </c>
      <c r="E5866">
        <v>0.77518775760866698</v>
      </c>
      <c r="F5866">
        <v>0.80452425178888398</v>
      </c>
      <c r="G5866">
        <v>0.62392690784978999</v>
      </c>
      <c r="H5866">
        <v>0.73891351501413904</v>
      </c>
      <c r="I5866">
        <v>0.786383642254886</v>
      </c>
      <c r="J5866">
        <v>0.92616368541642802</v>
      </c>
      <c r="K5866">
        <v>0.92802109547806699</v>
      </c>
      <c r="L5866">
        <v>10760.0103111555</v>
      </c>
      <c r="M5866">
        <v>250</v>
      </c>
      <c r="O5866">
        <v>43.037266651718902</v>
      </c>
      <c r="P5866">
        <v>-0.296784425186428</v>
      </c>
      <c r="Q5866">
        <v>0.79563525593978801</v>
      </c>
      <c r="R5866">
        <v>0.410046900314254</v>
      </c>
      <c r="S5866" t="s">
        <v>12512</v>
      </c>
      <c r="T5866" t="s">
        <v>13290</v>
      </c>
      <c r="U5866" t="s">
        <v>13290</v>
      </c>
      <c r="V5866" t="s">
        <v>13290</v>
      </c>
      <c r="W5866" t="s">
        <v>19104</v>
      </c>
      <c r="X5866">
        <v>2</v>
      </c>
      <c r="Y5866" t="s">
        <v>25578</v>
      </c>
      <c r="Z5866" t="s">
        <v>32196</v>
      </c>
      <c r="AA5866">
        <v>0.8163599342514567</v>
      </c>
      <c r="AB5866" t="str">
        <f>HYPERLINK("Melting_Curves/meltCurve_Q9NQY0_BIN3.pdf", "Melting_Curves/meltCurve_Q9NQY0_BIN3.pdf")</f>
        <v>Melting_Curves/meltCurve_Q9NQY0_BIN3.pdf</v>
      </c>
    </row>
    <row r="5867" spans="1:28" x14ac:dyDescent="0.25">
      <c r="A5867" t="s">
        <v>5871</v>
      </c>
      <c r="B5867">
        <v>0.99252571173614901</v>
      </c>
      <c r="C5867">
        <v>1.0613515559206499</v>
      </c>
      <c r="D5867">
        <v>1.2568706656038999</v>
      </c>
      <c r="E5867">
        <v>0.88318681896176399</v>
      </c>
      <c r="F5867">
        <v>0.36393786674638401</v>
      </c>
      <c r="G5867">
        <v>0.19273837113296</v>
      </c>
      <c r="H5867">
        <v>0.17980549050161501</v>
      </c>
      <c r="I5867">
        <v>0.21649903053641001</v>
      </c>
      <c r="J5867">
        <v>0.30927268682142001</v>
      </c>
      <c r="K5867">
        <v>0.345208856639666</v>
      </c>
      <c r="L5867">
        <v>2701.90841695476</v>
      </c>
      <c r="M5867">
        <v>52.637456510747199</v>
      </c>
      <c r="N5867">
        <v>52.014149587944203</v>
      </c>
      <c r="O5867">
        <v>51.256600748843802</v>
      </c>
      <c r="P5867">
        <v>-0.19263702111535599</v>
      </c>
      <c r="Q5867">
        <v>0.249666477331871</v>
      </c>
      <c r="R5867">
        <v>0.94042133066904898</v>
      </c>
      <c r="S5867" t="s">
        <v>12513</v>
      </c>
      <c r="T5867" t="s">
        <v>13290</v>
      </c>
      <c r="U5867" t="s">
        <v>13290</v>
      </c>
      <c r="V5867" t="s">
        <v>13290</v>
      </c>
      <c r="W5867" t="s">
        <v>19105</v>
      </c>
      <c r="X5867">
        <v>5</v>
      </c>
      <c r="Y5867" t="s">
        <v>25579</v>
      </c>
      <c r="Z5867" t="s">
        <v>32197</v>
      </c>
      <c r="AA5867">
        <v>0.53458768601207962</v>
      </c>
      <c r="AB5867" t="str">
        <f>HYPERLINK("Melting_Curves/meltCurve_Q9NQZ2_UTP3.pdf", "Melting_Curves/meltCurve_Q9NQZ2_UTP3.pdf")</f>
        <v>Melting_Curves/meltCurve_Q9NQZ2_UTP3.pdf</v>
      </c>
    </row>
    <row r="5868" spans="1:28" x14ac:dyDescent="0.25">
      <c r="A5868" t="s">
        <v>5872</v>
      </c>
      <c r="B5868">
        <v>0.99252571173614901</v>
      </c>
      <c r="C5868">
        <v>0.98532439027166496</v>
      </c>
      <c r="D5868">
        <v>0.87383227675623598</v>
      </c>
      <c r="E5868">
        <v>0.71866462459527003</v>
      </c>
      <c r="F5868">
        <v>0.27105999579351697</v>
      </c>
      <c r="G5868">
        <v>0.16161633305304701</v>
      </c>
      <c r="H5868">
        <v>0.117124577801568</v>
      </c>
      <c r="I5868">
        <v>0.12049249393059799</v>
      </c>
      <c r="J5868">
        <v>0.14224892725418301</v>
      </c>
      <c r="K5868">
        <v>0.132325030154959</v>
      </c>
      <c r="L5868">
        <v>1411.31509037042</v>
      </c>
      <c r="M5868">
        <v>27.8971984401283</v>
      </c>
      <c r="N5868">
        <v>51.101199744899297</v>
      </c>
      <c r="O5868">
        <v>50.332021037264603</v>
      </c>
      <c r="P5868">
        <v>-0.121690779541482</v>
      </c>
      <c r="Q5868">
        <v>0.121791136990743</v>
      </c>
      <c r="R5868">
        <v>0.99358725637074197</v>
      </c>
      <c r="S5868" t="s">
        <v>12514</v>
      </c>
      <c r="T5868" t="s">
        <v>13290</v>
      </c>
      <c r="U5868" t="s">
        <v>13290</v>
      </c>
      <c r="V5868" t="s">
        <v>13290</v>
      </c>
      <c r="W5868" t="s">
        <v>19106</v>
      </c>
      <c r="X5868">
        <v>5</v>
      </c>
      <c r="Y5868" t="s">
        <v>25580</v>
      </c>
      <c r="Z5868" t="s">
        <v>32198</v>
      </c>
      <c r="AA5868">
        <v>0.43814063897416572</v>
      </c>
      <c r="AB5868" t="str">
        <f>HYPERLINK("Melting_Curves/meltCurve_Q9NQZ5_STARD7.pdf", "Melting_Curves/meltCurve_Q9NQZ5_STARD7.pdf")</f>
        <v>Melting_Curves/meltCurve_Q9NQZ5_STARD7.pdf</v>
      </c>
    </row>
    <row r="5869" spans="1:28" x14ac:dyDescent="0.25">
      <c r="A5869" t="s">
        <v>5873</v>
      </c>
      <c r="B5869">
        <v>0.99252571173614901</v>
      </c>
      <c r="C5869">
        <v>0.96245821758210504</v>
      </c>
      <c r="D5869">
        <v>0.90332535226347399</v>
      </c>
      <c r="E5869">
        <v>0.64358062219075596</v>
      </c>
      <c r="F5869">
        <v>0.33095511037990499</v>
      </c>
      <c r="G5869">
        <v>0.19523888348367499</v>
      </c>
      <c r="H5869">
        <v>0.16170398604880701</v>
      </c>
      <c r="I5869">
        <v>0.18767388621440201</v>
      </c>
      <c r="J5869">
        <v>0.27982922912713898</v>
      </c>
      <c r="K5869">
        <v>0.34010502408034599</v>
      </c>
      <c r="L5869">
        <v>1441.8347352908399</v>
      </c>
      <c r="M5869">
        <v>29.006371335424099</v>
      </c>
      <c r="N5869">
        <v>50.7828201780302</v>
      </c>
      <c r="O5869">
        <v>49.473056943129997</v>
      </c>
      <c r="P5869">
        <v>-0.112943676064909</v>
      </c>
      <c r="Q5869">
        <v>0.22946207822540499</v>
      </c>
      <c r="R5869">
        <v>0.97452752760372596</v>
      </c>
      <c r="S5869" t="s">
        <v>12515</v>
      </c>
      <c r="T5869" t="s">
        <v>13290</v>
      </c>
      <c r="U5869" t="s">
        <v>13290</v>
      </c>
      <c r="V5869" t="s">
        <v>13290</v>
      </c>
      <c r="W5869" t="s">
        <v>19107</v>
      </c>
      <c r="X5869">
        <v>2</v>
      </c>
      <c r="Y5869" t="s">
        <v>25581</v>
      </c>
      <c r="Z5869" t="s">
        <v>32199</v>
      </c>
      <c r="AA5869">
        <v>0.48387517210153091</v>
      </c>
      <c r="AB5869" t="str">
        <f>HYPERLINK("Melting_Curves/meltCurve_Q9NQZ6_3_ZC4H2.pdf", "Melting_Curves/meltCurve_Q9NQZ6_3_ZC4H2.pdf")</f>
        <v>Melting_Curves/meltCurve_Q9NQZ6_3_ZC4H2.pdf</v>
      </c>
    </row>
    <row r="5870" spans="1:28" x14ac:dyDescent="0.25">
      <c r="A5870" t="s">
        <v>5874</v>
      </c>
      <c r="B5870">
        <v>0.99252571173614901</v>
      </c>
      <c r="C5870">
        <v>1.0370063011843</v>
      </c>
      <c r="D5870">
        <v>1.6005720689124401</v>
      </c>
      <c r="E5870">
        <v>0.926424261811577</v>
      </c>
      <c r="F5870">
        <v>0.65238297945420598</v>
      </c>
      <c r="G5870">
        <v>0.29670410102003703</v>
      </c>
      <c r="H5870">
        <v>0</v>
      </c>
      <c r="I5870">
        <v>0</v>
      </c>
      <c r="J5870">
        <v>0</v>
      </c>
      <c r="K5870">
        <v>0</v>
      </c>
      <c r="L5870">
        <v>1611.8516912957</v>
      </c>
      <c r="M5870">
        <v>29.495901326344299</v>
      </c>
      <c r="N5870">
        <v>54.646636439116101</v>
      </c>
      <c r="O5870">
        <v>54.397295470862097</v>
      </c>
      <c r="P5870">
        <v>-0.13555870294264399</v>
      </c>
      <c r="Q5870">
        <v>0</v>
      </c>
      <c r="R5870">
        <v>0.87377620604265904</v>
      </c>
      <c r="S5870" t="s">
        <v>12516</v>
      </c>
      <c r="T5870" t="s">
        <v>13290</v>
      </c>
      <c r="U5870" t="s">
        <v>13290</v>
      </c>
      <c r="V5870" t="s">
        <v>13290</v>
      </c>
      <c r="W5870" t="s">
        <v>19108</v>
      </c>
      <c r="X5870">
        <v>5</v>
      </c>
      <c r="Y5870" t="s">
        <v>25582</v>
      </c>
      <c r="Z5870" t="s">
        <v>32200</v>
      </c>
      <c r="AA5870">
        <v>0.49505064568575341</v>
      </c>
      <c r="AB5870" t="str">
        <f>HYPERLINK("Melting_Curves/meltCurve_Q9NR09_BIRC6.pdf", "Melting_Curves/meltCurve_Q9NR09_BIRC6.pdf")</f>
        <v>Melting_Curves/meltCurve_Q9NR09_BIRC6.pdf</v>
      </c>
    </row>
    <row r="5871" spans="1:28" x14ac:dyDescent="0.25">
      <c r="A5871" t="s">
        <v>5875</v>
      </c>
      <c r="B5871">
        <v>0.99252571173614901</v>
      </c>
      <c r="C5871">
        <v>0.98287458394141602</v>
      </c>
      <c r="D5871">
        <v>0.80308891152676798</v>
      </c>
      <c r="E5871">
        <v>0.44374700737848999</v>
      </c>
      <c r="F5871">
        <v>0.17002868476802099</v>
      </c>
      <c r="G5871">
        <v>9.4263468003009096E-2</v>
      </c>
      <c r="H5871">
        <v>7.0773899946827507E-2</v>
      </c>
      <c r="I5871">
        <v>7.1215217045098506E-2</v>
      </c>
      <c r="J5871">
        <v>8.31773673380342E-2</v>
      </c>
      <c r="K5871">
        <v>8.1139875168723494E-2</v>
      </c>
      <c r="L5871">
        <v>1176.1005499555999</v>
      </c>
      <c r="M5871">
        <v>24.162255811522002</v>
      </c>
      <c r="N5871">
        <v>48.988924690191801</v>
      </c>
      <c r="O5871">
        <v>48.345358619689499</v>
      </c>
      <c r="P5871">
        <v>-0.11598958329292799</v>
      </c>
      <c r="Q5871">
        <v>7.1696999930073502E-2</v>
      </c>
      <c r="R5871">
        <v>0.99931401558615696</v>
      </c>
      <c r="S5871" t="s">
        <v>12517</v>
      </c>
      <c r="T5871" t="s">
        <v>13290</v>
      </c>
      <c r="U5871" t="s">
        <v>13290</v>
      </c>
      <c r="V5871" t="s">
        <v>13290</v>
      </c>
      <c r="W5871" t="s">
        <v>19109</v>
      </c>
      <c r="X5871">
        <v>13</v>
      </c>
      <c r="Y5871" t="s">
        <v>25583</v>
      </c>
      <c r="Z5871" t="s">
        <v>32201</v>
      </c>
      <c r="AA5871">
        <v>0.34894981349290111</v>
      </c>
      <c r="AB5871" t="str">
        <f>HYPERLINK("Melting_Curves/meltCurve_Q9NR12_PDLIM7.pdf", "Melting_Curves/meltCurve_Q9NR12_PDLIM7.pdf")</f>
        <v>Melting_Curves/meltCurve_Q9NR12_PDLIM7.pdf</v>
      </c>
    </row>
    <row r="5872" spans="1:28" x14ac:dyDescent="0.25">
      <c r="A5872" t="s">
        <v>5876</v>
      </c>
      <c r="B5872">
        <v>0.99252571173614901</v>
      </c>
      <c r="C5872">
        <v>1.0451956507793401</v>
      </c>
      <c r="D5872">
        <v>0.98488802780481199</v>
      </c>
      <c r="E5872">
        <v>0.84703683543566699</v>
      </c>
      <c r="F5872">
        <v>0.30990879875258698</v>
      </c>
      <c r="G5872">
        <v>0.17672847586960699</v>
      </c>
      <c r="H5872">
        <v>0.147952128458996</v>
      </c>
      <c r="I5872">
        <v>0.141047491014934</v>
      </c>
      <c r="J5872">
        <v>0.147563913112153</v>
      </c>
      <c r="K5872">
        <v>0.124838206390936</v>
      </c>
      <c r="L5872">
        <v>2123.0144058957999</v>
      </c>
      <c r="M5872">
        <v>41.297013354037098</v>
      </c>
      <c r="N5872">
        <v>51.832292125562198</v>
      </c>
      <c r="O5872">
        <v>51.288319535113203</v>
      </c>
      <c r="P5872">
        <v>-0.17245354408271801</v>
      </c>
      <c r="Q5872">
        <v>0.14329530841933399</v>
      </c>
      <c r="R5872">
        <v>0.99815051783502795</v>
      </c>
      <c r="S5872" t="s">
        <v>12518</v>
      </c>
      <c r="T5872" t="s">
        <v>13290</v>
      </c>
      <c r="U5872" t="s">
        <v>13290</v>
      </c>
      <c r="V5872" t="s">
        <v>13290</v>
      </c>
      <c r="W5872" t="s">
        <v>19110</v>
      </c>
      <c r="X5872">
        <v>8</v>
      </c>
      <c r="Y5872" t="s">
        <v>25584</v>
      </c>
      <c r="Z5872" t="s">
        <v>32202</v>
      </c>
      <c r="AA5872">
        <v>0.47193794420427049</v>
      </c>
      <c r="AB5872" t="str">
        <f>HYPERLINK("Melting_Curves/meltCurve_Q9NR19_ACSS2.pdf", "Melting_Curves/meltCurve_Q9NR19_ACSS2.pdf")</f>
        <v>Melting_Curves/meltCurve_Q9NR19_ACSS2.pdf</v>
      </c>
    </row>
    <row r="5873" spans="1:28" x14ac:dyDescent="0.25">
      <c r="A5873" t="s">
        <v>5877</v>
      </c>
      <c r="B5873">
        <v>0.99252571173614901</v>
      </c>
      <c r="C5873">
        <v>0.99130098186093896</v>
      </c>
      <c r="D5873">
        <v>0.95346020261615605</v>
      </c>
      <c r="E5873">
        <v>0.82996501880756501</v>
      </c>
      <c r="F5873">
        <v>0.81355286110426195</v>
      </c>
      <c r="G5873">
        <v>0.78520694521724799</v>
      </c>
      <c r="H5873">
        <v>0.74192545471122695</v>
      </c>
      <c r="I5873">
        <v>0.84327076055501105</v>
      </c>
      <c r="J5873">
        <v>0.91022536340961702</v>
      </c>
      <c r="K5873">
        <v>0.54101441861806499</v>
      </c>
      <c r="L5873">
        <v>876.41364113371799</v>
      </c>
      <c r="M5873">
        <v>18.002427667988599</v>
      </c>
      <c r="O5873">
        <v>48.094290648208997</v>
      </c>
      <c r="P5873">
        <v>-2.2663558676446399E-2</v>
      </c>
      <c r="Q5873">
        <v>0.75782509524722397</v>
      </c>
      <c r="R5873">
        <v>0.52690161830803095</v>
      </c>
      <c r="S5873" t="s">
        <v>12519</v>
      </c>
      <c r="T5873" t="s">
        <v>13290</v>
      </c>
      <c r="U5873" t="s">
        <v>13290</v>
      </c>
      <c r="V5873" t="s">
        <v>13290</v>
      </c>
      <c r="W5873" t="s">
        <v>19111</v>
      </c>
      <c r="X5873">
        <v>14</v>
      </c>
      <c r="Y5873" t="s">
        <v>25585</v>
      </c>
      <c r="Z5873" t="s">
        <v>32203</v>
      </c>
      <c r="AA5873">
        <v>0.83213979488278389</v>
      </c>
      <c r="AB5873" t="str">
        <f>HYPERLINK("Melting_Curves/meltCurve_Q9NR28_2_DIABLO.pdf", "Melting_Curves/meltCurve_Q9NR28_2_DIABLO.pdf")</f>
        <v>Melting_Curves/meltCurve_Q9NR28_2_DIABLO.pdf</v>
      </c>
    </row>
    <row r="5874" spans="1:28" x14ac:dyDescent="0.25">
      <c r="A5874" t="s">
        <v>5878</v>
      </c>
      <c r="B5874">
        <v>0.99252571173614901</v>
      </c>
      <c r="C5874">
        <v>1.00427027508375</v>
      </c>
      <c r="D5874">
        <v>0.88680506741246601</v>
      </c>
      <c r="E5874">
        <v>0.56690831162798705</v>
      </c>
      <c r="F5874">
        <v>0.35316846254300299</v>
      </c>
      <c r="G5874">
        <v>0.238551558074825</v>
      </c>
      <c r="H5874">
        <v>0.23105742386192701</v>
      </c>
      <c r="I5874">
        <v>0.27973791279902199</v>
      </c>
      <c r="J5874">
        <v>0.41028807189751099</v>
      </c>
      <c r="K5874">
        <v>0.41388083099775103</v>
      </c>
      <c r="L5874">
        <v>1550.0885545198601</v>
      </c>
      <c r="M5874">
        <v>31.8747869074367</v>
      </c>
      <c r="N5874">
        <v>50.187540404733703</v>
      </c>
      <c r="O5874">
        <v>48.440346945666199</v>
      </c>
      <c r="P5874">
        <v>-0.112851241068726</v>
      </c>
      <c r="Q5874">
        <v>0.31400014412107602</v>
      </c>
      <c r="R5874">
        <v>0.95942433908578095</v>
      </c>
      <c r="S5874" t="s">
        <v>12520</v>
      </c>
      <c r="T5874" t="s">
        <v>13290</v>
      </c>
      <c r="U5874" t="s">
        <v>13290</v>
      </c>
      <c r="V5874" t="s">
        <v>13290</v>
      </c>
      <c r="W5874" t="s">
        <v>19112</v>
      </c>
      <c r="X5874">
        <v>24</v>
      </c>
      <c r="Y5874" t="s">
        <v>25586</v>
      </c>
      <c r="Z5874" t="s">
        <v>32204</v>
      </c>
      <c r="AA5874">
        <v>0.51502185289174585</v>
      </c>
      <c r="AB5874" t="str">
        <f>HYPERLINK("Melting_Curves/meltCurve_Q9NR30_DDX21.pdf", "Melting_Curves/meltCurve_Q9NR30_DDX21.pdf")</f>
        <v>Melting_Curves/meltCurve_Q9NR30_DDX21.pdf</v>
      </c>
    </row>
    <row r="5875" spans="1:28" x14ac:dyDescent="0.25">
      <c r="A5875" t="s">
        <v>5879</v>
      </c>
      <c r="B5875">
        <v>0.99252571173614901</v>
      </c>
      <c r="C5875">
        <v>0.89355868074929201</v>
      </c>
      <c r="D5875">
        <v>0.76951894566216905</v>
      </c>
      <c r="E5875">
        <v>0.66168546676671103</v>
      </c>
      <c r="F5875">
        <v>0.48849422184619901</v>
      </c>
      <c r="G5875">
        <v>0.195145218781337</v>
      </c>
      <c r="H5875">
        <v>8.0439392746638694E-2</v>
      </c>
      <c r="I5875">
        <v>6.6264480623521901E-2</v>
      </c>
      <c r="J5875">
        <v>5.77341813051689E-2</v>
      </c>
      <c r="K5875">
        <v>5.2172431574028802E-2</v>
      </c>
      <c r="L5875">
        <v>655.40467267572501</v>
      </c>
      <c r="M5875">
        <v>12.672655381501</v>
      </c>
      <c r="N5875">
        <v>51.718022241136303</v>
      </c>
      <c r="O5875">
        <v>50.480912207570597</v>
      </c>
      <c r="P5875">
        <v>-6.2771882970259194E-2</v>
      </c>
      <c r="Q5875">
        <v>0</v>
      </c>
      <c r="R5875">
        <v>0.98670869830382102</v>
      </c>
      <c r="S5875" t="s">
        <v>12521</v>
      </c>
      <c r="T5875" t="s">
        <v>13290</v>
      </c>
      <c r="U5875" t="s">
        <v>13290</v>
      </c>
      <c r="V5875" t="s">
        <v>13290</v>
      </c>
      <c r="W5875" t="s">
        <v>19113</v>
      </c>
      <c r="X5875">
        <v>10</v>
      </c>
      <c r="Y5875" t="s">
        <v>25587</v>
      </c>
      <c r="Z5875" t="s">
        <v>32205</v>
      </c>
      <c r="AA5875">
        <v>0.41955514440314901</v>
      </c>
      <c r="AB5875" t="str">
        <f>HYPERLINK("Melting_Curves/meltCurve_Q9NR31_SAR1A.pdf", "Melting_Curves/meltCurve_Q9NR31_SAR1A.pdf")</f>
        <v>Melting_Curves/meltCurve_Q9NR31_SAR1A.pdf</v>
      </c>
    </row>
    <row r="5876" spans="1:28" x14ac:dyDescent="0.25">
      <c r="A5876" t="s">
        <v>5880</v>
      </c>
      <c r="B5876">
        <v>0.99252571173614901</v>
      </c>
      <c r="C5876">
        <v>1.0715840326534301</v>
      </c>
      <c r="D5876">
        <v>0.93252310682364103</v>
      </c>
      <c r="E5876">
        <v>0.62551694637467803</v>
      </c>
      <c r="F5876">
        <v>0.30751825815381101</v>
      </c>
      <c r="G5876">
        <v>0.19140090970547299</v>
      </c>
      <c r="H5876">
        <v>0.13672622123709599</v>
      </c>
      <c r="I5876">
        <v>0.139902311701253</v>
      </c>
      <c r="J5876">
        <v>0.170915009071746</v>
      </c>
      <c r="K5876">
        <v>0.19255254870965199</v>
      </c>
      <c r="L5876">
        <v>1412.45648119926</v>
      </c>
      <c r="M5876">
        <v>28.218148997168999</v>
      </c>
      <c r="N5876">
        <v>50.751723461218504</v>
      </c>
      <c r="O5876">
        <v>49.805530201327599</v>
      </c>
      <c r="P5876">
        <v>-0.11889448452007099</v>
      </c>
      <c r="Q5876">
        <v>0.160603518416506</v>
      </c>
      <c r="R5876">
        <v>0.99335277271640798</v>
      </c>
      <c r="S5876" t="s">
        <v>12522</v>
      </c>
      <c r="T5876" t="s">
        <v>13290</v>
      </c>
      <c r="U5876" t="s">
        <v>13290</v>
      </c>
      <c r="V5876" t="s">
        <v>13290</v>
      </c>
      <c r="W5876" t="s">
        <v>19114</v>
      </c>
      <c r="X5876">
        <v>6</v>
      </c>
      <c r="Y5876" t="s">
        <v>25588</v>
      </c>
      <c r="Z5876" t="s">
        <v>32206</v>
      </c>
      <c r="AA5876">
        <v>0.44781941809744191</v>
      </c>
      <c r="AB5876" t="str">
        <f>HYPERLINK("Melting_Curves/meltCurve_Q9NR33_POLE4.pdf", "Melting_Curves/meltCurve_Q9NR33_POLE4.pdf")</f>
        <v>Melting_Curves/meltCurve_Q9NR33_POLE4.pdf</v>
      </c>
    </row>
    <row r="5877" spans="1:28" x14ac:dyDescent="0.25">
      <c r="A5877" t="s">
        <v>5881</v>
      </c>
      <c r="B5877">
        <v>0.99252571173614901</v>
      </c>
      <c r="C5877">
        <v>1.05333769922314</v>
      </c>
      <c r="D5877">
        <v>0.99106365315789602</v>
      </c>
      <c r="E5877">
        <v>0.96097866953586097</v>
      </c>
      <c r="F5877">
        <v>0.39610809224192001</v>
      </c>
      <c r="G5877">
        <v>0.16179678131293901</v>
      </c>
      <c r="H5877">
        <v>9.8827918394792102E-2</v>
      </c>
      <c r="I5877">
        <v>9.7755913791748E-2</v>
      </c>
      <c r="J5877">
        <v>8.6394090929411901E-2</v>
      </c>
      <c r="K5877">
        <v>8.0792494509695903E-2</v>
      </c>
      <c r="L5877">
        <v>2502.7365840853699</v>
      </c>
      <c r="M5877">
        <v>47.712727923469501</v>
      </c>
      <c r="N5877">
        <v>52.698391164536098</v>
      </c>
      <c r="O5877">
        <v>52.362382896580797</v>
      </c>
      <c r="P5877">
        <v>-0.20521444019510299</v>
      </c>
      <c r="Q5877">
        <v>9.9149798185105095E-2</v>
      </c>
      <c r="R5877">
        <v>0.997016758791896</v>
      </c>
      <c r="S5877" t="s">
        <v>12523</v>
      </c>
      <c r="T5877" t="s">
        <v>13290</v>
      </c>
      <c r="U5877" t="s">
        <v>13290</v>
      </c>
      <c r="V5877" t="s">
        <v>13290</v>
      </c>
      <c r="W5877" t="s">
        <v>19115</v>
      </c>
      <c r="X5877">
        <v>27</v>
      </c>
      <c r="Y5877" t="s">
        <v>25589</v>
      </c>
      <c r="Z5877" t="s">
        <v>32207</v>
      </c>
      <c r="AA5877">
        <v>0.47542090310982471</v>
      </c>
      <c r="AB5877" t="str">
        <f>HYPERLINK("Melting_Curves/meltCurve_Q9NR45_NANS.pdf", "Melting_Curves/meltCurve_Q9NR45_NANS.pdf")</f>
        <v>Melting_Curves/meltCurve_Q9NR45_NANS.pdf</v>
      </c>
    </row>
    <row r="5878" spans="1:28" x14ac:dyDescent="0.25">
      <c r="A5878" t="s">
        <v>5882</v>
      </c>
      <c r="B5878">
        <v>0.99252571173614901</v>
      </c>
      <c r="C5878">
        <v>1.1538273419890901</v>
      </c>
      <c r="D5878">
        <v>0.96505350024487102</v>
      </c>
      <c r="E5878">
        <v>0.93972869645081203</v>
      </c>
      <c r="F5878">
        <v>0.96827733702066998</v>
      </c>
      <c r="G5878">
        <v>0.80904342498993398</v>
      </c>
      <c r="H5878">
        <v>0.41178627948662999</v>
      </c>
      <c r="I5878">
        <v>0.12755301571639399</v>
      </c>
      <c r="J5878">
        <v>8.1919183623393996E-2</v>
      </c>
      <c r="K5878">
        <v>7.1522806629379695E-2</v>
      </c>
      <c r="L5878">
        <v>1724.0107182772199</v>
      </c>
      <c r="M5878">
        <v>28.911503786110401</v>
      </c>
      <c r="N5878">
        <v>59.816647887384299</v>
      </c>
      <c r="O5878">
        <v>59.3475125016435</v>
      </c>
      <c r="P5878">
        <v>-0.116553419054711</v>
      </c>
      <c r="Q5878">
        <v>4.2996401583886998E-2</v>
      </c>
      <c r="R5878">
        <v>0.98201910406167603</v>
      </c>
      <c r="S5878" t="s">
        <v>12524</v>
      </c>
      <c r="T5878" t="s">
        <v>13290</v>
      </c>
      <c r="U5878" t="s">
        <v>13290</v>
      </c>
      <c r="V5878" t="s">
        <v>13290</v>
      </c>
      <c r="W5878" t="s">
        <v>19116</v>
      </c>
      <c r="X5878">
        <v>2</v>
      </c>
      <c r="Y5878" t="s">
        <v>25590</v>
      </c>
      <c r="Z5878" t="s">
        <v>32208</v>
      </c>
      <c r="AA5878">
        <v>0.67547170486295938</v>
      </c>
      <c r="AB5878" t="str">
        <f>HYPERLINK("Melting_Curves/meltCurve_Q9NR48_2_ASH1L.pdf", "Melting_Curves/meltCurve_Q9NR48_2_ASH1L.pdf")</f>
        <v>Melting_Curves/meltCurve_Q9NR48_2_ASH1L.pdf</v>
      </c>
    </row>
    <row r="5879" spans="1:28" x14ac:dyDescent="0.25">
      <c r="A5879" t="s">
        <v>5883</v>
      </c>
      <c r="B5879">
        <v>0.99252571173614901</v>
      </c>
      <c r="C5879">
        <v>0.77436278631405897</v>
      </c>
      <c r="D5879">
        <v>0.96944947745356602</v>
      </c>
      <c r="E5879">
        <v>0.75439748619216696</v>
      </c>
      <c r="F5879">
        <v>0.27641044763491202</v>
      </c>
      <c r="G5879">
        <v>0.15644346794296801</v>
      </c>
      <c r="H5879">
        <v>8.9486209173350401E-2</v>
      </c>
      <c r="I5879">
        <v>6.6230971747574904E-2</v>
      </c>
      <c r="J5879">
        <v>6.9726171334837106E-2</v>
      </c>
      <c r="K5879">
        <v>6.8751601497327203E-2</v>
      </c>
      <c r="L5879">
        <v>1489.8445605972399</v>
      </c>
      <c r="M5879">
        <v>29.121764746323301</v>
      </c>
      <c r="N5879">
        <v>51.443924035482603</v>
      </c>
      <c r="O5879">
        <v>50.919729880863898</v>
      </c>
      <c r="P5879">
        <v>-0.13233591813614101</v>
      </c>
      <c r="Q5879">
        <v>7.4443494308288394E-2</v>
      </c>
      <c r="R5879">
        <v>0.96393709138557004</v>
      </c>
      <c r="S5879" t="s">
        <v>12525</v>
      </c>
      <c r="T5879" t="s">
        <v>13290</v>
      </c>
      <c r="U5879" t="s">
        <v>13290</v>
      </c>
      <c r="V5879" t="s">
        <v>13290</v>
      </c>
      <c r="W5879" t="s">
        <v>19117</v>
      </c>
      <c r="X5879">
        <v>18</v>
      </c>
      <c r="Y5879" t="s">
        <v>25591</v>
      </c>
      <c r="Z5879" t="s">
        <v>32209</v>
      </c>
      <c r="AA5879">
        <v>0.42491548213426888</v>
      </c>
      <c r="AB5879" t="str">
        <f>HYPERLINK("Melting_Curves/meltCurve_Q9NR50_EIF2B3.pdf", "Melting_Curves/meltCurve_Q9NR50_EIF2B3.pdf")</f>
        <v>Melting_Curves/meltCurve_Q9NR50_EIF2B3.pdf</v>
      </c>
    </row>
    <row r="5880" spans="1:28" x14ac:dyDescent="0.25">
      <c r="A5880" t="s">
        <v>5884</v>
      </c>
      <c r="B5880">
        <v>0.99252571173614901</v>
      </c>
      <c r="C5880">
        <v>0.97896535050872602</v>
      </c>
      <c r="D5880">
        <v>0.93354631439705205</v>
      </c>
      <c r="E5880">
        <v>0.783637521434979</v>
      </c>
      <c r="F5880">
        <v>0.62001153827395805</v>
      </c>
      <c r="G5880">
        <v>0.46789738451762097</v>
      </c>
      <c r="H5880">
        <v>0.43686102547904598</v>
      </c>
      <c r="I5880">
        <v>0.50485380207195296</v>
      </c>
      <c r="J5880">
        <v>0.63264573570739002</v>
      </c>
      <c r="K5880">
        <v>0.57434368485411702</v>
      </c>
      <c r="L5880">
        <v>1366.6371720479301</v>
      </c>
      <c r="M5880">
        <v>27.432133380441801</v>
      </c>
      <c r="O5880">
        <v>49.556369237099901</v>
      </c>
      <c r="P5880">
        <v>-6.5842640978339903E-2</v>
      </c>
      <c r="Q5880">
        <v>0.52422351103519704</v>
      </c>
      <c r="R5880">
        <v>0.92854916183338898</v>
      </c>
      <c r="S5880" t="s">
        <v>12526</v>
      </c>
      <c r="T5880" t="s">
        <v>13290</v>
      </c>
      <c r="U5880" t="s">
        <v>13290</v>
      </c>
      <c r="V5880" t="s">
        <v>13290</v>
      </c>
      <c r="W5880" t="s">
        <v>19118</v>
      </c>
      <c r="X5880">
        <v>2</v>
      </c>
      <c r="Y5880" t="s">
        <v>25592</v>
      </c>
      <c r="Z5880" t="s">
        <v>32210</v>
      </c>
      <c r="AA5880">
        <v>0.68346049445895385</v>
      </c>
      <c r="AB5880" t="str">
        <f>HYPERLINK("Melting_Curves/meltCurve_Q9NRA2_SLC17A5.pdf", "Melting_Curves/meltCurve_Q9NRA2_SLC17A5.pdf")</f>
        <v>Melting_Curves/meltCurve_Q9NRA2_SLC17A5.pdf</v>
      </c>
    </row>
    <row r="5881" spans="1:28" x14ac:dyDescent="0.25">
      <c r="A5881" t="s">
        <v>5885</v>
      </c>
      <c r="B5881">
        <v>0.99252571173614901</v>
      </c>
      <c r="C5881">
        <v>0.98942113032553802</v>
      </c>
      <c r="D5881">
        <v>0.77211058478361505</v>
      </c>
      <c r="E5881">
        <v>0.31604538255862202</v>
      </c>
      <c r="F5881">
        <v>0.128294155721217</v>
      </c>
      <c r="G5881">
        <v>6.9777838541976403E-2</v>
      </c>
      <c r="H5881">
        <v>4.7727395982482698E-2</v>
      </c>
      <c r="I5881">
        <v>4.9318758953067997E-2</v>
      </c>
      <c r="J5881">
        <v>5.8547371293726599E-2</v>
      </c>
      <c r="K5881">
        <v>5.8316965589533198E-2</v>
      </c>
      <c r="L5881">
        <v>1341.50177208183</v>
      </c>
      <c r="M5881">
        <v>27.990825230549301</v>
      </c>
      <c r="N5881">
        <v>48.131153595050897</v>
      </c>
      <c r="O5881">
        <v>47.683880593943698</v>
      </c>
      <c r="P5881">
        <v>-0.13851990199421399</v>
      </c>
      <c r="Q5881">
        <v>5.6104004655082501E-2</v>
      </c>
      <c r="R5881">
        <v>0.99926643540417903</v>
      </c>
      <c r="S5881" t="s">
        <v>12527</v>
      </c>
      <c r="T5881" t="s">
        <v>13290</v>
      </c>
      <c r="U5881" t="s">
        <v>13290</v>
      </c>
      <c r="V5881" t="s">
        <v>13290</v>
      </c>
      <c r="W5881" t="s">
        <v>19119</v>
      </c>
      <c r="X5881">
        <v>10</v>
      </c>
      <c r="Y5881" t="s">
        <v>25593</v>
      </c>
      <c r="Z5881" t="s">
        <v>32211</v>
      </c>
      <c r="AA5881">
        <v>0.31206380979655463</v>
      </c>
      <c r="AB5881" t="str">
        <f>HYPERLINK("Melting_Curves/meltCurve_Q9NRD5_PICK1.pdf", "Melting_Curves/meltCurve_Q9NRD5_PICK1.pdf")</f>
        <v>Melting_Curves/meltCurve_Q9NRD5_PICK1.pdf</v>
      </c>
    </row>
    <row r="5882" spans="1:28" x14ac:dyDescent="0.25">
      <c r="A5882" t="s">
        <v>5886</v>
      </c>
      <c r="B5882">
        <v>0.99252571173614901</v>
      </c>
      <c r="C5882">
        <v>1.000857060393</v>
      </c>
      <c r="D5882">
        <v>1.07330983653312</v>
      </c>
      <c r="E5882">
        <v>1.11971933281737</v>
      </c>
      <c r="F5882">
        <v>1.05849073981728</v>
      </c>
      <c r="G5882">
        <v>0.90631240001412805</v>
      </c>
      <c r="H5882">
        <v>0.80329963756248901</v>
      </c>
      <c r="I5882">
        <v>0.37161064991578002</v>
      </c>
      <c r="J5882">
        <v>0.17327812748566501</v>
      </c>
      <c r="K5882">
        <v>0.14389345505151699</v>
      </c>
      <c r="L5882">
        <v>2466.9873437337101</v>
      </c>
      <c r="M5882">
        <v>39.436210782581099</v>
      </c>
      <c r="N5882">
        <v>63.006420780728398</v>
      </c>
      <c r="O5882">
        <v>62.396192025296699</v>
      </c>
      <c r="P5882">
        <v>-0.13861386343580601</v>
      </c>
      <c r="Q5882">
        <v>0.12273943550887</v>
      </c>
      <c r="R5882">
        <v>0.97756626087477105</v>
      </c>
      <c r="S5882" t="s">
        <v>12528</v>
      </c>
      <c r="T5882" t="s">
        <v>13290</v>
      </c>
      <c r="U5882" t="s">
        <v>13290</v>
      </c>
      <c r="V5882" t="s">
        <v>13290</v>
      </c>
      <c r="W5882" t="s">
        <v>19120</v>
      </c>
      <c r="X5882">
        <v>20</v>
      </c>
      <c r="Y5882" t="s">
        <v>25594</v>
      </c>
      <c r="Z5882" t="s">
        <v>32212</v>
      </c>
      <c r="AA5882">
        <v>0.78531437827567907</v>
      </c>
      <c r="AB5882" t="str">
        <f>HYPERLINK("Melting_Curves/meltCurve_Q9NRF8_CTPS2.pdf", "Melting_Curves/meltCurve_Q9NRF8_CTPS2.pdf")</f>
        <v>Melting_Curves/meltCurve_Q9NRF8_CTPS2.pdf</v>
      </c>
    </row>
    <row r="5883" spans="1:28" x14ac:dyDescent="0.25">
      <c r="A5883" t="s">
        <v>5887</v>
      </c>
      <c r="B5883">
        <v>0.99252571173614901</v>
      </c>
      <c r="C5883">
        <v>1.05998376197902</v>
      </c>
      <c r="D5883">
        <v>0.92406033787638198</v>
      </c>
      <c r="E5883">
        <v>0.722554455643733</v>
      </c>
      <c r="F5883">
        <v>0.41867673801996802</v>
      </c>
      <c r="G5883">
        <v>0.28435261175023002</v>
      </c>
      <c r="H5883">
        <v>0.202451796057184</v>
      </c>
      <c r="I5883">
        <v>0.217149736560795</v>
      </c>
      <c r="J5883">
        <v>0.28343265920404298</v>
      </c>
      <c r="K5883">
        <v>0.27231156880220903</v>
      </c>
      <c r="L5883">
        <v>1313.23503890804</v>
      </c>
      <c r="M5883">
        <v>25.932136724408601</v>
      </c>
      <c r="N5883">
        <v>51.963548880565803</v>
      </c>
      <c r="O5883">
        <v>50.342927177366001</v>
      </c>
      <c r="P5883">
        <v>-9.7672771800746599E-2</v>
      </c>
      <c r="Q5883">
        <v>0.241546760169117</v>
      </c>
      <c r="R5883">
        <v>0.99001154404451297</v>
      </c>
      <c r="S5883" t="s">
        <v>12529</v>
      </c>
      <c r="T5883" t="s">
        <v>13290</v>
      </c>
      <c r="U5883" t="s">
        <v>13290</v>
      </c>
      <c r="V5883" t="s">
        <v>13290</v>
      </c>
      <c r="W5883" t="s">
        <v>19121</v>
      </c>
      <c r="X5883">
        <v>5</v>
      </c>
      <c r="Y5883" t="s">
        <v>25595</v>
      </c>
      <c r="Z5883" t="s">
        <v>32213</v>
      </c>
      <c r="AA5883">
        <v>0.51692196669190316</v>
      </c>
      <c r="AB5883" t="str">
        <f>HYPERLINK("Melting_Curves/meltCurve_Q9NRF9_POLE3.pdf", "Melting_Curves/meltCurve_Q9NRF9_POLE3.pdf")</f>
        <v>Melting_Curves/meltCurve_Q9NRF9_POLE3.pdf</v>
      </c>
    </row>
    <row r="5884" spans="1:28" x14ac:dyDescent="0.25">
      <c r="A5884" t="s">
        <v>5888</v>
      </c>
      <c r="B5884">
        <v>0.99252571173614901</v>
      </c>
      <c r="C5884">
        <v>1.10512596039489</v>
      </c>
      <c r="D5884">
        <v>0.99709752297143595</v>
      </c>
      <c r="E5884">
        <v>0.90978263427553696</v>
      </c>
      <c r="F5884">
        <v>0.47812373023068</v>
      </c>
      <c r="G5884">
        <v>0.20280796238169799</v>
      </c>
      <c r="H5884">
        <v>0.105944742274139</v>
      </c>
      <c r="I5884">
        <v>9.32082102639257E-2</v>
      </c>
      <c r="J5884">
        <v>8.6096499127105597E-2</v>
      </c>
      <c r="K5884">
        <v>9.8283645146003101E-2</v>
      </c>
      <c r="L5884">
        <v>1691.22893977793</v>
      </c>
      <c r="M5884">
        <v>32.040564187890901</v>
      </c>
      <c r="N5884">
        <v>53.1340235301289</v>
      </c>
      <c r="O5884">
        <v>52.579653720314397</v>
      </c>
      <c r="P5884">
        <v>-0.13784939648087099</v>
      </c>
      <c r="Q5884">
        <v>9.5142376826084896E-2</v>
      </c>
      <c r="R5884">
        <v>0.993075847458879</v>
      </c>
      <c r="S5884" t="s">
        <v>12530</v>
      </c>
      <c r="T5884" t="s">
        <v>13290</v>
      </c>
      <c r="U5884" t="s">
        <v>13290</v>
      </c>
      <c r="V5884" t="s">
        <v>13290</v>
      </c>
      <c r="W5884" t="s">
        <v>19122</v>
      </c>
      <c r="X5884">
        <v>3</v>
      </c>
      <c r="Y5884" t="s">
        <v>25596</v>
      </c>
      <c r="Z5884" t="s">
        <v>32214</v>
      </c>
      <c r="AA5884">
        <v>0.48586984123545263</v>
      </c>
      <c r="AB5884" t="str">
        <f>HYPERLINK("Melting_Curves/meltCurve_Q9NRG0_CHRAC1.pdf", "Melting_Curves/meltCurve_Q9NRG0_CHRAC1.pdf")</f>
        <v>Melting_Curves/meltCurve_Q9NRG0_CHRAC1.pdf</v>
      </c>
    </row>
    <row r="5885" spans="1:28" x14ac:dyDescent="0.25">
      <c r="A5885" t="s">
        <v>5889</v>
      </c>
      <c r="B5885">
        <v>0.99252571173614901</v>
      </c>
      <c r="C5885">
        <v>1.0353065954501599</v>
      </c>
      <c r="D5885">
        <v>1.00855861503266</v>
      </c>
      <c r="E5885">
        <v>0.91203856306140996</v>
      </c>
      <c r="F5885">
        <v>0.84119155384907196</v>
      </c>
      <c r="G5885">
        <v>0.775166929602919</v>
      </c>
      <c r="H5885">
        <v>0.75631431379640301</v>
      </c>
      <c r="I5885">
        <v>0.97545959352652201</v>
      </c>
      <c r="J5885">
        <v>1.23761284858225</v>
      </c>
      <c r="K5885">
        <v>1.1945660899806201</v>
      </c>
      <c r="L5885">
        <v>15000</v>
      </c>
      <c r="M5885">
        <v>228.89074048995499</v>
      </c>
      <c r="O5885">
        <v>65.528447682747199</v>
      </c>
      <c r="P5885">
        <v>0.189057668434603</v>
      </c>
      <c r="Q5885">
        <v>1.21649902450279</v>
      </c>
      <c r="R5885">
        <v>0.37071655862143599</v>
      </c>
      <c r="S5885" t="s">
        <v>12531</v>
      </c>
      <c r="T5885" t="s">
        <v>13290</v>
      </c>
      <c r="U5885" t="s">
        <v>13290</v>
      </c>
      <c r="V5885" t="s">
        <v>13290</v>
      </c>
      <c r="W5885" t="s">
        <v>19123</v>
      </c>
      <c r="X5885">
        <v>14</v>
      </c>
      <c r="Y5885" t="s">
        <v>25597</v>
      </c>
      <c r="Z5885" t="s">
        <v>32215</v>
      </c>
      <c r="AA5885">
        <v>1.0322037497791099</v>
      </c>
      <c r="AB5885" t="str">
        <f>HYPERLINK("Melting_Curves/meltCurve_Q9NRG1_PRTFDC1.pdf", "Melting_Curves/meltCurve_Q9NRG1_PRTFDC1.pdf")</f>
        <v>Melting_Curves/meltCurve_Q9NRG1_PRTFDC1.pdf</v>
      </c>
    </row>
    <row r="5886" spans="1:28" x14ac:dyDescent="0.25">
      <c r="A5886" t="s">
        <v>5890</v>
      </c>
      <c r="B5886">
        <v>0.99252571173614901</v>
      </c>
      <c r="C5886">
        <v>1.00409582036822</v>
      </c>
      <c r="D5886">
        <v>0.72725878334084204</v>
      </c>
      <c r="E5886">
        <v>0.31363028111343999</v>
      </c>
      <c r="F5886">
        <v>0.17332989979631799</v>
      </c>
      <c r="G5886">
        <v>0.10266002598263101</v>
      </c>
      <c r="H5886">
        <v>7.52862352407319E-2</v>
      </c>
      <c r="I5886">
        <v>8.0584832037845097E-2</v>
      </c>
      <c r="J5886">
        <v>8.4072724878530597E-2</v>
      </c>
      <c r="K5886">
        <v>8.7341946425075104E-2</v>
      </c>
      <c r="L5886">
        <v>1279.7075267815401</v>
      </c>
      <c r="M5886">
        <v>26.884573114985798</v>
      </c>
      <c r="N5886">
        <v>47.946144988870799</v>
      </c>
      <c r="O5886">
        <v>47.339045447534701</v>
      </c>
      <c r="P5886">
        <v>-0.129458344298475</v>
      </c>
      <c r="Q5886">
        <v>8.8194905460783707E-2</v>
      </c>
      <c r="R5886">
        <v>0.99687089456902001</v>
      </c>
      <c r="S5886" t="s">
        <v>12532</v>
      </c>
      <c r="T5886" t="s">
        <v>13290</v>
      </c>
      <c r="U5886" t="s">
        <v>13290</v>
      </c>
      <c r="V5886" t="s">
        <v>13290</v>
      </c>
      <c r="W5886" t="s">
        <v>19124</v>
      </c>
      <c r="X5886">
        <v>12</v>
      </c>
      <c r="Y5886" t="s">
        <v>25598</v>
      </c>
      <c r="Z5886" t="s">
        <v>32216</v>
      </c>
      <c r="AA5886">
        <v>0.326096278461731</v>
      </c>
      <c r="AB5886" t="str">
        <f>HYPERLINK("Melting_Curves/meltCurve_Q9NRG4_SMYD2.pdf", "Melting_Curves/meltCurve_Q9NRG4_SMYD2.pdf")</f>
        <v>Melting_Curves/meltCurve_Q9NRG4_SMYD2.pdf</v>
      </c>
    </row>
    <row r="5887" spans="1:28" x14ac:dyDescent="0.25">
      <c r="A5887" t="s">
        <v>5891</v>
      </c>
      <c r="B5887">
        <v>0.99252571173614901</v>
      </c>
      <c r="C5887">
        <v>0.98041965511561702</v>
      </c>
      <c r="D5887">
        <v>0.73303148573356203</v>
      </c>
      <c r="E5887">
        <v>0.370341117653952</v>
      </c>
      <c r="F5887">
        <v>0.20083286255698399</v>
      </c>
      <c r="G5887">
        <v>0.10481332614854599</v>
      </c>
      <c r="H5887">
        <v>7.5193170465549797E-2</v>
      </c>
      <c r="I5887">
        <v>6.3026245048552199E-2</v>
      </c>
      <c r="J5887">
        <v>5.0997975877484399E-2</v>
      </c>
      <c r="K5887">
        <v>4.6183911319223302E-2</v>
      </c>
      <c r="L5887">
        <v>1028.7578857071001</v>
      </c>
      <c r="M5887">
        <v>21.369710572960599</v>
      </c>
      <c r="N5887">
        <v>48.433189188833602</v>
      </c>
      <c r="O5887">
        <v>47.725316141605497</v>
      </c>
      <c r="P5887">
        <v>-0.10517287017478499</v>
      </c>
      <c r="Q5887">
        <v>6.0486517409391601E-2</v>
      </c>
      <c r="R5887">
        <v>0.99712349063069505</v>
      </c>
      <c r="S5887" t="s">
        <v>12533</v>
      </c>
      <c r="T5887" t="s">
        <v>13290</v>
      </c>
      <c r="U5887" t="s">
        <v>13290</v>
      </c>
      <c r="V5887" t="s">
        <v>13290</v>
      </c>
      <c r="W5887" t="s">
        <v>19125</v>
      </c>
      <c r="X5887">
        <v>5</v>
      </c>
      <c r="Y5887" t="s">
        <v>25599</v>
      </c>
      <c r="Z5887" t="s">
        <v>32217</v>
      </c>
      <c r="AA5887">
        <v>0.32701265218854508</v>
      </c>
      <c r="AB5887" t="str">
        <f>HYPERLINK("Melting_Curves/meltCurve_Q9NRG7_2_SDR39U1.pdf", "Melting_Curves/meltCurve_Q9NRG7_2_SDR39U1.pdf")</f>
        <v>Melting_Curves/meltCurve_Q9NRG7_2_SDR39U1.pdf</v>
      </c>
    </row>
    <row r="5888" spans="1:28" x14ac:dyDescent="0.25">
      <c r="A5888" t="s">
        <v>5892</v>
      </c>
      <c r="B5888">
        <v>0.99252571173614901</v>
      </c>
      <c r="C5888">
        <v>0.83719080419872904</v>
      </c>
      <c r="D5888">
        <v>0.83500537299750099</v>
      </c>
      <c r="E5888">
        <v>0.748848479148845</v>
      </c>
      <c r="F5888">
        <v>0.48831082427388001</v>
      </c>
      <c r="G5888">
        <v>0.15263782064363501</v>
      </c>
      <c r="H5888">
        <v>8.9933533517997294E-2</v>
      </c>
      <c r="I5888">
        <v>6.8316754248256506E-2</v>
      </c>
      <c r="J5888">
        <v>7.2248861042045601E-2</v>
      </c>
      <c r="K5888">
        <v>7.5139401573291201E-2</v>
      </c>
      <c r="L5888">
        <v>795.67027854396997</v>
      </c>
      <c r="M5888">
        <v>15.2645005267795</v>
      </c>
      <c r="N5888">
        <v>52.257477023887702</v>
      </c>
      <c r="O5888">
        <v>51.255468150652298</v>
      </c>
      <c r="P5888">
        <v>-7.3052461946104402E-2</v>
      </c>
      <c r="Q5888">
        <v>1.8903736703933399E-2</v>
      </c>
      <c r="R5888">
        <v>0.97380986209139797</v>
      </c>
      <c r="S5888" t="s">
        <v>12534</v>
      </c>
      <c r="T5888" t="s">
        <v>13290</v>
      </c>
      <c r="U5888" t="s">
        <v>13290</v>
      </c>
      <c r="V5888" t="s">
        <v>13290</v>
      </c>
      <c r="W5888" t="s">
        <v>19126</v>
      </c>
      <c r="X5888">
        <v>13</v>
      </c>
      <c r="Y5888" t="s">
        <v>25600</v>
      </c>
      <c r="Z5888" t="s">
        <v>32218</v>
      </c>
      <c r="AA5888">
        <v>0.43671191196118481</v>
      </c>
      <c r="AB5888" t="str">
        <f>HYPERLINK("Melting_Curves/meltCurve_Q9NRG9_AAAS.pdf", "Melting_Curves/meltCurve_Q9NRG9_AAAS.pdf")</f>
        <v>Melting_Curves/meltCurve_Q9NRG9_AAAS.pdf</v>
      </c>
    </row>
    <row r="5889" spans="1:28" x14ac:dyDescent="0.25">
      <c r="A5889" t="s">
        <v>5893</v>
      </c>
      <c r="B5889">
        <v>0.99252571173614901</v>
      </c>
      <c r="C5889">
        <v>1.0792608433879001</v>
      </c>
      <c r="D5889">
        <v>0.975064935828163</v>
      </c>
      <c r="E5889">
        <v>0.79195345117056404</v>
      </c>
      <c r="F5889">
        <v>0.57516535548707404</v>
      </c>
      <c r="G5889">
        <v>0.37586719209333003</v>
      </c>
      <c r="H5889">
        <v>0.21987302802002201</v>
      </c>
      <c r="I5889">
        <v>0.23666419219041401</v>
      </c>
      <c r="J5889">
        <v>0.26240197308525098</v>
      </c>
      <c r="K5889">
        <v>0.23043037506832101</v>
      </c>
      <c r="L5889">
        <v>1090.0281727424699</v>
      </c>
      <c r="M5889">
        <v>20.757550911834102</v>
      </c>
      <c r="N5889">
        <v>54.058369016404001</v>
      </c>
      <c r="O5889">
        <v>52.032286051969997</v>
      </c>
      <c r="P5889">
        <v>-7.7411392453644104E-2</v>
      </c>
      <c r="Q5889">
        <v>0.22384321393475101</v>
      </c>
      <c r="R5889">
        <v>0.98903045745345997</v>
      </c>
      <c r="S5889" t="s">
        <v>12535</v>
      </c>
      <c r="T5889" t="s">
        <v>13290</v>
      </c>
      <c r="U5889" t="s">
        <v>13290</v>
      </c>
      <c r="V5889" t="s">
        <v>13290</v>
      </c>
      <c r="W5889" t="s">
        <v>19127</v>
      </c>
      <c r="X5889">
        <v>4</v>
      </c>
      <c r="Y5889" t="s">
        <v>25601</v>
      </c>
      <c r="Z5889" t="s">
        <v>32219</v>
      </c>
      <c r="AA5889">
        <v>0.55759467037473343</v>
      </c>
      <c r="AB5889" t="str">
        <f>HYPERLINK("Melting_Curves/meltCurve_Q9NRH1_YAE1D1.pdf", "Melting_Curves/meltCurve_Q9NRH1_YAE1D1.pdf")</f>
        <v>Melting_Curves/meltCurve_Q9NRH1_YAE1D1.pdf</v>
      </c>
    </row>
    <row r="5890" spans="1:28" x14ac:dyDescent="0.25">
      <c r="A5890" t="s">
        <v>5894</v>
      </c>
      <c r="B5890">
        <v>0.99252571173614901</v>
      </c>
      <c r="C5890">
        <v>0.87754121903972604</v>
      </c>
      <c r="D5890">
        <v>0.86951535675649505</v>
      </c>
      <c r="E5890">
        <v>0.94116385624587695</v>
      </c>
      <c r="F5890">
        <v>0.84619010709408204</v>
      </c>
      <c r="G5890">
        <v>0.64491595096250298</v>
      </c>
      <c r="H5890">
        <v>0.46316285099547</v>
      </c>
      <c r="I5890">
        <v>0.26769972113156199</v>
      </c>
      <c r="J5890">
        <v>0.19096754583881501</v>
      </c>
      <c r="K5890">
        <v>0.150798097851117</v>
      </c>
      <c r="L5890">
        <v>733.86123513848702</v>
      </c>
      <c r="M5890">
        <v>12.309924821698599</v>
      </c>
      <c r="N5890">
        <v>59.615411672030099</v>
      </c>
      <c r="O5890">
        <v>58.1076661486738</v>
      </c>
      <c r="P5890">
        <v>-5.2973272902127E-2</v>
      </c>
      <c r="Q5890">
        <v>0</v>
      </c>
      <c r="R5890">
        <v>0.97201231759288398</v>
      </c>
      <c r="S5890" t="s">
        <v>12536</v>
      </c>
      <c r="T5890" t="s">
        <v>13290</v>
      </c>
      <c r="U5890" t="s">
        <v>13290</v>
      </c>
      <c r="V5890" t="s">
        <v>13290</v>
      </c>
      <c r="W5890" t="s">
        <v>19128</v>
      </c>
      <c r="X5890">
        <v>11</v>
      </c>
      <c r="Y5890" t="s">
        <v>25602</v>
      </c>
      <c r="Z5890" t="s">
        <v>32220</v>
      </c>
      <c r="AA5890">
        <v>0.65904415700594798</v>
      </c>
      <c r="AB5890" t="str">
        <f>HYPERLINK("Melting_Curves/meltCurve_Q9NRK6_ABCB10.pdf", "Melting_Curves/meltCurve_Q9NRK6_ABCB10.pdf")</f>
        <v>Melting_Curves/meltCurve_Q9NRK6_ABCB10.pdf</v>
      </c>
    </row>
    <row r="5891" spans="1:28" x14ac:dyDescent="0.25">
      <c r="A5891" t="s">
        <v>5895</v>
      </c>
      <c r="B5891">
        <v>0.99252571173614901</v>
      </c>
      <c r="C5891">
        <v>0.76689288964820601</v>
      </c>
      <c r="D5891">
        <v>0.46320547118198302</v>
      </c>
      <c r="E5891">
        <v>0.28521487612750901</v>
      </c>
      <c r="F5891">
        <v>0.18772459204148501</v>
      </c>
      <c r="G5891">
        <v>0.11563777610627</v>
      </c>
      <c r="H5891">
        <v>0.124166250941195</v>
      </c>
      <c r="I5891">
        <v>0.15912622037032501</v>
      </c>
      <c r="J5891">
        <v>0.18885544108861799</v>
      </c>
      <c r="K5891">
        <v>0.200979116253763</v>
      </c>
      <c r="L5891">
        <v>1005.901681846</v>
      </c>
      <c r="M5891">
        <v>22.393931836441901</v>
      </c>
      <c r="N5891">
        <v>45.709005638956803</v>
      </c>
      <c r="O5891">
        <v>44.564903476343403</v>
      </c>
      <c r="P5891">
        <v>-0.105458032227997</v>
      </c>
      <c r="Q5891">
        <v>0.16055309458700101</v>
      </c>
      <c r="R5891">
        <v>0.98780137886952701</v>
      </c>
      <c r="S5891" t="s">
        <v>12537</v>
      </c>
      <c r="T5891" t="s">
        <v>13290</v>
      </c>
      <c r="U5891" t="s">
        <v>13290</v>
      </c>
      <c r="V5891" t="s">
        <v>13290</v>
      </c>
      <c r="W5891" t="s">
        <v>19129</v>
      </c>
      <c r="X5891">
        <v>4</v>
      </c>
      <c r="Y5891" t="s">
        <v>25603</v>
      </c>
      <c r="Z5891" t="s">
        <v>32221</v>
      </c>
      <c r="AA5891">
        <v>0.30916582514910429</v>
      </c>
      <c r="AB5891" t="str">
        <f>HYPERLINK("Melting_Curves/meltCurve_Q9NRL2_2_BAZ1A.pdf", "Melting_Curves/meltCurve_Q9NRL2_2_BAZ1A.pdf")</f>
        <v>Melting_Curves/meltCurve_Q9NRL2_2_BAZ1A.pdf</v>
      </c>
    </row>
    <row r="5892" spans="1:28" x14ac:dyDescent="0.25">
      <c r="A5892" t="s">
        <v>5896</v>
      </c>
      <c r="B5892">
        <v>0.99252571173614901</v>
      </c>
      <c r="C5892">
        <v>0.94271862796132699</v>
      </c>
      <c r="D5892">
        <v>0.93842297128307595</v>
      </c>
      <c r="E5892">
        <v>0.74305322624541503</v>
      </c>
      <c r="F5892">
        <v>0.57294246744352895</v>
      </c>
      <c r="G5892">
        <v>0.20546833204463499</v>
      </c>
      <c r="H5892">
        <v>0.180454325265442</v>
      </c>
      <c r="I5892">
        <v>0.16767614565859501</v>
      </c>
      <c r="J5892">
        <v>0.21124713255052999</v>
      </c>
      <c r="K5892">
        <v>0.17738366452937701</v>
      </c>
      <c r="L5892">
        <v>1067.9190256666</v>
      </c>
      <c r="M5892">
        <v>20.497995815711</v>
      </c>
      <c r="N5892">
        <v>53.083113711777699</v>
      </c>
      <c r="O5892">
        <v>51.610452806499403</v>
      </c>
      <c r="P5892">
        <v>-8.3594981451193998E-2</v>
      </c>
      <c r="Q5892">
        <v>0.158113314500612</v>
      </c>
      <c r="R5892">
        <v>0.98312383475327703</v>
      </c>
      <c r="S5892" t="s">
        <v>12538</v>
      </c>
      <c r="T5892" t="s">
        <v>13290</v>
      </c>
      <c r="U5892" t="s">
        <v>13290</v>
      </c>
      <c r="V5892" t="s">
        <v>13290</v>
      </c>
      <c r="W5892" t="s">
        <v>19130</v>
      </c>
      <c r="X5892">
        <v>12</v>
      </c>
      <c r="Y5892" t="s">
        <v>25604</v>
      </c>
      <c r="Z5892" t="s">
        <v>32222</v>
      </c>
      <c r="AA5892">
        <v>0.50878110656924347</v>
      </c>
      <c r="AB5892" t="str">
        <f>HYPERLINK("Melting_Curves/meltCurve_Q9NRL3_STRN4.pdf", "Melting_Curves/meltCurve_Q9NRL3_STRN4.pdf")</f>
        <v>Melting_Curves/meltCurve_Q9NRL3_STRN4.pdf</v>
      </c>
    </row>
    <row r="5893" spans="1:28" x14ac:dyDescent="0.25">
      <c r="A5893" t="s">
        <v>5897</v>
      </c>
      <c r="B5893">
        <v>0.99252571173614901</v>
      </c>
      <c r="C5893">
        <v>1.00075872966474</v>
      </c>
      <c r="D5893">
        <v>0.920631800339483</v>
      </c>
      <c r="E5893">
        <v>0.67175051835363897</v>
      </c>
      <c r="F5893">
        <v>0.32415002637163398</v>
      </c>
      <c r="G5893">
        <v>0.10898363545046399</v>
      </c>
      <c r="H5893">
        <v>7.0086863014107104E-2</v>
      </c>
      <c r="I5893">
        <v>6.4360676311661702E-2</v>
      </c>
      <c r="J5893">
        <v>7.0285227624369007E-2</v>
      </c>
      <c r="K5893">
        <v>6.6661491368645104E-2</v>
      </c>
      <c r="L5893">
        <v>1204.7626575363199</v>
      </c>
      <c r="M5893">
        <v>23.6515357384853</v>
      </c>
      <c r="N5893">
        <v>51.199171218330299</v>
      </c>
      <c r="O5893">
        <v>50.578058759924701</v>
      </c>
      <c r="P5893">
        <v>-0.110265218426017</v>
      </c>
      <c r="Q5893">
        <v>5.6820788779011699E-2</v>
      </c>
      <c r="R5893">
        <v>0.99919501128011801</v>
      </c>
      <c r="S5893" t="s">
        <v>12539</v>
      </c>
      <c r="T5893" t="s">
        <v>13290</v>
      </c>
      <c r="U5893" t="s">
        <v>13290</v>
      </c>
      <c r="V5893" t="s">
        <v>13290</v>
      </c>
      <c r="W5893" t="s">
        <v>19131</v>
      </c>
      <c r="X5893">
        <v>15</v>
      </c>
      <c r="Y5893" t="s">
        <v>25605</v>
      </c>
      <c r="Z5893" t="s">
        <v>32223</v>
      </c>
      <c r="AA5893">
        <v>0.41019826509396101</v>
      </c>
      <c r="AB5893" t="str">
        <f>HYPERLINK("Melting_Curves/meltCurve_Q9NRN7_AASDHPPT.pdf", "Melting_Curves/meltCurve_Q9NRN7_AASDHPPT.pdf")</f>
        <v>Melting_Curves/meltCurve_Q9NRN7_AASDHPPT.pdf</v>
      </c>
    </row>
    <row r="5894" spans="1:28" x14ac:dyDescent="0.25">
      <c r="A5894" t="s">
        <v>5898</v>
      </c>
      <c r="B5894">
        <v>0.99252571173614901</v>
      </c>
      <c r="C5894">
        <v>1.1016767790600199</v>
      </c>
      <c r="D5894">
        <v>0.97526482150843197</v>
      </c>
      <c r="E5894">
        <v>0.88853588603985201</v>
      </c>
      <c r="F5894">
        <v>0.85940081712983096</v>
      </c>
      <c r="G5894">
        <v>0.79146809781306104</v>
      </c>
      <c r="H5894">
        <v>0.79411430886835099</v>
      </c>
      <c r="I5894">
        <v>1.00107510063171</v>
      </c>
      <c r="J5894">
        <v>1.2579845344062199</v>
      </c>
      <c r="K5894">
        <v>1.1043229890736499</v>
      </c>
      <c r="L5894">
        <v>15000</v>
      </c>
      <c r="M5894">
        <v>230.60445420632999</v>
      </c>
      <c r="O5894">
        <v>65.041552308950401</v>
      </c>
      <c r="P5894">
        <v>0.160579635070313</v>
      </c>
      <c r="Q5894">
        <v>1.1811647374279499</v>
      </c>
      <c r="R5894">
        <v>0.299138213189381</v>
      </c>
      <c r="S5894" t="s">
        <v>12540</v>
      </c>
      <c r="T5894" t="s">
        <v>13290</v>
      </c>
      <c r="U5894" t="s">
        <v>13290</v>
      </c>
      <c r="V5894" t="s">
        <v>13290</v>
      </c>
      <c r="W5894" t="s">
        <v>19132</v>
      </c>
      <c r="X5894">
        <v>13</v>
      </c>
      <c r="Y5894" t="s">
        <v>25606</v>
      </c>
      <c r="Z5894" t="s">
        <v>32224</v>
      </c>
      <c r="AA5894">
        <v>1.0298893414446539</v>
      </c>
      <c r="AB5894" t="str">
        <f>HYPERLINK("Melting_Curves/meltCurve_Q9NRN9_METTL5.pdf", "Melting_Curves/meltCurve_Q9NRN9_METTL5.pdf")</f>
        <v>Melting_Curves/meltCurve_Q9NRN9_METTL5.pdf</v>
      </c>
    </row>
    <row r="5895" spans="1:28" x14ac:dyDescent="0.25">
      <c r="A5895" t="s">
        <v>5899</v>
      </c>
      <c r="B5895">
        <v>0.99252571173614901</v>
      </c>
      <c r="C5895">
        <v>0.89017428987283298</v>
      </c>
      <c r="D5895">
        <v>0.82760461090193205</v>
      </c>
      <c r="E5895">
        <v>0.51207008065585402</v>
      </c>
      <c r="F5895">
        <v>0.36946415754223499</v>
      </c>
      <c r="G5895">
        <v>0.19187736841704001</v>
      </c>
      <c r="H5895">
        <v>9.9638727624218604E-2</v>
      </c>
      <c r="I5895">
        <v>8.2626017456335202E-2</v>
      </c>
      <c r="J5895">
        <v>8.2057799604865797E-2</v>
      </c>
      <c r="K5895">
        <v>8.0453018380234595E-2</v>
      </c>
      <c r="L5895">
        <v>724.51974799847505</v>
      </c>
      <c r="M5895">
        <v>14.4920367638504</v>
      </c>
      <c r="N5895">
        <v>50.386475237375798</v>
      </c>
      <c r="O5895">
        <v>49.071294092662299</v>
      </c>
      <c r="P5895">
        <v>-6.9902219058070397E-2</v>
      </c>
      <c r="Q5895">
        <v>5.3329209176138898E-2</v>
      </c>
      <c r="R5895">
        <v>0.99472203787716995</v>
      </c>
      <c r="S5895" t="s">
        <v>12541</v>
      </c>
      <c r="T5895" t="s">
        <v>13290</v>
      </c>
      <c r="U5895" t="s">
        <v>13290</v>
      </c>
      <c r="V5895" t="s">
        <v>13290</v>
      </c>
      <c r="W5895" t="s">
        <v>19133</v>
      </c>
      <c r="X5895">
        <v>1</v>
      </c>
      <c r="Y5895" t="s">
        <v>25607</v>
      </c>
      <c r="Z5895" t="s">
        <v>32225</v>
      </c>
      <c r="AA5895">
        <v>0.39269538738345272</v>
      </c>
      <c r="AB5895" t="str">
        <f>HYPERLINK("Melting_Curves/meltCurve_Q9NRP0_OSTC.pdf", "Melting_Curves/meltCurve_Q9NRP0_OSTC.pdf")</f>
        <v>Melting_Curves/meltCurve_Q9NRP0_OSTC.pdf</v>
      </c>
    </row>
    <row r="5896" spans="1:28" x14ac:dyDescent="0.25">
      <c r="A5896" t="s">
        <v>5900</v>
      </c>
      <c r="B5896">
        <v>0.99252571173614901</v>
      </c>
      <c r="C5896">
        <v>0.96100308085362196</v>
      </c>
      <c r="D5896">
        <v>0.870265867671003</v>
      </c>
      <c r="E5896">
        <v>0.80003978261596997</v>
      </c>
      <c r="F5896">
        <v>0.49988831970339498</v>
      </c>
      <c r="G5896">
        <v>0.36210730971500199</v>
      </c>
      <c r="H5896">
        <v>0.33508644759892597</v>
      </c>
      <c r="I5896">
        <v>0.43171035927262702</v>
      </c>
      <c r="J5896">
        <v>1.11002513236623</v>
      </c>
      <c r="K5896">
        <v>1.0285838107501799</v>
      </c>
      <c r="L5896">
        <v>1459.65981785493</v>
      </c>
      <c r="M5896">
        <v>30.731634373680201</v>
      </c>
      <c r="O5896">
        <v>47.297222304176003</v>
      </c>
      <c r="P5896">
        <v>-5.9098755009860698E-2</v>
      </c>
      <c r="Q5896">
        <v>0.63618070201230303</v>
      </c>
      <c r="R5896">
        <v>0.238356611148306</v>
      </c>
      <c r="S5896" t="s">
        <v>12542</v>
      </c>
      <c r="T5896" t="s">
        <v>13290</v>
      </c>
      <c r="U5896" t="s">
        <v>13290</v>
      </c>
      <c r="V5896" t="s">
        <v>13290</v>
      </c>
      <c r="W5896" t="s">
        <v>19134</v>
      </c>
      <c r="X5896">
        <v>8</v>
      </c>
      <c r="Y5896" t="s">
        <v>25608</v>
      </c>
      <c r="Z5896" t="s">
        <v>32226</v>
      </c>
      <c r="AA5896">
        <v>0.72917316716289193</v>
      </c>
      <c r="AB5896" t="str">
        <f>HYPERLINK("Melting_Curves/meltCurve_Q9NRP2_CMC2.pdf", "Melting_Curves/meltCurve_Q9NRP2_CMC2.pdf")</f>
        <v>Melting_Curves/meltCurve_Q9NRP2_CMC2.pdf</v>
      </c>
    </row>
    <row r="5897" spans="1:28" x14ac:dyDescent="0.25">
      <c r="A5897" t="s">
        <v>5901</v>
      </c>
      <c r="B5897">
        <v>0.99252571173614901</v>
      </c>
      <c r="C5897">
        <v>1.00843692443333</v>
      </c>
      <c r="D5897">
        <v>0.81262956994114199</v>
      </c>
      <c r="E5897">
        <v>0.51095989806568698</v>
      </c>
      <c r="F5897">
        <v>0.30540117236303699</v>
      </c>
      <c r="G5897">
        <v>0.18949550561650599</v>
      </c>
      <c r="H5897">
        <v>0.13557391437208799</v>
      </c>
      <c r="I5897">
        <v>0.102902307228983</v>
      </c>
      <c r="J5897">
        <v>0.10708243309354699</v>
      </c>
      <c r="K5897">
        <v>9.3476026691154804E-2</v>
      </c>
      <c r="L5897">
        <v>936.04545526846698</v>
      </c>
      <c r="M5897">
        <v>18.9524484127002</v>
      </c>
      <c r="N5897">
        <v>49.998912160708898</v>
      </c>
      <c r="O5897">
        <v>48.849151358821601</v>
      </c>
      <c r="P5897">
        <v>-8.6990113331831598E-2</v>
      </c>
      <c r="Q5897">
        <v>0.103182389361344</v>
      </c>
      <c r="R5897">
        <v>0.99625759635289801</v>
      </c>
      <c r="S5897" t="s">
        <v>12543</v>
      </c>
      <c r="T5897" t="s">
        <v>13290</v>
      </c>
      <c r="U5897" t="s">
        <v>13290</v>
      </c>
      <c r="V5897" t="s">
        <v>13290</v>
      </c>
      <c r="W5897" t="s">
        <v>19135</v>
      </c>
      <c r="X5897">
        <v>3</v>
      </c>
      <c r="Y5897" t="s">
        <v>25609</v>
      </c>
      <c r="Z5897" t="s">
        <v>32227</v>
      </c>
      <c r="AA5897">
        <v>0.39780058868848878</v>
      </c>
      <c r="AB5897" t="str">
        <f>HYPERLINK("Melting_Curves/meltCurve_Q9NRP4_ACN9.pdf", "Melting_Curves/meltCurve_Q9NRP4_ACN9.pdf")</f>
        <v>Melting_Curves/meltCurve_Q9NRP4_ACN9.pdf</v>
      </c>
    </row>
    <row r="5898" spans="1:28" x14ac:dyDescent="0.25">
      <c r="A5898" t="s">
        <v>5902</v>
      </c>
      <c r="B5898">
        <v>0.99252571173614901</v>
      </c>
      <c r="C5898">
        <v>1.0336262297760901</v>
      </c>
      <c r="D5898">
        <v>0.91370513094453798</v>
      </c>
      <c r="E5898">
        <v>0.83341628250331501</v>
      </c>
      <c r="F5898">
        <v>0.71756100623298102</v>
      </c>
      <c r="G5898">
        <v>0.58596420685648498</v>
      </c>
      <c r="H5898">
        <v>0.47590263189524701</v>
      </c>
      <c r="I5898">
        <v>0.58771146682152997</v>
      </c>
      <c r="J5898">
        <v>0.72240242473626404</v>
      </c>
      <c r="K5898">
        <v>0.65642055713163205</v>
      </c>
      <c r="L5898">
        <v>1191.38278979814</v>
      </c>
      <c r="M5898">
        <v>23.793611247344199</v>
      </c>
      <c r="O5898">
        <v>49.721873812288997</v>
      </c>
      <c r="P5898">
        <v>-4.7188000541002501E-2</v>
      </c>
      <c r="Q5898">
        <v>0.60556850174191201</v>
      </c>
      <c r="R5898">
        <v>0.86756339533031102</v>
      </c>
      <c r="S5898" t="s">
        <v>12544</v>
      </c>
      <c r="T5898" t="s">
        <v>13290</v>
      </c>
      <c r="U5898" t="s">
        <v>13290</v>
      </c>
      <c r="V5898" t="s">
        <v>13290</v>
      </c>
      <c r="W5898" t="s">
        <v>19136</v>
      </c>
      <c r="X5898">
        <v>15</v>
      </c>
      <c r="Y5898" t="s">
        <v>25610</v>
      </c>
      <c r="Z5898" t="s">
        <v>32228</v>
      </c>
      <c r="AA5898">
        <v>0.74188164731712092</v>
      </c>
      <c r="AB5898" t="str">
        <f>HYPERLINK("Melting_Curves/meltCurve_Q9NRR5_UBQLN4.pdf", "Melting_Curves/meltCurve_Q9NRR5_UBQLN4.pdf")</f>
        <v>Melting_Curves/meltCurve_Q9NRR5_UBQLN4.pdf</v>
      </c>
    </row>
    <row r="5899" spans="1:28" x14ac:dyDescent="0.25">
      <c r="A5899" t="s">
        <v>5903</v>
      </c>
      <c r="B5899">
        <v>0.99252571173614901</v>
      </c>
      <c r="C5899">
        <v>0.97606058393306305</v>
      </c>
      <c r="D5899">
        <v>0.90548203800735705</v>
      </c>
      <c r="E5899">
        <v>0.81155381033878204</v>
      </c>
      <c r="F5899">
        <v>0.60933843365067897</v>
      </c>
      <c r="G5899">
        <v>0.38679062368112099</v>
      </c>
      <c r="H5899">
        <v>0.48297859531633103</v>
      </c>
      <c r="I5899">
        <v>0.35517553148152498</v>
      </c>
      <c r="J5899">
        <v>0.35891367237217697</v>
      </c>
      <c r="K5899">
        <v>0.35198096774065701</v>
      </c>
      <c r="L5899">
        <v>927.87510160874899</v>
      </c>
      <c r="M5899">
        <v>17.979728140013702</v>
      </c>
      <c r="N5899">
        <v>55.4361291002377</v>
      </c>
      <c r="O5899">
        <v>50.981042761057601</v>
      </c>
      <c r="P5899">
        <v>-5.6819037337486201E-2</v>
      </c>
      <c r="Q5899">
        <v>0.355596435673319</v>
      </c>
      <c r="R5899">
        <v>0.97719935318217799</v>
      </c>
      <c r="S5899" t="s">
        <v>12545</v>
      </c>
      <c r="T5899" t="s">
        <v>13290</v>
      </c>
      <c r="U5899" t="s">
        <v>13290</v>
      </c>
      <c r="V5899" t="s">
        <v>13290</v>
      </c>
      <c r="W5899" t="s">
        <v>19137</v>
      </c>
      <c r="X5899">
        <v>1</v>
      </c>
      <c r="Y5899" t="s">
        <v>25611</v>
      </c>
      <c r="Z5899" t="s">
        <v>32229</v>
      </c>
      <c r="AA5899">
        <v>0.61571069358751263</v>
      </c>
      <c r="AB5899" t="str">
        <f>HYPERLINK("Melting_Curves/meltCurve_Q9NRR8_CDC42SE1.pdf", "Melting_Curves/meltCurve_Q9NRR8_CDC42SE1.pdf")</f>
        <v>Melting_Curves/meltCurve_Q9NRR8_CDC42SE1.pdf</v>
      </c>
    </row>
    <row r="5900" spans="1:28" x14ac:dyDescent="0.25">
      <c r="A5900" t="s">
        <v>5904</v>
      </c>
      <c r="B5900">
        <v>0.99252571173614901</v>
      </c>
      <c r="C5900">
        <v>1.05928328242027</v>
      </c>
      <c r="D5900">
        <v>0.92038322247412596</v>
      </c>
      <c r="E5900">
        <v>0.66290635087637195</v>
      </c>
      <c r="F5900">
        <v>0.40863874262142602</v>
      </c>
      <c r="G5900">
        <v>0.196021097075634</v>
      </c>
      <c r="H5900">
        <v>0.10128331703992199</v>
      </c>
      <c r="I5900">
        <v>0.101535195403995</v>
      </c>
      <c r="J5900">
        <v>0.121482794507199</v>
      </c>
      <c r="K5900">
        <v>0.11492444422596799</v>
      </c>
      <c r="L5900">
        <v>1062.2693202733701</v>
      </c>
      <c r="M5900">
        <v>20.763851363907499</v>
      </c>
      <c r="N5900">
        <v>51.704626830968699</v>
      </c>
      <c r="O5900">
        <v>50.692111538778398</v>
      </c>
      <c r="P5900">
        <v>-9.2338606508655302E-2</v>
      </c>
      <c r="Q5900">
        <v>9.8296777775758806E-2</v>
      </c>
      <c r="R5900">
        <v>0.99390813159375002</v>
      </c>
      <c r="S5900" t="s">
        <v>12546</v>
      </c>
      <c r="T5900" t="s">
        <v>13290</v>
      </c>
      <c r="U5900" t="s">
        <v>13290</v>
      </c>
      <c r="V5900" t="s">
        <v>13290</v>
      </c>
      <c r="W5900" t="s">
        <v>19138</v>
      </c>
      <c r="X5900">
        <v>11</v>
      </c>
      <c r="Y5900" t="s">
        <v>25612</v>
      </c>
      <c r="Z5900" t="s">
        <v>32230</v>
      </c>
      <c r="AA5900">
        <v>0.44538187911717197</v>
      </c>
      <c r="AB5900" t="str">
        <f>HYPERLINK("Melting_Curves/meltCurve_Q9NRV9_HEBP1.pdf", "Melting_Curves/meltCurve_Q9NRV9_HEBP1.pdf")</f>
        <v>Melting_Curves/meltCurve_Q9NRV9_HEBP1.pdf</v>
      </c>
    </row>
    <row r="5901" spans="1:28" x14ac:dyDescent="0.25">
      <c r="A5901" t="s">
        <v>5905</v>
      </c>
      <c r="B5901">
        <v>0.99252571173614901</v>
      </c>
      <c r="C5901">
        <v>0.97272545063972105</v>
      </c>
      <c r="D5901">
        <v>0.80783277173467605</v>
      </c>
      <c r="E5901">
        <v>0.80555939320179604</v>
      </c>
      <c r="F5901">
        <v>0.63564857311610701</v>
      </c>
      <c r="G5901">
        <v>0.54848291312014197</v>
      </c>
      <c r="H5901">
        <v>0.438442025102664</v>
      </c>
      <c r="I5901">
        <v>0.54126639182513003</v>
      </c>
      <c r="J5901">
        <v>0.67536314264769803</v>
      </c>
      <c r="K5901">
        <v>0.43382413039477702</v>
      </c>
      <c r="L5901">
        <v>727.00956162697105</v>
      </c>
      <c r="M5901">
        <v>14.734165578890501</v>
      </c>
      <c r="O5901">
        <v>48.459593441229899</v>
      </c>
      <c r="P5901">
        <v>-3.7425559342327198E-2</v>
      </c>
      <c r="Q5901">
        <v>0.50769361874841001</v>
      </c>
      <c r="R5901">
        <v>0.864740919771537</v>
      </c>
      <c r="S5901" t="s">
        <v>12547</v>
      </c>
      <c r="T5901" t="s">
        <v>13290</v>
      </c>
      <c r="U5901" t="s">
        <v>13290</v>
      </c>
      <c r="V5901" t="s">
        <v>13290</v>
      </c>
      <c r="W5901" t="s">
        <v>19139</v>
      </c>
      <c r="X5901">
        <v>9</v>
      </c>
      <c r="Y5901" t="s">
        <v>25613</v>
      </c>
      <c r="Z5901" t="s">
        <v>32231</v>
      </c>
      <c r="AA5901">
        <v>0.67339596623382814</v>
      </c>
      <c r="AB5901" t="str">
        <f>HYPERLINK("Melting_Curves/meltCurve_Q9NRW1_RAB6B.pdf", "Melting_Curves/meltCurve_Q9NRW1_RAB6B.pdf")</f>
        <v>Melting_Curves/meltCurve_Q9NRW1_RAB6B.pdf</v>
      </c>
    </row>
    <row r="5902" spans="1:28" x14ac:dyDescent="0.25">
      <c r="A5902" t="s">
        <v>5906</v>
      </c>
      <c r="B5902">
        <v>0.99252571173614901</v>
      </c>
      <c r="C5902">
        <v>0.86704566196546595</v>
      </c>
      <c r="D5902">
        <v>0.651416891068338</v>
      </c>
      <c r="E5902">
        <v>0.27279359354749699</v>
      </c>
      <c r="F5902">
        <v>0.137148778310893</v>
      </c>
      <c r="G5902">
        <v>0.102357373390164</v>
      </c>
      <c r="H5902">
        <v>7.4260067186763104E-2</v>
      </c>
      <c r="I5902">
        <v>8.35907346052846E-2</v>
      </c>
      <c r="J5902">
        <v>7.6680428959892799E-2</v>
      </c>
      <c r="K5902">
        <v>7.3276939226943102E-2</v>
      </c>
      <c r="L5902">
        <v>1033.28667672803</v>
      </c>
      <c r="M5902">
        <v>22.048687114633399</v>
      </c>
      <c r="N5902">
        <v>47.2117857711605</v>
      </c>
      <c r="O5902">
        <v>46.483476486470003</v>
      </c>
      <c r="P5902">
        <v>-0.10969384643605599</v>
      </c>
      <c r="Q5902">
        <v>7.4985614436402295E-2</v>
      </c>
      <c r="R5902">
        <v>0.99865836933903096</v>
      </c>
      <c r="S5902" t="s">
        <v>12548</v>
      </c>
      <c r="T5902" t="s">
        <v>13290</v>
      </c>
      <c r="U5902" t="s">
        <v>13290</v>
      </c>
      <c r="V5902" t="s">
        <v>13290</v>
      </c>
      <c r="W5902" t="s">
        <v>19140</v>
      </c>
      <c r="X5902">
        <v>1</v>
      </c>
      <c r="Y5902" t="s">
        <v>25614</v>
      </c>
      <c r="Z5902" t="s">
        <v>32232</v>
      </c>
      <c r="AA5902">
        <v>0.29758284775136729</v>
      </c>
      <c r="AB5902" t="str">
        <f>HYPERLINK("Melting_Curves/meltCurve_Q9NRW4_DUSP22.pdf", "Melting_Curves/meltCurve_Q9NRW4_DUSP22.pdf")</f>
        <v>Melting_Curves/meltCurve_Q9NRW4_DUSP22.pdf</v>
      </c>
    </row>
    <row r="5903" spans="1:28" x14ac:dyDescent="0.25">
      <c r="A5903" t="s">
        <v>5907</v>
      </c>
      <c r="B5903">
        <v>0.99252571173614901</v>
      </c>
      <c r="C5903">
        <v>0.90392513776736305</v>
      </c>
      <c r="D5903">
        <v>0.80224586995705904</v>
      </c>
      <c r="E5903">
        <v>0.42414030972238997</v>
      </c>
      <c r="F5903">
        <v>0.169293955370901</v>
      </c>
      <c r="G5903">
        <v>9.6065954108323595E-2</v>
      </c>
      <c r="H5903">
        <v>6.6811480040342194E-2</v>
      </c>
      <c r="I5903">
        <v>7.4382149585274698E-2</v>
      </c>
      <c r="J5903">
        <v>9.6724209196966199E-2</v>
      </c>
      <c r="K5903">
        <v>9.1966182382947695E-2</v>
      </c>
      <c r="L5903">
        <v>1098.40073563755</v>
      </c>
      <c r="M5903">
        <v>22.672391757701199</v>
      </c>
      <c r="N5903">
        <v>48.793900182546302</v>
      </c>
      <c r="O5903">
        <v>48.074469789503198</v>
      </c>
      <c r="P5903">
        <v>-0.109119780712534</v>
      </c>
      <c r="Q5903">
        <v>7.4509771994436202E-2</v>
      </c>
      <c r="R5903">
        <v>0.99696513201130599</v>
      </c>
      <c r="S5903" t="s">
        <v>12549</v>
      </c>
      <c r="T5903" t="s">
        <v>13290</v>
      </c>
      <c r="U5903" t="s">
        <v>13290</v>
      </c>
      <c r="V5903" t="s">
        <v>13290</v>
      </c>
      <c r="W5903" t="s">
        <v>19141</v>
      </c>
      <c r="X5903">
        <v>12</v>
      </c>
      <c r="Y5903" t="s">
        <v>25615</v>
      </c>
      <c r="Z5903" t="s">
        <v>32233</v>
      </c>
      <c r="AA5903">
        <v>0.34512516253147169</v>
      </c>
      <c r="AB5903" t="str">
        <f>HYPERLINK("Melting_Curves/meltCurve_Q9NRW7_VPS45.pdf", "Melting_Curves/meltCurve_Q9NRW7_VPS45.pdf")</f>
        <v>Melting_Curves/meltCurve_Q9NRW7_VPS45.pdf</v>
      </c>
    </row>
    <row r="5904" spans="1:28" x14ac:dyDescent="0.25">
      <c r="A5904" t="s">
        <v>5908</v>
      </c>
      <c r="B5904">
        <v>0.99252571173614901</v>
      </c>
      <c r="C5904">
        <v>1.1809093080292099</v>
      </c>
      <c r="D5904">
        <v>0.84407905173249498</v>
      </c>
      <c r="E5904">
        <v>0.29321556540614602</v>
      </c>
      <c r="F5904">
        <v>0.121184487009929</v>
      </c>
      <c r="G5904">
        <v>6.7295950064973506E-2</v>
      </c>
      <c r="H5904">
        <v>5.5204871390954299E-2</v>
      </c>
      <c r="I5904">
        <v>6.0585618260765903E-2</v>
      </c>
      <c r="J5904">
        <v>8.1266633160935298E-2</v>
      </c>
      <c r="K5904">
        <v>0.10215930504830301</v>
      </c>
      <c r="L5904">
        <v>1896.4415245637001</v>
      </c>
      <c r="M5904">
        <v>39.4483003735726</v>
      </c>
      <c r="N5904">
        <v>48.280786468014099</v>
      </c>
      <c r="O5904">
        <v>47.951056549306898</v>
      </c>
      <c r="P5904">
        <v>-0.18968923989640801</v>
      </c>
      <c r="Q5904">
        <v>7.7701256967149204E-2</v>
      </c>
      <c r="R5904">
        <v>0.97844118899160804</v>
      </c>
      <c r="S5904" t="s">
        <v>12550</v>
      </c>
      <c r="T5904" t="s">
        <v>13290</v>
      </c>
      <c r="U5904" t="s">
        <v>13290</v>
      </c>
      <c r="V5904" t="s">
        <v>13290</v>
      </c>
      <c r="W5904" t="s">
        <v>19142</v>
      </c>
      <c r="X5904">
        <v>5</v>
      </c>
      <c r="Y5904" t="s">
        <v>25616</v>
      </c>
      <c r="Z5904" t="s">
        <v>32234</v>
      </c>
      <c r="AA5904">
        <v>0.32908679953049552</v>
      </c>
      <c r="AB5904" t="str">
        <f>HYPERLINK("Melting_Curves/meltCurve_Q9NRX1_PNO1.pdf", "Melting_Curves/meltCurve_Q9NRX1_PNO1.pdf")</f>
        <v>Melting_Curves/meltCurve_Q9NRX1_PNO1.pdf</v>
      </c>
    </row>
    <row r="5905" spans="1:28" x14ac:dyDescent="0.25">
      <c r="A5905" t="s">
        <v>5909</v>
      </c>
      <c r="B5905">
        <v>0.99252571173614901</v>
      </c>
      <c r="C5905">
        <v>0.92340289899844996</v>
      </c>
      <c r="D5905">
        <v>0.83845258911162301</v>
      </c>
      <c r="E5905">
        <v>0.90258801284631296</v>
      </c>
      <c r="F5905">
        <v>0.69338483346256097</v>
      </c>
      <c r="G5905">
        <v>0.65624252164796504</v>
      </c>
      <c r="H5905">
        <v>0.61145806255666602</v>
      </c>
      <c r="I5905">
        <v>0.82039597091544303</v>
      </c>
      <c r="J5905">
        <v>1.35401023445895</v>
      </c>
      <c r="K5905">
        <v>1.1392465985193501</v>
      </c>
      <c r="L5905">
        <v>2494.0573162176502</v>
      </c>
      <c r="M5905">
        <v>37.179654571138101</v>
      </c>
      <c r="O5905">
        <v>66.8880629908451</v>
      </c>
      <c r="P5905">
        <v>3.1609822559508199E-2</v>
      </c>
      <c r="Q5905">
        <v>1.2274699811247201</v>
      </c>
      <c r="R5905">
        <v>-9.8153522502385293E-2</v>
      </c>
      <c r="S5905" t="s">
        <v>12551</v>
      </c>
      <c r="T5905" t="s">
        <v>13290</v>
      </c>
      <c r="U5905" t="s">
        <v>13290</v>
      </c>
      <c r="V5905" t="s">
        <v>13290</v>
      </c>
      <c r="W5905" t="s">
        <v>19143</v>
      </c>
      <c r="X5905">
        <v>7</v>
      </c>
      <c r="Y5905" t="s">
        <v>25617</v>
      </c>
      <c r="Z5905" t="s">
        <v>32235</v>
      </c>
      <c r="AA5905">
        <v>1.0239600229118511</v>
      </c>
      <c r="AB5905" t="str">
        <f>HYPERLINK("Melting_Curves/meltCurve_Q9NRX3_NDUFA4L2.pdf", "Melting_Curves/meltCurve_Q9NRX3_NDUFA4L2.pdf")</f>
        <v>Melting_Curves/meltCurve_Q9NRX3_NDUFA4L2.pdf</v>
      </c>
    </row>
    <row r="5906" spans="1:28" x14ac:dyDescent="0.25">
      <c r="A5906" t="s">
        <v>5910</v>
      </c>
      <c r="B5906">
        <v>0.99252571173614901</v>
      </c>
      <c r="C5906">
        <v>1.1257887894999601</v>
      </c>
      <c r="D5906">
        <v>0.97593594525787697</v>
      </c>
      <c r="E5906">
        <v>0.87472712772608596</v>
      </c>
      <c r="F5906">
        <v>0.56864731279851799</v>
      </c>
      <c r="G5906">
        <v>0.33022608939800802</v>
      </c>
      <c r="H5906">
        <v>0.18765900729669299</v>
      </c>
      <c r="I5906">
        <v>0.18775925435728599</v>
      </c>
      <c r="J5906">
        <v>0.25063553819212903</v>
      </c>
      <c r="K5906">
        <v>0.26050179687389202</v>
      </c>
      <c r="L5906">
        <v>1455.9622111185199</v>
      </c>
      <c r="M5906">
        <v>27.596279013493302</v>
      </c>
      <c r="N5906">
        <v>53.880103505981197</v>
      </c>
      <c r="O5906">
        <v>52.4846585397339</v>
      </c>
      <c r="P5906">
        <v>-0.10274547703298501</v>
      </c>
      <c r="Q5906">
        <v>0.21837115817569699</v>
      </c>
      <c r="R5906">
        <v>0.98203658172865504</v>
      </c>
      <c r="S5906" t="s">
        <v>12552</v>
      </c>
      <c r="T5906" t="s">
        <v>13290</v>
      </c>
      <c r="U5906" t="s">
        <v>13290</v>
      </c>
      <c r="V5906" t="s">
        <v>13290</v>
      </c>
      <c r="W5906" t="s">
        <v>19144</v>
      </c>
      <c r="X5906">
        <v>9</v>
      </c>
      <c r="Y5906" t="s">
        <v>25618</v>
      </c>
      <c r="Z5906" t="s">
        <v>32236</v>
      </c>
      <c r="AA5906">
        <v>0.55675325824829447</v>
      </c>
      <c r="AB5906" t="str">
        <f>HYPERLINK("Melting_Curves/meltCurve_Q9NRX4_PHPT1.pdf", "Melting_Curves/meltCurve_Q9NRX4_PHPT1.pdf")</f>
        <v>Melting_Curves/meltCurve_Q9NRX4_PHPT1.pdf</v>
      </c>
    </row>
    <row r="5907" spans="1:28" x14ac:dyDescent="0.25">
      <c r="A5907" t="s">
        <v>5911</v>
      </c>
      <c r="B5907">
        <v>0.99252571173614901</v>
      </c>
      <c r="C5907">
        <v>1.0424854174451399</v>
      </c>
      <c r="D5907">
        <v>0.82876716652456495</v>
      </c>
      <c r="E5907">
        <v>0.868894786004625</v>
      </c>
      <c r="F5907">
        <v>0.65432873450293705</v>
      </c>
      <c r="G5907">
        <v>0.42152757328216001</v>
      </c>
      <c r="H5907">
        <v>0.44413945040274</v>
      </c>
      <c r="I5907">
        <v>0.76130655581686102</v>
      </c>
      <c r="J5907">
        <v>1.21614971577094</v>
      </c>
      <c r="K5907">
        <v>1.2908290064922401</v>
      </c>
      <c r="L5907">
        <v>15000</v>
      </c>
      <c r="M5907">
        <v>224.607767525035</v>
      </c>
      <c r="O5907">
        <v>66.777816959652995</v>
      </c>
      <c r="P5907">
        <v>0.24459283057223499</v>
      </c>
      <c r="Q5907">
        <v>1.29087808298936</v>
      </c>
      <c r="R5907">
        <v>-0.111990574728264</v>
      </c>
      <c r="S5907" t="s">
        <v>12553</v>
      </c>
      <c r="T5907" t="s">
        <v>13290</v>
      </c>
      <c r="U5907" t="s">
        <v>13290</v>
      </c>
      <c r="V5907" t="s">
        <v>13290</v>
      </c>
      <c r="W5907" t="s">
        <v>19145</v>
      </c>
      <c r="X5907">
        <v>1</v>
      </c>
      <c r="Y5907" t="s">
        <v>25619</v>
      </c>
      <c r="Z5907" t="s">
        <v>32237</v>
      </c>
      <c r="AA5907">
        <v>1.0311488534247271</v>
      </c>
      <c r="AB5907" t="str">
        <f>HYPERLINK("Melting_Curves/meltCurve_Q9NRX5_SERINC1.pdf", "Melting_Curves/meltCurve_Q9NRX5_SERINC1.pdf")</f>
        <v>Melting_Curves/meltCurve_Q9NRX5_SERINC1.pdf</v>
      </c>
    </row>
    <row r="5908" spans="1:28" x14ac:dyDescent="0.25">
      <c r="A5908" t="s">
        <v>5912</v>
      </c>
      <c r="B5908">
        <v>0.99252571173614901</v>
      </c>
      <c r="C5908">
        <v>1.0584669386405401</v>
      </c>
      <c r="D5908">
        <v>0.85402863470014001</v>
      </c>
      <c r="E5908">
        <v>0.62649517862453297</v>
      </c>
      <c r="F5908">
        <v>0.42672836884010601</v>
      </c>
      <c r="G5908">
        <v>0.43032192662774699</v>
      </c>
      <c r="H5908">
        <v>0.73253842560217697</v>
      </c>
      <c r="I5908">
        <v>1.3552294528220199</v>
      </c>
      <c r="J5908">
        <v>2.3372132513542998</v>
      </c>
      <c r="K5908">
        <v>2.9201507914254998</v>
      </c>
      <c r="L5908">
        <v>15000</v>
      </c>
      <c r="M5908">
        <v>235.27279746549601</v>
      </c>
      <c r="O5908">
        <v>63.751177676257399</v>
      </c>
      <c r="P5908">
        <v>0.46131074267258898</v>
      </c>
      <c r="Q5908">
        <v>1.5</v>
      </c>
      <c r="R5908">
        <v>0.41729936021942798</v>
      </c>
      <c r="S5908" t="s">
        <v>12554</v>
      </c>
      <c r="T5908" t="s">
        <v>13290</v>
      </c>
      <c r="U5908" t="s">
        <v>13290</v>
      </c>
      <c r="V5908" t="s">
        <v>13290</v>
      </c>
      <c r="W5908" t="s">
        <v>19146</v>
      </c>
      <c r="X5908">
        <v>2</v>
      </c>
      <c r="Y5908" t="s">
        <v>25620</v>
      </c>
      <c r="Z5908" t="s">
        <v>32238</v>
      </c>
      <c r="AA5908">
        <v>1.1040072138663961</v>
      </c>
      <c r="AB5908" t="str">
        <f>HYPERLINK("Melting_Curves/meltCurve_Q9NRY2_INIP.pdf", "Melting_Curves/meltCurve_Q9NRY2_INIP.pdf")</f>
        <v>Melting_Curves/meltCurve_Q9NRY2_INIP.pdf</v>
      </c>
    </row>
    <row r="5909" spans="1:28" x14ac:dyDescent="0.25">
      <c r="A5909" t="s">
        <v>5913</v>
      </c>
      <c r="B5909">
        <v>0.99252571173614901</v>
      </c>
      <c r="C5909">
        <v>0.88094184467800296</v>
      </c>
      <c r="D5909">
        <v>0.43305702260656398</v>
      </c>
      <c r="E5909">
        <v>0.25270461520710003</v>
      </c>
      <c r="F5909">
        <v>0.158856539453438</v>
      </c>
      <c r="G5909">
        <v>0.10352634171427701</v>
      </c>
      <c r="H5909">
        <v>8.5563464185460403E-2</v>
      </c>
      <c r="I5909">
        <v>0.107220998531437</v>
      </c>
      <c r="J5909">
        <v>0.12102701191201801</v>
      </c>
      <c r="K5909">
        <v>0.12782176680602</v>
      </c>
      <c r="L5909">
        <v>1266.23130502651</v>
      </c>
      <c r="M5909">
        <v>27.931522961245602</v>
      </c>
      <c r="N5909">
        <v>45.784692639317697</v>
      </c>
      <c r="O5909">
        <v>45.102964533189997</v>
      </c>
      <c r="P5909">
        <v>-0.136192370870093</v>
      </c>
      <c r="Q5909">
        <v>0.12033083021372</v>
      </c>
      <c r="R5909">
        <v>0.99159943487448599</v>
      </c>
      <c r="S5909" t="s">
        <v>12555</v>
      </c>
      <c r="T5909" t="s">
        <v>13290</v>
      </c>
      <c r="U5909" t="s">
        <v>13290</v>
      </c>
      <c r="V5909" t="s">
        <v>13290</v>
      </c>
      <c r="W5909" t="s">
        <v>19147</v>
      </c>
      <c r="X5909">
        <v>7</v>
      </c>
      <c r="Y5909" t="s">
        <v>25621</v>
      </c>
      <c r="Z5909" t="s">
        <v>32239</v>
      </c>
      <c r="AA5909">
        <v>0.28325303302334781</v>
      </c>
      <c r="AB5909" t="str">
        <f>HYPERLINK("Melting_Curves/meltCurve_Q9NRY4_ARHGAP35.pdf", "Melting_Curves/meltCurve_Q9NRY4_ARHGAP35.pdf")</f>
        <v>Melting_Curves/meltCurve_Q9NRY4_ARHGAP35.pdf</v>
      </c>
    </row>
    <row r="5910" spans="1:28" x14ac:dyDescent="0.25">
      <c r="A5910" t="s">
        <v>5914</v>
      </c>
      <c r="B5910">
        <v>0.99252571173614901</v>
      </c>
      <c r="C5910">
        <v>1.06489624913365</v>
      </c>
      <c r="D5910">
        <v>0.92777897834785605</v>
      </c>
      <c r="E5910">
        <v>0.72350925089913298</v>
      </c>
      <c r="F5910">
        <v>0.29917558269907002</v>
      </c>
      <c r="G5910">
        <v>0.18538113295012201</v>
      </c>
      <c r="H5910">
        <v>0.116628623347258</v>
      </c>
      <c r="I5910">
        <v>8.8587768301726197E-2</v>
      </c>
      <c r="J5910">
        <v>8.7869060157087495E-2</v>
      </c>
      <c r="K5910">
        <v>7.3111862387366805E-2</v>
      </c>
      <c r="L5910">
        <v>1339.7893813078499</v>
      </c>
      <c r="M5910">
        <v>26.255440805975802</v>
      </c>
      <c r="N5910">
        <v>51.423448137482701</v>
      </c>
      <c r="O5910">
        <v>50.735752023086803</v>
      </c>
      <c r="P5910">
        <v>-0.11757576036301701</v>
      </c>
      <c r="Q5910">
        <v>9.1201175547030305E-2</v>
      </c>
      <c r="R5910">
        <v>0.99479689494929502</v>
      </c>
      <c r="S5910" t="s">
        <v>12556</v>
      </c>
      <c r="T5910" t="s">
        <v>13290</v>
      </c>
      <c r="U5910" t="s">
        <v>13290</v>
      </c>
      <c r="V5910" t="s">
        <v>13290</v>
      </c>
      <c r="W5910" t="s">
        <v>19148</v>
      </c>
      <c r="X5910">
        <v>8</v>
      </c>
      <c r="Y5910" t="s">
        <v>25622</v>
      </c>
      <c r="Z5910" t="s">
        <v>32240</v>
      </c>
      <c r="AA5910">
        <v>0.43276236416734493</v>
      </c>
      <c r="AB5910" t="str">
        <f>HYPERLINK("Melting_Curves/meltCurve_Q9NRY5_FAM114A2.pdf", "Melting_Curves/meltCurve_Q9NRY5_FAM114A2.pdf")</f>
        <v>Melting_Curves/meltCurve_Q9NRY5_FAM114A2.pdf</v>
      </c>
    </row>
    <row r="5911" spans="1:28" x14ac:dyDescent="0.25">
      <c r="A5911" t="s">
        <v>5915</v>
      </c>
      <c r="B5911">
        <v>0.99252571173614901</v>
      </c>
      <c r="C5911">
        <v>0.893511477001531</v>
      </c>
      <c r="D5911">
        <v>0.84648046342535599</v>
      </c>
      <c r="E5911">
        <v>0.64620809036486804</v>
      </c>
      <c r="F5911">
        <v>0.29970688146823499</v>
      </c>
      <c r="G5911">
        <v>0.139463801127229</v>
      </c>
      <c r="H5911">
        <v>0.103637006364638</v>
      </c>
      <c r="I5911">
        <v>9.0774476258848394E-2</v>
      </c>
      <c r="J5911">
        <v>0.11022601535962701</v>
      </c>
      <c r="K5911">
        <v>9.8159635692621802E-2</v>
      </c>
      <c r="L5911">
        <v>960.23823866074201</v>
      </c>
      <c r="M5911">
        <v>19.098156694308798</v>
      </c>
      <c r="N5911">
        <v>50.735710719413497</v>
      </c>
      <c r="O5911">
        <v>49.737581385233803</v>
      </c>
      <c r="P5911">
        <v>-8.8418454108512401E-2</v>
      </c>
      <c r="Q5911">
        <v>7.8958631071697497E-2</v>
      </c>
      <c r="R5911">
        <v>0.99208122497777895</v>
      </c>
      <c r="S5911" t="s">
        <v>12557</v>
      </c>
      <c r="T5911" t="s">
        <v>13290</v>
      </c>
      <c r="U5911" t="s">
        <v>13290</v>
      </c>
      <c r="V5911" t="s">
        <v>13290</v>
      </c>
      <c r="W5911" t="s">
        <v>19149</v>
      </c>
      <c r="X5911">
        <v>5</v>
      </c>
      <c r="Y5911" t="s">
        <v>25623</v>
      </c>
      <c r="Z5911" t="s">
        <v>32241</v>
      </c>
      <c r="AA5911">
        <v>0.40853607611794562</v>
      </c>
      <c r="AB5911" t="str">
        <f>HYPERLINK("Melting_Curves/meltCurve_Q9NRZ5_AGPAT4.pdf", "Melting_Curves/meltCurve_Q9NRZ5_AGPAT4.pdf")</f>
        <v>Melting_Curves/meltCurve_Q9NRZ5_AGPAT4.pdf</v>
      </c>
    </row>
    <row r="5912" spans="1:28" x14ac:dyDescent="0.25">
      <c r="A5912" t="s">
        <v>5916</v>
      </c>
      <c r="B5912">
        <v>0.99252571173614901</v>
      </c>
      <c r="C5912">
        <v>0.88489111896505801</v>
      </c>
      <c r="D5912">
        <v>0.85375039847930301</v>
      </c>
      <c r="E5912">
        <v>0.71688468163460295</v>
      </c>
      <c r="F5912">
        <v>0.22446703080596001</v>
      </c>
      <c r="G5912">
        <v>0.11163855720317099</v>
      </c>
      <c r="H5912">
        <v>5.9269058077882499E-2</v>
      </c>
      <c r="I5912">
        <v>5.6434061761354501E-2</v>
      </c>
      <c r="J5912">
        <v>6.1797435633589103E-2</v>
      </c>
      <c r="K5912">
        <v>6.3165635497202097E-2</v>
      </c>
      <c r="L5912">
        <v>1269.87496468168</v>
      </c>
      <c r="M5912">
        <v>25.051608029047902</v>
      </c>
      <c r="N5912">
        <v>50.903704015967499</v>
      </c>
      <c r="O5912">
        <v>50.370661888412499</v>
      </c>
      <c r="P5912">
        <v>-0.118141493394952</v>
      </c>
      <c r="Q5912">
        <v>4.98356495882675E-2</v>
      </c>
      <c r="R5912">
        <v>0.98371995265647805</v>
      </c>
      <c r="S5912" t="s">
        <v>12558</v>
      </c>
      <c r="T5912" t="s">
        <v>13290</v>
      </c>
      <c r="U5912" t="s">
        <v>13290</v>
      </c>
      <c r="V5912" t="s">
        <v>13290</v>
      </c>
      <c r="W5912" t="s">
        <v>19150</v>
      </c>
      <c r="X5912">
        <v>4</v>
      </c>
      <c r="Y5912" t="s">
        <v>25624</v>
      </c>
      <c r="Z5912" t="s">
        <v>32242</v>
      </c>
      <c r="AA5912">
        <v>0.39694209454846541</v>
      </c>
      <c r="AB5912" t="str">
        <f>HYPERLINK("Melting_Curves/meltCurve_Q9NRZ7_2_AGPAT3.pdf", "Melting_Curves/meltCurve_Q9NRZ7_2_AGPAT3.pdf")</f>
        <v>Melting_Curves/meltCurve_Q9NRZ7_2_AGPAT3.pdf</v>
      </c>
    </row>
    <row r="5913" spans="1:28" x14ac:dyDescent="0.25">
      <c r="A5913" t="s">
        <v>5917</v>
      </c>
      <c r="B5913">
        <v>0.99252571173614901</v>
      </c>
      <c r="C5913">
        <v>0.93279646613492795</v>
      </c>
      <c r="D5913">
        <v>0.39930346772233399</v>
      </c>
      <c r="E5913">
        <v>0.17718130622844799</v>
      </c>
      <c r="F5913">
        <v>0.103351413119526</v>
      </c>
      <c r="G5913">
        <v>6.0379780170264602E-2</v>
      </c>
      <c r="H5913">
        <v>5.1279119216422302E-2</v>
      </c>
      <c r="I5913">
        <v>5.70944757308956E-2</v>
      </c>
      <c r="J5913">
        <v>7.0643264206415105E-2</v>
      </c>
      <c r="K5913">
        <v>6.9797046472768604E-2</v>
      </c>
      <c r="L5913">
        <v>1709.1565379542999</v>
      </c>
      <c r="M5913">
        <v>37.675806762529298</v>
      </c>
      <c r="N5913">
        <v>45.566171735414002</v>
      </c>
      <c r="O5913">
        <v>45.2376028546662</v>
      </c>
      <c r="P5913">
        <v>-0.19224583343389101</v>
      </c>
      <c r="Q5913">
        <v>7.66790590053332E-2</v>
      </c>
      <c r="R5913">
        <v>0.99397478025313102</v>
      </c>
      <c r="S5913" t="s">
        <v>12559</v>
      </c>
      <c r="T5913" t="s">
        <v>13290</v>
      </c>
      <c r="U5913" t="s">
        <v>13290</v>
      </c>
      <c r="V5913" t="s">
        <v>13290</v>
      </c>
      <c r="W5913" t="s">
        <v>19151</v>
      </c>
      <c r="X5913">
        <v>24</v>
      </c>
      <c r="Y5913" t="s">
        <v>25625</v>
      </c>
      <c r="Z5913" t="s">
        <v>32243</v>
      </c>
      <c r="AA5913">
        <v>0.24523784028579931</v>
      </c>
      <c r="AB5913" t="str">
        <f>HYPERLINK("Melting_Curves/meltCurve_Q9NRZ9_2_HELLS.pdf", "Melting_Curves/meltCurve_Q9NRZ9_2_HELLS.pdf")</f>
        <v>Melting_Curves/meltCurve_Q9NRZ9_2_HELLS.pdf</v>
      </c>
    </row>
    <row r="5914" spans="1:28" x14ac:dyDescent="0.25">
      <c r="A5914" t="s">
        <v>5918</v>
      </c>
      <c r="B5914">
        <v>0.99252571173614901</v>
      </c>
      <c r="C5914">
        <v>1.0639876858612101</v>
      </c>
      <c r="D5914">
        <v>0.926645025034598</v>
      </c>
      <c r="E5914">
        <v>0.81747240879119398</v>
      </c>
      <c r="F5914">
        <v>0.59364044025024598</v>
      </c>
      <c r="G5914">
        <v>0.51831769829610796</v>
      </c>
      <c r="H5914">
        <v>0.64934561457089202</v>
      </c>
      <c r="I5914">
        <v>0.86962119649123504</v>
      </c>
      <c r="J5914">
        <v>1.21961454868788</v>
      </c>
      <c r="K5914">
        <v>1.01388459157986</v>
      </c>
      <c r="L5914">
        <v>11520.660811111</v>
      </c>
      <c r="M5914">
        <v>250</v>
      </c>
      <c r="O5914">
        <v>46.079694478093899</v>
      </c>
      <c r="P5914">
        <v>-0.25540059464737902</v>
      </c>
      <c r="Q5914">
        <v>0.81169949917405604</v>
      </c>
      <c r="R5914">
        <v>0.16743300096838301</v>
      </c>
      <c r="S5914" t="s">
        <v>12560</v>
      </c>
      <c r="T5914" t="s">
        <v>13290</v>
      </c>
      <c r="U5914" t="s">
        <v>13290</v>
      </c>
      <c r="V5914" t="s">
        <v>13290</v>
      </c>
      <c r="W5914" t="s">
        <v>19152</v>
      </c>
      <c r="X5914">
        <v>3</v>
      </c>
      <c r="Y5914" t="s">
        <v>25626</v>
      </c>
      <c r="Z5914" t="s">
        <v>32244</v>
      </c>
      <c r="AA5914">
        <v>0.84989355349181228</v>
      </c>
      <c r="AB5914" t="str">
        <f>HYPERLINK("Melting_Curves/meltCurve_Q9NS18_GLRX2.pdf", "Melting_Curves/meltCurve_Q9NS18_GLRX2.pdf")</f>
        <v>Melting_Curves/meltCurve_Q9NS18_GLRX2.pdf</v>
      </c>
    </row>
    <row r="5915" spans="1:28" x14ac:dyDescent="0.25">
      <c r="A5915" t="s">
        <v>5919</v>
      </c>
      <c r="B5915">
        <v>0.99252571173614901</v>
      </c>
      <c r="C5915">
        <v>1.0061209295659199</v>
      </c>
      <c r="D5915">
        <v>0.885604911802363</v>
      </c>
      <c r="E5915">
        <v>0.75591279818521895</v>
      </c>
      <c r="F5915">
        <v>0.85928885970978297</v>
      </c>
      <c r="G5915">
        <v>0.74293362112216599</v>
      </c>
      <c r="H5915">
        <v>0.74123387568532595</v>
      </c>
      <c r="I5915">
        <v>1.10737514060343</v>
      </c>
      <c r="J5915">
        <v>1.66565798059867</v>
      </c>
      <c r="K5915">
        <v>1.4136519103851499</v>
      </c>
      <c r="L5915">
        <v>15000</v>
      </c>
      <c r="M5915">
        <v>233.079295963672</v>
      </c>
      <c r="O5915">
        <v>64.351042440679393</v>
      </c>
      <c r="P5915">
        <v>0.45274965090629199</v>
      </c>
      <c r="Q5915">
        <v>1.5</v>
      </c>
      <c r="R5915">
        <v>0.692951532951539</v>
      </c>
      <c r="S5915" t="s">
        <v>12561</v>
      </c>
      <c r="T5915" t="s">
        <v>13290</v>
      </c>
      <c r="U5915" t="s">
        <v>13290</v>
      </c>
      <c r="V5915" t="s">
        <v>13290</v>
      </c>
      <c r="W5915" t="s">
        <v>19153</v>
      </c>
      <c r="X5915">
        <v>4</v>
      </c>
      <c r="Y5915" t="s">
        <v>25627</v>
      </c>
      <c r="Z5915" t="s">
        <v>32245</v>
      </c>
      <c r="AA5915">
        <v>1.0940053550070421</v>
      </c>
      <c r="AB5915" t="str">
        <f>HYPERLINK("Melting_Curves/meltCurve_Q9NS69_TOMM22.pdf", "Melting_Curves/meltCurve_Q9NS69_TOMM22.pdf")</f>
        <v>Melting_Curves/meltCurve_Q9NS69_TOMM22.pdf</v>
      </c>
    </row>
    <row r="5916" spans="1:28" x14ac:dyDescent="0.25">
      <c r="A5916" t="s">
        <v>5920</v>
      </c>
      <c r="B5916">
        <v>0.99252571173614901</v>
      </c>
      <c r="C5916">
        <v>1.00165621577663</v>
      </c>
      <c r="D5916">
        <v>0.78635033177269797</v>
      </c>
      <c r="E5916">
        <v>0.653000667326189</v>
      </c>
      <c r="F5916">
        <v>0.22806654614128699</v>
      </c>
      <c r="G5916">
        <v>0.16512278694902299</v>
      </c>
      <c r="H5916">
        <v>0.125134887517448</v>
      </c>
      <c r="I5916">
        <v>0.11988981702523301</v>
      </c>
      <c r="J5916">
        <v>0.16736849084202801</v>
      </c>
      <c r="K5916">
        <v>0.27225980944153999</v>
      </c>
      <c r="L5916">
        <v>1178.2028863400801</v>
      </c>
      <c r="M5916">
        <v>23.797472182065999</v>
      </c>
      <c r="N5916">
        <v>50.293534363772501</v>
      </c>
      <c r="O5916">
        <v>49.163949450152799</v>
      </c>
      <c r="P5916">
        <v>-0.10226042862637599</v>
      </c>
      <c r="Q5916">
        <v>0.15496162048821099</v>
      </c>
      <c r="R5916">
        <v>0.96829861292862296</v>
      </c>
      <c r="S5916" t="s">
        <v>12562</v>
      </c>
      <c r="T5916" t="s">
        <v>13290</v>
      </c>
      <c r="U5916" t="s">
        <v>13290</v>
      </c>
      <c r="V5916" t="s">
        <v>13290</v>
      </c>
      <c r="W5916" t="s">
        <v>19154</v>
      </c>
      <c r="X5916">
        <v>2</v>
      </c>
      <c r="Y5916" t="s">
        <v>25628</v>
      </c>
      <c r="Z5916" t="s">
        <v>32246</v>
      </c>
      <c r="AA5916">
        <v>0.43113659438559121</v>
      </c>
      <c r="AB5916" t="str">
        <f>HYPERLINK("Melting_Curves/meltCurve_Q9NS73_5_MBIP.pdf", "Melting_Curves/meltCurve_Q9NS73_5_MBIP.pdf")</f>
        <v>Melting_Curves/meltCurve_Q9NS73_5_MBIP.pdf</v>
      </c>
    </row>
    <row r="5917" spans="1:28" x14ac:dyDescent="0.25">
      <c r="A5917" t="s">
        <v>5921</v>
      </c>
      <c r="B5917">
        <v>0.99252571173614901</v>
      </c>
      <c r="C5917">
        <v>1.0073129443705</v>
      </c>
      <c r="D5917">
        <v>0.89279811560514799</v>
      </c>
      <c r="E5917">
        <v>0.79281148109069099</v>
      </c>
      <c r="F5917">
        <v>0.61667815222113198</v>
      </c>
      <c r="G5917">
        <v>0.53543989849766704</v>
      </c>
      <c r="H5917">
        <v>0.411719568693383</v>
      </c>
      <c r="I5917">
        <v>0.26075369137825599</v>
      </c>
      <c r="J5917">
        <v>0.13295317917053401</v>
      </c>
      <c r="K5917">
        <v>0.143619102315031</v>
      </c>
      <c r="L5917">
        <v>543.24272975089002</v>
      </c>
      <c r="M5917">
        <v>9.5357343926491005</v>
      </c>
      <c r="N5917">
        <v>56.969157415037202</v>
      </c>
      <c r="O5917">
        <v>54.632592715926897</v>
      </c>
      <c r="P5917">
        <v>-4.3661183640152597E-2</v>
      </c>
      <c r="Q5917">
        <v>0</v>
      </c>
      <c r="R5917">
        <v>0.98769850434935202</v>
      </c>
      <c r="S5917" t="s">
        <v>12563</v>
      </c>
      <c r="T5917" t="s">
        <v>13290</v>
      </c>
      <c r="U5917" t="s">
        <v>13290</v>
      </c>
      <c r="V5917" t="s">
        <v>13290</v>
      </c>
      <c r="W5917" t="s">
        <v>19155</v>
      </c>
      <c r="X5917">
        <v>19</v>
      </c>
      <c r="Y5917" t="s">
        <v>25629</v>
      </c>
      <c r="Z5917" t="s">
        <v>32247</v>
      </c>
      <c r="AA5917">
        <v>0.5810550277061014</v>
      </c>
      <c r="AB5917" t="str">
        <f>HYPERLINK("Melting_Curves/meltCurve_Q9NS86_LANCL2.pdf", "Melting_Curves/meltCurve_Q9NS86_LANCL2.pdf")</f>
        <v>Melting_Curves/meltCurve_Q9NS86_LANCL2.pdf</v>
      </c>
    </row>
    <row r="5918" spans="1:28" x14ac:dyDescent="0.25">
      <c r="A5918" t="s">
        <v>5922</v>
      </c>
      <c r="B5918">
        <v>0.99252571173614901</v>
      </c>
      <c r="C5918">
        <v>0.72222777532956395</v>
      </c>
      <c r="D5918">
        <v>0.17947514228677999</v>
      </c>
      <c r="E5918">
        <v>0.136257535404851</v>
      </c>
      <c r="F5918">
        <v>7.3913167587556505E-2</v>
      </c>
      <c r="G5918">
        <v>4.4581900979074898E-2</v>
      </c>
      <c r="H5918">
        <v>4.0399239961714399E-2</v>
      </c>
      <c r="I5918">
        <v>5.2794908470900598E-2</v>
      </c>
      <c r="J5918">
        <v>7.1044917351505699E-2</v>
      </c>
      <c r="K5918">
        <v>8.5698038603584797E-2</v>
      </c>
      <c r="L5918">
        <v>1782.3992593150799</v>
      </c>
      <c r="M5918">
        <v>40.694323061683399</v>
      </c>
      <c r="N5918">
        <v>43.962594566645002</v>
      </c>
      <c r="O5918">
        <v>43.694332332643299</v>
      </c>
      <c r="P5918">
        <v>-0.216541352442193</v>
      </c>
      <c r="Q5918">
        <v>6.99821708090647E-2</v>
      </c>
      <c r="R5918">
        <v>0.99436965742188699</v>
      </c>
      <c r="S5918" t="s">
        <v>12564</v>
      </c>
      <c r="T5918" t="s">
        <v>13290</v>
      </c>
      <c r="U5918" t="s">
        <v>13290</v>
      </c>
      <c r="V5918" t="s">
        <v>13290</v>
      </c>
      <c r="W5918" t="s">
        <v>19156</v>
      </c>
      <c r="X5918">
        <v>4</v>
      </c>
      <c r="Y5918" t="s">
        <v>25630</v>
      </c>
      <c r="Z5918" t="s">
        <v>32248</v>
      </c>
      <c r="AA5918">
        <v>0.19104812222198569</v>
      </c>
      <c r="AB5918" t="str">
        <f>HYPERLINK("Melting_Curves/meltCurve_Q9NS87_2_KIF15.pdf", "Melting_Curves/meltCurve_Q9NS87_2_KIF15.pdf")</f>
        <v>Melting_Curves/meltCurve_Q9NS87_2_KIF15.pdf</v>
      </c>
    </row>
    <row r="5919" spans="1:28" x14ac:dyDescent="0.25">
      <c r="A5919" t="s">
        <v>5923</v>
      </c>
      <c r="B5919">
        <v>0.99252571173614901</v>
      </c>
      <c r="C5919">
        <v>0.79698308033730403</v>
      </c>
      <c r="D5919">
        <v>0.48002683443140798</v>
      </c>
      <c r="E5919">
        <v>0.26909810669370399</v>
      </c>
      <c r="F5919">
        <v>0.16376768534127001</v>
      </c>
      <c r="G5919">
        <v>0.111636628024392</v>
      </c>
      <c r="H5919">
        <v>8.9971868217457507E-2</v>
      </c>
      <c r="I5919">
        <v>9.75637888024804E-2</v>
      </c>
      <c r="J5919">
        <v>0.10217759187368999</v>
      </c>
      <c r="K5919">
        <v>0.1020183281449</v>
      </c>
      <c r="L5919">
        <v>926.40505408840397</v>
      </c>
      <c r="M5919">
        <v>20.3465450090413</v>
      </c>
      <c r="N5919">
        <v>46.041606696273803</v>
      </c>
      <c r="O5919">
        <v>45.098350459984097</v>
      </c>
      <c r="P5919">
        <v>-0.101407603124146</v>
      </c>
      <c r="Q5919">
        <v>0.100943079139228</v>
      </c>
      <c r="R5919">
        <v>0.99614486108171096</v>
      </c>
      <c r="S5919" t="s">
        <v>12565</v>
      </c>
      <c r="T5919" t="s">
        <v>13290</v>
      </c>
      <c r="U5919" t="s">
        <v>13290</v>
      </c>
      <c r="V5919" t="s">
        <v>13290</v>
      </c>
      <c r="W5919" t="s">
        <v>19157</v>
      </c>
      <c r="X5919">
        <v>4</v>
      </c>
      <c r="Y5919" t="s">
        <v>25631</v>
      </c>
      <c r="Z5919" t="s">
        <v>32249</v>
      </c>
      <c r="AA5919">
        <v>0.28057190411587141</v>
      </c>
      <c r="AB5919" t="str">
        <f>HYPERLINK("Melting_Curves/meltCurve_Q9NS91_RAD18.pdf", "Melting_Curves/meltCurve_Q9NS91_RAD18.pdf")</f>
        <v>Melting_Curves/meltCurve_Q9NS91_RAD18.pdf</v>
      </c>
    </row>
    <row r="5920" spans="1:28" x14ac:dyDescent="0.25">
      <c r="A5920" t="s">
        <v>5924</v>
      </c>
      <c r="B5920">
        <v>0.99252571173614901</v>
      </c>
      <c r="C5920">
        <v>0.96504363986595798</v>
      </c>
      <c r="D5920">
        <v>0.89771729821808999</v>
      </c>
      <c r="E5920">
        <v>0.81928787924319801</v>
      </c>
      <c r="F5920">
        <v>0.64482227069848097</v>
      </c>
      <c r="G5920">
        <v>0.480528343456954</v>
      </c>
      <c r="H5920">
        <v>0.33696685898398498</v>
      </c>
      <c r="I5920">
        <v>0.29870042941313202</v>
      </c>
      <c r="J5920">
        <v>0.33203213919561197</v>
      </c>
      <c r="K5920">
        <v>0.21118999097558999</v>
      </c>
      <c r="L5920">
        <v>680.90344048821999</v>
      </c>
      <c r="M5920">
        <v>12.621322737813299</v>
      </c>
      <c r="N5920">
        <v>56.348010916943601</v>
      </c>
      <c r="O5920">
        <v>52.648090964265698</v>
      </c>
      <c r="P5920">
        <v>-4.7483432184293697E-2</v>
      </c>
      <c r="Q5920">
        <v>0.207874878836321</v>
      </c>
      <c r="R5920">
        <v>0.99170013292127202</v>
      </c>
      <c r="S5920" t="s">
        <v>12566</v>
      </c>
      <c r="T5920" t="s">
        <v>13290</v>
      </c>
      <c r="U5920" t="s">
        <v>13290</v>
      </c>
      <c r="V5920" t="s">
        <v>13290</v>
      </c>
      <c r="W5920" t="s">
        <v>19158</v>
      </c>
      <c r="X5920">
        <v>3</v>
      </c>
      <c r="Y5920" t="s">
        <v>25632</v>
      </c>
      <c r="Z5920" t="s">
        <v>32250</v>
      </c>
      <c r="AA5920">
        <v>0.59597428220783699</v>
      </c>
      <c r="AB5920" t="str">
        <f>HYPERLINK("Melting_Curves/meltCurve_Q9NS93_TM7SF3.pdf", "Melting_Curves/meltCurve_Q9NS93_TM7SF3.pdf")</f>
        <v>Melting_Curves/meltCurve_Q9NS93_TM7SF3.pdf</v>
      </c>
    </row>
    <row r="5921" spans="1:28" x14ac:dyDescent="0.25">
      <c r="A5921" t="s">
        <v>5925</v>
      </c>
      <c r="B5921">
        <v>0.99252571173614901</v>
      </c>
      <c r="C5921">
        <v>1.03106156259043</v>
      </c>
      <c r="D5921">
        <v>0.950009340180482</v>
      </c>
      <c r="E5921">
        <v>0.94894210967384696</v>
      </c>
      <c r="F5921">
        <v>0.76367798095858896</v>
      </c>
      <c r="G5921">
        <v>0.622161170733463</v>
      </c>
      <c r="H5921">
        <v>0.49579670845085699</v>
      </c>
      <c r="I5921">
        <v>0.51052873470530602</v>
      </c>
      <c r="J5921">
        <v>0.66919516237510901</v>
      </c>
      <c r="K5921">
        <v>0.65808500849805596</v>
      </c>
      <c r="L5921">
        <v>1823.17389400706</v>
      </c>
      <c r="M5921">
        <v>34.609891322618601</v>
      </c>
      <c r="O5921">
        <v>52.5028918555982</v>
      </c>
      <c r="P5921">
        <v>-6.8475753904489706E-2</v>
      </c>
      <c r="Q5921">
        <v>0.58449313695466298</v>
      </c>
      <c r="R5921">
        <v>0.91826164402420296</v>
      </c>
      <c r="S5921" t="s">
        <v>12567</v>
      </c>
      <c r="T5921" t="s">
        <v>13290</v>
      </c>
      <c r="U5921" t="s">
        <v>13290</v>
      </c>
      <c r="V5921" t="s">
        <v>13290</v>
      </c>
      <c r="W5921" t="s">
        <v>19159</v>
      </c>
      <c r="X5921">
        <v>5</v>
      </c>
      <c r="Y5921" t="s">
        <v>25633</v>
      </c>
      <c r="Z5921" t="s">
        <v>32251</v>
      </c>
      <c r="AA5921">
        <v>0.76210401966760577</v>
      </c>
      <c r="AB5921" t="str">
        <f>HYPERLINK("Melting_Curves/meltCurve_Q9NSA3_CTNNBIP1.pdf", "Melting_Curves/meltCurve_Q9NSA3_CTNNBIP1.pdf")</f>
        <v>Melting_Curves/meltCurve_Q9NSA3_CTNNBIP1.pdf</v>
      </c>
    </row>
    <row r="5922" spans="1:28" x14ac:dyDescent="0.25">
      <c r="A5922" t="s">
        <v>5926</v>
      </c>
      <c r="B5922">
        <v>0.99252571173614901</v>
      </c>
      <c r="C5922">
        <v>0.83129703406740196</v>
      </c>
      <c r="D5922">
        <v>1.0280410631711501</v>
      </c>
      <c r="E5922">
        <v>0.70083543245874502</v>
      </c>
      <c r="F5922">
        <v>0.28965946104560603</v>
      </c>
      <c r="G5922">
        <v>0.10384035832449399</v>
      </c>
      <c r="H5922">
        <v>5.73616756026585E-2</v>
      </c>
      <c r="I5922">
        <v>5.7468417729860603E-2</v>
      </c>
      <c r="J5922">
        <v>5.2342661996213798E-2</v>
      </c>
      <c r="K5922">
        <v>5.1194065599093001E-2</v>
      </c>
      <c r="L5922">
        <v>1459.29616772248</v>
      </c>
      <c r="M5922">
        <v>28.568620706397802</v>
      </c>
      <c r="N5922">
        <v>51.277890665704803</v>
      </c>
      <c r="O5922">
        <v>50.832068567316199</v>
      </c>
      <c r="P5922">
        <v>-0.13318572961209599</v>
      </c>
      <c r="Q5922">
        <v>5.2099486137119802E-2</v>
      </c>
      <c r="R5922">
        <v>0.97998283566521605</v>
      </c>
      <c r="S5922" t="s">
        <v>12568</v>
      </c>
      <c r="T5922" t="s">
        <v>13290</v>
      </c>
      <c r="U5922" t="s">
        <v>13290</v>
      </c>
      <c r="V5922" t="s">
        <v>13290</v>
      </c>
      <c r="W5922" t="s">
        <v>19160</v>
      </c>
      <c r="X5922">
        <v>35</v>
      </c>
      <c r="Y5922" t="s">
        <v>25634</v>
      </c>
      <c r="Z5922" t="s">
        <v>32252</v>
      </c>
      <c r="AA5922">
        <v>0.40878302768589247</v>
      </c>
      <c r="AB5922" t="str">
        <f>HYPERLINK("Melting_Curves/meltCurve_Q9NSD9_FARSB.pdf", "Melting_Curves/meltCurve_Q9NSD9_FARSB.pdf")</f>
        <v>Melting_Curves/meltCurve_Q9NSD9_FARSB.pdf</v>
      </c>
    </row>
    <row r="5923" spans="1:28" x14ac:dyDescent="0.25">
      <c r="A5923" t="s">
        <v>5927</v>
      </c>
      <c r="B5923">
        <v>0.99252571173614901</v>
      </c>
      <c r="C5923">
        <v>0.96530004059957597</v>
      </c>
      <c r="D5923">
        <v>0.96347695576643499</v>
      </c>
      <c r="E5923">
        <v>0.92319850632844902</v>
      </c>
      <c r="F5923">
        <v>0.69902143401629602</v>
      </c>
      <c r="G5923">
        <v>0.40411457903301701</v>
      </c>
      <c r="H5923">
        <v>9.1240782523243094E-2</v>
      </c>
      <c r="I5923">
        <v>7.9376034500845696E-2</v>
      </c>
      <c r="J5923">
        <v>7.9156375781112606E-2</v>
      </c>
      <c r="K5923">
        <v>7.1935645812785901E-2</v>
      </c>
      <c r="L5923">
        <v>1259.2047693483901</v>
      </c>
      <c r="M5923">
        <v>22.844230405977999</v>
      </c>
      <c r="N5923">
        <v>55.356080492680498</v>
      </c>
      <c r="O5923">
        <v>54.704166984251003</v>
      </c>
      <c r="P5923">
        <v>-9.95815442796356E-2</v>
      </c>
      <c r="Q5923">
        <v>4.6162541149846199E-2</v>
      </c>
      <c r="R5923">
        <v>0.99555430482457896</v>
      </c>
      <c r="S5923" t="s">
        <v>12569</v>
      </c>
      <c r="T5923" t="s">
        <v>13290</v>
      </c>
      <c r="U5923" t="s">
        <v>13290</v>
      </c>
      <c r="V5923" t="s">
        <v>13290</v>
      </c>
      <c r="W5923" t="s">
        <v>19161</v>
      </c>
      <c r="X5923">
        <v>45</v>
      </c>
      <c r="Y5923" t="s">
        <v>25635</v>
      </c>
      <c r="Z5923" t="s">
        <v>32253</v>
      </c>
      <c r="AA5923">
        <v>0.53721712782318387</v>
      </c>
      <c r="AB5923" t="str">
        <f>HYPERLINK("Melting_Curves/meltCurve_Q9NSE4_IARS2.pdf", "Melting_Curves/meltCurve_Q9NSE4_IARS2.pdf")</f>
        <v>Melting_Curves/meltCurve_Q9NSE4_IARS2.pdf</v>
      </c>
    </row>
    <row r="5924" spans="1:28" x14ac:dyDescent="0.25">
      <c r="A5924" t="s">
        <v>5928</v>
      </c>
      <c r="B5924">
        <v>0.99252571173614901</v>
      </c>
      <c r="C5924">
        <v>0.83650731936182698</v>
      </c>
      <c r="D5924">
        <v>0.56505496147491596</v>
      </c>
      <c r="E5924">
        <v>0.23645308479701299</v>
      </c>
      <c r="F5924">
        <v>0.15768026495303999</v>
      </c>
      <c r="G5924">
        <v>0.109074416906597</v>
      </c>
      <c r="H5924">
        <v>8.8278470676514398E-2</v>
      </c>
      <c r="I5924">
        <v>3.6985417945669903E-2</v>
      </c>
      <c r="J5924">
        <v>4.0131010690118603E-2</v>
      </c>
      <c r="K5924">
        <v>3.3946151756491197E-2</v>
      </c>
      <c r="L5924">
        <v>915.27983846713903</v>
      </c>
      <c r="M5924">
        <v>19.744014203746499</v>
      </c>
      <c r="N5924">
        <v>46.638288680037398</v>
      </c>
      <c r="O5924">
        <v>45.889631304084098</v>
      </c>
      <c r="P5924">
        <v>-0.10153494802016</v>
      </c>
      <c r="Q5924">
        <v>5.6069864726905103E-2</v>
      </c>
      <c r="R5924">
        <v>0.99529711168823398</v>
      </c>
      <c r="S5924" t="s">
        <v>12570</v>
      </c>
      <c r="T5924" t="s">
        <v>13290</v>
      </c>
      <c r="U5924" t="s">
        <v>13290</v>
      </c>
      <c r="V5924" t="s">
        <v>13290</v>
      </c>
      <c r="W5924" t="s">
        <v>19162</v>
      </c>
      <c r="X5924">
        <v>2</v>
      </c>
      <c r="Y5924" t="s">
        <v>25636</v>
      </c>
      <c r="Z5924" t="s">
        <v>32254</v>
      </c>
      <c r="AA5924">
        <v>0.27078098826797209</v>
      </c>
      <c r="AB5924" t="str">
        <f>HYPERLINK("Melting_Curves/meltCurve_Q9NSI2_2_FAM207A.pdf", "Melting_Curves/meltCurve_Q9NSI2_2_FAM207A.pdf")</f>
        <v>Melting_Curves/meltCurve_Q9NSI2_2_FAM207A.pdf</v>
      </c>
    </row>
    <row r="5925" spans="1:28" x14ac:dyDescent="0.25">
      <c r="A5925" t="s">
        <v>5929</v>
      </c>
      <c r="B5925">
        <v>0.99252571173614901</v>
      </c>
      <c r="C5925">
        <v>0.92927154666462497</v>
      </c>
      <c r="D5925">
        <v>1.0659028751528901</v>
      </c>
      <c r="E5925">
        <v>0.486365558519609</v>
      </c>
      <c r="F5925">
        <v>0.194755145598938</v>
      </c>
      <c r="G5925">
        <v>0.121290362592179</v>
      </c>
      <c r="H5925">
        <v>0.10020099980565</v>
      </c>
      <c r="I5925">
        <v>0.11761239600104299</v>
      </c>
      <c r="J5925">
        <v>0.137599660407731</v>
      </c>
      <c r="K5925">
        <v>0.146393594124931</v>
      </c>
      <c r="L5925">
        <v>4902.7396117338903</v>
      </c>
      <c r="M5925">
        <v>99.226687810042193</v>
      </c>
      <c r="N5925">
        <v>49.5682559228946</v>
      </c>
      <c r="O5925">
        <v>49.389428239520001</v>
      </c>
      <c r="P5925">
        <v>-0.43388461247464899</v>
      </c>
      <c r="Q5925">
        <v>0.13614728644344401</v>
      </c>
      <c r="R5925">
        <v>0.99011631935478595</v>
      </c>
      <c r="S5925" t="s">
        <v>12571</v>
      </c>
      <c r="T5925" t="s">
        <v>13290</v>
      </c>
      <c r="U5925" t="s">
        <v>13290</v>
      </c>
      <c r="V5925" t="s">
        <v>13290</v>
      </c>
      <c r="W5925" t="s">
        <v>19163</v>
      </c>
      <c r="X5925">
        <v>22</v>
      </c>
      <c r="Y5925" t="s">
        <v>25637</v>
      </c>
      <c r="Z5925" t="s">
        <v>32255</v>
      </c>
      <c r="AA5925">
        <v>0.40757033762162409</v>
      </c>
      <c r="AB5925" t="str">
        <f>HYPERLINK("Melting_Curves/meltCurve_Q9NSK0_KLC4.pdf", "Melting_Curves/meltCurve_Q9NSK0_KLC4.pdf")</f>
        <v>Melting_Curves/meltCurve_Q9NSK0_KLC4.pdf</v>
      </c>
    </row>
    <row r="5926" spans="1:28" x14ac:dyDescent="0.25">
      <c r="A5926" t="s">
        <v>5930</v>
      </c>
      <c r="B5926">
        <v>0.99252571173614901</v>
      </c>
      <c r="C5926">
        <v>1.05044907462744</v>
      </c>
      <c r="D5926">
        <v>0.94936319291683902</v>
      </c>
      <c r="E5926">
        <v>0.72701437431670402</v>
      </c>
      <c r="F5926">
        <v>0.42449775883795798</v>
      </c>
      <c r="G5926">
        <v>0.20814280854614001</v>
      </c>
      <c r="H5926">
        <v>9.2863776058443107E-2</v>
      </c>
      <c r="I5926">
        <v>8.8369675476233006E-2</v>
      </c>
      <c r="J5926">
        <v>0.10250091352499099</v>
      </c>
      <c r="K5926">
        <v>9.8571022789214896E-2</v>
      </c>
      <c r="L5926">
        <v>1126.06015629883</v>
      </c>
      <c r="M5926">
        <v>21.748634574499299</v>
      </c>
      <c r="N5926">
        <v>52.216461974545602</v>
      </c>
      <c r="O5926">
        <v>51.344353693391398</v>
      </c>
      <c r="P5926">
        <v>-9.7026132029331094E-2</v>
      </c>
      <c r="Q5926">
        <v>8.3781074986142207E-2</v>
      </c>
      <c r="R5926">
        <v>0.996541346373922</v>
      </c>
      <c r="S5926" t="s">
        <v>12572</v>
      </c>
      <c r="T5926" t="s">
        <v>13290</v>
      </c>
      <c r="U5926" t="s">
        <v>13290</v>
      </c>
      <c r="V5926" t="s">
        <v>13290</v>
      </c>
      <c r="W5926" t="s">
        <v>19164</v>
      </c>
      <c r="X5926">
        <v>15</v>
      </c>
      <c r="Y5926" t="s">
        <v>25638</v>
      </c>
      <c r="Z5926" t="s">
        <v>32256</v>
      </c>
      <c r="AA5926">
        <v>0.45430947712907183</v>
      </c>
      <c r="AB5926" t="str">
        <f>HYPERLINK("Melting_Curves/meltCurve_Q9NT62_ATG3.pdf", "Melting_Curves/meltCurve_Q9NT62_ATG3.pdf")</f>
        <v>Melting_Curves/meltCurve_Q9NT62_ATG3.pdf</v>
      </c>
    </row>
    <row r="5927" spans="1:28" x14ac:dyDescent="0.25">
      <c r="A5927" t="s">
        <v>5931</v>
      </c>
      <c r="B5927">
        <v>0.99252571173614901</v>
      </c>
      <c r="C5927">
        <v>0.96870875298784997</v>
      </c>
      <c r="D5927">
        <v>0.87563498210910395</v>
      </c>
      <c r="E5927">
        <v>0.60168177452475202</v>
      </c>
      <c r="F5927">
        <v>0.28981157233940902</v>
      </c>
      <c r="G5927">
        <v>0.10581560668041499</v>
      </c>
      <c r="H5927">
        <v>6.8110966825424696E-2</v>
      </c>
      <c r="I5927">
        <v>5.8097226895405897E-2</v>
      </c>
      <c r="J5927">
        <v>6.2299456010069601E-2</v>
      </c>
      <c r="K5927">
        <v>7.1758493729159503E-2</v>
      </c>
      <c r="L5927">
        <v>1065.6755271217201</v>
      </c>
      <c r="M5927">
        <v>21.183780551915898</v>
      </c>
      <c r="N5927">
        <v>50.566597721001898</v>
      </c>
      <c r="O5927">
        <v>49.864341177828898</v>
      </c>
      <c r="P5927">
        <v>-0.100721527597776</v>
      </c>
      <c r="Q5927">
        <v>5.1674006626109201E-2</v>
      </c>
      <c r="R5927">
        <v>0.99916329117722502</v>
      </c>
      <c r="S5927" t="s">
        <v>12573</v>
      </c>
      <c r="T5927" t="s">
        <v>13290</v>
      </c>
      <c r="U5927" t="s">
        <v>13290</v>
      </c>
      <c r="V5927" t="s">
        <v>13290</v>
      </c>
      <c r="W5927" t="s">
        <v>19165</v>
      </c>
      <c r="X5927">
        <v>7</v>
      </c>
      <c r="Y5927" t="s">
        <v>25639</v>
      </c>
      <c r="Z5927" t="s">
        <v>32257</v>
      </c>
      <c r="AA5927">
        <v>0.38925872313225962</v>
      </c>
      <c r="AB5927" t="str">
        <f>HYPERLINK("Melting_Curves/meltCurve_Q9NTG7_SIRT3.pdf", "Melting_Curves/meltCurve_Q9NTG7_SIRT3.pdf")</f>
        <v>Melting_Curves/meltCurve_Q9NTG7_SIRT3.pdf</v>
      </c>
    </row>
    <row r="5928" spans="1:28" x14ac:dyDescent="0.25">
      <c r="A5928" t="s">
        <v>5932</v>
      </c>
      <c r="B5928">
        <v>0.99252571173614901</v>
      </c>
      <c r="C5928">
        <v>1.0008410746277301</v>
      </c>
      <c r="D5928">
        <v>0.444131491373354</v>
      </c>
      <c r="E5928">
        <v>0.30268505397425699</v>
      </c>
      <c r="F5928">
        <v>0.12454494487507201</v>
      </c>
      <c r="G5928">
        <v>6.8754043768633505E-2</v>
      </c>
      <c r="H5928">
        <v>5.3705924287274297E-2</v>
      </c>
      <c r="I5928">
        <v>5.6303769977178002E-2</v>
      </c>
      <c r="J5928">
        <v>6.2708657627124798E-2</v>
      </c>
      <c r="K5928">
        <v>6.6030469025308597E-2</v>
      </c>
      <c r="L5928">
        <v>1224.4170594693101</v>
      </c>
      <c r="M5928">
        <v>26.586681199651998</v>
      </c>
      <c r="N5928">
        <v>46.340786353559899</v>
      </c>
      <c r="O5928">
        <v>45.795594270820096</v>
      </c>
      <c r="P5928">
        <v>-0.13412124527444999</v>
      </c>
      <c r="Q5928">
        <v>7.5913632937428699E-2</v>
      </c>
      <c r="R5928">
        <v>0.97166257564685399</v>
      </c>
      <c r="S5928" t="s">
        <v>12574</v>
      </c>
      <c r="T5928" t="s">
        <v>13290</v>
      </c>
      <c r="U5928" t="s">
        <v>13290</v>
      </c>
      <c r="V5928" t="s">
        <v>13290</v>
      </c>
      <c r="W5928" t="s">
        <v>19166</v>
      </c>
      <c r="X5928">
        <v>35</v>
      </c>
      <c r="Y5928" t="s">
        <v>25640</v>
      </c>
      <c r="Z5928" t="s">
        <v>32258</v>
      </c>
      <c r="AA5928">
        <v>0.26978017461790399</v>
      </c>
      <c r="AB5928" t="str">
        <f>HYPERLINK("Melting_Curves/meltCurve_Q9NTI5_2_PDS5B.pdf", "Melting_Curves/meltCurve_Q9NTI5_2_PDS5B.pdf")</f>
        <v>Melting_Curves/meltCurve_Q9NTI5_2_PDS5B.pdf</v>
      </c>
    </row>
    <row r="5929" spans="1:28" x14ac:dyDescent="0.25">
      <c r="A5929" t="s">
        <v>5933</v>
      </c>
      <c r="B5929">
        <v>0.99252571173614901</v>
      </c>
      <c r="C5929">
        <v>0.84787083470464897</v>
      </c>
      <c r="D5929">
        <v>0.98457791442621001</v>
      </c>
      <c r="E5929">
        <v>0.71578034759843001</v>
      </c>
      <c r="F5929">
        <v>0.12279829661790199</v>
      </c>
      <c r="G5929">
        <v>7.6638625597599194E-2</v>
      </c>
      <c r="H5929">
        <v>5.2230935235837002E-2</v>
      </c>
      <c r="I5929">
        <v>5.3256804620402602E-2</v>
      </c>
      <c r="J5929">
        <v>5.80911904565235E-2</v>
      </c>
      <c r="K5929">
        <v>5.9728649974222697E-2</v>
      </c>
      <c r="L5929">
        <v>2483.84488716442</v>
      </c>
      <c r="M5929">
        <v>49.245693849827703</v>
      </c>
      <c r="N5929">
        <v>50.565757489264698</v>
      </c>
      <c r="O5929">
        <v>50.354845090979502</v>
      </c>
      <c r="P5929">
        <v>-0.23017140758846799</v>
      </c>
      <c r="Q5929">
        <v>5.8578796094486497E-2</v>
      </c>
      <c r="R5929">
        <v>0.98574570439507803</v>
      </c>
      <c r="S5929" t="s">
        <v>12575</v>
      </c>
      <c r="T5929" t="s">
        <v>13290</v>
      </c>
      <c r="U5929" t="s">
        <v>13290</v>
      </c>
      <c r="V5929" t="s">
        <v>13290</v>
      </c>
      <c r="W5929" t="s">
        <v>19167</v>
      </c>
      <c r="X5929">
        <v>32</v>
      </c>
      <c r="Y5929" t="s">
        <v>25641</v>
      </c>
      <c r="Z5929" t="s">
        <v>32259</v>
      </c>
      <c r="AA5929">
        <v>0.38828413105797172</v>
      </c>
      <c r="AB5929" t="str">
        <f>HYPERLINK("Melting_Curves/meltCurve_Q9NTJ3_SMC4.pdf", "Melting_Curves/meltCurve_Q9NTJ3_SMC4.pdf")</f>
        <v>Melting_Curves/meltCurve_Q9NTJ3_SMC4.pdf</v>
      </c>
    </row>
    <row r="5930" spans="1:28" x14ac:dyDescent="0.25">
      <c r="A5930" t="s">
        <v>5934</v>
      </c>
      <c r="B5930">
        <v>0.99252571173614901</v>
      </c>
      <c r="C5930">
        <v>1.01268723182806</v>
      </c>
      <c r="D5930">
        <v>0.96257437850827199</v>
      </c>
      <c r="E5930">
        <v>0.92995448432622096</v>
      </c>
      <c r="F5930">
        <v>1.02193800462442</v>
      </c>
      <c r="G5930">
        <v>0.46642421367942399</v>
      </c>
      <c r="H5930">
        <v>0.34694195765981001</v>
      </c>
      <c r="I5930">
        <v>0.35363911001287501</v>
      </c>
      <c r="J5930">
        <v>0.38486866193118502</v>
      </c>
      <c r="K5930">
        <v>0.32628152668763399</v>
      </c>
      <c r="L5930">
        <v>14112.080780877901</v>
      </c>
      <c r="M5930">
        <v>250</v>
      </c>
      <c r="N5930">
        <v>56.725990978056302</v>
      </c>
      <c r="O5930">
        <v>56.444707094846898</v>
      </c>
      <c r="P5930">
        <v>-0.71648342528888398</v>
      </c>
      <c r="Q5930">
        <v>0.35293280491958101</v>
      </c>
      <c r="R5930">
        <v>0.99069678926288096</v>
      </c>
      <c r="S5930" t="s">
        <v>12576</v>
      </c>
      <c r="T5930" t="s">
        <v>13290</v>
      </c>
      <c r="U5930" t="s">
        <v>13290</v>
      </c>
      <c r="V5930" t="s">
        <v>13290</v>
      </c>
      <c r="W5930" t="s">
        <v>19168</v>
      </c>
      <c r="X5930">
        <v>2</v>
      </c>
      <c r="Y5930" t="s">
        <v>25642</v>
      </c>
      <c r="Z5930" t="s">
        <v>32260</v>
      </c>
      <c r="AA5930">
        <v>0.70776925080900044</v>
      </c>
      <c r="AB5930" t="str">
        <f>HYPERLINK("Melting_Curves/meltCurve_Q9NTJ4_3_MAN2C1.pdf", "Melting_Curves/meltCurve_Q9NTJ4_3_MAN2C1.pdf")</f>
        <v>Melting_Curves/meltCurve_Q9NTJ4_3_MAN2C1.pdf</v>
      </c>
    </row>
    <row r="5931" spans="1:28" x14ac:dyDescent="0.25">
      <c r="A5931" t="s">
        <v>5935</v>
      </c>
      <c r="B5931">
        <v>0.99252571173614901</v>
      </c>
      <c r="C5931">
        <v>0.89360739806213596</v>
      </c>
      <c r="D5931">
        <v>0.83885668995696805</v>
      </c>
      <c r="E5931">
        <v>0.50106376649943996</v>
      </c>
      <c r="F5931">
        <v>0.12788579669948</v>
      </c>
      <c r="G5931">
        <v>6.6206878074244996E-2</v>
      </c>
      <c r="H5931">
        <v>4.2953128992957001E-2</v>
      </c>
      <c r="I5931">
        <v>4.6764988733970697E-2</v>
      </c>
      <c r="J5931">
        <v>4.99677714564839E-2</v>
      </c>
      <c r="K5931">
        <v>5.07678400099425E-2</v>
      </c>
      <c r="L5931">
        <v>1167.35325375803</v>
      </c>
      <c r="M5931">
        <v>23.747161739820001</v>
      </c>
      <c r="N5931">
        <v>49.312982647454298</v>
      </c>
      <c r="O5931">
        <v>48.812962401789903</v>
      </c>
      <c r="P5931">
        <v>-0.117240661792007</v>
      </c>
      <c r="Q5931">
        <v>3.6049622515964802E-2</v>
      </c>
      <c r="R5931">
        <v>0.99348016981159004</v>
      </c>
      <c r="S5931" t="s">
        <v>12577</v>
      </c>
      <c r="T5931" t="s">
        <v>13290</v>
      </c>
      <c r="U5931" t="s">
        <v>13290</v>
      </c>
      <c r="V5931" t="s">
        <v>13290</v>
      </c>
      <c r="W5931" t="s">
        <v>19169</v>
      </c>
      <c r="X5931">
        <v>23</v>
      </c>
      <c r="Y5931" t="s">
        <v>25643</v>
      </c>
      <c r="Z5931" t="s">
        <v>32261</v>
      </c>
      <c r="AA5931">
        <v>0.33980059531499701</v>
      </c>
      <c r="AB5931" t="str">
        <f>HYPERLINK("Melting_Curves/meltCurve_Q9NTJ5_SACM1L.pdf", "Melting_Curves/meltCurve_Q9NTJ5_SACM1L.pdf")</f>
        <v>Melting_Curves/meltCurve_Q9NTJ5_SACM1L.pdf</v>
      </c>
    </row>
    <row r="5932" spans="1:28" x14ac:dyDescent="0.25">
      <c r="A5932" t="s">
        <v>5936</v>
      </c>
      <c r="B5932">
        <v>0.99252571173614901</v>
      </c>
      <c r="C5932">
        <v>1.0166203157909299</v>
      </c>
      <c r="D5932">
        <v>1.05670414259491</v>
      </c>
      <c r="E5932">
        <v>1.1171955615154701</v>
      </c>
      <c r="F5932">
        <v>0.99115913460527405</v>
      </c>
      <c r="G5932">
        <v>0.51969404221315196</v>
      </c>
      <c r="H5932">
        <v>0.13388153927732999</v>
      </c>
      <c r="I5932">
        <v>0.10255731017709099</v>
      </c>
      <c r="J5932">
        <v>8.8806607924027295E-2</v>
      </c>
      <c r="K5932">
        <v>6.2454700795977099E-2</v>
      </c>
      <c r="L5932">
        <v>3079.71849903566</v>
      </c>
      <c r="M5932">
        <v>54.314388497967499</v>
      </c>
      <c r="N5932">
        <v>56.910042893773699</v>
      </c>
      <c r="O5932">
        <v>56.6249972934502</v>
      </c>
      <c r="P5932">
        <v>-0.21817802143737799</v>
      </c>
      <c r="Q5932">
        <v>9.0162099024645295E-2</v>
      </c>
      <c r="R5932">
        <v>0.99041043383934002</v>
      </c>
      <c r="S5932" t="s">
        <v>12578</v>
      </c>
      <c r="T5932" t="s">
        <v>13290</v>
      </c>
      <c r="U5932" t="s">
        <v>13290</v>
      </c>
      <c r="V5932" t="s">
        <v>13290</v>
      </c>
      <c r="W5932" t="s">
        <v>19170</v>
      </c>
      <c r="X5932">
        <v>9</v>
      </c>
      <c r="Y5932" t="s">
        <v>25644</v>
      </c>
      <c r="Z5932" t="s">
        <v>32262</v>
      </c>
      <c r="AA5932">
        <v>0.59861541472623425</v>
      </c>
      <c r="AB5932" t="str">
        <f>HYPERLINK("Melting_Curves/meltCurve_Q9NTM9_CUTC.pdf", "Melting_Curves/meltCurve_Q9NTM9_CUTC.pdf")</f>
        <v>Melting_Curves/meltCurve_Q9NTM9_CUTC.pdf</v>
      </c>
    </row>
    <row r="5933" spans="1:28" x14ac:dyDescent="0.25">
      <c r="A5933" t="s">
        <v>5937</v>
      </c>
      <c r="B5933">
        <v>0.99252571173614901</v>
      </c>
      <c r="C5933">
        <v>1.0168244487202101</v>
      </c>
      <c r="D5933">
        <v>0.97785640889108605</v>
      </c>
      <c r="E5933">
        <v>0.86049631197702203</v>
      </c>
      <c r="F5933">
        <v>0.91893202189454204</v>
      </c>
      <c r="G5933">
        <v>0.79600725042016296</v>
      </c>
      <c r="H5933">
        <v>0.720195297529578</v>
      </c>
      <c r="I5933">
        <v>0.89461070819967403</v>
      </c>
      <c r="J5933">
        <v>1.1481007187688701</v>
      </c>
      <c r="K5933">
        <v>1.0482091900888999</v>
      </c>
      <c r="L5933">
        <v>11549.881386253101</v>
      </c>
      <c r="M5933">
        <v>250</v>
      </c>
      <c r="O5933">
        <v>46.1965699827553</v>
      </c>
      <c r="P5933">
        <v>-0.11856332336500799</v>
      </c>
      <c r="Q5933">
        <v>0.912364499967797</v>
      </c>
      <c r="R5933">
        <v>0.10518486407088599</v>
      </c>
      <c r="S5933" t="s">
        <v>12579</v>
      </c>
      <c r="T5933" t="s">
        <v>13290</v>
      </c>
      <c r="U5933" t="s">
        <v>13290</v>
      </c>
      <c r="V5933" t="s">
        <v>13290</v>
      </c>
      <c r="W5933" t="s">
        <v>19171</v>
      </c>
      <c r="X5933">
        <v>14</v>
      </c>
      <c r="Y5933" t="s">
        <v>25645</v>
      </c>
      <c r="Z5933" t="s">
        <v>32263</v>
      </c>
      <c r="AA5933">
        <v>0.93048155610911099</v>
      </c>
      <c r="AB5933" t="str">
        <f>HYPERLINK("Melting_Curves/meltCurve_Q9NTX5_2_ECHDC1.pdf", "Melting_Curves/meltCurve_Q9NTX5_2_ECHDC1.pdf")</f>
        <v>Melting_Curves/meltCurve_Q9NTX5_2_ECHDC1.pdf</v>
      </c>
    </row>
    <row r="5934" spans="1:28" x14ac:dyDescent="0.25">
      <c r="A5934" t="s">
        <v>5938</v>
      </c>
      <c r="B5934">
        <v>0.99252571173614901</v>
      </c>
      <c r="C5934">
        <v>0.98379411180797005</v>
      </c>
      <c r="D5934">
        <v>0.76626525710873605</v>
      </c>
      <c r="E5934">
        <v>0.30650721379474899</v>
      </c>
      <c r="F5934">
        <v>0.142008382573442</v>
      </c>
      <c r="G5934">
        <v>8.5997492816071205E-2</v>
      </c>
      <c r="H5934">
        <v>6.6991090554598606E-2</v>
      </c>
      <c r="I5934">
        <v>6.8605729332753398E-2</v>
      </c>
      <c r="J5934">
        <v>6.4648364605304098E-2</v>
      </c>
      <c r="K5934">
        <v>5.7022703744316998E-2</v>
      </c>
      <c r="L5934">
        <v>1348.3462606487201</v>
      </c>
      <c r="M5934">
        <v>28.209454293657199</v>
      </c>
      <c r="N5934">
        <v>48.0506568654245</v>
      </c>
      <c r="O5934">
        <v>47.559406675934902</v>
      </c>
      <c r="P5934">
        <v>-0.138052816449623</v>
      </c>
      <c r="Q5934">
        <v>6.90134482257449E-2</v>
      </c>
      <c r="R5934">
        <v>0.999149012309127</v>
      </c>
      <c r="S5934" t="s">
        <v>12580</v>
      </c>
      <c r="T5934" t="s">
        <v>13290</v>
      </c>
      <c r="U5934" t="s">
        <v>13290</v>
      </c>
      <c r="V5934" t="s">
        <v>13290</v>
      </c>
      <c r="W5934" t="s">
        <v>19172</v>
      </c>
      <c r="X5934">
        <v>24</v>
      </c>
      <c r="Y5934" t="s">
        <v>25646</v>
      </c>
      <c r="Z5934" t="s">
        <v>32264</v>
      </c>
      <c r="AA5934">
        <v>0.31736653789023139</v>
      </c>
      <c r="AB5934" t="str">
        <f>HYPERLINK("Melting_Curves/meltCurve_Q9NTZ6_RBM12.pdf", "Melting_Curves/meltCurve_Q9NTZ6_RBM12.pdf")</f>
        <v>Melting_Curves/meltCurve_Q9NTZ6_RBM12.pdf</v>
      </c>
    </row>
    <row r="5935" spans="1:28" x14ac:dyDescent="0.25">
      <c r="A5935" t="s">
        <v>5939</v>
      </c>
      <c r="B5935">
        <v>0.99252571173614901</v>
      </c>
      <c r="C5935">
        <v>0.81161905749289998</v>
      </c>
      <c r="D5935">
        <v>1.00854381513043</v>
      </c>
      <c r="E5935">
        <v>0.69985920950834202</v>
      </c>
      <c r="F5935">
        <v>0.17367062743919001</v>
      </c>
      <c r="G5935">
        <v>0.113116795302448</v>
      </c>
      <c r="H5935">
        <v>7.6347069590512601E-2</v>
      </c>
      <c r="I5935">
        <v>7.5832859018867202E-2</v>
      </c>
      <c r="J5935">
        <v>7.6568075682891104E-2</v>
      </c>
      <c r="K5935">
        <v>6.8916963600245199E-2</v>
      </c>
      <c r="L5935">
        <v>2109.7407854716098</v>
      </c>
      <c r="M5935">
        <v>41.803019551979702</v>
      </c>
      <c r="N5935">
        <v>50.679253592529101</v>
      </c>
      <c r="O5935">
        <v>50.353542028623799</v>
      </c>
      <c r="P5935">
        <v>-0.19099766501784601</v>
      </c>
      <c r="Q5935">
        <v>7.97419297812276E-2</v>
      </c>
      <c r="R5935">
        <v>0.97613542113751794</v>
      </c>
      <c r="S5935" t="s">
        <v>12581</v>
      </c>
      <c r="T5935" t="s">
        <v>13290</v>
      </c>
      <c r="U5935" t="s">
        <v>13290</v>
      </c>
      <c r="V5935" t="s">
        <v>13290</v>
      </c>
      <c r="W5935" t="s">
        <v>19173</v>
      </c>
      <c r="X5935">
        <v>37</v>
      </c>
      <c r="Y5935" t="s">
        <v>25647</v>
      </c>
      <c r="Z5935" t="s">
        <v>32265</v>
      </c>
      <c r="AA5935">
        <v>0.40380749171273111</v>
      </c>
      <c r="AB5935" t="str">
        <f>HYPERLINK("Melting_Curves/meltCurve_Q9NU22_MDN1.pdf", "Melting_Curves/meltCurve_Q9NU22_MDN1.pdf")</f>
        <v>Melting_Curves/meltCurve_Q9NU22_MDN1.pdf</v>
      </c>
    </row>
    <row r="5936" spans="1:28" x14ac:dyDescent="0.25">
      <c r="A5936" t="s">
        <v>5940</v>
      </c>
      <c r="B5936">
        <v>0.99252571173614901</v>
      </c>
      <c r="C5936">
        <v>0.99624854802557405</v>
      </c>
      <c r="D5936">
        <v>0.91866153280698903</v>
      </c>
      <c r="E5936">
        <v>0.84139420825743505</v>
      </c>
      <c r="F5936">
        <v>0.61148764712406201</v>
      </c>
      <c r="G5936">
        <v>0.23787724503354199</v>
      </c>
      <c r="H5936">
        <v>5.68108858426698E-2</v>
      </c>
      <c r="I5936">
        <v>4.4654895153567499E-2</v>
      </c>
      <c r="J5936">
        <v>4.30880046627235E-2</v>
      </c>
      <c r="K5936">
        <v>4.9515441579671499E-2</v>
      </c>
      <c r="L5936">
        <v>1182.4612272217501</v>
      </c>
      <c r="M5936">
        <v>21.9707210344936</v>
      </c>
      <c r="N5936">
        <v>53.914611951278196</v>
      </c>
      <c r="O5936">
        <v>53.379949289162298</v>
      </c>
      <c r="P5936">
        <v>-0.100951478274314</v>
      </c>
      <c r="Q5936">
        <v>1.8937283640453401E-2</v>
      </c>
      <c r="R5936">
        <v>0.99519762127176403</v>
      </c>
      <c r="S5936" t="s">
        <v>12582</v>
      </c>
      <c r="T5936" t="s">
        <v>13290</v>
      </c>
      <c r="U5936" t="s">
        <v>13290</v>
      </c>
      <c r="V5936" t="s">
        <v>13290</v>
      </c>
      <c r="W5936" t="s">
        <v>19174</v>
      </c>
      <c r="X5936">
        <v>8</v>
      </c>
      <c r="Y5936" t="s">
        <v>25648</v>
      </c>
      <c r="Z5936" t="s">
        <v>32266</v>
      </c>
      <c r="AA5936">
        <v>0.48229538855736798</v>
      </c>
      <c r="AB5936" t="str">
        <f>HYPERLINK("Melting_Curves/meltCurve_Q9NU23_LYRM2.pdf", "Melting_Curves/meltCurve_Q9NU23_LYRM2.pdf")</f>
        <v>Melting_Curves/meltCurve_Q9NU23_LYRM2.pdf</v>
      </c>
    </row>
    <row r="5937" spans="1:28" x14ac:dyDescent="0.25">
      <c r="A5937" t="s">
        <v>5941</v>
      </c>
      <c r="B5937">
        <v>0.99252571173614901</v>
      </c>
      <c r="C5937">
        <v>1.04526288023486</v>
      </c>
      <c r="D5937">
        <v>0.96515825509072495</v>
      </c>
      <c r="E5937">
        <v>0.76511336533554197</v>
      </c>
      <c r="F5937">
        <v>0.49559416152455599</v>
      </c>
      <c r="G5937">
        <v>0.204960988806795</v>
      </c>
      <c r="H5937">
        <v>0.100921060421931</v>
      </c>
      <c r="I5937">
        <v>0.100038247939266</v>
      </c>
      <c r="J5937">
        <v>0.104562841962468</v>
      </c>
      <c r="K5937">
        <v>0.108309328252263</v>
      </c>
      <c r="L5937">
        <v>1166.0808692200301</v>
      </c>
      <c r="M5937">
        <v>22.272119080922899</v>
      </c>
      <c r="N5937">
        <v>52.807998745590801</v>
      </c>
      <c r="O5937">
        <v>51.9394822292737</v>
      </c>
      <c r="P5937">
        <v>-9.7902647322735195E-2</v>
      </c>
      <c r="Q5937">
        <v>8.6767688005600599E-2</v>
      </c>
      <c r="R5937">
        <v>0.99604425209370595</v>
      </c>
      <c r="S5937" t="s">
        <v>12583</v>
      </c>
      <c r="T5937" t="s">
        <v>13290</v>
      </c>
      <c r="U5937" t="s">
        <v>13290</v>
      </c>
      <c r="V5937" t="s">
        <v>13290</v>
      </c>
      <c r="W5937" t="s">
        <v>19175</v>
      </c>
      <c r="X5937">
        <v>19</v>
      </c>
      <c r="Y5937" t="s">
        <v>25649</v>
      </c>
      <c r="Z5937" t="s">
        <v>32267</v>
      </c>
      <c r="AA5937">
        <v>0.47329079960626169</v>
      </c>
      <c r="AB5937" t="str">
        <f>HYPERLINK("Melting_Curves/meltCurve_Q9NUB1_2_ACSS1.pdf", "Melting_Curves/meltCurve_Q9NUB1_2_ACSS1.pdf")</f>
        <v>Melting_Curves/meltCurve_Q9NUB1_2_ACSS1.pdf</v>
      </c>
    </row>
    <row r="5938" spans="1:28" x14ac:dyDescent="0.25">
      <c r="A5938" t="s">
        <v>5942</v>
      </c>
      <c r="B5938">
        <v>0.99252571173614901</v>
      </c>
      <c r="C5938">
        <v>0.94135833859949303</v>
      </c>
      <c r="D5938">
        <v>1.11346047950889</v>
      </c>
      <c r="E5938">
        <v>0.91510936981134805</v>
      </c>
      <c r="F5938">
        <v>0.76130100718308302</v>
      </c>
      <c r="G5938">
        <v>0.337503287804575</v>
      </c>
      <c r="H5938">
        <v>0.23868217418009099</v>
      </c>
      <c r="I5938">
        <v>0.22199599006919599</v>
      </c>
      <c r="J5938">
        <v>0.27436130425168298</v>
      </c>
      <c r="K5938">
        <v>0.36394054358250599</v>
      </c>
      <c r="L5938">
        <v>2374.4564039883398</v>
      </c>
      <c r="M5938">
        <v>43.9812780117812</v>
      </c>
      <c r="N5938">
        <v>54.969069889637701</v>
      </c>
      <c r="O5938">
        <v>53.8766398476943</v>
      </c>
      <c r="P5938">
        <v>-0.148582419290582</v>
      </c>
      <c r="Q5938">
        <v>0.27195302161221202</v>
      </c>
      <c r="R5938">
        <v>0.97063502457750395</v>
      </c>
      <c r="S5938" t="s">
        <v>12584</v>
      </c>
      <c r="T5938" t="s">
        <v>13290</v>
      </c>
      <c r="U5938" t="s">
        <v>13290</v>
      </c>
      <c r="V5938" t="s">
        <v>13290</v>
      </c>
      <c r="W5938" t="s">
        <v>19176</v>
      </c>
      <c r="X5938">
        <v>4</v>
      </c>
      <c r="Y5938" t="s">
        <v>25650</v>
      </c>
      <c r="Z5938" t="s">
        <v>32268</v>
      </c>
      <c r="AA5938">
        <v>0.6136566174621686</v>
      </c>
      <c r="AB5938" t="str">
        <f>HYPERLINK("Melting_Curves/meltCurve_Q9NUD5_ZCCHC3.pdf", "Melting_Curves/meltCurve_Q9NUD5_ZCCHC3.pdf")</f>
        <v>Melting_Curves/meltCurve_Q9NUD5_ZCCHC3.pdf</v>
      </c>
    </row>
    <row r="5939" spans="1:28" x14ac:dyDescent="0.25">
      <c r="A5939" t="s">
        <v>5943</v>
      </c>
      <c r="B5939">
        <v>0.99252571173614901</v>
      </c>
      <c r="C5939">
        <v>0.98925014426094604</v>
      </c>
      <c r="D5939">
        <v>0.89329697806068398</v>
      </c>
      <c r="E5939">
        <v>0.69052314023283201</v>
      </c>
      <c r="F5939">
        <v>0.61334248333889196</v>
      </c>
      <c r="G5939">
        <v>0.44590960875056601</v>
      </c>
      <c r="H5939">
        <v>0.27515659492738698</v>
      </c>
      <c r="I5939">
        <v>0.243697153335377</v>
      </c>
      <c r="J5939">
        <v>0.30645300052671398</v>
      </c>
      <c r="K5939">
        <v>0.37546437987843101</v>
      </c>
      <c r="L5939">
        <v>771.60175700792399</v>
      </c>
      <c r="M5939">
        <v>14.9832711830025</v>
      </c>
      <c r="N5939">
        <v>54.442674781997603</v>
      </c>
      <c r="O5939">
        <v>50.606340923936898</v>
      </c>
      <c r="P5939">
        <v>-5.3469881517804199E-2</v>
      </c>
      <c r="Q5939">
        <v>0.27769030606489298</v>
      </c>
      <c r="R5939">
        <v>0.96957010917951603</v>
      </c>
      <c r="S5939" t="s">
        <v>12585</v>
      </c>
      <c r="T5939" t="s">
        <v>13290</v>
      </c>
      <c r="U5939" t="s">
        <v>13290</v>
      </c>
      <c r="V5939" t="s">
        <v>13290</v>
      </c>
      <c r="W5939" t="s">
        <v>19177</v>
      </c>
      <c r="X5939">
        <v>2</v>
      </c>
      <c r="Y5939" t="s">
        <v>25651</v>
      </c>
      <c r="Z5939" t="s">
        <v>32269</v>
      </c>
      <c r="AA5939">
        <v>0.5709703903282517</v>
      </c>
      <c r="AB5939" t="str">
        <f>HYPERLINK("Melting_Curves/meltCurve_Q9NUG6_PDRG1.pdf", "Melting_Curves/meltCurve_Q9NUG6_PDRG1.pdf")</f>
        <v>Melting_Curves/meltCurve_Q9NUG6_PDRG1.pdf</v>
      </c>
    </row>
    <row r="5940" spans="1:28" x14ac:dyDescent="0.25">
      <c r="A5940" t="s">
        <v>5944</v>
      </c>
      <c r="B5940">
        <v>0.99252571173614901</v>
      </c>
      <c r="C5940">
        <v>1.0057903165381099</v>
      </c>
      <c r="D5940">
        <v>0.95098782015459504</v>
      </c>
      <c r="E5940">
        <v>0.83806848065789596</v>
      </c>
      <c r="F5940">
        <v>0.86360937450460895</v>
      </c>
      <c r="G5940">
        <v>0.81379788897795602</v>
      </c>
      <c r="H5940">
        <v>0.72916287822148795</v>
      </c>
      <c r="I5940">
        <v>0.61938177624400403</v>
      </c>
      <c r="J5940">
        <v>0.34137903581870999</v>
      </c>
      <c r="K5940">
        <v>0.16661983525484</v>
      </c>
      <c r="L5940">
        <v>837.55179156293002</v>
      </c>
      <c r="M5940">
        <v>13.0180145802873</v>
      </c>
      <c r="N5940">
        <v>64.337881497404695</v>
      </c>
      <c r="O5940">
        <v>62.8764829882493</v>
      </c>
      <c r="P5940">
        <v>-5.1769363794127901E-2</v>
      </c>
      <c r="Q5940">
        <v>0</v>
      </c>
      <c r="R5940">
        <v>0.92842831876324905</v>
      </c>
      <c r="S5940" t="s">
        <v>12586</v>
      </c>
      <c r="T5940" t="s">
        <v>13290</v>
      </c>
      <c r="U5940" t="s">
        <v>13290</v>
      </c>
      <c r="V5940" t="s">
        <v>13290</v>
      </c>
      <c r="W5940" t="s">
        <v>19178</v>
      </c>
      <c r="X5940">
        <v>18</v>
      </c>
      <c r="Y5940" t="s">
        <v>25652</v>
      </c>
      <c r="Z5940" t="s">
        <v>32270</v>
      </c>
      <c r="AA5940">
        <v>0.78383867907406946</v>
      </c>
      <c r="AB5940" t="str">
        <f>HYPERLINK("Melting_Curves/meltCurve_Q9NUJ1_ABHD10.pdf", "Melting_Curves/meltCurve_Q9NUJ1_ABHD10.pdf")</f>
        <v>Melting_Curves/meltCurve_Q9NUJ1_ABHD10.pdf</v>
      </c>
    </row>
    <row r="5941" spans="1:28" x14ac:dyDescent="0.25">
      <c r="A5941" t="s">
        <v>5945</v>
      </c>
      <c r="B5941">
        <v>0.99252571173614901</v>
      </c>
      <c r="C5941">
        <v>1.03795425036851</v>
      </c>
      <c r="D5941">
        <v>0.83842812802316902</v>
      </c>
      <c r="E5941">
        <v>0.63175188245091496</v>
      </c>
      <c r="F5941">
        <v>0.60386022330936595</v>
      </c>
      <c r="G5941">
        <v>0.37160646815919501</v>
      </c>
      <c r="H5941">
        <v>0.195195387516929</v>
      </c>
      <c r="I5941">
        <v>0.23059833111285699</v>
      </c>
      <c r="J5941">
        <v>0.306921878585523</v>
      </c>
      <c r="K5941">
        <v>0.33519715840811998</v>
      </c>
      <c r="L5941">
        <v>785.63691569100604</v>
      </c>
      <c r="M5941">
        <v>15.477909193586299</v>
      </c>
      <c r="N5941">
        <v>53.1684499614339</v>
      </c>
      <c r="O5941">
        <v>49.9339377459169</v>
      </c>
      <c r="P5941">
        <v>-5.7962311820507498E-2</v>
      </c>
      <c r="Q5941">
        <v>0.25208815246722799</v>
      </c>
      <c r="R5941">
        <v>0.95062857807692702</v>
      </c>
      <c r="S5941" t="s">
        <v>12587</v>
      </c>
      <c r="T5941" t="s">
        <v>13290</v>
      </c>
      <c r="U5941" t="s">
        <v>13290</v>
      </c>
      <c r="V5941" t="s">
        <v>13290</v>
      </c>
      <c r="W5941" t="s">
        <v>19179</v>
      </c>
      <c r="X5941">
        <v>2</v>
      </c>
      <c r="Y5941" t="s">
        <v>25653</v>
      </c>
      <c r="Z5941" t="s">
        <v>32271</v>
      </c>
      <c r="AA5941">
        <v>0.53681404005148947</v>
      </c>
      <c r="AB5941" t="str">
        <f>HYPERLINK("Melting_Curves/meltCurve_Q9NUL5_3_C19orf66.pdf", "Melting_Curves/meltCurve_Q9NUL5_3_C19orf66.pdf")</f>
        <v>Melting_Curves/meltCurve_Q9NUL5_3_C19orf66.pdf</v>
      </c>
    </row>
    <row r="5942" spans="1:28" x14ac:dyDescent="0.25">
      <c r="A5942" t="s">
        <v>5946</v>
      </c>
      <c r="B5942">
        <v>0.99252571173614901</v>
      </c>
      <c r="C5942">
        <v>0.98787120244316695</v>
      </c>
      <c r="D5942">
        <v>0.92529146300972098</v>
      </c>
      <c r="E5942">
        <v>0.91632782253384304</v>
      </c>
      <c r="F5942">
        <v>0.76743826468477405</v>
      </c>
      <c r="G5942">
        <v>0.76816807161828504</v>
      </c>
      <c r="H5942">
        <v>0.72919372543205296</v>
      </c>
      <c r="I5942">
        <v>0.64386577487455299</v>
      </c>
      <c r="J5942">
        <v>0.67275074632499998</v>
      </c>
      <c r="K5942">
        <v>0.49100837247547302</v>
      </c>
      <c r="L5942">
        <v>321.27281784053599</v>
      </c>
      <c r="M5942">
        <v>4.3980857215053302</v>
      </c>
      <c r="O5942">
        <v>61.6920703549007</v>
      </c>
      <c r="P5942">
        <v>-1.79909202606338E-2</v>
      </c>
      <c r="Q5942">
        <v>0</v>
      </c>
      <c r="R5942">
        <v>0.93146415032933305</v>
      </c>
      <c r="S5942" t="s">
        <v>12588</v>
      </c>
      <c r="T5942" t="s">
        <v>13290</v>
      </c>
      <c r="U5942" t="s">
        <v>13290</v>
      </c>
      <c r="V5942" t="s">
        <v>13290</v>
      </c>
      <c r="W5942" t="s">
        <v>19180</v>
      </c>
      <c r="X5942">
        <v>7</v>
      </c>
      <c r="Y5942" t="s">
        <v>25654</v>
      </c>
      <c r="Z5942" t="s">
        <v>32272</v>
      </c>
      <c r="AA5942">
        <v>0.79216444566241107</v>
      </c>
      <c r="AB5942" t="str">
        <f>HYPERLINK("Melting_Curves/meltCurve_Q9NUM4_TMEM106B.pdf", "Melting_Curves/meltCurve_Q9NUM4_TMEM106B.pdf")</f>
        <v>Melting_Curves/meltCurve_Q9NUM4_TMEM106B.pdf</v>
      </c>
    </row>
    <row r="5943" spans="1:28" x14ac:dyDescent="0.25">
      <c r="A5943" t="s">
        <v>5947</v>
      </c>
      <c r="B5943">
        <v>0.99252571173614901</v>
      </c>
      <c r="C5943">
        <v>0.95667352426130003</v>
      </c>
      <c r="D5943">
        <v>0.89672661121276998</v>
      </c>
      <c r="E5943">
        <v>0.88432126927849497</v>
      </c>
      <c r="F5943">
        <v>0.62672697240557895</v>
      </c>
      <c r="G5943">
        <v>0.49699506669804899</v>
      </c>
      <c r="H5943">
        <v>0.443526385207759</v>
      </c>
      <c r="I5943">
        <v>0.50999414500513596</v>
      </c>
      <c r="J5943">
        <v>0.646280549554346</v>
      </c>
      <c r="K5943">
        <v>0.44570832907128399</v>
      </c>
      <c r="L5943">
        <v>1525.4563903527301</v>
      </c>
      <c r="M5943">
        <v>29.803700861286998</v>
      </c>
      <c r="O5943">
        <v>50.954682521342399</v>
      </c>
      <c r="P5943">
        <v>-7.2582203543960402E-2</v>
      </c>
      <c r="Q5943">
        <v>0.50363501804387101</v>
      </c>
      <c r="R5943">
        <v>0.91213037255685603</v>
      </c>
      <c r="S5943" t="s">
        <v>12589</v>
      </c>
      <c r="T5943" t="s">
        <v>13290</v>
      </c>
      <c r="U5943" t="s">
        <v>13290</v>
      </c>
      <c r="V5943" t="s">
        <v>13290</v>
      </c>
      <c r="W5943" t="s">
        <v>19181</v>
      </c>
      <c r="X5943">
        <v>4</v>
      </c>
      <c r="Y5943" t="s">
        <v>25655</v>
      </c>
      <c r="Z5943" t="s">
        <v>32273</v>
      </c>
      <c r="AA5943">
        <v>0.69184246844178132</v>
      </c>
      <c r="AB5943" t="str">
        <f>HYPERLINK("Melting_Curves/meltCurve_Q9NUN5_3_LMBRD1.pdf", "Melting_Curves/meltCurve_Q9NUN5_3_LMBRD1.pdf")</f>
        <v>Melting_Curves/meltCurve_Q9NUN5_3_LMBRD1.pdf</v>
      </c>
    </row>
    <row r="5944" spans="1:28" x14ac:dyDescent="0.25">
      <c r="A5944" t="s">
        <v>5948</v>
      </c>
      <c r="B5944">
        <v>0.99252571173614901</v>
      </c>
      <c r="C5944">
        <v>1.04410843309377</v>
      </c>
      <c r="D5944">
        <v>0.96912838228732601</v>
      </c>
      <c r="E5944">
        <v>0.87681240858845699</v>
      </c>
      <c r="F5944">
        <v>0.66338149623361797</v>
      </c>
      <c r="G5944">
        <v>0.375797816149326</v>
      </c>
      <c r="H5944">
        <v>0.136517758828476</v>
      </c>
      <c r="I5944">
        <v>6.5158214986998794E-2</v>
      </c>
      <c r="J5944">
        <v>0.103285211223118</v>
      </c>
      <c r="K5944">
        <v>0.102691495877796</v>
      </c>
      <c r="L5944">
        <v>1143.0287662426599</v>
      </c>
      <c r="M5944">
        <v>20.9302472119344</v>
      </c>
      <c r="N5944">
        <v>54.973613543165598</v>
      </c>
      <c r="O5944">
        <v>54.120150237236601</v>
      </c>
      <c r="P5944">
        <v>-9.0458231255349797E-2</v>
      </c>
      <c r="Q5944">
        <v>6.4420117407181399E-2</v>
      </c>
      <c r="R5944">
        <v>0.99545879687948602</v>
      </c>
      <c r="S5944" t="s">
        <v>12590</v>
      </c>
      <c r="T5944" t="s">
        <v>13290</v>
      </c>
      <c r="U5944" t="s">
        <v>13290</v>
      </c>
      <c r="V5944" t="s">
        <v>13290</v>
      </c>
      <c r="W5944" t="s">
        <v>19182</v>
      </c>
      <c r="X5944">
        <v>4</v>
      </c>
      <c r="Y5944" t="s">
        <v>25656</v>
      </c>
      <c r="Z5944" t="s">
        <v>32274</v>
      </c>
      <c r="AA5944">
        <v>0.53179497591353486</v>
      </c>
      <c r="AB5944" t="str">
        <f>HYPERLINK("Melting_Curves/meltCurve_Q9NUP1_BLOC1S4.pdf", "Melting_Curves/meltCurve_Q9NUP1_BLOC1S4.pdf")</f>
        <v>Melting_Curves/meltCurve_Q9NUP1_BLOC1S4.pdf</v>
      </c>
    </row>
    <row r="5945" spans="1:28" x14ac:dyDescent="0.25">
      <c r="A5945" t="s">
        <v>5949</v>
      </c>
      <c r="B5945">
        <v>0.99252571173614901</v>
      </c>
      <c r="C5945">
        <v>1.10300331561099</v>
      </c>
      <c r="D5945">
        <v>0.91140929990247299</v>
      </c>
      <c r="E5945">
        <v>0.67370808367929702</v>
      </c>
      <c r="F5945">
        <v>0.23456095606048699</v>
      </c>
      <c r="G5945">
        <v>0.16662989829569799</v>
      </c>
      <c r="H5945">
        <v>0.126237461881193</v>
      </c>
      <c r="I5945">
        <v>0.117362254548534</v>
      </c>
      <c r="J5945">
        <v>0.16594204658035699</v>
      </c>
      <c r="K5945">
        <v>0.17077612690536501</v>
      </c>
      <c r="L5945">
        <v>1723.8197582699199</v>
      </c>
      <c r="M5945">
        <v>34.342230369847698</v>
      </c>
      <c r="N5945">
        <v>50.695066387384301</v>
      </c>
      <c r="O5945">
        <v>50.0260495089885</v>
      </c>
      <c r="P5945">
        <v>-0.146978886317362</v>
      </c>
      <c r="Q5945">
        <v>0.14359143710637101</v>
      </c>
      <c r="R5945">
        <v>0.98862995946900301</v>
      </c>
      <c r="S5945" t="s">
        <v>12591</v>
      </c>
      <c r="T5945" t="s">
        <v>13290</v>
      </c>
      <c r="U5945" t="s">
        <v>13290</v>
      </c>
      <c r="V5945" t="s">
        <v>13290</v>
      </c>
      <c r="W5945" t="s">
        <v>19183</v>
      </c>
      <c r="X5945">
        <v>7</v>
      </c>
      <c r="Y5945" t="s">
        <v>25657</v>
      </c>
      <c r="Z5945" t="s">
        <v>32275</v>
      </c>
      <c r="AA5945">
        <v>0.43868106106999422</v>
      </c>
      <c r="AB5945" t="str">
        <f>HYPERLINK("Melting_Curves/meltCurve_Q9NUP7_TRMT13.pdf", "Melting_Curves/meltCurve_Q9NUP7_TRMT13.pdf")</f>
        <v>Melting_Curves/meltCurve_Q9NUP7_TRMT13.pdf</v>
      </c>
    </row>
    <row r="5946" spans="1:28" x14ac:dyDescent="0.25">
      <c r="A5946" t="s">
        <v>5950</v>
      </c>
      <c r="B5946">
        <v>0.99252571173614901</v>
      </c>
      <c r="C5946">
        <v>1.0024070924828199</v>
      </c>
      <c r="D5946">
        <v>0.87943207654040401</v>
      </c>
      <c r="E5946">
        <v>0.78885961203298904</v>
      </c>
      <c r="F5946">
        <v>0.4741380745787</v>
      </c>
      <c r="G5946">
        <v>0.33024118246636602</v>
      </c>
      <c r="H5946">
        <v>0.25574394093595598</v>
      </c>
      <c r="I5946">
        <v>0.24792316880251999</v>
      </c>
      <c r="J5946">
        <v>0.31546390546014702</v>
      </c>
      <c r="K5946">
        <v>0.31629950257889999</v>
      </c>
      <c r="L5946">
        <v>1181.62397745153</v>
      </c>
      <c r="M5946">
        <v>23.144577039017999</v>
      </c>
      <c r="N5946">
        <v>52.8840156878965</v>
      </c>
      <c r="O5946">
        <v>50.677452749905797</v>
      </c>
      <c r="P5946">
        <v>-8.2717870873340094E-2</v>
      </c>
      <c r="Q5946">
        <v>0.27553545747156499</v>
      </c>
      <c r="R5946">
        <v>0.98740844685868301</v>
      </c>
      <c r="S5946" t="s">
        <v>12592</v>
      </c>
      <c r="T5946" t="s">
        <v>13290</v>
      </c>
      <c r="U5946" t="s">
        <v>13290</v>
      </c>
      <c r="V5946" t="s">
        <v>13290</v>
      </c>
      <c r="W5946" t="s">
        <v>19184</v>
      </c>
      <c r="X5946">
        <v>10</v>
      </c>
      <c r="Y5946" t="s">
        <v>25658</v>
      </c>
      <c r="Z5946" t="s">
        <v>32276</v>
      </c>
      <c r="AA5946">
        <v>0.55009010371558442</v>
      </c>
      <c r="AB5946" t="str">
        <f>HYPERLINK("Melting_Curves/meltCurve_Q9NUP9_LIN7C.pdf", "Melting_Curves/meltCurve_Q9NUP9_LIN7C.pdf")</f>
        <v>Melting_Curves/meltCurve_Q9NUP9_LIN7C.pdf</v>
      </c>
    </row>
    <row r="5947" spans="1:28" x14ac:dyDescent="0.25">
      <c r="A5947" t="s">
        <v>5951</v>
      </c>
      <c r="B5947">
        <v>0.99252571173614901</v>
      </c>
      <c r="C5947">
        <v>0.89109505848231896</v>
      </c>
      <c r="D5947">
        <v>0.84500863692742101</v>
      </c>
      <c r="E5947">
        <v>0.61511763773427797</v>
      </c>
      <c r="F5947">
        <v>0.27081556386540301</v>
      </c>
      <c r="G5947">
        <v>0.124852178448636</v>
      </c>
      <c r="H5947">
        <v>7.8699344725591105E-2</v>
      </c>
      <c r="I5947">
        <v>9.5172627367049095E-2</v>
      </c>
      <c r="J5947">
        <v>6.7012043904650903E-2</v>
      </c>
      <c r="K5947">
        <v>4.6387178456234801E-2</v>
      </c>
      <c r="L5947">
        <v>930.17549273578197</v>
      </c>
      <c r="M5947">
        <v>18.539437306627399</v>
      </c>
      <c r="N5947">
        <v>50.454422855006896</v>
      </c>
      <c r="O5947">
        <v>49.599964704454202</v>
      </c>
      <c r="P5947">
        <v>-8.8855513164401295E-2</v>
      </c>
      <c r="Q5947">
        <v>4.9153791418664203E-2</v>
      </c>
      <c r="R5947">
        <v>0.993712690444717</v>
      </c>
      <c r="S5947" t="s">
        <v>12593</v>
      </c>
      <c r="T5947" t="s">
        <v>13290</v>
      </c>
      <c r="U5947" t="s">
        <v>13290</v>
      </c>
      <c r="V5947" t="s">
        <v>13290</v>
      </c>
      <c r="W5947" t="s">
        <v>19185</v>
      </c>
      <c r="X5947">
        <v>7</v>
      </c>
      <c r="Y5947" t="s">
        <v>25659</v>
      </c>
      <c r="Z5947" t="s">
        <v>32277</v>
      </c>
      <c r="AA5947">
        <v>0.38688024186975511</v>
      </c>
      <c r="AB5947" t="str">
        <f>HYPERLINK("Melting_Curves/meltCurve_Q9NUQ2_AGPAT5.pdf", "Melting_Curves/meltCurve_Q9NUQ2_AGPAT5.pdf")</f>
        <v>Melting_Curves/meltCurve_Q9NUQ2_AGPAT5.pdf</v>
      </c>
    </row>
    <row r="5948" spans="1:28" x14ac:dyDescent="0.25">
      <c r="A5948" t="s">
        <v>5952</v>
      </c>
      <c r="B5948">
        <v>0.99252571173614901</v>
      </c>
      <c r="C5948">
        <v>1.0953325459324601</v>
      </c>
      <c r="D5948">
        <v>0.96085137490753103</v>
      </c>
      <c r="E5948">
        <v>0.93099993918560797</v>
      </c>
      <c r="F5948">
        <v>0.54507482462761303</v>
      </c>
      <c r="G5948">
        <v>0.14693111909922801</v>
      </c>
      <c r="H5948">
        <v>0.108918332421522</v>
      </c>
      <c r="I5948">
        <v>0.13043168751049899</v>
      </c>
      <c r="J5948">
        <v>0.15066729870881199</v>
      </c>
      <c r="K5948">
        <v>0.154367729655456</v>
      </c>
      <c r="L5948">
        <v>2315.6080944395599</v>
      </c>
      <c r="M5948">
        <v>43.668862097775502</v>
      </c>
      <c r="N5948">
        <v>53.393547410046999</v>
      </c>
      <c r="O5948">
        <v>52.915687639899303</v>
      </c>
      <c r="P5948">
        <v>-0.179564016570918</v>
      </c>
      <c r="Q5948">
        <v>0.12965540565592601</v>
      </c>
      <c r="R5948">
        <v>0.99154310042256799</v>
      </c>
      <c r="S5948" t="s">
        <v>12594</v>
      </c>
      <c r="T5948" t="s">
        <v>13290</v>
      </c>
      <c r="U5948" t="s">
        <v>13290</v>
      </c>
      <c r="V5948" t="s">
        <v>13290</v>
      </c>
      <c r="W5948" t="s">
        <v>19186</v>
      </c>
      <c r="X5948">
        <v>20</v>
      </c>
      <c r="Y5948" t="s">
        <v>25660</v>
      </c>
      <c r="Z5948" t="s">
        <v>32278</v>
      </c>
      <c r="AA5948">
        <v>0.51024621629434941</v>
      </c>
      <c r="AB5948" t="str">
        <f>HYPERLINK("Melting_Curves/meltCurve_Q9NUQ3_TXLNG.pdf", "Melting_Curves/meltCurve_Q9NUQ3_TXLNG.pdf")</f>
        <v>Melting_Curves/meltCurve_Q9NUQ3_TXLNG.pdf</v>
      </c>
    </row>
    <row r="5949" spans="1:28" x14ac:dyDescent="0.25">
      <c r="A5949" t="s">
        <v>5953</v>
      </c>
      <c r="B5949">
        <v>0.99252571173614901</v>
      </c>
      <c r="C5949">
        <v>0.82220530574620498</v>
      </c>
      <c r="D5949">
        <v>0.69446601810029196</v>
      </c>
      <c r="E5949">
        <v>0.43243946488966201</v>
      </c>
      <c r="F5949">
        <v>0.13181728023823899</v>
      </c>
      <c r="G5949">
        <v>8.3645172320626696E-2</v>
      </c>
      <c r="H5949">
        <v>5.9705345594661403E-2</v>
      </c>
      <c r="I5949">
        <v>6.5573113220301502E-2</v>
      </c>
      <c r="J5949">
        <v>6.4458929723314504E-2</v>
      </c>
      <c r="K5949">
        <v>6.6006199913484304E-2</v>
      </c>
      <c r="L5949">
        <v>817.00019878696605</v>
      </c>
      <c r="M5949">
        <v>17.065157874320501</v>
      </c>
      <c r="N5949">
        <v>48.1240424625245</v>
      </c>
      <c r="O5949">
        <v>47.232416569045803</v>
      </c>
      <c r="P5949">
        <v>-8.6518185291851901E-2</v>
      </c>
      <c r="Q5949">
        <v>4.2208772270248503E-2</v>
      </c>
      <c r="R5949">
        <v>0.99049903975426901</v>
      </c>
      <c r="S5949" t="s">
        <v>12595</v>
      </c>
      <c r="T5949" t="s">
        <v>13290</v>
      </c>
      <c r="U5949" t="s">
        <v>13290</v>
      </c>
      <c r="V5949" t="s">
        <v>13290</v>
      </c>
      <c r="W5949" t="s">
        <v>19187</v>
      </c>
      <c r="X5949">
        <v>8</v>
      </c>
      <c r="Y5949" t="s">
        <v>25661</v>
      </c>
      <c r="Z5949" t="s">
        <v>32279</v>
      </c>
      <c r="AA5949">
        <v>0.31270941164584698</v>
      </c>
      <c r="AB5949" t="str">
        <f>HYPERLINK("Melting_Curves/meltCurve_Q9NUQ7_UFSP2.pdf", "Melting_Curves/meltCurve_Q9NUQ7_UFSP2.pdf")</f>
        <v>Melting_Curves/meltCurve_Q9NUQ7_UFSP2.pdf</v>
      </c>
    </row>
    <row r="5950" spans="1:28" x14ac:dyDescent="0.25">
      <c r="A5950" t="s">
        <v>5954</v>
      </c>
      <c r="B5950">
        <v>0.99252571173614901</v>
      </c>
      <c r="C5950">
        <v>0.78263270382017203</v>
      </c>
      <c r="D5950">
        <v>0.251909469754167</v>
      </c>
      <c r="E5950">
        <v>0.18434341323730999</v>
      </c>
      <c r="F5950">
        <v>0.113195374260322</v>
      </c>
      <c r="G5950">
        <v>7.0629209403908697E-2</v>
      </c>
      <c r="H5950">
        <v>6.1776723567512203E-2</v>
      </c>
      <c r="I5950">
        <v>5.4553748963187099E-2</v>
      </c>
      <c r="J5950">
        <v>5.7050701694299301E-2</v>
      </c>
      <c r="K5950">
        <v>5.2478628686650299E-2</v>
      </c>
      <c r="L5950">
        <v>1557.63929448474</v>
      </c>
      <c r="M5950">
        <v>35.178821125387998</v>
      </c>
      <c r="N5950">
        <v>44.495444079255698</v>
      </c>
      <c r="O5950">
        <v>44.135408739481498</v>
      </c>
      <c r="P5950">
        <v>-0.183513971981383</v>
      </c>
      <c r="Q5950">
        <v>7.9055414473272606E-2</v>
      </c>
      <c r="R5950">
        <v>0.98936731164562797</v>
      </c>
      <c r="S5950" t="s">
        <v>12596</v>
      </c>
      <c r="T5950" t="s">
        <v>13290</v>
      </c>
      <c r="U5950" t="s">
        <v>13290</v>
      </c>
      <c r="V5950" t="s">
        <v>13290</v>
      </c>
      <c r="W5950" t="s">
        <v>19188</v>
      </c>
      <c r="X5950">
        <v>13</v>
      </c>
      <c r="Y5950" t="s">
        <v>25662</v>
      </c>
      <c r="Z5950" t="s">
        <v>32280</v>
      </c>
      <c r="AA5950">
        <v>0.21471864306933711</v>
      </c>
      <c r="AB5950" t="str">
        <f>HYPERLINK("Melting_Curves/meltCurve_Q9NUQ8_2_ABCF3.pdf", "Melting_Curves/meltCurve_Q9NUQ8_2_ABCF3.pdf")</f>
        <v>Melting_Curves/meltCurve_Q9NUQ8_2_ABCF3.pdf</v>
      </c>
    </row>
    <row r="5951" spans="1:28" x14ac:dyDescent="0.25">
      <c r="A5951" t="s">
        <v>5955</v>
      </c>
      <c r="B5951">
        <v>0.99252571173614901</v>
      </c>
      <c r="C5951">
        <v>1.04669677234611</v>
      </c>
      <c r="D5951">
        <v>0.93633701815375903</v>
      </c>
      <c r="E5951">
        <v>0.80570070966829899</v>
      </c>
      <c r="F5951">
        <v>0.53135491498707799</v>
      </c>
      <c r="G5951">
        <v>0.192243947580061</v>
      </c>
      <c r="H5951">
        <v>0.117407444519757</v>
      </c>
      <c r="I5951">
        <v>0.124505525396852</v>
      </c>
      <c r="J5951">
        <v>0.13941992184250801</v>
      </c>
      <c r="K5951">
        <v>0.117459951370832</v>
      </c>
      <c r="L5951">
        <v>1267.22523880228</v>
      </c>
      <c r="M5951">
        <v>24.108886661548699</v>
      </c>
      <c r="N5951">
        <v>53.095884833143003</v>
      </c>
      <c r="O5951">
        <v>52.204945350337503</v>
      </c>
      <c r="P5951">
        <v>-0.103039894127519</v>
      </c>
      <c r="Q5951">
        <v>0.107531006804807</v>
      </c>
      <c r="R5951">
        <v>0.99374452656711798</v>
      </c>
      <c r="S5951" t="s">
        <v>12597</v>
      </c>
      <c r="T5951" t="s">
        <v>13290</v>
      </c>
      <c r="U5951" t="s">
        <v>13290</v>
      </c>
      <c r="V5951" t="s">
        <v>13290</v>
      </c>
      <c r="W5951" t="s">
        <v>19189</v>
      </c>
      <c r="X5951">
        <v>13</v>
      </c>
      <c r="Y5951" t="s">
        <v>25663</v>
      </c>
      <c r="Z5951" t="s">
        <v>32281</v>
      </c>
      <c r="AA5951">
        <v>0.49002525541152431</v>
      </c>
      <c r="AB5951" t="str">
        <f>HYPERLINK("Melting_Curves/meltCurve_Q9NUQ9_FAM49B.pdf", "Melting_Curves/meltCurve_Q9NUQ9_FAM49B.pdf")</f>
        <v>Melting_Curves/meltCurve_Q9NUQ9_FAM49B.pdf</v>
      </c>
    </row>
    <row r="5952" spans="1:28" x14ac:dyDescent="0.25">
      <c r="A5952" t="s">
        <v>5956</v>
      </c>
      <c r="B5952">
        <v>0.99252571173614901</v>
      </c>
      <c r="C5952">
        <v>0.99827506372003005</v>
      </c>
      <c r="D5952">
        <v>0.88059792835268502</v>
      </c>
      <c r="E5952">
        <v>0.64329506728058194</v>
      </c>
      <c r="F5952">
        <v>0.178037793214079</v>
      </c>
      <c r="G5952">
        <v>0.101022294974737</v>
      </c>
      <c r="H5952">
        <v>6.9249207672881494E-2</v>
      </c>
      <c r="I5952">
        <v>6.9824052894702296E-2</v>
      </c>
      <c r="J5952">
        <v>8.8816587692881102E-2</v>
      </c>
      <c r="K5952">
        <v>8.8289879554089803E-2</v>
      </c>
      <c r="L5952">
        <v>1520.7473656592999</v>
      </c>
      <c r="M5952">
        <v>30.3336042692825</v>
      </c>
      <c r="N5952">
        <v>50.397641097824</v>
      </c>
      <c r="O5952">
        <v>49.917694805915701</v>
      </c>
      <c r="P5952">
        <v>-0.14077655024411601</v>
      </c>
      <c r="Q5952">
        <v>7.3344781308502693E-2</v>
      </c>
      <c r="R5952">
        <v>0.99575130384853605</v>
      </c>
      <c r="S5952" t="s">
        <v>12598</v>
      </c>
      <c r="T5952" t="s">
        <v>13290</v>
      </c>
      <c r="U5952" t="s">
        <v>13290</v>
      </c>
      <c r="V5952" t="s">
        <v>13290</v>
      </c>
      <c r="W5952" t="s">
        <v>19190</v>
      </c>
      <c r="X5952">
        <v>33</v>
      </c>
      <c r="Y5952" t="s">
        <v>25664</v>
      </c>
      <c r="Z5952" t="s">
        <v>32282</v>
      </c>
      <c r="AA5952">
        <v>0.3919884700152938</v>
      </c>
      <c r="AB5952" t="str">
        <f>HYPERLINK("Melting_Curves/meltCurve_Q9NUU7_DDX19A.pdf", "Melting_Curves/meltCurve_Q9NUU7_DDX19A.pdf")</f>
        <v>Melting_Curves/meltCurve_Q9NUU7_DDX19A.pdf</v>
      </c>
    </row>
    <row r="5953" spans="1:28" x14ac:dyDescent="0.25">
      <c r="A5953" t="s">
        <v>5957</v>
      </c>
      <c r="B5953">
        <v>0.99252571173614901</v>
      </c>
      <c r="C5953">
        <v>0.97030994276939198</v>
      </c>
      <c r="D5953">
        <v>0.78283701486818102</v>
      </c>
      <c r="E5953">
        <v>0.29553892263613901</v>
      </c>
      <c r="F5953">
        <v>0.14953473752198601</v>
      </c>
      <c r="G5953">
        <v>8.0664359211715997E-2</v>
      </c>
      <c r="H5953">
        <v>5.4584005454029597E-2</v>
      </c>
      <c r="I5953">
        <v>5.6299830592793101E-2</v>
      </c>
      <c r="J5953">
        <v>6.7526505527743905E-2</v>
      </c>
      <c r="K5953">
        <v>7.7570972861836604E-2</v>
      </c>
      <c r="L5953">
        <v>1395.4118193459001</v>
      </c>
      <c r="M5953">
        <v>29.185418920814001</v>
      </c>
      <c r="N5953">
        <v>48.058610091156801</v>
      </c>
      <c r="O5953">
        <v>47.5891613647943</v>
      </c>
      <c r="P5953">
        <v>-0.14265545705412699</v>
      </c>
      <c r="Q5953">
        <v>6.9562080553303499E-2</v>
      </c>
      <c r="R5953">
        <v>0.99860903137564605</v>
      </c>
      <c r="S5953" t="s">
        <v>12599</v>
      </c>
      <c r="T5953" t="s">
        <v>13290</v>
      </c>
      <c r="U5953" t="s">
        <v>13290</v>
      </c>
      <c r="V5953" t="s">
        <v>13290</v>
      </c>
      <c r="W5953" t="s">
        <v>19191</v>
      </c>
      <c r="X5953">
        <v>5</v>
      </c>
      <c r="Y5953" t="s">
        <v>25665</v>
      </c>
      <c r="Z5953" t="s">
        <v>32283</v>
      </c>
      <c r="AA5953">
        <v>0.31777126052140292</v>
      </c>
      <c r="AB5953" t="str">
        <f>HYPERLINK("Melting_Curves/meltCurve_Q9NUW8_TDP1.pdf", "Melting_Curves/meltCurve_Q9NUW8_TDP1.pdf")</f>
        <v>Melting_Curves/meltCurve_Q9NUW8_TDP1.pdf</v>
      </c>
    </row>
    <row r="5954" spans="1:28" x14ac:dyDescent="0.25">
      <c r="A5954" t="s">
        <v>5958</v>
      </c>
      <c r="B5954">
        <v>0.99252571173614901</v>
      </c>
      <c r="C5954">
        <v>1.03144657869753</v>
      </c>
      <c r="D5954">
        <v>0.90700557413892202</v>
      </c>
      <c r="E5954">
        <v>0.55234605546589499</v>
      </c>
      <c r="F5954">
        <v>0.18795558705741799</v>
      </c>
      <c r="G5954">
        <v>0.11562065957262101</v>
      </c>
      <c r="H5954">
        <v>7.8257037135011198E-2</v>
      </c>
      <c r="I5954">
        <v>7.6530317546946697E-2</v>
      </c>
      <c r="J5954">
        <v>6.2489423380445601E-2</v>
      </c>
      <c r="K5954">
        <v>5.8688234786229698E-2</v>
      </c>
      <c r="L5954">
        <v>1416.05260623956</v>
      </c>
      <c r="M5954">
        <v>28.484684288940102</v>
      </c>
      <c r="N5954">
        <v>49.979293424115198</v>
      </c>
      <c r="O5954">
        <v>49.469688164942802</v>
      </c>
      <c r="P5954">
        <v>-0.13380837585202501</v>
      </c>
      <c r="Q5954">
        <v>7.0461088057981805E-2</v>
      </c>
      <c r="R5954">
        <v>0.99843397185317595</v>
      </c>
      <c r="S5954" t="s">
        <v>12600</v>
      </c>
      <c r="T5954" t="s">
        <v>13290</v>
      </c>
      <c r="U5954" t="s">
        <v>13290</v>
      </c>
      <c r="V5954" t="s">
        <v>13290</v>
      </c>
      <c r="W5954" t="s">
        <v>19192</v>
      </c>
      <c r="X5954">
        <v>13</v>
      </c>
      <c r="Y5954" t="s">
        <v>25666</v>
      </c>
      <c r="Z5954" t="s">
        <v>32284</v>
      </c>
      <c r="AA5954">
        <v>0.37776578559382029</v>
      </c>
      <c r="AB5954" t="str">
        <f>HYPERLINK("Melting_Curves/meltCurve_Q9NUY8_TBC1D23.pdf", "Melting_Curves/meltCurve_Q9NUY8_TBC1D23.pdf")</f>
        <v>Melting_Curves/meltCurve_Q9NUY8_TBC1D23.pdf</v>
      </c>
    </row>
    <row r="5955" spans="1:28" x14ac:dyDescent="0.25">
      <c r="A5955" t="s">
        <v>5959</v>
      </c>
      <c r="B5955">
        <v>0.99252571173614901</v>
      </c>
      <c r="C5955">
        <v>1.1369592250815601</v>
      </c>
      <c r="D5955">
        <v>1.3961521614060799</v>
      </c>
      <c r="E5955">
        <v>1.2552393463842999</v>
      </c>
      <c r="F5955">
        <v>0.92676642262309905</v>
      </c>
      <c r="G5955">
        <v>0.53957983529021103</v>
      </c>
      <c r="H5955">
        <v>0.268406181390134</v>
      </c>
      <c r="I5955">
        <v>0.197456989502998</v>
      </c>
      <c r="J5955">
        <v>0.21848155743978401</v>
      </c>
      <c r="K5955">
        <v>0.23953514299966</v>
      </c>
      <c r="L5955">
        <v>2467.55069303973</v>
      </c>
      <c r="M5955">
        <v>43.814882742817602</v>
      </c>
      <c r="N5955">
        <v>57.082863606337199</v>
      </c>
      <c r="O5955">
        <v>56.200699587901298</v>
      </c>
      <c r="P5955">
        <v>-0.151614960661482</v>
      </c>
      <c r="Q5955">
        <v>0.22210408462794601</v>
      </c>
      <c r="R5955">
        <v>0.87972592055439103</v>
      </c>
      <c r="S5955" t="s">
        <v>12601</v>
      </c>
      <c r="T5955" t="s">
        <v>13290</v>
      </c>
      <c r="U5955" t="s">
        <v>13290</v>
      </c>
      <c r="V5955" t="s">
        <v>13290</v>
      </c>
      <c r="W5955" t="s">
        <v>19193</v>
      </c>
      <c r="X5955">
        <v>10</v>
      </c>
      <c r="Y5955" t="s">
        <v>25667</v>
      </c>
      <c r="Z5955" t="s">
        <v>32285</v>
      </c>
      <c r="AA5955">
        <v>0.64772862060819447</v>
      </c>
      <c r="AB5955" t="str">
        <f>HYPERLINK("Melting_Curves/meltCurve_Q9NV06_DCAF13.pdf", "Melting_Curves/meltCurve_Q9NV06_DCAF13.pdf")</f>
        <v>Melting_Curves/meltCurve_Q9NV06_DCAF13.pdf</v>
      </c>
    </row>
    <row r="5956" spans="1:28" x14ac:dyDescent="0.25">
      <c r="A5956" t="s">
        <v>5960</v>
      </c>
      <c r="B5956">
        <v>0.99252571173614901</v>
      </c>
      <c r="C5956">
        <v>1.01858579140008</v>
      </c>
      <c r="D5956">
        <v>0.86748262088474803</v>
      </c>
      <c r="E5956">
        <v>0.593731459497294</v>
      </c>
      <c r="F5956">
        <v>0.515869938518003</v>
      </c>
      <c r="G5956">
        <v>0.27541506680382899</v>
      </c>
      <c r="H5956">
        <v>0.12293185752475801</v>
      </c>
      <c r="I5956">
        <v>0.108965407029428</v>
      </c>
      <c r="J5956">
        <v>0.105140016554987</v>
      </c>
      <c r="K5956">
        <v>9.9984385413461205E-2</v>
      </c>
      <c r="L5956">
        <v>728.38421069528397</v>
      </c>
      <c r="M5956">
        <v>14.0592386718317</v>
      </c>
      <c r="N5956">
        <v>52.279973726369299</v>
      </c>
      <c r="O5956">
        <v>50.793846928007902</v>
      </c>
      <c r="P5956">
        <v>-6.5083713649895E-2</v>
      </c>
      <c r="Q5956">
        <v>5.9572980340856702E-2</v>
      </c>
      <c r="R5956">
        <v>0.98623187202164098</v>
      </c>
      <c r="S5956" t="s">
        <v>12602</v>
      </c>
      <c r="T5956" t="s">
        <v>13290</v>
      </c>
      <c r="U5956" t="s">
        <v>13290</v>
      </c>
      <c r="V5956" t="s">
        <v>13290</v>
      </c>
      <c r="W5956" t="s">
        <v>19194</v>
      </c>
      <c r="X5956">
        <v>6</v>
      </c>
      <c r="Y5956" t="s">
        <v>25668</v>
      </c>
      <c r="Z5956" t="s">
        <v>32286</v>
      </c>
      <c r="AA5956">
        <v>0.45308476534930892</v>
      </c>
      <c r="AB5956" t="str">
        <f>HYPERLINK("Melting_Curves/meltCurve_Q9NV35_NUDT15.pdf", "Melting_Curves/meltCurve_Q9NV35_NUDT15.pdf")</f>
        <v>Melting_Curves/meltCurve_Q9NV35_NUDT15.pdf</v>
      </c>
    </row>
    <row r="5957" spans="1:28" x14ac:dyDescent="0.25">
      <c r="A5957" t="s">
        <v>5961</v>
      </c>
      <c r="B5957">
        <v>0.99252571173614901</v>
      </c>
      <c r="C5957">
        <v>1.0312327056839301</v>
      </c>
      <c r="D5957">
        <v>0.815601026788495</v>
      </c>
      <c r="E5957">
        <v>0.684334432810218</v>
      </c>
      <c r="F5957">
        <v>0.31872339640074898</v>
      </c>
      <c r="G5957">
        <v>0.18645978008667599</v>
      </c>
      <c r="H5957">
        <v>0.10408343213641701</v>
      </c>
      <c r="I5957">
        <v>9.7830961420341103E-2</v>
      </c>
      <c r="J5957">
        <v>0.117506027044755</v>
      </c>
      <c r="K5957">
        <v>0.17724477869814101</v>
      </c>
      <c r="L5957">
        <v>1054.9721255679999</v>
      </c>
      <c r="M5957">
        <v>20.910425610925401</v>
      </c>
      <c r="N5957">
        <v>51.073842905771201</v>
      </c>
      <c r="O5957">
        <v>49.997340816947101</v>
      </c>
      <c r="P5957">
        <v>-9.2809211061251104E-2</v>
      </c>
      <c r="Q5957">
        <v>0.11238782545036299</v>
      </c>
      <c r="R5957">
        <v>0.98672470983651706</v>
      </c>
      <c r="S5957" t="s">
        <v>12603</v>
      </c>
      <c r="T5957" t="s">
        <v>13290</v>
      </c>
      <c r="U5957" t="s">
        <v>13290</v>
      </c>
      <c r="V5957" t="s">
        <v>13290</v>
      </c>
      <c r="W5957" t="s">
        <v>19195</v>
      </c>
      <c r="X5957">
        <v>3</v>
      </c>
      <c r="Y5957" t="s">
        <v>25669</v>
      </c>
      <c r="Z5957" t="s">
        <v>32287</v>
      </c>
      <c r="AA5957">
        <v>0.43295615855013397</v>
      </c>
      <c r="AB5957" t="str">
        <f>HYPERLINK("Melting_Curves/meltCurve_Q9NV56_MRGBP.pdf", "Melting_Curves/meltCurve_Q9NV56_MRGBP.pdf")</f>
        <v>Melting_Curves/meltCurve_Q9NV56_MRGBP.pdf</v>
      </c>
    </row>
    <row r="5958" spans="1:28" x14ac:dyDescent="0.25">
      <c r="A5958" t="s">
        <v>5962</v>
      </c>
      <c r="B5958">
        <v>0.99252571173614901</v>
      </c>
      <c r="C5958">
        <v>0.99713500647827602</v>
      </c>
      <c r="D5958">
        <v>0.87124150103059295</v>
      </c>
      <c r="E5958">
        <v>0.75758525051082004</v>
      </c>
      <c r="F5958">
        <v>0.40632521495510399</v>
      </c>
      <c r="G5958">
        <v>0.30296478100513602</v>
      </c>
      <c r="H5958">
        <v>0.30813824723653599</v>
      </c>
      <c r="I5958">
        <v>0.28207727903784202</v>
      </c>
      <c r="J5958">
        <v>0.36443283086712502</v>
      </c>
      <c r="K5958">
        <v>0.33085231418077898</v>
      </c>
      <c r="L5958">
        <v>1392.2371986330099</v>
      </c>
      <c r="M5958">
        <v>27.711829133761</v>
      </c>
      <c r="N5958">
        <v>52.048935628822697</v>
      </c>
      <c r="O5958">
        <v>49.980385605974099</v>
      </c>
      <c r="P5958">
        <v>-9.5759807502118599E-2</v>
      </c>
      <c r="Q5958">
        <v>0.309165931269825</v>
      </c>
      <c r="R5958">
        <v>0.98315272448476598</v>
      </c>
      <c r="S5958" t="s">
        <v>12604</v>
      </c>
      <c r="T5958" t="s">
        <v>13290</v>
      </c>
      <c r="U5958" t="s">
        <v>13290</v>
      </c>
      <c r="V5958" t="s">
        <v>13290</v>
      </c>
      <c r="W5958" t="s">
        <v>19196</v>
      </c>
      <c r="X5958">
        <v>2</v>
      </c>
      <c r="Y5958" t="s">
        <v>25670</v>
      </c>
      <c r="Z5958" t="s">
        <v>32288</v>
      </c>
      <c r="AA5958">
        <v>0.55000014040640688</v>
      </c>
      <c r="AB5958" t="str">
        <f>HYPERLINK("Melting_Curves/meltCurve_Q9NV66_TYW1.pdf", "Melting_Curves/meltCurve_Q9NV66_TYW1.pdf")</f>
        <v>Melting_Curves/meltCurve_Q9NV66_TYW1.pdf</v>
      </c>
    </row>
    <row r="5959" spans="1:28" x14ac:dyDescent="0.25">
      <c r="A5959" t="s">
        <v>5963</v>
      </c>
      <c r="B5959">
        <v>0.99252571173614901</v>
      </c>
      <c r="C5959">
        <v>0.85465846261107603</v>
      </c>
      <c r="D5959">
        <v>0.91788174294361502</v>
      </c>
      <c r="E5959">
        <v>0.34711354355948598</v>
      </c>
      <c r="F5959">
        <v>0.20695409635652301</v>
      </c>
      <c r="G5959">
        <v>9.14521635655135E-2</v>
      </c>
      <c r="H5959">
        <v>7.2109650574815401E-2</v>
      </c>
      <c r="I5959">
        <v>0.10688044323116801</v>
      </c>
      <c r="J5959">
        <v>0.130011290560896</v>
      </c>
      <c r="K5959">
        <v>0.123851513262231</v>
      </c>
      <c r="L5959">
        <v>1745.4387571381101</v>
      </c>
      <c r="M5959">
        <v>36.080518286657501</v>
      </c>
      <c r="N5959">
        <v>48.7223455820411</v>
      </c>
      <c r="O5959">
        <v>48.228325092256902</v>
      </c>
      <c r="P5959">
        <v>-0.16588567079663799</v>
      </c>
      <c r="Q5959">
        <v>0.113054551710552</v>
      </c>
      <c r="R5959">
        <v>0.97905741334648499</v>
      </c>
      <c r="S5959" t="s">
        <v>12605</v>
      </c>
      <c r="T5959" t="s">
        <v>13290</v>
      </c>
      <c r="U5959" t="s">
        <v>13290</v>
      </c>
      <c r="V5959" t="s">
        <v>13290</v>
      </c>
      <c r="W5959" t="s">
        <v>19197</v>
      </c>
      <c r="X5959">
        <v>3</v>
      </c>
      <c r="Y5959" t="s">
        <v>25671</v>
      </c>
      <c r="Z5959" t="s">
        <v>32289</v>
      </c>
      <c r="AA5959">
        <v>0.36436197438789419</v>
      </c>
      <c r="AB5959" t="str">
        <f>HYPERLINK("Melting_Curves/meltCurve_Q9NV70_EXOC1.pdf", "Melting_Curves/meltCurve_Q9NV70_EXOC1.pdf")</f>
        <v>Melting_Curves/meltCurve_Q9NV70_EXOC1.pdf</v>
      </c>
    </row>
    <row r="5960" spans="1:28" x14ac:dyDescent="0.25">
      <c r="A5960" t="s">
        <v>5964</v>
      </c>
      <c r="B5960">
        <v>0.99252571173614901</v>
      </c>
      <c r="C5960">
        <v>0.98251499334847503</v>
      </c>
      <c r="D5960">
        <v>0.91526451713458101</v>
      </c>
      <c r="E5960">
        <v>1.18256168252476</v>
      </c>
      <c r="F5960">
        <v>0.74987230064839605</v>
      </c>
      <c r="G5960">
        <v>0.54134244215655702</v>
      </c>
      <c r="H5960">
        <v>0.456894327980294</v>
      </c>
      <c r="I5960">
        <v>0.57184102687256899</v>
      </c>
      <c r="J5960">
        <v>0.67168479727936303</v>
      </c>
      <c r="K5960">
        <v>0.480430816667969</v>
      </c>
      <c r="L5960">
        <v>13289.5276612219</v>
      </c>
      <c r="M5960">
        <v>250</v>
      </c>
      <c r="O5960">
        <v>53.154706979227498</v>
      </c>
      <c r="P5960">
        <v>-0.53565495254791795</v>
      </c>
      <c r="Q5960">
        <v>0.54443867153350101</v>
      </c>
      <c r="R5960">
        <v>0.87729771113692201</v>
      </c>
      <c r="S5960" t="s">
        <v>12606</v>
      </c>
      <c r="T5960" t="s">
        <v>13290</v>
      </c>
      <c r="U5960" t="s">
        <v>13290</v>
      </c>
      <c r="V5960" t="s">
        <v>13290</v>
      </c>
      <c r="W5960" t="s">
        <v>19198</v>
      </c>
      <c r="X5960">
        <v>2</v>
      </c>
      <c r="Y5960" t="s">
        <v>25672</v>
      </c>
      <c r="Z5960" t="s">
        <v>32290</v>
      </c>
      <c r="AA5960">
        <v>0.74429205045444047</v>
      </c>
      <c r="AB5960" t="str">
        <f>HYPERLINK("Melting_Curves/meltCurve_Q9NV96_2_TMEM30A.pdf", "Melting_Curves/meltCurve_Q9NV96_2_TMEM30A.pdf")</f>
        <v>Melting_Curves/meltCurve_Q9NV96_2_TMEM30A.pdf</v>
      </c>
    </row>
    <row r="5961" spans="1:28" x14ac:dyDescent="0.25">
      <c r="A5961" t="s">
        <v>5965</v>
      </c>
      <c r="B5961">
        <v>0.99252571173614901</v>
      </c>
      <c r="C5961">
        <v>1.01296648559726</v>
      </c>
      <c r="D5961">
        <v>0.92946550854597298</v>
      </c>
      <c r="E5961">
        <v>0.78291081112670602</v>
      </c>
      <c r="F5961">
        <v>0.62787753584602202</v>
      </c>
      <c r="G5961">
        <v>0.393848352935599</v>
      </c>
      <c r="H5961">
        <v>0.18222817080227499</v>
      </c>
      <c r="I5961">
        <v>0.16278524237428499</v>
      </c>
      <c r="J5961">
        <v>0.13816974822904499</v>
      </c>
      <c r="K5961">
        <v>0.131715704714293</v>
      </c>
      <c r="L5961">
        <v>830.81287752118203</v>
      </c>
      <c r="M5961">
        <v>15.381103071365199</v>
      </c>
      <c r="N5961">
        <v>54.7051149009705</v>
      </c>
      <c r="O5961">
        <v>53.126826591540301</v>
      </c>
      <c r="P5961">
        <v>-6.6003715385383702E-2</v>
      </c>
      <c r="Q5961">
        <v>8.8167689248003694E-2</v>
      </c>
      <c r="R5961">
        <v>0.99562945167637296</v>
      </c>
      <c r="S5961" t="s">
        <v>12607</v>
      </c>
      <c r="T5961" t="s">
        <v>13290</v>
      </c>
      <c r="U5961" t="s">
        <v>13290</v>
      </c>
      <c r="V5961" t="s">
        <v>13290</v>
      </c>
      <c r="W5961" t="s">
        <v>19199</v>
      </c>
      <c r="X5961">
        <v>9</v>
      </c>
      <c r="Y5961" t="s">
        <v>25673</v>
      </c>
      <c r="Z5961" t="s">
        <v>32291</v>
      </c>
      <c r="AA5961">
        <v>0.53226442145397523</v>
      </c>
      <c r="AB5961" t="str">
        <f>HYPERLINK("Melting_Curves/meltCurve_Q9NVA1_UQCC.pdf", "Melting_Curves/meltCurve_Q9NVA1_UQCC.pdf")</f>
        <v>Melting_Curves/meltCurve_Q9NVA1_UQCC.pdf</v>
      </c>
    </row>
    <row r="5962" spans="1:28" x14ac:dyDescent="0.25">
      <c r="A5962" t="s">
        <v>5966</v>
      </c>
      <c r="B5962">
        <v>0.99252571173614901</v>
      </c>
      <c r="C5962">
        <v>0.95156511681490896</v>
      </c>
      <c r="D5962">
        <v>0.76104399483111096</v>
      </c>
      <c r="E5962">
        <v>0.65988169426467302</v>
      </c>
      <c r="F5962">
        <v>0.64447053764736895</v>
      </c>
      <c r="G5962">
        <v>0.400618700455805</v>
      </c>
      <c r="H5962">
        <v>0.29846918758212498</v>
      </c>
      <c r="I5962">
        <v>0.33294131524346998</v>
      </c>
      <c r="J5962">
        <v>0.46801879493674498</v>
      </c>
      <c r="K5962">
        <v>0.264692538513769</v>
      </c>
      <c r="L5962">
        <v>582.70013377555097</v>
      </c>
      <c r="M5962">
        <v>11.5798120705802</v>
      </c>
      <c r="N5962">
        <v>54.538735672598399</v>
      </c>
      <c r="O5962">
        <v>48.889879593911999</v>
      </c>
      <c r="P5962">
        <v>-4.1708024790988001E-2</v>
      </c>
      <c r="Q5962">
        <v>0.29583103474694</v>
      </c>
      <c r="R5962">
        <v>0.92581811734922304</v>
      </c>
      <c r="S5962" t="s">
        <v>12608</v>
      </c>
      <c r="T5962" t="s">
        <v>13290</v>
      </c>
      <c r="U5962" t="s">
        <v>13290</v>
      </c>
      <c r="V5962" t="s">
        <v>13290</v>
      </c>
      <c r="W5962" t="s">
        <v>19200</v>
      </c>
      <c r="X5962">
        <v>1</v>
      </c>
      <c r="Y5962" t="s">
        <v>25674</v>
      </c>
      <c r="Z5962" t="s">
        <v>32292</v>
      </c>
      <c r="AA5962">
        <v>0.56330895359964295</v>
      </c>
      <c r="AB5962" t="str">
        <f>HYPERLINK("Melting_Curves/meltCurve_Q9NVA4_TMEM184C.pdf", "Melting_Curves/meltCurve_Q9NVA4_TMEM184C.pdf")</f>
        <v>Melting_Curves/meltCurve_Q9NVA4_TMEM184C.pdf</v>
      </c>
    </row>
    <row r="5963" spans="1:28" x14ac:dyDescent="0.25">
      <c r="A5963" t="s">
        <v>5967</v>
      </c>
      <c r="B5963">
        <v>0.99252571173614901</v>
      </c>
      <c r="C5963">
        <v>0.74925494548867999</v>
      </c>
      <c r="D5963">
        <v>0.84573380560215095</v>
      </c>
      <c r="E5963">
        <v>0.59051829333442196</v>
      </c>
      <c r="F5963">
        <v>0.32233931224274898</v>
      </c>
      <c r="G5963">
        <v>0.21965690314876299</v>
      </c>
      <c r="H5963">
        <v>0.11962526854014</v>
      </c>
      <c r="I5963">
        <v>0.11373161048337201</v>
      </c>
      <c r="J5963">
        <v>0.10779375329226799</v>
      </c>
      <c r="K5963">
        <v>8.0647544260066997E-2</v>
      </c>
      <c r="L5963">
        <v>623.28977945367501</v>
      </c>
      <c r="M5963">
        <v>12.4291225494259</v>
      </c>
      <c r="N5963">
        <v>50.5485093869395</v>
      </c>
      <c r="O5963">
        <v>48.9024578540281</v>
      </c>
      <c r="P5963">
        <v>-6.0570196722604497E-2</v>
      </c>
      <c r="Q5963">
        <v>4.6945262951524298E-2</v>
      </c>
      <c r="R5963">
        <v>0.97001376629848801</v>
      </c>
      <c r="S5963" t="s">
        <v>12609</v>
      </c>
      <c r="T5963" t="s">
        <v>13290</v>
      </c>
      <c r="U5963" t="s">
        <v>13290</v>
      </c>
      <c r="V5963" t="s">
        <v>13290</v>
      </c>
      <c r="W5963" t="s">
        <v>19201</v>
      </c>
      <c r="X5963">
        <v>1</v>
      </c>
      <c r="Y5963" t="s">
        <v>25675</v>
      </c>
      <c r="Z5963" t="s">
        <v>32293</v>
      </c>
      <c r="AA5963">
        <v>0.40027708038765342</v>
      </c>
      <c r="AB5963" t="str">
        <f>HYPERLINK("Melting_Curves/meltCurve_Q9NVC6_MED17.pdf", "Melting_Curves/meltCurve_Q9NVC6_MED17.pdf")</f>
        <v>Melting_Curves/meltCurve_Q9NVC6_MED17.pdf</v>
      </c>
    </row>
    <row r="5964" spans="1:28" x14ac:dyDescent="0.25">
      <c r="A5964" t="s">
        <v>5968</v>
      </c>
      <c r="B5964">
        <v>0.99252571173614901</v>
      </c>
      <c r="C5964">
        <v>0.96084281644792902</v>
      </c>
      <c r="D5964">
        <v>0.98014798597904396</v>
      </c>
      <c r="E5964">
        <v>0.90287341922175002</v>
      </c>
      <c r="F5964">
        <v>0.44368515576244699</v>
      </c>
      <c r="G5964">
        <v>0.129504215812899</v>
      </c>
      <c r="H5964">
        <v>8.6992599612530794E-2</v>
      </c>
      <c r="I5964">
        <v>9.1592058296534398E-2</v>
      </c>
      <c r="J5964">
        <v>8.6405083089697104E-2</v>
      </c>
      <c r="K5964">
        <v>8.2955701322496703E-2</v>
      </c>
      <c r="L5964">
        <v>1918.8204058905701</v>
      </c>
      <c r="M5964">
        <v>36.519408919139998</v>
      </c>
      <c r="N5964">
        <v>52.8057053800174</v>
      </c>
      <c r="O5964">
        <v>52.385679275259299</v>
      </c>
      <c r="P5964">
        <v>-0.15977895953805299</v>
      </c>
      <c r="Q5964">
        <v>8.3215810653120503E-2</v>
      </c>
      <c r="R5964">
        <v>0.99881941498712301</v>
      </c>
      <c r="S5964" t="s">
        <v>12610</v>
      </c>
      <c r="T5964" t="s">
        <v>13290</v>
      </c>
      <c r="U5964" t="s">
        <v>13290</v>
      </c>
      <c r="V5964" t="s">
        <v>13290</v>
      </c>
      <c r="W5964" t="s">
        <v>19202</v>
      </c>
      <c r="X5964">
        <v>27</v>
      </c>
      <c r="Y5964" t="s">
        <v>25676</v>
      </c>
      <c r="Z5964" t="s">
        <v>32294</v>
      </c>
      <c r="AA5964">
        <v>0.47050125045452662</v>
      </c>
      <c r="AB5964" t="str">
        <f>HYPERLINK("Melting_Curves/meltCurve_Q9NVE7_PANK4.pdf", "Melting_Curves/meltCurve_Q9NVE7_PANK4.pdf")</f>
        <v>Melting_Curves/meltCurve_Q9NVE7_PANK4.pdf</v>
      </c>
    </row>
    <row r="5965" spans="1:28" x14ac:dyDescent="0.25">
      <c r="A5965" t="s">
        <v>5969</v>
      </c>
      <c r="B5965">
        <v>0.99252571173614901</v>
      </c>
      <c r="C5965">
        <v>0.90924748479514195</v>
      </c>
      <c r="D5965">
        <v>0.84014683576388505</v>
      </c>
      <c r="E5965">
        <v>0.35846983380659198</v>
      </c>
      <c r="F5965">
        <v>0.11579508444343101</v>
      </c>
      <c r="G5965">
        <v>7.76224716011579E-2</v>
      </c>
      <c r="H5965">
        <v>0.103343966750975</v>
      </c>
      <c r="I5965">
        <v>0.119205432762911</v>
      </c>
      <c r="J5965">
        <v>0.26526321448254703</v>
      </c>
      <c r="K5965">
        <v>0.210664657051991</v>
      </c>
      <c r="L5965">
        <v>1670.6360776722599</v>
      </c>
      <c r="M5965">
        <v>34.8797501053484</v>
      </c>
      <c r="N5965">
        <v>48.375057110338901</v>
      </c>
      <c r="O5965">
        <v>47.740398590203803</v>
      </c>
      <c r="P5965">
        <v>-0.15602738312725101</v>
      </c>
      <c r="Q5965">
        <v>0.14577566606811601</v>
      </c>
      <c r="R5965">
        <v>0.97080500232503697</v>
      </c>
      <c r="S5965" t="s">
        <v>12611</v>
      </c>
      <c r="T5965" t="s">
        <v>13290</v>
      </c>
      <c r="U5965" t="s">
        <v>13290</v>
      </c>
      <c r="V5965" t="s">
        <v>13290</v>
      </c>
      <c r="W5965" t="s">
        <v>19203</v>
      </c>
      <c r="X5965">
        <v>1</v>
      </c>
      <c r="Y5965" t="s">
        <v>25677</v>
      </c>
      <c r="Z5965" t="s">
        <v>32295</v>
      </c>
      <c r="AA5965">
        <v>0.37439265730727939</v>
      </c>
      <c r="AB5965" t="str">
        <f>HYPERLINK("Melting_Curves/meltCurve_Q9NVF7_FBXO28.pdf", "Melting_Curves/meltCurve_Q9NVF7_FBXO28.pdf")</f>
        <v>Melting_Curves/meltCurve_Q9NVF7_FBXO28.pdf</v>
      </c>
    </row>
    <row r="5966" spans="1:28" x14ac:dyDescent="0.25">
      <c r="A5966" t="s">
        <v>5970</v>
      </c>
      <c r="B5966">
        <v>0.99252571173614901</v>
      </c>
      <c r="C5966">
        <v>1.0582961189364699</v>
      </c>
      <c r="D5966">
        <v>0.95841907602287202</v>
      </c>
      <c r="E5966">
        <v>0.74998992657001196</v>
      </c>
      <c r="F5966">
        <v>0.53392511145700505</v>
      </c>
      <c r="G5966">
        <v>0.235480801176389</v>
      </c>
      <c r="H5966">
        <v>7.0217258102836605E-2</v>
      </c>
      <c r="I5966">
        <v>6.0669135944026599E-2</v>
      </c>
      <c r="J5966">
        <v>6.1945008128388199E-2</v>
      </c>
      <c r="K5966">
        <v>4.8706178764970798E-2</v>
      </c>
      <c r="L5966">
        <v>1014.71675960422</v>
      </c>
      <c r="M5966">
        <v>19.144347685242401</v>
      </c>
      <c r="N5966">
        <v>53.165669809163703</v>
      </c>
      <c r="O5966">
        <v>52.4352946106331</v>
      </c>
      <c r="P5966">
        <v>-8.86902356517974E-2</v>
      </c>
      <c r="Q5966">
        <v>2.83671950093023E-2</v>
      </c>
      <c r="R5966">
        <v>0.99411681831582799</v>
      </c>
      <c r="S5966" t="s">
        <v>12612</v>
      </c>
      <c r="T5966" t="s">
        <v>13290</v>
      </c>
      <c r="U5966" t="s">
        <v>13290</v>
      </c>
      <c r="V5966" t="s">
        <v>13290</v>
      </c>
      <c r="W5966" t="s">
        <v>19204</v>
      </c>
      <c r="X5966">
        <v>8</v>
      </c>
      <c r="Y5966" t="s">
        <v>25678</v>
      </c>
      <c r="Z5966" t="s">
        <v>32296</v>
      </c>
      <c r="AA5966">
        <v>0.46390560881896359</v>
      </c>
      <c r="AB5966" t="str">
        <f>HYPERLINK("Melting_Curves/meltCurve_Q9NVG8_TBC1D13.pdf", "Melting_Curves/meltCurve_Q9NVG8_TBC1D13.pdf")</f>
        <v>Melting_Curves/meltCurve_Q9NVG8_TBC1D13.pdf</v>
      </c>
    </row>
    <row r="5967" spans="1:28" x14ac:dyDescent="0.25">
      <c r="A5967" t="s">
        <v>5971</v>
      </c>
      <c r="B5967">
        <v>0.99252571173614901</v>
      </c>
      <c r="C5967">
        <v>0.83113509511070005</v>
      </c>
      <c r="D5967">
        <v>0.66560399526814995</v>
      </c>
      <c r="E5967">
        <v>0.26909291581502698</v>
      </c>
      <c r="F5967">
        <v>0.148858096901195</v>
      </c>
      <c r="G5967">
        <v>9.0023167038533594E-2</v>
      </c>
      <c r="H5967">
        <v>7.44149467942707E-2</v>
      </c>
      <c r="I5967">
        <v>7.8398778011727094E-2</v>
      </c>
      <c r="J5967">
        <v>9.7085713629124007E-2</v>
      </c>
      <c r="K5967">
        <v>7.1466045874475997E-2</v>
      </c>
      <c r="L5967">
        <v>978.37463421872098</v>
      </c>
      <c r="M5967">
        <v>20.8840264836291</v>
      </c>
      <c r="N5967">
        <v>47.209337560544597</v>
      </c>
      <c r="O5967">
        <v>46.424784847790399</v>
      </c>
      <c r="P5967">
        <v>-0.104157581932701</v>
      </c>
      <c r="Q5967">
        <v>7.3864284515362297E-2</v>
      </c>
      <c r="R5967">
        <v>0.99493936613191802</v>
      </c>
      <c r="S5967" t="s">
        <v>12613</v>
      </c>
      <c r="T5967" t="s">
        <v>13290</v>
      </c>
      <c r="U5967" t="s">
        <v>13290</v>
      </c>
      <c r="V5967" t="s">
        <v>13290</v>
      </c>
      <c r="W5967" t="s">
        <v>19205</v>
      </c>
      <c r="X5967">
        <v>7</v>
      </c>
      <c r="Y5967" t="s">
        <v>25679</v>
      </c>
      <c r="Z5967" t="s">
        <v>32297</v>
      </c>
      <c r="AA5967">
        <v>0.29766170705300538</v>
      </c>
      <c r="AB5967" t="str">
        <f>HYPERLINK("Melting_Curves/meltCurve_Q9NVH0_EXD2.pdf", "Melting_Curves/meltCurve_Q9NVH0_EXD2.pdf")</f>
        <v>Melting_Curves/meltCurve_Q9NVH0_EXD2.pdf</v>
      </c>
    </row>
    <row r="5968" spans="1:28" x14ac:dyDescent="0.25">
      <c r="A5968" t="s">
        <v>5972</v>
      </c>
      <c r="B5968">
        <v>0.99252571173614901</v>
      </c>
      <c r="C5968">
        <v>0.92492511219334705</v>
      </c>
      <c r="D5968">
        <v>0.84601620998371796</v>
      </c>
      <c r="E5968">
        <v>0.60871964114838495</v>
      </c>
      <c r="F5968">
        <v>0.37945430876912101</v>
      </c>
      <c r="G5968">
        <v>0.17583645140645399</v>
      </c>
      <c r="H5968">
        <v>0.111971185521596</v>
      </c>
      <c r="I5968">
        <v>0.11445704995945399</v>
      </c>
      <c r="J5968">
        <v>0.124881490616502</v>
      </c>
      <c r="K5968">
        <v>0.109351318233714</v>
      </c>
      <c r="L5968">
        <v>848.027573868736</v>
      </c>
      <c r="M5968">
        <v>16.8296693784105</v>
      </c>
      <c r="N5968">
        <v>50.983897658493198</v>
      </c>
      <c r="O5968">
        <v>49.6935544817389</v>
      </c>
      <c r="P5968">
        <v>-7.7122562769796496E-2</v>
      </c>
      <c r="Q5968">
        <v>8.9168864677389895E-2</v>
      </c>
      <c r="R5968">
        <v>0.99689610629045999</v>
      </c>
      <c r="S5968" t="s">
        <v>12614</v>
      </c>
      <c r="T5968" t="s">
        <v>13290</v>
      </c>
      <c r="U5968" t="s">
        <v>13290</v>
      </c>
      <c r="V5968" t="s">
        <v>13290</v>
      </c>
      <c r="W5968" t="s">
        <v>19206</v>
      </c>
      <c r="X5968">
        <v>16</v>
      </c>
      <c r="Y5968" t="s">
        <v>25680</v>
      </c>
      <c r="Z5968" t="s">
        <v>32298</v>
      </c>
      <c r="AA5968">
        <v>0.42207774467061032</v>
      </c>
      <c r="AB5968" t="str">
        <f>HYPERLINK("Melting_Curves/meltCurve_Q9NVH1_3_DNAJC11.pdf", "Melting_Curves/meltCurve_Q9NVH1_3_DNAJC11.pdf")</f>
        <v>Melting_Curves/meltCurve_Q9NVH1_3_DNAJC11.pdf</v>
      </c>
    </row>
    <row r="5969" spans="1:28" x14ac:dyDescent="0.25">
      <c r="A5969" t="s">
        <v>5973</v>
      </c>
      <c r="B5969">
        <v>0.99252571173614901</v>
      </c>
      <c r="C5969">
        <v>0.83368467884572905</v>
      </c>
      <c r="D5969">
        <v>0.85934807124980594</v>
      </c>
      <c r="E5969">
        <v>0.66793431851879603</v>
      </c>
      <c r="F5969">
        <v>0.32943278079896499</v>
      </c>
      <c r="G5969">
        <v>0.155632751552815</v>
      </c>
      <c r="H5969">
        <v>0.110667453602128</v>
      </c>
      <c r="I5969">
        <v>9.4539100770425002E-2</v>
      </c>
      <c r="J5969">
        <v>0.17039138347449301</v>
      </c>
      <c r="K5969">
        <v>0.14330125372855501</v>
      </c>
      <c r="L5969">
        <v>942.16035844843998</v>
      </c>
      <c r="M5969">
        <v>18.7293157978716</v>
      </c>
      <c r="N5969">
        <v>50.9541978420121</v>
      </c>
      <c r="O5969">
        <v>49.741104156863202</v>
      </c>
      <c r="P5969">
        <v>-8.4132682857071206E-2</v>
      </c>
      <c r="Q5969">
        <v>0.10628326798653601</v>
      </c>
      <c r="R5969">
        <v>0.97545457569071603</v>
      </c>
      <c r="S5969" t="s">
        <v>12615</v>
      </c>
      <c r="T5969" t="s">
        <v>13290</v>
      </c>
      <c r="U5969" t="s">
        <v>13290</v>
      </c>
      <c r="V5969" t="s">
        <v>13290</v>
      </c>
      <c r="W5969" t="s">
        <v>19207</v>
      </c>
      <c r="X5969">
        <v>5</v>
      </c>
      <c r="Y5969" t="s">
        <v>25681</v>
      </c>
      <c r="Z5969" t="s">
        <v>32299</v>
      </c>
      <c r="AA5969">
        <v>0.42733584468563568</v>
      </c>
      <c r="AB5969" t="str">
        <f>HYPERLINK("Melting_Curves/meltCurve_Q9NVH2_3_INTS7.pdf", "Melting_Curves/meltCurve_Q9NVH2_3_INTS7.pdf")</f>
        <v>Melting_Curves/meltCurve_Q9NVH2_3_INTS7.pdf</v>
      </c>
    </row>
    <row r="5970" spans="1:28" x14ac:dyDescent="0.25">
      <c r="A5970" t="s">
        <v>5974</v>
      </c>
      <c r="B5970">
        <v>0.99252571173614901</v>
      </c>
      <c r="C5970">
        <v>0.99929310758836798</v>
      </c>
      <c r="D5970">
        <v>0.97766579385664198</v>
      </c>
      <c r="E5970">
        <v>0.94709101472236001</v>
      </c>
      <c r="F5970">
        <v>0.91647094268301199</v>
      </c>
      <c r="G5970">
        <v>0.74375606448113296</v>
      </c>
      <c r="H5970">
        <v>0.537482286507035</v>
      </c>
      <c r="I5970">
        <v>0.25794981918305099</v>
      </c>
      <c r="J5970">
        <v>0.102786467507942</v>
      </c>
      <c r="K5970">
        <v>0.100542204678524</v>
      </c>
      <c r="L5970">
        <v>1089.62388311943</v>
      </c>
      <c r="M5970">
        <v>17.987608229568099</v>
      </c>
      <c r="N5970">
        <v>60.576363446218302</v>
      </c>
      <c r="O5970">
        <v>59.842549186209702</v>
      </c>
      <c r="P5970">
        <v>-7.5149281181823804E-2</v>
      </c>
      <c r="Q5970">
        <v>0</v>
      </c>
      <c r="R5970">
        <v>0.99381844955739795</v>
      </c>
      <c r="S5970" t="s">
        <v>12616</v>
      </c>
      <c r="T5970" t="s">
        <v>13290</v>
      </c>
      <c r="U5970" t="s">
        <v>13290</v>
      </c>
      <c r="V5970" t="s">
        <v>13290</v>
      </c>
      <c r="W5970" t="s">
        <v>19208</v>
      </c>
      <c r="X5970">
        <v>4</v>
      </c>
      <c r="Y5970" t="s">
        <v>25682</v>
      </c>
      <c r="Z5970" t="s">
        <v>32300</v>
      </c>
      <c r="AA5970">
        <v>0.69251479539976424</v>
      </c>
      <c r="AB5970" t="str">
        <f>HYPERLINK("Melting_Curves/meltCurve_Q9NVH6_TMLHE.pdf", "Melting_Curves/meltCurve_Q9NVH6_TMLHE.pdf")</f>
        <v>Melting_Curves/meltCurve_Q9NVH6_TMLHE.pdf</v>
      </c>
    </row>
    <row r="5971" spans="1:28" x14ac:dyDescent="0.25">
      <c r="A5971" t="s">
        <v>5975</v>
      </c>
      <c r="B5971">
        <v>0.99252571173614901</v>
      </c>
      <c r="C5971">
        <v>0.90159347730486505</v>
      </c>
      <c r="D5971">
        <v>0.51375904210276002</v>
      </c>
      <c r="E5971">
        <v>0.21282650424928001</v>
      </c>
      <c r="F5971">
        <v>0.141316629932598</v>
      </c>
      <c r="G5971">
        <v>8.6210211902443795E-2</v>
      </c>
      <c r="H5971">
        <v>8.0193678287666201E-2</v>
      </c>
      <c r="I5971">
        <v>8.6931147915290205E-2</v>
      </c>
      <c r="J5971">
        <v>0.13003581841700501</v>
      </c>
      <c r="K5971">
        <v>0.15642036932901801</v>
      </c>
      <c r="L5971">
        <v>1332.374224593</v>
      </c>
      <c r="M5971">
        <v>29.1036323233314</v>
      </c>
      <c r="N5971">
        <v>46.1823084251224</v>
      </c>
      <c r="O5971">
        <v>45.5658340650402</v>
      </c>
      <c r="P5971">
        <v>-0.14181386779037</v>
      </c>
      <c r="Q5971">
        <v>0.111888236498285</v>
      </c>
      <c r="R5971">
        <v>0.99493881753001001</v>
      </c>
      <c r="S5971" t="s">
        <v>12617</v>
      </c>
      <c r="T5971" t="s">
        <v>13290</v>
      </c>
      <c r="U5971" t="s">
        <v>13290</v>
      </c>
      <c r="V5971" t="s">
        <v>13290</v>
      </c>
      <c r="W5971" t="s">
        <v>19209</v>
      </c>
      <c r="X5971">
        <v>9</v>
      </c>
      <c r="Y5971" t="s">
        <v>25683</v>
      </c>
      <c r="Z5971" t="s">
        <v>32301</v>
      </c>
      <c r="AA5971">
        <v>0.28885287213478822</v>
      </c>
      <c r="AB5971" t="str">
        <f>HYPERLINK("Melting_Curves/meltCurve_Q9NVI1_FANCI.pdf", "Melting_Curves/meltCurve_Q9NVI1_FANCI.pdf")</f>
        <v>Melting_Curves/meltCurve_Q9NVI1_FANCI.pdf</v>
      </c>
    </row>
    <row r="5972" spans="1:28" x14ac:dyDescent="0.25">
      <c r="A5972" t="s">
        <v>5976</v>
      </c>
      <c r="B5972">
        <v>0.99252571173614901</v>
      </c>
      <c r="C5972">
        <v>0.81509706686403405</v>
      </c>
      <c r="D5972">
        <v>0.89080380996393904</v>
      </c>
      <c r="E5972">
        <v>0.80288246194565005</v>
      </c>
      <c r="F5972">
        <v>0.190592923697396</v>
      </c>
      <c r="G5972">
        <v>0.12914253025449601</v>
      </c>
      <c r="H5972">
        <v>9.9167358513757201E-2</v>
      </c>
      <c r="I5972">
        <v>0.112473576862022</v>
      </c>
      <c r="J5972">
        <v>0.141863216373039</v>
      </c>
      <c r="K5972">
        <v>0.13512120492353</v>
      </c>
      <c r="L5972">
        <v>2590.4036708614499</v>
      </c>
      <c r="M5972">
        <v>51.028734328773702</v>
      </c>
      <c r="N5972">
        <v>51.041908064730201</v>
      </c>
      <c r="O5972">
        <v>50.685840593920702</v>
      </c>
      <c r="P5972">
        <v>-0.22112798646930101</v>
      </c>
      <c r="Q5972">
        <v>0.121432220096441</v>
      </c>
      <c r="R5972">
        <v>0.96539938376691803</v>
      </c>
      <c r="S5972" t="s">
        <v>12618</v>
      </c>
      <c r="T5972" t="s">
        <v>13290</v>
      </c>
      <c r="U5972" t="s">
        <v>13290</v>
      </c>
      <c r="V5972" t="s">
        <v>13290</v>
      </c>
      <c r="W5972" t="s">
        <v>19210</v>
      </c>
      <c r="X5972">
        <v>20</v>
      </c>
      <c r="Y5972" t="s">
        <v>25684</v>
      </c>
      <c r="Z5972" t="s">
        <v>32302</v>
      </c>
      <c r="AA5972">
        <v>0.43853975589349198</v>
      </c>
      <c r="AB5972" t="str">
        <f>HYPERLINK("Melting_Curves/meltCurve_Q9NVI7_2_ATAD3A.pdf", "Melting_Curves/meltCurve_Q9NVI7_2_ATAD3A.pdf")</f>
        <v>Melting_Curves/meltCurve_Q9NVI7_2_ATAD3A.pdf</v>
      </c>
    </row>
    <row r="5973" spans="1:28" x14ac:dyDescent="0.25">
      <c r="A5973" t="s">
        <v>5977</v>
      </c>
      <c r="B5973">
        <v>0.99252571173614901</v>
      </c>
      <c r="C5973">
        <v>0.97680971479220802</v>
      </c>
      <c r="D5973">
        <v>0.91981628974145002</v>
      </c>
      <c r="E5973">
        <v>0.73448287195712403</v>
      </c>
      <c r="F5973">
        <v>0.63928020655428797</v>
      </c>
      <c r="G5973">
        <v>0.482797680839397</v>
      </c>
      <c r="H5973">
        <v>0.45605313957973498</v>
      </c>
      <c r="I5973">
        <v>0.51450037817377303</v>
      </c>
      <c r="J5973">
        <v>0.70546153537739997</v>
      </c>
      <c r="K5973">
        <v>0.39691873221391599</v>
      </c>
      <c r="L5973">
        <v>1070.26716712281</v>
      </c>
      <c r="M5973">
        <v>21.653314306679501</v>
      </c>
      <c r="O5973">
        <v>49.011608292672499</v>
      </c>
      <c r="P5973">
        <v>-5.4191564476416501E-2</v>
      </c>
      <c r="Q5973">
        <v>0.50936772097133498</v>
      </c>
      <c r="R5973">
        <v>0.86644262499453795</v>
      </c>
      <c r="S5973" t="s">
        <v>12619</v>
      </c>
      <c r="T5973" t="s">
        <v>13290</v>
      </c>
      <c r="U5973" t="s">
        <v>13290</v>
      </c>
      <c r="V5973" t="s">
        <v>13290</v>
      </c>
      <c r="W5973" t="s">
        <v>19211</v>
      </c>
      <c r="X5973">
        <v>10</v>
      </c>
      <c r="Y5973" t="s">
        <v>25685</v>
      </c>
      <c r="Z5973" t="s">
        <v>32303</v>
      </c>
      <c r="AA5973">
        <v>0.66938700983474486</v>
      </c>
      <c r="AB5973" t="str">
        <f>HYPERLINK("Melting_Curves/meltCurve_Q9NVJ2_ARL8B.pdf", "Melting_Curves/meltCurve_Q9NVJ2_ARL8B.pdf")</f>
        <v>Melting_Curves/meltCurve_Q9NVJ2_ARL8B.pdf</v>
      </c>
    </row>
    <row r="5974" spans="1:28" x14ac:dyDescent="0.25">
      <c r="A5974" t="s">
        <v>5978</v>
      </c>
      <c r="B5974">
        <v>0.99252571173614901</v>
      </c>
      <c r="C5974">
        <v>0.88288027827144999</v>
      </c>
      <c r="D5974">
        <v>0.78074355624993597</v>
      </c>
      <c r="E5974">
        <v>0.612854027982216</v>
      </c>
      <c r="F5974">
        <v>0.57922291979187002</v>
      </c>
      <c r="G5974">
        <v>0.42549507160529998</v>
      </c>
      <c r="H5974">
        <v>0.49601031311992799</v>
      </c>
      <c r="I5974">
        <v>0.66841520455254699</v>
      </c>
      <c r="J5974">
        <v>1.0051765209525201</v>
      </c>
      <c r="K5974">
        <v>1.0824868893097701</v>
      </c>
      <c r="L5974">
        <v>1480.33609394319</v>
      </c>
      <c r="M5974">
        <v>33.874258865863197</v>
      </c>
      <c r="O5974">
        <v>43.549458235819998</v>
      </c>
      <c r="P5974">
        <v>-5.8584835839307403E-2</v>
      </c>
      <c r="Q5974">
        <v>0.69872965481425897</v>
      </c>
      <c r="R5974">
        <v>0.19971018745060701</v>
      </c>
      <c r="S5974" t="s">
        <v>12620</v>
      </c>
      <c r="T5974" t="s">
        <v>13290</v>
      </c>
      <c r="U5974" t="s">
        <v>13290</v>
      </c>
      <c r="V5974" t="s">
        <v>13290</v>
      </c>
      <c r="W5974" t="s">
        <v>19212</v>
      </c>
      <c r="X5974">
        <v>9</v>
      </c>
      <c r="Y5974" t="s">
        <v>25686</v>
      </c>
      <c r="Z5974" t="s">
        <v>32304</v>
      </c>
      <c r="AA5974">
        <v>0.73760839005610435</v>
      </c>
      <c r="AB5974" t="str">
        <f>HYPERLINK("Melting_Curves/meltCurve_Q9NVK5_2_FGFR1OP2.pdf", "Melting_Curves/meltCurve_Q9NVK5_2_FGFR1OP2.pdf")</f>
        <v>Melting_Curves/meltCurve_Q9NVK5_2_FGFR1OP2.pdf</v>
      </c>
    </row>
    <row r="5975" spans="1:28" x14ac:dyDescent="0.25">
      <c r="A5975" t="s">
        <v>5979</v>
      </c>
      <c r="B5975">
        <v>0.99252571173614901</v>
      </c>
      <c r="C5975">
        <v>1.11181352083939</v>
      </c>
      <c r="D5975">
        <v>0.84940841622422703</v>
      </c>
      <c r="E5975">
        <v>0.72156999094840402</v>
      </c>
      <c r="F5975">
        <v>0.44777030072339602</v>
      </c>
      <c r="G5975">
        <v>0.30558629770706902</v>
      </c>
      <c r="H5975">
        <v>0.28813835084818001</v>
      </c>
      <c r="I5975">
        <v>0.36050158873732302</v>
      </c>
      <c r="J5975">
        <v>0.27709619619780601</v>
      </c>
      <c r="K5975">
        <v>0.32156494175181699</v>
      </c>
      <c r="L5975">
        <v>1183.1364873249299</v>
      </c>
      <c r="M5975">
        <v>23.597066111522999</v>
      </c>
      <c r="N5975">
        <v>52.175608227470697</v>
      </c>
      <c r="O5975">
        <v>49.783207037600903</v>
      </c>
      <c r="P5975">
        <v>-8.2839014895336696E-2</v>
      </c>
      <c r="Q5975">
        <v>0.30094323657373201</v>
      </c>
      <c r="R5975">
        <v>0.96978461139108996</v>
      </c>
      <c r="S5975" t="s">
        <v>12621</v>
      </c>
      <c r="T5975" t="s">
        <v>13290</v>
      </c>
      <c r="U5975" t="s">
        <v>13290</v>
      </c>
      <c r="V5975" t="s">
        <v>13290</v>
      </c>
      <c r="W5975" t="s">
        <v>19213</v>
      </c>
      <c r="X5975">
        <v>5</v>
      </c>
      <c r="Y5975" t="s">
        <v>25687</v>
      </c>
      <c r="Z5975" t="s">
        <v>32305</v>
      </c>
      <c r="AA5975">
        <v>0.5442270199777608</v>
      </c>
      <c r="AB5975" t="str">
        <f>HYPERLINK("Melting_Curves/meltCurve_Q9NVM4_3_PRMT7.pdf", "Melting_Curves/meltCurve_Q9NVM4_3_PRMT7.pdf")</f>
        <v>Melting_Curves/meltCurve_Q9NVM4_3_PRMT7.pdf</v>
      </c>
    </row>
    <row r="5976" spans="1:28" x14ac:dyDescent="0.25">
      <c r="A5976" t="s">
        <v>5980</v>
      </c>
      <c r="B5976">
        <v>0.99252571173614901</v>
      </c>
      <c r="C5976">
        <v>1.04124579003953</v>
      </c>
      <c r="D5976">
        <v>0.93561615021718703</v>
      </c>
      <c r="E5976">
        <v>0.72274494236283204</v>
      </c>
      <c r="F5976">
        <v>0.39166700613356498</v>
      </c>
      <c r="G5976">
        <v>0.22375744412654899</v>
      </c>
      <c r="H5976">
        <v>0.13217849945288199</v>
      </c>
      <c r="I5976">
        <v>0.138282442368622</v>
      </c>
      <c r="J5976">
        <v>0.17347858408286601</v>
      </c>
      <c r="K5976">
        <v>0.19761685449743599</v>
      </c>
      <c r="L5976">
        <v>1271.3858659039299</v>
      </c>
      <c r="M5976">
        <v>24.899233285297601</v>
      </c>
      <c r="N5976">
        <v>51.843902493155298</v>
      </c>
      <c r="O5976">
        <v>50.7353033568264</v>
      </c>
      <c r="P5976">
        <v>-0.10347227104230899</v>
      </c>
      <c r="Q5976">
        <v>0.15666074083482001</v>
      </c>
      <c r="R5976">
        <v>0.99499399863686699</v>
      </c>
      <c r="S5976" t="s">
        <v>12622</v>
      </c>
      <c r="T5976" t="s">
        <v>13290</v>
      </c>
      <c r="U5976" t="s">
        <v>13290</v>
      </c>
      <c r="V5976" t="s">
        <v>13290</v>
      </c>
      <c r="W5976" t="s">
        <v>19214</v>
      </c>
      <c r="X5976">
        <v>9</v>
      </c>
      <c r="Y5976" t="s">
        <v>25688</v>
      </c>
      <c r="Z5976" t="s">
        <v>32306</v>
      </c>
      <c r="AA5976">
        <v>0.47529133060711382</v>
      </c>
      <c r="AB5976" t="str">
        <f>HYPERLINK("Melting_Curves/meltCurve_Q9NVM6_DNAJC17.pdf", "Melting_Curves/meltCurve_Q9NVM6_DNAJC17.pdf")</f>
        <v>Melting_Curves/meltCurve_Q9NVM6_DNAJC17.pdf</v>
      </c>
    </row>
    <row r="5977" spans="1:28" x14ac:dyDescent="0.25">
      <c r="A5977" t="s">
        <v>5981</v>
      </c>
      <c r="B5977">
        <v>0.99252571173614901</v>
      </c>
      <c r="C5977">
        <v>0.88215901107583905</v>
      </c>
      <c r="D5977">
        <v>0.875711124504854</v>
      </c>
      <c r="E5977">
        <v>0.60822665197593795</v>
      </c>
      <c r="F5977">
        <v>0.18347173070546599</v>
      </c>
      <c r="G5977">
        <v>9.6504363594449999E-2</v>
      </c>
      <c r="H5977">
        <v>7.2268830123505198E-2</v>
      </c>
      <c r="I5977">
        <v>7.7572840350851505E-2</v>
      </c>
      <c r="J5977">
        <v>8.1419845994716397E-2</v>
      </c>
      <c r="K5977">
        <v>7.9030383213418195E-2</v>
      </c>
      <c r="L5977">
        <v>1266.9386399615701</v>
      </c>
      <c r="M5977">
        <v>25.4000770366107</v>
      </c>
      <c r="N5977">
        <v>50.160783513353898</v>
      </c>
      <c r="O5977">
        <v>49.573231472389303</v>
      </c>
      <c r="P5977">
        <v>-0.119587699434753</v>
      </c>
      <c r="Q5977">
        <v>6.6416420805111898E-2</v>
      </c>
      <c r="R5977">
        <v>0.98910834410721704</v>
      </c>
      <c r="S5977" t="s">
        <v>12623</v>
      </c>
      <c r="T5977" t="s">
        <v>13290</v>
      </c>
      <c r="U5977" t="s">
        <v>13290</v>
      </c>
      <c r="V5977" t="s">
        <v>13290</v>
      </c>
      <c r="W5977" t="s">
        <v>19215</v>
      </c>
      <c r="X5977">
        <v>18</v>
      </c>
      <c r="Y5977" t="s">
        <v>25689</v>
      </c>
      <c r="Z5977" t="s">
        <v>32307</v>
      </c>
      <c r="AA5977">
        <v>0.38192691695045272</v>
      </c>
      <c r="AB5977" t="str">
        <f>HYPERLINK("Melting_Curves/meltCurve_Q9NVM9_ASUN.pdf", "Melting_Curves/meltCurve_Q9NVM9_ASUN.pdf")</f>
        <v>Melting_Curves/meltCurve_Q9NVM9_ASUN.pdf</v>
      </c>
    </row>
    <row r="5978" spans="1:28" x14ac:dyDescent="0.25">
      <c r="A5978" t="s">
        <v>5982</v>
      </c>
      <c r="B5978">
        <v>0.99252571173614901</v>
      </c>
      <c r="C5978">
        <v>0.962547533891014</v>
      </c>
      <c r="D5978">
        <v>0.56981535368290104</v>
      </c>
      <c r="E5978">
        <v>0.30749067586755402</v>
      </c>
      <c r="F5978">
        <v>0.162027825043461</v>
      </c>
      <c r="G5978">
        <v>9.4404912881381003E-2</v>
      </c>
      <c r="H5978">
        <v>7.4685541086162696E-2</v>
      </c>
      <c r="I5978">
        <v>8.1799028718455097E-2</v>
      </c>
      <c r="J5978">
        <v>0.116883213870089</v>
      </c>
      <c r="K5978">
        <v>0.10784409506486201</v>
      </c>
      <c r="L5978">
        <v>1119.8353725009799</v>
      </c>
      <c r="M5978">
        <v>24.020685816456599</v>
      </c>
      <c r="N5978">
        <v>47.049131835924499</v>
      </c>
      <c r="O5978">
        <v>46.300128559811299</v>
      </c>
      <c r="P5978">
        <v>-0.116933700417982</v>
      </c>
      <c r="Q5978">
        <v>9.8450536162405497E-2</v>
      </c>
      <c r="R5978">
        <v>0.99157050163653404</v>
      </c>
      <c r="S5978" t="s">
        <v>12624</v>
      </c>
      <c r="T5978" t="s">
        <v>13290</v>
      </c>
      <c r="U5978" t="s">
        <v>13290</v>
      </c>
      <c r="V5978" t="s">
        <v>13290</v>
      </c>
      <c r="W5978" t="s">
        <v>19216</v>
      </c>
      <c r="X5978">
        <v>7</v>
      </c>
      <c r="Y5978" t="s">
        <v>25690</v>
      </c>
      <c r="Z5978" t="s">
        <v>32308</v>
      </c>
      <c r="AA5978">
        <v>0.30626908001912723</v>
      </c>
      <c r="AB5978" t="str">
        <f>HYPERLINK("Melting_Curves/meltCurve_Q9NVN8_GNL3L.pdf", "Melting_Curves/meltCurve_Q9NVN8_GNL3L.pdf")</f>
        <v>Melting_Curves/meltCurve_Q9NVN8_GNL3L.pdf</v>
      </c>
    </row>
    <row r="5979" spans="1:28" x14ac:dyDescent="0.25">
      <c r="A5979" t="s">
        <v>5983</v>
      </c>
      <c r="B5979">
        <v>0.99252571173614901</v>
      </c>
      <c r="C5979">
        <v>1.13809692823053</v>
      </c>
      <c r="D5979">
        <v>1.07720866916674</v>
      </c>
      <c r="E5979">
        <v>0.90803827238315005</v>
      </c>
      <c r="F5979">
        <v>0.43718739171233001</v>
      </c>
      <c r="G5979">
        <v>0.26585272055270398</v>
      </c>
      <c r="H5979">
        <v>0.20516808263582501</v>
      </c>
      <c r="I5979">
        <v>0.22954995951325</v>
      </c>
      <c r="J5979">
        <v>0.26051729018297598</v>
      </c>
      <c r="K5979">
        <v>0.24656730997824999</v>
      </c>
      <c r="L5979">
        <v>2268.7198121090701</v>
      </c>
      <c r="M5979">
        <v>43.6845413066644</v>
      </c>
      <c r="N5979">
        <v>52.712343245901202</v>
      </c>
      <c r="O5979">
        <v>51.825663049051101</v>
      </c>
      <c r="P5979">
        <v>-0.16065023035666801</v>
      </c>
      <c r="Q5979">
        <v>0.23764382083419799</v>
      </c>
      <c r="R5979">
        <v>0.98080457952998301</v>
      </c>
      <c r="S5979" t="s">
        <v>12625</v>
      </c>
      <c r="T5979" t="s">
        <v>13290</v>
      </c>
      <c r="U5979" t="s">
        <v>13290</v>
      </c>
      <c r="V5979" t="s">
        <v>13290</v>
      </c>
      <c r="W5979" t="s">
        <v>19217</v>
      </c>
      <c r="X5979">
        <v>5</v>
      </c>
      <c r="Y5979" t="s">
        <v>25691</v>
      </c>
      <c r="Z5979" t="s">
        <v>32309</v>
      </c>
      <c r="AA5979">
        <v>0.5432042988468242</v>
      </c>
      <c r="AB5979" t="str">
        <f>HYPERLINK("Melting_Curves/meltCurve_Q9NVP1_DDX18.pdf", "Melting_Curves/meltCurve_Q9NVP1_DDX18.pdf")</f>
        <v>Melting_Curves/meltCurve_Q9NVP1_DDX18.pdf</v>
      </c>
    </row>
    <row r="5980" spans="1:28" x14ac:dyDescent="0.25">
      <c r="A5980" t="s">
        <v>5984</v>
      </c>
      <c r="B5980">
        <v>0.99252571173614901</v>
      </c>
      <c r="C5980">
        <v>1.0775093679958401</v>
      </c>
      <c r="D5980">
        <v>0.812080337226186</v>
      </c>
      <c r="E5980">
        <v>0.35485330748808303</v>
      </c>
      <c r="F5980">
        <v>0.19151100575734101</v>
      </c>
      <c r="G5980">
        <v>9.6492440740629307E-2</v>
      </c>
      <c r="H5980">
        <v>6.5183408491890402E-2</v>
      </c>
      <c r="I5980">
        <v>6.29758199429101E-2</v>
      </c>
      <c r="J5980">
        <v>7.3688407845078102E-2</v>
      </c>
      <c r="K5980">
        <v>6.2048625985151797E-2</v>
      </c>
      <c r="L5980">
        <v>1398.7619929544401</v>
      </c>
      <c r="M5980">
        <v>28.953349358984099</v>
      </c>
      <c r="N5980">
        <v>48.5905439214024</v>
      </c>
      <c r="O5980">
        <v>48.082188492480697</v>
      </c>
      <c r="P5980">
        <v>-0.13898845636675999</v>
      </c>
      <c r="Q5980">
        <v>7.6746754177443394E-2</v>
      </c>
      <c r="R5980">
        <v>0.99080254669266699</v>
      </c>
      <c r="S5980" t="s">
        <v>12626</v>
      </c>
      <c r="T5980" t="s">
        <v>13290</v>
      </c>
      <c r="U5980" t="s">
        <v>13290</v>
      </c>
      <c r="V5980" t="s">
        <v>13290</v>
      </c>
      <c r="W5980" t="s">
        <v>19218</v>
      </c>
      <c r="X5980">
        <v>4</v>
      </c>
      <c r="Y5980" t="s">
        <v>25692</v>
      </c>
      <c r="Z5980" t="s">
        <v>32310</v>
      </c>
      <c r="AA5980">
        <v>0.33851596281308721</v>
      </c>
      <c r="AB5980" t="str">
        <f>HYPERLINK("Melting_Curves/meltCurve_Q9NVP2_ASF1B.pdf", "Melting_Curves/meltCurve_Q9NVP2_ASF1B.pdf")</f>
        <v>Melting_Curves/meltCurve_Q9NVP2_ASF1B.pdf</v>
      </c>
    </row>
    <row r="5981" spans="1:28" x14ac:dyDescent="0.25">
      <c r="A5981" t="s">
        <v>5985</v>
      </c>
      <c r="B5981">
        <v>0.99252571173614901</v>
      </c>
      <c r="C5981">
        <v>0.978323136323894</v>
      </c>
      <c r="D5981">
        <v>0.76932023532808003</v>
      </c>
      <c r="E5981">
        <v>0.67512325574815701</v>
      </c>
      <c r="F5981">
        <v>0.62739795441162005</v>
      </c>
      <c r="G5981">
        <v>0.51078524295449301</v>
      </c>
      <c r="H5981">
        <v>0.29642660635208401</v>
      </c>
      <c r="I5981">
        <v>0.22030319531079801</v>
      </c>
      <c r="J5981">
        <v>0.199614769682013</v>
      </c>
      <c r="K5981">
        <v>0.17758340823497801</v>
      </c>
      <c r="L5981">
        <v>447.47385808984598</v>
      </c>
      <c r="M5981">
        <v>8.0637132325546297</v>
      </c>
      <c r="N5981">
        <v>55.492283159705401</v>
      </c>
      <c r="O5981">
        <v>52.391895242004097</v>
      </c>
      <c r="P5981">
        <v>-3.8520124701445398E-2</v>
      </c>
      <c r="Q5981">
        <v>0</v>
      </c>
      <c r="R5981">
        <v>0.976922669573703</v>
      </c>
      <c r="S5981" t="s">
        <v>12627</v>
      </c>
      <c r="T5981" t="s">
        <v>13290</v>
      </c>
      <c r="U5981" t="s">
        <v>13290</v>
      </c>
      <c r="V5981" t="s">
        <v>13290</v>
      </c>
      <c r="W5981" t="s">
        <v>19219</v>
      </c>
      <c r="X5981">
        <v>6</v>
      </c>
      <c r="Y5981" t="s">
        <v>25693</v>
      </c>
      <c r="Z5981" t="s">
        <v>32311</v>
      </c>
      <c r="AA5981">
        <v>0.54004670187207049</v>
      </c>
      <c r="AB5981" t="str">
        <f>HYPERLINK("Melting_Curves/meltCurve_Q9NVQ4_FAIM.pdf", "Melting_Curves/meltCurve_Q9NVQ4_FAIM.pdf")</f>
        <v>Melting_Curves/meltCurve_Q9NVQ4_FAIM.pdf</v>
      </c>
    </row>
    <row r="5982" spans="1:28" x14ac:dyDescent="0.25">
      <c r="A5982" t="s">
        <v>5986</v>
      </c>
      <c r="B5982">
        <v>0.99252571173614901</v>
      </c>
      <c r="C5982">
        <v>0.93420347249606395</v>
      </c>
      <c r="D5982">
        <v>0.83592823104462299</v>
      </c>
      <c r="E5982">
        <v>0.63645462889044002</v>
      </c>
      <c r="F5982">
        <v>0.29407322645126099</v>
      </c>
      <c r="G5982">
        <v>0.159123469749163</v>
      </c>
      <c r="H5982">
        <v>0.109120186202014</v>
      </c>
      <c r="I5982">
        <v>0.108908958681321</v>
      </c>
      <c r="J5982">
        <v>0.14146363096376599</v>
      </c>
      <c r="K5982">
        <v>0.15290111963781</v>
      </c>
      <c r="L5982">
        <v>1023.01968166867</v>
      </c>
      <c r="M5982">
        <v>20.465414035259599</v>
      </c>
      <c r="N5982">
        <v>50.619769561125501</v>
      </c>
      <c r="O5982">
        <v>49.517796730697</v>
      </c>
      <c r="P5982">
        <v>-9.1676936183022806E-2</v>
      </c>
      <c r="Q5982">
        <v>0.11274602867571901</v>
      </c>
      <c r="R5982">
        <v>0.99322375040049204</v>
      </c>
      <c r="S5982" t="s">
        <v>12628</v>
      </c>
      <c r="T5982" t="s">
        <v>13290</v>
      </c>
      <c r="U5982" t="s">
        <v>13290</v>
      </c>
      <c r="V5982" t="s">
        <v>13290</v>
      </c>
      <c r="W5982" t="s">
        <v>19220</v>
      </c>
      <c r="X5982">
        <v>5</v>
      </c>
      <c r="Y5982" t="s">
        <v>25694</v>
      </c>
      <c r="Z5982" t="s">
        <v>32312</v>
      </c>
      <c r="AA5982">
        <v>0.41994335438727332</v>
      </c>
      <c r="AB5982" t="str">
        <f>HYPERLINK("Melting_Curves/meltCurve_Q9NVR0_KLHL11.pdf", "Melting_Curves/meltCurve_Q9NVR0_KLHL11.pdf")</f>
        <v>Melting_Curves/meltCurve_Q9NVR0_KLHL11.pdf</v>
      </c>
    </row>
    <row r="5983" spans="1:28" x14ac:dyDescent="0.25">
      <c r="A5983" t="s">
        <v>5987</v>
      </c>
      <c r="B5983">
        <v>0.99252571173614901</v>
      </c>
      <c r="C5983">
        <v>0.83693099515172598</v>
      </c>
      <c r="D5983">
        <v>0.94866499511445801</v>
      </c>
      <c r="E5983">
        <v>0.71980448214589499</v>
      </c>
      <c r="F5983">
        <v>0.20412256560703201</v>
      </c>
      <c r="G5983">
        <v>6.3595834700400006E-2</v>
      </c>
      <c r="H5983">
        <v>4.9878274492729899E-2</v>
      </c>
      <c r="I5983">
        <v>4.0780247994007097E-2</v>
      </c>
      <c r="J5983">
        <v>4.3115886520557797E-2</v>
      </c>
      <c r="K5983">
        <v>4.9334567393248797E-2</v>
      </c>
      <c r="L5983">
        <v>1726.3984036992899</v>
      </c>
      <c r="M5983">
        <v>33.979411548678698</v>
      </c>
      <c r="N5983">
        <v>50.939606697803697</v>
      </c>
      <c r="O5983">
        <v>50.632185347996703</v>
      </c>
      <c r="P5983">
        <v>-0.160685264463863</v>
      </c>
      <c r="Q5983">
        <v>4.2265535949967202E-2</v>
      </c>
      <c r="R5983">
        <v>0.98313657210737804</v>
      </c>
      <c r="S5983" t="s">
        <v>12629</v>
      </c>
      <c r="T5983" t="s">
        <v>13290</v>
      </c>
      <c r="U5983" t="s">
        <v>13290</v>
      </c>
      <c r="V5983" t="s">
        <v>13290</v>
      </c>
      <c r="W5983" t="s">
        <v>19221</v>
      </c>
      <c r="X5983">
        <v>3</v>
      </c>
      <c r="Y5983" t="s">
        <v>25695</v>
      </c>
      <c r="Z5983" t="s">
        <v>32313</v>
      </c>
      <c r="AA5983">
        <v>0.3919519973615182</v>
      </c>
      <c r="AB5983" t="str">
        <f>HYPERLINK("Melting_Curves/meltCurve_Q9NVR2_INTS10.pdf", "Melting_Curves/meltCurve_Q9NVR2_INTS10.pdf")</f>
        <v>Melting_Curves/meltCurve_Q9NVR2_INTS10.pdf</v>
      </c>
    </row>
    <row r="5984" spans="1:28" x14ac:dyDescent="0.25">
      <c r="A5984" t="s">
        <v>5988</v>
      </c>
      <c r="B5984">
        <v>0.99252571173614901</v>
      </c>
      <c r="C5984">
        <v>0.92955339535404302</v>
      </c>
      <c r="D5984">
        <v>0.740989379301217</v>
      </c>
      <c r="E5984">
        <v>0.51550215264696597</v>
      </c>
      <c r="F5984">
        <v>0.34768871197545898</v>
      </c>
      <c r="G5984">
        <v>0.15736525593304501</v>
      </c>
      <c r="H5984">
        <v>0.117714557903716</v>
      </c>
      <c r="I5984">
        <v>0.108027841869025</v>
      </c>
      <c r="J5984">
        <v>0.118212175309875</v>
      </c>
      <c r="K5984">
        <v>0.114973364942568</v>
      </c>
      <c r="L5984">
        <v>756.16229060986905</v>
      </c>
      <c r="M5984">
        <v>15.372399072344599</v>
      </c>
      <c r="N5984">
        <v>49.831027884024202</v>
      </c>
      <c r="O5984">
        <v>48.379732736822397</v>
      </c>
      <c r="P5984">
        <v>-7.2312400933879403E-2</v>
      </c>
      <c r="Q5984">
        <v>8.97624539639304E-2</v>
      </c>
      <c r="R5984">
        <v>0.99567324183664896</v>
      </c>
      <c r="S5984" t="s">
        <v>12630</v>
      </c>
      <c r="T5984" t="s">
        <v>13290</v>
      </c>
      <c r="U5984" t="s">
        <v>13290</v>
      </c>
      <c r="V5984" t="s">
        <v>13290</v>
      </c>
      <c r="W5984" t="s">
        <v>19222</v>
      </c>
      <c r="X5984">
        <v>3</v>
      </c>
      <c r="Y5984" t="s">
        <v>25696</v>
      </c>
      <c r="Z5984" t="s">
        <v>32314</v>
      </c>
      <c r="AA5984">
        <v>0.38989629474344523</v>
      </c>
      <c r="AB5984" t="str">
        <f>HYPERLINK("Melting_Curves/meltCurve_Q9NVR5_DNAAF2.pdf", "Melting_Curves/meltCurve_Q9NVR5_DNAAF2.pdf")</f>
        <v>Melting_Curves/meltCurve_Q9NVR5_DNAAF2.pdf</v>
      </c>
    </row>
    <row r="5985" spans="1:28" x14ac:dyDescent="0.25">
      <c r="A5985" t="s">
        <v>5989</v>
      </c>
      <c r="B5985">
        <v>0.99252571173614901</v>
      </c>
      <c r="C5985">
        <v>1.05620843869045</v>
      </c>
      <c r="D5985">
        <v>0.99267542785769003</v>
      </c>
      <c r="E5985">
        <v>1.00379078450982</v>
      </c>
      <c r="F5985">
        <v>0.819021784915275</v>
      </c>
      <c r="G5985">
        <v>0.54268756833696796</v>
      </c>
      <c r="H5985">
        <v>0.32958092239940701</v>
      </c>
      <c r="I5985">
        <v>0.206354133743996</v>
      </c>
      <c r="J5985">
        <v>0.205600800059517</v>
      </c>
      <c r="K5985">
        <v>0.180819672481322</v>
      </c>
      <c r="L5985">
        <v>1294.14140435689</v>
      </c>
      <c r="M5985">
        <v>22.971417794314799</v>
      </c>
      <c r="N5985">
        <v>57.428220215317403</v>
      </c>
      <c r="O5985">
        <v>55.915297065477702</v>
      </c>
      <c r="P5985">
        <v>-8.4544894448036798E-2</v>
      </c>
      <c r="Q5985">
        <v>0.176844210021807</v>
      </c>
      <c r="R5985">
        <v>0.99526255462994995</v>
      </c>
      <c r="S5985" t="s">
        <v>12631</v>
      </c>
      <c r="T5985" t="s">
        <v>13290</v>
      </c>
      <c r="U5985" t="s">
        <v>13290</v>
      </c>
      <c r="V5985" t="s">
        <v>13290</v>
      </c>
      <c r="W5985" t="s">
        <v>19223</v>
      </c>
      <c r="X5985">
        <v>13</v>
      </c>
      <c r="Y5985" t="s">
        <v>25697</v>
      </c>
      <c r="Z5985" t="s">
        <v>32315</v>
      </c>
      <c r="AA5985">
        <v>0.63369751561509702</v>
      </c>
      <c r="AB5985" t="str">
        <f>HYPERLINK("Melting_Curves/meltCurve_Q9NVS9_PNPO.pdf", "Melting_Curves/meltCurve_Q9NVS9_PNPO.pdf")</f>
        <v>Melting_Curves/meltCurve_Q9NVS9_PNPO.pdf</v>
      </c>
    </row>
    <row r="5986" spans="1:28" x14ac:dyDescent="0.25">
      <c r="A5986" t="s">
        <v>5990</v>
      </c>
      <c r="B5986">
        <v>0.99252571173614901</v>
      </c>
      <c r="C5986">
        <v>1.00830374744113</v>
      </c>
      <c r="D5986">
        <v>0.94894781415646501</v>
      </c>
      <c r="E5986">
        <v>0.73092275668552198</v>
      </c>
      <c r="F5986">
        <v>0.29454667085757502</v>
      </c>
      <c r="G5986">
        <v>0.166995790505403</v>
      </c>
      <c r="H5986">
        <v>0.107516161264333</v>
      </c>
      <c r="I5986">
        <v>0.122749623501908</v>
      </c>
      <c r="J5986">
        <v>0.1602755674145</v>
      </c>
      <c r="K5986">
        <v>0.12315828178858999</v>
      </c>
      <c r="L5986">
        <v>1594.79761758871</v>
      </c>
      <c r="M5986">
        <v>31.380362721450901</v>
      </c>
      <c r="N5986">
        <v>51.304622549677902</v>
      </c>
      <c r="O5986">
        <v>50.616465508493803</v>
      </c>
      <c r="P5986">
        <v>-0.13516567241085001</v>
      </c>
      <c r="Q5986">
        <v>0.12791688075368501</v>
      </c>
      <c r="R5986">
        <v>0.99832423072647702</v>
      </c>
      <c r="S5986" t="s">
        <v>12632</v>
      </c>
      <c r="T5986" t="s">
        <v>13290</v>
      </c>
      <c r="U5986" t="s">
        <v>13290</v>
      </c>
      <c r="V5986" t="s">
        <v>13290</v>
      </c>
      <c r="W5986" t="s">
        <v>19224</v>
      </c>
      <c r="X5986">
        <v>9</v>
      </c>
      <c r="Y5986" t="s">
        <v>25698</v>
      </c>
      <c r="Z5986" t="s">
        <v>32316</v>
      </c>
      <c r="AA5986">
        <v>0.44748709361943129</v>
      </c>
      <c r="AB5986" t="str">
        <f>HYPERLINK("Melting_Curves/meltCurve_Q9NVT9_ARMC1.pdf", "Melting_Curves/meltCurve_Q9NVT9_ARMC1.pdf")</f>
        <v>Melting_Curves/meltCurve_Q9NVT9_ARMC1.pdf</v>
      </c>
    </row>
    <row r="5987" spans="1:28" x14ac:dyDescent="0.25">
      <c r="A5987" t="s">
        <v>5991</v>
      </c>
      <c r="B5987">
        <v>0.99252571173614901</v>
      </c>
      <c r="C5987">
        <v>0.94728483949479902</v>
      </c>
      <c r="D5987">
        <v>0.92776363281136298</v>
      </c>
      <c r="E5987">
        <v>0.780571218699185</v>
      </c>
      <c r="F5987">
        <v>0.17364499247801901</v>
      </c>
      <c r="G5987">
        <v>9.59141324285466E-2</v>
      </c>
      <c r="H5987">
        <v>7.4879945094758302E-2</v>
      </c>
      <c r="I5987">
        <v>7.6928631868404193E-2</v>
      </c>
      <c r="J5987">
        <v>0.10871261924786001</v>
      </c>
      <c r="K5987">
        <v>9.0282555682758101E-2</v>
      </c>
      <c r="L5987">
        <v>2415.1750296897198</v>
      </c>
      <c r="M5987">
        <v>47.575930909373298</v>
      </c>
      <c r="N5987">
        <v>50.969785075624998</v>
      </c>
      <c r="O5987">
        <v>50.675203508987401</v>
      </c>
      <c r="P5987">
        <v>-0.214258386970927</v>
      </c>
      <c r="Q5987">
        <v>8.71372501209495E-2</v>
      </c>
      <c r="R5987">
        <v>0.99503367963446698</v>
      </c>
      <c r="S5987" t="s">
        <v>12633</v>
      </c>
      <c r="T5987" t="s">
        <v>13290</v>
      </c>
      <c r="U5987" t="s">
        <v>13290</v>
      </c>
      <c r="V5987" t="s">
        <v>13290</v>
      </c>
      <c r="W5987" t="s">
        <v>19225</v>
      </c>
      <c r="X5987">
        <v>8</v>
      </c>
      <c r="Y5987" t="s">
        <v>25699</v>
      </c>
      <c r="Z5987" t="s">
        <v>32317</v>
      </c>
      <c r="AA5987">
        <v>0.41695088142156372</v>
      </c>
      <c r="AB5987" t="str">
        <f>HYPERLINK("Melting_Curves/meltCurve_Q9NVV4_MTPAP.pdf", "Melting_Curves/meltCurve_Q9NVV4_MTPAP.pdf")</f>
        <v>Melting_Curves/meltCurve_Q9NVV4_MTPAP.pdf</v>
      </c>
    </row>
    <row r="5988" spans="1:28" x14ac:dyDescent="0.25">
      <c r="A5988" t="s">
        <v>5992</v>
      </c>
      <c r="B5988">
        <v>0.99252571173614901</v>
      </c>
      <c r="C5988">
        <v>0.96713839852088901</v>
      </c>
      <c r="D5988">
        <v>0.86913365835694401</v>
      </c>
      <c r="E5988">
        <v>0.68947334617980605</v>
      </c>
      <c r="F5988">
        <v>0.63019605593626005</v>
      </c>
      <c r="G5988">
        <v>0.44783723635460299</v>
      </c>
      <c r="H5988">
        <v>0.33320713904763799</v>
      </c>
      <c r="I5988">
        <v>0.30596531242533198</v>
      </c>
      <c r="J5988">
        <v>0.27811582388491202</v>
      </c>
      <c r="K5988">
        <v>0.23130796102258</v>
      </c>
      <c r="L5988">
        <v>573.86838862741695</v>
      </c>
      <c r="M5988">
        <v>10.828649282750799</v>
      </c>
      <c r="N5988">
        <v>55.421658030213699</v>
      </c>
      <c r="O5988">
        <v>51.284081176440402</v>
      </c>
      <c r="P5988">
        <v>-4.2838465254363897E-2</v>
      </c>
      <c r="Q5988">
        <v>0.18876536031267899</v>
      </c>
      <c r="R5988">
        <v>0.99235804204901101</v>
      </c>
      <c r="S5988" t="s">
        <v>12634</v>
      </c>
      <c r="T5988" t="s">
        <v>13290</v>
      </c>
      <c r="U5988" t="s">
        <v>13290</v>
      </c>
      <c r="V5988" t="s">
        <v>13290</v>
      </c>
      <c r="W5988" t="s">
        <v>19226</v>
      </c>
      <c r="X5988">
        <v>14</v>
      </c>
      <c r="Y5988" t="s">
        <v>25700</v>
      </c>
      <c r="Z5988" t="s">
        <v>32318</v>
      </c>
      <c r="AA5988">
        <v>0.56592527371722867</v>
      </c>
      <c r="AB5988" t="str">
        <f>HYPERLINK("Melting_Curves/meltCurve_Q9NVX2_NLE1.pdf", "Melting_Curves/meltCurve_Q9NVX2_NLE1.pdf")</f>
        <v>Melting_Curves/meltCurve_Q9NVX2_NLE1.pdf</v>
      </c>
    </row>
    <row r="5989" spans="1:28" x14ac:dyDescent="0.25">
      <c r="A5989" t="s">
        <v>5993</v>
      </c>
      <c r="B5989">
        <v>0.99252571173614901</v>
      </c>
      <c r="C5989">
        <v>0.95762617204434597</v>
      </c>
      <c r="D5989">
        <v>0.93640300198586801</v>
      </c>
      <c r="E5989">
        <v>0.83249255433954406</v>
      </c>
      <c r="F5989">
        <v>0.59160230132895897</v>
      </c>
      <c r="G5989">
        <v>0.34264113224027198</v>
      </c>
      <c r="H5989">
        <v>0.168239532229954</v>
      </c>
      <c r="I5989">
        <v>0.15838217580712299</v>
      </c>
      <c r="J5989">
        <v>0.161392151308936</v>
      </c>
      <c r="K5989">
        <v>0.15609349820801199</v>
      </c>
      <c r="L5989">
        <v>1018.8090996037899</v>
      </c>
      <c r="M5989">
        <v>19.0933620966007</v>
      </c>
      <c r="N5989">
        <v>54.210712054424</v>
      </c>
      <c r="O5989">
        <v>52.784370737508098</v>
      </c>
      <c r="P5989">
        <v>-7.8719715637959001E-2</v>
      </c>
      <c r="Q5989">
        <v>0.129539050879207</v>
      </c>
      <c r="R5989">
        <v>0.99673895022199199</v>
      </c>
      <c r="S5989" t="s">
        <v>12635</v>
      </c>
      <c r="T5989" t="s">
        <v>13290</v>
      </c>
      <c r="U5989" t="s">
        <v>13290</v>
      </c>
      <c r="V5989" t="s">
        <v>13290</v>
      </c>
      <c r="W5989" t="s">
        <v>19227</v>
      </c>
      <c r="X5989">
        <v>5</v>
      </c>
      <c r="Y5989" t="s">
        <v>25701</v>
      </c>
      <c r="Z5989" t="s">
        <v>32319</v>
      </c>
      <c r="AA5989">
        <v>0.53004478605525585</v>
      </c>
      <c r="AB5989" t="str">
        <f>HYPERLINK("Melting_Curves/meltCurve_Q9NVX7_KBTBD4.pdf", "Melting_Curves/meltCurve_Q9NVX7_KBTBD4.pdf")</f>
        <v>Melting_Curves/meltCurve_Q9NVX7_KBTBD4.pdf</v>
      </c>
    </row>
    <row r="5990" spans="1:28" x14ac:dyDescent="0.25">
      <c r="A5990" t="s">
        <v>5994</v>
      </c>
      <c r="B5990">
        <v>0.99252571173614901</v>
      </c>
      <c r="C5990">
        <v>1.02509973246275</v>
      </c>
      <c r="D5990">
        <v>0.92899791048764302</v>
      </c>
      <c r="E5990">
        <v>0.66906989127842997</v>
      </c>
      <c r="F5990">
        <v>0.35359932581945203</v>
      </c>
      <c r="G5990">
        <v>0.13381740746314499</v>
      </c>
      <c r="H5990">
        <v>7.8494726905159906E-2</v>
      </c>
      <c r="I5990">
        <v>6.2709229875955994E-2</v>
      </c>
      <c r="J5990">
        <v>7.47210683218376E-2</v>
      </c>
      <c r="K5990">
        <v>8.0415139498216104E-2</v>
      </c>
      <c r="L5990">
        <v>1157.08578133935</v>
      </c>
      <c r="M5990">
        <v>22.656411682892799</v>
      </c>
      <c r="N5990">
        <v>51.3773528185448</v>
      </c>
      <c r="O5990">
        <v>50.678111325020801</v>
      </c>
      <c r="P5990">
        <v>-0.10470666541194699</v>
      </c>
      <c r="Q5990">
        <v>6.3182197845663396E-2</v>
      </c>
      <c r="R5990">
        <v>0.998227492576651</v>
      </c>
      <c r="S5990" t="s">
        <v>12636</v>
      </c>
      <c r="T5990" t="s">
        <v>13290</v>
      </c>
      <c r="U5990" t="s">
        <v>13290</v>
      </c>
      <c r="V5990" t="s">
        <v>13290</v>
      </c>
      <c r="W5990" t="s">
        <v>19228</v>
      </c>
      <c r="X5990">
        <v>6</v>
      </c>
      <c r="Y5990" t="s">
        <v>25702</v>
      </c>
      <c r="Z5990" t="s">
        <v>32320</v>
      </c>
      <c r="AA5990">
        <v>0.41915924802099519</v>
      </c>
      <c r="AB5990" t="str">
        <f>HYPERLINK("Melting_Curves/meltCurve_Q9NVZ3_NECAP2.pdf", "Melting_Curves/meltCurve_Q9NVZ3_NECAP2.pdf")</f>
        <v>Melting_Curves/meltCurve_Q9NVZ3_NECAP2.pdf</v>
      </c>
    </row>
    <row r="5991" spans="1:28" x14ac:dyDescent="0.25">
      <c r="A5991" t="s">
        <v>5995</v>
      </c>
      <c r="B5991">
        <v>0.99252571173614901</v>
      </c>
      <c r="C5991">
        <v>1.3402157077512999</v>
      </c>
      <c r="D5991">
        <v>1.27455063787671</v>
      </c>
      <c r="E5991">
        <v>1.34480832223032</v>
      </c>
      <c r="F5991">
        <v>0.67654471250988002</v>
      </c>
      <c r="G5991">
        <v>0.45673950337828001</v>
      </c>
      <c r="H5991">
        <v>0.22034820686658799</v>
      </c>
      <c r="I5991">
        <v>0.35931534556679101</v>
      </c>
      <c r="J5991">
        <v>0.40703932672705601</v>
      </c>
      <c r="K5991">
        <v>0.63326088898432598</v>
      </c>
      <c r="L5991">
        <v>13288.628042356801</v>
      </c>
      <c r="M5991">
        <v>250</v>
      </c>
      <c r="N5991">
        <v>53.534817177921099</v>
      </c>
      <c r="O5991">
        <v>53.151109522466399</v>
      </c>
      <c r="P5991">
        <v>-0.68749664430463298</v>
      </c>
      <c r="Q5991">
        <v>0.41534063745885103</v>
      </c>
      <c r="R5991">
        <v>0.76269382776855299</v>
      </c>
      <c r="S5991" t="s">
        <v>12637</v>
      </c>
      <c r="T5991" t="s">
        <v>13290</v>
      </c>
      <c r="U5991" t="s">
        <v>13290</v>
      </c>
      <c r="V5991" t="s">
        <v>13290</v>
      </c>
      <c r="W5991" t="s">
        <v>19229</v>
      </c>
      <c r="X5991">
        <v>1</v>
      </c>
      <c r="Y5991" t="s">
        <v>25703</v>
      </c>
      <c r="Z5991" t="s">
        <v>32321</v>
      </c>
      <c r="AA5991">
        <v>0.67175880092443629</v>
      </c>
      <c r="AB5991" t="str">
        <f>HYPERLINK("Melting_Curves/meltCurve_Q9NW07_ZNF358.pdf", "Melting_Curves/meltCurve_Q9NW07_ZNF358.pdf")</f>
        <v>Melting_Curves/meltCurve_Q9NW07_ZNF358.pdf</v>
      </c>
    </row>
    <row r="5992" spans="1:28" x14ac:dyDescent="0.25">
      <c r="A5992" t="s">
        <v>5996</v>
      </c>
      <c r="B5992">
        <v>0.99252571173614901</v>
      </c>
      <c r="C5992">
        <v>0.90574202272798598</v>
      </c>
      <c r="D5992">
        <v>0.80884855707325098</v>
      </c>
      <c r="E5992">
        <v>0.73848782151028403</v>
      </c>
      <c r="F5992">
        <v>0.24864309083811201</v>
      </c>
      <c r="G5992">
        <v>9.5209203554414396E-2</v>
      </c>
      <c r="H5992">
        <v>5.4289005283849397E-2</v>
      </c>
      <c r="I5992">
        <v>4.2076365168281303E-2</v>
      </c>
      <c r="J5992">
        <v>5.6696535650067402E-2</v>
      </c>
      <c r="K5992">
        <v>4.3731090534553901E-2</v>
      </c>
      <c r="L5992">
        <v>1115.9399431341501</v>
      </c>
      <c r="M5992">
        <v>21.9427355950024</v>
      </c>
      <c r="N5992">
        <v>50.999902956260598</v>
      </c>
      <c r="O5992">
        <v>50.4401938941309</v>
      </c>
      <c r="P5992">
        <v>-0.105514180037711</v>
      </c>
      <c r="Q5992">
        <v>2.9832214992363899E-2</v>
      </c>
      <c r="R5992">
        <v>0.98066125342367405</v>
      </c>
      <c r="S5992" t="s">
        <v>12638</v>
      </c>
      <c r="T5992" t="s">
        <v>13290</v>
      </c>
      <c r="U5992" t="s">
        <v>13290</v>
      </c>
      <c r="V5992" t="s">
        <v>13290</v>
      </c>
      <c r="W5992" t="s">
        <v>19230</v>
      </c>
      <c r="X5992">
        <v>6</v>
      </c>
      <c r="Y5992" t="s">
        <v>25704</v>
      </c>
      <c r="Z5992" t="s">
        <v>32322</v>
      </c>
      <c r="AA5992">
        <v>0.39222272630255728</v>
      </c>
      <c r="AB5992" t="str">
        <f>HYPERLINK("Melting_Curves/meltCurve_Q9NW15_ANO10.pdf", "Melting_Curves/meltCurve_Q9NW15_ANO10.pdf")</f>
        <v>Melting_Curves/meltCurve_Q9NW15_ANO10.pdf</v>
      </c>
    </row>
    <row r="5993" spans="1:28" x14ac:dyDescent="0.25">
      <c r="A5993" t="s">
        <v>5997</v>
      </c>
      <c r="B5993">
        <v>0.99252571173614901</v>
      </c>
      <c r="C5993">
        <v>0.94682810162828202</v>
      </c>
      <c r="D5993">
        <v>0.89211940251413602</v>
      </c>
      <c r="E5993">
        <v>0.65389046957314301</v>
      </c>
      <c r="F5993">
        <v>0.19409339885009799</v>
      </c>
      <c r="G5993">
        <v>0.102948716133481</v>
      </c>
      <c r="H5993">
        <v>5.9506062621013003E-2</v>
      </c>
      <c r="I5993">
        <v>5.3408096344743E-2</v>
      </c>
      <c r="J5993">
        <v>5.89560403432026E-2</v>
      </c>
      <c r="K5993">
        <v>5.9422176161585703E-2</v>
      </c>
      <c r="L5993">
        <v>1398.0893563105101</v>
      </c>
      <c r="M5993">
        <v>27.776755718487799</v>
      </c>
      <c r="N5993">
        <v>50.538126073468</v>
      </c>
      <c r="O5993">
        <v>50.074364342969297</v>
      </c>
      <c r="P5993">
        <v>-0.13128829304609901</v>
      </c>
      <c r="Q5993">
        <v>5.3292105213134398E-2</v>
      </c>
      <c r="R5993">
        <v>0.99599633104743601</v>
      </c>
      <c r="S5993" t="s">
        <v>12639</v>
      </c>
      <c r="T5993" t="s">
        <v>13290</v>
      </c>
      <c r="U5993" t="s">
        <v>13290</v>
      </c>
      <c r="V5993" t="s">
        <v>13290</v>
      </c>
      <c r="W5993" t="s">
        <v>19231</v>
      </c>
      <c r="X5993">
        <v>10</v>
      </c>
      <c r="Y5993" t="s">
        <v>25705</v>
      </c>
      <c r="Z5993" t="s">
        <v>32323</v>
      </c>
      <c r="AA5993">
        <v>0.38624702392870508</v>
      </c>
      <c r="AB5993" t="str">
        <f>HYPERLINK("Melting_Curves/meltCurve_Q9NW64_RBM22.pdf", "Melting_Curves/meltCurve_Q9NW64_RBM22.pdf")</f>
        <v>Melting_Curves/meltCurve_Q9NW64_RBM22.pdf</v>
      </c>
    </row>
    <row r="5994" spans="1:28" x14ac:dyDescent="0.25">
      <c r="A5994" t="s">
        <v>5998</v>
      </c>
      <c r="B5994">
        <v>0.99252571173614901</v>
      </c>
      <c r="C5994">
        <v>1.10040797247696</v>
      </c>
      <c r="D5994">
        <v>1.0177864786955499</v>
      </c>
      <c r="E5994">
        <v>0.98206171837039402</v>
      </c>
      <c r="F5994">
        <v>0.70470800598660699</v>
      </c>
      <c r="G5994">
        <v>0.36069004037047198</v>
      </c>
      <c r="H5994">
        <v>0.109695557063857</v>
      </c>
      <c r="I5994">
        <v>0.107484647466765</v>
      </c>
      <c r="J5994">
        <v>0.126635153534923</v>
      </c>
      <c r="K5994">
        <v>0.116196384354371</v>
      </c>
      <c r="L5994">
        <v>1591.44279476715</v>
      </c>
      <c r="M5994">
        <v>29.088675395896399</v>
      </c>
      <c r="N5994">
        <v>55.148538981346697</v>
      </c>
      <c r="O5994">
        <v>54.453436665881497</v>
      </c>
      <c r="P5994">
        <v>-0.119761145613188</v>
      </c>
      <c r="Q5994">
        <v>0.1032444388887</v>
      </c>
      <c r="R5994">
        <v>0.99143946818684203</v>
      </c>
      <c r="S5994" t="s">
        <v>12640</v>
      </c>
      <c r="T5994" t="s">
        <v>13290</v>
      </c>
      <c r="U5994" t="s">
        <v>13290</v>
      </c>
      <c r="V5994" t="s">
        <v>13290</v>
      </c>
      <c r="W5994" t="s">
        <v>19232</v>
      </c>
      <c r="X5994">
        <v>23</v>
      </c>
      <c r="Y5994" t="s">
        <v>25706</v>
      </c>
      <c r="Z5994" t="s">
        <v>32324</v>
      </c>
      <c r="AA5994">
        <v>0.5492456350783802</v>
      </c>
      <c r="AB5994" t="str">
        <f>HYPERLINK("Melting_Curves/meltCurve_Q9NW82_WDR70.pdf", "Melting_Curves/meltCurve_Q9NW82_WDR70.pdf")</f>
        <v>Melting_Curves/meltCurve_Q9NW82_WDR70.pdf</v>
      </c>
    </row>
    <row r="5995" spans="1:28" x14ac:dyDescent="0.25">
      <c r="A5995" t="s">
        <v>5999</v>
      </c>
      <c r="B5995">
        <v>0.99252571173614901</v>
      </c>
      <c r="C5995">
        <v>1.0046078310823201</v>
      </c>
      <c r="D5995">
        <v>0.97473451051301296</v>
      </c>
      <c r="E5995">
        <v>1.0391101953899999</v>
      </c>
      <c r="F5995">
        <v>1.11004149922948</v>
      </c>
      <c r="G5995">
        <v>1.10579952746479</v>
      </c>
      <c r="H5995">
        <v>1.0561313477060099</v>
      </c>
      <c r="I5995">
        <v>1.3657635378053401</v>
      </c>
      <c r="J5995">
        <v>2.1860576506374998</v>
      </c>
      <c r="K5995">
        <v>2.1690029458026698</v>
      </c>
      <c r="L5995">
        <v>15000</v>
      </c>
      <c r="M5995">
        <v>235.37767797832399</v>
      </c>
      <c r="O5995">
        <v>63.722771254719802</v>
      </c>
      <c r="P5995">
        <v>0.46172209326767699</v>
      </c>
      <c r="Q5995">
        <v>1.5</v>
      </c>
      <c r="R5995">
        <v>0.53433220186914798</v>
      </c>
      <c r="S5995" t="s">
        <v>12641</v>
      </c>
      <c r="T5995" t="s">
        <v>13290</v>
      </c>
      <c r="U5995" t="s">
        <v>13290</v>
      </c>
      <c r="V5995" t="s">
        <v>13290</v>
      </c>
      <c r="W5995" t="s">
        <v>19233</v>
      </c>
      <c r="X5995">
        <v>4</v>
      </c>
      <c r="Y5995" t="s">
        <v>25707</v>
      </c>
      <c r="Z5995" t="s">
        <v>32325</v>
      </c>
      <c r="AA5995">
        <v>1.1044807741220359</v>
      </c>
      <c r="AB5995" t="str">
        <f>HYPERLINK("Melting_Curves/meltCurve_Q9NWA0_MED9.pdf", "Melting_Curves/meltCurve_Q9NWA0_MED9.pdf")</f>
        <v>Melting_Curves/meltCurve_Q9NWA0_MED9.pdf</v>
      </c>
    </row>
    <row r="5996" spans="1:28" x14ac:dyDescent="0.25">
      <c r="A5996" t="s">
        <v>6000</v>
      </c>
      <c r="B5996">
        <v>0.99252571173614901</v>
      </c>
      <c r="C5996">
        <v>1.04966166004581</v>
      </c>
      <c r="D5996">
        <v>0.95111918350860503</v>
      </c>
      <c r="E5996">
        <v>1.0385820482509101</v>
      </c>
      <c r="F5996">
        <v>0.75635778776908102</v>
      </c>
      <c r="G5996">
        <v>0.52114316594433197</v>
      </c>
      <c r="H5996">
        <v>0.36225430765713301</v>
      </c>
      <c r="I5996">
        <v>0.57123843659990203</v>
      </c>
      <c r="J5996">
        <v>1.0539731467189699</v>
      </c>
      <c r="K5996">
        <v>1.3089711433889399</v>
      </c>
      <c r="L5996">
        <v>7811.3447293279096</v>
      </c>
      <c r="M5996">
        <v>151.35576271791601</v>
      </c>
      <c r="O5996">
        <v>51.600157927403501</v>
      </c>
      <c r="P5996">
        <v>-0.17457892726642399</v>
      </c>
      <c r="Q5996">
        <v>0.76193043709363995</v>
      </c>
      <c r="R5996">
        <v>0.18299062536673499</v>
      </c>
      <c r="S5996" t="s">
        <v>12642</v>
      </c>
      <c r="T5996" t="s">
        <v>13290</v>
      </c>
      <c r="U5996" t="s">
        <v>13290</v>
      </c>
      <c r="V5996" t="s">
        <v>13290</v>
      </c>
      <c r="W5996" t="s">
        <v>19234</v>
      </c>
      <c r="X5996">
        <v>20</v>
      </c>
      <c r="Y5996" t="s">
        <v>25708</v>
      </c>
      <c r="Z5996" t="s">
        <v>32326</v>
      </c>
      <c r="AA5996">
        <v>0.85411559280961546</v>
      </c>
      <c r="AB5996" t="str">
        <f>HYPERLINK("Melting_Curves/meltCurve_Q9NWB6_ARGLU1.pdf", "Melting_Curves/meltCurve_Q9NWB6_ARGLU1.pdf")</f>
        <v>Melting_Curves/meltCurve_Q9NWB6_ARGLU1.pdf</v>
      </c>
    </row>
    <row r="5997" spans="1:28" x14ac:dyDescent="0.25">
      <c r="A5997" t="s">
        <v>6001</v>
      </c>
      <c r="B5997">
        <v>0.99252571173614901</v>
      </c>
      <c r="C5997">
        <v>0.93553551135062896</v>
      </c>
      <c r="D5997">
        <v>0.94138045095768896</v>
      </c>
      <c r="E5997">
        <v>0.88579097298550602</v>
      </c>
      <c r="F5997">
        <v>0.719841966975308</v>
      </c>
      <c r="G5997">
        <v>0.61164998802523596</v>
      </c>
      <c r="H5997">
        <v>0.469194032263894</v>
      </c>
      <c r="I5997">
        <v>0.52914629053709705</v>
      </c>
      <c r="J5997">
        <v>0.78662932367388905</v>
      </c>
      <c r="K5997">
        <v>0.61266562332705998</v>
      </c>
      <c r="L5997">
        <v>1379.53791602296</v>
      </c>
      <c r="M5997">
        <v>26.969949848149099</v>
      </c>
      <c r="O5997">
        <v>50.872188408746602</v>
      </c>
      <c r="P5997">
        <v>-5.3277379418760602E-2</v>
      </c>
      <c r="Q5997">
        <v>0.59802522131348101</v>
      </c>
      <c r="R5997">
        <v>0.79582001576276995</v>
      </c>
      <c r="S5997" t="s">
        <v>12643</v>
      </c>
      <c r="T5997" t="s">
        <v>13290</v>
      </c>
      <c r="U5997" t="s">
        <v>13290</v>
      </c>
      <c r="V5997" t="s">
        <v>13290</v>
      </c>
      <c r="W5997" t="s">
        <v>19235</v>
      </c>
      <c r="X5997">
        <v>1</v>
      </c>
      <c r="Y5997" t="s">
        <v>25709</v>
      </c>
      <c r="Z5997" t="s">
        <v>32327</v>
      </c>
      <c r="AA5997">
        <v>0.7505703723565772</v>
      </c>
      <c r="AB5997" t="str">
        <f>HYPERLINK("Melting_Curves/meltCurve_Q9NWD8_TMEM248.pdf", "Melting_Curves/meltCurve_Q9NWD8_TMEM248.pdf")</f>
        <v>Melting_Curves/meltCurve_Q9NWD8_TMEM248.pdf</v>
      </c>
    </row>
    <row r="5998" spans="1:28" x14ac:dyDescent="0.25">
      <c r="A5998" t="s">
        <v>6002</v>
      </c>
      <c r="B5998">
        <v>0.99252571173614901</v>
      </c>
      <c r="C5998">
        <v>0.92515930556813397</v>
      </c>
      <c r="D5998">
        <v>0.90698582973894304</v>
      </c>
      <c r="E5998">
        <v>0.85209437861150195</v>
      </c>
      <c r="F5998">
        <v>0.80438791105205398</v>
      </c>
      <c r="G5998">
        <v>0.71751487355966703</v>
      </c>
      <c r="H5998">
        <v>0.53598316675957303</v>
      </c>
      <c r="I5998">
        <v>0.71342043048336201</v>
      </c>
      <c r="J5998">
        <v>1.1439357500907601</v>
      </c>
      <c r="K5998">
        <v>1.1306453800906799</v>
      </c>
      <c r="L5998">
        <v>1080.5660049912999</v>
      </c>
      <c r="M5998">
        <v>24.6438098224891</v>
      </c>
      <c r="O5998">
        <v>43.561689667775099</v>
      </c>
      <c r="P5998">
        <v>-2.2185774239371299E-2</v>
      </c>
      <c r="Q5998">
        <v>0.84313525773237896</v>
      </c>
      <c r="R5998">
        <v>7.14132678445734E-2</v>
      </c>
      <c r="S5998" t="s">
        <v>12644</v>
      </c>
      <c r="T5998" t="s">
        <v>13290</v>
      </c>
      <c r="U5998" t="s">
        <v>13290</v>
      </c>
      <c r="V5998" t="s">
        <v>13290</v>
      </c>
      <c r="W5998" t="s">
        <v>19236</v>
      </c>
      <c r="X5998">
        <v>3</v>
      </c>
      <c r="Y5998" t="s">
        <v>25710</v>
      </c>
      <c r="Z5998" t="s">
        <v>32328</v>
      </c>
      <c r="AA5998">
        <v>0.86516595032376131</v>
      </c>
      <c r="AB5998" t="str">
        <f>HYPERLINK("Melting_Curves/meltCurve_Q9NWH2_TMEM242.pdf", "Melting_Curves/meltCurve_Q9NWH2_TMEM242.pdf")</f>
        <v>Melting_Curves/meltCurve_Q9NWH2_TMEM242.pdf</v>
      </c>
    </row>
    <row r="5999" spans="1:28" x14ac:dyDescent="0.25">
      <c r="A5999" t="s">
        <v>6003</v>
      </c>
      <c r="B5999">
        <v>0.99252571173614901</v>
      </c>
      <c r="C5999">
        <v>1.1535248380677801</v>
      </c>
      <c r="D5999">
        <v>1.1175644387286701</v>
      </c>
      <c r="E5999">
        <v>1.3295031345658901</v>
      </c>
      <c r="F5999">
        <v>1.0374472070098699</v>
      </c>
      <c r="G5999">
        <v>0.67438449047360505</v>
      </c>
      <c r="H5999">
        <v>0.356461530103932</v>
      </c>
      <c r="I5999">
        <v>0.31922516957244101</v>
      </c>
      <c r="J5999">
        <v>0.37154223110342099</v>
      </c>
      <c r="K5999">
        <v>0.45826891093642902</v>
      </c>
      <c r="L5999">
        <v>14194.9680837142</v>
      </c>
      <c r="M5999">
        <v>250</v>
      </c>
      <c r="N5999">
        <v>57.0990217834552</v>
      </c>
      <c r="O5999">
        <v>56.776248550671298</v>
      </c>
      <c r="P5999">
        <v>-0.68649487181813695</v>
      </c>
      <c r="Q5999">
        <v>0.37637445201097303</v>
      </c>
      <c r="R5999">
        <v>0.88223345589449398</v>
      </c>
      <c r="S5999" t="s">
        <v>12645</v>
      </c>
      <c r="T5999" t="s">
        <v>13290</v>
      </c>
      <c r="U5999" t="s">
        <v>13290</v>
      </c>
      <c r="V5999" t="s">
        <v>13290</v>
      </c>
      <c r="W5999" t="s">
        <v>19237</v>
      </c>
      <c r="X5999">
        <v>19</v>
      </c>
      <c r="Y5999" t="s">
        <v>25711</v>
      </c>
      <c r="Z5999" t="s">
        <v>32329</v>
      </c>
      <c r="AA5999">
        <v>0.72524849758705845</v>
      </c>
      <c r="AB5999" t="str">
        <f>HYPERLINK("Melting_Curves/meltCurve_Q9NWH9_SLTM.pdf", "Melting_Curves/meltCurve_Q9NWH9_SLTM.pdf")</f>
        <v>Melting_Curves/meltCurve_Q9NWH9_SLTM.pdf</v>
      </c>
    </row>
    <row r="6000" spans="1:28" x14ac:dyDescent="0.25">
      <c r="A6000" t="s">
        <v>6004</v>
      </c>
      <c r="B6000">
        <v>0.99252571173614901</v>
      </c>
      <c r="C6000">
        <v>0.97030173354466998</v>
      </c>
      <c r="D6000">
        <v>0.82680860848315296</v>
      </c>
      <c r="E6000">
        <v>0.55126502760123997</v>
      </c>
      <c r="F6000">
        <v>0.49903014693257902</v>
      </c>
      <c r="G6000">
        <v>0.34255066423362601</v>
      </c>
      <c r="H6000">
        <v>0.27254228585086998</v>
      </c>
      <c r="I6000">
        <v>0.33560578499936999</v>
      </c>
      <c r="J6000">
        <v>0.40919905133538897</v>
      </c>
      <c r="K6000">
        <v>0.50938418145117004</v>
      </c>
      <c r="L6000">
        <v>1127.75080965602</v>
      </c>
      <c r="M6000">
        <v>23.5644533253205</v>
      </c>
      <c r="N6000">
        <v>50.9378743188377</v>
      </c>
      <c r="O6000">
        <v>47.5174712202911</v>
      </c>
      <c r="P6000">
        <v>-7.6903174633168203E-2</v>
      </c>
      <c r="Q6000">
        <v>0.37971279137124597</v>
      </c>
      <c r="R6000">
        <v>0.93783978166443305</v>
      </c>
      <c r="S6000" t="s">
        <v>12646</v>
      </c>
      <c r="T6000" t="s">
        <v>13290</v>
      </c>
      <c r="U6000" t="s">
        <v>13290</v>
      </c>
      <c r="V6000" t="s">
        <v>13290</v>
      </c>
      <c r="W6000" t="s">
        <v>19238</v>
      </c>
      <c r="X6000">
        <v>3</v>
      </c>
      <c r="Y6000" t="s">
        <v>25712</v>
      </c>
      <c r="Z6000" t="s">
        <v>32330</v>
      </c>
      <c r="AA6000">
        <v>0.54841366189205021</v>
      </c>
      <c r="AB6000" t="str">
        <f>HYPERLINK("Melting_Curves/meltCurve_Q9NWM3_CUEDC1.pdf", "Melting_Curves/meltCurve_Q9NWM3_CUEDC1.pdf")</f>
        <v>Melting_Curves/meltCurve_Q9NWM3_CUEDC1.pdf</v>
      </c>
    </row>
    <row r="6001" spans="1:28" x14ac:dyDescent="0.25">
      <c r="A6001" t="s">
        <v>6005</v>
      </c>
      <c r="B6001">
        <v>0.99252571173614901</v>
      </c>
      <c r="C6001">
        <v>1.0762368282510499</v>
      </c>
      <c r="D6001">
        <v>0.92926917187481495</v>
      </c>
      <c r="E6001">
        <v>0.75691053360771599</v>
      </c>
      <c r="F6001">
        <v>0.47075110897759698</v>
      </c>
      <c r="G6001">
        <v>0.29860015787223598</v>
      </c>
      <c r="H6001">
        <v>0.24215397356785501</v>
      </c>
      <c r="I6001">
        <v>0.26579030040166901</v>
      </c>
      <c r="J6001">
        <v>0.35478123321128102</v>
      </c>
      <c r="K6001">
        <v>0.32051060729036701</v>
      </c>
      <c r="L6001">
        <v>1387.5518338854399</v>
      </c>
      <c r="M6001">
        <v>27.310997926954901</v>
      </c>
      <c r="N6001">
        <v>52.469408215530599</v>
      </c>
      <c r="O6001">
        <v>50.535548486440099</v>
      </c>
      <c r="P6001">
        <v>-9.5969222712810706E-2</v>
      </c>
      <c r="Q6001">
        <v>0.28969088975065499</v>
      </c>
      <c r="R6001">
        <v>0.98217471772821496</v>
      </c>
      <c r="S6001" t="s">
        <v>12647</v>
      </c>
      <c r="T6001" t="s">
        <v>13290</v>
      </c>
      <c r="U6001" t="s">
        <v>13290</v>
      </c>
      <c r="V6001" t="s">
        <v>13290</v>
      </c>
      <c r="W6001" t="s">
        <v>19239</v>
      </c>
      <c r="X6001">
        <v>6</v>
      </c>
      <c r="Y6001" t="s">
        <v>25713</v>
      </c>
      <c r="Z6001" t="s">
        <v>32331</v>
      </c>
      <c r="AA6001">
        <v>0.55090714133686969</v>
      </c>
      <c r="AB6001" t="str">
        <f>HYPERLINK("Melting_Curves/meltCurve_Q9NWM8_FKBP14.pdf", "Melting_Curves/meltCurve_Q9NWM8_FKBP14.pdf")</f>
        <v>Melting_Curves/meltCurve_Q9NWM8_FKBP14.pdf</v>
      </c>
    </row>
    <row r="6002" spans="1:28" x14ac:dyDescent="0.25">
      <c r="A6002" t="s">
        <v>6006</v>
      </c>
      <c r="B6002">
        <v>0.99252571173614901</v>
      </c>
      <c r="C6002">
        <v>0.42668576334091601</v>
      </c>
      <c r="D6002">
        <v>1.0197895480608099</v>
      </c>
      <c r="E6002">
        <v>0.56672790176239496</v>
      </c>
      <c r="F6002">
        <v>0.26496876921644702</v>
      </c>
      <c r="G6002">
        <v>0.14948142608788101</v>
      </c>
      <c r="H6002">
        <v>0.105072451776409</v>
      </c>
      <c r="I6002">
        <v>9.3991734542594296E-2</v>
      </c>
      <c r="J6002">
        <v>0.100197202562106</v>
      </c>
      <c r="K6002">
        <v>0.10557130172335701</v>
      </c>
      <c r="L6002">
        <v>511.10439755589198</v>
      </c>
      <c r="M6002">
        <v>10.268589806243</v>
      </c>
      <c r="N6002">
        <v>49.816623066412802</v>
      </c>
      <c r="O6002">
        <v>47.996729708807699</v>
      </c>
      <c r="P6002">
        <v>-5.3273037956138698E-2</v>
      </c>
      <c r="Q6002">
        <v>4.4169958175302804E-3</v>
      </c>
      <c r="R6002">
        <v>0.75313922817077095</v>
      </c>
      <c r="S6002" t="s">
        <v>12648</v>
      </c>
      <c r="T6002" t="s">
        <v>13290</v>
      </c>
      <c r="U6002" t="s">
        <v>13290</v>
      </c>
      <c r="V6002" t="s">
        <v>13290</v>
      </c>
      <c r="W6002" t="s">
        <v>19240</v>
      </c>
      <c r="X6002">
        <v>10</v>
      </c>
      <c r="Y6002" t="s">
        <v>25714</v>
      </c>
      <c r="Z6002" t="s">
        <v>32332</v>
      </c>
      <c r="AA6002">
        <v>0.37292119351981512</v>
      </c>
      <c r="AB6002" t="str">
        <f>HYPERLINK("Melting_Curves/meltCurve_Q9NWS0_PIH1D1.pdf", "Melting_Curves/meltCurve_Q9NWS0_PIH1D1.pdf")</f>
        <v>Melting_Curves/meltCurve_Q9NWS0_PIH1D1.pdf</v>
      </c>
    </row>
    <row r="6003" spans="1:28" x14ac:dyDescent="0.25">
      <c r="A6003" t="s">
        <v>6007</v>
      </c>
      <c r="B6003">
        <v>0.99252571173614901</v>
      </c>
      <c r="C6003">
        <v>1.0388906673148699</v>
      </c>
      <c r="D6003">
        <v>0.77590183177706396</v>
      </c>
      <c r="E6003">
        <v>0.34826107296824999</v>
      </c>
      <c r="F6003">
        <v>0.32121320148400001</v>
      </c>
      <c r="G6003">
        <v>0.18421086261997899</v>
      </c>
      <c r="H6003">
        <v>0.15438207793494099</v>
      </c>
      <c r="I6003">
        <v>0.154088283345307</v>
      </c>
      <c r="J6003">
        <v>0.18424157774873101</v>
      </c>
      <c r="K6003">
        <v>0.173292183285505</v>
      </c>
      <c r="L6003">
        <v>1395.0143590824</v>
      </c>
      <c r="M6003">
        <v>29.299719671942</v>
      </c>
      <c r="N6003">
        <v>48.366664303600402</v>
      </c>
      <c r="O6003">
        <v>47.391730391204398</v>
      </c>
      <c r="P6003">
        <v>-0.12620158417012201</v>
      </c>
      <c r="Q6003">
        <v>0.183491349940719</v>
      </c>
      <c r="R6003">
        <v>0.98440976946196701</v>
      </c>
      <c r="S6003" t="s">
        <v>12649</v>
      </c>
      <c r="T6003" t="s">
        <v>13290</v>
      </c>
      <c r="U6003" t="s">
        <v>13290</v>
      </c>
      <c r="V6003" t="s">
        <v>13290</v>
      </c>
      <c r="W6003" t="s">
        <v>19241</v>
      </c>
      <c r="X6003">
        <v>3</v>
      </c>
      <c r="Y6003" t="s">
        <v>25715</v>
      </c>
      <c r="Z6003" t="s">
        <v>32333</v>
      </c>
      <c r="AA6003">
        <v>0.39581493105576449</v>
      </c>
      <c r="AB6003" t="str">
        <f>HYPERLINK("Melting_Curves/meltCurve_Q9NWS6_FAM118A.pdf", "Melting_Curves/meltCurve_Q9NWS6_FAM118A.pdf")</f>
        <v>Melting_Curves/meltCurve_Q9NWS6_FAM118A.pdf</v>
      </c>
    </row>
    <row r="6004" spans="1:28" x14ac:dyDescent="0.25">
      <c r="A6004" t="s">
        <v>6008</v>
      </c>
      <c r="B6004">
        <v>0.99252571173614901</v>
      </c>
      <c r="C6004">
        <v>0.87327188933280497</v>
      </c>
      <c r="D6004">
        <v>0.81977004096857398</v>
      </c>
      <c r="E6004">
        <v>0.60924691929387398</v>
      </c>
      <c r="F6004">
        <v>0.24082592079252799</v>
      </c>
      <c r="G6004">
        <v>0.10499334497741999</v>
      </c>
      <c r="H6004">
        <v>7.6058254161152403E-2</v>
      </c>
      <c r="I6004">
        <v>8.3936339842813096E-2</v>
      </c>
      <c r="J6004">
        <v>4.9294766059206997E-2</v>
      </c>
      <c r="K6004">
        <v>4.6465446841260097E-2</v>
      </c>
      <c r="L6004">
        <v>899.93558539371202</v>
      </c>
      <c r="M6004">
        <v>18.013032884038701</v>
      </c>
      <c r="N6004">
        <v>50.177500583788003</v>
      </c>
      <c r="O6004">
        <v>49.356703411374298</v>
      </c>
      <c r="P6004">
        <v>-8.7820652657323195E-2</v>
      </c>
      <c r="Q6004">
        <v>3.7513518394990897E-2</v>
      </c>
      <c r="R6004">
        <v>0.99031226652094895</v>
      </c>
      <c r="S6004" t="s">
        <v>12650</v>
      </c>
      <c r="T6004" t="s">
        <v>13290</v>
      </c>
      <c r="U6004" t="s">
        <v>13290</v>
      </c>
      <c r="V6004" t="s">
        <v>13290</v>
      </c>
      <c r="W6004" t="s">
        <v>19242</v>
      </c>
      <c r="X6004">
        <v>2</v>
      </c>
      <c r="Y6004" t="s">
        <v>25716</v>
      </c>
      <c r="Z6004" t="s">
        <v>32334</v>
      </c>
      <c r="AA6004">
        <v>0.37346676252290872</v>
      </c>
      <c r="AB6004" t="str">
        <f>HYPERLINK("Melting_Curves/meltCurve_Q9NWS8_RMND1.pdf", "Melting_Curves/meltCurve_Q9NWS8_RMND1.pdf")</f>
        <v>Melting_Curves/meltCurve_Q9NWS8_RMND1.pdf</v>
      </c>
    </row>
    <row r="6005" spans="1:28" x14ac:dyDescent="0.25">
      <c r="A6005" t="s">
        <v>6009</v>
      </c>
      <c r="B6005">
        <v>0.99252571173614901</v>
      </c>
      <c r="C6005">
        <v>1.12657946289545</v>
      </c>
      <c r="D6005">
        <v>1.0014143722283699</v>
      </c>
      <c r="E6005">
        <v>0.84651758684789102</v>
      </c>
      <c r="F6005">
        <v>0.59096200259599196</v>
      </c>
      <c r="G6005">
        <v>0.32736929280467703</v>
      </c>
      <c r="H6005">
        <v>0.21395593730301399</v>
      </c>
      <c r="I6005">
        <v>0.13881121179772299</v>
      </c>
      <c r="J6005">
        <v>0.146571559198168</v>
      </c>
      <c r="K6005">
        <v>0.144852734239171</v>
      </c>
      <c r="L6005">
        <v>1160.11881931523</v>
      </c>
      <c r="M6005">
        <v>21.702380819410202</v>
      </c>
      <c r="N6005">
        <v>54.253869343923398</v>
      </c>
      <c r="O6005">
        <v>53.0081710753742</v>
      </c>
      <c r="P6005">
        <v>-8.8369922366552597E-2</v>
      </c>
      <c r="Q6005">
        <v>0.136644476435164</v>
      </c>
      <c r="R6005">
        <v>0.98716535730336596</v>
      </c>
      <c r="S6005" t="s">
        <v>12651</v>
      </c>
      <c r="T6005" t="s">
        <v>13290</v>
      </c>
      <c r="U6005" t="s">
        <v>13290</v>
      </c>
      <c r="V6005" t="s">
        <v>13290</v>
      </c>
      <c r="W6005" t="s">
        <v>19243</v>
      </c>
      <c r="X6005">
        <v>6</v>
      </c>
      <c r="Y6005" t="s">
        <v>25717</v>
      </c>
      <c r="Z6005" t="s">
        <v>32335</v>
      </c>
      <c r="AA6005">
        <v>0.53416759973601446</v>
      </c>
      <c r="AB6005" t="str">
        <f>HYPERLINK("Melting_Curves/meltCurve_Q9NWT6_HIF1AN.pdf", "Melting_Curves/meltCurve_Q9NWT6_HIF1AN.pdf")</f>
        <v>Melting_Curves/meltCurve_Q9NWT6_HIF1AN.pdf</v>
      </c>
    </row>
    <row r="6006" spans="1:28" x14ac:dyDescent="0.25">
      <c r="A6006" t="s">
        <v>6010</v>
      </c>
      <c r="B6006">
        <v>0.99252571173614901</v>
      </c>
      <c r="C6006">
        <v>1.0159267464922701</v>
      </c>
      <c r="D6006">
        <v>0.99238565662568501</v>
      </c>
      <c r="E6006">
        <v>0.92572826412768705</v>
      </c>
      <c r="F6006">
        <v>0.82797528777218699</v>
      </c>
      <c r="G6006">
        <v>0.69738822441304105</v>
      </c>
      <c r="H6006">
        <v>0.666228420416353</v>
      </c>
      <c r="I6006">
        <v>0.88758225386003697</v>
      </c>
      <c r="J6006">
        <v>1.1802263054662101</v>
      </c>
      <c r="K6006">
        <v>1.12097626511265</v>
      </c>
      <c r="L6006">
        <v>15000</v>
      </c>
      <c r="M6006">
        <v>228.30122880854401</v>
      </c>
      <c r="O6006">
        <v>65.697623088527806</v>
      </c>
      <c r="P6006">
        <v>0.13117044352645699</v>
      </c>
      <c r="Q6006">
        <v>1.15098625460361</v>
      </c>
      <c r="R6006">
        <v>-1.1299108703745699E-2</v>
      </c>
      <c r="S6006" t="s">
        <v>12652</v>
      </c>
      <c r="T6006" t="s">
        <v>13290</v>
      </c>
      <c r="U6006" t="s">
        <v>13290</v>
      </c>
      <c r="V6006" t="s">
        <v>13290</v>
      </c>
      <c r="W6006" t="s">
        <v>19244</v>
      </c>
      <c r="X6006">
        <v>19</v>
      </c>
      <c r="Y6006" t="s">
        <v>25718</v>
      </c>
      <c r="Z6006" t="s">
        <v>32336</v>
      </c>
      <c r="AA6006">
        <v>1.021607055892563</v>
      </c>
      <c r="AB6006" t="str">
        <f>HYPERLINK("Melting_Curves/meltCurve_Q9NWU1_OXSM.pdf", "Melting_Curves/meltCurve_Q9NWU1_OXSM.pdf")</f>
        <v>Melting_Curves/meltCurve_Q9NWU1_OXSM.pdf</v>
      </c>
    </row>
    <row r="6007" spans="1:28" x14ac:dyDescent="0.25">
      <c r="A6007" t="s">
        <v>6011</v>
      </c>
      <c r="B6007">
        <v>0.99252571173614901</v>
      </c>
      <c r="C6007">
        <v>0.95013208588546705</v>
      </c>
      <c r="D6007">
        <v>1.14590347525743</v>
      </c>
      <c r="E6007">
        <v>1.19215556937983</v>
      </c>
      <c r="F6007">
        <v>0.78306460680966194</v>
      </c>
      <c r="G6007">
        <v>0.70038952445201097</v>
      </c>
      <c r="H6007">
        <v>0.66090053757335898</v>
      </c>
      <c r="I6007">
        <v>0.744588535251414</v>
      </c>
      <c r="J6007">
        <v>0.85176475712723598</v>
      </c>
      <c r="K6007">
        <v>0.85829771119393805</v>
      </c>
      <c r="L6007">
        <v>13172.849958307899</v>
      </c>
      <c r="M6007">
        <v>250</v>
      </c>
      <c r="O6007">
        <v>52.688028090095401</v>
      </c>
      <c r="P6007">
        <v>-0.28091279999681301</v>
      </c>
      <c r="Q6007">
        <v>0.76318813702942401</v>
      </c>
      <c r="R6007">
        <v>0.68610039859768401</v>
      </c>
      <c r="S6007" t="s">
        <v>12653</v>
      </c>
      <c r="T6007" t="s">
        <v>13290</v>
      </c>
      <c r="U6007" t="s">
        <v>13290</v>
      </c>
      <c r="V6007" t="s">
        <v>13290</v>
      </c>
      <c r="W6007" t="s">
        <v>19245</v>
      </c>
      <c r="X6007">
        <v>2</v>
      </c>
      <c r="Y6007" t="s">
        <v>25719</v>
      </c>
      <c r="Z6007" t="s">
        <v>32337</v>
      </c>
      <c r="AA6007">
        <v>0.86339250357534525</v>
      </c>
      <c r="AB6007" t="str">
        <f>HYPERLINK("Melting_Curves/meltCurve_Q9NWU2_GID8.pdf", "Melting_Curves/meltCurve_Q9NWU2_GID8.pdf")</f>
        <v>Melting_Curves/meltCurve_Q9NWU2_GID8.pdf</v>
      </c>
    </row>
    <row r="6008" spans="1:28" x14ac:dyDescent="0.25">
      <c r="A6008" t="s">
        <v>6012</v>
      </c>
      <c r="B6008">
        <v>0.99252571173614901</v>
      </c>
      <c r="C6008">
        <v>1.0715068494053901</v>
      </c>
      <c r="D6008">
        <v>0.97795734959515102</v>
      </c>
      <c r="E6008">
        <v>0.84072568385036095</v>
      </c>
      <c r="F6008">
        <v>0.395506361474463</v>
      </c>
      <c r="G6008">
        <v>0.130032356238445</v>
      </c>
      <c r="H6008">
        <v>8.41162111790697E-2</v>
      </c>
      <c r="I6008">
        <v>6.3935889006994498E-2</v>
      </c>
      <c r="J6008">
        <v>7.0793165913063699E-2</v>
      </c>
      <c r="K6008">
        <v>5.9592235564104902E-2</v>
      </c>
      <c r="L6008">
        <v>1613.68574454444</v>
      </c>
      <c r="M6008">
        <v>30.943140482148898</v>
      </c>
      <c r="N6008">
        <v>52.3858017588122</v>
      </c>
      <c r="O6008">
        <v>51.933672058192798</v>
      </c>
      <c r="P6008">
        <v>-0.13927372240250699</v>
      </c>
      <c r="Q6008">
        <v>6.5000637258371297E-2</v>
      </c>
      <c r="R6008">
        <v>0.99690805254298598</v>
      </c>
      <c r="S6008" t="s">
        <v>12654</v>
      </c>
      <c r="T6008" t="s">
        <v>13290</v>
      </c>
      <c r="U6008" t="s">
        <v>13290</v>
      </c>
      <c r="V6008" t="s">
        <v>13290</v>
      </c>
      <c r="W6008" t="s">
        <v>19246</v>
      </c>
      <c r="X6008">
        <v>8</v>
      </c>
      <c r="Y6008" t="s">
        <v>25720</v>
      </c>
      <c r="Z6008" t="s">
        <v>32338</v>
      </c>
      <c r="AA6008">
        <v>0.44930783869918278</v>
      </c>
      <c r="AB6008" t="str">
        <f>HYPERLINK("Melting_Curves/meltCurve_Q9NWV4_C1orf123.pdf", "Melting_Curves/meltCurve_Q9NWV4_C1orf123.pdf")</f>
        <v>Melting_Curves/meltCurve_Q9NWV4_C1orf123.pdf</v>
      </c>
    </row>
    <row r="6009" spans="1:28" x14ac:dyDescent="0.25">
      <c r="A6009" t="s">
        <v>6013</v>
      </c>
      <c r="B6009">
        <v>0.99252571173614901</v>
      </c>
      <c r="C6009">
        <v>0.99652519093589698</v>
      </c>
      <c r="D6009">
        <v>0.83881840397837304</v>
      </c>
      <c r="E6009">
        <v>0.58149574057589204</v>
      </c>
      <c r="F6009">
        <v>0.314860022351584</v>
      </c>
      <c r="G6009">
        <v>0.18161974165980699</v>
      </c>
      <c r="H6009">
        <v>0.139618392342229</v>
      </c>
      <c r="I6009">
        <v>0.11300252144241001</v>
      </c>
      <c r="J6009">
        <v>0.105145614726311</v>
      </c>
      <c r="K6009">
        <v>0.107650666097758</v>
      </c>
      <c r="L6009">
        <v>962.10245037976404</v>
      </c>
      <c r="M6009">
        <v>19.273001063888799</v>
      </c>
      <c r="N6009">
        <v>50.529224334971701</v>
      </c>
      <c r="O6009">
        <v>49.391594427096699</v>
      </c>
      <c r="P6009">
        <v>-8.7437321855765998E-2</v>
      </c>
      <c r="Q6009">
        <v>0.103719181095667</v>
      </c>
      <c r="R6009">
        <v>0.99886682607257404</v>
      </c>
      <c r="S6009" t="s">
        <v>12655</v>
      </c>
      <c r="T6009" t="s">
        <v>13290</v>
      </c>
      <c r="U6009" t="s">
        <v>13290</v>
      </c>
      <c r="V6009" t="s">
        <v>13290</v>
      </c>
      <c r="W6009" t="s">
        <v>19247</v>
      </c>
      <c r="X6009">
        <v>5</v>
      </c>
      <c r="Y6009" t="s">
        <v>25721</v>
      </c>
      <c r="Z6009" t="s">
        <v>32339</v>
      </c>
      <c r="AA6009">
        <v>0.41349601869482688</v>
      </c>
      <c r="AB6009" t="str">
        <f>HYPERLINK("Melting_Curves/meltCurve_Q9NWX5_ASB6.pdf", "Melting_Curves/meltCurve_Q9NWX5_ASB6.pdf")</f>
        <v>Melting_Curves/meltCurve_Q9NWX5_ASB6.pdf</v>
      </c>
    </row>
    <row r="6010" spans="1:28" x14ac:dyDescent="0.25">
      <c r="A6010" t="s">
        <v>6014</v>
      </c>
      <c r="B6010">
        <v>0.99252571173614901</v>
      </c>
      <c r="C6010">
        <v>0.97970043723509104</v>
      </c>
      <c r="D6010">
        <v>1.0370001081979201</v>
      </c>
      <c r="E6010">
        <v>1.02825892959725</v>
      </c>
      <c r="F6010">
        <v>0.85670825046286303</v>
      </c>
      <c r="G6010">
        <v>0.57105598579394001</v>
      </c>
      <c r="H6010">
        <v>0.27295046207668699</v>
      </c>
      <c r="I6010">
        <v>0.14401705747858701</v>
      </c>
      <c r="J6010">
        <v>0.15770060808633399</v>
      </c>
      <c r="K6010">
        <v>0.186276773057236</v>
      </c>
      <c r="L6010">
        <v>1577.8862274691501</v>
      </c>
      <c r="M6010">
        <v>27.843105410235498</v>
      </c>
      <c r="N6010">
        <v>57.410367038181299</v>
      </c>
      <c r="O6010">
        <v>56.380712952872003</v>
      </c>
      <c r="P6010">
        <v>-0.104852023434301</v>
      </c>
      <c r="Q6010">
        <v>0.15072978875707899</v>
      </c>
      <c r="R6010">
        <v>0.99484636522617398</v>
      </c>
      <c r="S6010" t="s">
        <v>12656</v>
      </c>
      <c r="T6010" t="s">
        <v>13290</v>
      </c>
      <c r="U6010" t="s">
        <v>13290</v>
      </c>
      <c r="V6010" t="s">
        <v>13290</v>
      </c>
      <c r="W6010" t="s">
        <v>19248</v>
      </c>
      <c r="X6010">
        <v>4</v>
      </c>
      <c r="Y6010" t="s">
        <v>25722</v>
      </c>
      <c r="Z6010" t="s">
        <v>32340</v>
      </c>
      <c r="AA6010">
        <v>0.62911156421954462</v>
      </c>
      <c r="AB6010" t="str">
        <f>HYPERLINK("Melting_Curves/meltCurve_Q9NWX6_THG1L.pdf", "Melting_Curves/meltCurve_Q9NWX6_THG1L.pdf")</f>
        <v>Melting_Curves/meltCurve_Q9NWX6_THG1L.pdf</v>
      </c>
    </row>
    <row r="6011" spans="1:28" x14ac:dyDescent="0.25">
      <c r="A6011" t="s">
        <v>6015</v>
      </c>
      <c r="B6011">
        <v>0.99252571173614901</v>
      </c>
      <c r="C6011">
        <v>0.90924607930411805</v>
      </c>
      <c r="D6011">
        <v>0.39182170350135598</v>
      </c>
      <c r="E6011">
        <v>0.22500307147416801</v>
      </c>
      <c r="F6011">
        <v>0.146485629115263</v>
      </c>
      <c r="G6011">
        <v>8.9086510511002498E-2</v>
      </c>
      <c r="H6011">
        <v>7.0320615827816402E-2</v>
      </c>
      <c r="I6011">
        <v>6.9639290764263603E-2</v>
      </c>
      <c r="J6011">
        <v>9.8505731045564801E-2</v>
      </c>
      <c r="K6011">
        <v>0.10322317689493</v>
      </c>
      <c r="L6011">
        <v>1548.531227426</v>
      </c>
      <c r="M6011">
        <v>34.253843483335302</v>
      </c>
      <c r="N6011">
        <v>45.520633376233597</v>
      </c>
      <c r="O6011">
        <v>45.054276737293101</v>
      </c>
      <c r="P6011">
        <v>-0.17012115838270001</v>
      </c>
      <c r="Q6011">
        <v>0.104958234520246</v>
      </c>
      <c r="R6011">
        <v>0.98891091580758905</v>
      </c>
      <c r="S6011" t="s">
        <v>12657</v>
      </c>
      <c r="T6011" t="s">
        <v>13290</v>
      </c>
      <c r="U6011" t="s">
        <v>13290</v>
      </c>
      <c r="V6011" t="s">
        <v>13290</v>
      </c>
      <c r="W6011" t="s">
        <v>19249</v>
      </c>
      <c r="X6011">
        <v>9</v>
      </c>
      <c r="Y6011" t="s">
        <v>25723</v>
      </c>
      <c r="Z6011" t="s">
        <v>32341</v>
      </c>
      <c r="AA6011">
        <v>0.26448755954874292</v>
      </c>
      <c r="AB6011" t="str">
        <f>HYPERLINK("Melting_Curves/meltCurve_Q9NWY4_C4orf27.pdf", "Melting_Curves/meltCurve_Q9NWY4_C4orf27.pdf")</f>
        <v>Melting_Curves/meltCurve_Q9NWY4_C4orf27.pdf</v>
      </c>
    </row>
    <row r="6012" spans="1:28" x14ac:dyDescent="0.25">
      <c r="A6012" t="s">
        <v>6016</v>
      </c>
      <c r="B6012">
        <v>0.99252571173614901</v>
      </c>
      <c r="C6012">
        <v>1.00138470003552</v>
      </c>
      <c r="D6012">
        <v>0.705914769087719</v>
      </c>
      <c r="E6012">
        <v>0.29578259669291102</v>
      </c>
      <c r="F6012">
        <v>0.12654316716764899</v>
      </c>
      <c r="G6012">
        <v>6.8970460677947404E-2</v>
      </c>
      <c r="H6012">
        <v>5.4902393774420799E-2</v>
      </c>
      <c r="I6012">
        <v>6.4732581459713001E-2</v>
      </c>
      <c r="J6012">
        <v>8.2613755923926196E-2</v>
      </c>
      <c r="K6012">
        <v>7.3944245237599002E-2</v>
      </c>
      <c r="L6012">
        <v>1310.4406134081</v>
      </c>
      <c r="M6012">
        <v>27.6092987685339</v>
      </c>
      <c r="N6012">
        <v>47.721924409520597</v>
      </c>
      <c r="O6012">
        <v>47.2168336968316</v>
      </c>
      <c r="P6012">
        <v>-0.13604264831055601</v>
      </c>
      <c r="Q6012">
        <v>6.93794975282713E-2</v>
      </c>
      <c r="R6012">
        <v>0.99745021850731796</v>
      </c>
      <c r="S6012" t="s">
        <v>12658</v>
      </c>
      <c r="T6012" t="s">
        <v>13290</v>
      </c>
      <c r="U6012" t="s">
        <v>13290</v>
      </c>
      <c r="V6012" t="s">
        <v>13290</v>
      </c>
      <c r="W6012" t="s">
        <v>19250</v>
      </c>
      <c r="X6012">
        <v>9</v>
      </c>
      <c r="Y6012" t="s">
        <v>25724</v>
      </c>
      <c r="Z6012" t="s">
        <v>32342</v>
      </c>
      <c r="AA6012">
        <v>0.30757296012003832</v>
      </c>
      <c r="AB6012" t="str">
        <f>HYPERLINK("Melting_Curves/meltCurve_Q9NWZ3_IRAK4.pdf", "Melting_Curves/meltCurve_Q9NWZ3_IRAK4.pdf")</f>
        <v>Melting_Curves/meltCurve_Q9NWZ3_IRAK4.pdf</v>
      </c>
    </row>
    <row r="6013" spans="1:28" x14ac:dyDescent="0.25">
      <c r="A6013" t="s">
        <v>6017</v>
      </c>
      <c r="B6013">
        <v>0.99252571173614901</v>
      </c>
      <c r="C6013">
        <v>0.82419349252456897</v>
      </c>
      <c r="D6013">
        <v>0.89029020932046699</v>
      </c>
      <c r="E6013">
        <v>0.75044523494539594</v>
      </c>
      <c r="F6013">
        <v>0.487593476750734</v>
      </c>
      <c r="G6013">
        <v>0.252608916022102</v>
      </c>
      <c r="H6013">
        <v>0.121552358097098</v>
      </c>
      <c r="I6013">
        <v>8.4519612022769197E-2</v>
      </c>
      <c r="J6013">
        <v>8.3011647244239803E-2</v>
      </c>
      <c r="K6013">
        <v>8.7573714465895694E-2</v>
      </c>
      <c r="L6013">
        <v>752.22884068068095</v>
      </c>
      <c r="M6013">
        <v>14.315179055651299</v>
      </c>
      <c r="N6013">
        <v>52.771726536161701</v>
      </c>
      <c r="O6013">
        <v>51.554101903743401</v>
      </c>
      <c r="P6013">
        <v>-6.7379362417890595E-2</v>
      </c>
      <c r="Q6013">
        <v>2.9488515920395302E-2</v>
      </c>
      <c r="R6013">
        <v>0.98110457437009702</v>
      </c>
      <c r="S6013" t="s">
        <v>12659</v>
      </c>
      <c r="T6013" t="s">
        <v>13290</v>
      </c>
      <c r="U6013" t="s">
        <v>13290</v>
      </c>
      <c r="V6013" t="s">
        <v>13290</v>
      </c>
      <c r="W6013" t="s">
        <v>19251</v>
      </c>
      <c r="X6013">
        <v>5</v>
      </c>
      <c r="Y6013" t="s">
        <v>25725</v>
      </c>
      <c r="Z6013" t="s">
        <v>32343</v>
      </c>
      <c r="AA6013">
        <v>0.45814492836932369</v>
      </c>
      <c r="AB6013" t="str">
        <f>HYPERLINK("Melting_Curves/meltCurve_Q9NWZ5_UCKL1.pdf", "Melting_Curves/meltCurve_Q9NWZ5_UCKL1.pdf")</f>
        <v>Melting_Curves/meltCurve_Q9NWZ5_UCKL1.pdf</v>
      </c>
    </row>
    <row r="6014" spans="1:28" x14ac:dyDescent="0.25">
      <c r="A6014" t="s">
        <v>6018</v>
      </c>
      <c r="B6014">
        <v>0.99252571173614901</v>
      </c>
      <c r="C6014">
        <v>1.06894360496093</v>
      </c>
      <c r="D6014">
        <v>0.93233428766059301</v>
      </c>
      <c r="E6014">
        <v>0.63872753917619396</v>
      </c>
      <c r="F6014">
        <v>0.267220130509009</v>
      </c>
      <c r="G6014">
        <v>0.179308762892287</v>
      </c>
      <c r="H6014">
        <v>0.14406841474513199</v>
      </c>
      <c r="I6014">
        <v>0.151884907501977</v>
      </c>
      <c r="J6014">
        <v>0.115545536928101</v>
      </c>
      <c r="K6014">
        <v>9.9496540289444296E-2</v>
      </c>
      <c r="L6014">
        <v>1439.9276416673899</v>
      </c>
      <c r="M6014">
        <v>28.687322026964001</v>
      </c>
      <c r="N6014">
        <v>50.722770668884003</v>
      </c>
      <c r="O6014">
        <v>49.951858103345302</v>
      </c>
      <c r="P6014">
        <v>-0.125016000805656</v>
      </c>
      <c r="Q6014">
        <v>0.12926929710343499</v>
      </c>
      <c r="R6014">
        <v>0.99463298382883503</v>
      </c>
      <c r="S6014" t="s">
        <v>12660</v>
      </c>
      <c r="T6014" t="s">
        <v>13290</v>
      </c>
      <c r="U6014" t="s">
        <v>13290</v>
      </c>
      <c r="V6014" t="s">
        <v>13290</v>
      </c>
      <c r="W6014" t="s">
        <v>19252</v>
      </c>
      <c r="X6014">
        <v>4</v>
      </c>
      <c r="Y6014" t="s">
        <v>25726</v>
      </c>
      <c r="Z6014" t="s">
        <v>32344</v>
      </c>
      <c r="AA6014">
        <v>0.43105296724708869</v>
      </c>
      <c r="AB6014" t="str">
        <f>HYPERLINK("Melting_Curves/meltCurve_Q9NX01_TXNL4B.pdf", "Melting_Curves/meltCurve_Q9NX01_TXNL4B.pdf")</f>
        <v>Melting_Curves/meltCurve_Q9NX01_TXNL4B.pdf</v>
      </c>
    </row>
    <row r="6015" spans="1:28" x14ac:dyDescent="0.25">
      <c r="A6015" t="s">
        <v>6019</v>
      </c>
      <c r="B6015">
        <v>0.99252571173614901</v>
      </c>
      <c r="C6015">
        <v>0.85554423558046999</v>
      </c>
      <c r="D6015">
        <v>0.44125323972746</v>
      </c>
      <c r="E6015">
        <v>0.33205782066190898</v>
      </c>
      <c r="F6015">
        <v>0.31372550707703201</v>
      </c>
      <c r="G6015">
        <v>0.16414802978888501</v>
      </c>
      <c r="H6015">
        <v>0.128391010929094</v>
      </c>
      <c r="I6015">
        <v>0.13874394631147099</v>
      </c>
      <c r="J6015">
        <v>0.20157612565427599</v>
      </c>
      <c r="K6015">
        <v>0.178171476227628</v>
      </c>
      <c r="L6015">
        <v>1040.1588121207101</v>
      </c>
      <c r="M6015">
        <v>23.016048911092899</v>
      </c>
      <c r="N6015">
        <v>46.111514468712897</v>
      </c>
      <c r="O6015">
        <v>44.8557339849906</v>
      </c>
      <c r="P6015">
        <v>-0.104688325240418</v>
      </c>
      <c r="Q6015">
        <v>0.183911086305481</v>
      </c>
      <c r="R6015">
        <v>0.96716833803457503</v>
      </c>
      <c r="S6015" t="s">
        <v>12661</v>
      </c>
      <c r="T6015" t="s">
        <v>13290</v>
      </c>
      <c r="U6015" t="s">
        <v>13290</v>
      </c>
      <c r="V6015" t="s">
        <v>13290</v>
      </c>
      <c r="W6015" t="s">
        <v>19253</v>
      </c>
      <c r="X6015">
        <v>1</v>
      </c>
      <c r="Y6015" t="s">
        <v>25727</v>
      </c>
      <c r="Z6015" t="s">
        <v>32345</v>
      </c>
      <c r="AA6015">
        <v>0.33488698368379488</v>
      </c>
      <c r="AB6015" t="str">
        <f>HYPERLINK("Melting_Curves/meltCurve_Q9NX07_TRNAU1AP.pdf", "Melting_Curves/meltCurve_Q9NX07_TRNAU1AP.pdf")</f>
        <v>Melting_Curves/meltCurve_Q9NX07_TRNAU1AP.pdf</v>
      </c>
    </row>
    <row r="6016" spans="1:28" x14ac:dyDescent="0.25">
      <c r="A6016" t="s">
        <v>6020</v>
      </c>
      <c r="B6016">
        <v>0.99252571173614901</v>
      </c>
      <c r="C6016">
        <v>1.06386497398627</v>
      </c>
      <c r="D6016">
        <v>0.995323284671641</v>
      </c>
      <c r="E6016">
        <v>0.81471545482567997</v>
      </c>
      <c r="F6016">
        <v>0.53551885403769395</v>
      </c>
      <c r="G6016">
        <v>0.290242883365466</v>
      </c>
      <c r="H6016">
        <v>0.186815703418617</v>
      </c>
      <c r="I6016">
        <v>0.137806185880958</v>
      </c>
      <c r="J6016">
        <v>0.20017383479098</v>
      </c>
      <c r="K6016">
        <v>0.16579829095258999</v>
      </c>
      <c r="L6016">
        <v>1233.80605475583</v>
      </c>
      <c r="M6016">
        <v>23.455258433139001</v>
      </c>
      <c r="N6016">
        <v>53.486017485436399</v>
      </c>
      <c r="O6016">
        <v>52.224646119644198</v>
      </c>
      <c r="P6016">
        <v>-9.4249763497552597E-2</v>
      </c>
      <c r="Q6016">
        <v>0.160601826831095</v>
      </c>
      <c r="R6016">
        <v>0.99391158234446897</v>
      </c>
      <c r="S6016" t="s">
        <v>12662</v>
      </c>
      <c r="T6016" t="s">
        <v>13290</v>
      </c>
      <c r="U6016" t="s">
        <v>13290</v>
      </c>
      <c r="V6016" t="s">
        <v>13290</v>
      </c>
      <c r="W6016" t="s">
        <v>19254</v>
      </c>
      <c r="X6016">
        <v>3</v>
      </c>
      <c r="Y6016" t="s">
        <v>25728</v>
      </c>
      <c r="Z6016" t="s">
        <v>32346</v>
      </c>
      <c r="AA6016">
        <v>0.52190602538424258</v>
      </c>
      <c r="AB6016" t="str">
        <f>HYPERLINK("Melting_Curves/meltCurve_Q9NX08_COMMD8.pdf", "Melting_Curves/meltCurve_Q9NX08_COMMD8.pdf")</f>
        <v>Melting_Curves/meltCurve_Q9NX08_COMMD8.pdf</v>
      </c>
    </row>
    <row r="6017" spans="1:28" x14ac:dyDescent="0.25">
      <c r="A6017" t="s">
        <v>6021</v>
      </c>
      <c r="B6017">
        <v>0.99252571173614901</v>
      </c>
      <c r="C6017">
        <v>0.97098291055756802</v>
      </c>
      <c r="D6017">
        <v>0.92897611282303105</v>
      </c>
      <c r="E6017">
        <v>0.924941350312523</v>
      </c>
      <c r="F6017">
        <v>0.73869175851138402</v>
      </c>
      <c r="G6017">
        <v>0.69954717714192904</v>
      </c>
      <c r="H6017">
        <v>0.75092391708366102</v>
      </c>
      <c r="I6017">
        <v>1.3611117533083199</v>
      </c>
      <c r="J6017">
        <v>2.46385640132682</v>
      </c>
      <c r="K6017">
        <v>2.4321281095524001</v>
      </c>
      <c r="L6017">
        <v>15000</v>
      </c>
      <c r="M6017">
        <v>235.33074182835901</v>
      </c>
      <c r="O6017">
        <v>63.735478275389802</v>
      </c>
      <c r="P6017">
        <v>0.461537982930671</v>
      </c>
      <c r="Q6017">
        <v>1.5</v>
      </c>
      <c r="R6017">
        <v>0.49800790892671298</v>
      </c>
      <c r="S6017" t="s">
        <v>12663</v>
      </c>
      <c r="T6017" t="s">
        <v>13290</v>
      </c>
      <c r="U6017" t="s">
        <v>13290</v>
      </c>
      <c r="V6017" t="s">
        <v>13290</v>
      </c>
      <c r="W6017" t="s">
        <v>19255</v>
      </c>
      <c r="X6017">
        <v>4</v>
      </c>
      <c r="Y6017" t="s">
        <v>25729</v>
      </c>
      <c r="Z6017" t="s">
        <v>32347</v>
      </c>
      <c r="AA6017">
        <v>1.10426889852446</v>
      </c>
      <c r="AB6017" t="str">
        <f>HYPERLINK("Melting_Curves/meltCurve_Q9NX14_2_NDUFB11.pdf", "Melting_Curves/meltCurve_Q9NX14_2_NDUFB11.pdf")</f>
        <v>Melting_Curves/meltCurve_Q9NX14_2_NDUFB11.pdf</v>
      </c>
    </row>
    <row r="6018" spans="1:28" x14ac:dyDescent="0.25">
      <c r="A6018" t="s">
        <v>6022</v>
      </c>
      <c r="B6018">
        <v>0.99252571173614901</v>
      </c>
      <c r="C6018">
        <v>0.98259046086884805</v>
      </c>
      <c r="D6018">
        <v>0.93072672531196199</v>
      </c>
      <c r="E6018">
        <v>0.91952362214588401</v>
      </c>
      <c r="F6018">
        <v>0.80656841037287796</v>
      </c>
      <c r="G6018">
        <v>0.67253033111992999</v>
      </c>
      <c r="H6018">
        <v>0.86256442851916804</v>
      </c>
      <c r="I6018">
        <v>1.2073729958897499</v>
      </c>
      <c r="J6018">
        <v>1.5621208230794801</v>
      </c>
      <c r="K6018">
        <v>1.5783567359294099</v>
      </c>
      <c r="L6018">
        <v>15000</v>
      </c>
      <c r="M6018">
        <v>234.030664820813</v>
      </c>
      <c r="O6018">
        <v>64.089484437764398</v>
      </c>
      <c r="P6018">
        <v>0.45645293315920099</v>
      </c>
      <c r="Q6018">
        <v>1.5</v>
      </c>
      <c r="R6018">
        <v>0.78011397452554798</v>
      </c>
      <c r="S6018" t="s">
        <v>12664</v>
      </c>
      <c r="T6018" t="s">
        <v>13290</v>
      </c>
      <c r="U6018" t="s">
        <v>13290</v>
      </c>
      <c r="V6018" t="s">
        <v>13290</v>
      </c>
      <c r="W6018" t="s">
        <v>19256</v>
      </c>
      <c r="X6018">
        <v>6</v>
      </c>
      <c r="Y6018" t="s">
        <v>25730</v>
      </c>
      <c r="Z6018" t="s">
        <v>32348</v>
      </c>
      <c r="AA6018">
        <v>1.098366405137341</v>
      </c>
      <c r="AB6018" t="str">
        <f>HYPERLINK("Melting_Curves/meltCurve_Q9NX24_NHP2.pdf", "Melting_Curves/meltCurve_Q9NX24_NHP2.pdf")</f>
        <v>Melting_Curves/meltCurve_Q9NX24_NHP2.pdf</v>
      </c>
    </row>
    <row r="6019" spans="1:28" x14ac:dyDescent="0.25">
      <c r="A6019" t="s">
        <v>6023</v>
      </c>
      <c r="B6019">
        <v>0.99252571173614901</v>
      </c>
      <c r="C6019">
        <v>1.03753934192145</v>
      </c>
      <c r="D6019">
        <v>0.884805203266116</v>
      </c>
      <c r="E6019">
        <v>0.63152071439956403</v>
      </c>
      <c r="F6019">
        <v>0.35043359123760298</v>
      </c>
      <c r="G6019">
        <v>0.25201253374766702</v>
      </c>
      <c r="H6019">
        <v>0.192373744074853</v>
      </c>
      <c r="I6019">
        <v>0.19745004189849499</v>
      </c>
      <c r="J6019">
        <v>0.181016583210166</v>
      </c>
      <c r="K6019">
        <v>0.129322097668569</v>
      </c>
      <c r="L6019">
        <v>1078.97649119845</v>
      </c>
      <c r="M6019">
        <v>21.515563495453499</v>
      </c>
      <c r="N6019">
        <v>51.136751127413902</v>
      </c>
      <c r="O6019">
        <v>49.7214647291676</v>
      </c>
      <c r="P6019">
        <v>-8.9784001987742099E-2</v>
      </c>
      <c r="Q6019">
        <v>0.17007365016649301</v>
      </c>
      <c r="R6019">
        <v>0.99474768005950398</v>
      </c>
      <c r="S6019" t="s">
        <v>12665</v>
      </c>
      <c r="T6019" t="s">
        <v>13290</v>
      </c>
      <c r="U6019" t="s">
        <v>13290</v>
      </c>
      <c r="V6019" t="s">
        <v>13290</v>
      </c>
      <c r="W6019" t="s">
        <v>19257</v>
      </c>
      <c r="X6019">
        <v>5</v>
      </c>
      <c r="Y6019" t="s">
        <v>25731</v>
      </c>
      <c r="Z6019" t="s">
        <v>32349</v>
      </c>
      <c r="AA6019">
        <v>0.46083988955852329</v>
      </c>
      <c r="AB6019" t="str">
        <f>HYPERLINK("Melting_Curves/meltCurve_Q9NX38_FAM206A.pdf", "Melting_Curves/meltCurve_Q9NX38_FAM206A.pdf")</f>
        <v>Melting_Curves/meltCurve_Q9NX38_FAM206A.pdf</v>
      </c>
    </row>
    <row r="6020" spans="1:28" x14ac:dyDescent="0.25">
      <c r="A6020" t="s">
        <v>6024</v>
      </c>
      <c r="B6020">
        <v>0.99252571173614901</v>
      </c>
      <c r="C6020">
        <v>0.91449497834744498</v>
      </c>
      <c r="D6020">
        <v>0.83447098201292302</v>
      </c>
      <c r="E6020">
        <v>0.83178150965254505</v>
      </c>
      <c r="F6020">
        <v>0.705142218000257</v>
      </c>
      <c r="G6020">
        <v>0.60041490067050796</v>
      </c>
      <c r="H6020">
        <v>0.57826790157489605</v>
      </c>
      <c r="I6020">
        <v>0.84212702842521203</v>
      </c>
      <c r="J6020">
        <v>1.3091647820185</v>
      </c>
      <c r="K6020">
        <v>1.30323245956746</v>
      </c>
      <c r="L6020">
        <v>15000</v>
      </c>
      <c r="M6020">
        <v>227.343458431345</v>
      </c>
      <c r="O6020">
        <v>65.974359912841706</v>
      </c>
      <c r="P6020">
        <v>0.26660307510499798</v>
      </c>
      <c r="Q6020">
        <v>1.3094695129598899</v>
      </c>
      <c r="R6020">
        <v>0.118495470225704</v>
      </c>
      <c r="S6020" t="s">
        <v>12666</v>
      </c>
      <c r="T6020" t="s">
        <v>13290</v>
      </c>
      <c r="U6020" t="s">
        <v>13290</v>
      </c>
      <c r="V6020" t="s">
        <v>13290</v>
      </c>
      <c r="W6020" t="s">
        <v>19258</v>
      </c>
      <c r="X6020">
        <v>11</v>
      </c>
      <c r="Y6020" t="s">
        <v>25732</v>
      </c>
      <c r="Z6020" t="s">
        <v>32350</v>
      </c>
      <c r="AA6020">
        <v>1.0414310952768511</v>
      </c>
      <c r="AB6020" t="str">
        <f>HYPERLINK("Melting_Curves/meltCurve_Q9NX40_OCIAD1.pdf", "Melting_Curves/meltCurve_Q9NX40_OCIAD1.pdf")</f>
        <v>Melting_Curves/meltCurve_Q9NX40_OCIAD1.pdf</v>
      </c>
    </row>
    <row r="6021" spans="1:28" x14ac:dyDescent="0.25">
      <c r="A6021" t="s">
        <v>6025</v>
      </c>
      <c r="B6021">
        <v>0.99252571173614901</v>
      </c>
      <c r="C6021">
        <v>1.0693219235434599</v>
      </c>
      <c r="D6021">
        <v>0.93195895875961199</v>
      </c>
      <c r="E6021">
        <v>0.81478785605895998</v>
      </c>
      <c r="F6021">
        <v>0.66617662108401698</v>
      </c>
      <c r="G6021">
        <v>0.48214589390871498</v>
      </c>
      <c r="H6021">
        <v>0.215904732008077</v>
      </c>
      <c r="I6021">
        <v>0.150053113797358</v>
      </c>
      <c r="J6021">
        <v>0.161752768243977</v>
      </c>
      <c r="K6021">
        <v>0.151095308204098</v>
      </c>
      <c r="L6021">
        <v>838.26374759230396</v>
      </c>
      <c r="M6021">
        <v>15.2583322804701</v>
      </c>
      <c r="N6021">
        <v>55.675178889753397</v>
      </c>
      <c r="O6021">
        <v>54.020381489486098</v>
      </c>
      <c r="P6021">
        <v>-6.4161923645089394E-2</v>
      </c>
      <c r="Q6021">
        <v>9.1454068897172294E-2</v>
      </c>
      <c r="R6021">
        <v>0.98801447111974605</v>
      </c>
      <c r="S6021" t="s">
        <v>12667</v>
      </c>
      <c r="T6021" t="s">
        <v>13290</v>
      </c>
      <c r="U6021" t="s">
        <v>13290</v>
      </c>
      <c r="V6021" t="s">
        <v>13290</v>
      </c>
      <c r="W6021" t="s">
        <v>19259</v>
      </c>
      <c r="X6021">
        <v>16</v>
      </c>
      <c r="Y6021" t="s">
        <v>25733</v>
      </c>
      <c r="Z6021" t="s">
        <v>32351</v>
      </c>
      <c r="AA6021">
        <v>0.5611242161787432</v>
      </c>
      <c r="AB6021" t="str">
        <f>HYPERLINK("Melting_Curves/meltCurve_Q9NX46_ADPRHL2.pdf", "Melting_Curves/meltCurve_Q9NX46_ADPRHL2.pdf")</f>
        <v>Melting_Curves/meltCurve_Q9NX46_ADPRHL2.pdf</v>
      </c>
    </row>
    <row r="6022" spans="1:28" x14ac:dyDescent="0.25">
      <c r="A6022" t="s">
        <v>6026</v>
      </c>
      <c r="B6022">
        <v>0.99252571173614901</v>
      </c>
      <c r="C6022">
        <v>0.88766094982640398</v>
      </c>
      <c r="D6022">
        <v>0.88465553780612705</v>
      </c>
      <c r="E6022">
        <v>0.72251559360139095</v>
      </c>
      <c r="F6022">
        <v>0.71878184770243303</v>
      </c>
      <c r="G6022">
        <v>0.56538610377591503</v>
      </c>
      <c r="H6022">
        <v>0.43583175990296902</v>
      </c>
      <c r="I6022">
        <v>0.33338103593173801</v>
      </c>
      <c r="J6022">
        <v>0.217977438423655</v>
      </c>
      <c r="K6022">
        <v>0.15382577964358399</v>
      </c>
      <c r="L6022">
        <v>459.56752678165702</v>
      </c>
      <c r="M6022">
        <v>7.9374795650516896</v>
      </c>
      <c r="N6022">
        <v>57.898424882929802</v>
      </c>
      <c r="O6022">
        <v>54.569529195685</v>
      </c>
      <c r="P6022">
        <v>-3.6406413683292102E-2</v>
      </c>
      <c r="Q6022">
        <v>0</v>
      </c>
      <c r="R6022">
        <v>0.98007456581297303</v>
      </c>
      <c r="S6022" t="s">
        <v>12668</v>
      </c>
      <c r="T6022" t="s">
        <v>13290</v>
      </c>
      <c r="U6022" t="s">
        <v>13290</v>
      </c>
      <c r="V6022" t="s">
        <v>13290</v>
      </c>
      <c r="W6022" t="s">
        <v>19260</v>
      </c>
      <c r="X6022">
        <v>4</v>
      </c>
      <c r="Y6022" t="s">
        <v>25734</v>
      </c>
      <c r="Z6022" t="s">
        <v>32352</v>
      </c>
      <c r="AA6022">
        <v>0.60081612618988567</v>
      </c>
      <c r="AB6022" t="str">
        <f>HYPERLINK("Melting_Curves/meltCurve_Q9NX47_MARCH5.pdf", "Melting_Curves/meltCurve_Q9NX47_MARCH5.pdf")</f>
        <v>Melting_Curves/meltCurve_Q9NX47_MARCH5.pdf</v>
      </c>
    </row>
    <row r="6023" spans="1:28" x14ac:dyDescent="0.25">
      <c r="A6023" t="s">
        <v>6027</v>
      </c>
      <c r="B6023">
        <v>0.99252571173614901</v>
      </c>
      <c r="C6023">
        <v>1.0206336329741701</v>
      </c>
      <c r="D6023">
        <v>0.96751668873452501</v>
      </c>
      <c r="E6023">
        <v>0.95339528409833096</v>
      </c>
      <c r="F6023">
        <v>0.77169612245629804</v>
      </c>
      <c r="G6023">
        <v>0.57949105856548599</v>
      </c>
      <c r="H6023">
        <v>0.44721378949767399</v>
      </c>
      <c r="I6023">
        <v>0.56459223732261199</v>
      </c>
      <c r="J6023">
        <v>0.83644430605781395</v>
      </c>
      <c r="K6023">
        <v>0.87494123312207805</v>
      </c>
      <c r="L6023">
        <v>2622.33361383887</v>
      </c>
      <c r="M6023">
        <v>50.241708011266098</v>
      </c>
      <c r="O6023">
        <v>52.111869728451197</v>
      </c>
      <c r="P6023">
        <v>-8.15622452526997E-2</v>
      </c>
      <c r="Q6023">
        <v>0.66160727242411199</v>
      </c>
      <c r="R6023">
        <v>0.62093740582215495</v>
      </c>
      <c r="S6023" t="s">
        <v>12669</v>
      </c>
      <c r="T6023" t="s">
        <v>13290</v>
      </c>
      <c r="U6023" t="s">
        <v>13290</v>
      </c>
      <c r="V6023" t="s">
        <v>13290</v>
      </c>
      <c r="W6023" t="s">
        <v>19261</v>
      </c>
      <c r="X6023">
        <v>9</v>
      </c>
      <c r="Y6023" t="s">
        <v>25735</v>
      </c>
      <c r="Z6023" t="s">
        <v>32353</v>
      </c>
      <c r="AA6023">
        <v>0.79992816231978969</v>
      </c>
      <c r="AB6023" t="str">
        <f>HYPERLINK("Melting_Curves/meltCurve_Q9NX55_HYPK.pdf", "Melting_Curves/meltCurve_Q9NX55_HYPK.pdf")</f>
        <v>Melting_Curves/meltCurve_Q9NX55_HYPK.pdf</v>
      </c>
    </row>
    <row r="6024" spans="1:28" x14ac:dyDescent="0.25">
      <c r="A6024" t="s">
        <v>6028</v>
      </c>
      <c r="B6024">
        <v>0.99252571173614901</v>
      </c>
      <c r="C6024">
        <v>0.98034477835704403</v>
      </c>
      <c r="D6024">
        <v>0.91949548039934204</v>
      </c>
      <c r="E6024">
        <v>1.3020065455059</v>
      </c>
      <c r="F6024">
        <v>0.67583172727321805</v>
      </c>
      <c r="G6024">
        <v>0.42215548987263302</v>
      </c>
      <c r="H6024">
        <v>0.27163198364219399</v>
      </c>
      <c r="I6024">
        <v>0.22720798194529901</v>
      </c>
      <c r="J6024">
        <v>0.20245590601935801</v>
      </c>
      <c r="K6024">
        <v>0.18066263165301899</v>
      </c>
      <c r="L6024">
        <v>1977.70430769635</v>
      </c>
      <c r="M6024">
        <v>36.352028934930402</v>
      </c>
      <c r="N6024">
        <v>55.304289324061003</v>
      </c>
      <c r="O6024">
        <v>54.240382537973097</v>
      </c>
      <c r="P6024">
        <v>-0.13013955273595099</v>
      </c>
      <c r="Q6024">
        <v>0.22328431904163601</v>
      </c>
      <c r="R6024">
        <v>0.91610634176140404</v>
      </c>
      <c r="S6024" t="s">
        <v>12670</v>
      </c>
      <c r="T6024" t="s">
        <v>13290</v>
      </c>
      <c r="U6024" t="s">
        <v>13290</v>
      </c>
      <c r="V6024" t="s">
        <v>13290</v>
      </c>
      <c r="W6024" t="s">
        <v>19262</v>
      </c>
      <c r="X6024">
        <v>4</v>
      </c>
      <c r="Y6024" t="s">
        <v>25736</v>
      </c>
      <c r="Z6024" t="s">
        <v>32354</v>
      </c>
      <c r="AA6024">
        <v>0.59974072548046042</v>
      </c>
      <c r="AB6024" t="str">
        <f>HYPERLINK("Melting_Curves/meltCurve_Q9NX57_RAB20.pdf", "Melting_Curves/meltCurve_Q9NX57_RAB20.pdf")</f>
        <v>Melting_Curves/meltCurve_Q9NX57_RAB20.pdf</v>
      </c>
    </row>
    <row r="6025" spans="1:28" x14ac:dyDescent="0.25">
      <c r="A6025" t="s">
        <v>6029</v>
      </c>
      <c r="B6025">
        <v>0.99252571173614901</v>
      </c>
      <c r="C6025">
        <v>1.0804583149971401</v>
      </c>
      <c r="D6025">
        <v>0.98560804807023805</v>
      </c>
      <c r="E6025">
        <v>1.0757873425989199</v>
      </c>
      <c r="F6025">
        <v>0.66394480736208805</v>
      </c>
      <c r="G6025">
        <v>0.37213369161795401</v>
      </c>
      <c r="H6025">
        <v>0.16214779143479599</v>
      </c>
      <c r="I6025">
        <v>0.15238923029297199</v>
      </c>
      <c r="J6025">
        <v>0.160854284604769</v>
      </c>
      <c r="K6025">
        <v>0.170968630916776</v>
      </c>
      <c r="L6025">
        <v>1735.8238531726399</v>
      </c>
      <c r="M6025">
        <v>31.958150774286501</v>
      </c>
      <c r="N6025">
        <v>54.974081343293001</v>
      </c>
      <c r="O6025">
        <v>54.104181490243299</v>
      </c>
      <c r="P6025">
        <v>-0.124185062041287</v>
      </c>
      <c r="Q6025">
        <v>0.159038073450921</v>
      </c>
      <c r="R6025">
        <v>0.98392824078270702</v>
      </c>
      <c r="S6025" t="s">
        <v>12671</v>
      </c>
      <c r="T6025" t="s">
        <v>13290</v>
      </c>
      <c r="U6025" t="s">
        <v>13290</v>
      </c>
      <c r="V6025" t="s">
        <v>13290</v>
      </c>
      <c r="W6025" t="s">
        <v>19263</v>
      </c>
      <c r="X6025">
        <v>18</v>
      </c>
      <c r="Y6025" t="s">
        <v>25737</v>
      </c>
      <c r="Z6025" t="s">
        <v>32355</v>
      </c>
      <c r="AA6025">
        <v>0.56523805619272005</v>
      </c>
      <c r="AB6025" t="str">
        <f>HYPERLINK("Melting_Curves/meltCurve_Q9NX58_LYAR.pdf", "Melting_Curves/meltCurve_Q9NX58_LYAR.pdf")</f>
        <v>Melting_Curves/meltCurve_Q9NX58_LYAR.pdf</v>
      </c>
    </row>
    <row r="6026" spans="1:28" x14ac:dyDescent="0.25">
      <c r="A6026" t="s">
        <v>6030</v>
      </c>
      <c r="B6026">
        <v>0.99252571173614901</v>
      </c>
      <c r="C6026">
        <v>0.91558287937160499</v>
      </c>
      <c r="D6026">
        <v>0.867238310869894</v>
      </c>
      <c r="E6026">
        <v>0.88232495112130305</v>
      </c>
      <c r="F6026">
        <v>0.70570613980127805</v>
      </c>
      <c r="G6026">
        <v>0.60928489594979696</v>
      </c>
      <c r="H6026">
        <v>0.44486384948958801</v>
      </c>
      <c r="I6026">
        <v>0.35397500269152998</v>
      </c>
      <c r="J6026">
        <v>0.26361714803523001</v>
      </c>
      <c r="K6026">
        <v>0.22418508069822399</v>
      </c>
      <c r="L6026">
        <v>485.45850396321703</v>
      </c>
      <c r="M6026">
        <v>8.1860477217102403</v>
      </c>
      <c r="N6026">
        <v>59.3031607328776</v>
      </c>
      <c r="O6026">
        <v>56.079469438961397</v>
      </c>
      <c r="P6026">
        <v>-3.6530940772567098E-2</v>
      </c>
      <c r="Q6026">
        <v>0</v>
      </c>
      <c r="R6026">
        <v>0.98998395104250603</v>
      </c>
      <c r="S6026" t="s">
        <v>12672</v>
      </c>
      <c r="T6026" t="s">
        <v>13290</v>
      </c>
      <c r="U6026" t="s">
        <v>13290</v>
      </c>
      <c r="V6026" t="s">
        <v>13290</v>
      </c>
      <c r="W6026" t="s">
        <v>19264</v>
      </c>
      <c r="X6026">
        <v>14</v>
      </c>
      <c r="Y6026" t="s">
        <v>25738</v>
      </c>
      <c r="Z6026" t="s">
        <v>32356</v>
      </c>
      <c r="AA6026">
        <v>0.63628313264364755</v>
      </c>
      <c r="AB6026" t="str">
        <f>HYPERLINK("Melting_Curves/meltCurve_Q9NX62_IMPAD1.pdf", "Melting_Curves/meltCurve_Q9NX62_IMPAD1.pdf")</f>
        <v>Melting_Curves/meltCurve_Q9NX62_IMPAD1.pdf</v>
      </c>
    </row>
    <row r="6027" spans="1:28" x14ac:dyDescent="0.25">
      <c r="A6027" t="s">
        <v>6031</v>
      </c>
      <c r="B6027">
        <v>0.99252571173614901</v>
      </c>
      <c r="C6027">
        <v>0.97919396801203396</v>
      </c>
      <c r="D6027">
        <v>0.73820356242810603</v>
      </c>
      <c r="E6027">
        <v>0.56400244117581999</v>
      </c>
      <c r="F6027">
        <v>0.37292205941876899</v>
      </c>
      <c r="G6027">
        <v>0.36740148274343898</v>
      </c>
      <c r="H6027">
        <v>0.25561017237570899</v>
      </c>
      <c r="I6027">
        <v>0.27220037174298101</v>
      </c>
      <c r="J6027">
        <v>0.36671552412422798</v>
      </c>
      <c r="K6027">
        <v>0.39292389555000801</v>
      </c>
      <c r="L6027">
        <v>997.25433234734498</v>
      </c>
      <c r="M6027">
        <v>20.946287218666999</v>
      </c>
      <c r="N6027">
        <v>50.105696577371397</v>
      </c>
      <c r="O6027">
        <v>47.182515612267302</v>
      </c>
      <c r="P6027">
        <v>-7.50448153605692E-2</v>
      </c>
      <c r="Q6027">
        <v>0.32385033798676799</v>
      </c>
      <c r="R6027">
        <v>0.97043960431438803</v>
      </c>
      <c r="S6027" t="s">
        <v>12673</v>
      </c>
      <c r="T6027" t="s">
        <v>13290</v>
      </c>
      <c r="U6027" t="s">
        <v>13290</v>
      </c>
      <c r="V6027" t="s">
        <v>13290</v>
      </c>
      <c r="W6027" t="s">
        <v>19265</v>
      </c>
      <c r="X6027">
        <v>5</v>
      </c>
      <c r="Y6027" t="s">
        <v>25739</v>
      </c>
      <c r="Z6027" t="s">
        <v>32357</v>
      </c>
      <c r="AA6027">
        <v>0.50414595946070462</v>
      </c>
      <c r="AB6027" t="str">
        <f>HYPERLINK("Melting_Curves/meltCurve_Q9NX70_MED29.pdf", "Melting_Curves/meltCurve_Q9NX70_MED29.pdf")</f>
        <v>Melting_Curves/meltCurve_Q9NX70_MED29.pdf</v>
      </c>
    </row>
    <row r="6028" spans="1:28" x14ac:dyDescent="0.25">
      <c r="A6028" t="s">
        <v>6032</v>
      </c>
      <c r="B6028">
        <v>0.99252571173614901</v>
      </c>
      <c r="C6028">
        <v>1.0086284050585701</v>
      </c>
      <c r="D6028">
        <v>0.85000975943807699</v>
      </c>
      <c r="E6028">
        <v>0.533835637092128</v>
      </c>
      <c r="F6028">
        <v>0.20189690988515999</v>
      </c>
      <c r="G6028">
        <v>9.8092299990561294E-2</v>
      </c>
      <c r="H6028">
        <v>6.1316133067780797E-2</v>
      </c>
      <c r="I6028">
        <v>5.97825807018924E-2</v>
      </c>
      <c r="J6028">
        <v>6.83855352284643E-2</v>
      </c>
      <c r="K6028">
        <v>7.7069062102856606E-2</v>
      </c>
      <c r="L6028">
        <v>1198.96757436543</v>
      </c>
      <c r="M6028">
        <v>24.213144590002202</v>
      </c>
      <c r="N6028">
        <v>49.785598359288798</v>
      </c>
      <c r="O6028">
        <v>49.183168517633703</v>
      </c>
      <c r="P6028">
        <v>-0.115547967977289</v>
      </c>
      <c r="Q6028">
        <v>6.1182920389479797E-2</v>
      </c>
      <c r="R6028">
        <v>0.99862864414556296</v>
      </c>
      <c r="S6028" t="s">
        <v>12674</v>
      </c>
      <c r="T6028" t="s">
        <v>13290</v>
      </c>
      <c r="U6028" t="s">
        <v>13290</v>
      </c>
      <c r="V6028" t="s">
        <v>13290</v>
      </c>
      <c r="W6028" t="s">
        <v>19266</v>
      </c>
      <c r="X6028">
        <v>9</v>
      </c>
      <c r="Y6028" t="s">
        <v>25740</v>
      </c>
      <c r="Z6028" t="s">
        <v>32358</v>
      </c>
      <c r="AA6028">
        <v>0.36792714234277318</v>
      </c>
      <c r="AB6028" t="str">
        <f>HYPERLINK("Melting_Curves/meltCurve_Q9NX74_DUS2L.pdf", "Melting_Curves/meltCurve_Q9NX74_DUS2L.pdf")</f>
        <v>Melting_Curves/meltCurve_Q9NX74_DUS2L.pdf</v>
      </c>
    </row>
    <row r="6029" spans="1:28" x14ac:dyDescent="0.25">
      <c r="A6029" t="s">
        <v>6033</v>
      </c>
      <c r="B6029">
        <v>0.99252571173614901</v>
      </c>
      <c r="C6029">
        <v>0.98003104018771103</v>
      </c>
      <c r="D6029">
        <v>0.98539272275641998</v>
      </c>
      <c r="E6029">
        <v>1.3060458120726901</v>
      </c>
      <c r="F6029">
        <v>0.83466508256656002</v>
      </c>
      <c r="G6029">
        <v>0.57521622492587099</v>
      </c>
      <c r="H6029">
        <v>0.44950458583311598</v>
      </c>
      <c r="I6029">
        <v>0.198698106809304</v>
      </c>
      <c r="J6029">
        <v>0.15329509790554499</v>
      </c>
      <c r="K6029">
        <v>0.14849478042526201</v>
      </c>
      <c r="L6029">
        <v>1271.33099289599</v>
      </c>
      <c r="M6029">
        <v>22.0066129675028</v>
      </c>
      <c r="N6029">
        <v>58.602290069049602</v>
      </c>
      <c r="O6029">
        <v>57.299718599194698</v>
      </c>
      <c r="P6029">
        <v>-8.3136461024754194E-2</v>
      </c>
      <c r="Q6029">
        <v>0.134153060958112</v>
      </c>
      <c r="R6029">
        <v>0.91789426663268503</v>
      </c>
      <c r="S6029" t="s">
        <v>12675</v>
      </c>
      <c r="T6029" t="s">
        <v>13290</v>
      </c>
      <c r="U6029" t="s">
        <v>13290</v>
      </c>
      <c r="V6029" t="s">
        <v>13290</v>
      </c>
      <c r="W6029" t="s">
        <v>19267</v>
      </c>
      <c r="X6029">
        <v>2</v>
      </c>
      <c r="Y6029" t="s">
        <v>25741</v>
      </c>
      <c r="Z6029" t="s">
        <v>32359</v>
      </c>
      <c r="AA6029">
        <v>0.65603837251588659</v>
      </c>
      <c r="AB6029" t="str">
        <f>HYPERLINK("Melting_Curves/meltCurve_Q9NX78_TMEM260.pdf", "Melting_Curves/meltCurve_Q9NX78_TMEM260.pdf")</f>
        <v>Melting_Curves/meltCurve_Q9NX78_TMEM260.pdf</v>
      </c>
    </row>
    <row r="6030" spans="1:28" x14ac:dyDescent="0.25">
      <c r="A6030" t="s">
        <v>6034</v>
      </c>
      <c r="B6030">
        <v>0.99252571173614901</v>
      </c>
      <c r="C6030">
        <v>1.07076466933569</v>
      </c>
      <c r="D6030">
        <v>0.93901881484276295</v>
      </c>
      <c r="E6030">
        <v>0.61855407078944002</v>
      </c>
      <c r="F6030">
        <v>0.15933056296548401</v>
      </c>
      <c r="G6030">
        <v>8.6652199968941301E-2</v>
      </c>
      <c r="H6030">
        <v>5.8178297937742901E-2</v>
      </c>
      <c r="I6030">
        <v>6.5464963172280594E-2</v>
      </c>
      <c r="J6030">
        <v>7.98444666295514E-2</v>
      </c>
      <c r="K6030">
        <v>8.2202543633205297E-2</v>
      </c>
      <c r="L6030">
        <v>1824.9356015977301</v>
      </c>
      <c r="M6030">
        <v>36.457645724676397</v>
      </c>
      <c r="N6030">
        <v>50.266182131088897</v>
      </c>
      <c r="O6030">
        <v>49.906431309524997</v>
      </c>
      <c r="P6030">
        <v>-0.169737850616175</v>
      </c>
      <c r="Q6030">
        <v>7.0594403222829602E-2</v>
      </c>
      <c r="R6030">
        <v>0.99620309929731699</v>
      </c>
      <c r="S6030" t="s">
        <v>12676</v>
      </c>
      <c r="T6030" t="s">
        <v>13290</v>
      </c>
      <c r="U6030" t="s">
        <v>13290</v>
      </c>
      <c r="V6030" t="s">
        <v>13290</v>
      </c>
      <c r="W6030" t="s">
        <v>19268</v>
      </c>
      <c r="X6030">
        <v>11</v>
      </c>
      <c r="Y6030" t="s">
        <v>25742</v>
      </c>
      <c r="Z6030" t="s">
        <v>32360</v>
      </c>
      <c r="AA6030">
        <v>0.38602025451372979</v>
      </c>
      <c r="AB6030" t="str">
        <f>HYPERLINK("Melting_Curves/meltCurve_Q9NXA8_SIRT5.pdf", "Melting_Curves/meltCurve_Q9NXA8_SIRT5.pdf")</f>
        <v>Melting_Curves/meltCurve_Q9NXA8_SIRT5.pdf</v>
      </c>
    </row>
    <row r="6031" spans="1:28" x14ac:dyDescent="0.25">
      <c r="A6031" t="s">
        <v>6035</v>
      </c>
      <c r="B6031">
        <v>0.99252571173614901</v>
      </c>
      <c r="C6031">
        <v>0.833258682000944</v>
      </c>
      <c r="D6031">
        <v>1.16971760577703</v>
      </c>
      <c r="E6031">
        <v>1.03641592902321</v>
      </c>
      <c r="F6031">
        <v>0.85024006698546195</v>
      </c>
      <c r="G6031">
        <v>0.73345468989803997</v>
      </c>
      <c r="H6031">
        <v>0.22423979057391299</v>
      </c>
      <c r="I6031">
        <v>0.107203680045885</v>
      </c>
      <c r="J6031">
        <v>8.4227598977531806E-2</v>
      </c>
      <c r="K6031">
        <v>7.1536903963895906E-2</v>
      </c>
      <c r="L6031">
        <v>1776.0247212699201</v>
      </c>
      <c r="M6031">
        <v>30.556368269294602</v>
      </c>
      <c r="N6031">
        <v>58.359813905451702</v>
      </c>
      <c r="O6031">
        <v>57.875660551359204</v>
      </c>
      <c r="P6031">
        <v>-0.124293142543923</v>
      </c>
      <c r="Q6031">
        <v>5.8329958985462102E-2</v>
      </c>
      <c r="R6031">
        <v>0.959120553476841</v>
      </c>
      <c r="S6031" t="s">
        <v>12677</v>
      </c>
      <c r="T6031" t="s">
        <v>13290</v>
      </c>
      <c r="U6031" t="s">
        <v>13290</v>
      </c>
      <c r="V6031" t="s">
        <v>13290</v>
      </c>
      <c r="W6031" t="s">
        <v>19269</v>
      </c>
      <c r="X6031">
        <v>3</v>
      </c>
      <c r="Y6031" t="s">
        <v>25743</v>
      </c>
      <c r="Z6031" t="s">
        <v>32361</v>
      </c>
      <c r="AA6031">
        <v>0.63318916451528962</v>
      </c>
      <c r="AB6031" t="str">
        <f>HYPERLINK("Melting_Curves/meltCurve_Q9NXC5_MIOS.pdf", "Melting_Curves/meltCurve_Q9NXC5_MIOS.pdf")</f>
        <v>Melting_Curves/meltCurve_Q9NXC5_MIOS.pdf</v>
      </c>
    </row>
    <row r="6032" spans="1:28" x14ac:dyDescent="0.25">
      <c r="A6032" t="s">
        <v>6036</v>
      </c>
      <c r="B6032">
        <v>0.99252571173614901</v>
      </c>
      <c r="C6032">
        <v>1.20175305471656</v>
      </c>
      <c r="D6032">
        <v>1.0661295216136799</v>
      </c>
      <c r="E6032">
        <v>1.11708154636326</v>
      </c>
      <c r="F6032">
        <v>0.74251880884719701</v>
      </c>
      <c r="G6032">
        <v>0.57041186071371397</v>
      </c>
      <c r="H6032">
        <v>0.44156370801852102</v>
      </c>
      <c r="I6032">
        <v>0.52270895929400896</v>
      </c>
      <c r="J6032">
        <v>0.84442606726522695</v>
      </c>
      <c r="K6032">
        <v>1.0354006502114701</v>
      </c>
      <c r="L6032">
        <v>13222.167729017599</v>
      </c>
      <c r="M6032">
        <v>250</v>
      </c>
      <c r="O6032">
        <v>52.885285916872</v>
      </c>
      <c r="P6032">
        <v>-0.37474713840729401</v>
      </c>
      <c r="Q6032">
        <v>0.68290224454362103</v>
      </c>
      <c r="R6032">
        <v>0.53677197079568295</v>
      </c>
      <c r="S6032" t="s">
        <v>12678</v>
      </c>
      <c r="T6032" t="s">
        <v>13290</v>
      </c>
      <c r="U6032" t="s">
        <v>13290</v>
      </c>
      <c r="V6032" t="s">
        <v>13290</v>
      </c>
      <c r="W6032" t="s">
        <v>19270</v>
      </c>
      <c r="X6032">
        <v>5</v>
      </c>
      <c r="Y6032" t="s">
        <v>25744</v>
      </c>
      <c r="Z6032" t="s">
        <v>32362</v>
      </c>
      <c r="AA6032">
        <v>0.8191639644516947</v>
      </c>
      <c r="AB6032" t="str">
        <f>HYPERLINK("Melting_Curves/meltCurve_Q9NXE8_CWC25.pdf", "Melting_Curves/meltCurve_Q9NXE8_CWC25.pdf")</f>
        <v>Melting_Curves/meltCurve_Q9NXE8_CWC25.pdf</v>
      </c>
    </row>
    <row r="6033" spans="1:28" x14ac:dyDescent="0.25">
      <c r="A6033" t="s">
        <v>6037</v>
      </c>
      <c r="B6033">
        <v>0.99252571173614901</v>
      </c>
      <c r="C6033">
        <v>0.92646552683320404</v>
      </c>
      <c r="D6033">
        <v>1.3604802486394401</v>
      </c>
      <c r="E6033">
        <v>1.86702878675935</v>
      </c>
      <c r="F6033">
        <v>1.2417564334925899</v>
      </c>
      <c r="G6033">
        <v>0.521358861470822</v>
      </c>
      <c r="H6033">
        <v>0.22708770544818099</v>
      </c>
      <c r="I6033">
        <v>0.21410306730668499</v>
      </c>
      <c r="J6033">
        <v>0.131729750689281</v>
      </c>
      <c r="K6033">
        <v>0.14953376453175399</v>
      </c>
      <c r="S6033" t="s">
        <v>12679</v>
      </c>
      <c r="T6033" t="s">
        <v>13290</v>
      </c>
      <c r="U6033" t="s">
        <v>13291</v>
      </c>
      <c r="V6033" t="s">
        <v>13290</v>
      </c>
      <c r="W6033" t="s">
        <v>19271</v>
      </c>
      <c r="X6033">
        <v>2</v>
      </c>
      <c r="Y6033" t="s">
        <v>25745</v>
      </c>
      <c r="Z6033" t="s">
        <v>32363</v>
      </c>
      <c r="AB6033" t="str">
        <f>HYPERLINK("Melting_Curves/meltCurve_Q9NXF1_2_TEX10.pdf", "Melting_Curves/meltCurve_Q9NXF1_2_TEX10.pdf")</f>
        <v>Melting_Curves/meltCurve_Q9NXF1_2_TEX10.pdf</v>
      </c>
    </row>
    <row r="6034" spans="1:28" x14ac:dyDescent="0.25">
      <c r="A6034" t="s">
        <v>6038</v>
      </c>
      <c r="B6034">
        <v>0.99252571173614901</v>
      </c>
      <c r="C6034">
        <v>1.0100020191508401</v>
      </c>
      <c r="D6034">
        <v>0.95657744258601396</v>
      </c>
      <c r="E6034">
        <v>0.67469212733430795</v>
      </c>
      <c r="F6034">
        <v>0.207413445162449</v>
      </c>
      <c r="G6034">
        <v>0.11179044918903901</v>
      </c>
      <c r="H6034">
        <v>7.0441080561005995E-2</v>
      </c>
      <c r="I6034">
        <v>5.6292066687496797E-2</v>
      </c>
      <c r="J6034">
        <v>6.7324631393832601E-2</v>
      </c>
      <c r="K6034">
        <v>7.1891091474472604E-2</v>
      </c>
      <c r="L6034">
        <v>1668.8359660848901</v>
      </c>
      <c r="M6034">
        <v>33.042550114923998</v>
      </c>
      <c r="N6034">
        <v>50.732487926678701</v>
      </c>
      <c r="O6034">
        <v>50.321759466811301</v>
      </c>
      <c r="P6034">
        <v>-0.15288482037090201</v>
      </c>
      <c r="Q6034">
        <v>6.8667773462068302E-2</v>
      </c>
      <c r="R6034">
        <v>0.99943093456287102</v>
      </c>
      <c r="S6034" t="s">
        <v>12680</v>
      </c>
      <c r="T6034" t="s">
        <v>13290</v>
      </c>
      <c r="U6034" t="s">
        <v>13290</v>
      </c>
      <c r="V6034" t="s">
        <v>13290</v>
      </c>
      <c r="W6034" t="s">
        <v>19272</v>
      </c>
      <c r="X6034">
        <v>3</v>
      </c>
      <c r="Y6034" t="s">
        <v>25746</v>
      </c>
      <c r="Z6034" t="s">
        <v>32364</v>
      </c>
      <c r="AA6034">
        <v>0.39959076503652552</v>
      </c>
      <c r="AB6034" t="str">
        <f>HYPERLINK("Melting_Curves/meltCurve_Q9NXF7_DCAF16.pdf", "Melting_Curves/meltCurve_Q9NXF7_DCAF16.pdf")</f>
        <v>Melting_Curves/meltCurve_Q9NXF7_DCAF16.pdf</v>
      </c>
    </row>
    <row r="6035" spans="1:28" x14ac:dyDescent="0.25">
      <c r="A6035" t="s">
        <v>6039</v>
      </c>
      <c r="B6035">
        <v>0.99252571173614901</v>
      </c>
      <c r="C6035">
        <v>0.92435629823889898</v>
      </c>
      <c r="D6035">
        <v>0.81543224350037402</v>
      </c>
      <c r="E6035">
        <v>0.73235673495018405</v>
      </c>
      <c r="F6035">
        <v>0.60543127969812505</v>
      </c>
      <c r="G6035">
        <v>0.44053859649530502</v>
      </c>
      <c r="H6035">
        <v>0.183421455210729</v>
      </c>
      <c r="I6035">
        <v>0.132049773461618</v>
      </c>
      <c r="J6035">
        <v>8.49720712330473E-2</v>
      </c>
      <c r="K6035">
        <v>9.9484277208004498E-2</v>
      </c>
      <c r="L6035">
        <v>592.04873514166695</v>
      </c>
      <c r="M6035">
        <v>10.892573285658001</v>
      </c>
      <c r="N6035">
        <v>54.353431320881903</v>
      </c>
      <c r="O6035">
        <v>52.617734359230099</v>
      </c>
      <c r="P6035">
        <v>-5.17714698644786E-2</v>
      </c>
      <c r="Q6035">
        <v>0</v>
      </c>
      <c r="R6035">
        <v>0.98689473177774201</v>
      </c>
      <c r="S6035" t="s">
        <v>12681</v>
      </c>
      <c r="T6035" t="s">
        <v>13290</v>
      </c>
      <c r="U6035" t="s">
        <v>13290</v>
      </c>
      <c r="V6035" t="s">
        <v>13290</v>
      </c>
      <c r="W6035" t="s">
        <v>19273</v>
      </c>
      <c r="X6035">
        <v>2</v>
      </c>
      <c r="Y6035" t="s">
        <v>25747</v>
      </c>
      <c r="Z6035" t="s">
        <v>32365</v>
      </c>
      <c r="AA6035">
        <v>0.50562895338533587</v>
      </c>
      <c r="AB6035" t="str">
        <f>HYPERLINK("Melting_Curves/meltCurve_Q9NXF8_ZDHHC7.pdf", "Melting_Curves/meltCurve_Q9NXF8_ZDHHC7.pdf")</f>
        <v>Melting_Curves/meltCurve_Q9NXF8_ZDHHC7.pdf</v>
      </c>
    </row>
    <row r="6036" spans="1:28" x14ac:dyDescent="0.25">
      <c r="A6036" t="s">
        <v>6040</v>
      </c>
      <c r="B6036">
        <v>0.99252571173614901</v>
      </c>
      <c r="C6036">
        <v>1.02583686157586</v>
      </c>
      <c r="D6036">
        <v>0.94869866320635499</v>
      </c>
      <c r="E6036">
        <v>0.87900724698402899</v>
      </c>
      <c r="F6036">
        <v>0.70229102591776305</v>
      </c>
      <c r="G6036">
        <v>0.50599415155885197</v>
      </c>
      <c r="H6036">
        <v>0.476848040880337</v>
      </c>
      <c r="I6036">
        <v>0.54843446333831403</v>
      </c>
      <c r="J6036">
        <v>0.77441386540225698</v>
      </c>
      <c r="K6036">
        <v>0.66578751386960799</v>
      </c>
      <c r="L6036">
        <v>1772.9992328027799</v>
      </c>
      <c r="M6036">
        <v>34.848068008512598</v>
      </c>
      <c r="O6036">
        <v>50.711315339617698</v>
      </c>
      <c r="P6036">
        <v>-6.9167652347348202E-2</v>
      </c>
      <c r="Q6036">
        <v>0.59738720156277803</v>
      </c>
      <c r="R6036">
        <v>0.82116396657575996</v>
      </c>
      <c r="S6036" t="s">
        <v>12682</v>
      </c>
      <c r="T6036" t="s">
        <v>13290</v>
      </c>
      <c r="U6036" t="s">
        <v>13290</v>
      </c>
      <c r="V6036" t="s">
        <v>13290</v>
      </c>
      <c r="W6036" t="s">
        <v>19274</v>
      </c>
      <c r="X6036">
        <v>11</v>
      </c>
      <c r="Y6036" t="s">
        <v>25748</v>
      </c>
      <c r="Z6036" t="s">
        <v>32366</v>
      </c>
      <c r="AA6036">
        <v>0.74524360882458784</v>
      </c>
      <c r="AB6036" t="str">
        <f>HYPERLINK("Melting_Curves/meltCurve_Q9NXG6_P4HTM.pdf", "Melting_Curves/meltCurve_Q9NXG6_P4HTM.pdf")</f>
        <v>Melting_Curves/meltCurve_Q9NXG6_P4HTM.pdf</v>
      </c>
    </row>
    <row r="6037" spans="1:28" x14ac:dyDescent="0.25">
      <c r="A6037" t="s">
        <v>6041</v>
      </c>
      <c r="B6037">
        <v>0.99252571173614901</v>
      </c>
      <c r="C6037">
        <v>0.983966987479862</v>
      </c>
      <c r="D6037">
        <v>1.0419588662872501</v>
      </c>
      <c r="E6037">
        <v>1.2206079330492099</v>
      </c>
      <c r="F6037">
        <v>1.0755443453617199</v>
      </c>
      <c r="G6037">
        <v>0.86780125672366104</v>
      </c>
      <c r="H6037">
        <v>0.66909771665108198</v>
      </c>
      <c r="I6037">
        <v>0.16889158572950899</v>
      </c>
      <c r="J6037">
        <v>0.185178581508951</v>
      </c>
      <c r="K6037">
        <v>0.17843932523612199</v>
      </c>
      <c r="L6037">
        <v>15000</v>
      </c>
      <c r="M6037">
        <v>246.314692831434</v>
      </c>
      <c r="N6037">
        <v>61.006315726619597</v>
      </c>
      <c r="O6037">
        <v>60.893692542458901</v>
      </c>
      <c r="P6037">
        <v>-0.83175069491716203</v>
      </c>
      <c r="Q6037">
        <v>0.17750142454627901</v>
      </c>
      <c r="R6037">
        <v>0.95155498198190103</v>
      </c>
      <c r="S6037" t="s">
        <v>12683</v>
      </c>
      <c r="T6037" t="s">
        <v>13290</v>
      </c>
      <c r="U6037" t="s">
        <v>13290</v>
      </c>
      <c r="V6037" t="s">
        <v>13290</v>
      </c>
      <c r="W6037" t="s">
        <v>19275</v>
      </c>
      <c r="X6037">
        <v>31</v>
      </c>
      <c r="Y6037" t="s">
        <v>25749</v>
      </c>
      <c r="Z6037" t="s">
        <v>32367</v>
      </c>
      <c r="AA6037">
        <v>0.75053645465771879</v>
      </c>
      <c r="AB6037" t="str">
        <f>HYPERLINK("Melting_Curves/meltCurve_Q9NXH9_TRMT1.pdf", "Melting_Curves/meltCurve_Q9NXH9_TRMT1.pdf")</f>
        <v>Melting_Curves/meltCurve_Q9NXH9_TRMT1.pdf</v>
      </c>
    </row>
    <row r="6038" spans="1:28" x14ac:dyDescent="0.25">
      <c r="A6038" t="s">
        <v>6042</v>
      </c>
      <c r="B6038">
        <v>0.99252571173614901</v>
      </c>
      <c r="C6038">
        <v>1.1016168471735801</v>
      </c>
      <c r="D6038">
        <v>0.82069953283100705</v>
      </c>
      <c r="E6038">
        <v>0.70809462420917402</v>
      </c>
      <c r="F6038">
        <v>0.58748695262961903</v>
      </c>
      <c r="G6038">
        <v>0.34513128352584299</v>
      </c>
      <c r="H6038">
        <v>0.18532754631787501</v>
      </c>
      <c r="I6038">
        <v>0.18780142250509799</v>
      </c>
      <c r="J6038">
        <v>0</v>
      </c>
      <c r="K6038">
        <v>0.10579347895247899</v>
      </c>
      <c r="L6038">
        <v>662.24660061649899</v>
      </c>
      <c r="M6038">
        <v>12.285768734886</v>
      </c>
      <c r="N6038">
        <v>53.957931578886999</v>
      </c>
      <c r="O6038">
        <v>52.535126421430697</v>
      </c>
      <c r="P6038">
        <v>-5.8117624709551299E-2</v>
      </c>
      <c r="Q6038">
        <v>6.1525262942926902E-3</v>
      </c>
      <c r="R6038">
        <v>0.96963160630265099</v>
      </c>
      <c r="S6038" t="s">
        <v>12684</v>
      </c>
      <c r="T6038" t="s">
        <v>13290</v>
      </c>
      <c r="U6038" t="s">
        <v>13290</v>
      </c>
      <c r="V6038" t="s">
        <v>13290</v>
      </c>
      <c r="W6038" t="s">
        <v>19276</v>
      </c>
      <c r="X6038">
        <v>1</v>
      </c>
      <c r="Y6038" t="s">
        <v>25750</v>
      </c>
      <c r="Z6038" t="s">
        <v>32368</v>
      </c>
      <c r="AA6038">
        <v>0.49236241924988161</v>
      </c>
      <c r="AB6038" t="str">
        <f>HYPERLINK("Melting_Curves/meltCurve_Q9NXK8_2_FBXL12.pdf", "Melting_Curves/meltCurve_Q9NXK8_2_FBXL12.pdf")</f>
        <v>Melting_Curves/meltCurve_Q9NXK8_2_FBXL12.pdf</v>
      </c>
    </row>
    <row r="6039" spans="1:28" x14ac:dyDescent="0.25">
      <c r="A6039" t="s">
        <v>6043</v>
      </c>
      <c r="B6039">
        <v>0.99252571173614901</v>
      </c>
      <c r="C6039">
        <v>0.93687651915135295</v>
      </c>
      <c r="D6039">
        <v>0.57260555303822702</v>
      </c>
      <c r="E6039">
        <v>0.29751983499434698</v>
      </c>
      <c r="F6039">
        <v>0.242904219532696</v>
      </c>
      <c r="G6039">
        <v>0.13439589655464201</v>
      </c>
      <c r="H6039">
        <v>0.104733420729567</v>
      </c>
      <c r="I6039">
        <v>9.6662119236780794E-2</v>
      </c>
      <c r="J6039">
        <v>0.109238661599891</v>
      </c>
      <c r="K6039">
        <v>8.7190298875961803E-2</v>
      </c>
      <c r="L6039">
        <v>1008.89223583887</v>
      </c>
      <c r="M6039">
        <v>21.655679841544099</v>
      </c>
      <c r="N6039">
        <v>47.1411940412831</v>
      </c>
      <c r="O6039">
        <v>46.196081560152102</v>
      </c>
      <c r="P6039">
        <v>-0.10404495550679201</v>
      </c>
      <c r="Q6039">
        <v>0.11222288054700599</v>
      </c>
      <c r="R6039">
        <v>0.98912482536776403</v>
      </c>
      <c r="S6039" t="s">
        <v>12685</v>
      </c>
      <c r="T6039" t="s">
        <v>13290</v>
      </c>
      <c r="U6039" t="s">
        <v>13290</v>
      </c>
      <c r="V6039" t="s">
        <v>13290</v>
      </c>
      <c r="W6039" t="s">
        <v>19277</v>
      </c>
      <c r="X6039">
        <v>1</v>
      </c>
      <c r="Y6039" t="s">
        <v>25751</v>
      </c>
      <c r="Z6039" t="s">
        <v>32369</v>
      </c>
      <c r="AA6039">
        <v>0.31824601215830062</v>
      </c>
      <c r="AB6039" t="str">
        <f>HYPERLINK("Melting_Curves/meltCurve_Q9NXN4_2_GDAP2.pdf", "Melting_Curves/meltCurve_Q9NXN4_2_GDAP2.pdf")</f>
        <v>Melting_Curves/meltCurve_Q9NXN4_2_GDAP2.pdf</v>
      </c>
    </row>
    <row r="6040" spans="1:28" x14ac:dyDescent="0.25">
      <c r="A6040" t="s">
        <v>6044</v>
      </c>
      <c r="B6040">
        <v>0.99252571173614901</v>
      </c>
      <c r="C6040">
        <v>1.0362387690801</v>
      </c>
      <c r="D6040">
        <v>0.96795719486673504</v>
      </c>
      <c r="E6040">
        <v>0.867123190526634</v>
      </c>
      <c r="F6040">
        <v>0.60277783625183201</v>
      </c>
      <c r="G6040">
        <v>0.43603339552252002</v>
      </c>
      <c r="H6040">
        <v>0.40545633396473202</v>
      </c>
      <c r="I6040">
        <v>0.60355599278634398</v>
      </c>
      <c r="J6040">
        <v>1.10541313014347</v>
      </c>
      <c r="K6040">
        <v>1.3513212147712499</v>
      </c>
      <c r="L6040">
        <v>15000</v>
      </c>
      <c r="M6040">
        <v>222.69933403746401</v>
      </c>
      <c r="O6040">
        <v>67.349956026180195</v>
      </c>
      <c r="P6040">
        <v>0.29048525824606902</v>
      </c>
      <c r="Q6040">
        <v>1.35140058990231</v>
      </c>
      <c r="R6040">
        <v>-0.150507245149644</v>
      </c>
      <c r="S6040" t="s">
        <v>12686</v>
      </c>
      <c r="T6040" t="s">
        <v>13290</v>
      </c>
      <c r="U6040" t="s">
        <v>13290</v>
      </c>
      <c r="V6040" t="s">
        <v>13290</v>
      </c>
      <c r="W6040" t="s">
        <v>19278</v>
      </c>
      <c r="X6040">
        <v>17</v>
      </c>
      <c r="Y6040" t="s">
        <v>25752</v>
      </c>
      <c r="Z6040" t="s">
        <v>32370</v>
      </c>
      <c r="AA6040">
        <v>1.030925783494842</v>
      </c>
      <c r="AB6040" t="str">
        <f>HYPERLINK("Melting_Curves/meltCurve_Q9NXR1_2_NDE1.pdf", "Melting_Curves/meltCurve_Q9NXR1_2_NDE1.pdf")</f>
        <v>Melting_Curves/meltCurve_Q9NXR1_2_NDE1.pdf</v>
      </c>
    </row>
    <row r="6041" spans="1:28" x14ac:dyDescent="0.25">
      <c r="A6041" t="s">
        <v>6045</v>
      </c>
      <c r="B6041">
        <v>0.99252571173614901</v>
      </c>
      <c r="C6041">
        <v>0.954996092443825</v>
      </c>
      <c r="D6041">
        <v>0.600720745200925</v>
      </c>
      <c r="E6041">
        <v>0.24798826982823</v>
      </c>
      <c r="F6041">
        <v>0.158461352131953</v>
      </c>
      <c r="G6041">
        <v>8.0571574353930503E-2</v>
      </c>
      <c r="H6041">
        <v>6.21344453004187E-2</v>
      </c>
      <c r="I6041">
        <v>6.2021442842738403E-2</v>
      </c>
      <c r="J6041">
        <v>5.7231439758601198E-2</v>
      </c>
      <c r="K6041">
        <v>5.9371044263047699E-2</v>
      </c>
      <c r="L6041">
        <v>1174.8845160113599</v>
      </c>
      <c r="M6041">
        <v>25.140565317031001</v>
      </c>
      <c r="N6041">
        <v>47.012082621046503</v>
      </c>
      <c r="O6041">
        <v>46.439957811271498</v>
      </c>
      <c r="P6041">
        <v>-0.12594720591208</v>
      </c>
      <c r="Q6041">
        <v>6.9407562138318599E-2</v>
      </c>
      <c r="R6041">
        <v>0.99588509639176503</v>
      </c>
      <c r="S6041" t="s">
        <v>12687</v>
      </c>
      <c r="T6041" t="s">
        <v>13290</v>
      </c>
      <c r="U6041" t="s">
        <v>13290</v>
      </c>
      <c r="V6041" t="s">
        <v>13290</v>
      </c>
      <c r="W6041" t="s">
        <v>19279</v>
      </c>
      <c r="X6041">
        <v>3</v>
      </c>
      <c r="Y6041" t="s">
        <v>25753</v>
      </c>
      <c r="Z6041" t="s">
        <v>32371</v>
      </c>
      <c r="AA6041">
        <v>0.28650784337095481</v>
      </c>
      <c r="AB6041" t="str">
        <f>HYPERLINK("Melting_Curves/meltCurve_Q9NXR5_ANKRD10.pdf", "Melting_Curves/meltCurve_Q9NXR5_ANKRD10.pdf")</f>
        <v>Melting_Curves/meltCurve_Q9NXR5_ANKRD10.pdf</v>
      </c>
    </row>
    <row r="6042" spans="1:28" x14ac:dyDescent="0.25">
      <c r="A6042" t="s">
        <v>6046</v>
      </c>
      <c r="B6042">
        <v>0.99252571173614901</v>
      </c>
      <c r="C6042">
        <v>0.92836523507174895</v>
      </c>
      <c r="D6042">
        <v>1.05281942634932</v>
      </c>
      <c r="E6042">
        <v>1.1868758033659399</v>
      </c>
      <c r="F6042">
        <v>1.10515718515748</v>
      </c>
      <c r="G6042">
        <v>0.88069014891249098</v>
      </c>
      <c r="H6042">
        <v>0.81829226594411297</v>
      </c>
      <c r="I6042">
        <v>0.42814444294144899</v>
      </c>
      <c r="J6042">
        <v>0.206812896069971</v>
      </c>
      <c r="K6042">
        <v>0.21332481043128201</v>
      </c>
      <c r="L6042">
        <v>2381.9994008096601</v>
      </c>
      <c r="M6042">
        <v>38.034690553496603</v>
      </c>
      <c r="N6042">
        <v>63.342333567538702</v>
      </c>
      <c r="O6042">
        <v>62.454645874962303</v>
      </c>
      <c r="P6042">
        <v>-0.12566858393942501</v>
      </c>
      <c r="Q6042">
        <v>0.17458851955594501</v>
      </c>
      <c r="R6042">
        <v>0.94450558364452697</v>
      </c>
      <c r="S6042" t="s">
        <v>12688</v>
      </c>
      <c r="T6042" t="s">
        <v>13290</v>
      </c>
      <c r="U6042" t="s">
        <v>13290</v>
      </c>
      <c r="V6042" t="s">
        <v>13290</v>
      </c>
      <c r="W6042" t="s">
        <v>19280</v>
      </c>
      <c r="X6042">
        <v>14</v>
      </c>
      <c r="Y6042" t="s">
        <v>25754</v>
      </c>
      <c r="Z6042" t="s">
        <v>32372</v>
      </c>
      <c r="AA6042">
        <v>0.80001145043141109</v>
      </c>
      <c r="AB6042" t="str">
        <f>HYPERLINK("Melting_Curves/meltCurve_Q9NXR7_BRE.pdf", "Melting_Curves/meltCurve_Q9NXR7_BRE.pdf")</f>
        <v>Melting_Curves/meltCurve_Q9NXR7_BRE.pdf</v>
      </c>
    </row>
    <row r="6043" spans="1:28" x14ac:dyDescent="0.25">
      <c r="A6043" t="s">
        <v>6047</v>
      </c>
      <c r="B6043">
        <v>0.99252571173614901</v>
      </c>
      <c r="C6043">
        <v>0.84472940810275399</v>
      </c>
      <c r="D6043">
        <v>0.81271853242759995</v>
      </c>
      <c r="E6043">
        <v>0.65846560827532996</v>
      </c>
      <c r="F6043">
        <v>0.262196209974703</v>
      </c>
      <c r="G6043">
        <v>0.11786052669704</v>
      </c>
      <c r="H6043">
        <v>8.9961177070909698E-2</v>
      </c>
      <c r="I6043">
        <v>7.6640292065350696E-2</v>
      </c>
      <c r="J6043">
        <v>9.0142504605814897E-2</v>
      </c>
      <c r="K6043">
        <v>8.5648162936046393E-2</v>
      </c>
      <c r="L6043">
        <v>881.21639521104498</v>
      </c>
      <c r="M6043">
        <v>17.579922368201998</v>
      </c>
      <c r="N6043">
        <v>50.463246704488</v>
      </c>
      <c r="O6043">
        <v>49.491180141671798</v>
      </c>
      <c r="P6043">
        <v>-8.38900986698492E-2</v>
      </c>
      <c r="Q6043">
        <v>5.5378031800661497E-2</v>
      </c>
      <c r="R6043">
        <v>0.98038550866474405</v>
      </c>
      <c r="S6043" t="s">
        <v>12689</v>
      </c>
      <c r="T6043" t="s">
        <v>13290</v>
      </c>
      <c r="U6043" t="s">
        <v>13290</v>
      </c>
      <c r="V6043" t="s">
        <v>13290</v>
      </c>
      <c r="W6043" t="s">
        <v>19281</v>
      </c>
      <c r="X6043">
        <v>2</v>
      </c>
      <c r="Y6043" t="s">
        <v>25755</v>
      </c>
      <c r="Z6043" t="s">
        <v>32373</v>
      </c>
      <c r="AA6043">
        <v>0.39104176112292849</v>
      </c>
      <c r="AB6043" t="str">
        <f>HYPERLINK("Melting_Curves/meltCurve_Q9NXS2_QPCTL.pdf", "Melting_Curves/meltCurve_Q9NXS2_QPCTL.pdf")</f>
        <v>Melting_Curves/meltCurve_Q9NXS2_QPCTL.pdf</v>
      </c>
    </row>
    <row r="6044" spans="1:28" x14ac:dyDescent="0.25">
      <c r="A6044" t="s">
        <v>6048</v>
      </c>
      <c r="B6044">
        <v>0.99252571173614901</v>
      </c>
      <c r="C6044">
        <v>0.97656374104383303</v>
      </c>
      <c r="D6044">
        <v>0.93961355021181403</v>
      </c>
      <c r="E6044">
        <v>0.89427345423795901</v>
      </c>
      <c r="F6044">
        <v>0.54210114361302997</v>
      </c>
      <c r="G6044">
        <v>0.272614330260808</v>
      </c>
      <c r="H6044">
        <v>0.107952773437959</v>
      </c>
      <c r="I6044">
        <v>9.7179665015976802E-2</v>
      </c>
      <c r="J6044">
        <v>0.11224774882989801</v>
      </c>
      <c r="K6044">
        <v>0.103550618704763</v>
      </c>
      <c r="L6044">
        <v>1312.4438972304699</v>
      </c>
      <c r="M6044">
        <v>24.6338168335711</v>
      </c>
      <c r="N6044">
        <v>53.723455362246703</v>
      </c>
      <c r="O6044">
        <v>52.930762052487701</v>
      </c>
      <c r="P6044">
        <v>-0.10560675732645999</v>
      </c>
      <c r="Q6044">
        <v>9.2342727633455204E-2</v>
      </c>
      <c r="R6044">
        <v>0.99718837621010603</v>
      </c>
      <c r="S6044" t="s">
        <v>12690</v>
      </c>
      <c r="T6044" t="s">
        <v>13290</v>
      </c>
      <c r="U6044" t="s">
        <v>13290</v>
      </c>
      <c r="V6044" t="s">
        <v>13290</v>
      </c>
      <c r="W6044" t="s">
        <v>19282</v>
      </c>
      <c r="X6044">
        <v>7</v>
      </c>
      <c r="Y6044" t="s">
        <v>25756</v>
      </c>
      <c r="Z6044" t="s">
        <v>32374</v>
      </c>
      <c r="AA6044">
        <v>0.50268095331988361</v>
      </c>
      <c r="AB6044" t="str">
        <f>HYPERLINK("Melting_Curves/meltCurve_Q9NXU5_ARL15.pdf", "Melting_Curves/meltCurve_Q9NXU5_ARL15.pdf")</f>
        <v>Melting_Curves/meltCurve_Q9NXU5_ARL15.pdf</v>
      </c>
    </row>
    <row r="6045" spans="1:28" x14ac:dyDescent="0.25">
      <c r="A6045" t="s">
        <v>6049</v>
      </c>
      <c r="B6045">
        <v>0.99252571173614901</v>
      </c>
      <c r="C6045">
        <v>1.3676444298550601</v>
      </c>
      <c r="D6045">
        <v>1.05991605331559</v>
      </c>
      <c r="E6045">
        <v>1.0283304248199401</v>
      </c>
      <c r="F6045">
        <v>0.69103865086225003</v>
      </c>
      <c r="G6045">
        <v>0.64448575996621404</v>
      </c>
      <c r="H6045">
        <v>0.83184486435030702</v>
      </c>
      <c r="I6045">
        <v>0.78181596238949203</v>
      </c>
      <c r="J6045">
        <v>0.84071398285906995</v>
      </c>
      <c r="K6045">
        <v>0.60293113175011703</v>
      </c>
      <c r="L6045">
        <v>6735.69679350964</v>
      </c>
      <c r="M6045">
        <v>131.35166895684401</v>
      </c>
      <c r="O6045">
        <v>51.267992738714803</v>
      </c>
      <c r="P6045">
        <v>-0.17173717753610501</v>
      </c>
      <c r="Q6045">
        <v>0.73187643601468999</v>
      </c>
      <c r="R6045">
        <v>0.60860991801773801</v>
      </c>
      <c r="S6045" t="s">
        <v>12691</v>
      </c>
      <c r="T6045" t="s">
        <v>13290</v>
      </c>
      <c r="U6045" t="s">
        <v>13290</v>
      </c>
      <c r="V6045" t="s">
        <v>13290</v>
      </c>
      <c r="W6045" t="s">
        <v>19283</v>
      </c>
      <c r="X6045">
        <v>5</v>
      </c>
      <c r="Y6045" t="s">
        <v>25757</v>
      </c>
      <c r="Z6045" t="s">
        <v>32375</v>
      </c>
      <c r="AA6045">
        <v>0.83277721497207335</v>
      </c>
      <c r="AB6045" t="str">
        <f>HYPERLINK("Melting_Curves/meltCurve_Q9NXV2_KCTD5.pdf", "Melting_Curves/meltCurve_Q9NXV2_KCTD5.pdf")</f>
        <v>Melting_Curves/meltCurve_Q9NXV2_KCTD5.pdf</v>
      </c>
    </row>
    <row r="6046" spans="1:28" x14ac:dyDescent="0.25">
      <c r="A6046" t="s">
        <v>6050</v>
      </c>
      <c r="B6046">
        <v>0.99252571173614901</v>
      </c>
      <c r="C6046">
        <v>0.98330986306734003</v>
      </c>
      <c r="D6046">
        <v>1.0002125550815599</v>
      </c>
      <c r="E6046">
        <v>0.926930806027913</v>
      </c>
      <c r="F6046">
        <v>0.329303453673923</v>
      </c>
      <c r="G6046">
        <v>0.158096746908087</v>
      </c>
      <c r="H6046">
        <v>0.120920622873533</v>
      </c>
      <c r="I6046">
        <v>0.11936709270391301</v>
      </c>
      <c r="J6046">
        <v>0.143432659765686</v>
      </c>
      <c r="K6046">
        <v>0.15453664036839301</v>
      </c>
      <c r="L6046">
        <v>2641.62842620826</v>
      </c>
      <c r="M6046">
        <v>50.895019195815401</v>
      </c>
      <c r="N6046">
        <v>52.231652866734301</v>
      </c>
      <c r="O6046">
        <v>51.823532083182897</v>
      </c>
      <c r="P6046">
        <v>-0.21192267886006699</v>
      </c>
      <c r="Q6046">
        <v>0.13684497044755101</v>
      </c>
      <c r="R6046">
        <v>0.999128040761882</v>
      </c>
      <c r="S6046" t="s">
        <v>12692</v>
      </c>
      <c r="T6046" t="s">
        <v>13290</v>
      </c>
      <c r="U6046" t="s">
        <v>13290</v>
      </c>
      <c r="V6046" t="s">
        <v>13290</v>
      </c>
      <c r="W6046" t="s">
        <v>19284</v>
      </c>
      <c r="X6046">
        <v>14</v>
      </c>
      <c r="Y6046" t="s">
        <v>25758</v>
      </c>
      <c r="Z6046" t="s">
        <v>32376</v>
      </c>
      <c r="AA6046">
        <v>0.48123662862075378</v>
      </c>
      <c r="AB6046" t="str">
        <f>HYPERLINK("Melting_Curves/meltCurve_Q9NXV6_CDKN2AIP.pdf", "Melting_Curves/meltCurve_Q9NXV6_CDKN2AIP.pdf")</f>
        <v>Melting_Curves/meltCurve_Q9NXV6_CDKN2AIP.pdf</v>
      </c>
    </row>
    <row r="6047" spans="1:28" x14ac:dyDescent="0.25">
      <c r="A6047" t="s">
        <v>6051</v>
      </c>
      <c r="B6047">
        <v>0.99252571173614901</v>
      </c>
      <c r="C6047">
        <v>1.00712016375359</v>
      </c>
      <c r="D6047">
        <v>0.73972128968102202</v>
      </c>
      <c r="E6047">
        <v>0.36240291288628201</v>
      </c>
      <c r="F6047">
        <v>0.240894926832283</v>
      </c>
      <c r="G6047">
        <v>0.15672709015108899</v>
      </c>
      <c r="H6047">
        <v>0.12889148299054201</v>
      </c>
      <c r="I6047">
        <v>0.13503682518152099</v>
      </c>
      <c r="J6047">
        <v>0.11534313188534499</v>
      </c>
      <c r="K6047">
        <v>0.102965973211987</v>
      </c>
      <c r="L6047">
        <v>1175.75466543312</v>
      </c>
      <c r="M6047">
        <v>24.617415607874001</v>
      </c>
      <c r="N6047">
        <v>48.347407037801702</v>
      </c>
      <c r="O6047">
        <v>47.449271619379999</v>
      </c>
      <c r="P6047">
        <v>-0.112967203994182</v>
      </c>
      <c r="Q6047">
        <v>0.12904994180727999</v>
      </c>
      <c r="R6047">
        <v>0.99426230860871501</v>
      </c>
      <c r="S6047" t="s">
        <v>12693</v>
      </c>
      <c r="T6047" t="s">
        <v>13290</v>
      </c>
      <c r="U6047" t="s">
        <v>13290</v>
      </c>
      <c r="V6047" t="s">
        <v>13290</v>
      </c>
      <c r="W6047" t="s">
        <v>19285</v>
      </c>
      <c r="X6047">
        <v>8</v>
      </c>
      <c r="Y6047" t="s">
        <v>25759</v>
      </c>
      <c r="Z6047" t="s">
        <v>32377</v>
      </c>
      <c r="AA6047">
        <v>0.36233138135587961</v>
      </c>
      <c r="AB6047" t="str">
        <f>HYPERLINK("Melting_Curves/meltCurve_Q9NXW9_ALKBH4.pdf", "Melting_Curves/meltCurve_Q9NXW9_ALKBH4.pdf")</f>
        <v>Melting_Curves/meltCurve_Q9NXW9_ALKBH4.pdf</v>
      </c>
    </row>
    <row r="6048" spans="1:28" x14ac:dyDescent="0.25">
      <c r="A6048" t="s">
        <v>6052</v>
      </c>
      <c r="B6048">
        <v>0.99252571173614901</v>
      </c>
      <c r="C6048">
        <v>1.00582304789819</v>
      </c>
      <c r="D6048">
        <v>0.96675886301470304</v>
      </c>
      <c r="E6048">
        <v>0.82984379698823496</v>
      </c>
      <c r="F6048">
        <v>0.38047993475019198</v>
      </c>
      <c r="G6048">
        <v>0.191228836831702</v>
      </c>
      <c r="H6048">
        <v>0.11210327376107999</v>
      </c>
      <c r="I6048">
        <v>0.10549042044121899</v>
      </c>
      <c r="J6048">
        <v>0.124243613681509</v>
      </c>
      <c r="K6048">
        <v>0.12820450771146</v>
      </c>
      <c r="L6048">
        <v>1601.7938879005301</v>
      </c>
      <c r="M6048">
        <v>30.9187808937981</v>
      </c>
      <c r="N6048">
        <v>52.259986995214703</v>
      </c>
      <c r="O6048">
        <v>51.591232285080302</v>
      </c>
      <c r="P6048">
        <v>-0.13219805247376701</v>
      </c>
      <c r="Q6048">
        <v>0.117659786373292</v>
      </c>
      <c r="R6048">
        <v>0.99906430395907797</v>
      </c>
      <c r="S6048" t="s">
        <v>12694</v>
      </c>
      <c r="T6048" t="s">
        <v>13290</v>
      </c>
      <c r="U6048" t="s">
        <v>13290</v>
      </c>
      <c r="V6048" t="s">
        <v>13290</v>
      </c>
      <c r="W6048" t="s">
        <v>19286</v>
      </c>
      <c r="X6048">
        <v>21</v>
      </c>
      <c r="Y6048" t="s">
        <v>25760</v>
      </c>
      <c r="Z6048" t="s">
        <v>32378</v>
      </c>
      <c r="AA6048">
        <v>0.47019789171501702</v>
      </c>
      <c r="AB6048" t="str">
        <f>HYPERLINK("Melting_Curves/meltCurve_Q9NY27_PPP4R2.pdf", "Melting_Curves/meltCurve_Q9NY27_PPP4R2.pdf")</f>
        <v>Melting_Curves/meltCurve_Q9NY27_PPP4R2.pdf</v>
      </c>
    </row>
    <row r="6049" spans="1:28" x14ac:dyDescent="0.25">
      <c r="A6049" t="s">
        <v>6053</v>
      </c>
      <c r="B6049">
        <v>0.99252571173614901</v>
      </c>
      <c r="C6049">
        <v>0.82341595429899905</v>
      </c>
      <c r="D6049">
        <v>0.44425556924904502</v>
      </c>
      <c r="E6049">
        <v>0.25106771216343299</v>
      </c>
      <c r="F6049">
        <v>0.193689113361624</v>
      </c>
      <c r="G6049">
        <v>0.114230043813937</v>
      </c>
      <c r="H6049">
        <v>8.5031112434696701E-2</v>
      </c>
      <c r="I6049">
        <v>7.9184803961412795E-2</v>
      </c>
      <c r="J6049">
        <v>0.12632945055194</v>
      </c>
      <c r="K6049">
        <v>0.131747636285453</v>
      </c>
      <c r="L6049">
        <v>1051.91586248421</v>
      </c>
      <c r="M6049">
        <v>23.233937011986001</v>
      </c>
      <c r="N6049">
        <v>45.800501665993004</v>
      </c>
      <c r="O6049">
        <v>44.943585474338398</v>
      </c>
      <c r="P6049">
        <v>-0.11411951770682199</v>
      </c>
      <c r="Q6049">
        <v>0.117007734824656</v>
      </c>
      <c r="R6049">
        <v>0.99077903030195802</v>
      </c>
      <c r="S6049" t="s">
        <v>12695</v>
      </c>
      <c r="T6049" t="s">
        <v>13290</v>
      </c>
      <c r="U6049" t="s">
        <v>13290</v>
      </c>
      <c r="V6049" t="s">
        <v>13290</v>
      </c>
      <c r="W6049" t="s">
        <v>19287</v>
      </c>
      <c r="X6049">
        <v>3</v>
      </c>
      <c r="Y6049" t="s">
        <v>25761</v>
      </c>
      <c r="Z6049" t="s">
        <v>32379</v>
      </c>
      <c r="AA6049">
        <v>0.28246735172321219</v>
      </c>
      <c r="AB6049" t="str">
        <f>HYPERLINK("Melting_Curves/meltCurve_Q9NY61_AATF.pdf", "Melting_Curves/meltCurve_Q9NY61_AATF.pdf")</f>
        <v>Melting_Curves/meltCurve_Q9NY61_AATF.pdf</v>
      </c>
    </row>
    <row r="6050" spans="1:28" x14ac:dyDescent="0.25">
      <c r="A6050" t="s">
        <v>6054</v>
      </c>
      <c r="B6050">
        <v>0.99252571173614901</v>
      </c>
      <c r="C6050">
        <v>1.02728288780002</v>
      </c>
      <c r="D6050">
        <v>0.80453761587470096</v>
      </c>
      <c r="E6050">
        <v>0.53224206583647504</v>
      </c>
      <c r="F6050">
        <v>0.23920230465716999</v>
      </c>
      <c r="G6050">
        <v>0.15725500146642199</v>
      </c>
      <c r="H6050">
        <v>0.120952618579361</v>
      </c>
      <c r="I6050">
        <v>0.114818891246209</v>
      </c>
      <c r="J6050">
        <v>0.146830994809762</v>
      </c>
      <c r="K6050">
        <v>0.16937355932341899</v>
      </c>
      <c r="L6050">
        <v>1145.19362086199</v>
      </c>
      <c r="M6050">
        <v>23.361015053989799</v>
      </c>
      <c r="N6050">
        <v>49.6720200194952</v>
      </c>
      <c r="O6050">
        <v>48.6665920304266</v>
      </c>
      <c r="P6050">
        <v>-0.104193765615561</v>
      </c>
      <c r="Q6050">
        <v>0.131772951710876</v>
      </c>
      <c r="R6050">
        <v>0.99356851450684303</v>
      </c>
      <c r="S6050" t="s">
        <v>12696</v>
      </c>
      <c r="T6050" t="s">
        <v>13290</v>
      </c>
      <c r="U6050" t="s">
        <v>13290</v>
      </c>
      <c r="V6050" t="s">
        <v>13290</v>
      </c>
      <c r="W6050" t="s">
        <v>19288</v>
      </c>
      <c r="X6050">
        <v>12</v>
      </c>
      <c r="Y6050" t="s">
        <v>25762</v>
      </c>
      <c r="Z6050" t="s">
        <v>32380</v>
      </c>
      <c r="AA6050">
        <v>0.40171284201547369</v>
      </c>
      <c r="AB6050" t="str">
        <f>HYPERLINK("Melting_Curves/meltCurve_Q9NYB0_TERF2IP.pdf", "Melting_Curves/meltCurve_Q9NYB0_TERF2IP.pdf")</f>
        <v>Melting_Curves/meltCurve_Q9NYB0_TERF2IP.pdf</v>
      </c>
    </row>
    <row r="6051" spans="1:28" x14ac:dyDescent="0.25">
      <c r="A6051" t="s">
        <v>6055</v>
      </c>
      <c r="B6051">
        <v>0.99252571173614901</v>
      </c>
      <c r="C6051">
        <v>0.99116718096982803</v>
      </c>
      <c r="D6051">
        <v>0.96742956026826199</v>
      </c>
      <c r="E6051">
        <v>0.97902480754069299</v>
      </c>
      <c r="F6051">
        <v>0.55448260690354401</v>
      </c>
      <c r="G6051">
        <v>0.31296621477551201</v>
      </c>
      <c r="H6051">
        <v>0.26899904917836998</v>
      </c>
      <c r="I6051">
        <v>0.42548397811576899</v>
      </c>
      <c r="J6051">
        <v>0.88577088047644503</v>
      </c>
      <c r="K6051">
        <v>0.92478444981644603</v>
      </c>
      <c r="L6051">
        <v>12548.2844078742</v>
      </c>
      <c r="M6051">
        <v>250</v>
      </c>
      <c r="O6051">
        <v>50.1899256175627</v>
      </c>
      <c r="P6051">
        <v>-0.54532713757412299</v>
      </c>
      <c r="Q6051">
        <v>0.56208114508168405</v>
      </c>
      <c r="R6051">
        <v>0.51166117882071105</v>
      </c>
      <c r="S6051" t="s">
        <v>12697</v>
      </c>
      <c r="T6051" t="s">
        <v>13290</v>
      </c>
      <c r="U6051" t="s">
        <v>13290</v>
      </c>
      <c r="V6051" t="s">
        <v>13290</v>
      </c>
      <c r="W6051" t="s">
        <v>19289</v>
      </c>
      <c r="X6051">
        <v>35</v>
      </c>
      <c r="Y6051" t="s">
        <v>20464</v>
      </c>
      <c r="Z6051" t="s">
        <v>32381</v>
      </c>
      <c r="AA6051">
        <v>0.71091195920823436</v>
      </c>
      <c r="AB6051" t="str">
        <f>HYPERLINK("Melting_Curves/meltCurve_Q9NYF8_2_BCLAF1.pdf", "Melting_Curves/meltCurve_Q9NYF8_2_BCLAF1.pdf")</f>
        <v>Melting_Curves/meltCurve_Q9NYF8_2_BCLAF1.pdf</v>
      </c>
    </row>
    <row r="6052" spans="1:28" x14ac:dyDescent="0.25">
      <c r="A6052" t="s">
        <v>6056</v>
      </c>
      <c r="B6052">
        <v>0.99252571173614901</v>
      </c>
      <c r="C6052">
        <v>0.98501599707851495</v>
      </c>
      <c r="D6052">
        <v>0.88364381199215103</v>
      </c>
      <c r="E6052">
        <v>0.95171465425152402</v>
      </c>
      <c r="F6052">
        <v>0.515385899587815</v>
      </c>
      <c r="G6052">
        <v>0.24035675000429499</v>
      </c>
      <c r="H6052">
        <v>0.17301404672445</v>
      </c>
      <c r="I6052">
        <v>0.21998172297907001</v>
      </c>
      <c r="J6052">
        <v>0.25379154159379702</v>
      </c>
      <c r="K6052">
        <v>0.190964737137678</v>
      </c>
      <c r="L6052">
        <v>2265.4223152965801</v>
      </c>
      <c r="M6052">
        <v>43.041874763362102</v>
      </c>
      <c r="N6052">
        <v>53.3018560209632</v>
      </c>
      <c r="O6052">
        <v>52.519751936561597</v>
      </c>
      <c r="P6052">
        <v>-0.16213311448647399</v>
      </c>
      <c r="Q6052">
        <v>0.20866109339900901</v>
      </c>
      <c r="R6052">
        <v>0.98576740561371001</v>
      </c>
      <c r="S6052" t="s">
        <v>12698</v>
      </c>
      <c r="T6052" t="s">
        <v>13290</v>
      </c>
      <c r="U6052" t="s">
        <v>13290</v>
      </c>
      <c r="V6052" t="s">
        <v>13290</v>
      </c>
      <c r="W6052" t="s">
        <v>19290</v>
      </c>
      <c r="X6052">
        <v>1</v>
      </c>
      <c r="Y6052" t="s">
        <v>25763</v>
      </c>
      <c r="Z6052" t="s">
        <v>32382</v>
      </c>
      <c r="AA6052">
        <v>0.54437626296775621</v>
      </c>
      <c r="AB6052" t="str">
        <f>HYPERLINK("Melting_Curves/meltCurve_Q9NYG2_ZDHHC3.pdf", "Melting_Curves/meltCurve_Q9NYG2_ZDHHC3.pdf")</f>
        <v>Melting_Curves/meltCurve_Q9NYG2_ZDHHC3.pdf</v>
      </c>
    </row>
    <row r="6053" spans="1:28" x14ac:dyDescent="0.25">
      <c r="A6053" t="s">
        <v>6057</v>
      </c>
      <c r="B6053">
        <v>0.99252571173614901</v>
      </c>
      <c r="C6053">
        <v>0.94300491654333995</v>
      </c>
      <c r="D6053">
        <v>0.84903259825965305</v>
      </c>
      <c r="E6053">
        <v>0.74412606721933705</v>
      </c>
      <c r="F6053">
        <v>0.34990150586972502</v>
      </c>
      <c r="G6053">
        <v>0.25583383795133602</v>
      </c>
      <c r="H6053">
        <v>0.23209655885201899</v>
      </c>
      <c r="I6053">
        <v>0.18435194786605</v>
      </c>
      <c r="J6053">
        <v>0.19649160391974699</v>
      </c>
      <c r="K6053">
        <v>0.2183165149637</v>
      </c>
      <c r="L6053">
        <v>1086.65665043122</v>
      </c>
      <c r="M6053">
        <v>21.506834504058698</v>
      </c>
      <c r="N6053">
        <v>51.7016730225643</v>
      </c>
      <c r="O6053">
        <v>50.0953628485302</v>
      </c>
      <c r="P6053">
        <v>-8.6575822432095995E-2</v>
      </c>
      <c r="Q6053">
        <v>0.19338361576805599</v>
      </c>
      <c r="R6053">
        <v>0.98682476961783705</v>
      </c>
      <c r="S6053" t="s">
        <v>12699</v>
      </c>
      <c r="T6053" t="s">
        <v>13290</v>
      </c>
      <c r="U6053" t="s">
        <v>13290</v>
      </c>
      <c r="V6053" t="s">
        <v>13290</v>
      </c>
      <c r="W6053" t="s">
        <v>19291</v>
      </c>
      <c r="X6053">
        <v>1</v>
      </c>
      <c r="Y6053" t="s">
        <v>25764</v>
      </c>
      <c r="Z6053" t="s">
        <v>32383</v>
      </c>
      <c r="AA6053">
        <v>0.48614821431147198</v>
      </c>
      <c r="AB6053" t="str">
        <f>HYPERLINK("Melting_Curves/meltCurve_Q9NYG5_ANAPC11.pdf", "Melting_Curves/meltCurve_Q9NYG5_ANAPC11.pdf")</f>
        <v>Melting_Curves/meltCurve_Q9NYG5_ANAPC11.pdf</v>
      </c>
    </row>
    <row r="6054" spans="1:28" x14ac:dyDescent="0.25">
      <c r="A6054" t="s">
        <v>6058</v>
      </c>
      <c r="B6054">
        <v>0.99252571173614901</v>
      </c>
      <c r="C6054">
        <v>0.33430183938792601</v>
      </c>
      <c r="D6054">
        <v>0.323604553763017</v>
      </c>
      <c r="E6054">
        <v>0.24651354360868</v>
      </c>
      <c r="F6054">
        <v>0.15304566203523001</v>
      </c>
      <c r="G6054">
        <v>9.3714368512938795E-2</v>
      </c>
      <c r="H6054">
        <v>9.4126757038696995E-2</v>
      </c>
      <c r="I6054">
        <v>0.12350865786327</v>
      </c>
      <c r="J6054">
        <v>0.19693063102487801</v>
      </c>
      <c r="K6054">
        <v>0.164223475927608</v>
      </c>
      <c r="L6054">
        <v>3002.2646433824598</v>
      </c>
      <c r="M6054">
        <v>71.374979290064005</v>
      </c>
      <c r="N6054">
        <v>42.3165046251438</v>
      </c>
      <c r="O6054">
        <v>42.030284961390102</v>
      </c>
      <c r="P6054">
        <v>-0.350748145297754</v>
      </c>
      <c r="Q6054">
        <v>0.173825891761962</v>
      </c>
      <c r="R6054">
        <v>0.932047765339589</v>
      </c>
      <c r="S6054" t="s">
        <v>12700</v>
      </c>
      <c r="T6054" t="s">
        <v>13290</v>
      </c>
      <c r="U6054" t="s">
        <v>13290</v>
      </c>
      <c r="V6054" t="s">
        <v>13290</v>
      </c>
      <c r="W6054" t="s">
        <v>19292</v>
      </c>
      <c r="X6054">
        <v>2</v>
      </c>
      <c r="Y6054" t="s">
        <v>25765</v>
      </c>
      <c r="Z6054" t="s">
        <v>32384</v>
      </c>
      <c r="AA6054">
        <v>0.23175211489819361</v>
      </c>
      <c r="AB6054" t="str">
        <f>HYPERLINK("Melting_Curves/meltCurve_Q9NYH9_UTP6.pdf", "Melting_Curves/meltCurve_Q9NYH9_UTP6.pdf")</f>
        <v>Melting_Curves/meltCurve_Q9NYH9_UTP6.pdf</v>
      </c>
    </row>
    <row r="6055" spans="1:28" x14ac:dyDescent="0.25">
      <c r="A6055" t="s">
        <v>6059</v>
      </c>
      <c r="B6055">
        <v>0.99252571173614901</v>
      </c>
      <c r="C6055">
        <v>1.0700320588299701</v>
      </c>
      <c r="D6055">
        <v>0.966235791781761</v>
      </c>
      <c r="E6055">
        <v>0.98447526094681403</v>
      </c>
      <c r="F6055">
        <v>0.84716321966708696</v>
      </c>
      <c r="G6055">
        <v>0.76887538522020604</v>
      </c>
      <c r="H6055">
        <v>0.81439887813656098</v>
      </c>
      <c r="I6055">
        <v>1.08803354824206</v>
      </c>
      <c r="J6055">
        <v>1.5702354461286301</v>
      </c>
      <c r="K6055">
        <v>1.6910945934219801</v>
      </c>
      <c r="L6055">
        <v>15000</v>
      </c>
      <c r="M6055">
        <v>232.832378787213</v>
      </c>
      <c r="O6055">
        <v>64.419265769847101</v>
      </c>
      <c r="P6055">
        <v>0.451790970779896</v>
      </c>
      <c r="Q6055">
        <v>1.5</v>
      </c>
      <c r="R6055">
        <v>0.816200278607078</v>
      </c>
      <c r="S6055" t="s">
        <v>12701</v>
      </c>
      <c r="T6055" t="s">
        <v>13290</v>
      </c>
      <c r="U6055" t="s">
        <v>13290</v>
      </c>
      <c r="V6055" t="s">
        <v>13290</v>
      </c>
      <c r="W6055" t="s">
        <v>19293</v>
      </c>
      <c r="X6055">
        <v>5</v>
      </c>
      <c r="Y6055" t="s">
        <v>25766</v>
      </c>
      <c r="Z6055" t="s">
        <v>32385</v>
      </c>
      <c r="AA6055">
        <v>1.092867666832664</v>
      </c>
      <c r="AB6055" t="str">
        <f>HYPERLINK("Melting_Curves/meltCurve_Q9NYJ1_COA4.pdf", "Melting_Curves/meltCurve_Q9NYJ1_COA4.pdf")</f>
        <v>Melting_Curves/meltCurve_Q9NYJ1_COA4.pdf</v>
      </c>
    </row>
    <row r="6056" spans="1:28" x14ac:dyDescent="0.25">
      <c r="A6056" t="s">
        <v>6060</v>
      </c>
      <c r="B6056">
        <v>0.99252571173614901</v>
      </c>
      <c r="C6056">
        <v>1.0719628224904001</v>
      </c>
      <c r="D6056">
        <v>1.10930242448783</v>
      </c>
      <c r="E6056">
        <v>0.82354145274066404</v>
      </c>
      <c r="F6056">
        <v>0.22810387761961201</v>
      </c>
      <c r="G6056">
        <v>0.11534970250429399</v>
      </c>
      <c r="H6056">
        <v>7.8931506859508102E-2</v>
      </c>
      <c r="I6056">
        <v>8.1740055566473999E-2</v>
      </c>
      <c r="J6056">
        <v>9.9768006201399903E-2</v>
      </c>
      <c r="K6056">
        <v>0.109585279274478</v>
      </c>
      <c r="L6056">
        <v>2402.4233207091202</v>
      </c>
      <c r="M6056">
        <v>46.961639847256102</v>
      </c>
      <c r="N6056">
        <v>51.389945436450603</v>
      </c>
      <c r="O6056">
        <v>51.0646373200493</v>
      </c>
      <c r="P6056">
        <v>-0.207882648781506</v>
      </c>
      <c r="Q6056">
        <v>9.5820295851403101E-2</v>
      </c>
      <c r="R6056">
        <v>0.99004670795227201</v>
      </c>
      <c r="S6056" t="s">
        <v>12702</v>
      </c>
      <c r="T6056" t="s">
        <v>13290</v>
      </c>
      <c r="U6056" t="s">
        <v>13290</v>
      </c>
      <c r="V6056" t="s">
        <v>13290</v>
      </c>
      <c r="W6056" t="s">
        <v>19294</v>
      </c>
      <c r="X6056">
        <v>16</v>
      </c>
      <c r="Y6056" t="s">
        <v>25767</v>
      </c>
      <c r="Z6056" t="s">
        <v>32386</v>
      </c>
      <c r="AA6056">
        <v>0.4344035035956908</v>
      </c>
      <c r="AB6056" t="str">
        <f>HYPERLINK("Melting_Curves/meltCurve_Q9NYK5_MRPL39.pdf", "Melting_Curves/meltCurve_Q9NYK5_MRPL39.pdf")</f>
        <v>Melting_Curves/meltCurve_Q9NYK5_MRPL39.pdf</v>
      </c>
    </row>
    <row r="6057" spans="1:28" x14ac:dyDescent="0.25">
      <c r="A6057" t="s">
        <v>6061</v>
      </c>
      <c r="B6057">
        <v>0.99252571173614901</v>
      </c>
      <c r="C6057">
        <v>1.02504056883471</v>
      </c>
      <c r="D6057">
        <v>0.89886160880398303</v>
      </c>
      <c r="E6057">
        <v>0.76856582542271101</v>
      </c>
      <c r="F6057">
        <v>0.38433842265763701</v>
      </c>
      <c r="G6057">
        <v>0.15299339397423101</v>
      </c>
      <c r="H6057">
        <v>8.8715227750742406E-2</v>
      </c>
      <c r="I6057">
        <v>9.0301734694563998E-2</v>
      </c>
      <c r="J6057">
        <v>0.106095280216244</v>
      </c>
      <c r="K6057">
        <v>9.1208350733873206E-2</v>
      </c>
      <c r="L6057">
        <v>1268.5053387361399</v>
      </c>
      <c r="M6057">
        <v>24.580757834114301</v>
      </c>
      <c r="N6057">
        <v>51.9890426049475</v>
      </c>
      <c r="O6057">
        <v>51.2677091833921</v>
      </c>
      <c r="P6057">
        <v>-0.10992916365953199</v>
      </c>
      <c r="Q6057">
        <v>8.2902940172220094E-2</v>
      </c>
      <c r="R6057">
        <v>0.99631778610899802</v>
      </c>
      <c r="S6057" t="s">
        <v>12703</v>
      </c>
      <c r="T6057" t="s">
        <v>13290</v>
      </c>
      <c r="U6057" t="s">
        <v>13290</v>
      </c>
      <c r="V6057" t="s">
        <v>13290</v>
      </c>
      <c r="W6057" t="s">
        <v>19295</v>
      </c>
      <c r="X6057">
        <v>6</v>
      </c>
      <c r="Y6057" t="s">
        <v>25768</v>
      </c>
      <c r="Z6057" t="s">
        <v>32387</v>
      </c>
      <c r="AA6057">
        <v>0.44630256434712567</v>
      </c>
      <c r="AB6057" t="str">
        <f>HYPERLINK("Melting_Curves/meltCurve_Q9NYL2_2_MLTK.pdf", "Melting_Curves/meltCurve_Q9NYL2_2_MLTK.pdf")</f>
        <v>Melting_Curves/meltCurve_Q9NYL2_2_MLTK.pdf</v>
      </c>
    </row>
    <row r="6058" spans="1:28" x14ac:dyDescent="0.25">
      <c r="A6058" t="s">
        <v>6062</v>
      </c>
      <c r="B6058">
        <v>0.99252571173614901</v>
      </c>
      <c r="C6058">
        <v>0.86772489225357596</v>
      </c>
      <c r="D6058">
        <v>0.93227627102062305</v>
      </c>
      <c r="E6058">
        <v>0.47366965679177903</v>
      </c>
      <c r="F6058">
        <v>0.30046496463960998</v>
      </c>
      <c r="G6058">
        <v>0.18264336803709399</v>
      </c>
      <c r="H6058">
        <v>0.17263119632746701</v>
      </c>
      <c r="I6058">
        <v>0.22596108066312501</v>
      </c>
      <c r="J6058">
        <v>0.62261078549626203</v>
      </c>
      <c r="K6058">
        <v>1.08699878263398</v>
      </c>
      <c r="L6058">
        <v>2906.70647533691</v>
      </c>
      <c r="M6058">
        <v>61.221407416400503</v>
      </c>
      <c r="N6058">
        <v>49.080800712203498</v>
      </c>
      <c r="O6058">
        <v>47.428016409398502</v>
      </c>
      <c r="P6058">
        <v>-0.18322262944491599</v>
      </c>
      <c r="Q6058">
        <v>0.43223242474932899</v>
      </c>
      <c r="R6058">
        <v>0.42759912272266998</v>
      </c>
      <c r="S6058" t="s">
        <v>12704</v>
      </c>
      <c r="T6058" t="s">
        <v>13290</v>
      </c>
      <c r="U6058" t="s">
        <v>13290</v>
      </c>
      <c r="V6058" t="s">
        <v>13290</v>
      </c>
      <c r="W6058" t="s">
        <v>19296</v>
      </c>
      <c r="X6058">
        <v>9</v>
      </c>
      <c r="Y6058" t="s">
        <v>25769</v>
      </c>
      <c r="Z6058" t="s">
        <v>32388</v>
      </c>
      <c r="AA6058">
        <v>0.57456099088146073</v>
      </c>
      <c r="AB6058" t="str">
        <f>HYPERLINK("Melting_Curves/meltCurve_Q9NYL9_TMOD3.pdf", "Melting_Curves/meltCurve_Q9NYL9_TMOD3.pdf")</f>
        <v>Melting_Curves/meltCurve_Q9NYL9_TMOD3.pdf</v>
      </c>
    </row>
    <row r="6059" spans="1:28" x14ac:dyDescent="0.25">
      <c r="A6059" t="s">
        <v>6063</v>
      </c>
      <c r="B6059">
        <v>0.99252571173614901</v>
      </c>
      <c r="C6059">
        <v>0.99612509217452505</v>
      </c>
      <c r="D6059">
        <v>0.88473451279846105</v>
      </c>
      <c r="E6059">
        <v>0.82385210921462504</v>
      </c>
      <c r="F6059">
        <v>0.62742969980540397</v>
      </c>
      <c r="G6059">
        <v>0.54443767399260901</v>
      </c>
      <c r="H6059">
        <v>0.49374838502857599</v>
      </c>
      <c r="I6059">
        <v>0.67832251951422495</v>
      </c>
      <c r="J6059">
        <v>1.0042239452196</v>
      </c>
      <c r="K6059">
        <v>0.83879011961982997</v>
      </c>
      <c r="L6059">
        <v>1405.1621360896499</v>
      </c>
      <c r="M6059">
        <v>29.6801773616147</v>
      </c>
      <c r="O6059">
        <v>47.130085512897701</v>
      </c>
      <c r="P6059">
        <v>-4.6768742906142503E-2</v>
      </c>
      <c r="Q6059">
        <v>0.702939750203181</v>
      </c>
      <c r="R6059">
        <v>0.417802409109368</v>
      </c>
      <c r="S6059" t="s">
        <v>12705</v>
      </c>
      <c r="T6059" t="s">
        <v>13290</v>
      </c>
      <c r="U6059" t="s">
        <v>13290</v>
      </c>
      <c r="V6059" t="s">
        <v>13290</v>
      </c>
      <c r="W6059" t="s">
        <v>19297</v>
      </c>
      <c r="X6059">
        <v>2</v>
      </c>
      <c r="Y6059" t="s">
        <v>25770</v>
      </c>
      <c r="Z6059" t="s">
        <v>32389</v>
      </c>
      <c r="AA6059">
        <v>0.77747722077800674</v>
      </c>
      <c r="AB6059" t="str">
        <f>HYPERLINK("Melting_Curves/meltCurve_Q9NYM9_BET1L.pdf", "Melting_Curves/meltCurve_Q9NYM9_BET1L.pdf")</f>
        <v>Melting_Curves/meltCurve_Q9NYM9_BET1L.pdf</v>
      </c>
    </row>
    <row r="6060" spans="1:28" x14ac:dyDescent="0.25">
      <c r="A6060" t="s">
        <v>6064</v>
      </c>
      <c r="B6060">
        <v>0.99252571173614901</v>
      </c>
      <c r="C6060">
        <v>0.99966170358574402</v>
      </c>
      <c r="D6060">
        <v>0.86542161643985305</v>
      </c>
      <c r="E6060">
        <v>0.73207436836251505</v>
      </c>
      <c r="F6060">
        <v>0.42251404455837699</v>
      </c>
      <c r="G6060">
        <v>0.26906566298496298</v>
      </c>
      <c r="H6060">
        <v>0.16648806383754799</v>
      </c>
      <c r="I6060">
        <v>0.15994094267400899</v>
      </c>
      <c r="J6060">
        <v>0.21735142866333801</v>
      </c>
      <c r="K6060">
        <v>0.12665281960344399</v>
      </c>
      <c r="L6060">
        <v>961.02260440679004</v>
      </c>
      <c r="M6060">
        <v>18.7525564271665</v>
      </c>
      <c r="N6060">
        <v>52.230687803259798</v>
      </c>
      <c r="O6060">
        <v>50.675442384428997</v>
      </c>
      <c r="P6060">
        <v>-7.8759294804368093E-2</v>
      </c>
      <c r="Q6060">
        <v>0.148703892516932</v>
      </c>
      <c r="R6060">
        <v>0.99295596852226098</v>
      </c>
      <c r="S6060" t="s">
        <v>12706</v>
      </c>
      <c r="T6060" t="s">
        <v>13290</v>
      </c>
      <c r="U6060" t="s">
        <v>13290</v>
      </c>
      <c r="V6060" t="s">
        <v>13290</v>
      </c>
      <c r="W6060" t="s">
        <v>19298</v>
      </c>
      <c r="X6060">
        <v>2</v>
      </c>
      <c r="Y6060" t="s">
        <v>25771</v>
      </c>
      <c r="Z6060" t="s">
        <v>32390</v>
      </c>
      <c r="AA6060">
        <v>0.4811588537181925</v>
      </c>
      <c r="AB6060" t="str">
        <f>HYPERLINK("Melting_Curves/meltCurve_Q9NYP9_MIS18A.pdf", "Melting_Curves/meltCurve_Q9NYP9_MIS18A.pdf")</f>
        <v>Melting_Curves/meltCurve_Q9NYP9_MIS18A.pdf</v>
      </c>
    </row>
    <row r="6061" spans="1:28" x14ac:dyDescent="0.25">
      <c r="A6061" t="s">
        <v>6065</v>
      </c>
      <c r="B6061">
        <v>0.99252571173614901</v>
      </c>
      <c r="C6061">
        <v>0.932377098966366</v>
      </c>
      <c r="D6061">
        <v>1.04636027378659</v>
      </c>
      <c r="E6061">
        <v>1.0653041905193501</v>
      </c>
      <c r="F6061">
        <v>0.64244938182530797</v>
      </c>
      <c r="G6061">
        <v>0.34007321192165402</v>
      </c>
      <c r="H6061">
        <v>0.321740201020632</v>
      </c>
      <c r="I6061">
        <v>0.42568507851757398</v>
      </c>
      <c r="J6061">
        <v>0.60352769146168805</v>
      </c>
      <c r="K6061">
        <v>0.51369591817752902</v>
      </c>
      <c r="L6061">
        <v>13269.4917627051</v>
      </c>
      <c r="M6061">
        <v>250</v>
      </c>
      <c r="N6061">
        <v>53.535404312350302</v>
      </c>
      <c r="O6061">
        <v>53.074570474661499</v>
      </c>
      <c r="P6061">
        <v>-0.65833738672652398</v>
      </c>
      <c r="Q6061">
        <v>0.44094441685817598</v>
      </c>
      <c r="R6061">
        <v>0.91435795782517904</v>
      </c>
      <c r="S6061" t="s">
        <v>12707</v>
      </c>
      <c r="T6061" t="s">
        <v>13290</v>
      </c>
      <c r="U6061" t="s">
        <v>13290</v>
      </c>
      <c r="V6061" t="s">
        <v>13290</v>
      </c>
      <c r="W6061" t="s">
        <v>19299</v>
      </c>
      <c r="X6061">
        <v>3</v>
      </c>
      <c r="Y6061" t="s">
        <v>25772</v>
      </c>
      <c r="Z6061" t="s">
        <v>32391</v>
      </c>
      <c r="AA6061">
        <v>0.68470684331174247</v>
      </c>
      <c r="AB6061" t="str">
        <f>HYPERLINK("Melting_Curves/meltCurve_Q9NYQ6_CELSR1.pdf", "Melting_Curves/meltCurve_Q9NYQ6_CELSR1.pdf")</f>
        <v>Melting_Curves/meltCurve_Q9NYQ6_CELSR1.pdf</v>
      </c>
    </row>
    <row r="6062" spans="1:28" x14ac:dyDescent="0.25">
      <c r="A6062" t="s">
        <v>6066</v>
      </c>
      <c r="B6062">
        <v>0.99252571173614901</v>
      </c>
      <c r="C6062">
        <v>0.93181650809154404</v>
      </c>
      <c r="D6062">
        <v>0.98339738987296199</v>
      </c>
      <c r="E6062">
        <v>0.80170613873671803</v>
      </c>
      <c r="F6062">
        <v>0.40092626525345998</v>
      </c>
      <c r="G6062">
        <v>0.303636935673402</v>
      </c>
      <c r="H6062">
        <v>0.20488111110847401</v>
      </c>
      <c r="I6062">
        <v>0.244189808172912</v>
      </c>
      <c r="J6062">
        <v>0.30261425106294099</v>
      </c>
      <c r="K6062">
        <v>0.42691628941582299</v>
      </c>
      <c r="L6062">
        <v>1972.98214213607</v>
      </c>
      <c r="M6062">
        <v>38.839085382405798</v>
      </c>
      <c r="N6062">
        <v>51.987692236862301</v>
      </c>
      <c r="O6062">
        <v>50.664780936874998</v>
      </c>
      <c r="P6062">
        <v>-0.135247933625254</v>
      </c>
      <c r="Q6062">
        <v>0.29428927180537501</v>
      </c>
      <c r="R6062">
        <v>0.96570513876963604</v>
      </c>
      <c r="S6062" t="s">
        <v>12708</v>
      </c>
      <c r="T6062" t="s">
        <v>13290</v>
      </c>
      <c r="U6062" t="s">
        <v>13290</v>
      </c>
      <c r="V6062" t="s">
        <v>13290</v>
      </c>
      <c r="W6062" t="s">
        <v>19300</v>
      </c>
      <c r="X6062">
        <v>1</v>
      </c>
      <c r="Y6062" t="s">
        <v>25773</v>
      </c>
      <c r="Z6062" t="s">
        <v>32392</v>
      </c>
      <c r="AA6062">
        <v>0.55094841373930337</v>
      </c>
      <c r="AB6062" t="str">
        <f>HYPERLINK("Melting_Curves/meltCurve_Q9NYQ7_CELSR3.pdf", "Melting_Curves/meltCurve_Q9NYQ7_CELSR3.pdf")</f>
        <v>Melting_Curves/meltCurve_Q9NYQ7_CELSR3.pdf</v>
      </c>
    </row>
    <row r="6063" spans="1:28" x14ac:dyDescent="0.25">
      <c r="A6063" t="s">
        <v>6067</v>
      </c>
      <c r="B6063">
        <v>0.99252571173614901</v>
      </c>
      <c r="C6063">
        <v>0.91233730310132199</v>
      </c>
      <c r="D6063">
        <v>1.05009336696685</v>
      </c>
      <c r="E6063">
        <v>1.0302976913423101</v>
      </c>
      <c r="F6063">
        <v>0.34709602343342499</v>
      </c>
      <c r="G6063">
        <v>0.15981910624079201</v>
      </c>
      <c r="H6063">
        <v>0.12411416140586901</v>
      </c>
      <c r="I6063">
        <v>0.12694513072904001</v>
      </c>
      <c r="J6063">
        <v>0.17891376698608599</v>
      </c>
      <c r="K6063">
        <v>0.13923753599060101</v>
      </c>
      <c r="L6063">
        <v>13237.400470726399</v>
      </c>
      <c r="M6063">
        <v>250</v>
      </c>
      <c r="N6063">
        <v>53.022725802450303</v>
      </c>
      <c r="O6063">
        <v>52.946215916152603</v>
      </c>
      <c r="P6063">
        <v>-1.0083276191385799</v>
      </c>
      <c r="Q6063">
        <v>0.145805931210919</v>
      </c>
      <c r="R6063">
        <v>0.99191570918015504</v>
      </c>
      <c r="S6063" t="s">
        <v>12709</v>
      </c>
      <c r="T6063" t="s">
        <v>13290</v>
      </c>
      <c r="U6063" t="s">
        <v>13290</v>
      </c>
      <c r="V6063" t="s">
        <v>13290</v>
      </c>
      <c r="W6063" t="s">
        <v>19301</v>
      </c>
      <c r="X6063">
        <v>45</v>
      </c>
      <c r="Y6063" t="s">
        <v>25774</v>
      </c>
      <c r="Z6063" t="s">
        <v>32393</v>
      </c>
      <c r="AA6063">
        <v>0.51460107853455106</v>
      </c>
      <c r="AB6063" t="str">
        <f>HYPERLINK("Melting_Curves/meltCurve_Q9NYU2_2_UGGT1.pdf", "Melting_Curves/meltCurve_Q9NYU2_2_UGGT1.pdf")</f>
        <v>Melting_Curves/meltCurve_Q9NYU2_2_UGGT1.pdf</v>
      </c>
    </row>
    <row r="6064" spans="1:28" x14ac:dyDescent="0.25">
      <c r="A6064" t="s">
        <v>6068</v>
      </c>
      <c r="B6064">
        <v>0.99252571173614901</v>
      </c>
      <c r="C6064">
        <v>0.97117412171782402</v>
      </c>
      <c r="D6064">
        <v>0.95585052301692397</v>
      </c>
      <c r="E6064">
        <v>0.95263267707181398</v>
      </c>
      <c r="F6064">
        <v>0.59321566630131894</v>
      </c>
      <c r="G6064">
        <v>0.24151868511526001</v>
      </c>
      <c r="H6064">
        <v>0.115782019454983</v>
      </c>
      <c r="I6064">
        <v>0.107606586962991</v>
      </c>
      <c r="J6064">
        <v>0.11081786586308701</v>
      </c>
      <c r="K6064">
        <v>0.11607208222005</v>
      </c>
      <c r="L6064">
        <v>1717.1855219551301</v>
      </c>
      <c r="M6064">
        <v>32.065915053594999</v>
      </c>
      <c r="N6064">
        <v>53.960811363956601</v>
      </c>
      <c r="O6064">
        <v>53.3447546343425</v>
      </c>
      <c r="P6064">
        <v>-0.13406273004639399</v>
      </c>
      <c r="Q6064">
        <v>0.107899161371318</v>
      </c>
      <c r="R6064">
        <v>0.99799481616914099</v>
      </c>
      <c r="S6064" t="s">
        <v>12710</v>
      </c>
      <c r="T6064" t="s">
        <v>13290</v>
      </c>
      <c r="U6064" t="s">
        <v>13290</v>
      </c>
      <c r="V6064" t="s">
        <v>13290</v>
      </c>
      <c r="W6064" t="s">
        <v>19302</v>
      </c>
      <c r="X6064">
        <v>18</v>
      </c>
      <c r="Y6064" t="s">
        <v>25775</v>
      </c>
      <c r="Z6064" t="s">
        <v>32394</v>
      </c>
      <c r="AA6064">
        <v>0.51599987094388511</v>
      </c>
      <c r="AB6064" t="str">
        <f>HYPERLINK("Melting_Curves/meltCurve_Q9NYV4_2_CDK12.pdf", "Melting_Curves/meltCurve_Q9NYV4_2_CDK12.pdf")</f>
        <v>Melting_Curves/meltCurve_Q9NYV4_2_CDK12.pdf</v>
      </c>
    </row>
    <row r="6065" spans="1:28" x14ac:dyDescent="0.25">
      <c r="A6065" t="s">
        <v>6069</v>
      </c>
      <c r="B6065">
        <v>0.99252571173614901</v>
      </c>
      <c r="C6065">
        <v>0.999524808410998</v>
      </c>
      <c r="D6065">
        <v>0.89885584559498199</v>
      </c>
      <c r="E6065">
        <v>0.61736941580203297</v>
      </c>
      <c r="F6065">
        <v>0.228060536419469</v>
      </c>
      <c r="G6065">
        <v>0.14216960918424101</v>
      </c>
      <c r="H6065">
        <v>8.0107505102072499E-2</v>
      </c>
      <c r="I6065">
        <v>8.0446653332656701E-2</v>
      </c>
      <c r="J6065">
        <v>8.2353162542795302E-2</v>
      </c>
      <c r="K6065">
        <v>7.00590528464025E-2</v>
      </c>
      <c r="L6065">
        <v>1288.6040063256401</v>
      </c>
      <c r="M6065">
        <v>25.6977466745772</v>
      </c>
      <c r="N6065">
        <v>50.471466169737603</v>
      </c>
      <c r="O6065">
        <v>49.843924710930501</v>
      </c>
      <c r="P6065">
        <v>-0.11901299350299301</v>
      </c>
      <c r="Q6065">
        <v>7.6650027893259406E-2</v>
      </c>
      <c r="R6065">
        <v>0.99885927102269101</v>
      </c>
      <c r="S6065" t="s">
        <v>12711</v>
      </c>
      <c r="T6065" t="s">
        <v>13290</v>
      </c>
      <c r="U6065" t="s">
        <v>13290</v>
      </c>
      <c r="V6065" t="s">
        <v>13290</v>
      </c>
      <c r="W6065" t="s">
        <v>19303</v>
      </c>
      <c r="X6065">
        <v>10</v>
      </c>
      <c r="Y6065" t="s">
        <v>25776</v>
      </c>
      <c r="Z6065" t="s">
        <v>32395</v>
      </c>
      <c r="AA6065">
        <v>0.39670564618804449</v>
      </c>
      <c r="AB6065" t="str">
        <f>HYPERLINK("Melting_Curves/meltCurve_Q9NYY8_FASTKD2.pdf", "Melting_Curves/meltCurve_Q9NYY8_FASTKD2.pdf")</f>
        <v>Melting_Curves/meltCurve_Q9NYY8_FASTKD2.pdf</v>
      </c>
    </row>
    <row r="6066" spans="1:28" x14ac:dyDescent="0.25">
      <c r="A6066" t="s">
        <v>6070</v>
      </c>
      <c r="B6066">
        <v>0.99252571173614901</v>
      </c>
      <c r="C6066">
        <v>0.886712822095852</v>
      </c>
      <c r="D6066">
        <v>0.85366790969078998</v>
      </c>
      <c r="E6066">
        <v>0.79188353775009102</v>
      </c>
      <c r="F6066">
        <v>0.30254173138138102</v>
      </c>
      <c r="G6066">
        <v>0.13311983557009799</v>
      </c>
      <c r="H6066">
        <v>6.5087316758991404E-2</v>
      </c>
      <c r="I6066">
        <v>6.0259364277563003E-2</v>
      </c>
      <c r="J6066">
        <v>7.3161141499618304E-2</v>
      </c>
      <c r="K6066">
        <v>7.5111341611738505E-2</v>
      </c>
      <c r="L6066">
        <v>1338.0684307254701</v>
      </c>
      <c r="M6066">
        <v>26.042671168792101</v>
      </c>
      <c r="N6066">
        <v>51.632079476113297</v>
      </c>
      <c r="O6066">
        <v>51.079771208648502</v>
      </c>
      <c r="P6066">
        <v>-0.119849310452552</v>
      </c>
      <c r="Q6066">
        <v>5.9727098727451002E-2</v>
      </c>
      <c r="R6066">
        <v>0.98146834324431698</v>
      </c>
      <c r="S6066" t="s">
        <v>12712</v>
      </c>
      <c r="T6066" t="s">
        <v>13290</v>
      </c>
      <c r="U6066" t="s">
        <v>13290</v>
      </c>
      <c r="V6066" t="s">
        <v>13290</v>
      </c>
      <c r="W6066" t="s">
        <v>19304</v>
      </c>
      <c r="X6066">
        <v>10</v>
      </c>
      <c r="Y6066" t="s">
        <v>25777</v>
      </c>
      <c r="Z6066" t="s">
        <v>32396</v>
      </c>
      <c r="AA6066">
        <v>0.42427257815636682</v>
      </c>
      <c r="AB6066" t="str">
        <f>HYPERLINK("Melting_Curves/meltCurve_Q9NZ01_TECR.pdf", "Melting_Curves/meltCurve_Q9NZ01_TECR.pdf")</f>
        <v>Melting_Curves/meltCurve_Q9NZ01_TECR.pdf</v>
      </c>
    </row>
    <row r="6067" spans="1:28" x14ac:dyDescent="0.25">
      <c r="A6067" t="s">
        <v>6071</v>
      </c>
      <c r="B6067">
        <v>0.99252571173614901</v>
      </c>
      <c r="C6067">
        <v>0.956358069931178</v>
      </c>
      <c r="D6067">
        <v>0.76837186684039005</v>
      </c>
      <c r="E6067">
        <v>0.37982865031873603</v>
      </c>
      <c r="F6067">
        <v>0.249037318138258</v>
      </c>
      <c r="G6067">
        <v>0.111472986916014</v>
      </c>
      <c r="H6067">
        <v>9.5077869364814896E-2</v>
      </c>
      <c r="I6067">
        <v>0.1035536173379</v>
      </c>
      <c r="J6067">
        <v>0.13574222739446701</v>
      </c>
      <c r="K6067">
        <v>0.10259531678874199</v>
      </c>
      <c r="L6067">
        <v>1084.8669205031599</v>
      </c>
      <c r="M6067">
        <v>22.568670659680301</v>
      </c>
      <c r="N6067">
        <v>48.593307407409299</v>
      </c>
      <c r="O6067">
        <v>47.6969634940479</v>
      </c>
      <c r="P6067">
        <v>-0.10552364651467799</v>
      </c>
      <c r="Q6067">
        <v>0.10795702568076999</v>
      </c>
      <c r="R6067">
        <v>0.99591424811461304</v>
      </c>
      <c r="S6067" t="s">
        <v>12713</v>
      </c>
      <c r="T6067" t="s">
        <v>13290</v>
      </c>
      <c r="U6067" t="s">
        <v>13290</v>
      </c>
      <c r="V6067" t="s">
        <v>13290</v>
      </c>
      <c r="W6067" t="s">
        <v>19305</v>
      </c>
      <c r="X6067">
        <v>9</v>
      </c>
      <c r="Y6067" t="s">
        <v>25778</v>
      </c>
      <c r="Z6067" t="s">
        <v>32397</v>
      </c>
      <c r="AA6067">
        <v>0.35770079285109418</v>
      </c>
      <c r="AB6067" t="str">
        <f>HYPERLINK("Melting_Curves/meltCurve_Q9NZ08_ERAP1.pdf", "Melting_Curves/meltCurve_Q9NZ08_ERAP1.pdf")</f>
        <v>Melting_Curves/meltCurve_Q9NZ08_ERAP1.pdf</v>
      </c>
    </row>
    <row r="6068" spans="1:28" x14ac:dyDescent="0.25">
      <c r="A6068" t="s">
        <v>6072</v>
      </c>
      <c r="B6068">
        <v>0.99252571173614901</v>
      </c>
      <c r="C6068">
        <v>0.97847251615857</v>
      </c>
      <c r="D6068">
        <v>0.75072796565291799</v>
      </c>
      <c r="E6068">
        <v>0.34532488579287701</v>
      </c>
      <c r="F6068">
        <v>0.19360433689206899</v>
      </c>
      <c r="G6068">
        <v>0.115538456024617</v>
      </c>
      <c r="H6068">
        <v>8.3811807555273204E-2</v>
      </c>
      <c r="I6068">
        <v>7.1993945363816994E-2</v>
      </c>
      <c r="J6068">
        <v>8.9728511918226506E-2</v>
      </c>
      <c r="K6068">
        <v>9.5630018782393897E-2</v>
      </c>
      <c r="L6068">
        <v>1181.81401334254</v>
      </c>
      <c r="M6068">
        <v>24.693111135101599</v>
      </c>
      <c r="N6068">
        <v>48.249177057567898</v>
      </c>
      <c r="O6068">
        <v>47.5494942903576</v>
      </c>
      <c r="P6068">
        <v>-0.118108986217162</v>
      </c>
      <c r="Q6068">
        <v>9.0281785931123806E-2</v>
      </c>
      <c r="R6068">
        <v>0.99796485370480303</v>
      </c>
      <c r="S6068" t="s">
        <v>12714</v>
      </c>
      <c r="T6068" t="s">
        <v>13290</v>
      </c>
      <c r="U6068" t="s">
        <v>13290</v>
      </c>
      <c r="V6068" t="s">
        <v>13290</v>
      </c>
      <c r="W6068" t="s">
        <v>19306</v>
      </c>
      <c r="X6068">
        <v>5</v>
      </c>
      <c r="Y6068" t="s">
        <v>25779</v>
      </c>
      <c r="Z6068" t="s">
        <v>32398</v>
      </c>
      <c r="AA6068">
        <v>0.33688925588353402</v>
      </c>
      <c r="AB6068" t="str">
        <f>HYPERLINK("Melting_Curves/meltCurve_Q9NZ09_2_UBAP1.pdf", "Melting_Curves/meltCurve_Q9NZ09_2_UBAP1.pdf")</f>
        <v>Melting_Curves/meltCurve_Q9NZ09_2_UBAP1.pdf</v>
      </c>
    </row>
    <row r="6069" spans="1:28" x14ac:dyDescent="0.25">
      <c r="A6069" t="s">
        <v>6073</v>
      </c>
      <c r="B6069">
        <v>0.99252571173614901</v>
      </c>
      <c r="C6069">
        <v>0.86149421196550902</v>
      </c>
      <c r="D6069">
        <v>1.2289627728668799</v>
      </c>
      <c r="E6069">
        <v>1.0971141699552001</v>
      </c>
      <c r="F6069">
        <v>0.81390703835051803</v>
      </c>
      <c r="G6069">
        <v>0.52883247264042998</v>
      </c>
      <c r="H6069">
        <v>0.55491084384001199</v>
      </c>
      <c r="I6069">
        <v>0.80908483502912298</v>
      </c>
      <c r="J6069">
        <v>0.83754167491833098</v>
      </c>
      <c r="K6069">
        <v>0.25522434432691299</v>
      </c>
      <c r="L6069">
        <v>13308.122267734099</v>
      </c>
      <c r="M6069">
        <v>250</v>
      </c>
      <c r="O6069">
        <v>53.229082557189599</v>
      </c>
      <c r="P6069">
        <v>-0.47305104875222098</v>
      </c>
      <c r="Q6069">
        <v>0.59711882732186405</v>
      </c>
      <c r="R6069">
        <v>0.58778698591843104</v>
      </c>
      <c r="S6069" t="s">
        <v>12715</v>
      </c>
      <c r="T6069" t="s">
        <v>13290</v>
      </c>
      <c r="U6069" t="s">
        <v>13290</v>
      </c>
      <c r="V6069" t="s">
        <v>13290</v>
      </c>
      <c r="W6069" t="s">
        <v>19307</v>
      </c>
      <c r="X6069">
        <v>8</v>
      </c>
      <c r="Y6069" t="s">
        <v>25780</v>
      </c>
      <c r="Z6069" t="s">
        <v>32399</v>
      </c>
      <c r="AA6069">
        <v>0.77486048917490968</v>
      </c>
      <c r="AB6069" t="str">
        <f>HYPERLINK("Melting_Curves/meltCurve_Q9NZ32_ACTR10.pdf", "Melting_Curves/meltCurve_Q9NZ32_ACTR10.pdf")</f>
        <v>Melting_Curves/meltCurve_Q9NZ32_ACTR10.pdf</v>
      </c>
    </row>
    <row r="6070" spans="1:28" x14ac:dyDescent="0.25">
      <c r="A6070" t="s">
        <v>6074</v>
      </c>
      <c r="B6070">
        <v>0.99252571173614901</v>
      </c>
      <c r="C6070">
        <v>1.0449322287076099</v>
      </c>
      <c r="D6070">
        <v>1.0694054802837301</v>
      </c>
      <c r="E6070">
        <v>0.663645647505689</v>
      </c>
      <c r="F6070">
        <v>0.505187909521567</v>
      </c>
      <c r="G6070">
        <v>0.36974018912088602</v>
      </c>
      <c r="H6070">
        <v>0.28650655236248102</v>
      </c>
      <c r="I6070">
        <v>0.34431605014045902</v>
      </c>
      <c r="J6070">
        <v>0.54666468828283898</v>
      </c>
      <c r="K6070">
        <v>0.46369153614601399</v>
      </c>
      <c r="L6070">
        <v>3049.5831021895601</v>
      </c>
      <c r="M6070">
        <v>61.746766395188999</v>
      </c>
      <c r="N6070">
        <v>50.872925390298903</v>
      </c>
      <c r="O6070">
        <v>49.3368226328692</v>
      </c>
      <c r="P6070">
        <v>-0.18225898826036099</v>
      </c>
      <c r="Q6070">
        <v>0.41748683503055201</v>
      </c>
      <c r="R6070">
        <v>0.92887523641160596</v>
      </c>
      <c r="S6070" t="s">
        <v>12716</v>
      </c>
      <c r="T6070" t="s">
        <v>13290</v>
      </c>
      <c r="U6070" t="s">
        <v>13290</v>
      </c>
      <c r="V6070" t="s">
        <v>13290</v>
      </c>
      <c r="W6070" t="s">
        <v>19308</v>
      </c>
      <c r="X6070">
        <v>5</v>
      </c>
      <c r="Y6070" t="s">
        <v>25781</v>
      </c>
      <c r="Z6070" t="s">
        <v>32400</v>
      </c>
      <c r="AA6070">
        <v>0.60061576612670753</v>
      </c>
      <c r="AB6070" t="str">
        <f>HYPERLINK("Melting_Curves/meltCurve_Q9NZ43_USE1.pdf", "Melting_Curves/meltCurve_Q9NZ43_USE1.pdf")</f>
        <v>Melting_Curves/meltCurve_Q9NZ43_USE1.pdf</v>
      </c>
    </row>
    <row r="6071" spans="1:28" x14ac:dyDescent="0.25">
      <c r="A6071" t="s">
        <v>6075</v>
      </c>
      <c r="B6071">
        <v>0.99252571173614901</v>
      </c>
      <c r="C6071">
        <v>0.92235639198360897</v>
      </c>
      <c r="D6071">
        <v>0.85502698987319403</v>
      </c>
      <c r="E6071">
        <v>0.79534757366790099</v>
      </c>
      <c r="F6071">
        <v>0.735701185641914</v>
      </c>
      <c r="G6071">
        <v>0.62247992956227605</v>
      </c>
      <c r="H6071">
        <v>0.58027340370185498</v>
      </c>
      <c r="I6071">
        <v>0.75444778641717503</v>
      </c>
      <c r="J6071">
        <v>0.93540004870885096</v>
      </c>
      <c r="K6071">
        <v>0.73393342087740299</v>
      </c>
      <c r="L6071">
        <v>958.50196297923299</v>
      </c>
      <c r="M6071">
        <v>21.068184684855598</v>
      </c>
      <c r="O6071">
        <v>45.091304054880098</v>
      </c>
      <c r="P6071">
        <v>-3.1760922005236801E-2</v>
      </c>
      <c r="Q6071">
        <v>0.728101257184676</v>
      </c>
      <c r="R6071">
        <v>0.51623625718698096</v>
      </c>
      <c r="S6071" t="s">
        <v>12717</v>
      </c>
      <c r="T6071" t="s">
        <v>13290</v>
      </c>
      <c r="U6071" t="s">
        <v>13290</v>
      </c>
      <c r="V6071" t="s">
        <v>13290</v>
      </c>
      <c r="W6071" t="s">
        <v>19309</v>
      </c>
      <c r="X6071">
        <v>11</v>
      </c>
      <c r="Y6071" t="s">
        <v>25782</v>
      </c>
      <c r="Z6071" t="s">
        <v>32401</v>
      </c>
      <c r="AA6071">
        <v>0.78178396459120392</v>
      </c>
      <c r="AB6071" t="str">
        <f>HYPERLINK("Melting_Curves/meltCurve_Q9NZ45_CISD1.pdf", "Melting_Curves/meltCurve_Q9NZ45_CISD1.pdf")</f>
        <v>Melting_Curves/meltCurve_Q9NZ45_CISD1.pdf</v>
      </c>
    </row>
    <row r="6072" spans="1:28" x14ac:dyDescent="0.25">
      <c r="A6072" t="s">
        <v>6076</v>
      </c>
      <c r="B6072">
        <v>0.99252571173614901</v>
      </c>
      <c r="C6072">
        <v>0.98558072921377304</v>
      </c>
      <c r="D6072">
        <v>0.86850663266190498</v>
      </c>
      <c r="E6072">
        <v>0.76581428495227899</v>
      </c>
      <c r="F6072">
        <v>0.62332918984065699</v>
      </c>
      <c r="G6072">
        <v>0.45599893665556501</v>
      </c>
      <c r="H6072">
        <v>0.33584527714707502</v>
      </c>
      <c r="I6072">
        <v>0.41191773591309</v>
      </c>
      <c r="J6072">
        <v>0.64667073555673604</v>
      </c>
      <c r="K6072">
        <v>0.52540128394264096</v>
      </c>
      <c r="L6072">
        <v>1026.57266429007</v>
      </c>
      <c r="M6072">
        <v>20.649212918368502</v>
      </c>
      <c r="N6072">
        <v>57.8307213255165</v>
      </c>
      <c r="O6072">
        <v>49.255649324185498</v>
      </c>
      <c r="P6072">
        <v>-5.5294278546899299E-2</v>
      </c>
      <c r="Q6072">
        <v>0.47242987027150901</v>
      </c>
      <c r="R6072">
        <v>0.867561692289324</v>
      </c>
      <c r="S6072" t="s">
        <v>12718</v>
      </c>
      <c r="T6072" t="s">
        <v>13290</v>
      </c>
      <c r="U6072" t="s">
        <v>13290</v>
      </c>
      <c r="V6072" t="s">
        <v>13290</v>
      </c>
      <c r="W6072" t="s">
        <v>19310</v>
      </c>
      <c r="X6072">
        <v>7</v>
      </c>
      <c r="Y6072" t="s">
        <v>25783</v>
      </c>
      <c r="Z6072" t="s">
        <v>32402</v>
      </c>
      <c r="AA6072">
        <v>0.65017516777480522</v>
      </c>
      <c r="AB6072" t="str">
        <f>HYPERLINK("Melting_Curves/meltCurve_Q9NZ53_PODXL2.pdf", "Melting_Curves/meltCurve_Q9NZ53_PODXL2.pdf")</f>
        <v>Melting_Curves/meltCurve_Q9NZ53_PODXL2.pdf</v>
      </c>
    </row>
    <row r="6073" spans="1:28" x14ac:dyDescent="0.25">
      <c r="A6073" t="s">
        <v>6077</v>
      </c>
      <c r="B6073">
        <v>0.99252571173614901</v>
      </c>
      <c r="C6073">
        <v>1.05614875813915</v>
      </c>
      <c r="D6073">
        <v>0.94637796345076897</v>
      </c>
      <c r="E6073">
        <v>0.86262781090780905</v>
      </c>
      <c r="F6073">
        <v>0.79903644397026596</v>
      </c>
      <c r="G6073">
        <v>0.66691524852998496</v>
      </c>
      <c r="H6073">
        <v>0.68156826294537098</v>
      </c>
      <c r="I6073">
        <v>0.93033268115832601</v>
      </c>
      <c r="J6073">
        <v>1.395823965061</v>
      </c>
      <c r="K6073">
        <v>1.4753117085426</v>
      </c>
      <c r="L6073">
        <v>15000</v>
      </c>
      <c r="M6073">
        <v>225.15102244244099</v>
      </c>
      <c r="O6073">
        <v>66.616692250303998</v>
      </c>
      <c r="P6073">
        <v>0.40165106461773498</v>
      </c>
      <c r="Q6073">
        <v>1.4753549924536</v>
      </c>
      <c r="R6073">
        <v>0.57280621686412103</v>
      </c>
      <c r="S6073" t="s">
        <v>12719</v>
      </c>
      <c r="T6073" t="s">
        <v>13290</v>
      </c>
      <c r="U6073" t="s">
        <v>13290</v>
      </c>
      <c r="V6073" t="s">
        <v>13290</v>
      </c>
      <c r="W6073" t="s">
        <v>19311</v>
      </c>
      <c r="X6073">
        <v>29</v>
      </c>
      <c r="Y6073" t="s">
        <v>25784</v>
      </c>
      <c r="Z6073" t="s">
        <v>32403</v>
      </c>
      <c r="AA6073">
        <v>1.0534573482544549</v>
      </c>
      <c r="AB6073" t="str">
        <f>HYPERLINK("Melting_Curves/meltCurve_Q9NZ63_C9orf78.pdf", "Melting_Curves/meltCurve_Q9NZ63_C9orf78.pdf")</f>
        <v>Melting_Curves/meltCurve_Q9NZ63_C9orf78.pdf</v>
      </c>
    </row>
    <row r="6074" spans="1:28" x14ac:dyDescent="0.25">
      <c r="A6074" t="s">
        <v>6078</v>
      </c>
      <c r="B6074">
        <v>0.99252571173614901</v>
      </c>
      <c r="C6074">
        <v>1.0815508611342799</v>
      </c>
      <c r="D6074">
        <v>0.96753730242090097</v>
      </c>
      <c r="E6074">
        <v>0.60605751742084202</v>
      </c>
      <c r="F6074">
        <v>0.17974946487158899</v>
      </c>
      <c r="G6074">
        <v>7.9928749502380797E-2</v>
      </c>
      <c r="H6074">
        <v>4.6103265128826697E-2</v>
      </c>
      <c r="I6074">
        <v>4.5571393302616003E-2</v>
      </c>
      <c r="J6074">
        <v>6.0009071754516197E-2</v>
      </c>
      <c r="K6074">
        <v>5.9285910948157501E-2</v>
      </c>
      <c r="L6074">
        <v>1710.13808167407</v>
      </c>
      <c r="M6074">
        <v>34.112503383687901</v>
      </c>
      <c r="N6074">
        <v>50.304841427006998</v>
      </c>
      <c r="O6074">
        <v>49.9609337576888</v>
      </c>
      <c r="P6074">
        <v>-0.16127234705770199</v>
      </c>
      <c r="Q6074">
        <v>5.5209980948907202E-2</v>
      </c>
      <c r="R6074">
        <v>0.995721588826598</v>
      </c>
      <c r="S6074" t="s">
        <v>12720</v>
      </c>
      <c r="T6074" t="s">
        <v>13290</v>
      </c>
      <c r="U6074" t="s">
        <v>13290</v>
      </c>
      <c r="V6074" t="s">
        <v>13290</v>
      </c>
      <c r="W6074" t="s">
        <v>19312</v>
      </c>
      <c r="X6074">
        <v>3</v>
      </c>
      <c r="Y6074" t="s">
        <v>25785</v>
      </c>
      <c r="Z6074" t="s">
        <v>32404</v>
      </c>
      <c r="AA6074">
        <v>0.37882324572685622</v>
      </c>
      <c r="AB6074" t="str">
        <f>HYPERLINK("Melting_Curves/meltCurve_Q9NZA1_2_CLIC5.pdf", "Melting_Curves/meltCurve_Q9NZA1_2_CLIC5.pdf")</f>
        <v>Melting_Curves/meltCurve_Q9NZA1_2_CLIC5.pdf</v>
      </c>
    </row>
    <row r="6075" spans="1:28" x14ac:dyDescent="0.25">
      <c r="A6075" t="s">
        <v>6079</v>
      </c>
      <c r="B6075">
        <v>0.99252571173614901</v>
      </c>
      <c r="C6075">
        <v>1.07976114940076</v>
      </c>
      <c r="D6075">
        <v>0.97885800529223899</v>
      </c>
      <c r="E6075">
        <v>0.91605216832511205</v>
      </c>
      <c r="F6075">
        <v>0.73952638316393304</v>
      </c>
      <c r="G6075">
        <v>0.53045428612402301</v>
      </c>
      <c r="H6075">
        <v>0.44383196649747703</v>
      </c>
      <c r="I6075">
        <v>0.54532651776941998</v>
      </c>
      <c r="J6075">
        <v>0.83915800745083602</v>
      </c>
      <c r="K6075">
        <v>0.90895311804408996</v>
      </c>
      <c r="L6075">
        <v>2185.3483217890198</v>
      </c>
      <c r="M6075">
        <v>42.771038464192301</v>
      </c>
      <c r="O6075">
        <v>50.982799544913298</v>
      </c>
      <c r="P6075">
        <v>-7.1861365622528206E-2</v>
      </c>
      <c r="Q6075">
        <v>0.65736742256955305</v>
      </c>
      <c r="R6075">
        <v>0.59368718008646304</v>
      </c>
      <c r="S6075" t="s">
        <v>12721</v>
      </c>
      <c r="T6075" t="s">
        <v>13290</v>
      </c>
      <c r="U6075" t="s">
        <v>13290</v>
      </c>
      <c r="V6075" t="s">
        <v>13290</v>
      </c>
      <c r="W6075" t="s">
        <v>19313</v>
      </c>
      <c r="X6075">
        <v>5</v>
      </c>
      <c r="Y6075" t="s">
        <v>25786</v>
      </c>
      <c r="Z6075" t="s">
        <v>32405</v>
      </c>
      <c r="AA6075">
        <v>0.7851315517011922</v>
      </c>
      <c r="AB6075" t="str">
        <f>HYPERLINK("Melting_Curves/meltCurve_Q9NZB2_4_FAM120A.pdf", "Melting_Curves/meltCurve_Q9NZB2_4_FAM120A.pdf")</f>
        <v>Melting_Curves/meltCurve_Q9NZB2_4_FAM120A.pdf</v>
      </c>
    </row>
    <row r="6076" spans="1:28" x14ac:dyDescent="0.25">
      <c r="A6076" t="s">
        <v>6080</v>
      </c>
      <c r="B6076">
        <v>0.99252571173614901</v>
      </c>
      <c r="C6076">
        <v>1.0132319872734401</v>
      </c>
      <c r="D6076">
        <v>0.945726337362644</v>
      </c>
      <c r="E6076">
        <v>0.89240362764098802</v>
      </c>
      <c r="F6076">
        <v>0.68541567148720695</v>
      </c>
      <c r="G6076">
        <v>0.53191840252349798</v>
      </c>
      <c r="H6076">
        <v>0.39636327882612998</v>
      </c>
      <c r="I6076">
        <v>0.16115885420385201</v>
      </c>
      <c r="J6076">
        <v>0.144349739389352</v>
      </c>
      <c r="K6076">
        <v>0.142677074825453</v>
      </c>
      <c r="L6076">
        <v>716.10915904342596</v>
      </c>
      <c r="M6076">
        <v>12.5535408511449</v>
      </c>
      <c r="N6076">
        <v>57.309891345668397</v>
      </c>
      <c r="O6076">
        <v>55.654883440207897</v>
      </c>
      <c r="P6076">
        <v>-5.4808236405743602E-2</v>
      </c>
      <c r="Q6076">
        <v>2.8248694272340499E-2</v>
      </c>
      <c r="R6076">
        <v>0.99033496922609199</v>
      </c>
      <c r="S6076" t="s">
        <v>12722</v>
      </c>
      <c r="T6076" t="s">
        <v>13290</v>
      </c>
      <c r="U6076" t="s">
        <v>13290</v>
      </c>
      <c r="V6076" t="s">
        <v>13290</v>
      </c>
      <c r="W6076" t="s">
        <v>19314</v>
      </c>
      <c r="X6076">
        <v>5</v>
      </c>
      <c r="Y6076" t="s">
        <v>25787</v>
      </c>
      <c r="Z6076" t="s">
        <v>32406</v>
      </c>
      <c r="AA6076">
        <v>0.59653008759940263</v>
      </c>
      <c r="AB6076" t="str">
        <f>HYPERLINK("Melting_Curves/meltCurve_Q9NZC3_GDE1.pdf", "Melting_Curves/meltCurve_Q9NZC3_GDE1.pdf")</f>
        <v>Melting_Curves/meltCurve_Q9NZC3_GDE1.pdf</v>
      </c>
    </row>
    <row r="6077" spans="1:28" x14ac:dyDescent="0.25">
      <c r="A6077" t="s">
        <v>6081</v>
      </c>
      <c r="B6077">
        <v>0.99252571173614901</v>
      </c>
      <c r="C6077">
        <v>0.88521358903648595</v>
      </c>
      <c r="D6077">
        <v>0.56742490650265098</v>
      </c>
      <c r="E6077">
        <v>0.27008225005128</v>
      </c>
      <c r="F6077">
        <v>0.15517401265630801</v>
      </c>
      <c r="G6077">
        <v>0.120584154394745</v>
      </c>
      <c r="H6077">
        <v>7.8157976429742496E-2</v>
      </c>
      <c r="I6077">
        <v>5.7550796566908501E-2</v>
      </c>
      <c r="J6077">
        <v>3.8223032314670398E-2</v>
      </c>
      <c r="K6077">
        <v>3.68684448618826E-2</v>
      </c>
      <c r="L6077">
        <v>947.47121607329495</v>
      </c>
      <c r="M6077">
        <v>20.3369082553337</v>
      </c>
      <c r="N6077">
        <v>46.890506887730403</v>
      </c>
      <c r="O6077">
        <v>46.145305251790901</v>
      </c>
      <c r="P6077">
        <v>-0.103423918699768</v>
      </c>
      <c r="Q6077">
        <v>6.1335610167379997E-2</v>
      </c>
      <c r="R6077">
        <v>0.99576218388670601</v>
      </c>
      <c r="S6077" t="s">
        <v>12723</v>
      </c>
      <c r="T6077" t="s">
        <v>13290</v>
      </c>
      <c r="U6077" t="s">
        <v>13290</v>
      </c>
      <c r="V6077" t="s">
        <v>13290</v>
      </c>
      <c r="W6077" t="s">
        <v>19315</v>
      </c>
      <c r="X6077">
        <v>4</v>
      </c>
      <c r="Y6077" t="s">
        <v>25788</v>
      </c>
      <c r="Z6077" t="s">
        <v>32407</v>
      </c>
      <c r="AA6077">
        <v>0.28097576504604932</v>
      </c>
      <c r="AB6077" t="str">
        <f>HYPERLINK("Melting_Curves/meltCurve_Q9NZC7_WWOX.pdf", "Melting_Curves/meltCurve_Q9NZC7_WWOX.pdf")</f>
        <v>Melting_Curves/meltCurve_Q9NZC7_WWOX.pdf</v>
      </c>
    </row>
    <row r="6078" spans="1:28" x14ac:dyDescent="0.25">
      <c r="A6078" t="s">
        <v>6082</v>
      </c>
      <c r="B6078">
        <v>0.99252571173614901</v>
      </c>
      <c r="C6078">
        <v>1.1470058835711601</v>
      </c>
      <c r="D6078">
        <v>1.00856725820505</v>
      </c>
      <c r="E6078">
        <v>0.85000807540838896</v>
      </c>
      <c r="F6078">
        <v>0.34018561930188002</v>
      </c>
      <c r="G6078">
        <v>0.11273519657193599</v>
      </c>
      <c r="H6078">
        <v>7.3166590743853094E-2</v>
      </c>
      <c r="I6078">
        <v>0.10002944169594701</v>
      </c>
      <c r="J6078">
        <v>6.2358123088243102E-2</v>
      </c>
      <c r="K6078">
        <v>5.8400682759243303E-2</v>
      </c>
      <c r="L6078">
        <v>1892.0967746305901</v>
      </c>
      <c r="M6078">
        <v>36.4726306336877</v>
      </c>
      <c r="N6078">
        <v>52.101609036144303</v>
      </c>
      <c r="O6078">
        <v>51.721952949261002</v>
      </c>
      <c r="P6078">
        <v>-0.163476377150301</v>
      </c>
      <c r="Q6078">
        <v>7.2697301608552103E-2</v>
      </c>
      <c r="R6078">
        <v>0.98806903949531599</v>
      </c>
      <c r="S6078" t="s">
        <v>12724</v>
      </c>
      <c r="T6078" t="s">
        <v>13290</v>
      </c>
      <c r="U6078" t="s">
        <v>13290</v>
      </c>
      <c r="V6078" t="s">
        <v>13290</v>
      </c>
      <c r="W6078" t="s">
        <v>19316</v>
      </c>
      <c r="X6078">
        <v>7</v>
      </c>
      <c r="Y6078" t="s">
        <v>25789</v>
      </c>
      <c r="Z6078" t="s">
        <v>32408</v>
      </c>
      <c r="AA6078">
        <v>0.44382315537330608</v>
      </c>
      <c r="AB6078" t="str">
        <f>HYPERLINK("Melting_Curves/meltCurve_Q9NZD2_GLTP.pdf", "Melting_Curves/meltCurve_Q9NZD2_GLTP.pdf")</f>
        <v>Melting_Curves/meltCurve_Q9NZD2_GLTP.pdf</v>
      </c>
    </row>
    <row r="6079" spans="1:28" x14ac:dyDescent="0.25">
      <c r="A6079" t="s">
        <v>6083</v>
      </c>
      <c r="B6079">
        <v>0.99252571173614901</v>
      </c>
      <c r="C6079">
        <v>0.94948930777343998</v>
      </c>
      <c r="D6079">
        <v>0.87067380344505196</v>
      </c>
      <c r="E6079">
        <v>0.53804967609305698</v>
      </c>
      <c r="F6079">
        <v>0.21626189127000001</v>
      </c>
      <c r="G6079">
        <v>0.128362134124062</v>
      </c>
      <c r="H6079">
        <v>9.7935182164667997E-2</v>
      </c>
      <c r="I6079">
        <v>9.1921907641942302E-2</v>
      </c>
      <c r="J6079">
        <v>0.112900701381544</v>
      </c>
      <c r="K6079">
        <v>8.36815545659685E-2</v>
      </c>
      <c r="L6079">
        <v>1196.6482203836999</v>
      </c>
      <c r="M6079">
        <v>24.205112575413001</v>
      </c>
      <c r="N6079">
        <v>49.8509078643796</v>
      </c>
      <c r="O6079">
        <v>49.104095733222898</v>
      </c>
      <c r="P6079">
        <v>-0.11203750594680099</v>
      </c>
      <c r="Q6079">
        <v>9.0867055030314503E-2</v>
      </c>
      <c r="R6079">
        <v>0.99881693343645706</v>
      </c>
      <c r="S6079" t="s">
        <v>12725</v>
      </c>
      <c r="T6079" t="s">
        <v>13290</v>
      </c>
      <c r="U6079" t="s">
        <v>13290</v>
      </c>
      <c r="V6079" t="s">
        <v>13290</v>
      </c>
      <c r="W6079" t="s">
        <v>19317</v>
      </c>
      <c r="X6079">
        <v>2</v>
      </c>
      <c r="Y6079" t="s">
        <v>25790</v>
      </c>
      <c r="Z6079" t="s">
        <v>32409</v>
      </c>
      <c r="AA6079">
        <v>0.38550762693050789</v>
      </c>
      <c r="AB6079" t="str">
        <f>HYPERLINK("Melting_Curves/meltCurve_Q9NZD8_2_SPG21.pdf", "Melting_Curves/meltCurve_Q9NZD8_2_SPG21.pdf")</f>
        <v>Melting_Curves/meltCurve_Q9NZD8_2_SPG21.pdf</v>
      </c>
    </row>
    <row r="6080" spans="1:28" x14ac:dyDescent="0.25">
      <c r="A6080" t="s">
        <v>6084</v>
      </c>
      <c r="B6080">
        <v>0.99252571173614901</v>
      </c>
      <c r="C6080">
        <v>0.87226600939069399</v>
      </c>
      <c r="D6080">
        <v>0.59271549688317604</v>
      </c>
      <c r="E6080">
        <v>0.46991125303956099</v>
      </c>
      <c r="F6080">
        <v>0.37092986373375297</v>
      </c>
      <c r="G6080">
        <v>0.249856177839862</v>
      </c>
      <c r="H6080">
        <v>0.242494015358272</v>
      </c>
      <c r="I6080">
        <v>0.26946895826095901</v>
      </c>
      <c r="J6080">
        <v>0.36662888841045899</v>
      </c>
      <c r="K6080">
        <v>0.23335134407011299</v>
      </c>
      <c r="L6080">
        <v>841.14236078265503</v>
      </c>
      <c r="M6080">
        <v>18.245703639515199</v>
      </c>
      <c r="N6080">
        <v>48.199903435352503</v>
      </c>
      <c r="O6080">
        <v>45.557767745749203</v>
      </c>
      <c r="P6080">
        <v>-7.2681947494759799E-2</v>
      </c>
      <c r="Q6080">
        <v>0.27411461708049401</v>
      </c>
      <c r="R6080">
        <v>0.96839804804358298</v>
      </c>
      <c r="S6080" t="s">
        <v>12726</v>
      </c>
      <c r="T6080" t="s">
        <v>13290</v>
      </c>
      <c r="U6080" t="s">
        <v>13290</v>
      </c>
      <c r="V6080" t="s">
        <v>13290</v>
      </c>
      <c r="W6080" t="s">
        <v>19318</v>
      </c>
      <c r="X6080">
        <v>4</v>
      </c>
      <c r="Y6080" t="s">
        <v>25791</v>
      </c>
      <c r="Z6080" t="s">
        <v>32410</v>
      </c>
      <c r="AA6080">
        <v>0.43545186228235522</v>
      </c>
      <c r="AB6080" t="str">
        <f>HYPERLINK("Melting_Curves/meltCurve_Q9NZI7_4_UBP1.pdf", "Melting_Curves/meltCurve_Q9NZI7_4_UBP1.pdf")</f>
        <v>Melting_Curves/meltCurve_Q9NZI7_4_UBP1.pdf</v>
      </c>
    </row>
    <row r="6081" spans="1:28" x14ac:dyDescent="0.25">
      <c r="A6081" t="s">
        <v>6085</v>
      </c>
      <c r="B6081">
        <v>0.99252571173614901</v>
      </c>
      <c r="C6081">
        <v>0.96974900647663198</v>
      </c>
      <c r="D6081">
        <v>0.74002165487859894</v>
      </c>
      <c r="E6081">
        <v>0.32900829808145399</v>
      </c>
      <c r="F6081">
        <v>0.225881641725692</v>
      </c>
      <c r="G6081">
        <v>0.18063643703155699</v>
      </c>
      <c r="H6081">
        <v>0.150435747244486</v>
      </c>
      <c r="I6081">
        <v>0.16354991912962299</v>
      </c>
      <c r="J6081">
        <v>0.18789126174586601</v>
      </c>
      <c r="K6081">
        <v>0.219599728225012</v>
      </c>
      <c r="L6081">
        <v>1434.62761530222</v>
      </c>
      <c r="M6081">
        <v>30.416499559929498</v>
      </c>
      <c r="N6081">
        <v>47.879757218867901</v>
      </c>
      <c r="O6081">
        <v>46.9636304802507</v>
      </c>
      <c r="P6081">
        <v>-0.132405847711944</v>
      </c>
      <c r="Q6081">
        <v>0.18225686158893101</v>
      </c>
      <c r="R6081">
        <v>0.99689145916719601</v>
      </c>
      <c r="S6081" t="s">
        <v>12727</v>
      </c>
      <c r="T6081" t="s">
        <v>13290</v>
      </c>
      <c r="U6081" t="s">
        <v>13290</v>
      </c>
      <c r="V6081" t="s">
        <v>13290</v>
      </c>
      <c r="W6081" t="s">
        <v>19319</v>
      </c>
      <c r="X6081">
        <v>6</v>
      </c>
      <c r="Y6081" t="s">
        <v>25792</v>
      </c>
      <c r="Z6081" t="s">
        <v>32411</v>
      </c>
      <c r="AA6081">
        <v>0.38235225332347839</v>
      </c>
      <c r="AB6081" t="str">
        <f>HYPERLINK("Melting_Curves/meltCurve_Q9NZI8_IGF2BP1.pdf", "Melting_Curves/meltCurve_Q9NZI8_IGF2BP1.pdf")</f>
        <v>Melting_Curves/meltCurve_Q9NZI8_IGF2BP1.pdf</v>
      </c>
    </row>
    <row r="6082" spans="1:28" x14ac:dyDescent="0.25">
      <c r="A6082" t="s">
        <v>6086</v>
      </c>
      <c r="B6082">
        <v>0.99252571173614901</v>
      </c>
      <c r="C6082">
        <v>0.82983506032512599</v>
      </c>
      <c r="D6082">
        <v>1.02524881947783</v>
      </c>
      <c r="E6082">
        <v>1.0805445122386099</v>
      </c>
      <c r="F6082">
        <v>0.42932950887959698</v>
      </c>
      <c r="G6082">
        <v>0.33930733537548402</v>
      </c>
      <c r="H6082">
        <v>0.17192290421694101</v>
      </c>
      <c r="I6082">
        <v>0.10913648282681</v>
      </c>
      <c r="J6082">
        <v>7.1611521162352199E-2</v>
      </c>
      <c r="K6082">
        <v>5.2400682907340998E-2</v>
      </c>
      <c r="L6082">
        <v>4032.2122058980099</v>
      </c>
      <c r="M6082">
        <v>76.463558716068704</v>
      </c>
      <c r="N6082">
        <v>52.975501486984598</v>
      </c>
      <c r="O6082">
        <v>52.697740075663297</v>
      </c>
      <c r="P6082">
        <v>-0.30932504894195101</v>
      </c>
      <c r="Q6082">
        <v>0.14726812941327699</v>
      </c>
      <c r="R6082">
        <v>0.94529762156445896</v>
      </c>
      <c r="S6082" t="s">
        <v>12728</v>
      </c>
      <c r="T6082" t="s">
        <v>13290</v>
      </c>
      <c r="U6082" t="s">
        <v>13290</v>
      </c>
      <c r="V6082" t="s">
        <v>13290</v>
      </c>
      <c r="W6082" t="s">
        <v>19320</v>
      </c>
      <c r="X6082">
        <v>3</v>
      </c>
      <c r="Y6082" t="s">
        <v>25793</v>
      </c>
      <c r="Z6082" t="s">
        <v>32412</v>
      </c>
      <c r="AA6082">
        <v>0.51006346243380252</v>
      </c>
      <c r="AB6082" t="str">
        <f>HYPERLINK("Melting_Curves/meltCurve_Q9NZJ4_2_SACS.pdf", "Melting_Curves/meltCurve_Q9NZJ4_2_SACS.pdf")</f>
        <v>Melting_Curves/meltCurve_Q9NZJ4_2_SACS.pdf</v>
      </c>
    </row>
    <row r="6083" spans="1:28" x14ac:dyDescent="0.25">
      <c r="A6083" t="s">
        <v>6087</v>
      </c>
      <c r="B6083">
        <v>0.99252571173614901</v>
      </c>
      <c r="C6083">
        <v>1.2145108136526299</v>
      </c>
      <c r="D6083">
        <v>0.16028719587441001</v>
      </c>
      <c r="E6083">
        <v>0.61169075808964701</v>
      </c>
      <c r="F6083">
        <v>0.53541370186411197</v>
      </c>
      <c r="G6083">
        <v>0.38650835981193299</v>
      </c>
      <c r="H6083">
        <v>0.13765520847775001</v>
      </c>
      <c r="I6083">
        <v>4.0746104923936398E-2</v>
      </c>
      <c r="J6083">
        <v>3.2169997316416399E-2</v>
      </c>
      <c r="K6083">
        <v>2.9038376100774501E-2</v>
      </c>
      <c r="L6083">
        <v>467.84441462489502</v>
      </c>
      <c r="M6083">
        <v>9.2691527076613802</v>
      </c>
      <c r="N6083">
        <v>50.473270237690301</v>
      </c>
      <c r="O6083">
        <v>48.290864111316999</v>
      </c>
      <c r="P6083">
        <v>-4.8017223293479599E-2</v>
      </c>
      <c r="Q6083">
        <v>0</v>
      </c>
      <c r="R6083">
        <v>0.68322288774033002</v>
      </c>
      <c r="S6083" t="s">
        <v>12729</v>
      </c>
      <c r="T6083" t="s">
        <v>13290</v>
      </c>
      <c r="U6083" t="s">
        <v>13290</v>
      </c>
      <c r="V6083" t="s">
        <v>13290</v>
      </c>
      <c r="W6083" t="s">
        <v>19321</v>
      </c>
      <c r="X6083">
        <v>8</v>
      </c>
      <c r="Y6083" t="s">
        <v>25794</v>
      </c>
      <c r="Z6083" t="s">
        <v>32413</v>
      </c>
      <c r="AA6083">
        <v>0.3969807046486456</v>
      </c>
      <c r="AB6083" t="str">
        <f>HYPERLINK("Melting_Curves/meltCurve_Q9NZJ6_COQ3.pdf", "Melting_Curves/meltCurve_Q9NZJ6_COQ3.pdf")</f>
        <v>Melting_Curves/meltCurve_Q9NZJ6_COQ3.pdf</v>
      </c>
    </row>
    <row r="6084" spans="1:28" x14ac:dyDescent="0.25">
      <c r="A6084" t="s">
        <v>6088</v>
      </c>
      <c r="B6084">
        <v>0.99252571173614901</v>
      </c>
      <c r="C6084">
        <v>0.94431949152001904</v>
      </c>
      <c r="D6084">
        <v>0.80783916819503798</v>
      </c>
      <c r="E6084">
        <v>0.75538535091185699</v>
      </c>
      <c r="F6084">
        <v>0.42260820285212802</v>
      </c>
      <c r="G6084">
        <v>0.15522258879429701</v>
      </c>
      <c r="H6084">
        <v>8.9951360600523902E-2</v>
      </c>
      <c r="I6084">
        <v>0.101879374115895</v>
      </c>
      <c r="J6084">
        <v>0.14223324277396601</v>
      </c>
      <c r="K6084">
        <v>0.112490279254397</v>
      </c>
      <c r="L6084">
        <v>961.46818214430596</v>
      </c>
      <c r="M6084">
        <v>18.700940336591898</v>
      </c>
      <c r="N6084">
        <v>51.915427216157497</v>
      </c>
      <c r="O6084">
        <v>50.835757101621397</v>
      </c>
      <c r="P6084">
        <v>-8.4356090355869898E-2</v>
      </c>
      <c r="Q6084">
        <v>8.2800394154416701E-2</v>
      </c>
      <c r="R6084">
        <v>0.98167998353402097</v>
      </c>
      <c r="S6084" t="s">
        <v>12730</v>
      </c>
      <c r="T6084" t="s">
        <v>13290</v>
      </c>
      <c r="U6084" t="s">
        <v>13290</v>
      </c>
      <c r="V6084" t="s">
        <v>13290</v>
      </c>
      <c r="W6084" t="s">
        <v>19322</v>
      </c>
      <c r="X6084">
        <v>8</v>
      </c>
      <c r="Y6084" t="s">
        <v>25795</v>
      </c>
      <c r="Z6084" t="s">
        <v>32414</v>
      </c>
      <c r="AA6084">
        <v>0.4460970317080824</v>
      </c>
      <c r="AB6084" t="str">
        <f>HYPERLINK("Melting_Curves/meltCurve_Q9NZJ9_2_NUDT4.pdf", "Melting_Curves/meltCurve_Q9NZJ9_2_NUDT4.pdf")</f>
        <v>Melting_Curves/meltCurve_Q9NZJ9_2_NUDT4.pdf</v>
      </c>
    </row>
    <row r="6085" spans="1:28" x14ac:dyDescent="0.25">
      <c r="A6085" t="s">
        <v>6089</v>
      </c>
      <c r="B6085">
        <v>0.99252571173614901</v>
      </c>
      <c r="C6085">
        <v>0.941643746097372</v>
      </c>
      <c r="D6085">
        <v>0.70153628140381896</v>
      </c>
      <c r="E6085">
        <v>0.38844082447544298</v>
      </c>
      <c r="F6085">
        <v>0.198898682310512</v>
      </c>
      <c r="G6085">
        <v>0.105251363487851</v>
      </c>
      <c r="H6085">
        <v>7.4619152868461103E-2</v>
      </c>
      <c r="I6085">
        <v>7.0863823270049794E-2</v>
      </c>
      <c r="J6085">
        <v>8.8438370218166598E-2</v>
      </c>
      <c r="K6085">
        <v>7.3577941689693005E-2</v>
      </c>
      <c r="L6085">
        <v>956.27274437655899</v>
      </c>
      <c r="M6085">
        <v>19.952536108919301</v>
      </c>
      <c r="N6085">
        <v>48.304332276699199</v>
      </c>
      <c r="O6085">
        <v>47.453733319344003</v>
      </c>
      <c r="P6085">
        <v>-9.7540641254350205E-2</v>
      </c>
      <c r="Q6085">
        <v>7.2094803472385505E-2</v>
      </c>
      <c r="R6085">
        <v>0.99877476720175196</v>
      </c>
      <c r="S6085" t="s">
        <v>12731</v>
      </c>
      <c r="T6085" t="s">
        <v>13290</v>
      </c>
      <c r="U6085" t="s">
        <v>13290</v>
      </c>
      <c r="V6085" t="s">
        <v>13290</v>
      </c>
      <c r="W6085" t="s">
        <v>19323</v>
      </c>
      <c r="X6085">
        <v>10</v>
      </c>
      <c r="Y6085" t="s">
        <v>25796</v>
      </c>
      <c r="Z6085" t="s">
        <v>32415</v>
      </c>
      <c r="AA6085">
        <v>0.3305640366812076</v>
      </c>
      <c r="AB6085" t="str">
        <f>HYPERLINK("Melting_Curves/meltCurve_Q9NZL4_HSPBP1.pdf", "Melting_Curves/meltCurve_Q9NZL4_HSPBP1.pdf")</f>
        <v>Melting_Curves/meltCurve_Q9NZL4_HSPBP1.pdf</v>
      </c>
    </row>
    <row r="6086" spans="1:28" x14ac:dyDescent="0.25">
      <c r="A6086" t="s">
        <v>6090</v>
      </c>
      <c r="B6086">
        <v>0.99252571173614901</v>
      </c>
      <c r="C6086">
        <v>0.96275344533717899</v>
      </c>
      <c r="D6086">
        <v>1.1068880818134399</v>
      </c>
      <c r="E6086">
        <v>1.1696171686952299</v>
      </c>
      <c r="F6086">
        <v>1.1622277797308</v>
      </c>
      <c r="G6086">
        <v>0.86863972399095302</v>
      </c>
      <c r="H6086">
        <v>0.747281654925956</v>
      </c>
      <c r="I6086">
        <v>0.18705401598281299</v>
      </c>
      <c r="J6086">
        <v>0.17628220118202101</v>
      </c>
      <c r="K6086">
        <v>0.17388555894572799</v>
      </c>
      <c r="L6086">
        <v>5402.71659868803</v>
      </c>
      <c r="M6086">
        <v>88.044891874894802</v>
      </c>
      <c r="N6086">
        <v>61.6582724869074</v>
      </c>
      <c r="O6086">
        <v>61.331561543530199</v>
      </c>
      <c r="P6086">
        <v>-0.297189590788557</v>
      </c>
      <c r="Q6086">
        <v>0.171917812521135</v>
      </c>
      <c r="R6086">
        <v>0.94577882564263505</v>
      </c>
      <c r="S6086" t="s">
        <v>12732</v>
      </c>
      <c r="T6086" t="s">
        <v>13290</v>
      </c>
      <c r="U6086" t="s">
        <v>13290</v>
      </c>
      <c r="V6086" t="s">
        <v>13290</v>
      </c>
      <c r="W6086" t="s">
        <v>19324</v>
      </c>
      <c r="X6086">
        <v>15</v>
      </c>
      <c r="Y6086" t="s">
        <v>25797</v>
      </c>
      <c r="Z6086" t="s">
        <v>32416</v>
      </c>
      <c r="AA6086">
        <v>0.76232038064705943</v>
      </c>
      <c r="AB6086" t="str">
        <f>HYPERLINK("Melting_Curves/meltCurve_Q9NZL9_MAT2B.pdf", "Melting_Curves/meltCurve_Q9NZL9_MAT2B.pdf")</f>
        <v>Melting_Curves/meltCurve_Q9NZL9_MAT2B.pdf</v>
      </c>
    </row>
    <row r="6087" spans="1:28" x14ac:dyDescent="0.25">
      <c r="A6087" t="s">
        <v>6091</v>
      </c>
      <c r="B6087">
        <v>0.99252571173614901</v>
      </c>
      <c r="C6087">
        <v>1.1498332369594</v>
      </c>
      <c r="D6087">
        <v>1.0538858321020801</v>
      </c>
      <c r="E6087">
        <v>1.21185765941964</v>
      </c>
      <c r="F6087">
        <v>0.71482622537960205</v>
      </c>
      <c r="G6087">
        <v>0.469179937911055</v>
      </c>
      <c r="H6087">
        <v>0.16019457406302201</v>
      </c>
      <c r="I6087">
        <v>0.170819268281901</v>
      </c>
      <c r="J6087">
        <v>0.191898689212604</v>
      </c>
      <c r="K6087">
        <v>0.18131992555771001</v>
      </c>
      <c r="L6087">
        <v>1751.1987466002699</v>
      </c>
      <c r="M6087">
        <v>31.735628076598299</v>
      </c>
      <c r="N6087">
        <v>55.911370322554497</v>
      </c>
      <c r="O6087">
        <v>54.963127522904202</v>
      </c>
      <c r="P6087">
        <v>-0.11985194531969</v>
      </c>
      <c r="Q6087">
        <v>0.16971506960973601</v>
      </c>
      <c r="R6087">
        <v>0.94621191708373098</v>
      </c>
      <c r="S6087" t="s">
        <v>12733</v>
      </c>
      <c r="T6087" t="s">
        <v>13290</v>
      </c>
      <c r="U6087" t="s">
        <v>13290</v>
      </c>
      <c r="V6087" t="s">
        <v>13290</v>
      </c>
      <c r="W6087" t="s">
        <v>19325</v>
      </c>
      <c r="X6087">
        <v>14</v>
      </c>
      <c r="Y6087" t="s">
        <v>25797</v>
      </c>
      <c r="Z6087" t="s">
        <v>32417</v>
      </c>
      <c r="AA6087">
        <v>0.59481996562123418</v>
      </c>
      <c r="AB6087" t="str">
        <f>HYPERLINK("Melting_Curves/meltCurve_Q9NZL9_2_MAT2B.pdf", "Melting_Curves/meltCurve_Q9NZL9_2_MAT2B.pdf")</f>
        <v>Melting_Curves/meltCurve_Q9NZL9_2_MAT2B.pdf</v>
      </c>
    </row>
    <row r="6088" spans="1:28" x14ac:dyDescent="0.25">
      <c r="A6088" t="s">
        <v>6092</v>
      </c>
      <c r="B6088">
        <v>0.99252571173614901</v>
      </c>
      <c r="C6088">
        <v>0.92934346689946701</v>
      </c>
      <c r="D6088">
        <v>0.56330540615326496</v>
      </c>
      <c r="E6088">
        <v>0.23080234833559801</v>
      </c>
      <c r="F6088">
        <v>0.14521573697100101</v>
      </c>
      <c r="G6088">
        <v>9.7748418351683797E-2</v>
      </c>
      <c r="H6088">
        <v>7.7544990259576493E-2</v>
      </c>
      <c r="I6088">
        <v>7.5456342255049505E-2</v>
      </c>
      <c r="J6088">
        <v>0.10115413726252</v>
      </c>
      <c r="K6088">
        <v>8.8368892603355301E-2</v>
      </c>
      <c r="L6088">
        <v>1251.8823350780101</v>
      </c>
      <c r="M6088">
        <v>27.0565756030893</v>
      </c>
      <c r="N6088">
        <v>46.621337835711003</v>
      </c>
      <c r="O6088">
        <v>46.018522832127999</v>
      </c>
      <c r="P6088">
        <v>-0.13339929496147199</v>
      </c>
      <c r="Q6088">
        <v>9.2453046950888906E-2</v>
      </c>
      <c r="R6088">
        <v>0.99783230044497395</v>
      </c>
      <c r="S6088" t="s">
        <v>12734</v>
      </c>
      <c r="T6088" t="s">
        <v>13290</v>
      </c>
      <c r="U6088" t="s">
        <v>13290</v>
      </c>
      <c r="V6088" t="s">
        <v>13290</v>
      </c>
      <c r="W6088" t="s">
        <v>19326</v>
      </c>
      <c r="X6088">
        <v>9</v>
      </c>
      <c r="Y6088" t="s">
        <v>25798</v>
      </c>
      <c r="Z6088" t="s">
        <v>32418</v>
      </c>
      <c r="AA6088">
        <v>0.28902289384040042</v>
      </c>
      <c r="AB6088" t="str">
        <f>HYPERLINK("Melting_Curves/meltCurve_Q9NZM3_2_ITSN2.pdf", "Melting_Curves/meltCurve_Q9NZM3_2_ITSN2.pdf")</f>
        <v>Melting_Curves/meltCurve_Q9NZM3_2_ITSN2.pdf</v>
      </c>
    </row>
    <row r="6089" spans="1:28" x14ac:dyDescent="0.25">
      <c r="A6089" t="s">
        <v>6093</v>
      </c>
      <c r="B6089">
        <v>0.99252571173614901</v>
      </c>
      <c r="C6089">
        <v>0.95101953957136298</v>
      </c>
      <c r="D6089">
        <v>0.53738263295637501</v>
      </c>
      <c r="E6089">
        <v>0.29051232590296</v>
      </c>
      <c r="F6089">
        <v>0.17598494479176599</v>
      </c>
      <c r="G6089">
        <v>0.12523461235063901</v>
      </c>
      <c r="H6089">
        <v>9.5055038531566299E-2</v>
      </c>
      <c r="I6089">
        <v>0.117577789192907</v>
      </c>
      <c r="J6089">
        <v>0.18489021958547799</v>
      </c>
      <c r="K6089">
        <v>0.17396780770399001</v>
      </c>
      <c r="L6089">
        <v>1310.3318389962401</v>
      </c>
      <c r="M6089">
        <v>28.474258209373499</v>
      </c>
      <c r="N6089">
        <v>46.584552645278499</v>
      </c>
      <c r="O6089">
        <v>45.792939504327599</v>
      </c>
      <c r="P6089">
        <v>-0.13270617639821899</v>
      </c>
      <c r="Q6089">
        <v>0.146322676998835</v>
      </c>
      <c r="R6089">
        <v>0.98834434123529402</v>
      </c>
      <c r="S6089" t="s">
        <v>12735</v>
      </c>
      <c r="T6089" t="s">
        <v>13290</v>
      </c>
      <c r="U6089" t="s">
        <v>13290</v>
      </c>
      <c r="V6089" t="s">
        <v>13290</v>
      </c>
      <c r="W6089" t="s">
        <v>19327</v>
      </c>
      <c r="X6089">
        <v>3</v>
      </c>
      <c r="Y6089" t="s">
        <v>25799</v>
      </c>
      <c r="Z6089" t="s">
        <v>32419</v>
      </c>
      <c r="AA6089">
        <v>0.32342356493838031</v>
      </c>
      <c r="AB6089" t="str">
        <f>HYPERLINK("Melting_Curves/meltCurve_Q9NZM4_2_GLTSCR1.pdf", "Melting_Curves/meltCurve_Q9NZM4_2_GLTSCR1.pdf")</f>
        <v>Melting_Curves/meltCurve_Q9NZM4_2_GLTSCR1.pdf</v>
      </c>
    </row>
    <row r="6090" spans="1:28" x14ac:dyDescent="0.25">
      <c r="A6090" t="s">
        <v>6094</v>
      </c>
      <c r="B6090">
        <v>0.99252571173614901</v>
      </c>
      <c r="C6090">
        <v>0.94179937683414106</v>
      </c>
      <c r="D6090">
        <v>0.63872836231059005</v>
      </c>
      <c r="E6090">
        <v>0.266703425604841</v>
      </c>
      <c r="F6090">
        <v>0.13877150524002299</v>
      </c>
      <c r="G6090">
        <v>7.24809326629825E-2</v>
      </c>
      <c r="H6090">
        <v>5.9704962229137799E-2</v>
      </c>
      <c r="I6090">
        <v>7.7755949431866103E-2</v>
      </c>
      <c r="J6090">
        <v>9.7467857982343198E-2</v>
      </c>
      <c r="K6090">
        <v>0.100998281652471</v>
      </c>
      <c r="L6090">
        <v>1212.51104254901</v>
      </c>
      <c r="M6090">
        <v>25.8713915902111</v>
      </c>
      <c r="N6090">
        <v>47.195712014812102</v>
      </c>
      <c r="O6090">
        <v>46.589532227576598</v>
      </c>
      <c r="P6090">
        <v>-0.12737801512781599</v>
      </c>
      <c r="Q6090">
        <v>8.2474766569305802E-2</v>
      </c>
      <c r="R6090">
        <v>0.99808118111669897</v>
      </c>
      <c r="S6090" t="s">
        <v>12736</v>
      </c>
      <c r="T6090" t="s">
        <v>13290</v>
      </c>
      <c r="U6090" t="s">
        <v>13290</v>
      </c>
      <c r="V6090" t="s">
        <v>13290</v>
      </c>
      <c r="W6090" t="s">
        <v>19328</v>
      </c>
      <c r="X6090">
        <v>6</v>
      </c>
      <c r="Y6090" t="s">
        <v>25800</v>
      </c>
      <c r="Z6090" t="s">
        <v>32420</v>
      </c>
      <c r="AA6090">
        <v>0.30010719714958511</v>
      </c>
      <c r="AB6090" t="str">
        <f>HYPERLINK("Melting_Curves/meltCurve_Q9NZQ3_3_NCKIPSD.pdf", "Melting_Curves/meltCurve_Q9NZQ3_3_NCKIPSD.pdf")</f>
        <v>Melting_Curves/meltCurve_Q9NZQ3_3_NCKIPSD.pdf</v>
      </c>
    </row>
    <row r="6091" spans="1:28" x14ac:dyDescent="0.25">
      <c r="A6091" t="s">
        <v>6095</v>
      </c>
      <c r="B6091">
        <v>0.99252571173614901</v>
      </c>
      <c r="C6091">
        <v>1.0221628223441099</v>
      </c>
      <c r="D6091">
        <v>0.86765070338109496</v>
      </c>
      <c r="E6091">
        <v>0.85203469156749001</v>
      </c>
      <c r="F6091">
        <v>0.73551523682667497</v>
      </c>
      <c r="G6091">
        <v>0.62497145104234397</v>
      </c>
      <c r="H6091">
        <v>0.47870019269233499</v>
      </c>
      <c r="I6091">
        <v>0.62912901571729796</v>
      </c>
      <c r="J6091">
        <v>0.79041434563980795</v>
      </c>
      <c r="K6091">
        <v>0.71088000886396996</v>
      </c>
      <c r="L6091">
        <v>1014.54290293324</v>
      </c>
      <c r="M6091">
        <v>20.5974813872947</v>
      </c>
      <c r="O6091">
        <v>48.798449809449103</v>
      </c>
      <c r="P6091">
        <v>-3.7192654975348703E-2</v>
      </c>
      <c r="Q6091">
        <v>0.64755082615715398</v>
      </c>
      <c r="R6091">
        <v>0.74905396150160697</v>
      </c>
      <c r="S6091" t="s">
        <v>12737</v>
      </c>
      <c r="T6091" t="s">
        <v>13290</v>
      </c>
      <c r="U6091" t="s">
        <v>13290</v>
      </c>
      <c r="V6091" t="s">
        <v>13290</v>
      </c>
      <c r="W6091" t="s">
        <v>19329</v>
      </c>
      <c r="X6091">
        <v>1</v>
      </c>
      <c r="Y6091" t="s">
        <v>25801</v>
      </c>
      <c r="Z6091" t="s">
        <v>32421</v>
      </c>
      <c r="AA6091">
        <v>0.76093199646690302</v>
      </c>
      <c r="AB6091" t="str">
        <f>HYPERLINK("Melting_Curves/meltCurve_Q9NZT1_CALML5.pdf", "Melting_Curves/meltCurve_Q9NZT1_CALML5.pdf")</f>
        <v>Melting_Curves/meltCurve_Q9NZT1_CALML5.pdf</v>
      </c>
    </row>
    <row r="6092" spans="1:28" x14ac:dyDescent="0.25">
      <c r="A6092" t="s">
        <v>6096</v>
      </c>
      <c r="B6092">
        <v>0.99252571173614901</v>
      </c>
      <c r="C6092">
        <v>0.82116745975169303</v>
      </c>
      <c r="D6092">
        <v>0.31873781868043499</v>
      </c>
      <c r="E6092">
        <v>0.201382100273887</v>
      </c>
      <c r="F6092">
        <v>0.150325515338257</v>
      </c>
      <c r="G6092">
        <v>7.4202248106657806E-2</v>
      </c>
      <c r="H6092">
        <v>7.1467188786726907E-2</v>
      </c>
      <c r="I6092">
        <v>7.2988140897484594E-2</v>
      </c>
      <c r="J6092">
        <v>9.7318255308917301E-2</v>
      </c>
      <c r="K6092">
        <v>8.4244866720220801E-2</v>
      </c>
      <c r="L6092">
        <v>1457.2409052031301</v>
      </c>
      <c r="M6092">
        <v>32.662248952676499</v>
      </c>
      <c r="N6092">
        <v>44.920019785730702</v>
      </c>
      <c r="O6092">
        <v>44.4492036731356</v>
      </c>
      <c r="P6092">
        <v>-0.165459561499782</v>
      </c>
      <c r="Q6092">
        <v>9.9325760077596401E-2</v>
      </c>
      <c r="R6092">
        <v>0.98988224909138001</v>
      </c>
      <c r="S6092" t="s">
        <v>12738</v>
      </c>
      <c r="T6092" t="s">
        <v>13290</v>
      </c>
      <c r="U6092" t="s">
        <v>13290</v>
      </c>
      <c r="V6092" t="s">
        <v>13290</v>
      </c>
      <c r="W6092" t="s">
        <v>19330</v>
      </c>
      <c r="X6092">
        <v>12</v>
      </c>
      <c r="Y6092" t="s">
        <v>25802</v>
      </c>
      <c r="Z6092" t="s">
        <v>32422</v>
      </c>
      <c r="AA6092">
        <v>0.2427916937911539</v>
      </c>
      <c r="AB6092" t="str">
        <f>HYPERLINK("Melting_Curves/meltCurve_Q9NZT2_2_OGFR.pdf", "Melting_Curves/meltCurve_Q9NZT2_2_OGFR.pdf")</f>
        <v>Melting_Curves/meltCurve_Q9NZT2_2_OGFR.pdf</v>
      </c>
    </row>
    <row r="6093" spans="1:28" x14ac:dyDescent="0.25">
      <c r="A6093" t="s">
        <v>6097</v>
      </c>
      <c r="B6093">
        <v>0.99252571173614901</v>
      </c>
      <c r="C6093">
        <v>1.06513167839086</v>
      </c>
      <c r="D6093">
        <v>0.804349956054487</v>
      </c>
      <c r="E6093">
        <v>0.27187248729197699</v>
      </c>
      <c r="F6093">
        <v>0.121057289993921</v>
      </c>
      <c r="G6093">
        <v>6.2487759106301097E-2</v>
      </c>
      <c r="H6093">
        <v>4.7343593323699203E-2</v>
      </c>
      <c r="I6093">
        <v>4.6423266222171099E-2</v>
      </c>
      <c r="J6093">
        <v>5.3286309722040501E-2</v>
      </c>
      <c r="K6093">
        <v>7.3149696042835194E-2</v>
      </c>
      <c r="L6093">
        <v>1678.36116706658</v>
      </c>
      <c r="M6093">
        <v>35.069596607000499</v>
      </c>
      <c r="N6093">
        <v>48.0378490041413</v>
      </c>
      <c r="O6093">
        <v>47.703202996431301</v>
      </c>
      <c r="P6093">
        <v>-0.17248486612578401</v>
      </c>
      <c r="Q6093">
        <v>6.1517454049147102E-2</v>
      </c>
      <c r="R6093">
        <v>0.99474853963467402</v>
      </c>
      <c r="S6093" t="s">
        <v>12739</v>
      </c>
      <c r="T6093" t="s">
        <v>13290</v>
      </c>
      <c r="U6093" t="s">
        <v>13290</v>
      </c>
      <c r="V6093" t="s">
        <v>13290</v>
      </c>
      <c r="W6093" t="s">
        <v>19331</v>
      </c>
      <c r="X6093">
        <v>10</v>
      </c>
      <c r="Y6093" t="s">
        <v>25803</v>
      </c>
      <c r="Z6093" t="s">
        <v>32423</v>
      </c>
      <c r="AA6093">
        <v>0.31141611799567692</v>
      </c>
      <c r="AB6093" t="str">
        <f>HYPERLINK("Melting_Curves/meltCurve_Q9NZU5_LMCD1.pdf", "Melting_Curves/meltCurve_Q9NZU5_LMCD1.pdf")</f>
        <v>Melting_Curves/meltCurve_Q9NZU5_LMCD1.pdf</v>
      </c>
    </row>
    <row r="6094" spans="1:28" x14ac:dyDescent="0.25">
      <c r="A6094" t="s">
        <v>6098</v>
      </c>
      <c r="B6094">
        <v>0.99252571173614901</v>
      </c>
      <c r="C6094">
        <v>0.97733346599806603</v>
      </c>
      <c r="D6094">
        <v>0.85690620117762595</v>
      </c>
      <c r="E6094">
        <v>0.629047448376992</v>
      </c>
      <c r="F6094">
        <v>0.18792434808915001</v>
      </c>
      <c r="G6094">
        <v>0.116484747966959</v>
      </c>
      <c r="H6094">
        <v>9.1767457996640406E-2</v>
      </c>
      <c r="I6094">
        <v>0.104303089133886</v>
      </c>
      <c r="J6094">
        <v>0.13137900019169199</v>
      </c>
      <c r="K6094">
        <v>0.11731887414362401</v>
      </c>
      <c r="L6094">
        <v>1403.3069665825501</v>
      </c>
      <c r="M6094">
        <v>28.142930475651401</v>
      </c>
      <c r="N6094">
        <v>50.264547066876403</v>
      </c>
      <c r="O6094">
        <v>49.6138479143127</v>
      </c>
      <c r="P6094">
        <v>-0.12755197073412</v>
      </c>
      <c r="Q6094">
        <v>0.10054996465889</v>
      </c>
      <c r="R6094">
        <v>0.99280815095622799</v>
      </c>
      <c r="S6094" t="s">
        <v>12740</v>
      </c>
      <c r="T6094" t="s">
        <v>13290</v>
      </c>
      <c r="U6094" t="s">
        <v>13290</v>
      </c>
      <c r="V6094" t="s">
        <v>13290</v>
      </c>
      <c r="W6094" t="s">
        <v>19332</v>
      </c>
      <c r="X6094">
        <v>24</v>
      </c>
      <c r="Y6094" t="s">
        <v>25804</v>
      </c>
      <c r="Z6094" t="s">
        <v>32424</v>
      </c>
      <c r="AA6094">
        <v>0.40259464889910829</v>
      </c>
      <c r="AB6094" t="str">
        <f>HYPERLINK("Melting_Curves/meltCurve_Q9NZW5_MPP6.pdf", "Melting_Curves/meltCurve_Q9NZW5_MPP6.pdf")</f>
        <v>Melting_Curves/meltCurve_Q9NZW5_MPP6.pdf</v>
      </c>
    </row>
    <row r="6095" spans="1:28" x14ac:dyDescent="0.25">
      <c r="A6095" t="s">
        <v>6099</v>
      </c>
      <c r="B6095">
        <v>0.99252571173614901</v>
      </c>
      <c r="C6095">
        <v>1.0742578177720199</v>
      </c>
      <c r="D6095">
        <v>1.02200151581249</v>
      </c>
      <c r="E6095">
        <v>1.01784878835559</v>
      </c>
      <c r="F6095">
        <v>0.89887134246516598</v>
      </c>
      <c r="G6095">
        <v>0.82928944040484798</v>
      </c>
      <c r="H6095">
        <v>0.89224045140629205</v>
      </c>
      <c r="I6095">
        <v>1.2176193357496601</v>
      </c>
      <c r="J6095">
        <v>1.8867427460292501</v>
      </c>
      <c r="K6095">
        <v>2.0592061999120199</v>
      </c>
      <c r="L6095">
        <v>15000</v>
      </c>
      <c r="M6095">
        <v>234.11480865882399</v>
      </c>
      <c r="O6095">
        <v>64.066453226056197</v>
      </c>
      <c r="P6095">
        <v>0.456781196133832</v>
      </c>
      <c r="Q6095">
        <v>1.5</v>
      </c>
      <c r="R6095">
        <v>0.686110306830645</v>
      </c>
      <c r="S6095" t="s">
        <v>12741</v>
      </c>
      <c r="T6095" t="s">
        <v>13290</v>
      </c>
      <c r="U6095" t="s">
        <v>13290</v>
      </c>
      <c r="V6095" t="s">
        <v>13290</v>
      </c>
      <c r="W6095" t="s">
        <v>19333</v>
      </c>
      <c r="X6095">
        <v>11</v>
      </c>
      <c r="Y6095" t="s">
        <v>25805</v>
      </c>
      <c r="Z6095" t="s">
        <v>32425</v>
      </c>
      <c r="AA6095">
        <v>1.09875041195113</v>
      </c>
      <c r="AB6095" t="str">
        <f>HYPERLINK("Melting_Curves/meltCurve_Q9NZZ3_CHMP5.pdf", "Melting_Curves/meltCurve_Q9NZZ3_CHMP5.pdf")</f>
        <v>Melting_Curves/meltCurve_Q9NZZ3_CHMP5.pdf</v>
      </c>
    </row>
    <row r="6096" spans="1:28" x14ac:dyDescent="0.25">
      <c r="A6096" t="s">
        <v>6100</v>
      </c>
      <c r="B6096">
        <v>0.99252571173614901</v>
      </c>
      <c r="C6096">
        <v>0.97854675877985497</v>
      </c>
      <c r="D6096">
        <v>0.95937929460754701</v>
      </c>
      <c r="E6096">
        <v>1.0103797137423001</v>
      </c>
      <c r="F6096">
        <v>0.97119552832535305</v>
      </c>
      <c r="G6096">
        <v>0.92968100508539497</v>
      </c>
      <c r="H6096">
        <v>1.0217853900060301</v>
      </c>
      <c r="I6096">
        <v>1.3960161691863999</v>
      </c>
      <c r="J6096">
        <v>2.1383184301583098</v>
      </c>
      <c r="K6096">
        <v>2.3228212313198</v>
      </c>
      <c r="L6096">
        <v>15000</v>
      </c>
      <c r="M6096">
        <v>235.712491580365</v>
      </c>
      <c r="O6096">
        <v>63.6322671793952</v>
      </c>
      <c r="P6096">
        <v>0.46303648825865801</v>
      </c>
      <c r="Q6096">
        <v>1.5</v>
      </c>
      <c r="R6096">
        <v>0.55762568638228105</v>
      </c>
      <c r="S6096" t="s">
        <v>12742</v>
      </c>
      <c r="T6096" t="s">
        <v>13290</v>
      </c>
      <c r="U6096" t="s">
        <v>13290</v>
      </c>
      <c r="V6096" t="s">
        <v>13290</v>
      </c>
      <c r="W6096" t="s">
        <v>19334</v>
      </c>
      <c r="X6096">
        <v>17</v>
      </c>
      <c r="Y6096" t="s">
        <v>25806</v>
      </c>
      <c r="Z6096" t="s">
        <v>32426</v>
      </c>
      <c r="AA6096">
        <v>1.1059897159966141</v>
      </c>
      <c r="AB6096" t="str">
        <f>HYPERLINK("Melting_Curves/meltCurve_Q9P013_CWC15.pdf", "Melting_Curves/meltCurve_Q9P013_CWC15.pdf")</f>
        <v>Melting_Curves/meltCurve_Q9P013_CWC15.pdf</v>
      </c>
    </row>
    <row r="6097" spans="1:28" x14ac:dyDescent="0.25">
      <c r="A6097" t="s">
        <v>6101</v>
      </c>
      <c r="B6097">
        <v>0.99252571173614901</v>
      </c>
      <c r="C6097">
        <v>1.07450495704452</v>
      </c>
      <c r="D6097">
        <v>0.95146154503600999</v>
      </c>
      <c r="E6097">
        <v>0.75418879400622596</v>
      </c>
      <c r="F6097">
        <v>0.19401472393647401</v>
      </c>
      <c r="G6097">
        <v>0.115803027191233</v>
      </c>
      <c r="H6097">
        <v>8.4185556220044699E-2</v>
      </c>
      <c r="I6097">
        <v>9.2535900703582405E-2</v>
      </c>
      <c r="J6097">
        <v>0.102861685667826</v>
      </c>
      <c r="K6097">
        <v>0.104272713700791</v>
      </c>
      <c r="L6097">
        <v>2207.1109138699198</v>
      </c>
      <c r="M6097">
        <v>43.5406055586894</v>
      </c>
      <c r="N6097">
        <v>50.943885634028703</v>
      </c>
      <c r="O6097">
        <v>50.584280877180397</v>
      </c>
      <c r="P6097">
        <v>-0.194264601450926</v>
      </c>
      <c r="Q6097">
        <v>9.7236148230103903E-2</v>
      </c>
      <c r="R6097">
        <v>0.99557474207563001</v>
      </c>
      <c r="S6097" t="s">
        <v>12743</v>
      </c>
      <c r="T6097" t="s">
        <v>13290</v>
      </c>
      <c r="U6097" t="s">
        <v>13290</v>
      </c>
      <c r="V6097" t="s">
        <v>13290</v>
      </c>
      <c r="W6097" t="s">
        <v>19335</v>
      </c>
      <c r="X6097">
        <v>13</v>
      </c>
      <c r="Y6097" t="s">
        <v>25807</v>
      </c>
      <c r="Z6097" t="s">
        <v>32427</v>
      </c>
      <c r="AA6097">
        <v>0.42161348314216091</v>
      </c>
      <c r="AB6097" t="str">
        <f>HYPERLINK("Melting_Curves/meltCurve_Q9P016_THYN1.pdf", "Melting_Curves/meltCurve_Q9P016_THYN1.pdf")</f>
        <v>Melting_Curves/meltCurve_Q9P016_THYN1.pdf</v>
      </c>
    </row>
    <row r="6098" spans="1:28" x14ac:dyDescent="0.25">
      <c r="A6098" t="s">
        <v>6102</v>
      </c>
      <c r="B6098">
        <v>0.99252571173614901</v>
      </c>
      <c r="C6098">
        <v>1.1406754959356</v>
      </c>
      <c r="D6098">
        <v>1.01287274781738</v>
      </c>
      <c r="E6098">
        <v>1.24821331945868</v>
      </c>
      <c r="F6098">
        <v>0.80498060097102597</v>
      </c>
      <c r="G6098">
        <v>0.73075399285635201</v>
      </c>
      <c r="H6098">
        <v>0.79800045007924603</v>
      </c>
      <c r="I6098">
        <v>1.06318114231165</v>
      </c>
      <c r="J6098">
        <v>1.4506516395403199</v>
      </c>
      <c r="K6098">
        <v>1.4693506322771399</v>
      </c>
      <c r="L6098">
        <v>7467.1806199991297</v>
      </c>
      <c r="M6098">
        <v>114.796991226366</v>
      </c>
      <c r="O6098">
        <v>65.027090175578095</v>
      </c>
      <c r="P6098">
        <v>0.206071278068298</v>
      </c>
      <c r="Q6098">
        <v>1.4669187497676199</v>
      </c>
      <c r="R6098">
        <v>0.61782180508873696</v>
      </c>
      <c r="S6098" t="s">
        <v>12744</v>
      </c>
      <c r="T6098" t="s">
        <v>13290</v>
      </c>
      <c r="U6098" t="s">
        <v>13290</v>
      </c>
      <c r="V6098" t="s">
        <v>13290</v>
      </c>
      <c r="W6098" t="s">
        <v>19336</v>
      </c>
      <c r="X6098">
        <v>8</v>
      </c>
      <c r="Y6098" t="s">
        <v>25808</v>
      </c>
      <c r="Z6098" t="s">
        <v>32428</v>
      </c>
      <c r="AA6098">
        <v>1.076840985977662</v>
      </c>
      <c r="AB6098" t="str">
        <f>HYPERLINK("Melting_Curves/meltCurve_Q9P021_CRIPT.pdf", "Melting_Curves/meltCurve_Q9P021_CRIPT.pdf")</f>
        <v>Melting_Curves/meltCurve_Q9P021_CRIPT.pdf</v>
      </c>
    </row>
    <row r="6099" spans="1:28" x14ac:dyDescent="0.25">
      <c r="A6099" t="s">
        <v>6103</v>
      </c>
      <c r="B6099">
        <v>0.99252571173614901</v>
      </c>
      <c r="C6099">
        <v>1.20376457681697</v>
      </c>
      <c r="D6099">
        <v>1.0913668814227599</v>
      </c>
      <c r="E6099">
        <v>0.83363538589299602</v>
      </c>
      <c r="F6099">
        <v>0.49617256566607398</v>
      </c>
      <c r="G6099">
        <v>0.28280517574460001</v>
      </c>
      <c r="H6099">
        <v>0.19615815848590901</v>
      </c>
      <c r="I6099">
        <v>0.24538875260168699</v>
      </c>
      <c r="J6099">
        <v>0.37096180096581399</v>
      </c>
      <c r="K6099">
        <v>0.43110918521675401</v>
      </c>
      <c r="L6099">
        <v>1902.8749644464899</v>
      </c>
      <c r="M6099">
        <v>36.950295335829502</v>
      </c>
      <c r="N6099">
        <v>52.838826721411102</v>
      </c>
      <c r="O6099">
        <v>51.348092241240302</v>
      </c>
      <c r="P6099">
        <v>-0.12517731587129</v>
      </c>
      <c r="Q6099">
        <v>0.30418980165021398</v>
      </c>
      <c r="R6099">
        <v>0.92926633265808101</v>
      </c>
      <c r="S6099" t="s">
        <v>12745</v>
      </c>
      <c r="T6099" t="s">
        <v>13290</v>
      </c>
      <c r="U6099" t="s">
        <v>13290</v>
      </c>
      <c r="V6099" t="s">
        <v>13290</v>
      </c>
      <c r="W6099" t="s">
        <v>19337</v>
      </c>
      <c r="X6099">
        <v>1</v>
      </c>
      <c r="Y6099" t="s">
        <v>25809</v>
      </c>
      <c r="Z6099" t="s">
        <v>32429</v>
      </c>
      <c r="AA6099">
        <v>0.57378075052576327</v>
      </c>
      <c r="AB6099" t="str">
        <f>HYPERLINK("Melting_Curves/meltCurve_Q9P031_CCDC59.pdf", "Melting_Curves/meltCurve_Q9P031_CCDC59.pdf")</f>
        <v>Melting_Curves/meltCurve_Q9P031_CCDC59.pdf</v>
      </c>
    </row>
    <row r="6100" spans="1:28" x14ac:dyDescent="0.25">
      <c r="A6100" t="s">
        <v>6104</v>
      </c>
      <c r="B6100">
        <v>0.99252571173614901</v>
      </c>
      <c r="C6100">
        <v>0.873720544176672</v>
      </c>
      <c r="D6100">
        <v>0.87641230027469696</v>
      </c>
      <c r="E6100">
        <v>0.68363486973030596</v>
      </c>
      <c r="F6100">
        <v>0.50559998321672595</v>
      </c>
      <c r="G6100">
        <v>0.236510638815559</v>
      </c>
      <c r="H6100">
        <v>0.106324974941454</v>
      </c>
      <c r="I6100">
        <v>9.5934872736095994E-2</v>
      </c>
      <c r="J6100">
        <v>0.109677338451177</v>
      </c>
      <c r="K6100">
        <v>0.107452489870194</v>
      </c>
      <c r="L6100">
        <v>741.02102671824298</v>
      </c>
      <c r="M6100">
        <v>14.242241894666799</v>
      </c>
      <c r="N6100">
        <v>52.409318579237002</v>
      </c>
      <c r="O6100">
        <v>51.036277280006502</v>
      </c>
      <c r="P6100">
        <v>-6.6355221302810699E-2</v>
      </c>
      <c r="Q6100">
        <v>4.8996789358093103E-2</v>
      </c>
      <c r="R6100">
        <v>0.98743595872338297</v>
      </c>
      <c r="S6100" t="s">
        <v>12746</v>
      </c>
      <c r="T6100" t="s">
        <v>13290</v>
      </c>
      <c r="U6100" t="s">
        <v>13290</v>
      </c>
      <c r="V6100" t="s">
        <v>13290</v>
      </c>
      <c r="W6100" t="s">
        <v>19338</v>
      </c>
      <c r="X6100">
        <v>12</v>
      </c>
      <c r="Y6100" t="s">
        <v>25810</v>
      </c>
      <c r="Z6100" t="s">
        <v>32430</v>
      </c>
      <c r="AA6100">
        <v>0.45329522481108642</v>
      </c>
      <c r="AB6100" t="str">
        <f>HYPERLINK("Melting_Curves/meltCurve_Q9P032_NDUFAF4.pdf", "Melting_Curves/meltCurve_Q9P032_NDUFAF4.pdf")</f>
        <v>Melting_Curves/meltCurve_Q9P032_NDUFAF4.pdf</v>
      </c>
    </row>
    <row r="6101" spans="1:28" x14ac:dyDescent="0.25">
      <c r="A6101" t="s">
        <v>6105</v>
      </c>
      <c r="B6101">
        <v>0.99252571173614901</v>
      </c>
      <c r="C6101">
        <v>0.894809268037839</v>
      </c>
      <c r="D6101">
        <v>0.82635361713705902</v>
      </c>
      <c r="E6101">
        <v>0.809814435318575</v>
      </c>
      <c r="F6101">
        <v>0.54768079294924499</v>
      </c>
      <c r="G6101">
        <v>0.29665898057201201</v>
      </c>
      <c r="H6101">
        <v>0.121135206683935</v>
      </c>
      <c r="I6101">
        <v>7.1302660523781397E-2</v>
      </c>
      <c r="J6101">
        <v>4.4162610496905903E-2</v>
      </c>
      <c r="K6101">
        <v>4.2731984083115203E-2</v>
      </c>
      <c r="L6101">
        <v>765.54745710550606</v>
      </c>
      <c r="M6101">
        <v>14.302140859045901</v>
      </c>
      <c r="N6101">
        <v>53.526775710380797</v>
      </c>
      <c r="O6101">
        <v>52.512919710294902</v>
      </c>
      <c r="P6101">
        <v>-6.8096939076124893E-2</v>
      </c>
      <c r="Q6101">
        <v>0</v>
      </c>
      <c r="R6101">
        <v>0.98666916162354901</v>
      </c>
      <c r="S6101" t="s">
        <v>12747</v>
      </c>
      <c r="T6101" t="s">
        <v>13290</v>
      </c>
      <c r="U6101" t="s">
        <v>13290</v>
      </c>
      <c r="V6101" t="s">
        <v>13290</v>
      </c>
      <c r="W6101" t="s">
        <v>19339</v>
      </c>
      <c r="X6101">
        <v>6</v>
      </c>
      <c r="Y6101" t="s">
        <v>25811</v>
      </c>
      <c r="Z6101" t="s">
        <v>32431</v>
      </c>
      <c r="AA6101">
        <v>0.47323307903417883</v>
      </c>
      <c r="AB6101" t="str">
        <f>HYPERLINK("Melting_Curves/meltCurve_Q9P035_PTPLAD1.pdf", "Melting_Curves/meltCurve_Q9P035_PTPLAD1.pdf")</f>
        <v>Melting_Curves/meltCurve_Q9P035_PTPLAD1.pdf</v>
      </c>
    </row>
    <row r="6102" spans="1:28" x14ac:dyDescent="0.25">
      <c r="A6102" t="s">
        <v>6106</v>
      </c>
      <c r="B6102">
        <v>0.99252571173614901</v>
      </c>
      <c r="C6102">
        <v>0.96420501689744897</v>
      </c>
      <c r="D6102">
        <v>0.9180296948451</v>
      </c>
      <c r="E6102">
        <v>0.78189843561666605</v>
      </c>
      <c r="F6102">
        <v>0.33616872523545999</v>
      </c>
      <c r="G6102">
        <v>0.200783506842486</v>
      </c>
      <c r="H6102">
        <v>0.159226640305238</v>
      </c>
      <c r="I6102">
        <v>0.207188609303293</v>
      </c>
      <c r="J6102">
        <v>0.34683578488282102</v>
      </c>
      <c r="K6102">
        <v>0.33720784362550099</v>
      </c>
      <c r="L6102">
        <v>2109.86536601938</v>
      </c>
      <c r="M6102">
        <v>41.695622345708898</v>
      </c>
      <c r="N6102">
        <v>51.451992040740699</v>
      </c>
      <c r="O6102">
        <v>50.485639084833998</v>
      </c>
      <c r="P6102">
        <v>-0.155062177308149</v>
      </c>
      <c r="Q6102">
        <v>0.24899578169529901</v>
      </c>
      <c r="R6102">
        <v>0.96576989511884204</v>
      </c>
      <c r="S6102" t="s">
        <v>12748</v>
      </c>
      <c r="T6102" t="s">
        <v>13290</v>
      </c>
      <c r="U6102" t="s">
        <v>13290</v>
      </c>
      <c r="V6102" t="s">
        <v>13290</v>
      </c>
      <c r="W6102" t="s">
        <v>19340</v>
      </c>
      <c r="X6102">
        <v>2</v>
      </c>
      <c r="Y6102" t="s">
        <v>25812</v>
      </c>
      <c r="Z6102" t="s">
        <v>32432</v>
      </c>
      <c r="AA6102">
        <v>0.51680693599666139</v>
      </c>
      <c r="AB6102" t="str">
        <f>HYPERLINK("Melting_Curves/meltCurve_Q9P0B6_CCDC167.pdf", "Melting_Curves/meltCurve_Q9P0B6_CCDC167.pdf")</f>
        <v>Melting_Curves/meltCurve_Q9P0B6_CCDC167.pdf</v>
      </c>
    </row>
    <row r="6103" spans="1:28" x14ac:dyDescent="0.25">
      <c r="A6103" t="s">
        <v>6107</v>
      </c>
      <c r="B6103">
        <v>0.99252571173614901</v>
      </c>
      <c r="C6103">
        <v>0.860783763922637</v>
      </c>
      <c r="D6103">
        <v>0.89161858869716204</v>
      </c>
      <c r="E6103">
        <v>0.86377891660484496</v>
      </c>
      <c r="F6103">
        <v>0.49771966603433998</v>
      </c>
      <c r="G6103">
        <v>0.150933949901424</v>
      </c>
      <c r="H6103">
        <v>8.0061420965638702E-2</v>
      </c>
      <c r="I6103">
        <v>8.9376696106117801E-2</v>
      </c>
      <c r="J6103">
        <v>9.7845776690752506E-2</v>
      </c>
      <c r="K6103">
        <v>7.6606154575650107E-2</v>
      </c>
      <c r="L6103">
        <v>1436.7452951908599</v>
      </c>
      <c r="M6103">
        <v>27.262791196921398</v>
      </c>
      <c r="N6103">
        <v>53.003269689679698</v>
      </c>
      <c r="O6103">
        <v>52.418775537905198</v>
      </c>
      <c r="P6103">
        <v>-0.12063134618519</v>
      </c>
      <c r="Q6103">
        <v>7.2246752914090204E-2</v>
      </c>
      <c r="R6103">
        <v>0.97942571609347295</v>
      </c>
      <c r="S6103" t="s">
        <v>12749</v>
      </c>
      <c r="T6103" t="s">
        <v>13290</v>
      </c>
      <c r="U6103" t="s">
        <v>13290</v>
      </c>
      <c r="V6103" t="s">
        <v>13290</v>
      </c>
      <c r="W6103" t="s">
        <v>19341</v>
      </c>
      <c r="X6103">
        <v>4</v>
      </c>
      <c r="Y6103" t="s">
        <v>25813</v>
      </c>
      <c r="Z6103" t="s">
        <v>32433</v>
      </c>
      <c r="AA6103">
        <v>0.47221158829639759</v>
      </c>
      <c r="AB6103" t="str">
        <f>HYPERLINK("Melting_Curves/meltCurve_Q9P0I2_EMC3.pdf", "Melting_Curves/meltCurve_Q9P0I2_EMC3.pdf")</f>
        <v>Melting_Curves/meltCurve_Q9P0I2_EMC3.pdf</v>
      </c>
    </row>
    <row r="6104" spans="1:28" x14ac:dyDescent="0.25">
      <c r="A6104" t="s">
        <v>6108</v>
      </c>
      <c r="B6104">
        <v>0.99252571173614901</v>
      </c>
      <c r="C6104">
        <v>0.90181872288561404</v>
      </c>
      <c r="D6104">
        <v>0.87130568192937696</v>
      </c>
      <c r="E6104">
        <v>0.69337340328640096</v>
      </c>
      <c r="F6104">
        <v>0.19702543337046599</v>
      </c>
      <c r="G6104">
        <v>7.8646716193624705E-2</v>
      </c>
      <c r="H6104">
        <v>5.8487144965018299E-2</v>
      </c>
      <c r="I6104">
        <v>4.6440202744065101E-2</v>
      </c>
      <c r="J6104">
        <v>4.1935317412368903E-2</v>
      </c>
      <c r="K6104">
        <v>4.1493271920207297E-2</v>
      </c>
      <c r="L6104">
        <v>1393.8384170125601</v>
      </c>
      <c r="M6104">
        <v>27.558359099172801</v>
      </c>
      <c r="N6104">
        <v>50.723742146712297</v>
      </c>
      <c r="O6104">
        <v>50.313650882335303</v>
      </c>
      <c r="P6104">
        <v>-0.13171160623275799</v>
      </c>
      <c r="Q6104">
        <v>3.8138915702226502E-2</v>
      </c>
      <c r="R6104">
        <v>0.98895578738516399</v>
      </c>
      <c r="S6104" t="s">
        <v>12750</v>
      </c>
      <c r="T6104" t="s">
        <v>13290</v>
      </c>
      <c r="U6104" t="s">
        <v>13290</v>
      </c>
      <c r="V6104" t="s">
        <v>13290</v>
      </c>
      <c r="W6104" t="s">
        <v>19342</v>
      </c>
      <c r="X6104">
        <v>11</v>
      </c>
      <c r="Y6104" t="s">
        <v>25814</v>
      </c>
      <c r="Z6104" t="s">
        <v>32434</v>
      </c>
      <c r="AA6104">
        <v>0.38440317077848019</v>
      </c>
      <c r="AB6104" t="str">
        <f>HYPERLINK("Melting_Curves/meltCurve_Q9P0J1_PDP1.pdf", "Melting_Curves/meltCurve_Q9P0J1_PDP1.pdf")</f>
        <v>Melting_Curves/meltCurve_Q9P0J1_PDP1.pdf</v>
      </c>
    </row>
    <row r="6105" spans="1:28" x14ac:dyDescent="0.25">
      <c r="A6105" t="s">
        <v>6109</v>
      </c>
      <c r="B6105">
        <v>0.99252571173614901</v>
      </c>
      <c r="C6105">
        <v>0.97698653048225204</v>
      </c>
      <c r="D6105">
        <v>1.2297956463622599</v>
      </c>
      <c r="E6105">
        <v>1.4806623671438099</v>
      </c>
      <c r="F6105">
        <v>0.518195452112719</v>
      </c>
      <c r="G6105">
        <v>0.46528785205630102</v>
      </c>
      <c r="H6105">
        <v>0.39829283338431498</v>
      </c>
      <c r="I6105">
        <v>0.61868128448958704</v>
      </c>
      <c r="J6105">
        <v>0.77483813755763398</v>
      </c>
      <c r="K6105">
        <v>0.75875154091336705</v>
      </c>
      <c r="L6105">
        <v>4233.96526593216</v>
      </c>
      <c r="M6105">
        <v>81.623919511518693</v>
      </c>
      <c r="O6105">
        <v>51.840512327678802</v>
      </c>
      <c r="P6105">
        <v>-0.163269923031722</v>
      </c>
      <c r="Q6105">
        <v>0.58521984577102304</v>
      </c>
      <c r="R6105">
        <v>0.61488033595900304</v>
      </c>
      <c r="S6105" t="s">
        <v>12751</v>
      </c>
      <c r="T6105" t="s">
        <v>13290</v>
      </c>
      <c r="U6105" t="s">
        <v>13290</v>
      </c>
      <c r="V6105" t="s">
        <v>13290</v>
      </c>
      <c r="W6105" t="s">
        <v>19343</v>
      </c>
      <c r="X6105">
        <v>1</v>
      </c>
      <c r="Y6105" t="s">
        <v>25815</v>
      </c>
      <c r="Z6105" t="s">
        <v>32435</v>
      </c>
      <c r="AA6105">
        <v>0.74971185481916369</v>
      </c>
      <c r="AB6105" t="str">
        <f>HYPERLINK("Melting_Curves/meltCurve_Q9P0J7_KCMF1.pdf", "Melting_Curves/meltCurve_Q9P0J7_KCMF1.pdf")</f>
        <v>Melting_Curves/meltCurve_Q9P0J7_KCMF1.pdf</v>
      </c>
    </row>
    <row r="6106" spans="1:28" x14ac:dyDescent="0.25">
      <c r="A6106" t="s">
        <v>6110</v>
      </c>
      <c r="B6106">
        <v>0.99252571173614901</v>
      </c>
      <c r="C6106">
        <v>0.91600870107010501</v>
      </c>
      <c r="D6106">
        <v>0.850205876426669</v>
      </c>
      <c r="E6106">
        <v>0.79289689761460402</v>
      </c>
      <c r="F6106">
        <v>0.57272378965595305</v>
      </c>
      <c r="G6106">
        <v>0.39417218187351499</v>
      </c>
      <c r="H6106">
        <v>0.197601397688838</v>
      </c>
      <c r="I6106">
        <v>0.123562888330305</v>
      </c>
      <c r="J6106">
        <v>0.13144548554744101</v>
      </c>
      <c r="K6106">
        <v>0.131777521221208</v>
      </c>
      <c r="L6106">
        <v>659.55770523121805</v>
      </c>
      <c r="M6106">
        <v>12.223060019146599</v>
      </c>
      <c r="N6106">
        <v>54.330784433708203</v>
      </c>
      <c r="O6106">
        <v>52.576751926676998</v>
      </c>
      <c r="P6106">
        <v>-5.58075211796068E-2</v>
      </c>
      <c r="Q6106">
        <v>4.0004790866960897E-2</v>
      </c>
      <c r="R6106">
        <v>0.990998061190415</v>
      </c>
      <c r="S6106" t="s">
        <v>12752</v>
      </c>
      <c r="T6106" t="s">
        <v>13290</v>
      </c>
      <c r="U6106" t="s">
        <v>13290</v>
      </c>
      <c r="V6106" t="s">
        <v>13290</v>
      </c>
      <c r="W6106" t="s">
        <v>19344</v>
      </c>
      <c r="X6106">
        <v>16</v>
      </c>
      <c r="Y6106" t="s">
        <v>25816</v>
      </c>
      <c r="Z6106" t="s">
        <v>32436</v>
      </c>
      <c r="AA6106">
        <v>0.51146011970982908</v>
      </c>
      <c r="AB6106" t="str">
        <f>HYPERLINK("Melting_Curves/meltCurve_Q9P0L0_VAPA.pdf", "Melting_Curves/meltCurve_Q9P0L0_VAPA.pdf")</f>
        <v>Melting_Curves/meltCurve_Q9P0L0_VAPA.pdf</v>
      </c>
    </row>
    <row r="6107" spans="1:28" x14ac:dyDescent="0.25">
      <c r="A6107" t="s">
        <v>6111</v>
      </c>
      <c r="B6107">
        <v>0.99252571173614901</v>
      </c>
      <c r="C6107">
        <v>1.09527988032373</v>
      </c>
      <c r="D6107">
        <v>0.97951520793622304</v>
      </c>
      <c r="E6107">
        <v>0.92783109431633404</v>
      </c>
      <c r="F6107">
        <v>0.77914072578757099</v>
      </c>
      <c r="G6107">
        <v>0.61813021158731296</v>
      </c>
      <c r="H6107">
        <v>0.57283551310807101</v>
      </c>
      <c r="I6107">
        <v>0.70235231551587896</v>
      </c>
      <c r="J6107">
        <v>1.05155394055956</v>
      </c>
      <c r="K6107">
        <v>1.0581523624626199</v>
      </c>
      <c r="L6107">
        <v>12429.496496824901</v>
      </c>
      <c r="M6107">
        <v>250</v>
      </c>
      <c r="O6107">
        <v>49.714804645433198</v>
      </c>
      <c r="P6107">
        <v>-0.25517108708082697</v>
      </c>
      <c r="Q6107">
        <v>0.79702750945262002</v>
      </c>
      <c r="R6107">
        <v>0.30536538149456499</v>
      </c>
      <c r="S6107" t="s">
        <v>12753</v>
      </c>
      <c r="T6107" t="s">
        <v>13290</v>
      </c>
      <c r="U6107" t="s">
        <v>13290</v>
      </c>
      <c r="V6107" t="s">
        <v>13290</v>
      </c>
      <c r="W6107" t="s">
        <v>19345</v>
      </c>
      <c r="X6107">
        <v>8</v>
      </c>
      <c r="Y6107" t="s">
        <v>25817</v>
      </c>
      <c r="Z6107" t="s">
        <v>32437</v>
      </c>
      <c r="AA6107">
        <v>0.8627946803050599</v>
      </c>
      <c r="AB6107" t="str">
        <f>HYPERLINK("Melting_Curves/meltCurve_Q9P0P0_RNF181.pdf", "Melting_Curves/meltCurve_Q9P0P0_RNF181.pdf")</f>
        <v>Melting_Curves/meltCurve_Q9P0P0_RNF181.pdf</v>
      </c>
    </row>
    <row r="6108" spans="1:28" x14ac:dyDescent="0.25">
      <c r="A6108" t="s">
        <v>6112</v>
      </c>
      <c r="B6108">
        <v>0.99252571173614901</v>
      </c>
      <c r="C6108">
        <v>1.0749932470767101</v>
      </c>
      <c r="D6108">
        <v>0.94545312154349503</v>
      </c>
      <c r="E6108">
        <v>0.64723743571428005</v>
      </c>
      <c r="F6108">
        <v>0.39535233828998001</v>
      </c>
      <c r="G6108">
        <v>0.20668558510597801</v>
      </c>
      <c r="H6108">
        <v>0.138329151526177</v>
      </c>
      <c r="I6108">
        <v>0.13904069674710801</v>
      </c>
      <c r="J6108">
        <v>0.12888732752609899</v>
      </c>
      <c r="K6108">
        <v>0.10759287866488</v>
      </c>
      <c r="L6108">
        <v>1112.2251738923301</v>
      </c>
      <c r="M6108">
        <v>21.840491970743301</v>
      </c>
      <c r="N6108">
        <v>51.578888476497802</v>
      </c>
      <c r="O6108">
        <v>50.503750638281602</v>
      </c>
      <c r="P6108">
        <v>-9.5040118110218605E-2</v>
      </c>
      <c r="Q6108">
        <v>0.120940651985082</v>
      </c>
      <c r="R6108">
        <v>0.992295535693419</v>
      </c>
      <c r="S6108" t="s">
        <v>12754</v>
      </c>
      <c r="T6108" t="s">
        <v>13290</v>
      </c>
      <c r="U6108" t="s">
        <v>13290</v>
      </c>
      <c r="V6108" t="s">
        <v>13290</v>
      </c>
      <c r="W6108" t="s">
        <v>19346</v>
      </c>
      <c r="X6108">
        <v>4</v>
      </c>
      <c r="Y6108" t="s">
        <v>25818</v>
      </c>
      <c r="Z6108" t="s">
        <v>32438</v>
      </c>
      <c r="AA6108">
        <v>0.45138661516379991</v>
      </c>
      <c r="AB6108" t="str">
        <f>HYPERLINK("Melting_Curves/meltCurve_Q9P0R6_GSKIP.pdf", "Melting_Curves/meltCurve_Q9P0R6_GSKIP.pdf")</f>
        <v>Melting_Curves/meltCurve_Q9P0R6_GSKIP.pdf</v>
      </c>
    </row>
    <row r="6109" spans="1:28" x14ac:dyDescent="0.25">
      <c r="A6109" t="s">
        <v>6113</v>
      </c>
      <c r="B6109">
        <v>0.99252571173614901</v>
      </c>
      <c r="C6109">
        <v>0.99344669626263404</v>
      </c>
      <c r="D6109">
        <v>0.85204641040746099</v>
      </c>
      <c r="E6109">
        <v>0.66275930588547705</v>
      </c>
      <c r="F6109">
        <v>0.60604703552380801</v>
      </c>
      <c r="G6109">
        <v>0.450647661989307</v>
      </c>
      <c r="H6109">
        <v>0.40313186322021</v>
      </c>
      <c r="I6109">
        <v>0.43224556189346403</v>
      </c>
      <c r="J6109">
        <v>0.58715519824828399</v>
      </c>
      <c r="K6109">
        <v>0.63973010167024902</v>
      </c>
      <c r="L6109">
        <v>1130.55869024002</v>
      </c>
      <c r="M6109">
        <v>23.578184843923701</v>
      </c>
      <c r="O6109">
        <v>47.608430833073498</v>
      </c>
      <c r="P6109">
        <v>-6.0825462283095801E-2</v>
      </c>
      <c r="Q6109">
        <v>0.50873984377366899</v>
      </c>
      <c r="R6109">
        <v>0.88429107691616704</v>
      </c>
      <c r="S6109" t="s">
        <v>12755</v>
      </c>
      <c r="T6109" t="s">
        <v>13290</v>
      </c>
      <c r="U6109" t="s">
        <v>13290</v>
      </c>
      <c r="V6109" t="s">
        <v>13290</v>
      </c>
      <c r="W6109" t="s">
        <v>19347</v>
      </c>
      <c r="X6109">
        <v>4</v>
      </c>
      <c r="Y6109" t="s">
        <v>25819</v>
      </c>
      <c r="Z6109" t="s">
        <v>32439</v>
      </c>
      <c r="AA6109">
        <v>0.64383288150167783</v>
      </c>
      <c r="AB6109" t="str">
        <f>HYPERLINK("Melting_Curves/meltCurve_Q9P0S2_COX16.pdf", "Melting_Curves/meltCurve_Q9P0S2_COX16.pdf")</f>
        <v>Melting_Curves/meltCurve_Q9P0S2_COX16.pdf</v>
      </c>
    </row>
    <row r="6110" spans="1:28" x14ac:dyDescent="0.25">
      <c r="A6110" t="s">
        <v>6114</v>
      </c>
      <c r="B6110">
        <v>0.99252571173614901</v>
      </c>
      <c r="C6110">
        <v>0.84654833511323901</v>
      </c>
      <c r="D6110">
        <v>0.43935124714391799</v>
      </c>
      <c r="E6110">
        <v>0.39991553902903398</v>
      </c>
      <c r="F6110">
        <v>0.248969645546639</v>
      </c>
      <c r="G6110">
        <v>0.14319969887202</v>
      </c>
      <c r="H6110">
        <v>8.07649737870553E-2</v>
      </c>
      <c r="I6110">
        <v>8.9152788060605295E-2</v>
      </c>
      <c r="J6110">
        <v>0.15840991620483799</v>
      </c>
      <c r="K6110">
        <v>0.22386525322819201</v>
      </c>
      <c r="L6110">
        <v>840.05651004825302</v>
      </c>
      <c r="M6110">
        <v>18.386826354716298</v>
      </c>
      <c r="N6110">
        <v>46.5615710684474</v>
      </c>
      <c r="O6110">
        <v>45.1578138683699</v>
      </c>
      <c r="P6110">
        <v>-8.6946139249920104E-2</v>
      </c>
      <c r="Q6110">
        <v>0.145884265318627</v>
      </c>
      <c r="R6110">
        <v>0.95385081748096301</v>
      </c>
      <c r="S6110" t="s">
        <v>12756</v>
      </c>
      <c r="T6110" t="s">
        <v>13290</v>
      </c>
      <c r="U6110" t="s">
        <v>13290</v>
      </c>
      <c r="V6110" t="s">
        <v>13290</v>
      </c>
      <c r="W6110" t="s">
        <v>19348</v>
      </c>
      <c r="X6110">
        <v>5</v>
      </c>
      <c r="Y6110" t="s">
        <v>25820</v>
      </c>
      <c r="Z6110" t="s">
        <v>32440</v>
      </c>
      <c r="AA6110">
        <v>0.32421727274879952</v>
      </c>
      <c r="AB6110" t="str">
        <f>HYPERLINK("Melting_Curves/meltCurve_Q9P0U4_CXXC1.pdf", "Melting_Curves/meltCurve_Q9P0U4_CXXC1.pdf")</f>
        <v>Melting_Curves/meltCurve_Q9P0U4_CXXC1.pdf</v>
      </c>
    </row>
    <row r="6111" spans="1:28" x14ac:dyDescent="0.25">
      <c r="A6111" t="s">
        <v>6115</v>
      </c>
      <c r="B6111">
        <v>0.99252571173614901</v>
      </c>
      <c r="C6111">
        <v>0.84987251918203999</v>
      </c>
      <c r="D6111">
        <v>0.77268718796187896</v>
      </c>
      <c r="E6111">
        <v>0.390711368080844</v>
      </c>
      <c r="F6111">
        <v>0.17339546305166301</v>
      </c>
      <c r="G6111">
        <v>0.102949419351322</v>
      </c>
      <c r="H6111">
        <v>7.0393993637985305E-2</v>
      </c>
      <c r="I6111">
        <v>6.1762619682514203E-2</v>
      </c>
      <c r="J6111">
        <v>7.4560000195029605E-2</v>
      </c>
      <c r="K6111">
        <v>7.5715773432350697E-2</v>
      </c>
      <c r="L6111">
        <v>941.56409414798702</v>
      </c>
      <c r="M6111">
        <v>19.560646790263998</v>
      </c>
      <c r="N6111">
        <v>48.454238336992503</v>
      </c>
      <c r="O6111">
        <v>47.641004972419999</v>
      </c>
      <c r="P6111">
        <v>-9.6455649847482394E-2</v>
      </c>
      <c r="Q6111">
        <v>6.0341748004097001E-2</v>
      </c>
      <c r="R6111">
        <v>0.99393613521922197</v>
      </c>
      <c r="S6111" t="s">
        <v>12757</v>
      </c>
      <c r="T6111" t="s">
        <v>13290</v>
      </c>
      <c r="U6111" t="s">
        <v>13290</v>
      </c>
      <c r="V6111" t="s">
        <v>13290</v>
      </c>
      <c r="W6111" t="s">
        <v>19349</v>
      </c>
      <c r="X6111">
        <v>19</v>
      </c>
      <c r="Y6111" t="s">
        <v>25821</v>
      </c>
      <c r="Z6111" t="s">
        <v>32441</v>
      </c>
      <c r="AA6111">
        <v>0.32912152382996401</v>
      </c>
      <c r="AB6111" t="str">
        <f>HYPERLINK("Melting_Curves/meltCurve_Q9P0V3_SH3BP4.pdf", "Melting_Curves/meltCurve_Q9P0V3_SH3BP4.pdf")</f>
        <v>Melting_Curves/meltCurve_Q9P0V3_SH3BP4.pdf</v>
      </c>
    </row>
    <row r="6112" spans="1:28" x14ac:dyDescent="0.25">
      <c r="A6112" t="s">
        <v>6116</v>
      </c>
      <c r="B6112">
        <v>0.99252571173614901</v>
      </c>
      <c r="C6112">
        <v>1.10737030087085</v>
      </c>
      <c r="D6112">
        <v>0.70260148539304301</v>
      </c>
      <c r="E6112">
        <v>0.48584817985316903</v>
      </c>
      <c r="F6112">
        <v>0.37634570808237899</v>
      </c>
      <c r="G6112">
        <v>0.28198564511463597</v>
      </c>
      <c r="H6112">
        <v>0.127493174755478</v>
      </c>
      <c r="I6112">
        <v>0.18983943140943199</v>
      </c>
      <c r="J6112">
        <v>0.22350506837234499</v>
      </c>
      <c r="K6112">
        <v>0.217640519221005</v>
      </c>
      <c r="L6112">
        <v>974.444237983682</v>
      </c>
      <c r="M6112">
        <v>20.1791112889223</v>
      </c>
      <c r="N6112">
        <v>49.576753122418303</v>
      </c>
      <c r="O6112">
        <v>47.823009350932097</v>
      </c>
      <c r="P6112">
        <v>-8.3984066503618796E-2</v>
      </c>
      <c r="Q6112">
        <v>0.20388077442070501</v>
      </c>
      <c r="R6112">
        <v>0.95501127517522499</v>
      </c>
      <c r="S6112" t="s">
        <v>12758</v>
      </c>
      <c r="T6112" t="s">
        <v>13290</v>
      </c>
      <c r="U6112" t="s">
        <v>13290</v>
      </c>
      <c r="V6112" t="s">
        <v>13290</v>
      </c>
      <c r="W6112" t="s">
        <v>19350</v>
      </c>
      <c r="X6112">
        <v>1</v>
      </c>
      <c r="Y6112" t="s">
        <v>25822</v>
      </c>
      <c r="Z6112" t="s">
        <v>32442</v>
      </c>
      <c r="AA6112">
        <v>0.43491319275822121</v>
      </c>
      <c r="AB6112" t="str">
        <f>HYPERLINK("Melting_Curves/meltCurve_Q9P0W2_2_HMG20B.pdf", "Melting_Curves/meltCurve_Q9P0W2_2_HMG20B.pdf")</f>
        <v>Melting_Curves/meltCurve_Q9P0W2_2_HMG20B.pdf</v>
      </c>
    </row>
    <row r="6113" spans="1:28" x14ac:dyDescent="0.25">
      <c r="A6113" t="s">
        <v>6117</v>
      </c>
      <c r="B6113">
        <v>0.99252571173614901</v>
      </c>
      <c r="C6113">
        <v>1.0242233190405701</v>
      </c>
      <c r="D6113">
        <v>0.97384202266183995</v>
      </c>
      <c r="E6113">
        <v>0.85557524632976201</v>
      </c>
      <c r="F6113">
        <v>0.73081151945778</v>
      </c>
      <c r="G6113">
        <v>0.60880655887267299</v>
      </c>
      <c r="H6113">
        <v>0.43718422350658098</v>
      </c>
      <c r="I6113">
        <v>0.43334940447137099</v>
      </c>
      <c r="J6113">
        <v>0.25518019009743997</v>
      </c>
      <c r="K6113">
        <v>0.11447317676258301</v>
      </c>
      <c r="L6113">
        <v>576.08937277279301</v>
      </c>
      <c r="M6113">
        <v>9.6721988400022099</v>
      </c>
      <c r="N6113">
        <v>59.561358387731502</v>
      </c>
      <c r="O6113">
        <v>57.182471512956297</v>
      </c>
      <c r="P6113">
        <v>-4.2309915155891602E-2</v>
      </c>
      <c r="Q6113">
        <v>0</v>
      </c>
      <c r="R6113">
        <v>0.979476268697413</v>
      </c>
      <c r="S6113" t="s">
        <v>12759</v>
      </c>
      <c r="T6113" t="s">
        <v>13290</v>
      </c>
      <c r="U6113" t="s">
        <v>13290</v>
      </c>
      <c r="V6113" t="s">
        <v>13290</v>
      </c>
      <c r="W6113" t="s">
        <v>19351</v>
      </c>
      <c r="X6113">
        <v>14</v>
      </c>
      <c r="Y6113" t="s">
        <v>25823</v>
      </c>
      <c r="Z6113" t="s">
        <v>32443</v>
      </c>
      <c r="AA6113">
        <v>0.65008237223391752</v>
      </c>
      <c r="AB6113" t="str">
        <f>HYPERLINK("Melting_Curves/meltCurve_Q9P0Z9_PIPOX.pdf", "Melting_Curves/meltCurve_Q9P0Z9_PIPOX.pdf")</f>
        <v>Melting_Curves/meltCurve_Q9P0Z9_PIPOX.pdf</v>
      </c>
    </row>
    <row r="6114" spans="1:28" x14ac:dyDescent="0.25">
      <c r="A6114" t="s">
        <v>6118</v>
      </c>
      <c r="B6114">
        <v>0.99252571173614901</v>
      </c>
      <c r="C6114">
        <v>1.0457659431095501</v>
      </c>
      <c r="D6114">
        <v>0.95245878309308196</v>
      </c>
      <c r="E6114">
        <v>0.686911330692903</v>
      </c>
      <c r="F6114">
        <v>0.67161752822016496</v>
      </c>
      <c r="G6114">
        <v>0.437368933356581</v>
      </c>
      <c r="H6114">
        <v>0.317227334313681</v>
      </c>
      <c r="I6114">
        <v>0.281208572794097</v>
      </c>
      <c r="J6114">
        <v>0.31597527567170902</v>
      </c>
      <c r="K6114">
        <v>0.31798297911236101</v>
      </c>
      <c r="L6114">
        <v>809.14754033081897</v>
      </c>
      <c r="M6114">
        <v>15.4650854770947</v>
      </c>
      <c r="N6114">
        <v>55.1795763026077</v>
      </c>
      <c r="O6114">
        <v>51.469523691147302</v>
      </c>
      <c r="P6114">
        <v>-5.4419937245035001E-2</v>
      </c>
      <c r="Q6114">
        <v>0.27560270465176001</v>
      </c>
      <c r="R6114">
        <v>0.97120290872972903</v>
      </c>
      <c r="S6114" t="s">
        <v>12760</v>
      </c>
      <c r="T6114" t="s">
        <v>13290</v>
      </c>
      <c r="U6114" t="s">
        <v>13290</v>
      </c>
      <c r="V6114" t="s">
        <v>13290</v>
      </c>
      <c r="W6114" t="s">
        <v>19352</v>
      </c>
      <c r="X6114">
        <v>3</v>
      </c>
      <c r="Y6114" t="s">
        <v>25824</v>
      </c>
      <c r="Z6114" t="s">
        <v>32444</v>
      </c>
      <c r="AA6114">
        <v>0.5884029188280725</v>
      </c>
      <c r="AB6114" t="str">
        <f>HYPERLINK("Melting_Curves/meltCurve_Q9P1F3_ABRACL.pdf", "Melting_Curves/meltCurve_Q9P1F3_ABRACL.pdf")</f>
        <v>Melting_Curves/meltCurve_Q9P1F3_ABRACL.pdf</v>
      </c>
    </row>
    <row r="6115" spans="1:28" x14ac:dyDescent="0.25">
      <c r="A6115" t="s">
        <v>6119</v>
      </c>
      <c r="B6115">
        <v>0.99252571173614901</v>
      </c>
      <c r="C6115">
        <v>0.94053961933825303</v>
      </c>
      <c r="D6115">
        <v>1.07132584897271</v>
      </c>
      <c r="E6115">
        <v>1.2311321837083899</v>
      </c>
      <c r="F6115">
        <v>1.0338249559825501</v>
      </c>
      <c r="G6115">
        <v>0.93103897656636603</v>
      </c>
      <c r="H6115">
        <v>0.80177062266412102</v>
      </c>
      <c r="I6115">
        <v>0.57551935317525404</v>
      </c>
      <c r="J6115">
        <v>0.245828275444328</v>
      </c>
      <c r="K6115">
        <v>0.19635024580536201</v>
      </c>
      <c r="L6115">
        <v>1698.40258308438</v>
      </c>
      <c r="M6115">
        <v>26.567309127242201</v>
      </c>
      <c r="N6115">
        <v>64.413055640964203</v>
      </c>
      <c r="O6115">
        <v>63.569381586220899</v>
      </c>
      <c r="P6115">
        <v>-9.5015191503674698E-2</v>
      </c>
      <c r="Q6115">
        <v>9.06127312528206E-2</v>
      </c>
      <c r="R6115">
        <v>0.93746858009633205</v>
      </c>
      <c r="S6115" t="s">
        <v>12761</v>
      </c>
      <c r="T6115" t="s">
        <v>13290</v>
      </c>
      <c r="U6115" t="s">
        <v>13290</v>
      </c>
      <c r="V6115" t="s">
        <v>13290</v>
      </c>
      <c r="W6115" t="s">
        <v>19353</v>
      </c>
      <c r="X6115">
        <v>7</v>
      </c>
      <c r="Y6115" t="s">
        <v>25825</v>
      </c>
      <c r="Z6115" t="s">
        <v>32445</v>
      </c>
      <c r="AA6115">
        <v>0.81603681084271928</v>
      </c>
      <c r="AB6115" t="str">
        <f>HYPERLINK("Melting_Curves/meltCurve_Q9P1U1_ACTR3B.pdf", "Melting_Curves/meltCurve_Q9P1U1_ACTR3B.pdf")</f>
        <v>Melting_Curves/meltCurve_Q9P1U1_ACTR3B.pdf</v>
      </c>
    </row>
    <row r="6116" spans="1:28" x14ac:dyDescent="0.25">
      <c r="A6116" t="s">
        <v>6120</v>
      </c>
      <c r="B6116">
        <v>0.99252571173614901</v>
      </c>
      <c r="C6116">
        <v>0.84765972624911501</v>
      </c>
      <c r="D6116">
        <v>0.49021943798825401</v>
      </c>
      <c r="E6116">
        <v>0.37060670276969299</v>
      </c>
      <c r="F6116">
        <v>0.21490270644988399</v>
      </c>
      <c r="G6116">
        <v>0.13008034503920399</v>
      </c>
      <c r="H6116">
        <v>0.10496163876030799</v>
      </c>
      <c r="I6116">
        <v>0.130428433076378</v>
      </c>
      <c r="J6116">
        <v>0.175196554458045</v>
      </c>
      <c r="K6116">
        <v>0.187199189399398</v>
      </c>
      <c r="L6116">
        <v>901.66159195457396</v>
      </c>
      <c r="M6116">
        <v>19.691112662230299</v>
      </c>
      <c r="N6116">
        <v>46.624347752452998</v>
      </c>
      <c r="O6116">
        <v>45.325864864171002</v>
      </c>
      <c r="P6116">
        <v>-9.2488864306435201E-2</v>
      </c>
      <c r="Q6116">
        <v>0.14844982214827401</v>
      </c>
      <c r="R6116">
        <v>0.98057534846966998</v>
      </c>
      <c r="S6116" t="s">
        <v>12762</v>
      </c>
      <c r="T6116" t="s">
        <v>13290</v>
      </c>
      <c r="U6116" t="s">
        <v>13290</v>
      </c>
      <c r="V6116" t="s">
        <v>13290</v>
      </c>
      <c r="W6116" t="s">
        <v>19354</v>
      </c>
      <c r="X6116">
        <v>11</v>
      </c>
      <c r="Y6116" t="s">
        <v>25826</v>
      </c>
      <c r="Z6116" t="s">
        <v>32446</v>
      </c>
      <c r="AA6116">
        <v>0.3266657373229383</v>
      </c>
      <c r="AB6116" t="str">
        <f>HYPERLINK("Melting_Curves/meltCurve_Q9P1Y5_CAMSAP3.pdf", "Melting_Curves/meltCurve_Q9P1Y5_CAMSAP3.pdf")</f>
        <v>Melting_Curves/meltCurve_Q9P1Y5_CAMSAP3.pdf</v>
      </c>
    </row>
    <row r="6117" spans="1:28" x14ac:dyDescent="0.25">
      <c r="A6117" t="s">
        <v>6121</v>
      </c>
      <c r="B6117">
        <v>0.99252571173614901</v>
      </c>
      <c r="C6117">
        <v>1.01253136873683</v>
      </c>
      <c r="D6117">
        <v>0.74907094581005396</v>
      </c>
      <c r="E6117">
        <v>0.428328407711421</v>
      </c>
      <c r="F6117">
        <v>0.28960173878463502</v>
      </c>
      <c r="G6117">
        <v>0.16710131017084801</v>
      </c>
      <c r="H6117">
        <v>0.139297660027739</v>
      </c>
      <c r="I6117">
        <v>0.16257593445818799</v>
      </c>
      <c r="J6117">
        <v>0.18735266375507501</v>
      </c>
      <c r="K6117">
        <v>0.196609342082225</v>
      </c>
      <c r="L6117">
        <v>1125.0833993850799</v>
      </c>
      <c r="M6117">
        <v>23.462971049641499</v>
      </c>
      <c r="N6117">
        <v>48.8249215420837</v>
      </c>
      <c r="O6117">
        <v>47.6071897851252</v>
      </c>
      <c r="P6117">
        <v>-0.10209520559598199</v>
      </c>
      <c r="Q6117">
        <v>0.171395277150519</v>
      </c>
      <c r="R6117">
        <v>0.99148020926033897</v>
      </c>
      <c r="S6117" t="s">
        <v>12763</v>
      </c>
      <c r="T6117" t="s">
        <v>13290</v>
      </c>
      <c r="U6117" t="s">
        <v>13290</v>
      </c>
      <c r="V6117" t="s">
        <v>13290</v>
      </c>
      <c r="W6117" t="s">
        <v>19355</v>
      </c>
      <c r="X6117">
        <v>5</v>
      </c>
      <c r="Y6117" t="s">
        <v>25827</v>
      </c>
      <c r="Z6117" t="s">
        <v>32447</v>
      </c>
      <c r="AA6117">
        <v>0.39940055747261088</v>
      </c>
      <c r="AB6117" t="str">
        <f>HYPERLINK("Melting_Curves/meltCurve_Q9P1Z2_2_CALCOCO1.pdf", "Melting_Curves/meltCurve_Q9P1Z2_2_CALCOCO1.pdf")</f>
        <v>Melting_Curves/meltCurve_Q9P1Z2_2_CALCOCO1.pdf</v>
      </c>
    </row>
    <row r="6118" spans="1:28" x14ac:dyDescent="0.25">
      <c r="A6118" t="s">
        <v>6122</v>
      </c>
      <c r="B6118">
        <v>0.99252571173614901</v>
      </c>
      <c r="C6118">
        <v>1.15283320639473</v>
      </c>
      <c r="D6118">
        <v>1.1182315152928699</v>
      </c>
      <c r="E6118">
        <v>1.1704382363564301</v>
      </c>
      <c r="F6118">
        <v>0.78465584859632298</v>
      </c>
      <c r="G6118">
        <v>0.54716851140154499</v>
      </c>
      <c r="H6118">
        <v>0.53057747690179202</v>
      </c>
      <c r="I6118">
        <v>0.72259192526448102</v>
      </c>
      <c r="J6118">
        <v>1.2436397702815101</v>
      </c>
      <c r="K6118">
        <v>1.4082330889585499</v>
      </c>
      <c r="L6118">
        <v>15000</v>
      </c>
      <c r="M6118">
        <v>223.93858114422099</v>
      </c>
      <c r="O6118">
        <v>66.977327981121505</v>
      </c>
      <c r="P6118">
        <v>0.34126374124492298</v>
      </c>
      <c r="Q6118">
        <v>1.4082713600602601</v>
      </c>
      <c r="R6118">
        <v>0.25913459018193402</v>
      </c>
      <c r="S6118" t="s">
        <v>12764</v>
      </c>
      <c r="T6118" t="s">
        <v>13290</v>
      </c>
      <c r="U6118" t="s">
        <v>13290</v>
      </c>
      <c r="V6118" t="s">
        <v>13290</v>
      </c>
      <c r="W6118" t="s">
        <v>19356</v>
      </c>
      <c r="X6118">
        <v>4</v>
      </c>
      <c r="Y6118" t="s">
        <v>25828</v>
      </c>
      <c r="Z6118" t="s">
        <v>32448</v>
      </c>
      <c r="AA6118">
        <v>1.0410036992687639</v>
      </c>
      <c r="AB6118" t="str">
        <f>HYPERLINK("Melting_Curves/meltCurve_Q9P206_2_KIAA1522.pdf", "Melting_Curves/meltCurve_Q9P206_2_KIAA1522.pdf")</f>
        <v>Melting_Curves/meltCurve_Q9P206_2_KIAA1522.pdf</v>
      </c>
    </row>
    <row r="6119" spans="1:28" x14ac:dyDescent="0.25">
      <c r="A6119" t="s">
        <v>6123</v>
      </c>
      <c r="B6119">
        <v>0.99252571173614901</v>
      </c>
      <c r="C6119">
        <v>0.59204991505146298</v>
      </c>
      <c r="D6119">
        <v>0.57905456042825298</v>
      </c>
      <c r="E6119">
        <v>0.27050670432811902</v>
      </c>
      <c r="F6119">
        <v>0.18779137083125</v>
      </c>
      <c r="G6119">
        <v>0.17110090124192001</v>
      </c>
      <c r="H6119">
        <v>0.138430152754455</v>
      </c>
      <c r="I6119">
        <v>0.17329920538108701</v>
      </c>
      <c r="J6119">
        <v>0.341421988565551</v>
      </c>
      <c r="K6119">
        <v>0.35611790556440898</v>
      </c>
      <c r="L6119">
        <v>865.09780531643696</v>
      </c>
      <c r="M6119">
        <v>19.634860571620301</v>
      </c>
      <c r="N6119">
        <v>45.441208386148801</v>
      </c>
      <c r="O6119">
        <v>43.609895700933798</v>
      </c>
      <c r="P6119">
        <v>-8.7258907111194203E-2</v>
      </c>
      <c r="Q6119">
        <v>0.224803498876742</v>
      </c>
      <c r="R6119">
        <v>0.86832169176273799</v>
      </c>
      <c r="S6119" t="s">
        <v>12765</v>
      </c>
      <c r="T6119" t="s">
        <v>13290</v>
      </c>
      <c r="U6119" t="s">
        <v>13290</v>
      </c>
      <c r="V6119" t="s">
        <v>13290</v>
      </c>
      <c r="W6119" t="s">
        <v>19357</v>
      </c>
      <c r="X6119">
        <v>2</v>
      </c>
      <c r="Y6119" t="s">
        <v>25829</v>
      </c>
      <c r="Z6119" t="s">
        <v>32449</v>
      </c>
      <c r="AA6119">
        <v>0.34526300234933838</v>
      </c>
      <c r="AB6119" t="str">
        <f>HYPERLINK("Melting_Curves/meltCurve_Q9P209_CEP72.pdf", "Melting_Curves/meltCurve_Q9P209_CEP72.pdf")</f>
        <v>Melting_Curves/meltCurve_Q9P209_CEP72.pdf</v>
      </c>
    </row>
    <row r="6120" spans="1:28" x14ac:dyDescent="0.25">
      <c r="A6120" t="s">
        <v>6124</v>
      </c>
      <c r="B6120">
        <v>0.99252571173614901</v>
      </c>
      <c r="C6120">
        <v>0.88099975554868004</v>
      </c>
      <c r="D6120">
        <v>0.41449176898111501</v>
      </c>
      <c r="E6120">
        <v>0.34952681358430998</v>
      </c>
      <c r="F6120">
        <v>0.25749065504903501</v>
      </c>
      <c r="G6120">
        <v>0.176963071771884</v>
      </c>
      <c r="H6120">
        <v>0.113449122421933</v>
      </c>
      <c r="I6120">
        <v>8.7549429178013199E-2</v>
      </c>
      <c r="J6120">
        <v>9.7670384621127704E-2</v>
      </c>
      <c r="K6120">
        <v>9.9813010854586603E-2</v>
      </c>
      <c r="L6120">
        <v>869.77797791546004</v>
      </c>
      <c r="M6120">
        <v>19.023194817002999</v>
      </c>
      <c r="N6120">
        <v>46.416180231161498</v>
      </c>
      <c r="O6120">
        <v>45.225709181713597</v>
      </c>
      <c r="P6120">
        <v>-9.2141128493702901E-2</v>
      </c>
      <c r="Q6120">
        <v>0.123810152014488</v>
      </c>
      <c r="R6120">
        <v>0.962204742496924</v>
      </c>
      <c r="S6120" t="s">
        <v>12766</v>
      </c>
      <c r="T6120" t="s">
        <v>13290</v>
      </c>
      <c r="U6120" t="s">
        <v>13290</v>
      </c>
      <c r="V6120" t="s">
        <v>13290</v>
      </c>
      <c r="W6120" t="s">
        <v>19358</v>
      </c>
      <c r="X6120">
        <v>8</v>
      </c>
      <c r="Y6120" t="s">
        <v>25830</v>
      </c>
      <c r="Z6120" t="s">
        <v>32450</v>
      </c>
      <c r="AA6120">
        <v>0.30644713801374518</v>
      </c>
      <c r="AB6120" t="str">
        <f>HYPERLINK("Melting_Curves/meltCurve_Q9P219_CCDC88C.pdf", "Melting_Curves/meltCurve_Q9P219_CCDC88C.pdf")</f>
        <v>Melting_Curves/meltCurve_Q9P219_CCDC88C.pdf</v>
      </c>
    </row>
    <row r="6121" spans="1:28" x14ac:dyDescent="0.25">
      <c r="A6121" t="s">
        <v>6125</v>
      </c>
      <c r="B6121">
        <v>0.99252571173614901</v>
      </c>
      <c r="C6121">
        <v>1.0525428479558101</v>
      </c>
      <c r="D6121">
        <v>0.887407467581392</v>
      </c>
      <c r="E6121">
        <v>0.74956399413538699</v>
      </c>
      <c r="F6121">
        <v>0.263594718227942</v>
      </c>
      <c r="G6121">
        <v>8.8133362383295805E-2</v>
      </c>
      <c r="H6121">
        <v>6.2053747071518603E-2</v>
      </c>
      <c r="I6121">
        <v>6.1073813798364199E-2</v>
      </c>
      <c r="J6121">
        <v>6.97584917972386E-2</v>
      </c>
      <c r="K6121">
        <v>6.8125136941004902E-2</v>
      </c>
      <c r="L6121">
        <v>1551.7251425633499</v>
      </c>
      <c r="M6121">
        <v>30.3906846642777</v>
      </c>
      <c r="N6121">
        <v>51.270852370687699</v>
      </c>
      <c r="O6121">
        <v>50.839686283015602</v>
      </c>
      <c r="P6121">
        <v>-0.14063584263610299</v>
      </c>
      <c r="Q6121">
        <v>5.8943496001135701E-2</v>
      </c>
      <c r="R6121">
        <v>0.99375926381523905</v>
      </c>
      <c r="S6121" t="s">
        <v>12767</v>
      </c>
      <c r="T6121" t="s">
        <v>13290</v>
      </c>
      <c r="U6121" t="s">
        <v>13290</v>
      </c>
      <c r="V6121" t="s">
        <v>13290</v>
      </c>
      <c r="W6121" t="s">
        <v>19359</v>
      </c>
      <c r="X6121">
        <v>40</v>
      </c>
      <c r="Y6121" t="s">
        <v>25831</v>
      </c>
      <c r="Z6121" t="s">
        <v>32451</v>
      </c>
      <c r="AA6121">
        <v>0.41162679921260398</v>
      </c>
      <c r="AB6121" t="str">
        <f>HYPERLINK("Melting_Curves/meltCurve_Q9P258_RCC2.pdf", "Melting_Curves/meltCurve_Q9P258_RCC2.pdf")</f>
        <v>Melting_Curves/meltCurve_Q9P258_RCC2.pdf</v>
      </c>
    </row>
    <row r="6122" spans="1:28" x14ac:dyDescent="0.25">
      <c r="A6122" t="s">
        <v>6126</v>
      </c>
      <c r="B6122">
        <v>0.99252571173614901</v>
      </c>
      <c r="C6122">
        <v>0.86227326279348704</v>
      </c>
      <c r="D6122">
        <v>0.71804970800446399</v>
      </c>
      <c r="E6122">
        <v>0.41478903661768302</v>
      </c>
      <c r="F6122">
        <v>0.165339102539273</v>
      </c>
      <c r="G6122">
        <v>8.2420574340327596E-2</v>
      </c>
      <c r="H6122">
        <v>5.4470861602887499E-2</v>
      </c>
      <c r="I6122">
        <v>5.2911647501646702E-2</v>
      </c>
      <c r="J6122">
        <v>5.9333752633554303E-2</v>
      </c>
      <c r="K6122">
        <v>5.34669584806634E-2</v>
      </c>
      <c r="L6122">
        <v>860.40202715681301</v>
      </c>
      <c r="M6122">
        <v>17.878132504323698</v>
      </c>
      <c r="N6122">
        <v>48.3457843207511</v>
      </c>
      <c r="O6122">
        <v>47.535937897256197</v>
      </c>
      <c r="P6122">
        <v>-9.0357847096709604E-2</v>
      </c>
      <c r="Q6122">
        <v>3.9043405105505302E-2</v>
      </c>
      <c r="R6122">
        <v>0.99725293647968305</v>
      </c>
      <c r="S6122" t="s">
        <v>12768</v>
      </c>
      <c r="T6122" t="s">
        <v>13290</v>
      </c>
      <c r="U6122" t="s">
        <v>13290</v>
      </c>
      <c r="V6122" t="s">
        <v>13290</v>
      </c>
      <c r="W6122" t="s">
        <v>19360</v>
      </c>
      <c r="X6122">
        <v>6</v>
      </c>
      <c r="Y6122" t="s">
        <v>25832</v>
      </c>
      <c r="Z6122" t="s">
        <v>32452</v>
      </c>
      <c r="AA6122">
        <v>0.31656069427021027</v>
      </c>
      <c r="AB6122" t="str">
        <f>HYPERLINK("Melting_Curves/meltCurve_Q9P260_KIAA1468.pdf", "Melting_Curves/meltCurve_Q9P260_KIAA1468.pdf")</f>
        <v>Melting_Curves/meltCurve_Q9P260_KIAA1468.pdf</v>
      </c>
    </row>
    <row r="6123" spans="1:28" x14ac:dyDescent="0.25">
      <c r="A6123" t="s">
        <v>6127</v>
      </c>
      <c r="B6123">
        <v>0.99252571173614901</v>
      </c>
      <c r="C6123">
        <v>0.95689087730566402</v>
      </c>
      <c r="D6123">
        <v>1.01880886290984</v>
      </c>
      <c r="E6123">
        <v>0.99444703588508998</v>
      </c>
      <c r="F6123">
        <v>0.81004425770477495</v>
      </c>
      <c r="G6123">
        <v>0.26697380330032999</v>
      </c>
      <c r="H6123">
        <v>0.15158912695464999</v>
      </c>
      <c r="I6123">
        <v>0.152622358225946</v>
      </c>
      <c r="J6123">
        <v>0.16792368649050701</v>
      </c>
      <c r="K6123">
        <v>0.16591470862666799</v>
      </c>
      <c r="L6123">
        <v>2655.06782802725</v>
      </c>
      <c r="M6123">
        <v>48.670204137759498</v>
      </c>
      <c r="N6123">
        <v>54.982159238284702</v>
      </c>
      <c r="O6123">
        <v>54.460378800800498</v>
      </c>
      <c r="P6123">
        <v>-0.18806034025677501</v>
      </c>
      <c r="Q6123">
        <v>0.15826737188939499</v>
      </c>
      <c r="R6123">
        <v>0.998293942727836</v>
      </c>
      <c r="S6123" t="s">
        <v>12769</v>
      </c>
      <c r="T6123" t="s">
        <v>13290</v>
      </c>
      <c r="U6123" t="s">
        <v>13290</v>
      </c>
      <c r="V6123" t="s">
        <v>13290</v>
      </c>
      <c r="W6123" t="s">
        <v>19361</v>
      </c>
      <c r="X6123">
        <v>24</v>
      </c>
      <c r="Y6123" t="s">
        <v>25833</v>
      </c>
      <c r="Z6123" t="s">
        <v>32453</v>
      </c>
      <c r="AA6123">
        <v>0.56870722661591122</v>
      </c>
      <c r="AB6123" t="str">
        <f>HYPERLINK("Melting_Curves/meltCurve_Q9P265_DIP2B.pdf", "Melting_Curves/meltCurve_Q9P265_DIP2B.pdf")</f>
        <v>Melting_Curves/meltCurve_Q9P265_DIP2B.pdf</v>
      </c>
    </row>
    <row r="6124" spans="1:28" x14ac:dyDescent="0.25">
      <c r="A6124" t="s">
        <v>6128</v>
      </c>
      <c r="B6124">
        <v>0.99252571173614901</v>
      </c>
      <c r="C6124">
        <v>1.03337665686417</v>
      </c>
      <c r="D6124">
        <v>0.92544376870674705</v>
      </c>
      <c r="E6124">
        <v>0.82693698517589198</v>
      </c>
      <c r="F6124">
        <v>0.40595111483764901</v>
      </c>
      <c r="G6124">
        <v>0.24187374455713601</v>
      </c>
      <c r="H6124">
        <v>0.23764390531354401</v>
      </c>
      <c r="I6124">
        <v>0.352970824348255</v>
      </c>
      <c r="J6124">
        <v>0.70303340554184002</v>
      </c>
      <c r="K6124">
        <v>1.13685293200084</v>
      </c>
      <c r="L6124">
        <v>12429.5300125786</v>
      </c>
      <c r="M6124">
        <v>250</v>
      </c>
      <c r="O6124">
        <v>49.714938699191599</v>
      </c>
      <c r="P6124">
        <v>-0.61217223870055204</v>
      </c>
      <c r="Q6124">
        <v>0.51305431817568103</v>
      </c>
      <c r="R6124">
        <v>0.42895767657065198</v>
      </c>
      <c r="S6124" t="s">
        <v>12770</v>
      </c>
      <c r="T6124" t="s">
        <v>13290</v>
      </c>
      <c r="U6124" t="s">
        <v>13290</v>
      </c>
      <c r="V6124" t="s">
        <v>13290</v>
      </c>
      <c r="W6124" t="s">
        <v>19362</v>
      </c>
      <c r="X6124">
        <v>4</v>
      </c>
      <c r="Y6124" t="s">
        <v>25834</v>
      </c>
      <c r="Z6124" t="s">
        <v>32454</v>
      </c>
      <c r="AA6124">
        <v>0.67083669285580716</v>
      </c>
      <c r="AB6124" t="str">
        <f>HYPERLINK("Melting_Curves/meltCurve_Q9P266_KIAA1462.pdf", "Melting_Curves/meltCurve_Q9P266_KIAA1462.pdf")</f>
        <v>Melting_Curves/meltCurve_Q9P266_KIAA1462.pdf</v>
      </c>
    </row>
    <row r="6125" spans="1:28" x14ac:dyDescent="0.25">
      <c r="A6125" t="s">
        <v>6129</v>
      </c>
      <c r="B6125">
        <v>0.99252571173614901</v>
      </c>
      <c r="C6125">
        <v>1.0054167145195401</v>
      </c>
      <c r="D6125">
        <v>0.94039244598565097</v>
      </c>
      <c r="E6125">
        <v>0.70501711384364296</v>
      </c>
      <c r="F6125">
        <v>0.66140294253277299</v>
      </c>
      <c r="G6125">
        <v>0.51222644853840604</v>
      </c>
      <c r="H6125">
        <v>0.43953381718575402</v>
      </c>
      <c r="I6125">
        <v>0.52204370550787504</v>
      </c>
      <c r="J6125">
        <v>0.82763631118978698</v>
      </c>
      <c r="K6125">
        <v>1.1349833817913699</v>
      </c>
      <c r="L6125">
        <v>2660.2116282553602</v>
      </c>
      <c r="M6125">
        <v>56.354962721327198</v>
      </c>
      <c r="O6125">
        <v>47.1452393019078</v>
      </c>
      <c r="P6125">
        <v>-9.4665951776529797E-2</v>
      </c>
      <c r="Q6125">
        <v>0.68321892132870599</v>
      </c>
      <c r="R6125">
        <v>0.35021174499309099</v>
      </c>
      <c r="S6125" t="s">
        <v>12771</v>
      </c>
      <c r="T6125" t="s">
        <v>13290</v>
      </c>
      <c r="U6125" t="s">
        <v>13290</v>
      </c>
      <c r="V6125" t="s">
        <v>13290</v>
      </c>
      <c r="W6125" t="s">
        <v>19363</v>
      </c>
      <c r="X6125">
        <v>10</v>
      </c>
      <c r="Y6125" t="s">
        <v>25835</v>
      </c>
      <c r="Z6125" t="s">
        <v>32455</v>
      </c>
      <c r="AA6125">
        <v>0.75981345773747222</v>
      </c>
      <c r="AB6125" t="str">
        <f>HYPERLINK("Melting_Curves/meltCurve_Q9P270_SLAIN2.pdf", "Melting_Curves/meltCurve_Q9P270_SLAIN2.pdf")</f>
        <v>Melting_Curves/meltCurve_Q9P270_SLAIN2.pdf</v>
      </c>
    </row>
    <row r="6126" spans="1:28" x14ac:dyDescent="0.25">
      <c r="A6126" t="s">
        <v>6130</v>
      </c>
      <c r="B6126">
        <v>0.99252571173614901</v>
      </c>
      <c r="C6126">
        <v>0.92291224891347501</v>
      </c>
      <c r="D6126">
        <v>1.0079159728015199</v>
      </c>
      <c r="E6126">
        <v>1.1157446634613499</v>
      </c>
      <c r="F6126">
        <v>0.66280272117681704</v>
      </c>
      <c r="G6126">
        <v>0.46705190641939198</v>
      </c>
      <c r="H6126">
        <v>0.376066805449422</v>
      </c>
      <c r="I6126">
        <v>0.357191779416694</v>
      </c>
      <c r="J6126">
        <v>0.56961668075763405</v>
      </c>
      <c r="K6126">
        <v>0.54051402293929895</v>
      </c>
      <c r="L6126">
        <v>13272.4006600957</v>
      </c>
      <c r="M6126">
        <v>250</v>
      </c>
      <c r="N6126">
        <v>53.643060123495601</v>
      </c>
      <c r="O6126">
        <v>53.086209787560001</v>
      </c>
      <c r="P6126">
        <v>-0.63329984820062601</v>
      </c>
      <c r="Q6126">
        <v>0.46208822886707701</v>
      </c>
      <c r="R6126">
        <v>0.92314670838991597</v>
      </c>
      <c r="S6126" t="s">
        <v>12772</v>
      </c>
      <c r="T6126" t="s">
        <v>13290</v>
      </c>
      <c r="U6126" t="s">
        <v>13290</v>
      </c>
      <c r="V6126" t="s">
        <v>13290</v>
      </c>
      <c r="W6126" t="s">
        <v>19364</v>
      </c>
      <c r="X6126">
        <v>3</v>
      </c>
      <c r="Y6126" t="s">
        <v>25836</v>
      </c>
      <c r="Z6126" t="s">
        <v>32456</v>
      </c>
      <c r="AA6126">
        <v>0.69684005819787498</v>
      </c>
      <c r="AB6126" t="str">
        <f>HYPERLINK("Melting_Curves/meltCurve_Q9P273_TENM3.pdf", "Melting_Curves/meltCurve_Q9P273_TENM3.pdf")</f>
        <v>Melting_Curves/meltCurve_Q9P273_TENM3.pdf</v>
      </c>
    </row>
    <row r="6127" spans="1:28" x14ac:dyDescent="0.25">
      <c r="A6127" t="s">
        <v>6131</v>
      </c>
      <c r="B6127">
        <v>0.99252571173614901</v>
      </c>
      <c r="C6127">
        <v>1.0047271263522799</v>
      </c>
      <c r="D6127">
        <v>0.88826202480146199</v>
      </c>
      <c r="E6127">
        <v>0.88849592259738797</v>
      </c>
      <c r="F6127">
        <v>0.42525031385599599</v>
      </c>
      <c r="G6127">
        <v>0.30007428620368798</v>
      </c>
      <c r="H6127">
        <v>0.21633797315263301</v>
      </c>
      <c r="I6127">
        <v>0.35636676416864399</v>
      </c>
      <c r="J6127">
        <v>0.685240020561803</v>
      </c>
      <c r="K6127">
        <v>0.98523358459469701</v>
      </c>
      <c r="L6127">
        <v>12462.577483524399</v>
      </c>
      <c r="M6127">
        <v>250</v>
      </c>
      <c r="N6127">
        <v>50.775741285519899</v>
      </c>
      <c r="O6127">
        <v>49.847129346935098</v>
      </c>
      <c r="P6127">
        <v>-0.63349888623662098</v>
      </c>
      <c r="Q6127">
        <v>0.49475048184422199</v>
      </c>
      <c r="R6127">
        <v>0.52969853678790402</v>
      </c>
      <c r="S6127" t="s">
        <v>12773</v>
      </c>
      <c r="T6127" t="s">
        <v>13290</v>
      </c>
      <c r="U6127" t="s">
        <v>13290</v>
      </c>
      <c r="V6127" t="s">
        <v>13290</v>
      </c>
      <c r="W6127" t="s">
        <v>19365</v>
      </c>
      <c r="X6127">
        <v>2</v>
      </c>
      <c r="Y6127" t="s">
        <v>25837</v>
      </c>
      <c r="Z6127" t="s">
        <v>32457</v>
      </c>
      <c r="AA6127">
        <v>0.66069016262826252</v>
      </c>
      <c r="AB6127" t="str">
        <f>HYPERLINK("Melting_Curves/meltCurve_Q9P275_USP36.pdf", "Melting_Curves/meltCurve_Q9P275_USP36.pdf")</f>
        <v>Melting_Curves/meltCurve_Q9P275_USP36.pdf</v>
      </c>
    </row>
    <row r="6128" spans="1:28" x14ac:dyDescent="0.25">
      <c r="A6128" t="s">
        <v>6132</v>
      </c>
      <c r="B6128">
        <v>0.99252571173614901</v>
      </c>
      <c r="C6128">
        <v>1.01386613103961</v>
      </c>
      <c r="D6128">
        <v>0.81089061195739598</v>
      </c>
      <c r="E6128">
        <v>0.63560181982835395</v>
      </c>
      <c r="F6128">
        <v>0.396651882042305</v>
      </c>
      <c r="G6128">
        <v>0.16812868032633199</v>
      </c>
      <c r="H6128">
        <v>9.2671177506712304E-2</v>
      </c>
      <c r="I6128">
        <v>8.8921141513669893E-2</v>
      </c>
      <c r="J6128">
        <v>9.7217138742537096E-2</v>
      </c>
      <c r="K6128">
        <v>8.7746130584156895E-2</v>
      </c>
      <c r="L6128">
        <v>856.27401322322805</v>
      </c>
      <c r="M6128">
        <v>16.8489198813817</v>
      </c>
      <c r="N6128">
        <v>51.232786304737999</v>
      </c>
      <c r="O6128">
        <v>50.121009286873303</v>
      </c>
      <c r="P6128">
        <v>-7.8720602144519494E-2</v>
      </c>
      <c r="Q6128">
        <v>6.3369410308523597E-2</v>
      </c>
      <c r="R6128">
        <v>0.99339664996311305</v>
      </c>
      <c r="S6128" t="s">
        <v>12774</v>
      </c>
      <c r="T6128" t="s">
        <v>13290</v>
      </c>
      <c r="U6128" t="s">
        <v>13290</v>
      </c>
      <c r="V6128" t="s">
        <v>13290</v>
      </c>
      <c r="W6128" t="s">
        <v>19366</v>
      </c>
      <c r="X6128">
        <v>11</v>
      </c>
      <c r="Y6128" t="s">
        <v>25838</v>
      </c>
      <c r="Z6128" t="s">
        <v>32458</v>
      </c>
      <c r="AA6128">
        <v>0.41901178250488252</v>
      </c>
      <c r="AB6128" t="str">
        <f>HYPERLINK("Melting_Curves/meltCurve_Q9P287_BCCIP.pdf", "Melting_Curves/meltCurve_Q9P287_BCCIP.pdf")</f>
        <v>Melting_Curves/meltCurve_Q9P287_BCCIP.pdf</v>
      </c>
    </row>
    <row r="6129" spans="1:28" x14ac:dyDescent="0.25">
      <c r="A6129" t="s">
        <v>6133</v>
      </c>
      <c r="B6129">
        <v>0.99252571173614901</v>
      </c>
      <c r="C6129">
        <v>1.0576607261089499</v>
      </c>
      <c r="D6129">
        <v>0.96111099841501701</v>
      </c>
      <c r="E6129">
        <v>0.80541342424709805</v>
      </c>
      <c r="F6129">
        <v>0.51763388062555804</v>
      </c>
      <c r="G6129">
        <v>0.39170190175070302</v>
      </c>
      <c r="H6129">
        <v>0.32877986563939998</v>
      </c>
      <c r="I6129">
        <v>0.36141850411697102</v>
      </c>
      <c r="J6129">
        <v>0.48845427076350201</v>
      </c>
      <c r="K6129">
        <v>0.49387062175901802</v>
      </c>
      <c r="L6129">
        <v>1747.34273544497</v>
      </c>
      <c r="M6129">
        <v>34.518220632317203</v>
      </c>
      <c r="N6129">
        <v>53.301563628323699</v>
      </c>
      <c r="O6129">
        <v>50.451891297961701</v>
      </c>
      <c r="P6129">
        <v>-0.100593974846657</v>
      </c>
      <c r="Q6129">
        <v>0.41188893092928602</v>
      </c>
      <c r="R6129">
        <v>0.96188369525989703</v>
      </c>
      <c r="S6129" t="s">
        <v>12775</v>
      </c>
      <c r="T6129" t="s">
        <v>13290</v>
      </c>
      <c r="U6129" t="s">
        <v>13290</v>
      </c>
      <c r="V6129" t="s">
        <v>13290</v>
      </c>
      <c r="W6129" t="s">
        <v>19367</v>
      </c>
      <c r="X6129">
        <v>11</v>
      </c>
      <c r="Y6129" t="s">
        <v>25838</v>
      </c>
      <c r="Z6129" t="s">
        <v>32459</v>
      </c>
      <c r="AA6129">
        <v>0.62286771193114632</v>
      </c>
      <c r="AB6129" t="str">
        <f>HYPERLINK("Melting_Curves/meltCurve_Q9P287_2_BCCIP.pdf", "Melting_Curves/meltCurve_Q9P287_2_BCCIP.pdf")</f>
        <v>Melting_Curves/meltCurve_Q9P287_2_BCCIP.pdf</v>
      </c>
    </row>
    <row r="6130" spans="1:28" x14ac:dyDescent="0.25">
      <c r="A6130" t="s">
        <v>6134</v>
      </c>
      <c r="B6130">
        <v>0.99252571173614901</v>
      </c>
      <c r="C6130">
        <v>0.925119777360916</v>
      </c>
      <c r="D6130">
        <v>0.88907052658118202</v>
      </c>
      <c r="E6130">
        <v>0.89799285375154303</v>
      </c>
      <c r="F6130">
        <v>0.53428304600035004</v>
      </c>
      <c r="G6130">
        <v>0.40004634895237101</v>
      </c>
      <c r="H6130">
        <v>0.27091446566706701</v>
      </c>
      <c r="I6130">
        <v>0.27810166051246099</v>
      </c>
      <c r="J6130">
        <v>0.42525447436847202</v>
      </c>
      <c r="K6130">
        <v>0.29724354821885202</v>
      </c>
      <c r="L6130">
        <v>1498.9759438343899</v>
      </c>
      <c r="M6130">
        <v>28.826132010643001</v>
      </c>
      <c r="N6130">
        <v>53.896453093271397</v>
      </c>
      <c r="O6130">
        <v>51.752262978220102</v>
      </c>
      <c r="P6130">
        <v>-9.4883956051878701E-2</v>
      </c>
      <c r="Q6130">
        <v>0.31861522083394</v>
      </c>
      <c r="R6130">
        <v>0.95852885416935396</v>
      </c>
      <c r="S6130" t="s">
        <v>12776</v>
      </c>
      <c r="T6130" t="s">
        <v>13290</v>
      </c>
      <c r="U6130" t="s">
        <v>13290</v>
      </c>
      <c r="V6130" t="s">
        <v>13290</v>
      </c>
      <c r="W6130" t="s">
        <v>19368</v>
      </c>
      <c r="X6130">
        <v>12</v>
      </c>
      <c r="Y6130" t="s">
        <v>25839</v>
      </c>
      <c r="Z6130" t="s">
        <v>32460</v>
      </c>
      <c r="AA6130">
        <v>0.59589391182556772</v>
      </c>
      <c r="AB6130" t="str">
        <f>HYPERLINK("Melting_Curves/meltCurve_Q9P2B2_PTGFRN.pdf", "Melting_Curves/meltCurve_Q9P2B2_PTGFRN.pdf")</f>
        <v>Melting_Curves/meltCurve_Q9P2B2_PTGFRN.pdf</v>
      </c>
    </row>
    <row r="6131" spans="1:28" x14ac:dyDescent="0.25">
      <c r="A6131" t="s">
        <v>6135</v>
      </c>
      <c r="B6131">
        <v>0.99252571173614901</v>
      </c>
      <c r="C6131">
        <v>0.93267681712234596</v>
      </c>
      <c r="D6131">
        <v>1.1692899039715501</v>
      </c>
      <c r="E6131">
        <v>0.70580308827413596</v>
      </c>
      <c r="F6131">
        <v>0.41971720011028602</v>
      </c>
      <c r="G6131">
        <v>0.32115644445270602</v>
      </c>
      <c r="H6131">
        <v>0.24307742829456599</v>
      </c>
      <c r="I6131">
        <v>0.40423250666854299</v>
      </c>
      <c r="J6131">
        <v>0.484429747647729</v>
      </c>
      <c r="K6131">
        <v>0.63418565182499098</v>
      </c>
      <c r="L6131">
        <v>12398.944636780599</v>
      </c>
      <c r="M6131">
        <v>250</v>
      </c>
      <c r="N6131">
        <v>49.9565548882969</v>
      </c>
      <c r="O6131">
        <v>49.592604757694502</v>
      </c>
      <c r="P6131">
        <v>-0.73372856931623498</v>
      </c>
      <c r="Q6131">
        <v>0.41779982581623198</v>
      </c>
      <c r="R6131">
        <v>0.858625895422229</v>
      </c>
      <c r="S6131" t="s">
        <v>12777</v>
      </c>
      <c r="T6131" t="s">
        <v>13290</v>
      </c>
      <c r="U6131" t="s">
        <v>13290</v>
      </c>
      <c r="V6131" t="s">
        <v>13290</v>
      </c>
      <c r="W6131" t="s">
        <v>19369</v>
      </c>
      <c r="X6131">
        <v>7</v>
      </c>
      <c r="Y6131" t="s">
        <v>25840</v>
      </c>
      <c r="Z6131" t="s">
        <v>32461</v>
      </c>
      <c r="AA6131">
        <v>0.60407263179973869</v>
      </c>
      <c r="AB6131" t="str">
        <f>HYPERLINK("Melting_Curves/meltCurve_Q9P2B4_CTTNBP2NL.pdf", "Melting_Curves/meltCurve_Q9P2B4_CTTNBP2NL.pdf")</f>
        <v>Melting_Curves/meltCurve_Q9P2B4_CTTNBP2NL.pdf</v>
      </c>
    </row>
    <row r="6132" spans="1:28" x14ac:dyDescent="0.25">
      <c r="A6132" t="s">
        <v>6136</v>
      </c>
      <c r="B6132">
        <v>0.99252571173614901</v>
      </c>
      <c r="C6132">
        <v>0.91055618251565795</v>
      </c>
      <c r="D6132">
        <v>0.85446327374368203</v>
      </c>
      <c r="E6132">
        <v>0.677946519218807</v>
      </c>
      <c r="F6132">
        <v>0.62096010288084103</v>
      </c>
      <c r="G6132">
        <v>0.40791021840060498</v>
      </c>
      <c r="H6132">
        <v>0.31931670376020699</v>
      </c>
      <c r="I6132">
        <v>0.35538069619746099</v>
      </c>
      <c r="J6132">
        <v>0.36373496528517102</v>
      </c>
      <c r="K6132">
        <v>0.28023927800964998</v>
      </c>
      <c r="L6132">
        <v>609.03082349444003</v>
      </c>
      <c r="M6132">
        <v>11.9088466524881</v>
      </c>
      <c r="N6132">
        <v>54.811936847032399</v>
      </c>
      <c r="O6132">
        <v>49.762962669821597</v>
      </c>
      <c r="P6132">
        <v>-4.3398659762783599E-2</v>
      </c>
      <c r="Q6132">
        <v>0.274787978370508</v>
      </c>
      <c r="R6132">
        <v>0.98001403835688305</v>
      </c>
      <c r="S6132" t="s">
        <v>12778</v>
      </c>
      <c r="T6132" t="s">
        <v>13290</v>
      </c>
      <c r="U6132" t="s">
        <v>13290</v>
      </c>
      <c r="V6132" t="s">
        <v>13290</v>
      </c>
      <c r="W6132" t="s">
        <v>19370</v>
      </c>
      <c r="X6132">
        <v>2</v>
      </c>
      <c r="Y6132" t="s">
        <v>25841</v>
      </c>
      <c r="Z6132" t="s">
        <v>32462</v>
      </c>
      <c r="AA6132">
        <v>0.56781068352983788</v>
      </c>
      <c r="AB6132" t="str">
        <f>HYPERLINK("Melting_Curves/meltCurve_Q9P2C4_TMEM181.pdf", "Melting_Curves/meltCurve_Q9P2C4_TMEM181.pdf")</f>
        <v>Melting_Curves/meltCurve_Q9P2C4_TMEM181.pdf</v>
      </c>
    </row>
    <row r="6133" spans="1:28" x14ac:dyDescent="0.25">
      <c r="A6133" t="s">
        <v>6137</v>
      </c>
      <c r="B6133">
        <v>0.99252571173614901</v>
      </c>
      <c r="C6133">
        <v>0.55462213707008701</v>
      </c>
      <c r="D6133">
        <v>0.36319647651820802</v>
      </c>
      <c r="E6133">
        <v>0.26218783920169603</v>
      </c>
      <c r="F6133">
        <v>0.19136318434628599</v>
      </c>
      <c r="G6133">
        <v>0.143695032796609</v>
      </c>
      <c r="H6133">
        <v>0.12151788419062901</v>
      </c>
      <c r="I6133">
        <v>0.12519146106836701</v>
      </c>
      <c r="J6133">
        <v>0.170526941846039</v>
      </c>
      <c r="K6133">
        <v>0.18858275862010099</v>
      </c>
      <c r="L6133">
        <v>1045.1974467402399</v>
      </c>
      <c r="M6133">
        <v>24.1458155030146</v>
      </c>
      <c r="N6133">
        <v>44.019138882717002</v>
      </c>
      <c r="O6133">
        <v>42.993265919358898</v>
      </c>
      <c r="P6133">
        <v>-0.11718428290737599</v>
      </c>
      <c r="Q6133">
        <v>0.165394557891684</v>
      </c>
      <c r="R6133">
        <v>0.96444321791381704</v>
      </c>
      <c r="S6133" t="s">
        <v>12779</v>
      </c>
      <c r="T6133" t="s">
        <v>13290</v>
      </c>
      <c r="U6133" t="s">
        <v>13290</v>
      </c>
      <c r="V6133" t="s">
        <v>13290</v>
      </c>
      <c r="W6133" t="s">
        <v>19371</v>
      </c>
      <c r="X6133">
        <v>6</v>
      </c>
      <c r="Y6133" t="s">
        <v>25842</v>
      </c>
      <c r="Z6133" t="s">
        <v>32463</v>
      </c>
      <c r="AA6133">
        <v>0.26888451012946191</v>
      </c>
      <c r="AB6133" t="str">
        <f>HYPERLINK("Melting_Curves/meltCurve_Q9P2D1_CHD7.pdf", "Melting_Curves/meltCurve_Q9P2D1_CHD7.pdf")</f>
        <v>Melting_Curves/meltCurve_Q9P2D1_CHD7.pdf</v>
      </c>
    </row>
    <row r="6134" spans="1:28" x14ac:dyDescent="0.25">
      <c r="A6134" t="s">
        <v>6138</v>
      </c>
      <c r="B6134">
        <v>0.99252571173614901</v>
      </c>
      <c r="C6134">
        <v>0.85566913222669305</v>
      </c>
      <c r="D6134">
        <v>0.84222718380148198</v>
      </c>
      <c r="E6134">
        <v>0.56057279240867497</v>
      </c>
      <c r="F6134">
        <v>0.20706698755957501</v>
      </c>
      <c r="G6134">
        <v>0.112867431884961</v>
      </c>
      <c r="H6134">
        <v>8.53719729777518E-2</v>
      </c>
      <c r="I6134">
        <v>8.3463165652254007E-2</v>
      </c>
      <c r="J6134">
        <v>0.106846850847845</v>
      </c>
      <c r="K6134">
        <v>8.66677727347199E-2</v>
      </c>
      <c r="L6134">
        <v>1012.6277334624</v>
      </c>
      <c r="M6134">
        <v>20.495133848757501</v>
      </c>
      <c r="N6134">
        <v>49.794721180624101</v>
      </c>
      <c r="O6134">
        <v>48.945038541351899</v>
      </c>
      <c r="P6134">
        <v>-9.6988887669658505E-2</v>
      </c>
      <c r="Q6134">
        <v>7.3539189365226895E-2</v>
      </c>
      <c r="R6134">
        <v>0.98755188184067899</v>
      </c>
      <c r="S6134" t="s">
        <v>12780</v>
      </c>
      <c r="T6134" t="s">
        <v>13290</v>
      </c>
      <c r="U6134" t="s">
        <v>13290</v>
      </c>
      <c r="V6134" t="s">
        <v>13290</v>
      </c>
      <c r="W6134" t="s">
        <v>19372</v>
      </c>
      <c r="X6134">
        <v>10</v>
      </c>
      <c r="Y6134" t="s">
        <v>25843</v>
      </c>
      <c r="Z6134" t="s">
        <v>32464</v>
      </c>
      <c r="AA6134">
        <v>0.37640138446409233</v>
      </c>
      <c r="AB6134" t="str">
        <f>HYPERLINK("Melting_Curves/meltCurve_Q9P2D3_3_HEATR5B.pdf", "Melting_Curves/meltCurve_Q9P2D3_3_HEATR5B.pdf")</f>
        <v>Melting_Curves/meltCurve_Q9P2D3_3_HEATR5B.pdf</v>
      </c>
    </row>
    <row r="6135" spans="1:28" x14ac:dyDescent="0.25">
      <c r="A6135" t="s">
        <v>6139</v>
      </c>
      <c r="B6135">
        <v>0.99252571173614901</v>
      </c>
      <c r="C6135">
        <v>1.03718147804737</v>
      </c>
      <c r="D6135">
        <v>0.95431645816192601</v>
      </c>
      <c r="E6135">
        <v>0.90214220944491996</v>
      </c>
      <c r="F6135">
        <v>0.592455871127189</v>
      </c>
      <c r="G6135">
        <v>0.36695129425168599</v>
      </c>
      <c r="H6135">
        <v>0.25905177878125701</v>
      </c>
      <c r="I6135">
        <v>0.30503905756007998</v>
      </c>
      <c r="J6135">
        <v>0.40438746699107703</v>
      </c>
      <c r="K6135">
        <v>0.346578768871524</v>
      </c>
      <c r="L6135">
        <v>1735.7288827478501</v>
      </c>
      <c r="M6135">
        <v>33.1201185623678</v>
      </c>
      <c r="N6135">
        <v>54.134447570283598</v>
      </c>
      <c r="O6135">
        <v>52.217136628778697</v>
      </c>
      <c r="P6135">
        <v>-0.10684111513868499</v>
      </c>
      <c r="Q6135">
        <v>0.32622070150571397</v>
      </c>
      <c r="R6135">
        <v>0.98293747804681697</v>
      </c>
      <c r="S6135" t="s">
        <v>12781</v>
      </c>
      <c r="T6135" t="s">
        <v>13290</v>
      </c>
      <c r="U6135" t="s">
        <v>13290</v>
      </c>
      <c r="V6135" t="s">
        <v>13290</v>
      </c>
      <c r="W6135" t="s">
        <v>19373</v>
      </c>
      <c r="X6135">
        <v>69</v>
      </c>
      <c r="Y6135" t="s">
        <v>25844</v>
      </c>
      <c r="Z6135" t="s">
        <v>32465</v>
      </c>
      <c r="AA6135">
        <v>0.60843501509425191</v>
      </c>
      <c r="AB6135" t="str">
        <f>HYPERLINK("Melting_Curves/meltCurve_Q9P2E9_RRBP1.pdf", "Melting_Curves/meltCurve_Q9P2E9_RRBP1.pdf")</f>
        <v>Melting_Curves/meltCurve_Q9P2E9_RRBP1.pdf</v>
      </c>
    </row>
    <row r="6136" spans="1:28" x14ac:dyDescent="0.25">
      <c r="A6136" t="s">
        <v>6140</v>
      </c>
      <c r="B6136">
        <v>0.99252571173614901</v>
      </c>
      <c r="C6136">
        <v>0.87333614078831401</v>
      </c>
      <c r="D6136">
        <v>0.747071218681015</v>
      </c>
      <c r="E6136">
        <v>0.49086715020858301</v>
      </c>
      <c r="F6136">
        <v>0.232758000380964</v>
      </c>
      <c r="G6136">
        <v>0.12394167630538799</v>
      </c>
      <c r="H6136">
        <v>8.7307049175024007E-2</v>
      </c>
      <c r="I6136">
        <v>7.6368857453517902E-2</v>
      </c>
      <c r="J6136">
        <v>8.0235208778174999E-2</v>
      </c>
      <c r="K6136">
        <v>8.0237100441983802E-2</v>
      </c>
      <c r="L6136">
        <v>803.58855198876699</v>
      </c>
      <c r="M6136">
        <v>16.480784001208299</v>
      </c>
      <c r="N6136">
        <v>49.135839272191198</v>
      </c>
      <c r="O6136">
        <v>48.058204914380603</v>
      </c>
      <c r="P6136">
        <v>-8.0650859398497504E-2</v>
      </c>
      <c r="Q6136">
        <v>5.93494094515436E-2</v>
      </c>
      <c r="R6136">
        <v>0.99722311476084402</v>
      </c>
      <c r="S6136" t="s">
        <v>12782</v>
      </c>
      <c r="T6136" t="s">
        <v>13290</v>
      </c>
      <c r="U6136" t="s">
        <v>13290</v>
      </c>
      <c r="V6136" t="s">
        <v>13290</v>
      </c>
      <c r="W6136" t="s">
        <v>19374</v>
      </c>
      <c r="X6136">
        <v>10</v>
      </c>
      <c r="Y6136" t="s">
        <v>25845</v>
      </c>
      <c r="Z6136" t="s">
        <v>32466</v>
      </c>
      <c r="AA6136">
        <v>0.35351169104721042</v>
      </c>
      <c r="AB6136" t="str">
        <f>HYPERLINK("Melting_Curves/meltCurve_Q9P2I0_CPSF2.pdf", "Melting_Curves/meltCurve_Q9P2I0_CPSF2.pdf")</f>
        <v>Melting_Curves/meltCurve_Q9P2I0_CPSF2.pdf</v>
      </c>
    </row>
    <row r="6137" spans="1:28" x14ac:dyDescent="0.25">
      <c r="A6137" t="s">
        <v>6141</v>
      </c>
      <c r="B6137">
        <v>0.99252571173614901</v>
      </c>
      <c r="C6137">
        <v>0.85169931576657898</v>
      </c>
      <c r="D6137">
        <v>0.68017204178997404</v>
      </c>
      <c r="E6137">
        <v>0.338553246568151</v>
      </c>
      <c r="F6137">
        <v>0.165639039583928</v>
      </c>
      <c r="G6137">
        <v>0.10119388429184301</v>
      </c>
      <c r="H6137">
        <v>8.9371720393019494E-2</v>
      </c>
      <c r="I6137">
        <v>0.116258413757899</v>
      </c>
      <c r="J6137">
        <v>0.14716733819101399</v>
      </c>
      <c r="K6137">
        <v>0.139534046884386</v>
      </c>
      <c r="L6137">
        <v>987.26731207953401</v>
      </c>
      <c r="M6137">
        <v>20.995336410278998</v>
      </c>
      <c r="N6137">
        <v>47.586938683079801</v>
      </c>
      <c r="O6137">
        <v>46.602811262426101</v>
      </c>
      <c r="P6137">
        <v>-0.100230662276853</v>
      </c>
      <c r="Q6137">
        <v>0.110106152304006</v>
      </c>
      <c r="R6137">
        <v>0.99362909710815095</v>
      </c>
      <c r="S6137" t="s">
        <v>12783</v>
      </c>
      <c r="T6137" t="s">
        <v>13290</v>
      </c>
      <c r="U6137" t="s">
        <v>13290</v>
      </c>
      <c r="V6137" t="s">
        <v>13290</v>
      </c>
      <c r="W6137" t="s">
        <v>19375</v>
      </c>
      <c r="X6137">
        <v>7</v>
      </c>
      <c r="Y6137" t="s">
        <v>25846</v>
      </c>
      <c r="Z6137" t="s">
        <v>32467</v>
      </c>
      <c r="AA6137">
        <v>0.33012476415414233</v>
      </c>
      <c r="AB6137" t="str">
        <f>HYPERLINK("Melting_Curves/meltCurve_Q9P2J9_PDP2.pdf", "Melting_Curves/meltCurve_Q9P2J9_PDP2.pdf")</f>
        <v>Melting_Curves/meltCurve_Q9P2J9_PDP2.pdf</v>
      </c>
    </row>
    <row r="6138" spans="1:28" x14ac:dyDescent="0.25">
      <c r="A6138" t="s">
        <v>6142</v>
      </c>
      <c r="B6138">
        <v>0.99252571173614901</v>
      </c>
      <c r="C6138">
        <v>0.70082582682774097</v>
      </c>
      <c r="D6138">
        <v>0.51704010286324298</v>
      </c>
      <c r="E6138">
        <v>0.38293158290922602</v>
      </c>
      <c r="F6138">
        <v>6.7351325626150704E-2</v>
      </c>
      <c r="G6138">
        <v>0</v>
      </c>
      <c r="H6138">
        <v>0</v>
      </c>
      <c r="I6138">
        <v>5.8497867165016502E-2</v>
      </c>
      <c r="J6138">
        <v>0.107505169091551</v>
      </c>
      <c r="K6138">
        <v>9.0769281237169E-2</v>
      </c>
      <c r="L6138">
        <v>733.351907671861</v>
      </c>
      <c r="M6138">
        <v>15.9122998144886</v>
      </c>
      <c r="N6138">
        <v>46.3028514896628</v>
      </c>
      <c r="O6138">
        <v>45.377645581586798</v>
      </c>
      <c r="P6138">
        <v>-8.4540457889577897E-2</v>
      </c>
      <c r="Q6138">
        <v>3.5729705589686703E-2</v>
      </c>
      <c r="R6138">
        <v>0.95821609741994196</v>
      </c>
      <c r="S6138" t="s">
        <v>12784</v>
      </c>
      <c r="T6138" t="s">
        <v>13290</v>
      </c>
      <c r="U6138" t="s">
        <v>13290</v>
      </c>
      <c r="V6138" t="s">
        <v>13290</v>
      </c>
      <c r="W6138" t="s">
        <v>19376</v>
      </c>
      <c r="X6138">
        <v>1</v>
      </c>
      <c r="Y6138" t="s">
        <v>25847</v>
      </c>
      <c r="Z6138" t="s">
        <v>32468</v>
      </c>
      <c r="AA6138">
        <v>0.25604445281119093</v>
      </c>
      <c r="AB6138" t="str">
        <f>HYPERLINK("Melting_Curves/meltCurve_Q9P2K3_RCOR3.pdf", "Melting_Curves/meltCurve_Q9P2K3_RCOR3.pdf")</f>
        <v>Melting_Curves/meltCurve_Q9P2K3_RCOR3.pdf</v>
      </c>
    </row>
    <row r="6139" spans="1:28" x14ac:dyDescent="0.25">
      <c r="A6139" t="s">
        <v>6143</v>
      </c>
      <c r="B6139">
        <v>0.99252571173614901</v>
      </c>
      <c r="C6139">
        <v>0.99289315775104503</v>
      </c>
      <c r="D6139">
        <v>0.58222324743048903</v>
      </c>
      <c r="E6139">
        <v>0.412197241127568</v>
      </c>
      <c r="F6139">
        <v>0.29846985682587301</v>
      </c>
      <c r="G6139">
        <v>0.22000050236177501</v>
      </c>
      <c r="H6139">
        <v>0.14790468703477599</v>
      </c>
      <c r="I6139">
        <v>0.17462254450251399</v>
      </c>
      <c r="J6139">
        <v>0.178817406065477</v>
      </c>
      <c r="K6139">
        <v>0.14493840687221701</v>
      </c>
      <c r="L6139">
        <v>932.64296695269798</v>
      </c>
      <c r="M6139">
        <v>19.857998440755701</v>
      </c>
      <c r="N6139">
        <v>47.996293103617603</v>
      </c>
      <c r="O6139">
        <v>46.497111080026599</v>
      </c>
      <c r="P6139">
        <v>-8.8239477350304296E-2</v>
      </c>
      <c r="Q6139">
        <v>0.17358369606075899</v>
      </c>
      <c r="R6139">
        <v>0.97556194193745605</v>
      </c>
      <c r="S6139" t="s">
        <v>12785</v>
      </c>
      <c r="T6139" t="s">
        <v>13290</v>
      </c>
      <c r="U6139" t="s">
        <v>13290</v>
      </c>
      <c r="V6139" t="s">
        <v>13290</v>
      </c>
      <c r="W6139" t="s">
        <v>19377</v>
      </c>
      <c r="X6139">
        <v>3</v>
      </c>
      <c r="Y6139" t="s">
        <v>25848</v>
      </c>
      <c r="Z6139" t="s">
        <v>32469</v>
      </c>
      <c r="AA6139">
        <v>0.37777448635671601</v>
      </c>
      <c r="AB6139" t="str">
        <f>HYPERLINK("Melting_Curves/meltCurve_Q9P2K5_2_MYEF2.pdf", "Melting_Curves/meltCurve_Q9P2K5_2_MYEF2.pdf")</f>
        <v>Melting_Curves/meltCurve_Q9P2K5_2_MYEF2.pdf</v>
      </c>
    </row>
    <row r="6140" spans="1:28" x14ac:dyDescent="0.25">
      <c r="A6140" t="s">
        <v>6144</v>
      </c>
      <c r="B6140">
        <v>0.99252571173614901</v>
      </c>
      <c r="C6140">
        <v>0.83513713478333895</v>
      </c>
      <c r="D6140">
        <v>0.70597528551125399</v>
      </c>
      <c r="E6140">
        <v>0.49803039014890099</v>
      </c>
      <c r="F6140">
        <v>0.36597539146765201</v>
      </c>
      <c r="G6140">
        <v>0.15952264155409099</v>
      </c>
      <c r="H6140">
        <v>9.08691140751266E-2</v>
      </c>
      <c r="I6140">
        <v>5.6992827023363397E-2</v>
      </c>
      <c r="J6140">
        <v>9.27691172106343E-2</v>
      </c>
      <c r="K6140">
        <v>7.7095566398066501E-2</v>
      </c>
      <c r="L6140">
        <v>601.17978001523898</v>
      </c>
      <c r="M6140">
        <v>12.1806864329004</v>
      </c>
      <c r="N6140">
        <v>49.597037172766498</v>
      </c>
      <c r="O6140">
        <v>48.081417405552202</v>
      </c>
      <c r="P6140">
        <v>-6.1521343695006302E-2</v>
      </c>
      <c r="Q6140">
        <v>2.88361978975866E-2</v>
      </c>
      <c r="R6140">
        <v>0.99125045123733602</v>
      </c>
      <c r="S6140" t="s">
        <v>12786</v>
      </c>
      <c r="T6140" t="s">
        <v>13290</v>
      </c>
      <c r="U6140" t="s">
        <v>13290</v>
      </c>
      <c r="V6140" t="s">
        <v>13290</v>
      </c>
      <c r="W6140" t="s">
        <v>19378</v>
      </c>
      <c r="X6140">
        <v>2</v>
      </c>
      <c r="Y6140" t="s">
        <v>25849</v>
      </c>
      <c r="Z6140" t="s">
        <v>32470</v>
      </c>
      <c r="AA6140">
        <v>0.36575986332955518</v>
      </c>
      <c r="AB6140" t="str">
        <f>HYPERLINK("Melting_Curves/meltCurve_Q9P2K6_KLHL42.pdf", "Melting_Curves/meltCurve_Q9P2K6_KLHL42.pdf")</f>
        <v>Melting_Curves/meltCurve_Q9P2K6_KLHL42.pdf</v>
      </c>
    </row>
    <row r="6141" spans="1:28" x14ac:dyDescent="0.25">
      <c r="A6141" t="s">
        <v>6145</v>
      </c>
      <c r="B6141">
        <v>0.99252571173614901</v>
      </c>
      <c r="C6141">
        <v>1.02286258537057</v>
      </c>
      <c r="D6141">
        <v>0.95979401194601</v>
      </c>
      <c r="E6141">
        <v>0.89984797606037903</v>
      </c>
      <c r="F6141">
        <v>0.619968227453365</v>
      </c>
      <c r="G6141">
        <v>0.35787074331360502</v>
      </c>
      <c r="H6141">
        <v>0.32500361171568098</v>
      </c>
      <c r="I6141">
        <v>0.50066313925316197</v>
      </c>
      <c r="J6141">
        <v>1.5068242578839099</v>
      </c>
      <c r="K6141">
        <v>2.0390642957412002</v>
      </c>
      <c r="L6141">
        <v>15000</v>
      </c>
      <c r="M6141">
        <v>227.28900875732299</v>
      </c>
      <c r="O6141">
        <v>65.9901629302082</v>
      </c>
      <c r="P6141">
        <v>0.43053577832214601</v>
      </c>
      <c r="Q6141">
        <v>1.5</v>
      </c>
      <c r="R6141">
        <v>0.38623759060714202</v>
      </c>
      <c r="S6141" t="s">
        <v>12787</v>
      </c>
      <c r="T6141" t="s">
        <v>13290</v>
      </c>
      <c r="U6141" t="s">
        <v>13290</v>
      </c>
      <c r="V6141" t="s">
        <v>13290</v>
      </c>
      <c r="W6141" t="s">
        <v>19379</v>
      </c>
      <c r="X6141">
        <v>39</v>
      </c>
      <c r="Y6141" t="s">
        <v>25850</v>
      </c>
      <c r="Z6141" t="s">
        <v>32471</v>
      </c>
      <c r="AA6141">
        <v>1.0666754110660139</v>
      </c>
      <c r="AB6141" t="str">
        <f>HYPERLINK("Melting_Curves/meltCurve_Q9P2M7_CGN.pdf", "Melting_Curves/meltCurve_Q9P2M7_CGN.pdf")</f>
        <v>Melting_Curves/meltCurve_Q9P2M7_CGN.pdf</v>
      </c>
    </row>
    <row r="6142" spans="1:28" x14ac:dyDescent="0.25">
      <c r="A6142" t="s">
        <v>6146</v>
      </c>
      <c r="B6142">
        <v>0.99252571173614901</v>
      </c>
      <c r="C6142">
        <v>0.98814715205935999</v>
      </c>
      <c r="D6142">
        <v>0.78374402898501605</v>
      </c>
      <c r="E6142">
        <v>0.47132997250900299</v>
      </c>
      <c r="F6142">
        <v>0.21767900019325301</v>
      </c>
      <c r="G6142">
        <v>0.11718128516394399</v>
      </c>
      <c r="H6142">
        <v>9.4938012143696696E-2</v>
      </c>
      <c r="I6142">
        <v>0.104251137197372</v>
      </c>
      <c r="J6142">
        <v>0.13887852778174101</v>
      </c>
      <c r="K6142">
        <v>0.14339595167000799</v>
      </c>
      <c r="L6142">
        <v>1119.41763709933</v>
      </c>
      <c r="M6142">
        <v>23.039800579613601</v>
      </c>
      <c r="N6142">
        <v>49.128216128710598</v>
      </c>
      <c r="O6142">
        <v>48.224674591003499</v>
      </c>
      <c r="P6142">
        <v>-0.10603856697712299</v>
      </c>
      <c r="Q6142">
        <v>0.11221796080028699</v>
      </c>
      <c r="R6142">
        <v>0.99626212811947701</v>
      </c>
      <c r="S6142" t="s">
        <v>12788</v>
      </c>
      <c r="T6142" t="s">
        <v>13290</v>
      </c>
      <c r="U6142" t="s">
        <v>13290</v>
      </c>
      <c r="V6142" t="s">
        <v>13290</v>
      </c>
      <c r="W6142" t="s">
        <v>19380</v>
      </c>
      <c r="X6142">
        <v>23</v>
      </c>
      <c r="Y6142" t="s">
        <v>25851</v>
      </c>
      <c r="Z6142" t="s">
        <v>32472</v>
      </c>
      <c r="AA6142">
        <v>0.37561713972994992</v>
      </c>
      <c r="AB6142" t="str">
        <f>HYPERLINK("Melting_Curves/meltCurve_Q9P2N5_RBM27.pdf", "Melting_Curves/meltCurve_Q9P2N5_RBM27.pdf")</f>
        <v>Melting_Curves/meltCurve_Q9P2N5_RBM27.pdf</v>
      </c>
    </row>
    <row r="6143" spans="1:28" x14ac:dyDescent="0.25">
      <c r="A6143" t="s">
        <v>6147</v>
      </c>
      <c r="B6143">
        <v>0.99252571173614901</v>
      </c>
      <c r="C6143">
        <v>0.88726457130801395</v>
      </c>
      <c r="D6143">
        <v>0.40409386434787897</v>
      </c>
      <c r="E6143">
        <v>0.17624202781564999</v>
      </c>
      <c r="F6143">
        <v>0.100404681506645</v>
      </c>
      <c r="G6143">
        <v>5.5052589585897503E-2</v>
      </c>
      <c r="H6143">
        <v>4.0957783539180698E-2</v>
      </c>
      <c r="I6143">
        <v>4.5141229791809998E-2</v>
      </c>
      <c r="J6143">
        <v>5.59014005027091E-2</v>
      </c>
      <c r="K6143">
        <v>6.2476400364786598E-2</v>
      </c>
      <c r="L6143">
        <v>1385.6384989555299</v>
      </c>
      <c r="M6143">
        <v>30.551600917578401</v>
      </c>
      <c r="N6143">
        <v>45.555631993375997</v>
      </c>
      <c r="O6143">
        <v>45.161057780495</v>
      </c>
      <c r="P6143">
        <v>-0.158432407067395</v>
      </c>
      <c r="Q6143">
        <v>6.3233200767456102E-2</v>
      </c>
      <c r="R6143">
        <v>0.99521971863054604</v>
      </c>
      <c r="S6143" t="s">
        <v>12789</v>
      </c>
      <c r="T6143" t="s">
        <v>13290</v>
      </c>
      <c r="U6143" t="s">
        <v>13290</v>
      </c>
      <c r="V6143" t="s">
        <v>13290</v>
      </c>
      <c r="W6143" t="s">
        <v>19381</v>
      </c>
      <c r="X6143">
        <v>13</v>
      </c>
      <c r="Y6143" t="s">
        <v>25852</v>
      </c>
      <c r="Z6143" t="s">
        <v>32473</v>
      </c>
      <c r="AA6143">
        <v>0.2360484473578407</v>
      </c>
      <c r="AB6143" t="str">
        <f>HYPERLINK("Melting_Curves/meltCurve_Q9P2R3_ANKFY1.pdf", "Melting_Curves/meltCurve_Q9P2R3_ANKFY1.pdf")</f>
        <v>Melting_Curves/meltCurve_Q9P2R3_ANKFY1.pdf</v>
      </c>
    </row>
    <row r="6144" spans="1:28" x14ac:dyDescent="0.25">
      <c r="A6144" t="s">
        <v>6148</v>
      </c>
      <c r="B6144">
        <v>0.99252571173614901</v>
      </c>
      <c r="C6144">
        <v>0.98881881470195299</v>
      </c>
      <c r="D6144">
        <v>0.99387253925066199</v>
      </c>
      <c r="E6144">
        <v>0.98019828968135903</v>
      </c>
      <c r="F6144">
        <v>0.84873238924186001</v>
      </c>
      <c r="G6144">
        <v>0.64591570338732496</v>
      </c>
      <c r="H6144">
        <v>0.76304126229237601</v>
      </c>
      <c r="I6144">
        <v>1.0845478085842799</v>
      </c>
      <c r="J6144">
        <v>1.48899023363811</v>
      </c>
      <c r="K6144">
        <v>1.6402628930480001</v>
      </c>
      <c r="L6144">
        <v>8592.04981664974</v>
      </c>
      <c r="M6144">
        <v>132.64919815379</v>
      </c>
      <c r="O6144">
        <v>64.757993926163294</v>
      </c>
      <c r="P6144">
        <v>0.25604788498355302</v>
      </c>
      <c r="Q6144">
        <v>1.5</v>
      </c>
      <c r="R6144">
        <v>0.733358439720732</v>
      </c>
      <c r="S6144" t="s">
        <v>12790</v>
      </c>
      <c r="T6144" t="s">
        <v>13290</v>
      </c>
      <c r="U6144" t="s">
        <v>13290</v>
      </c>
      <c r="V6144" t="s">
        <v>13290</v>
      </c>
      <c r="W6144" t="s">
        <v>19382</v>
      </c>
      <c r="X6144">
        <v>13</v>
      </c>
      <c r="Y6144" t="s">
        <v>25853</v>
      </c>
      <c r="Z6144" t="s">
        <v>32474</v>
      </c>
      <c r="AA6144">
        <v>1.086919759252958</v>
      </c>
      <c r="AB6144" t="str">
        <f>HYPERLINK("Melting_Curves/meltCurve_Q9P2R6_RERE.pdf", "Melting_Curves/meltCurve_Q9P2R6_RERE.pdf")</f>
        <v>Melting_Curves/meltCurve_Q9P2R6_RERE.pdf</v>
      </c>
    </row>
    <row r="6145" spans="1:28" x14ac:dyDescent="0.25">
      <c r="A6145" t="s">
        <v>6149</v>
      </c>
      <c r="B6145">
        <v>0.99252571173614901</v>
      </c>
      <c r="C6145">
        <v>1.02303070700664</v>
      </c>
      <c r="D6145">
        <v>0.56953023559769</v>
      </c>
      <c r="E6145">
        <v>0.32284060044853002</v>
      </c>
      <c r="F6145">
        <v>0.23102978080025099</v>
      </c>
      <c r="G6145">
        <v>0.14694874295044</v>
      </c>
      <c r="H6145">
        <v>0.12714989931461099</v>
      </c>
      <c r="I6145">
        <v>0.147464680684078</v>
      </c>
      <c r="J6145">
        <v>0.15668924123620701</v>
      </c>
      <c r="K6145">
        <v>0.14230385623835501</v>
      </c>
      <c r="L6145">
        <v>1326.4023085029201</v>
      </c>
      <c r="M6145">
        <v>28.590161031771299</v>
      </c>
      <c r="N6145">
        <v>47.0188148662656</v>
      </c>
      <c r="O6145">
        <v>46.168486460231797</v>
      </c>
      <c r="P6145">
        <v>-0.130337228557621</v>
      </c>
      <c r="Q6145">
        <v>0.15811281834722499</v>
      </c>
      <c r="R6145">
        <v>0.98219664183188704</v>
      </c>
      <c r="S6145" t="s">
        <v>12791</v>
      </c>
      <c r="T6145" t="s">
        <v>13290</v>
      </c>
      <c r="U6145" t="s">
        <v>13290</v>
      </c>
      <c r="V6145" t="s">
        <v>13290</v>
      </c>
      <c r="W6145" t="s">
        <v>19383</v>
      </c>
      <c r="X6145">
        <v>3</v>
      </c>
      <c r="Y6145" t="s">
        <v>25854</v>
      </c>
      <c r="Z6145" t="s">
        <v>32475</v>
      </c>
      <c r="AA6145">
        <v>0.34319177333366713</v>
      </c>
      <c r="AB6145" t="str">
        <f>HYPERLINK("Melting_Curves/meltCurve_Q9P2W1_2_PSMC3IP.pdf", "Melting_Curves/meltCurve_Q9P2W1_2_PSMC3IP.pdf")</f>
        <v>Melting_Curves/meltCurve_Q9P2W1_2_PSMC3IP.pdf</v>
      </c>
    </row>
    <row r="6146" spans="1:28" x14ac:dyDescent="0.25">
      <c r="A6146" t="s">
        <v>6150</v>
      </c>
      <c r="B6146">
        <v>0.99252571173614901</v>
      </c>
      <c r="C6146">
        <v>0.97605753193908895</v>
      </c>
      <c r="D6146">
        <v>0.923301343825775</v>
      </c>
      <c r="E6146">
        <v>0.93163517714404198</v>
      </c>
      <c r="F6146">
        <v>0.64183370570668996</v>
      </c>
      <c r="G6146">
        <v>0.52122767934896097</v>
      </c>
      <c r="H6146">
        <v>0.32605412296950598</v>
      </c>
      <c r="I6146">
        <v>0.18662500574771701</v>
      </c>
      <c r="J6146">
        <v>0.25429786537643501</v>
      </c>
      <c r="K6146">
        <v>0.193453703467551</v>
      </c>
      <c r="L6146">
        <v>869.70859613967104</v>
      </c>
      <c r="M6146">
        <v>15.802804381005499</v>
      </c>
      <c r="N6146">
        <v>56.483376224356199</v>
      </c>
      <c r="O6146">
        <v>54.176392902134502</v>
      </c>
      <c r="P6146">
        <v>-6.0780517847879897E-2</v>
      </c>
      <c r="Q6146">
        <v>0.16657878384740399</v>
      </c>
      <c r="R6146">
        <v>0.98568717524211802</v>
      </c>
      <c r="S6146" t="s">
        <v>12792</v>
      </c>
      <c r="T6146" t="s">
        <v>13290</v>
      </c>
      <c r="U6146" t="s">
        <v>13290</v>
      </c>
      <c r="V6146" t="s">
        <v>13290</v>
      </c>
      <c r="W6146" t="s">
        <v>19384</v>
      </c>
      <c r="X6146">
        <v>2</v>
      </c>
      <c r="Y6146" t="s">
        <v>25855</v>
      </c>
      <c r="Z6146" t="s">
        <v>32476</v>
      </c>
      <c r="AA6146">
        <v>0.59940153401978369</v>
      </c>
      <c r="AB6146" t="str">
        <f>HYPERLINK("Melting_Curves/meltCurve_Q9P2X0_DPM3.pdf", "Melting_Curves/meltCurve_Q9P2X0_DPM3.pdf")</f>
        <v>Melting_Curves/meltCurve_Q9P2X0_DPM3.pdf</v>
      </c>
    </row>
    <row r="6147" spans="1:28" x14ac:dyDescent="0.25">
      <c r="A6147" t="s">
        <v>6151</v>
      </c>
      <c r="B6147">
        <v>0.99252571173614901</v>
      </c>
      <c r="C6147">
        <v>1.0279883217474299</v>
      </c>
      <c r="D6147">
        <v>0.56814077974505495</v>
      </c>
      <c r="E6147">
        <v>0.233715398766696</v>
      </c>
      <c r="F6147">
        <v>0.16875435980137801</v>
      </c>
      <c r="G6147">
        <v>0.128243317804519</v>
      </c>
      <c r="H6147">
        <v>0.113952466434191</v>
      </c>
      <c r="I6147">
        <v>0.10300090470652799</v>
      </c>
      <c r="J6147">
        <v>0.13039393875365299</v>
      </c>
      <c r="K6147">
        <v>0.15772688624459499</v>
      </c>
      <c r="L6147">
        <v>1934.49707288841</v>
      </c>
      <c r="M6147">
        <v>41.9686263147644</v>
      </c>
      <c r="N6147">
        <v>46.457769049156497</v>
      </c>
      <c r="O6147">
        <v>45.989603047282799</v>
      </c>
      <c r="P6147">
        <v>-0.19618452149361901</v>
      </c>
      <c r="Q6147">
        <v>0.14007833190525301</v>
      </c>
      <c r="R6147">
        <v>0.99137327894421701</v>
      </c>
      <c r="S6147" t="s">
        <v>12793</v>
      </c>
      <c r="T6147" t="s">
        <v>13290</v>
      </c>
      <c r="U6147" t="s">
        <v>13290</v>
      </c>
      <c r="V6147" t="s">
        <v>13290</v>
      </c>
      <c r="W6147" t="s">
        <v>19385</v>
      </c>
      <c r="X6147">
        <v>4</v>
      </c>
      <c r="Y6147" t="s">
        <v>25856</v>
      </c>
      <c r="Z6147" t="s">
        <v>32477</v>
      </c>
      <c r="AA6147">
        <v>0.31727934253585371</v>
      </c>
      <c r="AB6147" t="str">
        <f>HYPERLINK("Melting_Curves/meltCurve_Q9P2X3_IMPACT.pdf", "Melting_Curves/meltCurve_Q9P2X3_IMPACT.pdf")</f>
        <v>Melting_Curves/meltCurve_Q9P2X3_IMPACT.pdf</v>
      </c>
    </row>
    <row r="6148" spans="1:28" x14ac:dyDescent="0.25">
      <c r="A6148" t="s">
        <v>6152</v>
      </c>
      <c r="B6148">
        <v>0.99252571173614901</v>
      </c>
      <c r="C6148">
        <v>0.82982607407034503</v>
      </c>
      <c r="D6148">
        <v>1.09952710453739</v>
      </c>
      <c r="E6148">
        <v>0.98886881151216699</v>
      </c>
      <c r="F6148">
        <v>0.34063726713978998</v>
      </c>
      <c r="G6148">
        <v>0.14380710532829799</v>
      </c>
      <c r="H6148">
        <v>9.72762538302471E-2</v>
      </c>
      <c r="I6148">
        <v>0.1149581003514</v>
      </c>
      <c r="J6148">
        <v>0.17448070169717</v>
      </c>
      <c r="K6148">
        <v>0.16729801587366</v>
      </c>
      <c r="L6148">
        <v>4050.8143949394098</v>
      </c>
      <c r="M6148">
        <v>77.328349481329099</v>
      </c>
      <c r="N6148">
        <v>52.606443759755997</v>
      </c>
      <c r="O6148">
        <v>52.349596508149297</v>
      </c>
      <c r="P6148">
        <v>-0.317908234165586</v>
      </c>
      <c r="Q6148">
        <v>0.139132565104016</v>
      </c>
      <c r="R6148">
        <v>0.97341041944719697</v>
      </c>
      <c r="S6148" t="s">
        <v>12794</v>
      </c>
      <c r="T6148" t="s">
        <v>13290</v>
      </c>
      <c r="U6148" t="s">
        <v>13290</v>
      </c>
      <c r="V6148" t="s">
        <v>13290</v>
      </c>
      <c r="W6148" t="s">
        <v>19386</v>
      </c>
      <c r="X6148">
        <v>3</v>
      </c>
      <c r="Y6148" t="s">
        <v>25857</v>
      </c>
      <c r="Z6148" t="s">
        <v>32478</v>
      </c>
      <c r="AA6148">
        <v>0.49534471050503392</v>
      </c>
      <c r="AB6148" t="str">
        <f>HYPERLINK("Melting_Curves/meltCurve_Q9P2Y5_UVRAG.pdf", "Melting_Curves/meltCurve_Q9P2Y5_UVRAG.pdf")</f>
        <v>Melting_Curves/meltCurve_Q9P2Y5_UVRAG.pdf</v>
      </c>
    </row>
    <row r="6149" spans="1:28" x14ac:dyDescent="0.25">
      <c r="A6149" t="s">
        <v>6153</v>
      </c>
      <c r="B6149">
        <v>0.99252571173614901</v>
      </c>
      <c r="C6149">
        <v>1.2615222767815799</v>
      </c>
      <c r="D6149">
        <v>0.60358404821991896</v>
      </c>
      <c r="E6149">
        <v>0.78158683828461895</v>
      </c>
      <c r="F6149">
        <v>0.25477704074846103</v>
      </c>
      <c r="G6149">
        <v>0.100189954319614</v>
      </c>
      <c r="H6149">
        <v>6.2342945105077999E-2</v>
      </c>
      <c r="I6149">
        <v>6.0894810069826999E-2</v>
      </c>
      <c r="J6149">
        <v>6.4312245204528204E-2</v>
      </c>
      <c r="K6149">
        <v>6.4696610664505397E-2</v>
      </c>
      <c r="L6149">
        <v>1021.60078795921</v>
      </c>
      <c r="M6149">
        <v>20.137903302566301</v>
      </c>
      <c r="N6149">
        <v>50.9332709395403</v>
      </c>
      <c r="O6149">
        <v>50.237935984621302</v>
      </c>
      <c r="P6149">
        <v>-9.6350757575314999E-2</v>
      </c>
      <c r="Q6149">
        <v>3.8567173881472898E-2</v>
      </c>
      <c r="R6149">
        <v>0.89455429125771802</v>
      </c>
      <c r="S6149" t="s">
        <v>12795</v>
      </c>
      <c r="T6149" t="s">
        <v>13290</v>
      </c>
      <c r="U6149" t="s">
        <v>13290</v>
      </c>
      <c r="V6149" t="s">
        <v>13290</v>
      </c>
      <c r="W6149" t="s">
        <v>19387</v>
      </c>
      <c r="X6149">
        <v>20</v>
      </c>
      <c r="Y6149" t="s">
        <v>25858</v>
      </c>
      <c r="Z6149" t="s">
        <v>32479</v>
      </c>
      <c r="AA6149">
        <v>0.39562981378438411</v>
      </c>
      <c r="AB6149" t="str">
        <f>HYPERLINK("Melting_Curves/meltCurve_Q9UBB4_ATXN10.pdf", "Melting_Curves/meltCurve_Q9UBB4_ATXN10.pdf")</f>
        <v>Melting_Curves/meltCurve_Q9UBB4_ATXN10.pdf</v>
      </c>
    </row>
    <row r="6150" spans="1:28" x14ac:dyDescent="0.25">
      <c r="A6150" t="s">
        <v>6154</v>
      </c>
      <c r="B6150">
        <v>0.99252571173614901</v>
      </c>
      <c r="C6150">
        <v>0.82982583589746495</v>
      </c>
      <c r="D6150">
        <v>0.92272257636187205</v>
      </c>
      <c r="E6150">
        <v>0.59952485364510699</v>
      </c>
      <c r="F6150">
        <v>0.37565460930184302</v>
      </c>
      <c r="G6150">
        <v>0.22452190552630399</v>
      </c>
      <c r="H6150">
        <v>0.187957084294708</v>
      </c>
      <c r="I6150">
        <v>0.20576925712643801</v>
      </c>
      <c r="J6150">
        <v>0.27768715671698802</v>
      </c>
      <c r="K6150">
        <v>0.35073754438916899</v>
      </c>
      <c r="L6150">
        <v>1167.3179618131901</v>
      </c>
      <c r="M6150">
        <v>23.653174887748499</v>
      </c>
      <c r="N6150">
        <v>50.7857667156186</v>
      </c>
      <c r="O6150">
        <v>49.002750093818101</v>
      </c>
      <c r="P6150">
        <v>-9.1272971542843501E-2</v>
      </c>
      <c r="Q6150">
        <v>0.24364484947002599</v>
      </c>
      <c r="R6150">
        <v>0.94945008577956302</v>
      </c>
      <c r="S6150" t="s">
        <v>12796</v>
      </c>
      <c r="T6150" t="s">
        <v>13290</v>
      </c>
      <c r="U6150" t="s">
        <v>13290</v>
      </c>
      <c r="V6150" t="s">
        <v>13290</v>
      </c>
      <c r="W6150" t="s">
        <v>19388</v>
      </c>
      <c r="X6150">
        <v>6</v>
      </c>
      <c r="Y6150" t="s">
        <v>25859</v>
      </c>
      <c r="Z6150" t="s">
        <v>32480</v>
      </c>
      <c r="AA6150">
        <v>0.48693493780275038</v>
      </c>
      <c r="AB6150" t="str">
        <f>HYPERLINK("Melting_Curves/meltCurve_Q9UBB5_MBD2.pdf", "Melting_Curves/meltCurve_Q9UBB5_MBD2.pdf")</f>
        <v>Melting_Curves/meltCurve_Q9UBB5_MBD2.pdf</v>
      </c>
    </row>
    <row r="6151" spans="1:28" x14ac:dyDescent="0.25">
      <c r="A6151" t="s">
        <v>6155</v>
      </c>
      <c r="B6151">
        <v>0.99252571173614901</v>
      </c>
      <c r="C6151">
        <v>1.01936397141617</v>
      </c>
      <c r="D6151">
        <v>0.858250515653466</v>
      </c>
      <c r="E6151">
        <v>0.48063678714770802</v>
      </c>
      <c r="F6151">
        <v>0.14577198400171401</v>
      </c>
      <c r="G6151">
        <v>9.0757729645036506E-2</v>
      </c>
      <c r="H6151">
        <v>7.1147632006505396E-2</v>
      </c>
      <c r="I6151">
        <v>8.6258864490431394E-2</v>
      </c>
      <c r="J6151">
        <v>7.2484779600425195E-2</v>
      </c>
      <c r="K6151">
        <v>6.8238940986542193E-2</v>
      </c>
      <c r="L6151">
        <v>1395.36209824875</v>
      </c>
      <c r="M6151">
        <v>28.4301964828149</v>
      </c>
      <c r="N6151">
        <v>49.345303308041402</v>
      </c>
      <c r="O6151">
        <v>48.839393160111499</v>
      </c>
      <c r="P6151">
        <v>-0.13522650995591001</v>
      </c>
      <c r="Q6151">
        <v>7.0801285726692295E-2</v>
      </c>
      <c r="R6151">
        <v>0.99842830114660797</v>
      </c>
      <c r="S6151" t="s">
        <v>12797</v>
      </c>
      <c r="T6151" t="s">
        <v>13290</v>
      </c>
      <c r="U6151" t="s">
        <v>13290</v>
      </c>
      <c r="V6151" t="s">
        <v>13290</v>
      </c>
      <c r="W6151" t="s">
        <v>19389</v>
      </c>
      <c r="X6151">
        <v>12</v>
      </c>
      <c r="Y6151" t="s">
        <v>25860</v>
      </c>
      <c r="Z6151" t="s">
        <v>32481</v>
      </c>
      <c r="AA6151">
        <v>0.35837324847443591</v>
      </c>
      <c r="AB6151" t="str">
        <f>HYPERLINK("Melting_Curves/meltCurve_Q9UBB6_NCDN.pdf", "Melting_Curves/meltCurve_Q9UBB6_NCDN.pdf")</f>
        <v>Melting_Curves/meltCurve_Q9UBB6_NCDN.pdf</v>
      </c>
    </row>
    <row r="6152" spans="1:28" x14ac:dyDescent="0.25">
      <c r="A6152" t="s">
        <v>6156</v>
      </c>
      <c r="B6152">
        <v>0.99252571173614901</v>
      </c>
      <c r="C6152">
        <v>0.68665413253539498</v>
      </c>
      <c r="D6152">
        <v>0.42633716757879397</v>
      </c>
      <c r="E6152">
        <v>0.22359269614367999</v>
      </c>
      <c r="F6152">
        <v>0.17642568529838501</v>
      </c>
      <c r="G6152">
        <v>0.10313440158329</v>
      </c>
      <c r="H6152">
        <v>9.0307823347151206E-2</v>
      </c>
      <c r="I6152">
        <v>7.34407552495287E-2</v>
      </c>
      <c r="J6152">
        <v>7.8570164590883895E-2</v>
      </c>
      <c r="K6152">
        <v>6.9383982830318006E-2</v>
      </c>
      <c r="L6152">
        <v>854.32587628447095</v>
      </c>
      <c r="M6152">
        <v>19.066596129217402</v>
      </c>
      <c r="N6152">
        <v>45.2594178003298</v>
      </c>
      <c r="O6152">
        <v>44.323301990241603</v>
      </c>
      <c r="P6152">
        <v>-9.82239994230025E-2</v>
      </c>
      <c r="Q6152">
        <v>8.6687357295414796E-2</v>
      </c>
      <c r="R6152">
        <v>0.98840269388968405</v>
      </c>
      <c r="S6152" t="s">
        <v>12798</v>
      </c>
      <c r="T6152" t="s">
        <v>13290</v>
      </c>
      <c r="U6152" t="s">
        <v>13290</v>
      </c>
      <c r="V6152" t="s">
        <v>13290</v>
      </c>
      <c r="W6152" t="s">
        <v>19390</v>
      </c>
      <c r="X6152">
        <v>3</v>
      </c>
      <c r="Y6152" t="s">
        <v>25861</v>
      </c>
      <c r="Z6152" t="s">
        <v>32482</v>
      </c>
      <c r="AA6152">
        <v>0.25071147072881061</v>
      </c>
      <c r="AB6152" t="str">
        <f>HYPERLINK("Melting_Curves/meltCurve_Q9UBB9_TFIP11.pdf", "Melting_Curves/meltCurve_Q9UBB9_TFIP11.pdf")</f>
        <v>Melting_Curves/meltCurve_Q9UBB9_TFIP11.pdf</v>
      </c>
    </row>
    <row r="6153" spans="1:28" x14ac:dyDescent="0.25">
      <c r="A6153" t="s">
        <v>6157</v>
      </c>
      <c r="B6153">
        <v>0.99252571173614901</v>
      </c>
      <c r="C6153">
        <v>0.95096453959177796</v>
      </c>
      <c r="D6153">
        <v>0.80103870426261703</v>
      </c>
      <c r="E6153">
        <v>0.45670979190761002</v>
      </c>
      <c r="F6153">
        <v>0.16937357409717799</v>
      </c>
      <c r="G6153">
        <v>0.109469513297539</v>
      </c>
      <c r="H6153">
        <v>8.0110156877556404E-2</v>
      </c>
      <c r="I6153">
        <v>9.3481235458878098E-2</v>
      </c>
      <c r="J6153">
        <v>8.7002399866443897E-2</v>
      </c>
      <c r="K6153">
        <v>8.3646040315991793E-2</v>
      </c>
      <c r="L6153">
        <v>1128.35579706205</v>
      </c>
      <c r="M6153">
        <v>23.190530651004899</v>
      </c>
      <c r="N6153">
        <v>49.020904596119003</v>
      </c>
      <c r="O6153">
        <v>48.298431086487398</v>
      </c>
      <c r="P6153">
        <v>-0.11052109205821201</v>
      </c>
      <c r="Q6153">
        <v>7.9297057543296606E-2</v>
      </c>
      <c r="R6153">
        <v>0.99915072615034894</v>
      </c>
      <c r="S6153" t="s">
        <v>12799</v>
      </c>
      <c r="T6153" t="s">
        <v>13290</v>
      </c>
      <c r="U6153" t="s">
        <v>13290</v>
      </c>
      <c r="V6153" t="s">
        <v>13290</v>
      </c>
      <c r="W6153" t="s">
        <v>19391</v>
      </c>
      <c r="X6153">
        <v>19</v>
      </c>
      <c r="Y6153" t="s">
        <v>21123</v>
      </c>
      <c r="Z6153" t="s">
        <v>32483</v>
      </c>
      <c r="AA6153">
        <v>0.35446941904797841</v>
      </c>
      <c r="AB6153" t="str">
        <f>HYPERLINK("Melting_Curves/meltCurve_Q9UBC2_2_EPS15L1.pdf", "Melting_Curves/meltCurve_Q9UBC2_2_EPS15L1.pdf")</f>
        <v>Melting_Curves/meltCurve_Q9UBC2_2_EPS15L1.pdf</v>
      </c>
    </row>
    <row r="6154" spans="1:28" x14ac:dyDescent="0.25">
      <c r="A6154" t="s">
        <v>6158</v>
      </c>
      <c r="B6154">
        <v>0.99252571173614901</v>
      </c>
      <c r="C6154">
        <v>0.97370662103679695</v>
      </c>
      <c r="D6154">
        <v>0.82125351154873705</v>
      </c>
      <c r="E6154">
        <v>0.516742470841834</v>
      </c>
      <c r="F6154">
        <v>0.32058461720012399</v>
      </c>
      <c r="G6154">
        <v>0.18671829159021</v>
      </c>
      <c r="H6154">
        <v>0.112550912892858</v>
      </c>
      <c r="I6154">
        <v>0.111429186694237</v>
      </c>
      <c r="J6154">
        <v>0.121472073667258</v>
      </c>
      <c r="K6154">
        <v>0.117880608546553</v>
      </c>
      <c r="L6154">
        <v>917.74664613859704</v>
      </c>
      <c r="M6154">
        <v>18.5718740649768</v>
      </c>
      <c r="N6154">
        <v>50.068206038257102</v>
      </c>
      <c r="O6154">
        <v>48.853690832993102</v>
      </c>
      <c r="P6154">
        <v>-8.48300455837422E-2</v>
      </c>
      <c r="Q6154">
        <v>0.107450202799243</v>
      </c>
      <c r="R6154">
        <v>0.99809249303397296</v>
      </c>
      <c r="S6154" t="s">
        <v>12800</v>
      </c>
      <c r="T6154" t="s">
        <v>13290</v>
      </c>
      <c r="U6154" t="s">
        <v>13290</v>
      </c>
      <c r="V6154" t="s">
        <v>13290</v>
      </c>
      <c r="W6154" t="s">
        <v>19392</v>
      </c>
      <c r="X6154">
        <v>18</v>
      </c>
      <c r="Y6154" t="s">
        <v>21123</v>
      </c>
      <c r="Z6154" t="s">
        <v>32484</v>
      </c>
      <c r="AA6154">
        <v>0.40202559737985338</v>
      </c>
      <c r="AB6154" t="str">
        <f>HYPERLINK("Melting_Curves/meltCurve_Q9UBC2_4_EPS15L1.pdf", "Melting_Curves/meltCurve_Q9UBC2_4_EPS15L1.pdf")</f>
        <v>Melting_Curves/meltCurve_Q9UBC2_4_EPS15L1.pdf</v>
      </c>
    </row>
    <row r="6155" spans="1:28" x14ac:dyDescent="0.25">
      <c r="A6155" t="s">
        <v>6159</v>
      </c>
      <c r="B6155">
        <v>0.99252571173614901</v>
      </c>
      <c r="C6155">
        <v>0.85943337617416204</v>
      </c>
      <c r="D6155">
        <v>0.74219791079091002</v>
      </c>
      <c r="E6155">
        <v>0.32190441805665199</v>
      </c>
      <c r="F6155">
        <v>0.14295114911397699</v>
      </c>
      <c r="G6155">
        <v>8.5230766122504797E-2</v>
      </c>
      <c r="H6155">
        <v>7.3305322561505099E-2</v>
      </c>
      <c r="I6155">
        <v>7.17117180108056E-2</v>
      </c>
      <c r="J6155">
        <v>6.8308671637299895E-2</v>
      </c>
      <c r="K6155">
        <v>5.8797435478587602E-2</v>
      </c>
      <c r="L6155">
        <v>1033.5873978720899</v>
      </c>
      <c r="M6155">
        <v>21.704241961053299</v>
      </c>
      <c r="N6155">
        <v>47.909503471643099</v>
      </c>
      <c r="O6155">
        <v>47.222717502147098</v>
      </c>
      <c r="P6155">
        <v>-0.107877985562642</v>
      </c>
      <c r="Q6155">
        <v>6.1165805893186799E-2</v>
      </c>
      <c r="R6155">
        <v>0.99528730117143105</v>
      </c>
      <c r="S6155" t="s">
        <v>12801</v>
      </c>
      <c r="T6155" t="s">
        <v>13290</v>
      </c>
      <c r="U6155" t="s">
        <v>13290</v>
      </c>
      <c r="V6155" t="s">
        <v>13290</v>
      </c>
      <c r="W6155" t="s">
        <v>19393</v>
      </c>
      <c r="X6155">
        <v>7</v>
      </c>
      <c r="Y6155" t="s">
        <v>25862</v>
      </c>
      <c r="Z6155" t="s">
        <v>32485</v>
      </c>
      <c r="AA6155">
        <v>0.3109575127866559</v>
      </c>
      <c r="AB6155" t="str">
        <f>HYPERLINK("Melting_Curves/meltCurve_Q9UBD5_ORC3.pdf", "Melting_Curves/meltCurve_Q9UBD5_ORC3.pdf")</f>
        <v>Melting_Curves/meltCurve_Q9UBD5_ORC3.pdf</v>
      </c>
    </row>
    <row r="6156" spans="1:28" x14ac:dyDescent="0.25">
      <c r="A6156" t="s">
        <v>6160</v>
      </c>
      <c r="B6156">
        <v>0.99252571173614901</v>
      </c>
      <c r="C6156">
        <v>1.04038477027103</v>
      </c>
      <c r="D6156">
        <v>0.86096130724502895</v>
      </c>
      <c r="E6156">
        <v>0.73251897695765</v>
      </c>
      <c r="F6156">
        <v>0.25654960195187099</v>
      </c>
      <c r="G6156">
        <v>0.11214159690011199</v>
      </c>
      <c r="H6156">
        <v>6.6937355209115798E-2</v>
      </c>
      <c r="I6156">
        <v>6.4713624385461604E-2</v>
      </c>
      <c r="J6156">
        <v>7.2824754336186195E-2</v>
      </c>
      <c r="K6156">
        <v>7.1296947895884505E-2</v>
      </c>
      <c r="L6156">
        <v>1405.3021264614599</v>
      </c>
      <c r="M6156">
        <v>27.608703696471999</v>
      </c>
      <c r="N6156">
        <v>51.147719672922598</v>
      </c>
      <c r="O6156">
        <v>50.635895039350402</v>
      </c>
      <c r="P6156">
        <v>-0.12780316712192799</v>
      </c>
      <c r="Q6156">
        <v>6.2416107285675801E-2</v>
      </c>
      <c r="R6156">
        <v>0.99204618751900697</v>
      </c>
      <c r="S6156" t="s">
        <v>12802</v>
      </c>
      <c r="T6156" t="s">
        <v>13290</v>
      </c>
      <c r="U6156" t="s">
        <v>13290</v>
      </c>
      <c r="V6156" t="s">
        <v>13290</v>
      </c>
      <c r="W6156" t="s">
        <v>19394</v>
      </c>
      <c r="X6156">
        <v>28</v>
      </c>
      <c r="Y6156" t="s">
        <v>25863</v>
      </c>
      <c r="Z6156" t="s">
        <v>32486</v>
      </c>
      <c r="AA6156">
        <v>0.41004212303945842</v>
      </c>
      <c r="AB6156" t="str">
        <f>HYPERLINK("Melting_Curves/meltCurve_Q9UBE0_SAE1.pdf", "Melting_Curves/meltCurve_Q9UBE0_SAE1.pdf")</f>
        <v>Melting_Curves/meltCurve_Q9UBE0_SAE1.pdf</v>
      </c>
    </row>
    <row r="6157" spans="1:28" x14ac:dyDescent="0.25">
      <c r="A6157" t="s">
        <v>6161</v>
      </c>
      <c r="B6157">
        <v>0.99252571173614901</v>
      </c>
      <c r="C6157">
        <v>0.88699309043644903</v>
      </c>
      <c r="D6157">
        <v>1.1827766738851799</v>
      </c>
      <c r="E6157">
        <v>1.2414289600041899</v>
      </c>
      <c r="F6157">
        <v>0.64202693791659204</v>
      </c>
      <c r="G6157">
        <v>0.219081332005577</v>
      </c>
      <c r="H6157">
        <v>0.119152107285872</v>
      </c>
      <c r="I6157">
        <v>0.12541270771552701</v>
      </c>
      <c r="J6157">
        <v>0.150287254642824</v>
      </c>
      <c r="K6157">
        <v>0.142215170393309</v>
      </c>
      <c r="L6157">
        <v>4693.1028162101902</v>
      </c>
      <c r="M6157">
        <v>87.886107593893996</v>
      </c>
      <c r="N6157">
        <v>53.617646923499898</v>
      </c>
      <c r="O6157">
        <v>53.372208456227398</v>
      </c>
      <c r="P6157">
        <v>-0.349864167575278</v>
      </c>
      <c r="Q6157">
        <v>0.15012656548637099</v>
      </c>
      <c r="R6157">
        <v>0.94441567389304004</v>
      </c>
      <c r="S6157" t="s">
        <v>12803</v>
      </c>
      <c r="T6157" t="s">
        <v>13290</v>
      </c>
      <c r="U6157" t="s">
        <v>13290</v>
      </c>
      <c r="V6157" t="s">
        <v>13290</v>
      </c>
      <c r="W6157" t="s">
        <v>19395</v>
      </c>
      <c r="X6157">
        <v>19</v>
      </c>
      <c r="Y6157" t="s">
        <v>25864</v>
      </c>
      <c r="Z6157" t="s">
        <v>32487</v>
      </c>
      <c r="AA6157">
        <v>0.53037724938795594</v>
      </c>
      <c r="AB6157" t="str">
        <f>HYPERLINK("Melting_Curves/meltCurve_Q9UBF2_COPG2.pdf", "Melting_Curves/meltCurve_Q9UBF2_COPG2.pdf")</f>
        <v>Melting_Curves/meltCurve_Q9UBF2_COPG2.pdf</v>
      </c>
    </row>
    <row r="6158" spans="1:28" x14ac:dyDescent="0.25">
      <c r="A6158" t="s">
        <v>6162</v>
      </c>
      <c r="B6158">
        <v>0.99252571173614901</v>
      </c>
      <c r="C6158">
        <v>0.91739224557701304</v>
      </c>
      <c r="D6158">
        <v>1.0502522097796301</v>
      </c>
      <c r="E6158">
        <v>1.12324074030104</v>
      </c>
      <c r="F6158">
        <v>1.03662528342283</v>
      </c>
      <c r="G6158">
        <v>0.80322541345924903</v>
      </c>
      <c r="H6158">
        <v>0.61932349781609797</v>
      </c>
      <c r="I6158">
        <v>0.71713942164744804</v>
      </c>
      <c r="J6158">
        <v>1.02436772199645</v>
      </c>
      <c r="K6158">
        <v>1.0797445309965401</v>
      </c>
      <c r="L6158">
        <v>13731.095093771501</v>
      </c>
      <c r="M6158">
        <v>250</v>
      </c>
      <c r="O6158">
        <v>54.920850924256897</v>
      </c>
      <c r="P6158">
        <v>-0.172114862037996</v>
      </c>
      <c r="Q6158">
        <v>0.84875684477443203</v>
      </c>
      <c r="R6158">
        <v>0.28856326743782401</v>
      </c>
      <c r="S6158" t="s">
        <v>12804</v>
      </c>
      <c r="T6158" t="s">
        <v>13290</v>
      </c>
      <c r="U6158" t="s">
        <v>13290</v>
      </c>
      <c r="V6158" t="s">
        <v>13290</v>
      </c>
      <c r="W6158" t="s">
        <v>19396</v>
      </c>
      <c r="X6158">
        <v>3</v>
      </c>
      <c r="Y6158" t="s">
        <v>25865</v>
      </c>
      <c r="Z6158" t="s">
        <v>32488</v>
      </c>
      <c r="AA6158">
        <v>0.92401176924267558</v>
      </c>
      <c r="AB6158" t="str">
        <f>HYPERLINK("Melting_Curves/meltCurve_Q9UBF6_RNF7.pdf", "Melting_Curves/meltCurve_Q9UBF6_RNF7.pdf")</f>
        <v>Melting_Curves/meltCurve_Q9UBF6_RNF7.pdf</v>
      </c>
    </row>
    <row r="6159" spans="1:28" x14ac:dyDescent="0.25">
      <c r="A6159" t="s">
        <v>6163</v>
      </c>
      <c r="B6159">
        <v>0.99252571173614901</v>
      </c>
      <c r="C6159">
        <v>0.99826763646963701</v>
      </c>
      <c r="D6159">
        <v>0.96625266819489097</v>
      </c>
      <c r="E6159">
        <v>0.95325423910532203</v>
      </c>
      <c r="F6159">
        <v>0.410994409918429</v>
      </c>
      <c r="G6159">
        <v>0.124584495222476</v>
      </c>
      <c r="H6159">
        <v>0.156175424774226</v>
      </c>
      <c r="I6159">
        <v>7.7873705758859504E-2</v>
      </c>
      <c r="J6159">
        <v>5.4928810323001599E-2</v>
      </c>
      <c r="K6159">
        <v>5.6325505726831003E-2</v>
      </c>
      <c r="L6159">
        <v>2422.1158746712099</v>
      </c>
      <c r="M6159">
        <v>46.1093626807493</v>
      </c>
      <c r="N6159">
        <v>52.7500989543678</v>
      </c>
      <c r="O6159">
        <v>52.431285087760401</v>
      </c>
      <c r="P6159">
        <v>-0.20060210715243601</v>
      </c>
      <c r="Q6159">
        <v>8.7576726995946499E-2</v>
      </c>
      <c r="R6159">
        <v>0.99547257414305002</v>
      </c>
      <c r="S6159" t="s">
        <v>12805</v>
      </c>
      <c r="T6159" t="s">
        <v>13290</v>
      </c>
      <c r="U6159" t="s">
        <v>13290</v>
      </c>
      <c r="V6159" t="s">
        <v>13290</v>
      </c>
      <c r="W6159" t="s">
        <v>19397</v>
      </c>
      <c r="X6159">
        <v>5</v>
      </c>
      <c r="Y6159" t="s">
        <v>25866</v>
      </c>
      <c r="Z6159" t="s">
        <v>32489</v>
      </c>
      <c r="AA6159">
        <v>0.47114746052923617</v>
      </c>
      <c r="AB6159" t="str">
        <f>HYPERLINK("Melting_Curves/meltCurve_Q9UBF8_2_PI4KB.pdf", "Melting_Curves/meltCurve_Q9UBF8_2_PI4KB.pdf")</f>
        <v>Melting_Curves/meltCurve_Q9UBF8_2_PI4KB.pdf</v>
      </c>
    </row>
    <row r="6160" spans="1:28" x14ac:dyDescent="0.25">
      <c r="A6160" t="s">
        <v>6164</v>
      </c>
      <c r="B6160">
        <v>0.99252571173614901</v>
      </c>
      <c r="C6160">
        <v>1.0500118726004399</v>
      </c>
      <c r="D6160">
        <v>0.82244618073037301</v>
      </c>
      <c r="E6160">
        <v>0.48616566252750598</v>
      </c>
      <c r="F6160">
        <v>0.18339739101639799</v>
      </c>
      <c r="G6160">
        <v>9.9222849584623699E-2</v>
      </c>
      <c r="H6160">
        <v>7.4509779400617704E-2</v>
      </c>
      <c r="I6160">
        <v>7.7919425215774399E-2</v>
      </c>
      <c r="J6160">
        <v>9.7940330724891903E-2</v>
      </c>
      <c r="K6160">
        <v>9.2545645966606305E-2</v>
      </c>
      <c r="L6160">
        <v>1261.57843303296</v>
      </c>
      <c r="M6160">
        <v>25.738602565409899</v>
      </c>
      <c r="N6160">
        <v>49.355681280417002</v>
      </c>
      <c r="O6160">
        <v>48.722002245888199</v>
      </c>
      <c r="P6160">
        <v>-0.121322332349786</v>
      </c>
      <c r="Q6160">
        <v>8.1379967770283002E-2</v>
      </c>
      <c r="R6160">
        <v>0.99506194124838698</v>
      </c>
      <c r="S6160" t="s">
        <v>12806</v>
      </c>
      <c r="T6160" t="s">
        <v>13290</v>
      </c>
      <c r="U6160" t="s">
        <v>13290</v>
      </c>
      <c r="V6160" t="s">
        <v>13290</v>
      </c>
      <c r="W6160" t="s">
        <v>19398</v>
      </c>
      <c r="X6160">
        <v>13</v>
      </c>
      <c r="Y6160" t="s">
        <v>25867</v>
      </c>
      <c r="Z6160" t="s">
        <v>32490</v>
      </c>
      <c r="AA6160">
        <v>0.36509348357371352</v>
      </c>
      <c r="AB6160" t="str">
        <f>HYPERLINK("Melting_Curves/meltCurve_Q9UBK8_2_MTRR.pdf", "Melting_Curves/meltCurve_Q9UBK8_2_MTRR.pdf")</f>
        <v>Melting_Curves/meltCurve_Q9UBK8_2_MTRR.pdf</v>
      </c>
    </row>
    <row r="6161" spans="1:28" x14ac:dyDescent="0.25">
      <c r="A6161" t="s">
        <v>6165</v>
      </c>
      <c r="B6161">
        <v>0.99252571173614901</v>
      </c>
      <c r="C6161">
        <v>0.63945478111528098</v>
      </c>
      <c r="D6161">
        <v>1.20921468477395</v>
      </c>
      <c r="E6161">
        <v>0.83043558463199996</v>
      </c>
      <c r="F6161">
        <v>0.195566764559196</v>
      </c>
      <c r="G6161">
        <v>7.2709114578058898E-2</v>
      </c>
      <c r="H6161">
        <v>4.6474039870222299E-2</v>
      </c>
      <c r="I6161">
        <v>5.2120821639664201E-2</v>
      </c>
      <c r="J6161">
        <v>5.7500254572069497E-2</v>
      </c>
      <c r="K6161">
        <v>6.3677728875785003E-2</v>
      </c>
      <c r="L6161">
        <v>2509.1497682101999</v>
      </c>
      <c r="M6161">
        <v>48.985245121668399</v>
      </c>
      <c r="N6161">
        <v>51.351239524499299</v>
      </c>
      <c r="O6161">
        <v>51.137412019277001</v>
      </c>
      <c r="P6161">
        <v>-0.22564733471663601</v>
      </c>
      <c r="Q6161">
        <v>5.7756266469855697E-2</v>
      </c>
      <c r="R6161">
        <v>0.90609433203279</v>
      </c>
      <c r="S6161" t="s">
        <v>12807</v>
      </c>
      <c r="T6161" t="s">
        <v>13290</v>
      </c>
      <c r="U6161" t="s">
        <v>13290</v>
      </c>
      <c r="V6161" t="s">
        <v>13290</v>
      </c>
      <c r="W6161" t="s">
        <v>19399</v>
      </c>
      <c r="X6161">
        <v>15</v>
      </c>
      <c r="Y6161" t="s">
        <v>25868</v>
      </c>
      <c r="Z6161" t="s">
        <v>32491</v>
      </c>
      <c r="AA6161">
        <v>0.41245438658056588</v>
      </c>
      <c r="AB6161" t="str">
        <f>HYPERLINK("Melting_Curves/meltCurve_Q9UBL3_3_ASH2L.pdf", "Melting_Curves/meltCurve_Q9UBL3_3_ASH2L.pdf")</f>
        <v>Melting_Curves/meltCurve_Q9UBL3_3_ASH2L.pdf</v>
      </c>
    </row>
    <row r="6162" spans="1:28" x14ac:dyDescent="0.25">
      <c r="A6162" t="s">
        <v>6166</v>
      </c>
      <c r="B6162">
        <v>0.99252571173614901</v>
      </c>
      <c r="C6162">
        <v>0.88625049267590905</v>
      </c>
      <c r="D6162">
        <v>0.84519658599248504</v>
      </c>
      <c r="E6162">
        <v>0.71775853027130898</v>
      </c>
      <c r="F6162">
        <v>0.30582347365543699</v>
      </c>
      <c r="G6162">
        <v>0.15091904473773099</v>
      </c>
      <c r="H6162">
        <v>0.106610760422388</v>
      </c>
      <c r="I6162">
        <v>0.119957438235075</v>
      </c>
      <c r="J6162">
        <v>0.128150644711712</v>
      </c>
      <c r="K6162">
        <v>0.130613073225162</v>
      </c>
      <c r="L6162">
        <v>1088.14502064936</v>
      </c>
      <c r="M6162">
        <v>21.497213038026601</v>
      </c>
      <c r="N6162">
        <v>51.167637463870498</v>
      </c>
      <c r="O6162">
        <v>50.1860477742349</v>
      </c>
      <c r="P6162">
        <v>-9.6048636982310004E-2</v>
      </c>
      <c r="Q6162">
        <v>0.103105404140568</v>
      </c>
      <c r="R6162">
        <v>0.98315151708469295</v>
      </c>
      <c r="S6162" t="s">
        <v>12808</v>
      </c>
      <c r="T6162" t="s">
        <v>13290</v>
      </c>
      <c r="U6162" t="s">
        <v>13290</v>
      </c>
      <c r="V6162" t="s">
        <v>13290</v>
      </c>
      <c r="W6162" t="s">
        <v>19400</v>
      </c>
      <c r="X6162">
        <v>7</v>
      </c>
      <c r="Y6162" t="s">
        <v>25869</v>
      </c>
      <c r="Z6162" t="s">
        <v>32492</v>
      </c>
      <c r="AA6162">
        <v>0.43139483622574643</v>
      </c>
      <c r="AB6162" t="str">
        <f>HYPERLINK("Melting_Curves/meltCurve_Q9UBM7_DHCR7.pdf", "Melting_Curves/meltCurve_Q9UBM7_DHCR7.pdf")</f>
        <v>Melting_Curves/meltCurve_Q9UBM7_DHCR7.pdf</v>
      </c>
    </row>
    <row r="6163" spans="1:28" x14ac:dyDescent="0.25">
      <c r="A6163" t="s">
        <v>6167</v>
      </c>
      <c r="B6163">
        <v>0.99252571173614901</v>
      </c>
      <c r="C6163">
        <v>1.02166821177448</v>
      </c>
      <c r="D6163">
        <v>0.96661812361768296</v>
      </c>
      <c r="E6163">
        <v>0.94147947840825996</v>
      </c>
      <c r="F6163">
        <v>0.74352829684926702</v>
      </c>
      <c r="G6163">
        <v>0.65109641968163701</v>
      </c>
      <c r="H6163">
        <v>0.54217952353280696</v>
      </c>
      <c r="I6163">
        <v>0.68919564712497206</v>
      </c>
      <c r="J6163">
        <v>1.1761542519491099</v>
      </c>
      <c r="K6163">
        <v>1.05135227303667</v>
      </c>
      <c r="L6163">
        <v>12440.5564494181</v>
      </c>
      <c r="M6163">
        <v>250</v>
      </c>
      <c r="O6163">
        <v>49.759041367765199</v>
      </c>
      <c r="P6163">
        <v>-0.24000947910465001</v>
      </c>
      <c r="Q6163">
        <v>0.80891773471951001</v>
      </c>
      <c r="R6163">
        <v>0.189850772915715</v>
      </c>
      <c r="S6163" t="s">
        <v>12809</v>
      </c>
      <c r="T6163" t="s">
        <v>13290</v>
      </c>
      <c r="U6163" t="s">
        <v>13290</v>
      </c>
      <c r="V6163" t="s">
        <v>13290</v>
      </c>
      <c r="W6163" t="s">
        <v>19401</v>
      </c>
      <c r="X6163">
        <v>11</v>
      </c>
      <c r="Y6163" t="s">
        <v>25870</v>
      </c>
      <c r="Z6163" t="s">
        <v>32493</v>
      </c>
      <c r="AA6163">
        <v>0.87111402962283313</v>
      </c>
      <c r="AB6163" t="str">
        <f>HYPERLINK("Melting_Curves/meltCurve_Q9UBN6_TNFRSF10D.pdf", "Melting_Curves/meltCurve_Q9UBN6_TNFRSF10D.pdf")</f>
        <v>Melting_Curves/meltCurve_Q9UBN6_TNFRSF10D.pdf</v>
      </c>
    </row>
    <row r="6164" spans="1:28" x14ac:dyDescent="0.25">
      <c r="A6164" t="s">
        <v>6168</v>
      </c>
      <c r="B6164">
        <v>0.99252571173614901</v>
      </c>
      <c r="C6164">
        <v>1.0175486003832199</v>
      </c>
      <c r="D6164">
        <v>0.86880756105574897</v>
      </c>
      <c r="E6164">
        <v>0.376874235518532</v>
      </c>
      <c r="F6164">
        <v>0.120984092095622</v>
      </c>
      <c r="G6164">
        <v>7.7123733722184895E-2</v>
      </c>
      <c r="H6164">
        <v>5.5579727131682098E-2</v>
      </c>
      <c r="I6164">
        <v>5.7213085573363603E-2</v>
      </c>
      <c r="J6164">
        <v>7.4077533218112404E-2</v>
      </c>
      <c r="K6164">
        <v>7.6667337909366501E-2</v>
      </c>
      <c r="L6164">
        <v>1612.34141814036</v>
      </c>
      <c r="M6164">
        <v>33.203542905009897</v>
      </c>
      <c r="N6164">
        <v>48.771165919284201</v>
      </c>
      <c r="O6164">
        <v>48.384195041275397</v>
      </c>
      <c r="P6164">
        <v>-0.16004151673589101</v>
      </c>
      <c r="Q6164">
        <v>6.7154238887839807E-2</v>
      </c>
      <c r="R6164">
        <v>0.99914626082258595</v>
      </c>
      <c r="S6164" t="s">
        <v>12810</v>
      </c>
      <c r="T6164" t="s">
        <v>13290</v>
      </c>
      <c r="U6164" t="s">
        <v>13290</v>
      </c>
      <c r="V6164" t="s">
        <v>13290</v>
      </c>
      <c r="W6164" t="s">
        <v>19402</v>
      </c>
      <c r="X6164">
        <v>14</v>
      </c>
      <c r="Y6164" t="s">
        <v>25871</v>
      </c>
      <c r="Z6164" t="s">
        <v>32494</v>
      </c>
      <c r="AA6164">
        <v>0.3378891580057552</v>
      </c>
      <c r="AB6164" t="str">
        <f>HYPERLINK("Melting_Curves/meltCurve_Q9UBP0_3_SPAST.pdf", "Melting_Curves/meltCurve_Q9UBP0_3_SPAST.pdf")</f>
        <v>Melting_Curves/meltCurve_Q9UBP0_3_SPAST.pdf</v>
      </c>
    </row>
    <row r="6165" spans="1:28" x14ac:dyDescent="0.25">
      <c r="A6165" t="s">
        <v>6169</v>
      </c>
      <c r="B6165">
        <v>0.99252571173614901</v>
      </c>
      <c r="C6165">
        <v>1.03146847693858</v>
      </c>
      <c r="D6165">
        <v>1.0027628054614199</v>
      </c>
      <c r="E6165">
        <v>0.99948519357741805</v>
      </c>
      <c r="F6165">
        <v>0.60008178105151599</v>
      </c>
      <c r="G6165">
        <v>0.17158103855878201</v>
      </c>
      <c r="H6165">
        <v>0.123785047338253</v>
      </c>
      <c r="I6165">
        <v>0.140444780663048</v>
      </c>
      <c r="J6165">
        <v>0.205201480160944</v>
      </c>
      <c r="K6165">
        <v>0.19164560479019399</v>
      </c>
      <c r="L6165">
        <v>4385.8627280358996</v>
      </c>
      <c r="M6165">
        <v>82.357859121622297</v>
      </c>
      <c r="N6165">
        <v>53.515020178144503</v>
      </c>
      <c r="O6165">
        <v>53.222350320283297</v>
      </c>
      <c r="P6165">
        <v>-0.32281262605133398</v>
      </c>
      <c r="Q6165">
        <v>0.16555166453630399</v>
      </c>
      <c r="R6165">
        <v>0.99639323365245902</v>
      </c>
      <c r="S6165" t="s">
        <v>12811</v>
      </c>
      <c r="T6165" t="s">
        <v>13290</v>
      </c>
      <c r="U6165" t="s">
        <v>13290</v>
      </c>
      <c r="V6165" t="s">
        <v>13290</v>
      </c>
      <c r="W6165" t="s">
        <v>19403</v>
      </c>
      <c r="X6165">
        <v>4</v>
      </c>
      <c r="Y6165" t="s">
        <v>25872</v>
      </c>
      <c r="Z6165" t="s">
        <v>32495</v>
      </c>
      <c r="AA6165">
        <v>0.53492319238532482</v>
      </c>
      <c r="AB6165" t="str">
        <f>HYPERLINK("Melting_Curves/meltCurve_Q9UBP6_METTL1.pdf", "Melting_Curves/meltCurve_Q9UBP6_METTL1.pdf")</f>
        <v>Melting_Curves/meltCurve_Q9UBP6_METTL1.pdf</v>
      </c>
    </row>
    <row r="6166" spans="1:28" x14ac:dyDescent="0.25">
      <c r="A6166" t="s">
        <v>6170</v>
      </c>
      <c r="B6166">
        <v>0.99252571173614901</v>
      </c>
      <c r="C6166">
        <v>0.96256503861479903</v>
      </c>
      <c r="D6166">
        <v>1.01482244537095</v>
      </c>
      <c r="E6166">
        <v>0.90176779958017494</v>
      </c>
      <c r="F6166">
        <v>0.90199038956949096</v>
      </c>
      <c r="G6166">
        <v>0.57816541827124202</v>
      </c>
      <c r="H6166">
        <v>0.26722336344326503</v>
      </c>
      <c r="I6166">
        <v>0.146445251413204</v>
      </c>
      <c r="J6166">
        <v>0.15492497435654001</v>
      </c>
      <c r="K6166">
        <v>0.14045138043806299</v>
      </c>
      <c r="L6166">
        <v>1503.82461119194</v>
      </c>
      <c r="M6166">
        <v>26.404119305997501</v>
      </c>
      <c r="N6166">
        <v>57.588211495524703</v>
      </c>
      <c r="O6166">
        <v>56.630487501728297</v>
      </c>
      <c r="P6166">
        <v>-0.10186178813993001</v>
      </c>
      <c r="Q6166">
        <v>0.126133281702723</v>
      </c>
      <c r="R6166">
        <v>0.99301565888461296</v>
      </c>
      <c r="S6166" t="s">
        <v>12812</v>
      </c>
      <c r="T6166" t="s">
        <v>13290</v>
      </c>
      <c r="U6166" t="s">
        <v>13290</v>
      </c>
      <c r="V6166" t="s">
        <v>13290</v>
      </c>
      <c r="W6166" t="s">
        <v>19404</v>
      </c>
      <c r="X6166">
        <v>13</v>
      </c>
      <c r="Y6166" t="s">
        <v>25873</v>
      </c>
      <c r="Z6166" t="s">
        <v>32496</v>
      </c>
      <c r="AA6166">
        <v>0.62721594488678145</v>
      </c>
      <c r="AB6166" t="str">
        <f>HYPERLINK("Melting_Curves/meltCurve_Q9UBQ0_VPS29.pdf", "Melting_Curves/meltCurve_Q9UBQ0_VPS29.pdf")</f>
        <v>Melting_Curves/meltCurve_Q9UBQ0_VPS29.pdf</v>
      </c>
    </row>
    <row r="6167" spans="1:28" x14ac:dyDescent="0.25">
      <c r="A6167" t="s">
        <v>6171</v>
      </c>
      <c r="B6167">
        <v>0.99252571173614901</v>
      </c>
      <c r="C6167">
        <v>1.0634938889911301</v>
      </c>
      <c r="D6167">
        <v>0.99900575157258098</v>
      </c>
      <c r="E6167">
        <v>0.87881166533021005</v>
      </c>
      <c r="F6167">
        <v>0.58806112560903301</v>
      </c>
      <c r="G6167">
        <v>0.215086892728308</v>
      </c>
      <c r="H6167">
        <v>9.7527898477015998E-2</v>
      </c>
      <c r="I6167">
        <v>6.8621330936962405E-2</v>
      </c>
      <c r="J6167">
        <v>6.3063850243913505E-2</v>
      </c>
      <c r="K6167">
        <v>5.8401842337769003E-2</v>
      </c>
      <c r="L6167">
        <v>1422.5205033027801</v>
      </c>
      <c r="M6167">
        <v>26.5455505088782</v>
      </c>
      <c r="N6167">
        <v>53.8286107546135</v>
      </c>
      <c r="O6167">
        <v>53.286583322749003</v>
      </c>
      <c r="P6167">
        <v>-0.117572863675208</v>
      </c>
      <c r="Q6167">
        <v>5.5964169447581397E-2</v>
      </c>
      <c r="R6167">
        <v>0.99706591779098797</v>
      </c>
      <c r="S6167" t="s">
        <v>12813</v>
      </c>
      <c r="T6167" t="s">
        <v>13290</v>
      </c>
      <c r="U6167" t="s">
        <v>13290</v>
      </c>
      <c r="V6167" t="s">
        <v>13290</v>
      </c>
      <c r="W6167" t="s">
        <v>19405</v>
      </c>
      <c r="X6167">
        <v>14</v>
      </c>
      <c r="Y6167" t="s">
        <v>25874</v>
      </c>
      <c r="Z6167" t="s">
        <v>32497</v>
      </c>
      <c r="AA6167">
        <v>0.4913455975344192</v>
      </c>
      <c r="AB6167" t="str">
        <f>HYPERLINK("Melting_Curves/meltCurve_Q9UBQ7_GRHPR.pdf", "Melting_Curves/meltCurve_Q9UBQ7_GRHPR.pdf")</f>
        <v>Melting_Curves/meltCurve_Q9UBQ7_GRHPR.pdf</v>
      </c>
    </row>
    <row r="6168" spans="1:28" x14ac:dyDescent="0.25">
      <c r="A6168" t="s">
        <v>6172</v>
      </c>
      <c r="B6168">
        <v>0.99252571173614901</v>
      </c>
      <c r="C6168">
        <v>1.06815389860342</v>
      </c>
      <c r="D6168">
        <v>0.99390588227395604</v>
      </c>
      <c r="E6168">
        <v>0.86787625996551898</v>
      </c>
      <c r="F6168">
        <v>0.70562411306315598</v>
      </c>
      <c r="G6168">
        <v>0.52740289551389596</v>
      </c>
      <c r="H6168">
        <v>0.37534475701553</v>
      </c>
      <c r="I6168">
        <v>0.31114307854469397</v>
      </c>
      <c r="J6168">
        <v>0.318240972507428</v>
      </c>
      <c r="K6168">
        <v>0.29650631211173101</v>
      </c>
      <c r="L6168">
        <v>961.17529132457298</v>
      </c>
      <c r="M6168">
        <v>17.677985077619301</v>
      </c>
      <c r="N6168">
        <v>57.053421475683102</v>
      </c>
      <c r="O6168">
        <v>53.689876243280203</v>
      </c>
      <c r="P6168">
        <v>-5.9088683821010103E-2</v>
      </c>
      <c r="Q6168">
        <v>0.282204142593938</v>
      </c>
      <c r="R6168">
        <v>0.99196306804802103</v>
      </c>
      <c r="S6168" t="s">
        <v>12814</v>
      </c>
      <c r="T6168" t="s">
        <v>13290</v>
      </c>
      <c r="U6168" t="s">
        <v>13290</v>
      </c>
      <c r="V6168" t="s">
        <v>13290</v>
      </c>
      <c r="W6168" t="s">
        <v>19406</v>
      </c>
      <c r="X6168">
        <v>9</v>
      </c>
      <c r="Y6168" t="s">
        <v>25875</v>
      </c>
      <c r="Z6168" t="s">
        <v>32498</v>
      </c>
      <c r="AA6168">
        <v>0.63771410005255569</v>
      </c>
      <c r="AB6168" t="str">
        <f>HYPERLINK("Melting_Curves/meltCurve_Q9UBR2_CTSZ.pdf", "Melting_Curves/meltCurve_Q9UBR2_CTSZ.pdf")</f>
        <v>Melting_Curves/meltCurve_Q9UBR2_CTSZ.pdf</v>
      </c>
    </row>
    <row r="6169" spans="1:28" x14ac:dyDescent="0.25">
      <c r="A6169" t="s">
        <v>6173</v>
      </c>
      <c r="B6169">
        <v>0.99252571173614901</v>
      </c>
      <c r="C6169">
        <v>0.87294843476555795</v>
      </c>
      <c r="D6169">
        <v>0.42901478604318699</v>
      </c>
      <c r="E6169">
        <v>0.15384764933872799</v>
      </c>
      <c r="F6169">
        <v>0.101872709860133</v>
      </c>
      <c r="G6169">
        <v>4.8336302302691203E-2</v>
      </c>
      <c r="H6169">
        <v>4.1881851442649498E-2</v>
      </c>
      <c r="I6169">
        <v>4.7761343031964297E-2</v>
      </c>
      <c r="J6169">
        <v>5.3688264586146998E-2</v>
      </c>
      <c r="K6169">
        <v>6.0502634301343901E-2</v>
      </c>
      <c r="L6169">
        <v>1332.23715918311</v>
      </c>
      <c r="M6169">
        <v>29.321737911535401</v>
      </c>
      <c r="N6169">
        <v>45.628100833365401</v>
      </c>
      <c r="O6169">
        <v>45.225378336291001</v>
      </c>
      <c r="P6169">
        <v>-0.15263542108075201</v>
      </c>
      <c r="Q6169">
        <v>5.8317049144459399E-2</v>
      </c>
      <c r="R6169">
        <v>0.997849059257224</v>
      </c>
      <c r="S6169" t="s">
        <v>12815</v>
      </c>
      <c r="T6169" t="s">
        <v>13290</v>
      </c>
      <c r="U6169" t="s">
        <v>13290</v>
      </c>
      <c r="V6169" t="s">
        <v>13290</v>
      </c>
      <c r="W6169" t="s">
        <v>19407</v>
      </c>
      <c r="X6169">
        <v>3</v>
      </c>
      <c r="Y6169" t="s">
        <v>25876</v>
      </c>
      <c r="Z6169" t="s">
        <v>32499</v>
      </c>
      <c r="AA6169">
        <v>0.2351233366629534</v>
      </c>
      <c r="AB6169" t="str">
        <f>HYPERLINK("Melting_Curves/meltCurve_Q9UBS0_RPS6KB2.pdf", "Melting_Curves/meltCurve_Q9UBS0_RPS6KB2.pdf")</f>
        <v>Melting_Curves/meltCurve_Q9UBS0_RPS6KB2.pdf</v>
      </c>
    </row>
    <row r="6170" spans="1:28" x14ac:dyDescent="0.25">
      <c r="A6170" t="s">
        <v>6174</v>
      </c>
      <c r="B6170">
        <v>0.99252571173614901</v>
      </c>
      <c r="C6170">
        <v>0.86939695433162001</v>
      </c>
      <c r="D6170">
        <v>0.99137988093866003</v>
      </c>
      <c r="E6170">
        <v>0.85849240258776804</v>
      </c>
      <c r="F6170">
        <v>0.62659789542375299</v>
      </c>
      <c r="G6170">
        <v>0.37436305089199501</v>
      </c>
      <c r="H6170">
        <v>0.217730572023313</v>
      </c>
      <c r="I6170">
        <v>0.17157758403123199</v>
      </c>
      <c r="J6170">
        <v>0.20940989528798801</v>
      </c>
      <c r="K6170">
        <v>0.13492487582089299</v>
      </c>
      <c r="L6170">
        <v>1030.9964378995601</v>
      </c>
      <c r="M6170">
        <v>19.156108630460899</v>
      </c>
      <c r="N6170">
        <v>54.808552784838596</v>
      </c>
      <c r="O6170">
        <v>53.2445350839456</v>
      </c>
      <c r="P6170">
        <v>-7.6817403271606396E-2</v>
      </c>
      <c r="Q6170">
        <v>0.14597498352761901</v>
      </c>
      <c r="R6170">
        <v>0.983868728492997</v>
      </c>
      <c r="S6170" t="s">
        <v>12816</v>
      </c>
      <c r="T6170" t="s">
        <v>13290</v>
      </c>
      <c r="U6170" t="s">
        <v>13290</v>
      </c>
      <c r="V6170" t="s">
        <v>13290</v>
      </c>
      <c r="W6170" t="s">
        <v>13935</v>
      </c>
      <c r="X6170">
        <v>10</v>
      </c>
      <c r="Y6170" t="s">
        <v>20524</v>
      </c>
      <c r="Z6170" t="s">
        <v>32500</v>
      </c>
      <c r="AA6170">
        <v>0.55188975705596122</v>
      </c>
      <c r="AB6170" t="str">
        <f>HYPERLINK("Melting_Curves/meltCurve_Q9UBS4_DNAJB11.pdf", "Melting_Curves/meltCurve_Q9UBS4_DNAJB11.pdf")</f>
        <v>Melting_Curves/meltCurve_Q9UBS4_DNAJB11.pdf</v>
      </c>
    </row>
    <row r="6171" spans="1:28" x14ac:dyDescent="0.25">
      <c r="A6171" t="s">
        <v>6175</v>
      </c>
      <c r="B6171">
        <v>0.99252571173614901</v>
      </c>
      <c r="C6171">
        <v>1.1225935078754401</v>
      </c>
      <c r="D6171">
        <v>0.85987382112296196</v>
      </c>
      <c r="E6171">
        <v>0.52101998417787898</v>
      </c>
      <c r="F6171">
        <v>0.16602115874865001</v>
      </c>
      <c r="G6171">
        <v>9.9348028047521006E-2</v>
      </c>
      <c r="H6171">
        <v>5.8707308633791297E-2</v>
      </c>
      <c r="I6171">
        <v>7.3001919996064701E-2</v>
      </c>
      <c r="J6171">
        <v>0.118765876129661</v>
      </c>
      <c r="K6171">
        <v>0.11832600314267901</v>
      </c>
      <c r="L6171">
        <v>1485.38267857147</v>
      </c>
      <c r="M6171">
        <v>30.123828966958001</v>
      </c>
      <c r="N6171">
        <v>49.629300088034199</v>
      </c>
      <c r="O6171">
        <v>49.093455697649198</v>
      </c>
      <c r="P6171">
        <v>-0.13985903475512099</v>
      </c>
      <c r="Q6171">
        <v>8.8280679954925695E-2</v>
      </c>
      <c r="R6171">
        <v>0.98559059072319799</v>
      </c>
      <c r="S6171" t="s">
        <v>12817</v>
      </c>
      <c r="T6171" t="s">
        <v>13290</v>
      </c>
      <c r="U6171" t="s">
        <v>13290</v>
      </c>
      <c r="V6171" t="s">
        <v>13290</v>
      </c>
      <c r="W6171" t="s">
        <v>19408</v>
      </c>
      <c r="X6171">
        <v>7</v>
      </c>
      <c r="Y6171" t="s">
        <v>25877</v>
      </c>
      <c r="Z6171" t="s">
        <v>32501</v>
      </c>
      <c r="AA6171">
        <v>0.37672555903124239</v>
      </c>
      <c r="AB6171" t="str">
        <f>HYPERLINK("Melting_Curves/meltCurve_Q9UBS8_RNF14.pdf", "Melting_Curves/meltCurve_Q9UBS8_RNF14.pdf")</f>
        <v>Melting_Curves/meltCurve_Q9UBS8_RNF14.pdf</v>
      </c>
    </row>
    <row r="6172" spans="1:28" x14ac:dyDescent="0.25">
      <c r="A6172" t="s">
        <v>6176</v>
      </c>
      <c r="B6172">
        <v>0.99252571173614901</v>
      </c>
      <c r="C6172">
        <v>0.93980297118211098</v>
      </c>
      <c r="D6172">
        <v>0.880731863284273</v>
      </c>
      <c r="E6172">
        <v>0.79578417173267701</v>
      </c>
      <c r="F6172">
        <v>0.44929000126547203</v>
      </c>
      <c r="G6172">
        <v>0.246056372806499</v>
      </c>
      <c r="H6172">
        <v>0.18582864671190399</v>
      </c>
      <c r="I6172">
        <v>0.20546710031859</v>
      </c>
      <c r="J6172">
        <v>0.26948393981191199</v>
      </c>
      <c r="K6172">
        <v>0.28508065485050899</v>
      </c>
      <c r="L6172">
        <v>1319.9970457949601</v>
      </c>
      <c r="M6172">
        <v>25.766542936904798</v>
      </c>
      <c r="N6172">
        <v>52.450780817964102</v>
      </c>
      <c r="O6172">
        <v>50.923524709458903</v>
      </c>
      <c r="P6172">
        <v>-9.7955442252230698E-2</v>
      </c>
      <c r="Q6172">
        <v>0.22563506004938799</v>
      </c>
      <c r="R6172">
        <v>0.979949085776465</v>
      </c>
      <c r="S6172" t="s">
        <v>12818</v>
      </c>
      <c r="T6172" t="s">
        <v>13290</v>
      </c>
      <c r="U6172" t="s">
        <v>13290</v>
      </c>
      <c r="V6172" t="s">
        <v>13290</v>
      </c>
      <c r="W6172" t="s">
        <v>19409</v>
      </c>
      <c r="X6172">
        <v>2</v>
      </c>
      <c r="Y6172" t="s">
        <v>25878</v>
      </c>
      <c r="Z6172" t="s">
        <v>32502</v>
      </c>
      <c r="AA6172">
        <v>0.52209209033128601</v>
      </c>
      <c r="AB6172" t="str">
        <f>HYPERLINK("Melting_Curves/meltCurve_Q9UBS9_SUCO.pdf", "Melting_Curves/meltCurve_Q9UBS9_SUCO.pdf")</f>
        <v>Melting_Curves/meltCurve_Q9UBS9_SUCO.pdf</v>
      </c>
    </row>
    <row r="6173" spans="1:28" x14ac:dyDescent="0.25">
      <c r="A6173" t="s">
        <v>6177</v>
      </c>
      <c r="B6173">
        <v>0.99252571173614901</v>
      </c>
      <c r="C6173">
        <v>0.98596085411339496</v>
      </c>
      <c r="D6173">
        <v>0.91372686978088602</v>
      </c>
      <c r="E6173">
        <v>0.69646133913012997</v>
      </c>
      <c r="F6173">
        <v>0.22435132321161699</v>
      </c>
      <c r="G6173">
        <v>0.12924074028806101</v>
      </c>
      <c r="H6173">
        <v>8.6681273632604999E-2</v>
      </c>
      <c r="I6173">
        <v>8.2939590219598597E-2</v>
      </c>
      <c r="J6173">
        <v>8.9396191297889005E-2</v>
      </c>
      <c r="K6173">
        <v>8.5732977048341902E-2</v>
      </c>
      <c r="L6173">
        <v>1571.38704081535</v>
      </c>
      <c r="M6173">
        <v>31.080276081159699</v>
      </c>
      <c r="N6173">
        <v>50.8638215273211</v>
      </c>
      <c r="O6173">
        <v>50.351056261971998</v>
      </c>
      <c r="P6173">
        <v>-0.141205279108158</v>
      </c>
      <c r="Q6173">
        <v>8.4976647855873305E-2</v>
      </c>
      <c r="R6173">
        <v>0.99775627583226401</v>
      </c>
      <c r="S6173" t="s">
        <v>12819</v>
      </c>
      <c r="T6173" t="s">
        <v>13290</v>
      </c>
      <c r="U6173" t="s">
        <v>13290</v>
      </c>
      <c r="V6173" t="s">
        <v>13290</v>
      </c>
      <c r="W6173" t="s">
        <v>19410</v>
      </c>
      <c r="X6173">
        <v>32</v>
      </c>
      <c r="Y6173" t="s">
        <v>25879</v>
      </c>
      <c r="Z6173" t="s">
        <v>32503</v>
      </c>
      <c r="AA6173">
        <v>0.41235273870102102</v>
      </c>
      <c r="AB6173" t="str">
        <f>HYPERLINK("Melting_Curves/meltCurve_Q9UBT2_UBA2.pdf", "Melting_Curves/meltCurve_Q9UBT2_UBA2.pdf")</f>
        <v>Melting_Curves/meltCurve_Q9UBT2_UBA2.pdf</v>
      </c>
    </row>
    <row r="6174" spans="1:28" x14ac:dyDescent="0.25">
      <c r="A6174" t="s">
        <v>6178</v>
      </c>
      <c r="B6174">
        <v>0.99252571173614901</v>
      </c>
      <c r="C6174">
        <v>0.89551368787374397</v>
      </c>
      <c r="D6174">
        <v>0.819887041078455</v>
      </c>
      <c r="E6174">
        <v>0.81617796360991701</v>
      </c>
      <c r="F6174">
        <v>0.41385959567651498</v>
      </c>
      <c r="G6174">
        <v>0.26475558128793403</v>
      </c>
      <c r="H6174">
        <v>0.23816176061785699</v>
      </c>
      <c r="I6174">
        <v>0.25770466825064697</v>
      </c>
      <c r="J6174">
        <v>0.26520097522781699</v>
      </c>
      <c r="K6174">
        <v>0.215489431233508</v>
      </c>
      <c r="L6174">
        <v>1032.41560323729</v>
      </c>
      <c r="M6174">
        <v>20.2630711426484</v>
      </c>
      <c r="N6174">
        <v>52.465202188049197</v>
      </c>
      <c r="O6174">
        <v>50.462144288388401</v>
      </c>
      <c r="P6174">
        <v>-7.8160252988218201E-2</v>
      </c>
      <c r="Q6174">
        <v>0.22143839033483401</v>
      </c>
      <c r="R6174">
        <v>0.96359588580205002</v>
      </c>
      <c r="S6174" t="s">
        <v>12820</v>
      </c>
      <c r="T6174" t="s">
        <v>13290</v>
      </c>
      <c r="U6174" t="s">
        <v>13290</v>
      </c>
      <c r="V6174" t="s">
        <v>13290</v>
      </c>
      <c r="W6174" t="s">
        <v>19411</v>
      </c>
      <c r="X6174">
        <v>2</v>
      </c>
      <c r="Y6174" t="s">
        <v>25880</v>
      </c>
      <c r="Z6174" t="s">
        <v>32504</v>
      </c>
      <c r="AA6174">
        <v>0.51617563930851196</v>
      </c>
      <c r="AB6174" t="str">
        <f>HYPERLINK("Melting_Curves/meltCurve_Q9UBU6_FAM8A1.pdf", "Melting_Curves/meltCurve_Q9UBU6_FAM8A1.pdf")</f>
        <v>Melting_Curves/meltCurve_Q9UBU6_FAM8A1.pdf</v>
      </c>
    </row>
    <row r="6175" spans="1:28" x14ac:dyDescent="0.25">
      <c r="A6175" t="s">
        <v>6179</v>
      </c>
      <c r="B6175">
        <v>0.99252571173614901</v>
      </c>
      <c r="C6175">
        <v>0.94861560126705602</v>
      </c>
      <c r="D6175">
        <v>0.69467304143352004</v>
      </c>
      <c r="E6175">
        <v>0.29661161344211301</v>
      </c>
      <c r="F6175">
        <v>0.19527503840046101</v>
      </c>
      <c r="G6175">
        <v>0.10413581315426999</v>
      </c>
      <c r="H6175">
        <v>7.5114170331497407E-2</v>
      </c>
      <c r="I6175">
        <v>8.8369996882428803E-2</v>
      </c>
      <c r="J6175">
        <v>9.1293243836193305E-2</v>
      </c>
      <c r="K6175">
        <v>8.7811585634607503E-2</v>
      </c>
      <c r="L6175">
        <v>1147.99112865861</v>
      </c>
      <c r="M6175">
        <v>24.263000006966202</v>
      </c>
      <c r="N6175">
        <v>47.709120122280602</v>
      </c>
      <c r="O6175">
        <v>46.996581609138801</v>
      </c>
      <c r="P6175">
        <v>-0.117334647007582</v>
      </c>
      <c r="Q6175">
        <v>9.09213523961825E-2</v>
      </c>
      <c r="R6175">
        <v>0.99742158440532602</v>
      </c>
      <c r="S6175" t="s">
        <v>12821</v>
      </c>
      <c r="T6175" t="s">
        <v>13290</v>
      </c>
      <c r="U6175" t="s">
        <v>13290</v>
      </c>
      <c r="V6175" t="s">
        <v>13290</v>
      </c>
      <c r="W6175" t="s">
        <v>19412</v>
      </c>
      <c r="X6175">
        <v>16</v>
      </c>
      <c r="Y6175" t="s">
        <v>25881</v>
      </c>
      <c r="Z6175" t="s">
        <v>32505</v>
      </c>
      <c r="AA6175">
        <v>0.32118876569531157</v>
      </c>
      <c r="AB6175" t="str">
        <f>HYPERLINK("Melting_Curves/meltCurve_Q9UBU9_NXF1.pdf", "Melting_Curves/meltCurve_Q9UBU9_NXF1.pdf")</f>
        <v>Melting_Curves/meltCurve_Q9UBU9_NXF1.pdf</v>
      </c>
    </row>
    <row r="6176" spans="1:28" x14ac:dyDescent="0.25">
      <c r="A6176" t="s">
        <v>6180</v>
      </c>
      <c r="B6176">
        <v>0.99252571173614901</v>
      </c>
      <c r="C6176">
        <v>0.90731968064835999</v>
      </c>
      <c r="D6176">
        <v>0.97975480868982001</v>
      </c>
      <c r="E6176">
        <v>0.83147581682870397</v>
      </c>
      <c r="F6176">
        <v>0.46804668525882698</v>
      </c>
      <c r="G6176">
        <v>0.25524366683843303</v>
      </c>
      <c r="H6176">
        <v>0.17118757361502199</v>
      </c>
      <c r="I6176">
        <v>0.165380892022475</v>
      </c>
      <c r="J6176">
        <v>0.16359754747181901</v>
      </c>
      <c r="K6176">
        <v>0.13187919392731601</v>
      </c>
      <c r="L6176">
        <v>1318.20036772598</v>
      </c>
      <c r="M6176">
        <v>25.245989432717401</v>
      </c>
      <c r="N6176">
        <v>52.960772899072097</v>
      </c>
      <c r="O6176">
        <v>51.8899446027159</v>
      </c>
      <c r="P6176">
        <v>-0.10342346370784999</v>
      </c>
      <c r="Q6176">
        <v>0.14971549758297001</v>
      </c>
      <c r="R6176">
        <v>0.99309787117053605</v>
      </c>
      <c r="S6176" t="s">
        <v>12822</v>
      </c>
      <c r="T6176" t="s">
        <v>13290</v>
      </c>
      <c r="U6176" t="s">
        <v>13290</v>
      </c>
      <c r="V6176" t="s">
        <v>13290</v>
      </c>
      <c r="W6176" t="s">
        <v>19413</v>
      </c>
      <c r="X6176">
        <v>5</v>
      </c>
      <c r="Y6176" t="s">
        <v>25882</v>
      </c>
      <c r="Z6176" t="s">
        <v>32506</v>
      </c>
      <c r="AA6176">
        <v>0.50353516835432266</v>
      </c>
      <c r="AB6176" t="str">
        <f>HYPERLINK("Melting_Curves/meltCurve_Q9UBV2_SEL1L.pdf", "Melting_Curves/meltCurve_Q9UBV2_SEL1L.pdf")</f>
        <v>Melting_Curves/meltCurve_Q9UBV2_SEL1L.pdf</v>
      </c>
    </row>
    <row r="6177" spans="1:28" x14ac:dyDescent="0.25">
      <c r="A6177" t="s">
        <v>6181</v>
      </c>
      <c r="B6177">
        <v>0.99252571173614901</v>
      </c>
      <c r="C6177">
        <v>1.0824106801117499</v>
      </c>
      <c r="D6177">
        <v>0.98975359746402103</v>
      </c>
      <c r="E6177">
        <v>0.86586718640298899</v>
      </c>
      <c r="F6177">
        <v>0.28122479342764301</v>
      </c>
      <c r="G6177">
        <v>0.119781544295957</v>
      </c>
      <c r="H6177">
        <v>7.3799890986307695E-2</v>
      </c>
      <c r="I6177">
        <v>6.8529139811767698E-2</v>
      </c>
      <c r="J6177">
        <v>8.0213693029078798E-2</v>
      </c>
      <c r="K6177">
        <v>7.4522471446596003E-2</v>
      </c>
      <c r="L6177">
        <v>2184.1713264219402</v>
      </c>
      <c r="M6177">
        <v>42.291850623942203</v>
      </c>
      <c r="N6177">
        <v>51.854260727256602</v>
      </c>
      <c r="O6177">
        <v>51.530134981767397</v>
      </c>
      <c r="P6177">
        <v>-0.189098489724045</v>
      </c>
      <c r="Q6177">
        <v>7.8379918889658104E-2</v>
      </c>
      <c r="R6177">
        <v>0.99592671547715494</v>
      </c>
      <c r="S6177" t="s">
        <v>12823</v>
      </c>
      <c r="T6177" t="s">
        <v>13290</v>
      </c>
      <c r="U6177" t="s">
        <v>13290</v>
      </c>
      <c r="V6177" t="s">
        <v>13290</v>
      </c>
      <c r="W6177" t="s">
        <v>19414</v>
      </c>
      <c r="X6177">
        <v>4</v>
      </c>
      <c r="Y6177" t="s">
        <v>25883</v>
      </c>
      <c r="Z6177" t="s">
        <v>32507</v>
      </c>
      <c r="AA6177">
        <v>0.43906862745562308</v>
      </c>
      <c r="AB6177" t="str">
        <f>HYPERLINK("Melting_Curves/meltCurve_Q9UBV8_PEF1.pdf", "Melting_Curves/meltCurve_Q9UBV8_PEF1.pdf")</f>
        <v>Melting_Curves/meltCurve_Q9UBV8_PEF1.pdf</v>
      </c>
    </row>
    <row r="6178" spans="1:28" x14ac:dyDescent="0.25">
      <c r="A6178" t="s">
        <v>6182</v>
      </c>
      <c r="B6178">
        <v>0.99252571173614901</v>
      </c>
      <c r="C6178">
        <v>0.82042711191690099</v>
      </c>
      <c r="D6178">
        <v>0.74374914925095104</v>
      </c>
      <c r="E6178">
        <v>0.36553940030754101</v>
      </c>
      <c r="F6178">
        <v>0.27708380700959001</v>
      </c>
      <c r="G6178">
        <v>0.18612661135397099</v>
      </c>
      <c r="H6178">
        <v>0.17362418555362</v>
      </c>
      <c r="I6178">
        <v>0.206571087081415</v>
      </c>
      <c r="J6178">
        <v>0.29151564886085202</v>
      </c>
      <c r="K6178">
        <v>0.300540948078593</v>
      </c>
      <c r="L6178">
        <v>1030.6038936996699</v>
      </c>
      <c r="M6178">
        <v>22.0500985644609</v>
      </c>
      <c r="N6178">
        <v>48.049841082461903</v>
      </c>
      <c r="O6178">
        <v>46.359876869284399</v>
      </c>
      <c r="P6178">
        <v>-9.2037070656421999E-2</v>
      </c>
      <c r="Q6178">
        <v>0.22599314231710699</v>
      </c>
      <c r="R6178">
        <v>0.96446804976914902</v>
      </c>
      <c r="S6178" t="s">
        <v>12824</v>
      </c>
      <c r="T6178" t="s">
        <v>13290</v>
      </c>
      <c r="U6178" t="s">
        <v>13290</v>
      </c>
      <c r="V6178" t="s">
        <v>13290</v>
      </c>
      <c r="W6178" t="s">
        <v>19415</v>
      </c>
      <c r="X6178">
        <v>8</v>
      </c>
      <c r="Y6178" t="s">
        <v>25884</v>
      </c>
      <c r="Z6178" t="s">
        <v>32508</v>
      </c>
      <c r="AA6178">
        <v>0.40907584091216759</v>
      </c>
      <c r="AB6178" t="str">
        <f>HYPERLINK("Melting_Curves/meltCurve_Q9UBW7_ZMYM2.pdf", "Melting_Curves/meltCurve_Q9UBW7_ZMYM2.pdf")</f>
        <v>Melting_Curves/meltCurve_Q9UBW7_ZMYM2.pdf</v>
      </c>
    </row>
    <row r="6179" spans="1:28" x14ac:dyDescent="0.25">
      <c r="A6179" t="s">
        <v>6183</v>
      </c>
      <c r="B6179">
        <v>0.99252571173614901</v>
      </c>
      <c r="C6179">
        <v>0.92303739896703496</v>
      </c>
      <c r="D6179">
        <v>1.22274312457145</v>
      </c>
      <c r="E6179">
        <v>1.260638087027</v>
      </c>
      <c r="F6179">
        <v>1.0024991746065799</v>
      </c>
      <c r="G6179">
        <v>0.200032262482675</v>
      </c>
      <c r="H6179">
        <v>9.4042698251969203E-2</v>
      </c>
      <c r="I6179">
        <v>6.3601671126189002E-2</v>
      </c>
      <c r="J6179">
        <v>5.8839055196598197E-2</v>
      </c>
      <c r="K6179">
        <v>4.8299336479103401E-2</v>
      </c>
      <c r="L6179">
        <v>14098.444338998501</v>
      </c>
      <c r="M6179">
        <v>250</v>
      </c>
      <c r="N6179">
        <v>56.425831052044899</v>
      </c>
      <c r="O6179">
        <v>56.390168505094202</v>
      </c>
      <c r="P6179">
        <v>-1.0349813048203</v>
      </c>
      <c r="Q6179">
        <v>6.6195677855325999E-2</v>
      </c>
      <c r="R6179">
        <v>0.95098364239104904</v>
      </c>
      <c r="S6179" t="s">
        <v>12825</v>
      </c>
      <c r="T6179" t="s">
        <v>13290</v>
      </c>
      <c r="U6179" t="s">
        <v>13290</v>
      </c>
      <c r="V6179" t="s">
        <v>13290</v>
      </c>
      <c r="W6179" t="s">
        <v>19416</v>
      </c>
      <c r="X6179">
        <v>6</v>
      </c>
      <c r="Y6179" t="s">
        <v>25885</v>
      </c>
      <c r="Z6179" t="s">
        <v>32509</v>
      </c>
      <c r="AA6179">
        <v>0.57657410170081325</v>
      </c>
      <c r="AB6179" t="str">
        <f>HYPERLINK("Melting_Curves/meltCurve_Q9UBW8_COPS7A.pdf", "Melting_Curves/meltCurve_Q9UBW8_COPS7A.pdf")</f>
        <v>Melting_Curves/meltCurve_Q9UBW8_COPS7A.pdf</v>
      </c>
    </row>
    <row r="6180" spans="1:28" x14ac:dyDescent="0.25">
      <c r="A6180" t="s">
        <v>6184</v>
      </c>
      <c r="B6180">
        <v>0.99252571173614901</v>
      </c>
      <c r="C6180">
        <v>1.0024821344048001</v>
      </c>
      <c r="D6180">
        <v>0.84682608863600295</v>
      </c>
      <c r="E6180">
        <v>0.78652498648277702</v>
      </c>
      <c r="F6180">
        <v>0.56089844935460598</v>
      </c>
      <c r="G6180">
        <v>0.41538345758149398</v>
      </c>
      <c r="H6180">
        <v>0.42993269418864599</v>
      </c>
      <c r="I6180">
        <v>0.59189932673885703</v>
      </c>
      <c r="J6180">
        <v>0.86779244479069095</v>
      </c>
      <c r="K6180">
        <v>0.60785913556613203</v>
      </c>
      <c r="L6180">
        <v>1265.2733312775999</v>
      </c>
      <c r="M6180">
        <v>26.298371044365901</v>
      </c>
      <c r="O6180">
        <v>47.8366205362586</v>
      </c>
      <c r="P6180">
        <v>-5.77467510623716E-2</v>
      </c>
      <c r="Q6180">
        <v>0.57984028289716305</v>
      </c>
      <c r="R6180">
        <v>0.65310245322541605</v>
      </c>
      <c r="S6180" t="s">
        <v>12826</v>
      </c>
      <c r="T6180" t="s">
        <v>13290</v>
      </c>
      <c r="U6180" t="s">
        <v>13290</v>
      </c>
      <c r="V6180" t="s">
        <v>13290</v>
      </c>
      <c r="W6180" t="s">
        <v>13466</v>
      </c>
      <c r="X6180">
        <v>18</v>
      </c>
      <c r="Y6180" t="s">
        <v>20051</v>
      </c>
      <c r="Z6180" t="s">
        <v>32510</v>
      </c>
      <c r="AA6180">
        <v>0.69679105842769462</v>
      </c>
      <c r="AB6180" t="str">
        <f>HYPERLINK("Melting_Curves/meltCurve_Q9UBX3_SLC25A10.pdf", "Melting_Curves/meltCurve_Q9UBX3_SLC25A10.pdf")</f>
        <v>Melting_Curves/meltCurve_Q9UBX3_SLC25A10.pdf</v>
      </c>
    </row>
    <row r="6181" spans="1:28" x14ac:dyDescent="0.25">
      <c r="A6181" t="s">
        <v>6185</v>
      </c>
      <c r="B6181">
        <v>0.99252571173614901</v>
      </c>
      <c r="C6181">
        <v>1.10927897595769</v>
      </c>
      <c r="D6181">
        <v>0.994684155909208</v>
      </c>
      <c r="E6181">
        <v>1.02866233974823</v>
      </c>
      <c r="F6181">
        <v>0.82688720090457102</v>
      </c>
      <c r="G6181">
        <v>0.76483667577622305</v>
      </c>
      <c r="H6181">
        <v>0.82009961235385997</v>
      </c>
      <c r="I6181">
        <v>1.09033009983644</v>
      </c>
      <c r="J6181">
        <v>1.61970776510228</v>
      </c>
      <c r="K6181">
        <v>1.76428225587889</v>
      </c>
      <c r="L6181">
        <v>15000</v>
      </c>
      <c r="M6181">
        <v>232.86408452780699</v>
      </c>
      <c r="O6181">
        <v>64.410506592565895</v>
      </c>
      <c r="P6181">
        <v>0.45191401470523401</v>
      </c>
      <c r="Q6181">
        <v>1.5</v>
      </c>
      <c r="R6181">
        <v>0.78630147060547795</v>
      </c>
      <c r="S6181" t="s">
        <v>12827</v>
      </c>
      <c r="T6181" t="s">
        <v>13290</v>
      </c>
      <c r="U6181" t="s">
        <v>13290</v>
      </c>
      <c r="V6181" t="s">
        <v>13290</v>
      </c>
      <c r="W6181" t="s">
        <v>19417</v>
      </c>
      <c r="X6181">
        <v>11</v>
      </c>
      <c r="Y6181" t="s">
        <v>25886</v>
      </c>
      <c r="Z6181" t="s">
        <v>32511</v>
      </c>
      <c r="AA6181">
        <v>1.093013888288336</v>
      </c>
      <c r="AB6181" t="str">
        <f>HYPERLINK("Melting_Curves/meltCurve_Q9UD71_PPP1R1B.pdf", "Melting_Curves/meltCurve_Q9UD71_PPP1R1B.pdf")</f>
        <v>Melting_Curves/meltCurve_Q9UD71_PPP1R1B.pdf</v>
      </c>
    </row>
    <row r="6182" spans="1:28" x14ac:dyDescent="0.25">
      <c r="A6182" t="s">
        <v>6186</v>
      </c>
      <c r="B6182">
        <v>0.99252571173614901</v>
      </c>
      <c r="C6182">
        <v>0.99481814910897004</v>
      </c>
      <c r="D6182">
        <v>0.96093862404298702</v>
      </c>
      <c r="E6182">
        <v>1.0056908887270399</v>
      </c>
      <c r="F6182">
        <v>0.85847876502682197</v>
      </c>
      <c r="G6182">
        <v>0.73034134579691101</v>
      </c>
      <c r="H6182">
        <v>0.70237425716924395</v>
      </c>
      <c r="I6182">
        <v>0.79034753778495803</v>
      </c>
      <c r="J6182">
        <v>0.94789016146467897</v>
      </c>
      <c r="K6182">
        <v>0.98761140907603695</v>
      </c>
      <c r="L6182">
        <v>13211.4047220871</v>
      </c>
      <c r="M6182">
        <v>250</v>
      </c>
      <c r="O6182">
        <v>52.842243391921002</v>
      </c>
      <c r="P6182">
        <v>-0.199044202950099</v>
      </c>
      <c r="Q6182">
        <v>0.83171294464827705</v>
      </c>
      <c r="R6182">
        <v>0.44993130335086901</v>
      </c>
      <c r="S6182" t="s">
        <v>12828</v>
      </c>
      <c r="T6182" t="s">
        <v>13290</v>
      </c>
      <c r="U6182" t="s">
        <v>13290</v>
      </c>
      <c r="V6182" t="s">
        <v>13290</v>
      </c>
      <c r="W6182" t="s">
        <v>19418</v>
      </c>
      <c r="X6182">
        <v>3</v>
      </c>
      <c r="Y6182" t="s">
        <v>25887</v>
      </c>
      <c r="Z6182" t="s">
        <v>32512</v>
      </c>
      <c r="AA6182">
        <v>0.9037869313645065</v>
      </c>
      <c r="AB6182" t="str">
        <f>HYPERLINK("Melting_Curves/meltCurve_Q9UDW1_UQCR10.pdf", "Melting_Curves/meltCurve_Q9UDW1_UQCR10.pdf")</f>
        <v>Melting_Curves/meltCurve_Q9UDW1_UQCR10.pdf</v>
      </c>
    </row>
    <row r="6183" spans="1:28" x14ac:dyDescent="0.25">
      <c r="A6183" t="s">
        <v>6187</v>
      </c>
      <c r="B6183">
        <v>0.99252571173614901</v>
      </c>
      <c r="C6183">
        <v>0.920612597677125</v>
      </c>
      <c r="D6183">
        <v>0.85223903481174901</v>
      </c>
      <c r="E6183">
        <v>0.813385288475311</v>
      </c>
      <c r="F6183">
        <v>0.73681548499048599</v>
      </c>
      <c r="G6183">
        <v>0.65491408874603496</v>
      </c>
      <c r="H6183">
        <v>0.63045514376200795</v>
      </c>
      <c r="I6183">
        <v>0.91436528690188601</v>
      </c>
      <c r="J6183">
        <v>1.2707078061636199</v>
      </c>
      <c r="K6183">
        <v>1.01791159004029</v>
      </c>
      <c r="S6183" t="s">
        <v>12829</v>
      </c>
      <c r="T6183" t="s">
        <v>13290</v>
      </c>
      <c r="U6183" t="s">
        <v>13291</v>
      </c>
      <c r="V6183" t="s">
        <v>13290</v>
      </c>
      <c r="W6183" t="s">
        <v>19419</v>
      </c>
      <c r="X6183">
        <v>10</v>
      </c>
      <c r="Y6183" t="s">
        <v>25888</v>
      </c>
      <c r="Z6183" t="s">
        <v>32513</v>
      </c>
      <c r="AB6183" t="str">
        <f>HYPERLINK("Melting_Curves/meltCurve_Q9UDX5_MTFP1.pdf", "Melting_Curves/meltCurve_Q9UDX5_MTFP1.pdf")</f>
        <v>Melting_Curves/meltCurve_Q9UDX5_MTFP1.pdf</v>
      </c>
    </row>
    <row r="6184" spans="1:28" x14ac:dyDescent="0.25">
      <c r="A6184" t="s">
        <v>6188</v>
      </c>
      <c r="B6184">
        <v>0.99252571173614901</v>
      </c>
      <c r="C6184">
        <v>0.91767675765238599</v>
      </c>
      <c r="D6184">
        <v>0.90747011783706999</v>
      </c>
      <c r="E6184">
        <v>0.43251104457012701</v>
      </c>
      <c r="F6184">
        <v>0.18541494716322099</v>
      </c>
      <c r="G6184">
        <v>0.117745521638215</v>
      </c>
      <c r="H6184">
        <v>0.102113664025474</v>
      </c>
      <c r="I6184">
        <v>0.12824363637566299</v>
      </c>
      <c r="J6184">
        <v>0.17671539876596101</v>
      </c>
      <c r="K6184">
        <v>0.18767495509396601</v>
      </c>
      <c r="L6184">
        <v>1685.8765026016099</v>
      </c>
      <c r="M6184">
        <v>34.652524577764403</v>
      </c>
      <c r="N6184">
        <v>49.1223296681082</v>
      </c>
      <c r="O6184">
        <v>48.489731915672401</v>
      </c>
      <c r="P6184">
        <v>-0.15338687370170001</v>
      </c>
      <c r="Q6184">
        <v>0.141458097779641</v>
      </c>
      <c r="R6184">
        <v>0.99070558110370099</v>
      </c>
      <c r="S6184" t="s">
        <v>12830</v>
      </c>
      <c r="T6184" t="s">
        <v>13290</v>
      </c>
      <c r="U6184" t="s">
        <v>13290</v>
      </c>
      <c r="V6184" t="s">
        <v>13290</v>
      </c>
      <c r="W6184" t="s">
        <v>19420</v>
      </c>
      <c r="X6184">
        <v>40</v>
      </c>
      <c r="Y6184" t="s">
        <v>25889</v>
      </c>
      <c r="Z6184" t="s">
        <v>32514</v>
      </c>
      <c r="AA6184">
        <v>0.39290179966163769</v>
      </c>
      <c r="AB6184" t="str">
        <f>HYPERLINK("Melting_Curves/meltCurve_Q9UDY2_3_TJP2.pdf", "Melting_Curves/meltCurve_Q9UDY2_3_TJP2.pdf")</f>
        <v>Melting_Curves/meltCurve_Q9UDY2_3_TJP2.pdf</v>
      </c>
    </row>
    <row r="6185" spans="1:28" x14ac:dyDescent="0.25">
      <c r="A6185" t="s">
        <v>6189</v>
      </c>
      <c r="B6185">
        <v>0.99252571173614901</v>
      </c>
      <c r="C6185">
        <v>0.99277596426978398</v>
      </c>
      <c r="D6185">
        <v>0.88770886135406102</v>
      </c>
      <c r="E6185">
        <v>0.63041243018284998</v>
      </c>
      <c r="F6185">
        <v>0.18453429139998501</v>
      </c>
      <c r="G6185">
        <v>0.11200650594203</v>
      </c>
      <c r="H6185">
        <v>8.7128388191713202E-2</v>
      </c>
      <c r="I6185">
        <v>8.8669002447393702E-2</v>
      </c>
      <c r="J6185">
        <v>0.10808795497769701</v>
      </c>
      <c r="K6185">
        <v>0.109842526053971</v>
      </c>
      <c r="L6185">
        <v>1539.7638410470199</v>
      </c>
      <c r="M6185">
        <v>30.795029517477801</v>
      </c>
      <c r="N6185">
        <v>50.333201289807803</v>
      </c>
      <c r="O6185">
        <v>49.790974389810302</v>
      </c>
      <c r="P6185">
        <v>-0.14037900677515699</v>
      </c>
      <c r="Q6185">
        <v>9.2117579116037407E-2</v>
      </c>
      <c r="R6185">
        <v>0.99638780324433895</v>
      </c>
      <c r="S6185" t="s">
        <v>12831</v>
      </c>
      <c r="T6185" t="s">
        <v>13290</v>
      </c>
      <c r="U6185" t="s">
        <v>13290</v>
      </c>
      <c r="V6185" t="s">
        <v>13290</v>
      </c>
      <c r="W6185" t="s">
        <v>19421</v>
      </c>
      <c r="X6185">
        <v>3</v>
      </c>
      <c r="Y6185" t="s">
        <v>25890</v>
      </c>
      <c r="Z6185" t="s">
        <v>32515</v>
      </c>
      <c r="AA6185">
        <v>0.40008312227042342</v>
      </c>
      <c r="AB6185" t="str">
        <f>HYPERLINK("Melting_Curves/meltCurve_Q9UDY4_DNAJB4.pdf", "Melting_Curves/meltCurve_Q9UDY4_DNAJB4.pdf")</f>
        <v>Melting_Curves/meltCurve_Q9UDY4_DNAJB4.pdf</v>
      </c>
    </row>
    <row r="6186" spans="1:28" x14ac:dyDescent="0.25">
      <c r="A6186" t="s">
        <v>6190</v>
      </c>
      <c r="B6186">
        <v>0.99252571173614901</v>
      </c>
      <c r="C6186">
        <v>0.89367200879592201</v>
      </c>
      <c r="D6186">
        <v>0.675662445885574</v>
      </c>
      <c r="E6186">
        <v>0.28407546129438299</v>
      </c>
      <c r="F6186">
        <v>0.13278539520322899</v>
      </c>
      <c r="G6186">
        <v>7.8515397445134194E-2</v>
      </c>
      <c r="H6186">
        <v>5.3279596648911999E-2</v>
      </c>
      <c r="I6186">
        <v>4.86850157641745E-2</v>
      </c>
      <c r="J6186">
        <v>5.4344102497499901E-2</v>
      </c>
      <c r="K6186">
        <v>5.0180787252843598E-2</v>
      </c>
      <c r="L6186">
        <v>1046.71045521768</v>
      </c>
      <c r="M6186">
        <v>22.155186447015701</v>
      </c>
      <c r="N6186">
        <v>47.473170325453403</v>
      </c>
      <c r="O6186">
        <v>46.864637530805702</v>
      </c>
      <c r="P6186">
        <v>-0.112208369727802</v>
      </c>
      <c r="Q6186">
        <v>5.0607779798493097E-2</v>
      </c>
      <c r="R6186">
        <v>0.999398115482105</v>
      </c>
      <c r="S6186" t="s">
        <v>12832</v>
      </c>
      <c r="T6186" t="s">
        <v>13290</v>
      </c>
      <c r="U6186" t="s">
        <v>13290</v>
      </c>
      <c r="V6186" t="s">
        <v>13290</v>
      </c>
      <c r="W6186" t="s">
        <v>19422</v>
      </c>
      <c r="X6186">
        <v>20</v>
      </c>
      <c r="Y6186" t="s">
        <v>25891</v>
      </c>
      <c r="Z6186" t="s">
        <v>32516</v>
      </c>
      <c r="AA6186">
        <v>0.29087117654029371</v>
      </c>
      <c r="AB6186" t="str">
        <f>HYPERLINK("Melting_Curves/meltCurve_Q9UDY8_MALT1.pdf", "Melting_Curves/meltCurve_Q9UDY8_MALT1.pdf")</f>
        <v>Melting_Curves/meltCurve_Q9UDY8_MALT1.pdf</v>
      </c>
    </row>
    <row r="6187" spans="1:28" x14ac:dyDescent="0.25">
      <c r="A6187" t="s">
        <v>6191</v>
      </c>
      <c r="B6187">
        <v>0.99252571173614901</v>
      </c>
      <c r="C6187">
        <v>1.1137681375423401</v>
      </c>
      <c r="D6187">
        <v>1.0046124381117101</v>
      </c>
      <c r="E6187">
        <v>1.0035083002279901</v>
      </c>
      <c r="F6187">
        <v>0.78430377170471099</v>
      </c>
      <c r="G6187">
        <v>0.70060731316779501</v>
      </c>
      <c r="H6187">
        <v>0.71091311038143501</v>
      </c>
      <c r="I6187">
        <v>1.0006682609900199</v>
      </c>
      <c r="J6187">
        <v>1.4471025394339201</v>
      </c>
      <c r="K6187">
        <v>1.56789518077649</v>
      </c>
      <c r="L6187">
        <v>15000</v>
      </c>
      <c r="M6187">
        <v>225.68156995533599</v>
      </c>
      <c r="O6187">
        <v>66.460111977908497</v>
      </c>
      <c r="P6187">
        <v>0.42446809093793197</v>
      </c>
      <c r="Q6187">
        <v>1.5</v>
      </c>
      <c r="R6187">
        <v>0.68118223355626195</v>
      </c>
      <c r="S6187" t="s">
        <v>12833</v>
      </c>
      <c r="T6187" t="s">
        <v>13290</v>
      </c>
      <c r="U6187" t="s">
        <v>13290</v>
      </c>
      <c r="V6187" t="s">
        <v>13290</v>
      </c>
      <c r="W6187" t="s">
        <v>19423</v>
      </c>
      <c r="X6187">
        <v>10</v>
      </c>
      <c r="Y6187" t="s">
        <v>25892</v>
      </c>
      <c r="Z6187" t="s">
        <v>32517</v>
      </c>
      <c r="AA6187">
        <v>1.058839657262671</v>
      </c>
      <c r="AB6187" t="str">
        <f>HYPERLINK("Melting_Curves/meltCurve_Q9UEE9_CFDP1.pdf", "Melting_Curves/meltCurve_Q9UEE9_CFDP1.pdf")</f>
        <v>Melting_Curves/meltCurve_Q9UEE9_CFDP1.pdf</v>
      </c>
    </row>
    <row r="6188" spans="1:28" x14ac:dyDescent="0.25">
      <c r="A6188" t="s">
        <v>6192</v>
      </c>
      <c r="B6188">
        <v>0.99252571173614901</v>
      </c>
      <c r="C6188">
        <v>1.0074196737844801</v>
      </c>
      <c r="D6188">
        <v>0.88033972517197501</v>
      </c>
      <c r="E6188">
        <v>0.82840338853884299</v>
      </c>
      <c r="F6188">
        <v>0.59099488156226199</v>
      </c>
      <c r="G6188">
        <v>0.41978971130444498</v>
      </c>
      <c r="H6188">
        <v>0.376813903137802</v>
      </c>
      <c r="I6188">
        <v>0.33155637526260301</v>
      </c>
      <c r="J6188">
        <v>0.430045910100601</v>
      </c>
      <c r="K6188">
        <v>0.55030834044287702</v>
      </c>
      <c r="L6188">
        <v>1225.19956388745</v>
      </c>
      <c r="M6188">
        <v>24.013892805270199</v>
      </c>
      <c r="N6188">
        <v>55.018284233524803</v>
      </c>
      <c r="O6188">
        <v>50.670602124214</v>
      </c>
      <c r="P6188">
        <v>-6.9587863759224197E-2</v>
      </c>
      <c r="Q6188">
        <v>0.41267294248459102</v>
      </c>
      <c r="R6188">
        <v>0.93915701183298494</v>
      </c>
      <c r="S6188" t="s">
        <v>12834</v>
      </c>
      <c r="T6188" t="s">
        <v>13290</v>
      </c>
      <c r="U6188" t="s">
        <v>13290</v>
      </c>
      <c r="V6188" t="s">
        <v>13290</v>
      </c>
      <c r="W6188" t="s">
        <v>19424</v>
      </c>
      <c r="X6188">
        <v>9</v>
      </c>
      <c r="Y6188" t="s">
        <v>25893</v>
      </c>
      <c r="Z6188" t="s">
        <v>32518</v>
      </c>
      <c r="AA6188">
        <v>0.6341692560354435</v>
      </c>
      <c r="AB6188" t="str">
        <f>HYPERLINK("Melting_Curves/meltCurve_Q9UEG4_ZNF629.pdf", "Melting_Curves/meltCurve_Q9UEG4_ZNF629.pdf")</f>
        <v>Melting_Curves/meltCurve_Q9UEG4_ZNF629.pdf</v>
      </c>
    </row>
    <row r="6189" spans="1:28" x14ac:dyDescent="0.25">
      <c r="A6189" t="s">
        <v>6193</v>
      </c>
      <c r="B6189">
        <v>0.99252571173614901</v>
      </c>
      <c r="C6189">
        <v>0.973546177132801</v>
      </c>
      <c r="D6189">
        <v>0.828571284797472</v>
      </c>
      <c r="E6189">
        <v>0.70370858483321497</v>
      </c>
      <c r="F6189">
        <v>0.54161230930815496</v>
      </c>
      <c r="G6189">
        <v>0.34569298786719699</v>
      </c>
      <c r="H6189">
        <v>0.313930175751786</v>
      </c>
      <c r="I6189">
        <v>0.37072477138332799</v>
      </c>
      <c r="J6189">
        <v>0.50555544118028195</v>
      </c>
      <c r="K6189">
        <v>0.49219904321824498</v>
      </c>
      <c r="L6189">
        <v>993.07725721114502</v>
      </c>
      <c r="M6189">
        <v>20.261175570299301</v>
      </c>
      <c r="N6189">
        <v>53.369599349357401</v>
      </c>
      <c r="O6189">
        <v>48.543838862682598</v>
      </c>
      <c r="P6189">
        <v>-6.2157690778797403E-2</v>
      </c>
      <c r="Q6189">
        <v>0.40432296598277001</v>
      </c>
      <c r="R6189">
        <v>0.926145545276297</v>
      </c>
      <c r="S6189" t="s">
        <v>12835</v>
      </c>
      <c r="T6189" t="s">
        <v>13290</v>
      </c>
      <c r="U6189" t="s">
        <v>13290</v>
      </c>
      <c r="V6189" t="s">
        <v>13290</v>
      </c>
      <c r="W6189" t="s">
        <v>19425</v>
      </c>
      <c r="X6189">
        <v>3</v>
      </c>
      <c r="Y6189" t="s">
        <v>21670</v>
      </c>
      <c r="Z6189" t="s">
        <v>32519</v>
      </c>
      <c r="AA6189">
        <v>0.59142590604315681</v>
      </c>
      <c r="AB6189" t="str">
        <f>HYPERLINK("Melting_Curves/meltCurve_Q9UEL6_MPZL1.pdf", "Melting_Curves/meltCurve_Q9UEL6_MPZL1.pdf")</f>
        <v>Melting_Curves/meltCurve_Q9UEL6_MPZL1.pdf</v>
      </c>
    </row>
    <row r="6190" spans="1:28" x14ac:dyDescent="0.25">
      <c r="A6190" t="s">
        <v>6194</v>
      </c>
      <c r="B6190">
        <v>0.99252571173614901</v>
      </c>
      <c r="C6190">
        <v>0.81382549466776899</v>
      </c>
      <c r="D6190">
        <v>0.52897697947723199</v>
      </c>
      <c r="E6190">
        <v>0.27162277866671802</v>
      </c>
      <c r="F6190">
        <v>0.21368033851092</v>
      </c>
      <c r="G6190">
        <v>0.121055976424759</v>
      </c>
      <c r="H6190">
        <v>7.0166474157576306E-2</v>
      </c>
      <c r="I6190">
        <v>6.3002368219241905E-2</v>
      </c>
      <c r="J6190">
        <v>5.5208111681053502E-2</v>
      </c>
      <c r="K6190">
        <v>6.04286620634732E-2</v>
      </c>
      <c r="L6190">
        <v>806.22817774649002</v>
      </c>
      <c r="M6190">
        <v>17.439579604112801</v>
      </c>
      <c r="N6190">
        <v>46.622148921223598</v>
      </c>
      <c r="O6190">
        <v>45.634785273220601</v>
      </c>
      <c r="P6190">
        <v>-8.9023148126280899E-2</v>
      </c>
      <c r="Q6190">
        <v>6.8251577978906006E-2</v>
      </c>
      <c r="R6190">
        <v>0.99247333631631496</v>
      </c>
      <c r="S6190" t="s">
        <v>12836</v>
      </c>
      <c r="T6190" t="s">
        <v>13290</v>
      </c>
      <c r="U6190" t="s">
        <v>13290</v>
      </c>
      <c r="V6190" t="s">
        <v>13290</v>
      </c>
      <c r="W6190" t="s">
        <v>19426</v>
      </c>
      <c r="X6190">
        <v>5</v>
      </c>
      <c r="Y6190" t="s">
        <v>25894</v>
      </c>
      <c r="Z6190" t="s">
        <v>32520</v>
      </c>
      <c r="AA6190">
        <v>0.28103552275005872</v>
      </c>
      <c r="AB6190" t="str">
        <f>HYPERLINK("Melting_Curves/meltCurve_Q9UER7_3_DAXX.pdf", "Melting_Curves/meltCurve_Q9UER7_3_DAXX.pdf")</f>
        <v>Melting_Curves/meltCurve_Q9UER7_3_DAXX.pdf</v>
      </c>
    </row>
    <row r="6191" spans="1:28" x14ac:dyDescent="0.25">
      <c r="A6191" t="s">
        <v>6195</v>
      </c>
      <c r="B6191">
        <v>0.99252571173614901</v>
      </c>
      <c r="C6191">
        <v>0.94544805321396297</v>
      </c>
      <c r="D6191">
        <v>0.89493262909744398</v>
      </c>
      <c r="E6191">
        <v>0.67253300183507703</v>
      </c>
      <c r="F6191">
        <v>0.31664364094182201</v>
      </c>
      <c r="G6191">
        <v>0.143773441313438</v>
      </c>
      <c r="H6191">
        <v>0.11319350555544599</v>
      </c>
      <c r="I6191">
        <v>0.10124753544958499</v>
      </c>
      <c r="J6191">
        <v>0.10051280788887799</v>
      </c>
      <c r="K6191">
        <v>8.9937255948767697E-2</v>
      </c>
      <c r="L6191">
        <v>1129.4811494410201</v>
      </c>
      <c r="M6191">
        <v>22.288459922815001</v>
      </c>
      <c r="N6191">
        <v>51.118303203682899</v>
      </c>
      <c r="O6191">
        <v>50.272959370035203</v>
      </c>
      <c r="P6191">
        <v>-0.101111273694346</v>
      </c>
      <c r="Q6191">
        <v>8.7769149713071495E-2</v>
      </c>
      <c r="R6191">
        <v>0.99793179690184197</v>
      </c>
      <c r="S6191" t="s">
        <v>12837</v>
      </c>
      <c r="T6191" t="s">
        <v>13290</v>
      </c>
      <c r="U6191" t="s">
        <v>13290</v>
      </c>
      <c r="V6191" t="s">
        <v>13290</v>
      </c>
      <c r="W6191" t="s">
        <v>19427</v>
      </c>
      <c r="X6191">
        <v>2</v>
      </c>
      <c r="Y6191" t="s">
        <v>25895</v>
      </c>
      <c r="Z6191" t="s">
        <v>32521</v>
      </c>
      <c r="AA6191">
        <v>0.42267964908123967</v>
      </c>
      <c r="AB6191" t="str">
        <f>HYPERLINK("Melting_Curves/meltCurve_Q9UET6_2_FTSJ1.pdf", "Melting_Curves/meltCurve_Q9UET6_2_FTSJ1.pdf")</f>
        <v>Melting_Curves/meltCurve_Q9UET6_2_FTSJ1.pdf</v>
      </c>
    </row>
    <row r="6192" spans="1:28" x14ac:dyDescent="0.25">
      <c r="A6192" t="s">
        <v>6196</v>
      </c>
      <c r="B6192">
        <v>0.99252571173614901</v>
      </c>
      <c r="C6192">
        <v>0.95530242996214898</v>
      </c>
      <c r="D6192">
        <v>0.91072400298837297</v>
      </c>
      <c r="E6192">
        <v>0.97375731886670702</v>
      </c>
      <c r="F6192">
        <v>0.59202361730983299</v>
      </c>
      <c r="G6192">
        <v>0.48322550126856501</v>
      </c>
      <c r="H6192">
        <v>0.4300374565051</v>
      </c>
      <c r="I6192">
        <v>0.57650734584436303</v>
      </c>
      <c r="J6192">
        <v>0.88680385475165802</v>
      </c>
      <c r="K6192">
        <v>0.77923704842574004</v>
      </c>
      <c r="L6192">
        <v>12528.365476844599</v>
      </c>
      <c r="M6192">
        <v>250</v>
      </c>
      <c r="O6192">
        <v>50.110254451271103</v>
      </c>
      <c r="P6192">
        <v>-0.46816875341828601</v>
      </c>
      <c r="Q6192">
        <v>0.62463911073335199</v>
      </c>
      <c r="R6192">
        <v>0.61379734258405005</v>
      </c>
      <c r="S6192" t="s">
        <v>12838</v>
      </c>
      <c r="T6192" t="s">
        <v>13290</v>
      </c>
      <c r="U6192" t="s">
        <v>13290</v>
      </c>
      <c r="V6192" t="s">
        <v>13290</v>
      </c>
      <c r="W6192" t="s">
        <v>19428</v>
      </c>
      <c r="X6192">
        <v>6</v>
      </c>
      <c r="Y6192" t="s">
        <v>25896</v>
      </c>
      <c r="Z6192" t="s">
        <v>32522</v>
      </c>
      <c r="AA6192">
        <v>0.75121205827320459</v>
      </c>
      <c r="AB6192" t="str">
        <f>HYPERLINK("Melting_Curves/meltCurve_Q9UEU0_VTI1B.pdf", "Melting_Curves/meltCurve_Q9UEU0_VTI1B.pdf")</f>
        <v>Melting_Curves/meltCurve_Q9UEU0_VTI1B.pdf</v>
      </c>
    </row>
    <row r="6193" spans="1:28" x14ac:dyDescent="0.25">
      <c r="A6193" t="s">
        <v>6197</v>
      </c>
      <c r="B6193">
        <v>0.99252571173614901</v>
      </c>
      <c r="C6193">
        <v>0.92826793212292102</v>
      </c>
      <c r="D6193">
        <v>0.41875349427906899</v>
      </c>
      <c r="E6193">
        <v>0.10485271274331801</v>
      </c>
      <c r="F6193">
        <v>6.5016490703017293E-2</v>
      </c>
      <c r="G6193">
        <v>3.6965934088261099E-2</v>
      </c>
      <c r="H6193">
        <v>2.8232416216476999E-2</v>
      </c>
      <c r="I6193">
        <v>2.4671179945469902E-2</v>
      </c>
      <c r="J6193">
        <v>1.7646592498805801E-2</v>
      </c>
      <c r="K6193">
        <v>1.8142632812774898E-2</v>
      </c>
      <c r="L6193">
        <v>1691.5169030498</v>
      </c>
      <c r="M6193">
        <v>37.137621433900399</v>
      </c>
      <c r="N6193">
        <v>45.634377300978599</v>
      </c>
      <c r="O6193">
        <v>45.415797881335003</v>
      </c>
      <c r="P6193">
        <v>-0.19743591336049099</v>
      </c>
      <c r="Q6193">
        <v>3.42209117092208E-2</v>
      </c>
      <c r="R6193">
        <v>0.99817424198689197</v>
      </c>
      <c r="S6193" t="s">
        <v>12839</v>
      </c>
      <c r="T6193" t="s">
        <v>13290</v>
      </c>
      <c r="U6193" t="s">
        <v>13290</v>
      </c>
      <c r="V6193" t="s">
        <v>13290</v>
      </c>
      <c r="W6193" t="s">
        <v>19429</v>
      </c>
      <c r="X6193">
        <v>8</v>
      </c>
      <c r="Y6193" t="s">
        <v>25897</v>
      </c>
      <c r="Z6193" t="s">
        <v>32523</v>
      </c>
      <c r="AA6193">
        <v>0.2165032999605129</v>
      </c>
      <c r="AB6193" t="str">
        <f>HYPERLINK("Melting_Curves/meltCurve_Q9UEW8_STK39.pdf", "Melting_Curves/meltCurve_Q9UEW8_STK39.pdf")</f>
        <v>Melting_Curves/meltCurve_Q9UEW8_STK39.pdf</v>
      </c>
    </row>
    <row r="6194" spans="1:28" x14ac:dyDescent="0.25">
      <c r="A6194" t="s">
        <v>6198</v>
      </c>
      <c r="B6194">
        <v>0.99252571173614901</v>
      </c>
      <c r="C6194">
        <v>1.0037050961551</v>
      </c>
      <c r="D6194">
        <v>0.95367610075667897</v>
      </c>
      <c r="E6194">
        <v>0.93546209042379203</v>
      </c>
      <c r="F6194">
        <v>0.76135851337577198</v>
      </c>
      <c r="G6194">
        <v>0.58633632831029403</v>
      </c>
      <c r="H6194">
        <v>0.54729461260636003</v>
      </c>
      <c r="I6194">
        <v>0.73375090349604999</v>
      </c>
      <c r="J6194">
        <v>1.05225547796523</v>
      </c>
      <c r="K6194">
        <v>0.66262797812628405</v>
      </c>
      <c r="L6194">
        <v>2501.6632831286101</v>
      </c>
      <c r="M6194">
        <v>49.199670494717402</v>
      </c>
      <c r="O6194">
        <v>50.763362158606199</v>
      </c>
      <c r="P6194">
        <v>-6.8163106512866806E-2</v>
      </c>
      <c r="Q6194">
        <v>0.71868223606945103</v>
      </c>
      <c r="R6194">
        <v>0.47551913859960998</v>
      </c>
      <c r="S6194" t="s">
        <v>12840</v>
      </c>
      <c r="T6194" t="s">
        <v>13290</v>
      </c>
      <c r="U6194" t="s">
        <v>13290</v>
      </c>
      <c r="V6194" t="s">
        <v>13290</v>
      </c>
      <c r="W6194" t="s">
        <v>19430</v>
      </c>
      <c r="X6194">
        <v>22</v>
      </c>
      <c r="Y6194" t="s">
        <v>25898</v>
      </c>
      <c r="Z6194" t="s">
        <v>32524</v>
      </c>
      <c r="AA6194">
        <v>0.82105057981005536</v>
      </c>
      <c r="AB6194" t="str">
        <f>HYPERLINK("Melting_Curves/meltCurve_Q9UEY8_2_ADD3.pdf", "Melting_Curves/meltCurve_Q9UEY8_2_ADD3.pdf")</f>
        <v>Melting_Curves/meltCurve_Q9UEY8_2_ADD3.pdf</v>
      </c>
    </row>
    <row r="6195" spans="1:28" x14ac:dyDescent="0.25">
      <c r="A6195" t="s">
        <v>6199</v>
      </c>
      <c r="B6195">
        <v>0.99252571173614901</v>
      </c>
      <c r="C6195">
        <v>0.83978464208942505</v>
      </c>
      <c r="D6195">
        <v>0.54171465657431495</v>
      </c>
      <c r="E6195">
        <v>0.16782278534475401</v>
      </c>
      <c r="F6195">
        <v>0.102385705826409</v>
      </c>
      <c r="G6195">
        <v>5.95474912882736E-2</v>
      </c>
      <c r="H6195">
        <v>5.3330562408942302E-2</v>
      </c>
      <c r="I6195">
        <v>5.0779493946109498E-2</v>
      </c>
      <c r="J6195">
        <v>5.86922813028663E-2</v>
      </c>
      <c r="K6195">
        <v>5.9463286180849201E-2</v>
      </c>
      <c r="L6195">
        <v>1126.9667569374301</v>
      </c>
      <c r="M6195">
        <v>24.512587583613598</v>
      </c>
      <c r="N6195">
        <v>46.1917701371273</v>
      </c>
      <c r="O6195">
        <v>45.672296604378701</v>
      </c>
      <c r="P6195">
        <v>-0.12688931645762899</v>
      </c>
      <c r="Q6195">
        <v>5.4323445337020299E-2</v>
      </c>
      <c r="R6195">
        <v>0.99847174579912501</v>
      </c>
      <c r="S6195" t="s">
        <v>12841</v>
      </c>
      <c r="T6195" t="s">
        <v>13290</v>
      </c>
      <c r="U6195" t="s">
        <v>13290</v>
      </c>
      <c r="V6195" t="s">
        <v>13290</v>
      </c>
      <c r="W6195" t="s">
        <v>19431</v>
      </c>
      <c r="X6195">
        <v>5</v>
      </c>
      <c r="Y6195" t="s">
        <v>25899</v>
      </c>
      <c r="Z6195" t="s">
        <v>32525</v>
      </c>
      <c r="AA6195">
        <v>0.25182597925527189</v>
      </c>
      <c r="AB6195" t="str">
        <f>HYPERLINK("Melting_Curves/meltCurve_Q9UFC0_LRWD1.pdf", "Melting_Curves/meltCurve_Q9UFC0_LRWD1.pdf")</f>
        <v>Melting_Curves/meltCurve_Q9UFC0_LRWD1.pdf</v>
      </c>
    </row>
    <row r="6196" spans="1:28" x14ac:dyDescent="0.25">
      <c r="A6196" t="s">
        <v>6200</v>
      </c>
      <c r="B6196">
        <v>0.99252571173614901</v>
      </c>
      <c r="C6196">
        <v>0.91144363229915804</v>
      </c>
      <c r="D6196">
        <v>0.83159168962879904</v>
      </c>
      <c r="E6196">
        <v>0.97355374329912003</v>
      </c>
      <c r="F6196">
        <v>1.0981650774929299</v>
      </c>
      <c r="G6196">
        <v>1.14767669892837</v>
      </c>
      <c r="H6196">
        <v>1.3156167086770201</v>
      </c>
      <c r="I6196">
        <v>1.74542354984968</v>
      </c>
      <c r="J6196">
        <v>2.7007524108477599</v>
      </c>
      <c r="K6196">
        <v>2.89460795548163</v>
      </c>
      <c r="L6196">
        <v>2685.94455412765</v>
      </c>
      <c r="M6196">
        <v>46.133320364785497</v>
      </c>
      <c r="O6196">
        <v>58.112286149125801</v>
      </c>
      <c r="P6196">
        <v>9.9233282024900393E-2</v>
      </c>
      <c r="Q6196">
        <v>1.5</v>
      </c>
      <c r="R6196">
        <v>0.30793317529001502</v>
      </c>
      <c r="S6196" t="s">
        <v>12842</v>
      </c>
      <c r="T6196" t="s">
        <v>13290</v>
      </c>
      <c r="U6196" t="s">
        <v>13290</v>
      </c>
      <c r="V6196" t="s">
        <v>13290</v>
      </c>
      <c r="W6196" t="s">
        <v>19432</v>
      </c>
      <c r="X6196">
        <v>4</v>
      </c>
      <c r="Y6196" t="s">
        <v>25900</v>
      </c>
      <c r="Z6196" t="s">
        <v>32526</v>
      </c>
      <c r="AA6196">
        <v>1.1948145177434679</v>
      </c>
      <c r="AB6196" t="str">
        <f>HYPERLINK("Melting_Curves/meltCurve_Q9UFG5_C19orf25.pdf", "Melting_Curves/meltCurve_Q9UFG5_C19orf25.pdf")</f>
        <v>Melting_Curves/meltCurve_Q9UFG5_C19orf25.pdf</v>
      </c>
    </row>
    <row r="6197" spans="1:28" x14ac:dyDescent="0.25">
      <c r="A6197" t="s">
        <v>6201</v>
      </c>
      <c r="B6197">
        <v>0.99252571173614901</v>
      </c>
      <c r="C6197">
        <v>1.03088629758988</v>
      </c>
      <c r="D6197">
        <v>0.95269111420595298</v>
      </c>
      <c r="E6197">
        <v>1.1521231343932199</v>
      </c>
      <c r="F6197">
        <v>0.82140447866116795</v>
      </c>
      <c r="G6197">
        <v>0.71771562301971104</v>
      </c>
      <c r="H6197">
        <v>0.55491030192829105</v>
      </c>
      <c r="I6197">
        <v>0.66115067613569101</v>
      </c>
      <c r="J6197">
        <v>1.0330868762449701</v>
      </c>
      <c r="K6197">
        <v>0.466869532298678</v>
      </c>
      <c r="L6197">
        <v>13256.9934240886</v>
      </c>
      <c r="M6197">
        <v>249.473992125969</v>
      </c>
      <c r="O6197">
        <v>53.136367466097902</v>
      </c>
      <c r="P6197">
        <v>-0.36767934724008999</v>
      </c>
      <c r="Q6197">
        <v>0.68674659240589997</v>
      </c>
      <c r="R6197">
        <v>0.55001582554446504</v>
      </c>
      <c r="S6197" t="s">
        <v>12843</v>
      </c>
      <c r="T6197" t="s">
        <v>13290</v>
      </c>
      <c r="U6197" t="s">
        <v>13290</v>
      </c>
      <c r="V6197" t="s">
        <v>13290</v>
      </c>
      <c r="W6197" t="s">
        <v>19433</v>
      </c>
      <c r="X6197">
        <v>5</v>
      </c>
      <c r="Y6197" t="s">
        <v>25901</v>
      </c>
      <c r="Z6197" t="s">
        <v>32527</v>
      </c>
      <c r="AA6197">
        <v>0.82397864029571199</v>
      </c>
      <c r="AB6197" t="str">
        <f>HYPERLINK("Melting_Curves/meltCurve_Q9UFN0_NIPSNAP3A.pdf", "Melting_Curves/meltCurve_Q9UFN0_NIPSNAP3A.pdf")</f>
        <v>Melting_Curves/meltCurve_Q9UFN0_NIPSNAP3A.pdf</v>
      </c>
    </row>
    <row r="6198" spans="1:28" x14ac:dyDescent="0.25">
      <c r="A6198" t="s">
        <v>6202</v>
      </c>
      <c r="B6198">
        <v>0.99252571173614901</v>
      </c>
      <c r="C6198">
        <v>1.0937286131830299</v>
      </c>
      <c r="D6198">
        <v>0.92706041026154395</v>
      </c>
      <c r="E6198">
        <v>0.78829853568781805</v>
      </c>
      <c r="F6198">
        <v>0.43272343613020697</v>
      </c>
      <c r="G6198">
        <v>0.26642266617208599</v>
      </c>
      <c r="H6198">
        <v>0.21867164653176999</v>
      </c>
      <c r="I6198">
        <v>0.217992732105452</v>
      </c>
      <c r="J6198">
        <v>0.3159811935929</v>
      </c>
      <c r="K6198">
        <v>0.39718779298969498</v>
      </c>
      <c r="L6198">
        <v>1660.2267146208601</v>
      </c>
      <c r="M6198">
        <v>32.623946488284197</v>
      </c>
      <c r="N6198">
        <v>52.202708130763298</v>
      </c>
      <c r="O6198">
        <v>50.699755200643303</v>
      </c>
      <c r="P6198">
        <v>-0.115843227653182</v>
      </c>
      <c r="Q6198">
        <v>0.27989149290297</v>
      </c>
      <c r="R6198">
        <v>0.96626610278319902</v>
      </c>
      <c r="S6198" t="s">
        <v>12844</v>
      </c>
      <c r="T6198" t="s">
        <v>13290</v>
      </c>
      <c r="U6198" t="s">
        <v>13290</v>
      </c>
      <c r="V6198" t="s">
        <v>13290</v>
      </c>
      <c r="W6198" t="s">
        <v>19434</v>
      </c>
      <c r="X6198">
        <v>7</v>
      </c>
      <c r="Y6198" t="s">
        <v>25902</v>
      </c>
      <c r="Z6198" t="s">
        <v>32528</v>
      </c>
      <c r="AA6198">
        <v>0.54510543492427699</v>
      </c>
      <c r="AB6198" t="str">
        <f>HYPERLINK("Melting_Curves/meltCurve_Q9UFW8_CGGBP1.pdf", "Melting_Curves/meltCurve_Q9UFW8_CGGBP1.pdf")</f>
        <v>Melting_Curves/meltCurve_Q9UFW8_CGGBP1.pdf</v>
      </c>
    </row>
    <row r="6199" spans="1:28" x14ac:dyDescent="0.25">
      <c r="A6199" t="s">
        <v>6203</v>
      </c>
      <c r="B6199">
        <v>0.99252571173614901</v>
      </c>
      <c r="C6199">
        <v>0.98471486508240802</v>
      </c>
      <c r="D6199">
        <v>0.84665547595926405</v>
      </c>
      <c r="E6199">
        <v>0.67106641466944805</v>
      </c>
      <c r="F6199">
        <v>0.21052944606114901</v>
      </c>
      <c r="G6199">
        <v>0.11960830239008501</v>
      </c>
      <c r="H6199">
        <v>8.88114419360094E-2</v>
      </c>
      <c r="I6199">
        <v>7.5380630352560499E-2</v>
      </c>
      <c r="J6199">
        <v>7.2650221925090394E-2</v>
      </c>
      <c r="K6199">
        <v>6.2300940709463799E-2</v>
      </c>
      <c r="L6199">
        <v>1261.2941119213899</v>
      </c>
      <c r="M6199">
        <v>25.0634261490796</v>
      </c>
      <c r="N6199">
        <v>50.607229849951302</v>
      </c>
      <c r="O6199">
        <v>50.007006404379801</v>
      </c>
      <c r="P6199">
        <v>-0.117104145859504</v>
      </c>
      <c r="Q6199">
        <v>6.5419156691590999E-2</v>
      </c>
      <c r="R6199">
        <v>0.99296771612552703</v>
      </c>
      <c r="S6199" t="s">
        <v>12845</v>
      </c>
      <c r="T6199" t="s">
        <v>13290</v>
      </c>
      <c r="U6199" t="s">
        <v>13290</v>
      </c>
      <c r="V6199" t="s">
        <v>13290</v>
      </c>
      <c r="W6199" t="s">
        <v>19435</v>
      </c>
      <c r="X6199">
        <v>6</v>
      </c>
      <c r="Y6199" t="s">
        <v>25903</v>
      </c>
      <c r="Z6199" t="s">
        <v>32529</v>
      </c>
      <c r="AA6199">
        <v>0.39538134509340478</v>
      </c>
      <c r="AB6199" t="str">
        <f>HYPERLINK("Melting_Curves/meltCurve_Q9UG56_2_PISD.pdf", "Melting_Curves/meltCurve_Q9UG56_2_PISD.pdf")</f>
        <v>Melting_Curves/meltCurve_Q9UG56_2_PISD.pdf</v>
      </c>
    </row>
    <row r="6200" spans="1:28" x14ac:dyDescent="0.25">
      <c r="A6200" t="s">
        <v>6204</v>
      </c>
      <c r="B6200">
        <v>0.99252571173614901</v>
      </c>
      <c r="C6200">
        <v>1.0262181747464401</v>
      </c>
      <c r="D6200">
        <v>0.92561641726729005</v>
      </c>
      <c r="E6200">
        <v>0.79093209937310804</v>
      </c>
      <c r="F6200">
        <v>0.331668143060178</v>
      </c>
      <c r="G6200">
        <v>0.13676994104151699</v>
      </c>
      <c r="H6200">
        <v>8.4468444372557003E-2</v>
      </c>
      <c r="I6200">
        <v>8.2135388116569202E-2</v>
      </c>
      <c r="J6200">
        <v>9.4280472395415996E-2</v>
      </c>
      <c r="K6200">
        <v>8.8430073669086395E-2</v>
      </c>
      <c r="L6200">
        <v>1536.67278560502</v>
      </c>
      <c r="M6200">
        <v>29.8440111096149</v>
      </c>
      <c r="N6200">
        <v>51.807469840814299</v>
      </c>
      <c r="O6200">
        <v>51.260628330414697</v>
      </c>
      <c r="P6200">
        <v>-0.13339360688167701</v>
      </c>
      <c r="Q6200">
        <v>8.3528738493698004E-2</v>
      </c>
      <c r="R6200">
        <v>0.99769841697526696</v>
      </c>
      <c r="S6200" t="s">
        <v>12846</v>
      </c>
      <c r="T6200" t="s">
        <v>13290</v>
      </c>
      <c r="U6200" t="s">
        <v>13290</v>
      </c>
      <c r="V6200" t="s">
        <v>13290</v>
      </c>
      <c r="W6200" t="s">
        <v>19436</v>
      </c>
      <c r="X6200">
        <v>26</v>
      </c>
      <c r="Y6200" t="s">
        <v>25904</v>
      </c>
      <c r="Z6200" t="s">
        <v>32530</v>
      </c>
      <c r="AA6200">
        <v>0.44041107710251332</v>
      </c>
      <c r="AB6200" t="str">
        <f>HYPERLINK("Melting_Curves/meltCurve_Q9UG63_ABCF2.pdf", "Melting_Curves/meltCurve_Q9UG63_ABCF2.pdf")</f>
        <v>Melting_Curves/meltCurve_Q9UG63_ABCF2.pdf</v>
      </c>
    </row>
    <row r="6201" spans="1:28" x14ac:dyDescent="0.25">
      <c r="A6201" t="s">
        <v>6205</v>
      </c>
      <c r="B6201">
        <v>0.99252571173614901</v>
      </c>
      <c r="C6201">
        <v>1.05390805884978</v>
      </c>
      <c r="D6201">
        <v>0.89704940818206402</v>
      </c>
      <c r="E6201">
        <v>0.64685014517581496</v>
      </c>
      <c r="F6201">
        <v>0.44662536762801602</v>
      </c>
      <c r="G6201">
        <v>0.18460612638207199</v>
      </c>
      <c r="H6201">
        <v>9.8664193105062498E-2</v>
      </c>
      <c r="I6201">
        <v>0.111520912730855</v>
      </c>
      <c r="J6201">
        <v>0.14136315088667101</v>
      </c>
      <c r="K6201">
        <v>0.14865132304878401</v>
      </c>
      <c r="L6201">
        <v>1012.83235216345</v>
      </c>
      <c r="M6201">
        <v>19.830693436982902</v>
      </c>
      <c r="N6201">
        <v>51.720679035934197</v>
      </c>
      <c r="O6201">
        <v>50.563115860260801</v>
      </c>
      <c r="P6201">
        <v>-8.7285991714788305E-2</v>
      </c>
      <c r="Q6201">
        <v>0.10980356532491201</v>
      </c>
      <c r="R6201">
        <v>0.988763463119534</v>
      </c>
      <c r="S6201" t="s">
        <v>12847</v>
      </c>
      <c r="T6201" t="s">
        <v>13290</v>
      </c>
      <c r="U6201" t="s">
        <v>13290</v>
      </c>
      <c r="V6201" t="s">
        <v>13290</v>
      </c>
      <c r="W6201" t="s">
        <v>19437</v>
      </c>
      <c r="X6201">
        <v>4</v>
      </c>
      <c r="Y6201" t="s">
        <v>25905</v>
      </c>
      <c r="Z6201" t="s">
        <v>32531</v>
      </c>
      <c r="AA6201">
        <v>0.45095635469867751</v>
      </c>
      <c r="AB6201" t="str">
        <f>HYPERLINK("Melting_Curves/meltCurve_Q9UGC7_MTRF1L.pdf", "Melting_Curves/meltCurve_Q9UGC7_MTRF1L.pdf")</f>
        <v>Melting_Curves/meltCurve_Q9UGC7_MTRF1L.pdf</v>
      </c>
    </row>
    <row r="6202" spans="1:28" x14ac:dyDescent="0.25">
      <c r="A6202" t="s">
        <v>6206</v>
      </c>
      <c r="B6202">
        <v>0.99252571173614901</v>
      </c>
      <c r="C6202">
        <v>1.0892041550253699</v>
      </c>
      <c r="D6202">
        <v>1.00264678910747</v>
      </c>
      <c r="E6202">
        <v>0.931894946809943</v>
      </c>
      <c r="F6202">
        <v>0.21577886829342099</v>
      </c>
      <c r="G6202">
        <v>0.112678867718238</v>
      </c>
      <c r="H6202">
        <v>7.7913100487408904E-2</v>
      </c>
      <c r="I6202">
        <v>8.00541736853983E-2</v>
      </c>
      <c r="J6202">
        <v>8.7923743960527906E-2</v>
      </c>
      <c r="K6202">
        <v>9.1419917116175503E-2</v>
      </c>
      <c r="L6202">
        <v>3162.9337005142602</v>
      </c>
      <c r="M6202">
        <v>61.266436285563103</v>
      </c>
      <c r="N6202">
        <v>51.791802714534001</v>
      </c>
      <c r="O6202">
        <v>51.570986483698398</v>
      </c>
      <c r="P6202">
        <v>-0.27053788938955298</v>
      </c>
      <c r="Q6202">
        <v>8.9100332819133196E-2</v>
      </c>
      <c r="R6202">
        <v>0.99554428176104803</v>
      </c>
      <c r="S6202" t="s">
        <v>12848</v>
      </c>
      <c r="T6202" t="s">
        <v>13290</v>
      </c>
      <c r="U6202" t="s">
        <v>13290</v>
      </c>
      <c r="V6202" t="s">
        <v>13290</v>
      </c>
      <c r="W6202" t="s">
        <v>19438</v>
      </c>
      <c r="X6202">
        <v>34</v>
      </c>
      <c r="Y6202" t="s">
        <v>25906</v>
      </c>
      <c r="Z6202" t="s">
        <v>32532</v>
      </c>
      <c r="AA6202">
        <v>0.44347965909011211</v>
      </c>
      <c r="AB6202" t="str">
        <f>HYPERLINK("Melting_Curves/meltCurve_Q9UGI8_TES.pdf", "Melting_Curves/meltCurve_Q9UGI8_TES.pdf")</f>
        <v>Melting_Curves/meltCurve_Q9UGI8_TES.pdf</v>
      </c>
    </row>
    <row r="6203" spans="1:28" x14ac:dyDescent="0.25">
      <c r="A6203" t="s">
        <v>6207</v>
      </c>
      <c r="B6203">
        <v>0.99252571173614901</v>
      </c>
      <c r="C6203">
        <v>1.07150936311019</v>
      </c>
      <c r="D6203">
        <v>0.77751341208817903</v>
      </c>
      <c r="E6203">
        <v>0.45264334425262598</v>
      </c>
      <c r="F6203">
        <v>0.44948762400654402</v>
      </c>
      <c r="G6203">
        <v>0.35038981510131401</v>
      </c>
      <c r="H6203">
        <v>0.19151181753552499</v>
      </c>
      <c r="I6203">
        <v>0.26084845878505802</v>
      </c>
      <c r="J6203">
        <v>0.24716141942950001</v>
      </c>
      <c r="K6203">
        <v>0.140356951377867</v>
      </c>
      <c r="L6203">
        <v>891.06900906807198</v>
      </c>
      <c r="M6203">
        <v>18.321831975915298</v>
      </c>
      <c r="N6203">
        <v>50.274726257436399</v>
      </c>
      <c r="O6203">
        <v>48.066010754102798</v>
      </c>
      <c r="P6203">
        <v>-7.38571444525951E-2</v>
      </c>
      <c r="Q6203">
        <v>0.224999980291619</v>
      </c>
      <c r="R6203">
        <v>0.94916806574331702</v>
      </c>
      <c r="S6203" t="s">
        <v>12849</v>
      </c>
      <c r="T6203" t="s">
        <v>13290</v>
      </c>
      <c r="U6203" t="s">
        <v>13290</v>
      </c>
      <c r="V6203" t="s">
        <v>13290</v>
      </c>
      <c r="W6203" t="s">
        <v>19439</v>
      </c>
      <c r="X6203">
        <v>3</v>
      </c>
      <c r="Y6203" t="s">
        <v>25907</v>
      </c>
      <c r="Z6203" t="s">
        <v>32533</v>
      </c>
      <c r="AA6203">
        <v>0.46109833000513067</v>
      </c>
      <c r="AB6203" t="str">
        <f>HYPERLINK("Melting_Curves/meltCurve_Q9UGJ1_2_TUBGCP4.pdf", "Melting_Curves/meltCurve_Q9UGJ1_2_TUBGCP4.pdf")</f>
        <v>Melting_Curves/meltCurve_Q9UGJ1_2_TUBGCP4.pdf</v>
      </c>
    </row>
    <row r="6204" spans="1:28" x14ac:dyDescent="0.25">
      <c r="A6204" t="s">
        <v>6208</v>
      </c>
      <c r="B6204">
        <v>0.99252571173614901</v>
      </c>
      <c r="C6204">
        <v>1.0402270673618299</v>
      </c>
      <c r="D6204">
        <v>0.799955586375381</v>
      </c>
      <c r="E6204">
        <v>0.439331276747285</v>
      </c>
      <c r="F6204">
        <v>0.16188828788124901</v>
      </c>
      <c r="G6204">
        <v>0.1004948221726</v>
      </c>
      <c r="H6204">
        <v>6.5365771609559198E-2</v>
      </c>
      <c r="I6204">
        <v>7.7253105548644799E-2</v>
      </c>
      <c r="J6204">
        <v>9.7451072188126805E-2</v>
      </c>
      <c r="K6204">
        <v>0.10356793890340101</v>
      </c>
      <c r="L6204">
        <v>1276.42716688788</v>
      </c>
      <c r="M6204">
        <v>26.259447965926</v>
      </c>
      <c r="N6204">
        <v>48.947412031841701</v>
      </c>
      <c r="O6204">
        <v>48.329021470032203</v>
      </c>
      <c r="P6204">
        <v>-0.124540826861489</v>
      </c>
      <c r="Q6204">
        <v>8.3168726418030095E-2</v>
      </c>
      <c r="R6204">
        <v>0.99523259728757496</v>
      </c>
      <c r="S6204" t="s">
        <v>12850</v>
      </c>
      <c r="T6204" t="s">
        <v>13290</v>
      </c>
      <c r="U6204" t="s">
        <v>13290</v>
      </c>
      <c r="V6204" t="s">
        <v>13290</v>
      </c>
      <c r="W6204" t="s">
        <v>19440</v>
      </c>
      <c r="X6204">
        <v>4</v>
      </c>
      <c r="Y6204" t="s">
        <v>25908</v>
      </c>
      <c r="Z6204" t="s">
        <v>32534</v>
      </c>
      <c r="AA6204">
        <v>0.35356696323688241</v>
      </c>
      <c r="AB6204" t="str">
        <f>HYPERLINK("Melting_Curves/meltCurve_Q9UGK3_STAP2.pdf", "Melting_Curves/meltCurve_Q9UGK3_STAP2.pdf")</f>
        <v>Melting_Curves/meltCurve_Q9UGK3_STAP2.pdf</v>
      </c>
    </row>
    <row r="6205" spans="1:28" x14ac:dyDescent="0.25">
      <c r="A6205" t="s">
        <v>6209</v>
      </c>
      <c r="B6205">
        <v>0.99252571173614901</v>
      </c>
      <c r="C6205">
        <v>0.98454325681593502</v>
      </c>
      <c r="D6205">
        <v>0.71357064133807402</v>
      </c>
      <c r="E6205">
        <v>0.37762829866550202</v>
      </c>
      <c r="F6205">
        <v>0</v>
      </c>
      <c r="G6205">
        <v>3.5008601775243897E-2</v>
      </c>
      <c r="H6205">
        <v>4.0758940123979397E-2</v>
      </c>
      <c r="I6205">
        <v>0</v>
      </c>
      <c r="J6205">
        <v>0</v>
      </c>
      <c r="K6205">
        <v>0</v>
      </c>
      <c r="L6205">
        <v>1190.32126205701</v>
      </c>
      <c r="M6205">
        <v>24.7494052325798</v>
      </c>
      <c r="N6205">
        <v>48.094939623342398</v>
      </c>
      <c r="O6205">
        <v>47.784252692547703</v>
      </c>
      <c r="P6205">
        <v>-0.12948697960188901</v>
      </c>
      <c r="Q6205">
        <v>0</v>
      </c>
      <c r="R6205">
        <v>0.99094475326024201</v>
      </c>
      <c r="S6205" t="s">
        <v>12851</v>
      </c>
      <c r="T6205" t="s">
        <v>13290</v>
      </c>
      <c r="U6205" t="s">
        <v>13290</v>
      </c>
      <c r="V6205" t="s">
        <v>13290</v>
      </c>
      <c r="W6205" t="s">
        <v>19441</v>
      </c>
      <c r="X6205">
        <v>3</v>
      </c>
      <c r="Y6205" t="s">
        <v>25909</v>
      </c>
      <c r="Z6205" t="s">
        <v>32535</v>
      </c>
      <c r="AA6205">
        <v>0.2788591435623422</v>
      </c>
      <c r="AB6205" t="str">
        <f>HYPERLINK("Melting_Curves/meltCurve_Q9UGK8_SERGEF.pdf", "Melting_Curves/meltCurve_Q9UGK8_SERGEF.pdf")</f>
        <v>Melting_Curves/meltCurve_Q9UGK8_SERGEF.pdf</v>
      </c>
    </row>
    <row r="6206" spans="1:28" x14ac:dyDescent="0.25">
      <c r="A6206" t="s">
        <v>6210</v>
      </c>
      <c r="B6206">
        <v>0.99252571173614901</v>
      </c>
      <c r="C6206">
        <v>1.0307233857140301</v>
      </c>
      <c r="D6206">
        <v>0.85965631743621096</v>
      </c>
      <c r="E6206">
        <v>0.49763030638648298</v>
      </c>
      <c r="F6206">
        <v>0.192663323020486</v>
      </c>
      <c r="G6206">
        <v>0.10103486457306</v>
      </c>
      <c r="H6206">
        <v>7.5165073308560898E-2</v>
      </c>
      <c r="I6206">
        <v>5.7324065213641202E-2</v>
      </c>
      <c r="J6206">
        <v>7.07622969097568E-2</v>
      </c>
      <c r="K6206">
        <v>6.9978771910465296E-2</v>
      </c>
      <c r="L6206">
        <v>1270.37644238352</v>
      </c>
      <c r="M6206">
        <v>25.7683960292443</v>
      </c>
      <c r="N6206">
        <v>49.576756120157</v>
      </c>
      <c r="O6206">
        <v>49.005755339243002</v>
      </c>
      <c r="P6206">
        <v>-0.122644889914396</v>
      </c>
      <c r="Q6206">
        <v>6.7038012397340502E-2</v>
      </c>
      <c r="R6206">
        <v>0.99810437826154297</v>
      </c>
      <c r="S6206" t="s">
        <v>12852</v>
      </c>
      <c r="T6206" t="s">
        <v>13290</v>
      </c>
      <c r="U6206" t="s">
        <v>13290</v>
      </c>
      <c r="V6206" t="s">
        <v>13290</v>
      </c>
      <c r="W6206" t="s">
        <v>19442</v>
      </c>
      <c r="X6206">
        <v>6</v>
      </c>
      <c r="Y6206" t="s">
        <v>25910</v>
      </c>
      <c r="Z6206" t="s">
        <v>32536</v>
      </c>
      <c r="AA6206">
        <v>0.36403745542036747</v>
      </c>
      <c r="AB6206" t="str">
        <f>HYPERLINK("Melting_Curves/meltCurve_Q9UGM6_WARS2.pdf", "Melting_Curves/meltCurve_Q9UGM6_WARS2.pdf")</f>
        <v>Melting_Curves/meltCurve_Q9UGM6_WARS2.pdf</v>
      </c>
    </row>
    <row r="6207" spans="1:28" x14ac:dyDescent="0.25">
      <c r="A6207" t="s">
        <v>6211</v>
      </c>
      <c r="B6207">
        <v>0.99252571173614901</v>
      </c>
      <c r="C6207">
        <v>1.0137970121466799</v>
      </c>
      <c r="D6207">
        <v>0.82175438991953698</v>
      </c>
      <c r="E6207">
        <v>0.63775128371580703</v>
      </c>
      <c r="F6207">
        <v>0.37381004887689001</v>
      </c>
      <c r="G6207">
        <v>0.23252354665956401</v>
      </c>
      <c r="H6207">
        <v>0.15773477095864399</v>
      </c>
      <c r="I6207">
        <v>0.15288939976596</v>
      </c>
      <c r="J6207">
        <v>0.207004092701499</v>
      </c>
      <c r="K6207">
        <v>0.25945030371657601</v>
      </c>
      <c r="L6207">
        <v>1002.00115108221</v>
      </c>
      <c r="M6207">
        <v>20.097685650406699</v>
      </c>
      <c r="N6207">
        <v>51.0257572591577</v>
      </c>
      <c r="O6207">
        <v>49.370830831553803</v>
      </c>
      <c r="P6207">
        <v>-8.2992998416140204E-2</v>
      </c>
      <c r="Q6207">
        <v>0.18452286377104701</v>
      </c>
      <c r="R6207">
        <v>0.98628650380632599</v>
      </c>
      <c r="S6207" t="s">
        <v>12853</v>
      </c>
      <c r="T6207" t="s">
        <v>13290</v>
      </c>
      <c r="U6207" t="s">
        <v>13290</v>
      </c>
      <c r="V6207" t="s">
        <v>13290</v>
      </c>
      <c r="W6207" t="s">
        <v>19443</v>
      </c>
      <c r="X6207">
        <v>15</v>
      </c>
      <c r="Y6207" t="s">
        <v>25911</v>
      </c>
      <c r="Z6207" t="s">
        <v>32537</v>
      </c>
      <c r="AA6207">
        <v>0.46370011142283429</v>
      </c>
      <c r="AB6207" t="str">
        <f>HYPERLINK("Melting_Curves/meltCurve_Q9UGP4_LIMD1.pdf", "Melting_Curves/meltCurve_Q9UGP4_LIMD1.pdf")</f>
        <v>Melting_Curves/meltCurve_Q9UGP4_LIMD1.pdf</v>
      </c>
    </row>
    <row r="6208" spans="1:28" x14ac:dyDescent="0.25">
      <c r="A6208" t="s">
        <v>6212</v>
      </c>
      <c r="B6208">
        <v>0.99252571173614901</v>
      </c>
      <c r="C6208">
        <v>0.85652918463244099</v>
      </c>
      <c r="D6208">
        <v>0.80277290065002105</v>
      </c>
      <c r="E6208">
        <v>0.71333259936888604</v>
      </c>
      <c r="F6208">
        <v>0.38979941291864201</v>
      </c>
      <c r="G6208">
        <v>0.16640002322351699</v>
      </c>
      <c r="H6208">
        <v>6.8029204894801895E-2</v>
      </c>
      <c r="I6208">
        <v>5.9359470042732398E-2</v>
      </c>
      <c r="J6208">
        <v>6.7142673271067002E-2</v>
      </c>
      <c r="K6208">
        <v>6.8800320596033804E-2</v>
      </c>
      <c r="L6208">
        <v>747.06177571178398</v>
      </c>
      <c r="M6208">
        <v>14.539259623965201</v>
      </c>
      <c r="N6208">
        <v>51.4761664714323</v>
      </c>
      <c r="O6208">
        <v>50.439695507680703</v>
      </c>
      <c r="P6208">
        <v>-7.1128789071437701E-2</v>
      </c>
      <c r="Q6208">
        <v>1.3070808041105801E-2</v>
      </c>
      <c r="R6208">
        <v>0.98322190150961997</v>
      </c>
      <c r="S6208" t="s">
        <v>12854</v>
      </c>
      <c r="T6208" t="s">
        <v>13290</v>
      </c>
      <c r="U6208" t="s">
        <v>13290</v>
      </c>
      <c r="V6208" t="s">
        <v>13290</v>
      </c>
      <c r="W6208" t="s">
        <v>19444</v>
      </c>
      <c r="X6208">
        <v>20</v>
      </c>
      <c r="Y6208" t="s">
        <v>25912</v>
      </c>
      <c r="Z6208" t="s">
        <v>32538</v>
      </c>
      <c r="AA6208">
        <v>0.41119691481040938</v>
      </c>
      <c r="AB6208" t="str">
        <f>HYPERLINK("Melting_Curves/meltCurve_Q9UGP8_SEC63.pdf", "Melting_Curves/meltCurve_Q9UGP8_SEC63.pdf")</f>
        <v>Melting_Curves/meltCurve_Q9UGP8_SEC63.pdf</v>
      </c>
    </row>
    <row r="6209" spans="1:28" x14ac:dyDescent="0.25">
      <c r="A6209" t="s">
        <v>6213</v>
      </c>
      <c r="B6209">
        <v>0.99252571173614901</v>
      </c>
      <c r="C6209">
        <v>0.95724165780327697</v>
      </c>
      <c r="D6209">
        <v>0.87995402200447503</v>
      </c>
      <c r="E6209">
        <v>0.83066097912383396</v>
      </c>
      <c r="F6209">
        <v>0.62468494645570205</v>
      </c>
      <c r="G6209">
        <v>0.56533388709293697</v>
      </c>
      <c r="H6209">
        <v>0.49339193489701999</v>
      </c>
      <c r="I6209">
        <v>0.614548538723653</v>
      </c>
      <c r="J6209">
        <v>1.13344660573097</v>
      </c>
      <c r="K6209">
        <v>0.86809160525085904</v>
      </c>
      <c r="L6209">
        <v>1296.0727943971699</v>
      </c>
      <c r="M6209">
        <v>27.774973291179599</v>
      </c>
      <c r="O6209">
        <v>46.423450484239197</v>
      </c>
      <c r="P6209">
        <v>-4.1381801665714202E-2</v>
      </c>
      <c r="Q6209">
        <v>0.723338129195644</v>
      </c>
      <c r="R6209">
        <v>0.25913526567235301</v>
      </c>
      <c r="S6209" t="s">
        <v>12855</v>
      </c>
      <c r="T6209" t="s">
        <v>13290</v>
      </c>
      <c r="U6209" t="s">
        <v>13290</v>
      </c>
      <c r="V6209" t="s">
        <v>13290</v>
      </c>
      <c r="W6209" t="s">
        <v>19445</v>
      </c>
      <c r="X6209">
        <v>1</v>
      </c>
      <c r="Y6209" t="s">
        <v>25913</v>
      </c>
      <c r="Z6209" t="s">
        <v>32539</v>
      </c>
      <c r="AA6209">
        <v>0.7867580849384086</v>
      </c>
      <c r="AB6209" t="str">
        <f>HYPERLINK("Melting_Curves/meltCurve_Q9UGQ2_2_CACFD1.pdf", "Melting_Curves/meltCurve_Q9UGQ2_2_CACFD1.pdf")</f>
        <v>Melting_Curves/meltCurve_Q9UGQ2_2_CACFD1.pdf</v>
      </c>
    </row>
    <row r="6210" spans="1:28" x14ac:dyDescent="0.25">
      <c r="A6210" t="s">
        <v>6214</v>
      </c>
      <c r="B6210">
        <v>0.99252571173614901</v>
      </c>
      <c r="C6210">
        <v>0.90598138538973105</v>
      </c>
      <c r="D6210">
        <v>0.86505590388759801</v>
      </c>
      <c r="E6210">
        <v>0.83676502964280097</v>
      </c>
      <c r="F6210">
        <v>0.73062414620396499</v>
      </c>
      <c r="G6210">
        <v>0.49064185379117398</v>
      </c>
      <c r="H6210">
        <v>0.37062275042870602</v>
      </c>
      <c r="I6210">
        <v>0.48078254881715099</v>
      </c>
      <c r="J6210">
        <v>0.65958534301512195</v>
      </c>
      <c r="K6210">
        <v>0.524877434907147</v>
      </c>
      <c r="L6210">
        <v>853.73268500822701</v>
      </c>
      <c r="M6210">
        <v>16.8205383944684</v>
      </c>
      <c r="N6210">
        <v>69.046158577513395</v>
      </c>
      <c r="O6210">
        <v>50.054267773518802</v>
      </c>
      <c r="P6210">
        <v>-4.2496185705700303E-2</v>
      </c>
      <c r="Q6210">
        <v>0.49419493189274499</v>
      </c>
      <c r="R6210">
        <v>0.82343533351192</v>
      </c>
      <c r="S6210" t="s">
        <v>12856</v>
      </c>
      <c r="T6210" t="s">
        <v>13290</v>
      </c>
      <c r="U6210" t="s">
        <v>13290</v>
      </c>
      <c r="V6210" t="s">
        <v>13290</v>
      </c>
      <c r="W6210" t="s">
        <v>19446</v>
      </c>
      <c r="X6210">
        <v>1</v>
      </c>
      <c r="Y6210" t="s">
        <v>25914</v>
      </c>
      <c r="Z6210" t="s">
        <v>32540</v>
      </c>
      <c r="AA6210">
        <v>0.68518999832371852</v>
      </c>
      <c r="AB6210" t="str">
        <f>HYPERLINK("Melting_Curves/meltCurve_Q9UGQ3_2_SLC2A6.pdf", "Melting_Curves/meltCurve_Q9UGQ3_2_SLC2A6.pdf")</f>
        <v>Melting_Curves/meltCurve_Q9UGQ3_2_SLC2A6.pdf</v>
      </c>
    </row>
    <row r="6211" spans="1:28" x14ac:dyDescent="0.25">
      <c r="A6211" t="s">
        <v>6215</v>
      </c>
      <c r="B6211">
        <v>0.99252571173614901</v>
      </c>
      <c r="C6211">
        <v>0.90272689404483697</v>
      </c>
      <c r="D6211">
        <v>0.29201770262777499</v>
      </c>
      <c r="E6211">
        <v>9.1295681567530707E-2</v>
      </c>
      <c r="F6211">
        <v>7.9652112921071494E-2</v>
      </c>
      <c r="G6211">
        <v>5.3000803427178403E-2</v>
      </c>
      <c r="H6211">
        <v>3.6146963034487598E-2</v>
      </c>
      <c r="I6211">
        <v>4.6183801422037499E-2</v>
      </c>
      <c r="J6211">
        <v>2.34204325669333E-2</v>
      </c>
      <c r="K6211">
        <v>2.3807737364696602E-2</v>
      </c>
      <c r="L6211">
        <v>2005.73221883216</v>
      </c>
      <c r="M6211">
        <v>44.640232790089499</v>
      </c>
      <c r="N6211">
        <v>45.032500634118797</v>
      </c>
      <c r="O6211">
        <v>44.841155123144503</v>
      </c>
      <c r="P6211">
        <v>-0.236973513833724</v>
      </c>
      <c r="Q6211">
        <v>4.7840829433053803E-2</v>
      </c>
      <c r="R6211">
        <v>0.997443803209074</v>
      </c>
      <c r="S6211" t="s">
        <v>12857</v>
      </c>
      <c r="T6211" t="s">
        <v>13290</v>
      </c>
      <c r="U6211" t="s">
        <v>13290</v>
      </c>
      <c r="V6211" t="s">
        <v>13290</v>
      </c>
      <c r="W6211" t="s">
        <v>19447</v>
      </c>
      <c r="X6211">
        <v>2</v>
      </c>
      <c r="Y6211" t="s">
        <v>25915</v>
      </c>
      <c r="Z6211" t="s">
        <v>32541</v>
      </c>
      <c r="AA6211">
        <v>0.20681535485814481</v>
      </c>
      <c r="AB6211" t="str">
        <f>HYPERLINK("Melting_Curves/meltCurve_Q9UGR2_2_ZC3H7B.pdf", "Melting_Curves/meltCurve_Q9UGR2_2_ZC3H7B.pdf")</f>
        <v>Melting_Curves/meltCurve_Q9UGR2_2_ZC3H7B.pdf</v>
      </c>
    </row>
    <row r="6212" spans="1:28" x14ac:dyDescent="0.25">
      <c r="A6212" t="s">
        <v>6216</v>
      </c>
      <c r="B6212">
        <v>0.99252571173614901</v>
      </c>
      <c r="C6212">
        <v>0.958902868874423</v>
      </c>
      <c r="D6212">
        <v>0.93575739513860601</v>
      </c>
      <c r="E6212">
        <v>0.77063791519622005</v>
      </c>
      <c r="F6212">
        <v>0.47623671021830499</v>
      </c>
      <c r="G6212">
        <v>0.31430028061569498</v>
      </c>
      <c r="H6212">
        <v>0.30474013919985299</v>
      </c>
      <c r="I6212">
        <v>0.379241337510896</v>
      </c>
      <c r="J6212">
        <v>0.75102554384815901</v>
      </c>
      <c r="K6212">
        <v>1.29682459810491</v>
      </c>
      <c r="L6212">
        <v>12388.955533108399</v>
      </c>
      <c r="M6212">
        <v>250</v>
      </c>
      <c r="O6212">
        <v>49.552659348023901</v>
      </c>
      <c r="P6212">
        <v>-0.52083309166949798</v>
      </c>
      <c r="Q6212">
        <v>0.58706143449343595</v>
      </c>
      <c r="R6212">
        <v>0.27329353105062798</v>
      </c>
      <c r="S6212" t="s">
        <v>12858</v>
      </c>
      <c r="T6212" t="s">
        <v>13290</v>
      </c>
      <c r="U6212" t="s">
        <v>13290</v>
      </c>
      <c r="V6212" t="s">
        <v>13290</v>
      </c>
      <c r="W6212" t="s">
        <v>19448</v>
      </c>
      <c r="X6212">
        <v>13</v>
      </c>
      <c r="Y6212" t="s">
        <v>25916</v>
      </c>
      <c r="Z6212" t="s">
        <v>32542</v>
      </c>
      <c r="AA6212">
        <v>0.71862959708861818</v>
      </c>
      <c r="AB6212" t="str">
        <f>HYPERLINK("Melting_Curves/meltCurve_Q9UGU0_2_TCF20.pdf", "Melting_Curves/meltCurve_Q9UGU0_2_TCF20.pdf")</f>
        <v>Melting_Curves/meltCurve_Q9UGU0_2_TCF20.pdf</v>
      </c>
    </row>
    <row r="6213" spans="1:28" x14ac:dyDescent="0.25">
      <c r="A6213" t="s">
        <v>6217</v>
      </c>
      <c r="B6213">
        <v>0.99252571173614901</v>
      </c>
      <c r="C6213">
        <v>0.91440554154868903</v>
      </c>
      <c r="D6213">
        <v>0.87846114419125598</v>
      </c>
      <c r="E6213">
        <v>0.55754003227573001</v>
      </c>
      <c r="F6213">
        <v>0.47597314566394</v>
      </c>
      <c r="G6213">
        <v>0.301273008648268</v>
      </c>
      <c r="H6213">
        <v>0.24837676946930901</v>
      </c>
      <c r="I6213">
        <v>0.28499374001451999</v>
      </c>
      <c r="J6213">
        <v>0.32319808738118599</v>
      </c>
      <c r="K6213">
        <v>0.27815132920288899</v>
      </c>
      <c r="L6213">
        <v>903.11151133551402</v>
      </c>
      <c r="M6213">
        <v>18.397375125595101</v>
      </c>
      <c r="N6213">
        <v>51.318786534668099</v>
      </c>
      <c r="O6213">
        <v>48.520183119037497</v>
      </c>
      <c r="P6213">
        <v>-6.8710448444849095E-2</v>
      </c>
      <c r="Q6213">
        <v>0.27518081757104801</v>
      </c>
      <c r="R6213">
        <v>0.98243319915244498</v>
      </c>
      <c r="S6213" t="s">
        <v>12859</v>
      </c>
      <c r="T6213" t="s">
        <v>13290</v>
      </c>
      <c r="U6213" t="s">
        <v>13290</v>
      </c>
      <c r="V6213" t="s">
        <v>13290</v>
      </c>
      <c r="W6213" t="s">
        <v>19449</v>
      </c>
      <c r="X6213">
        <v>2</v>
      </c>
      <c r="Y6213" t="s">
        <v>25917</v>
      </c>
      <c r="Z6213" t="s">
        <v>32543</v>
      </c>
      <c r="AA6213">
        <v>0.50678118235123504</v>
      </c>
      <c r="AB6213" t="str">
        <f>HYPERLINK("Melting_Curves/meltCurve_Q9UGU5_HMGXB4.pdf", "Melting_Curves/meltCurve_Q9UGU5_HMGXB4.pdf")</f>
        <v>Melting_Curves/meltCurve_Q9UGU5_HMGXB4.pdf</v>
      </c>
    </row>
    <row r="6214" spans="1:28" x14ac:dyDescent="0.25">
      <c r="A6214" t="s">
        <v>6218</v>
      </c>
      <c r="B6214">
        <v>0.99252571173614901</v>
      </c>
      <c r="C6214">
        <v>1.04550690690839</v>
      </c>
      <c r="D6214">
        <v>0.95067597634203704</v>
      </c>
      <c r="E6214">
        <v>0.712270451482519</v>
      </c>
      <c r="F6214">
        <v>0.24765012804447101</v>
      </c>
      <c r="G6214">
        <v>0.17046154362132199</v>
      </c>
      <c r="H6214">
        <v>0.109668532801508</v>
      </c>
      <c r="I6214">
        <v>9.33131001784476E-2</v>
      </c>
      <c r="J6214">
        <v>9.5097954432155296E-2</v>
      </c>
      <c r="K6214">
        <v>9.3942989718387201E-2</v>
      </c>
      <c r="L6214">
        <v>1629.5823411373699</v>
      </c>
      <c r="M6214">
        <v>32.146294883099401</v>
      </c>
      <c r="N6214">
        <v>51.0600205194214</v>
      </c>
      <c r="O6214">
        <v>50.4977081175332</v>
      </c>
      <c r="P6214">
        <v>-0.14271891444051599</v>
      </c>
      <c r="Q6214">
        <v>0.103231540628027</v>
      </c>
      <c r="R6214">
        <v>0.99691539220297598</v>
      </c>
      <c r="S6214" t="s">
        <v>12860</v>
      </c>
      <c r="T6214" t="s">
        <v>13290</v>
      </c>
      <c r="U6214" t="s">
        <v>13290</v>
      </c>
      <c r="V6214" t="s">
        <v>13290</v>
      </c>
      <c r="W6214" t="s">
        <v>19450</v>
      </c>
      <c r="X6214">
        <v>8</v>
      </c>
      <c r="Y6214" t="s">
        <v>25918</v>
      </c>
      <c r="Z6214" t="s">
        <v>32544</v>
      </c>
      <c r="AA6214">
        <v>0.42774259076722149</v>
      </c>
      <c r="AB6214" t="str">
        <f>HYPERLINK("Melting_Curves/meltCurve_Q9UGV2_NDRG3.pdf", "Melting_Curves/meltCurve_Q9UGV2_NDRG3.pdf")</f>
        <v>Melting_Curves/meltCurve_Q9UGV2_NDRG3.pdf</v>
      </c>
    </row>
    <row r="6215" spans="1:28" x14ac:dyDescent="0.25">
      <c r="A6215" t="s">
        <v>6219</v>
      </c>
      <c r="B6215">
        <v>0.99252571173614901</v>
      </c>
      <c r="C6215">
        <v>0.85776268907412301</v>
      </c>
      <c r="D6215">
        <v>0.74948467000637398</v>
      </c>
      <c r="E6215">
        <v>0.30676542386842698</v>
      </c>
      <c r="F6215">
        <v>0.122815309136439</v>
      </c>
      <c r="G6215">
        <v>6.5603662198581394E-2</v>
      </c>
      <c r="H6215">
        <v>4.4749650282613601E-2</v>
      </c>
      <c r="I6215">
        <v>3.43077107084893E-2</v>
      </c>
      <c r="J6215">
        <v>3.7442758735485797E-2</v>
      </c>
      <c r="K6215">
        <v>3.9489654567906401E-2</v>
      </c>
      <c r="L6215">
        <v>1046.5983884896</v>
      </c>
      <c r="M6215">
        <v>21.927636280718399</v>
      </c>
      <c r="N6215">
        <v>47.882868363106802</v>
      </c>
      <c r="O6215">
        <v>47.337997829126103</v>
      </c>
      <c r="P6215">
        <v>-0.111882607954503</v>
      </c>
      <c r="Q6215">
        <v>3.3880515818418999E-2</v>
      </c>
      <c r="R6215">
        <v>0.99484111027578204</v>
      </c>
      <c r="S6215" t="s">
        <v>12861</v>
      </c>
      <c r="T6215" t="s">
        <v>13290</v>
      </c>
      <c r="U6215" t="s">
        <v>13290</v>
      </c>
      <c r="V6215" t="s">
        <v>13290</v>
      </c>
      <c r="W6215" t="s">
        <v>19451</v>
      </c>
      <c r="X6215">
        <v>8</v>
      </c>
      <c r="Y6215" t="s">
        <v>25919</v>
      </c>
      <c r="Z6215" t="s">
        <v>32545</v>
      </c>
      <c r="AA6215">
        <v>0.2941402349845112</v>
      </c>
      <c r="AB6215" t="str">
        <f>HYPERLINK("Melting_Curves/meltCurve_Q9UH62_ARMCX3.pdf", "Melting_Curves/meltCurve_Q9UH62_ARMCX3.pdf")</f>
        <v>Melting_Curves/meltCurve_Q9UH62_ARMCX3.pdf</v>
      </c>
    </row>
    <row r="6216" spans="1:28" x14ac:dyDescent="0.25">
      <c r="A6216" t="s">
        <v>6220</v>
      </c>
      <c r="B6216">
        <v>0.99252571173614901</v>
      </c>
      <c r="C6216">
        <v>1.06267774415187</v>
      </c>
      <c r="D6216">
        <v>0.95639783766812403</v>
      </c>
      <c r="E6216">
        <v>0.87136827371693804</v>
      </c>
      <c r="F6216">
        <v>0.42360970647269502</v>
      </c>
      <c r="G6216">
        <v>0.12664722226505701</v>
      </c>
      <c r="H6216">
        <v>8.4307422412778998E-2</v>
      </c>
      <c r="I6216">
        <v>8.8905019079457595E-2</v>
      </c>
      <c r="J6216">
        <v>0.11228027503188701</v>
      </c>
      <c r="K6216">
        <v>0.10717883996260399</v>
      </c>
      <c r="L6216">
        <v>1797.1459922285601</v>
      </c>
      <c r="M6216">
        <v>34.381035497114603</v>
      </c>
      <c r="N6216">
        <v>52.5834774703413</v>
      </c>
      <c r="O6216">
        <v>52.095541876442198</v>
      </c>
      <c r="P6216">
        <v>-0.149765198503828</v>
      </c>
      <c r="Q6216">
        <v>9.2282197915967895E-2</v>
      </c>
      <c r="R6216">
        <v>0.99604484206455901</v>
      </c>
      <c r="S6216" t="s">
        <v>12862</v>
      </c>
      <c r="T6216" t="s">
        <v>13290</v>
      </c>
      <c r="U6216" t="s">
        <v>13290</v>
      </c>
      <c r="V6216" t="s">
        <v>13290</v>
      </c>
      <c r="W6216" t="s">
        <v>19452</v>
      </c>
      <c r="X6216">
        <v>26</v>
      </c>
      <c r="Y6216" t="s">
        <v>25920</v>
      </c>
      <c r="Z6216" t="s">
        <v>32546</v>
      </c>
      <c r="AA6216">
        <v>0.46802269213384901</v>
      </c>
      <c r="AB6216" t="str">
        <f>HYPERLINK("Melting_Curves/meltCurve_Q9UH65_SWAP70.pdf", "Melting_Curves/meltCurve_Q9UH65_SWAP70.pdf")</f>
        <v>Melting_Curves/meltCurve_Q9UH65_SWAP70.pdf</v>
      </c>
    </row>
    <row r="6217" spans="1:28" x14ac:dyDescent="0.25">
      <c r="A6217" t="s">
        <v>6221</v>
      </c>
      <c r="B6217">
        <v>0.99252571173614901</v>
      </c>
      <c r="C6217">
        <v>0.99878762857391001</v>
      </c>
      <c r="D6217">
        <v>0.92531824091782899</v>
      </c>
      <c r="E6217">
        <v>0.79795891585287904</v>
      </c>
      <c r="F6217">
        <v>0.82134276641470705</v>
      </c>
      <c r="G6217">
        <v>0.76672137963135101</v>
      </c>
      <c r="H6217">
        <v>0.760067708300315</v>
      </c>
      <c r="I6217">
        <v>0.98547283719650003</v>
      </c>
      <c r="J6217">
        <v>1.00411448387805</v>
      </c>
      <c r="K6217">
        <v>0.65680219704088805</v>
      </c>
      <c r="L6217">
        <v>11512.4155813457</v>
      </c>
      <c r="M6217">
        <v>250</v>
      </c>
      <c r="O6217">
        <v>46.046715294002702</v>
      </c>
      <c r="P6217">
        <v>-0.234141043887268</v>
      </c>
      <c r="Q6217">
        <v>0.827497183824353</v>
      </c>
      <c r="R6217">
        <v>0.33329214838466198</v>
      </c>
      <c r="S6217" t="s">
        <v>12863</v>
      </c>
      <c r="T6217" t="s">
        <v>13290</v>
      </c>
      <c r="U6217" t="s">
        <v>13290</v>
      </c>
      <c r="V6217" t="s">
        <v>13290</v>
      </c>
      <c r="W6217" t="s">
        <v>19453</v>
      </c>
      <c r="X6217">
        <v>2</v>
      </c>
      <c r="Y6217" t="s">
        <v>25921</v>
      </c>
      <c r="Z6217" t="s">
        <v>32547</v>
      </c>
      <c r="AA6217">
        <v>0.86229725115597344</v>
      </c>
      <c r="AB6217" t="str">
        <f>HYPERLINK("Melting_Curves/meltCurve_Q9UHA4_LAMTOR3.pdf", "Melting_Curves/meltCurve_Q9UHA4_LAMTOR3.pdf")</f>
        <v>Melting_Curves/meltCurve_Q9UHA4_LAMTOR3.pdf</v>
      </c>
    </row>
    <row r="6218" spans="1:28" x14ac:dyDescent="0.25">
      <c r="A6218" t="s">
        <v>6222</v>
      </c>
      <c r="B6218">
        <v>0.99252571173614901</v>
      </c>
      <c r="C6218">
        <v>1.0362685077314</v>
      </c>
      <c r="D6218">
        <v>1.0162715047208599</v>
      </c>
      <c r="E6218">
        <v>0.92657275208600198</v>
      </c>
      <c r="F6218">
        <v>0.60654931893171804</v>
      </c>
      <c r="G6218">
        <v>0.40339472892365003</v>
      </c>
      <c r="H6218">
        <v>0.37565831550019102</v>
      </c>
      <c r="I6218">
        <v>0.40025453291351298</v>
      </c>
      <c r="J6218">
        <v>0.58433449553338601</v>
      </c>
      <c r="K6218">
        <v>0.66066276746094599</v>
      </c>
      <c r="L6218">
        <v>2466.6547010115601</v>
      </c>
      <c r="M6218">
        <v>47.724077655937897</v>
      </c>
      <c r="N6218">
        <v>55.856988162226202</v>
      </c>
      <c r="O6218">
        <v>51.595243580043601</v>
      </c>
      <c r="P6218">
        <v>-0.11889677309916</v>
      </c>
      <c r="Q6218">
        <v>0.48583593950906201</v>
      </c>
      <c r="R6218">
        <v>0.89356911893111801</v>
      </c>
      <c r="S6218" t="s">
        <v>12864</v>
      </c>
      <c r="T6218" t="s">
        <v>13290</v>
      </c>
      <c r="U6218" t="s">
        <v>13290</v>
      </c>
      <c r="V6218" t="s">
        <v>13290</v>
      </c>
      <c r="W6218" t="s">
        <v>19454</v>
      </c>
      <c r="X6218">
        <v>8</v>
      </c>
      <c r="Y6218" t="s">
        <v>25922</v>
      </c>
      <c r="Z6218" t="s">
        <v>32548</v>
      </c>
      <c r="AA6218">
        <v>0.68740296575917981</v>
      </c>
      <c r="AB6218" t="str">
        <f>HYPERLINK("Melting_Curves/meltCurve_Q9UHB6_LIMA1.pdf", "Melting_Curves/meltCurve_Q9UHB6_LIMA1.pdf")</f>
        <v>Melting_Curves/meltCurve_Q9UHB6_LIMA1.pdf</v>
      </c>
    </row>
    <row r="6219" spans="1:28" x14ac:dyDescent="0.25">
      <c r="A6219" t="s">
        <v>6223</v>
      </c>
      <c r="B6219">
        <v>0.99252571173614901</v>
      </c>
      <c r="C6219">
        <v>0.95316807734203801</v>
      </c>
      <c r="D6219">
        <v>0.89921949391711298</v>
      </c>
      <c r="E6219">
        <v>0.71982406339073302</v>
      </c>
      <c r="F6219">
        <v>0.39209757502893999</v>
      </c>
      <c r="G6219">
        <v>0.22793280333347299</v>
      </c>
      <c r="H6219">
        <v>0.17850698473599</v>
      </c>
      <c r="I6219">
        <v>0.21376621599295101</v>
      </c>
      <c r="J6219">
        <v>0.29117760581375701</v>
      </c>
      <c r="K6219">
        <v>0.29341789321914902</v>
      </c>
      <c r="L6219">
        <v>1335.5355051091001</v>
      </c>
      <c r="M6219">
        <v>26.493054127712501</v>
      </c>
      <c r="N6219">
        <v>51.636878987401097</v>
      </c>
      <c r="O6219">
        <v>50.126193422618599</v>
      </c>
      <c r="P6219">
        <v>-0.10128609178539399</v>
      </c>
      <c r="Q6219">
        <v>0.23345469098656299</v>
      </c>
      <c r="R6219">
        <v>0.98302176542803099</v>
      </c>
      <c r="S6219" t="s">
        <v>12865</v>
      </c>
      <c r="T6219" t="s">
        <v>13290</v>
      </c>
      <c r="U6219" t="s">
        <v>13290</v>
      </c>
      <c r="V6219" t="s">
        <v>13290</v>
      </c>
      <c r="W6219" t="s">
        <v>19455</v>
      </c>
      <c r="X6219">
        <v>8</v>
      </c>
      <c r="Y6219" t="s">
        <v>25923</v>
      </c>
      <c r="Z6219" t="s">
        <v>32549</v>
      </c>
      <c r="AA6219">
        <v>0.50559357899426016</v>
      </c>
      <c r="AB6219" t="str">
        <f>HYPERLINK("Melting_Curves/meltCurve_Q9UHB7_AFF4.pdf", "Melting_Curves/meltCurve_Q9UHB7_AFF4.pdf")</f>
        <v>Melting_Curves/meltCurve_Q9UHB7_AFF4.pdf</v>
      </c>
    </row>
    <row r="6220" spans="1:28" x14ac:dyDescent="0.25">
      <c r="A6220" t="s">
        <v>6224</v>
      </c>
      <c r="B6220">
        <v>0.99252571173614901</v>
      </c>
      <c r="C6220">
        <v>0.79844431560598805</v>
      </c>
      <c r="D6220">
        <v>1.04444537407132</v>
      </c>
      <c r="E6220">
        <v>0.35719974915264302</v>
      </c>
      <c r="F6220">
        <v>0.16196582771973</v>
      </c>
      <c r="G6220">
        <v>8.9198011494037499E-2</v>
      </c>
      <c r="H6220">
        <v>6.6802081989186801E-2</v>
      </c>
      <c r="I6220">
        <v>6.88231137009164E-2</v>
      </c>
      <c r="J6220">
        <v>8.0528726847044305E-2</v>
      </c>
      <c r="K6220">
        <v>7.7826109564240395E-2</v>
      </c>
      <c r="L6220">
        <v>6736.8720710408097</v>
      </c>
      <c r="M6220">
        <v>136.70490505412599</v>
      </c>
      <c r="N6220">
        <v>49.352783026753201</v>
      </c>
      <c r="O6220">
        <v>49.269860302581598</v>
      </c>
      <c r="P6220">
        <v>-0.63063708444626998</v>
      </c>
      <c r="Q6220">
        <v>9.0847655063981805E-2</v>
      </c>
      <c r="R6220">
        <v>0.96729499287517096</v>
      </c>
      <c r="S6220" t="s">
        <v>12866</v>
      </c>
      <c r="T6220" t="s">
        <v>13290</v>
      </c>
      <c r="U6220" t="s">
        <v>13290</v>
      </c>
      <c r="V6220" t="s">
        <v>13290</v>
      </c>
      <c r="W6220" t="s">
        <v>19456</v>
      </c>
      <c r="X6220">
        <v>24</v>
      </c>
      <c r="Y6220" t="s">
        <v>25924</v>
      </c>
      <c r="Z6220" t="s">
        <v>32550</v>
      </c>
      <c r="AA6220">
        <v>0.3723539292177182</v>
      </c>
      <c r="AB6220" t="str">
        <f>HYPERLINK("Melting_Curves/meltCurve_Q9UHB9_SRP68.pdf", "Melting_Curves/meltCurve_Q9UHB9_SRP68.pdf")</f>
        <v>Melting_Curves/meltCurve_Q9UHB9_SRP68.pdf</v>
      </c>
    </row>
    <row r="6221" spans="1:28" x14ac:dyDescent="0.25">
      <c r="A6221" t="s">
        <v>6225</v>
      </c>
      <c r="B6221">
        <v>0.99252571173614901</v>
      </c>
      <c r="C6221">
        <v>0.91674279306959505</v>
      </c>
      <c r="D6221">
        <v>0.96001847131226403</v>
      </c>
      <c r="E6221">
        <v>0.79470874244023604</v>
      </c>
      <c r="F6221">
        <v>0.26768958859597802</v>
      </c>
      <c r="G6221">
        <v>0.12010115219489099</v>
      </c>
      <c r="H6221">
        <v>8.4142933427651195E-2</v>
      </c>
      <c r="I6221">
        <v>8.2804656166085094E-2</v>
      </c>
      <c r="J6221">
        <v>9.2856462399845199E-2</v>
      </c>
      <c r="K6221">
        <v>9.4003347313990904E-2</v>
      </c>
      <c r="L6221">
        <v>1878.94105534299</v>
      </c>
      <c r="M6221">
        <v>36.688102709648199</v>
      </c>
      <c r="N6221">
        <v>51.487439231650903</v>
      </c>
      <c r="O6221">
        <v>51.062462102948999</v>
      </c>
      <c r="P6221">
        <v>-0.16371917318802001</v>
      </c>
      <c r="Q6221">
        <v>8.8545987333170706E-2</v>
      </c>
      <c r="R6221">
        <v>0.99497946275743598</v>
      </c>
      <c r="S6221" t="s">
        <v>12867</v>
      </c>
      <c r="T6221" t="s">
        <v>13290</v>
      </c>
      <c r="U6221" t="s">
        <v>13290</v>
      </c>
      <c r="V6221" t="s">
        <v>13290</v>
      </c>
      <c r="W6221" t="s">
        <v>19457</v>
      </c>
      <c r="X6221">
        <v>18</v>
      </c>
      <c r="Y6221" t="s">
        <v>25925</v>
      </c>
      <c r="Z6221" t="s">
        <v>32551</v>
      </c>
      <c r="AA6221">
        <v>0.43308396221058132</v>
      </c>
      <c r="AB6221" t="str">
        <f>HYPERLINK("Melting_Curves/meltCurve_Q9UHD1_CHORDC1.pdf", "Melting_Curves/meltCurve_Q9UHD1_CHORDC1.pdf")</f>
        <v>Melting_Curves/meltCurve_Q9UHD1_CHORDC1.pdf</v>
      </c>
    </row>
    <row r="6222" spans="1:28" x14ac:dyDescent="0.25">
      <c r="A6222" t="s">
        <v>6226</v>
      </c>
      <c r="B6222">
        <v>0.99252571173614901</v>
      </c>
      <c r="C6222">
        <v>0.81672866862504401</v>
      </c>
      <c r="D6222">
        <v>0.65720702760715699</v>
      </c>
      <c r="E6222">
        <v>0.27866546333318098</v>
      </c>
      <c r="F6222">
        <v>0.19939942907941799</v>
      </c>
      <c r="G6222">
        <v>0.120516452520869</v>
      </c>
      <c r="H6222">
        <v>0.10569385037064399</v>
      </c>
      <c r="I6222">
        <v>0.13684297769843701</v>
      </c>
      <c r="J6222">
        <v>0.200100071323283</v>
      </c>
      <c r="K6222">
        <v>0.17562015521013899</v>
      </c>
      <c r="L6222">
        <v>1013.57518730787</v>
      </c>
      <c r="M6222">
        <v>21.856963688807198</v>
      </c>
      <c r="N6222">
        <v>47.0962825737735</v>
      </c>
      <c r="O6222">
        <v>45.990158968434102</v>
      </c>
      <c r="P6222">
        <v>-0.101878381149413</v>
      </c>
      <c r="Q6222">
        <v>0.142553369128576</v>
      </c>
      <c r="R6222">
        <v>0.98491784501034896</v>
      </c>
      <c r="S6222" t="s">
        <v>12868</v>
      </c>
      <c r="T6222" t="s">
        <v>13290</v>
      </c>
      <c r="U6222" t="s">
        <v>13290</v>
      </c>
      <c r="V6222" t="s">
        <v>13290</v>
      </c>
      <c r="W6222" t="s">
        <v>19458</v>
      </c>
      <c r="X6222">
        <v>2</v>
      </c>
      <c r="Y6222" t="s">
        <v>25926</v>
      </c>
      <c r="Z6222" t="s">
        <v>32552</v>
      </c>
      <c r="AA6222">
        <v>0.33528425586591798</v>
      </c>
      <c r="AB6222" t="str">
        <f>HYPERLINK("Melting_Curves/meltCurve_Q9UHD2_TBK1.pdf", "Melting_Curves/meltCurve_Q9UHD2_TBK1.pdf")</f>
        <v>Melting_Curves/meltCurve_Q9UHD2_TBK1.pdf</v>
      </c>
    </row>
    <row r="6223" spans="1:28" x14ac:dyDescent="0.25">
      <c r="A6223" t="s">
        <v>6227</v>
      </c>
      <c r="B6223">
        <v>0.99252571173614901</v>
      </c>
      <c r="C6223">
        <v>0.92645999257126399</v>
      </c>
      <c r="D6223">
        <v>1.01309292187228</v>
      </c>
      <c r="E6223">
        <v>1.0333563820787799</v>
      </c>
      <c r="F6223">
        <v>0.67270042844544797</v>
      </c>
      <c r="G6223">
        <v>0.17881121530242999</v>
      </c>
      <c r="H6223">
        <v>0.117298033934499</v>
      </c>
      <c r="I6223">
        <v>0.114409888156904</v>
      </c>
      <c r="J6223">
        <v>0.13923813039413599</v>
      </c>
      <c r="K6223">
        <v>0.14034505444907</v>
      </c>
      <c r="L6223">
        <v>3047.7709235480102</v>
      </c>
      <c r="M6223">
        <v>56.765883018757897</v>
      </c>
      <c r="N6223">
        <v>53.976619603799399</v>
      </c>
      <c r="O6223">
        <v>53.623678606618199</v>
      </c>
      <c r="P6223">
        <v>-0.23023306573484201</v>
      </c>
      <c r="Q6223">
        <v>0.13004523724895101</v>
      </c>
      <c r="R6223">
        <v>0.99507404898777796</v>
      </c>
      <c r="S6223" t="s">
        <v>12869</v>
      </c>
      <c r="T6223" t="s">
        <v>13290</v>
      </c>
      <c r="U6223" t="s">
        <v>13290</v>
      </c>
      <c r="V6223" t="s">
        <v>13290</v>
      </c>
      <c r="W6223" t="s">
        <v>19459</v>
      </c>
      <c r="X6223">
        <v>31</v>
      </c>
      <c r="Y6223" t="s">
        <v>25927</v>
      </c>
      <c r="Z6223" t="s">
        <v>32553</v>
      </c>
      <c r="AA6223">
        <v>0.52863638622770681</v>
      </c>
      <c r="AB6223" t="str">
        <f>HYPERLINK("Melting_Curves/meltCurve_Q9UHD8_SEPT9.pdf", "Melting_Curves/meltCurve_Q9UHD8_SEPT9.pdf")</f>
        <v>Melting_Curves/meltCurve_Q9UHD8_SEPT9.pdf</v>
      </c>
    </row>
    <row r="6224" spans="1:28" x14ac:dyDescent="0.25">
      <c r="A6224" t="s">
        <v>6228</v>
      </c>
      <c r="B6224">
        <v>0.99252571173614901</v>
      </c>
      <c r="C6224">
        <v>1.0959785014861601</v>
      </c>
      <c r="D6224">
        <v>0.96331215779615298</v>
      </c>
      <c r="E6224">
        <v>0.85364472251388002</v>
      </c>
      <c r="F6224">
        <v>0.86275982618432301</v>
      </c>
      <c r="G6224">
        <v>0.62443660340576201</v>
      </c>
      <c r="H6224">
        <v>0.48316961958533899</v>
      </c>
      <c r="I6224">
        <v>0.60484466439876805</v>
      </c>
      <c r="J6224">
        <v>0.69633800687455705</v>
      </c>
      <c r="K6224">
        <v>0.58869366144088298</v>
      </c>
      <c r="L6224">
        <v>1236.82209178022</v>
      </c>
      <c r="M6224">
        <v>23.364281567059901</v>
      </c>
      <c r="O6224">
        <v>52.553212557838599</v>
      </c>
      <c r="P6224">
        <v>-4.5863278496093403E-2</v>
      </c>
      <c r="Q6224">
        <v>0.58736655754839096</v>
      </c>
      <c r="R6224">
        <v>0.86720807434935399</v>
      </c>
      <c r="S6224" t="s">
        <v>12870</v>
      </c>
      <c r="T6224" t="s">
        <v>13290</v>
      </c>
      <c r="U6224" t="s">
        <v>13290</v>
      </c>
      <c r="V6224" t="s">
        <v>13290</v>
      </c>
      <c r="W6224" t="s">
        <v>19460</v>
      </c>
      <c r="X6224">
        <v>7</v>
      </c>
      <c r="Y6224" t="s">
        <v>25928</v>
      </c>
      <c r="Z6224" t="s">
        <v>32554</v>
      </c>
      <c r="AA6224">
        <v>0.76960704312372596</v>
      </c>
      <c r="AB6224" t="str">
        <f>HYPERLINK("Melting_Curves/meltCurve_Q9UHD9_UBQLN2.pdf", "Melting_Curves/meltCurve_Q9UHD9_UBQLN2.pdf")</f>
        <v>Melting_Curves/meltCurve_Q9UHD9_UBQLN2.pdf</v>
      </c>
    </row>
    <row r="6225" spans="1:28" x14ac:dyDescent="0.25">
      <c r="A6225" t="s">
        <v>6229</v>
      </c>
      <c r="B6225">
        <v>0.99252571173614901</v>
      </c>
      <c r="C6225">
        <v>0.95683585523509296</v>
      </c>
      <c r="D6225">
        <v>0.83253743526539103</v>
      </c>
      <c r="E6225">
        <v>0.85401678312015505</v>
      </c>
      <c r="F6225">
        <v>0.58272171084720803</v>
      </c>
      <c r="G6225">
        <v>0.41899571969445698</v>
      </c>
      <c r="H6225">
        <v>0.31312828248385499</v>
      </c>
      <c r="I6225">
        <v>0.37967342517834801</v>
      </c>
      <c r="J6225">
        <v>0.56556934064765596</v>
      </c>
      <c r="K6225">
        <v>0.44996912217524998</v>
      </c>
      <c r="L6225">
        <v>1155.6903746094099</v>
      </c>
      <c r="M6225">
        <v>22.703913826568701</v>
      </c>
      <c r="N6225">
        <v>55.226188792892501</v>
      </c>
      <c r="O6225">
        <v>50.512724488313999</v>
      </c>
      <c r="P6225">
        <v>-6.5684079968387807E-2</v>
      </c>
      <c r="Q6225">
        <v>0.41546350918298902</v>
      </c>
      <c r="R6225">
        <v>0.89601613255284496</v>
      </c>
      <c r="S6225" t="s">
        <v>12871</v>
      </c>
      <c r="T6225" t="s">
        <v>13290</v>
      </c>
      <c r="U6225" t="s">
        <v>13290</v>
      </c>
      <c r="V6225" t="s">
        <v>13290</v>
      </c>
      <c r="W6225" t="s">
        <v>19461</v>
      </c>
      <c r="X6225">
        <v>2</v>
      </c>
      <c r="Y6225" t="s">
        <v>25929</v>
      </c>
      <c r="Z6225" t="s">
        <v>32555</v>
      </c>
      <c r="AA6225">
        <v>0.6342668922889968</v>
      </c>
      <c r="AB6225" t="str">
        <f>HYPERLINK("Melting_Curves/meltCurve_Q9UHE8_STEAP1.pdf", "Melting_Curves/meltCurve_Q9UHE8_STEAP1.pdf")</f>
        <v>Melting_Curves/meltCurve_Q9UHE8_STEAP1.pdf</v>
      </c>
    </row>
    <row r="6226" spans="1:28" x14ac:dyDescent="0.25">
      <c r="A6226" t="s">
        <v>6230</v>
      </c>
      <c r="B6226">
        <v>0.99252571173614901</v>
      </c>
      <c r="C6226">
        <v>0.91215369086095699</v>
      </c>
      <c r="D6226">
        <v>0.83793718634849201</v>
      </c>
      <c r="E6226">
        <v>0.72556611411090199</v>
      </c>
      <c r="F6226">
        <v>0.33767479309563397</v>
      </c>
      <c r="G6226">
        <v>0.14347694336229899</v>
      </c>
      <c r="H6226">
        <v>7.4894930348606198E-2</v>
      </c>
      <c r="I6226">
        <v>7.3891244348069901E-2</v>
      </c>
      <c r="J6226">
        <v>8.6042858528236094E-2</v>
      </c>
      <c r="K6226">
        <v>0.106724748331786</v>
      </c>
      <c r="L6226">
        <v>1017.01984360354</v>
      </c>
      <c r="M6226">
        <v>19.929183874753601</v>
      </c>
      <c r="N6226">
        <v>51.384474847518298</v>
      </c>
      <c r="O6226">
        <v>50.526191269719298</v>
      </c>
      <c r="P6226">
        <v>-9.23062470027608E-2</v>
      </c>
      <c r="Q6226">
        <v>6.3939623602281906E-2</v>
      </c>
      <c r="R6226">
        <v>0.98804921271004797</v>
      </c>
      <c r="S6226" t="s">
        <v>12872</v>
      </c>
      <c r="T6226" t="s">
        <v>13290</v>
      </c>
      <c r="U6226" t="s">
        <v>13290</v>
      </c>
      <c r="V6226" t="s">
        <v>13290</v>
      </c>
      <c r="W6226" t="s">
        <v>19462</v>
      </c>
      <c r="X6226">
        <v>10</v>
      </c>
      <c r="Y6226" t="s">
        <v>25930</v>
      </c>
      <c r="Z6226" t="s">
        <v>32556</v>
      </c>
      <c r="AA6226">
        <v>0.42122975985839778</v>
      </c>
      <c r="AB6226" t="str">
        <f>HYPERLINK("Melting_Curves/meltCurve_Q9UHF7_TRPS1.pdf", "Melting_Curves/meltCurve_Q9UHF7_TRPS1.pdf")</f>
        <v>Melting_Curves/meltCurve_Q9UHF7_TRPS1.pdf</v>
      </c>
    </row>
    <row r="6227" spans="1:28" x14ac:dyDescent="0.25">
      <c r="A6227" t="s">
        <v>6231</v>
      </c>
      <c r="B6227">
        <v>0.99252571173614901</v>
      </c>
      <c r="C6227">
        <v>0.97297903281315701</v>
      </c>
      <c r="D6227">
        <v>0.92199101568893604</v>
      </c>
      <c r="E6227">
        <v>0.77056247677550704</v>
      </c>
      <c r="F6227">
        <v>0.800206232858649</v>
      </c>
      <c r="G6227">
        <v>0.68096372548877404</v>
      </c>
      <c r="H6227">
        <v>0.42673500237089101</v>
      </c>
      <c r="I6227">
        <v>0.204741834022135</v>
      </c>
      <c r="J6227">
        <v>0.186432462522131</v>
      </c>
      <c r="K6227">
        <v>0.15455184441200301</v>
      </c>
      <c r="L6227">
        <v>658.73218855858795</v>
      </c>
      <c r="M6227">
        <v>11.2033243858193</v>
      </c>
      <c r="N6227">
        <v>58.797938691889698</v>
      </c>
      <c r="O6227">
        <v>57.017893137356999</v>
      </c>
      <c r="P6227">
        <v>-4.9137395536470001E-2</v>
      </c>
      <c r="Q6227">
        <v>0</v>
      </c>
      <c r="R6227">
        <v>0.96979988668575601</v>
      </c>
      <c r="S6227" t="s">
        <v>12873</v>
      </c>
      <c r="T6227" t="s">
        <v>13290</v>
      </c>
      <c r="U6227" t="s">
        <v>13290</v>
      </c>
      <c r="V6227" t="s">
        <v>13290</v>
      </c>
      <c r="W6227" t="s">
        <v>19463</v>
      </c>
      <c r="X6227">
        <v>18</v>
      </c>
      <c r="Y6227" t="s">
        <v>25931</v>
      </c>
      <c r="Z6227" t="s">
        <v>32557</v>
      </c>
      <c r="AA6227">
        <v>0.63422045151571971</v>
      </c>
      <c r="AB6227" t="str">
        <f>HYPERLINK("Melting_Curves/meltCurve_Q9UHG3_PCYOX1.pdf", "Melting_Curves/meltCurve_Q9UHG3_PCYOX1.pdf")</f>
        <v>Melting_Curves/meltCurve_Q9UHG3_PCYOX1.pdf</v>
      </c>
    </row>
    <row r="6228" spans="1:28" x14ac:dyDescent="0.25">
      <c r="A6228" t="s">
        <v>6232</v>
      </c>
      <c r="B6228">
        <v>0.99252571173614901</v>
      </c>
      <c r="C6228">
        <v>0.85234790831748097</v>
      </c>
      <c r="D6228">
        <v>0.66853999769836803</v>
      </c>
      <c r="E6228">
        <v>0.29336721094781198</v>
      </c>
      <c r="F6228">
        <v>0.112053048964217</v>
      </c>
      <c r="G6228">
        <v>6.3671730038037402E-2</v>
      </c>
      <c r="H6228">
        <v>5.7984880131942702E-2</v>
      </c>
      <c r="I6228">
        <v>6.3905488156632898E-2</v>
      </c>
      <c r="J6228">
        <v>0.10086351037953301</v>
      </c>
      <c r="K6228">
        <v>8.6194982306472795E-2</v>
      </c>
      <c r="L6228">
        <v>1027.80097904385</v>
      </c>
      <c r="M6228">
        <v>21.860432834700699</v>
      </c>
      <c r="N6228">
        <v>47.319487977671102</v>
      </c>
      <c r="O6228">
        <v>46.6283569800393</v>
      </c>
      <c r="P6228">
        <v>-0.109553520499306</v>
      </c>
      <c r="Q6228">
        <v>6.5309681974967795E-2</v>
      </c>
      <c r="R6228">
        <v>0.99532557183399895</v>
      </c>
      <c r="S6228" t="s">
        <v>12874</v>
      </c>
      <c r="T6228" t="s">
        <v>13290</v>
      </c>
      <c r="U6228" t="s">
        <v>13290</v>
      </c>
      <c r="V6228" t="s">
        <v>13290</v>
      </c>
      <c r="W6228" t="s">
        <v>19464</v>
      </c>
      <c r="X6228">
        <v>6</v>
      </c>
      <c r="Y6228" t="s">
        <v>25932</v>
      </c>
      <c r="Z6228" t="s">
        <v>32558</v>
      </c>
      <c r="AA6228">
        <v>0.2951468752456376</v>
      </c>
      <c r="AB6228" t="str">
        <f>HYPERLINK("Melting_Curves/meltCurve_Q9UHI6_DDX20.pdf", "Melting_Curves/meltCurve_Q9UHI6_DDX20.pdf")</f>
        <v>Melting_Curves/meltCurve_Q9UHI6_DDX20.pdf</v>
      </c>
    </row>
    <row r="6229" spans="1:28" x14ac:dyDescent="0.25">
      <c r="A6229" t="s">
        <v>6233</v>
      </c>
      <c r="B6229">
        <v>0.99252571173614901</v>
      </c>
      <c r="C6229">
        <v>1.06795136128722</v>
      </c>
      <c r="D6229">
        <v>0.94486046269253399</v>
      </c>
      <c r="E6229">
        <v>0.83625593010353605</v>
      </c>
      <c r="F6229">
        <v>0.233472615789208</v>
      </c>
      <c r="G6229">
        <v>0.131487838728301</v>
      </c>
      <c r="H6229">
        <v>0.11148894314840301</v>
      </c>
      <c r="I6229">
        <v>0.193865659427576</v>
      </c>
      <c r="J6229">
        <v>0.1004599304683</v>
      </c>
      <c r="K6229">
        <v>8.2644938532707102E-2</v>
      </c>
      <c r="L6229">
        <v>2454.85107155485</v>
      </c>
      <c r="M6229">
        <v>48.045544890600098</v>
      </c>
      <c r="N6229">
        <v>51.3937872804362</v>
      </c>
      <c r="O6229">
        <v>51.0059674409178</v>
      </c>
      <c r="P6229">
        <v>-0.20673464704835401</v>
      </c>
      <c r="Q6229">
        <v>0.122108808320134</v>
      </c>
      <c r="R6229">
        <v>0.99117064997482895</v>
      </c>
      <c r="S6229" t="s">
        <v>12875</v>
      </c>
      <c r="T6229" t="s">
        <v>13290</v>
      </c>
      <c r="U6229" t="s">
        <v>13290</v>
      </c>
      <c r="V6229" t="s">
        <v>13290</v>
      </c>
      <c r="W6229" t="s">
        <v>19465</v>
      </c>
      <c r="X6229">
        <v>8</v>
      </c>
      <c r="Y6229" t="s">
        <v>25933</v>
      </c>
      <c r="Z6229" t="s">
        <v>32559</v>
      </c>
      <c r="AA6229">
        <v>0.44890400207437192</v>
      </c>
      <c r="AB6229" t="str">
        <f>HYPERLINK("Melting_Curves/meltCurve_Q9UHJ6_SHPK.pdf", "Melting_Curves/meltCurve_Q9UHJ6_SHPK.pdf")</f>
        <v>Melting_Curves/meltCurve_Q9UHJ6_SHPK.pdf</v>
      </c>
    </row>
    <row r="6230" spans="1:28" x14ac:dyDescent="0.25">
      <c r="A6230" t="s">
        <v>6234</v>
      </c>
      <c r="B6230">
        <v>0.99252571173614901</v>
      </c>
      <c r="C6230">
        <v>0.96592588822881797</v>
      </c>
      <c r="D6230">
        <v>0.94183218137630698</v>
      </c>
      <c r="E6230">
        <v>0.86725446451398602</v>
      </c>
      <c r="F6230">
        <v>0.256290090567524</v>
      </c>
      <c r="G6230">
        <v>0.14777491692849501</v>
      </c>
      <c r="H6230">
        <v>0.106697341572234</v>
      </c>
      <c r="I6230">
        <v>0.104863301614655</v>
      </c>
      <c r="J6230">
        <v>9.1215258895303505E-2</v>
      </c>
      <c r="K6230">
        <v>7.4756470693360194E-2</v>
      </c>
      <c r="L6230">
        <v>2344.9934538687098</v>
      </c>
      <c r="M6230">
        <v>45.587469036239398</v>
      </c>
      <c r="N6230">
        <v>51.696098194779303</v>
      </c>
      <c r="O6230">
        <v>51.340742515635299</v>
      </c>
      <c r="P6230">
        <v>-0.19950300141487901</v>
      </c>
      <c r="Q6230">
        <v>0.101277661707717</v>
      </c>
      <c r="R6230">
        <v>0.99610575938656398</v>
      </c>
      <c r="S6230" t="s">
        <v>12876</v>
      </c>
      <c r="T6230" t="s">
        <v>13290</v>
      </c>
      <c r="U6230" t="s">
        <v>13290</v>
      </c>
      <c r="V6230" t="s">
        <v>13290</v>
      </c>
      <c r="W6230" t="s">
        <v>19466</v>
      </c>
      <c r="X6230">
        <v>12</v>
      </c>
      <c r="Y6230" t="s">
        <v>25934</v>
      </c>
      <c r="Z6230" t="s">
        <v>32560</v>
      </c>
      <c r="AA6230">
        <v>0.44642895658436937</v>
      </c>
      <c r="AB6230" t="str">
        <f>HYPERLINK("Melting_Curves/meltCurve_Q9UHK6_AMACR.pdf", "Melting_Curves/meltCurve_Q9UHK6_AMACR.pdf")</f>
        <v>Melting_Curves/meltCurve_Q9UHK6_AMACR.pdf</v>
      </c>
    </row>
    <row r="6231" spans="1:28" x14ac:dyDescent="0.25">
      <c r="A6231" t="s">
        <v>6235</v>
      </c>
      <c r="B6231">
        <v>0.99252571173614901</v>
      </c>
      <c r="C6231">
        <v>1.0236988679677199</v>
      </c>
      <c r="D6231">
        <v>1.0210421284211899</v>
      </c>
      <c r="E6231">
        <v>1.0493906123924399</v>
      </c>
      <c r="F6231">
        <v>0.99627552472890801</v>
      </c>
      <c r="G6231">
        <v>0.83612731816678598</v>
      </c>
      <c r="H6231">
        <v>0.78319219731170198</v>
      </c>
      <c r="I6231">
        <v>0.69285375165477703</v>
      </c>
      <c r="J6231">
        <v>0.26268345397340398</v>
      </c>
      <c r="K6231">
        <v>0.19561514005466499</v>
      </c>
      <c r="L6231">
        <v>1326.3579799669401</v>
      </c>
      <c r="M6231">
        <v>20.395971627012202</v>
      </c>
      <c r="N6231">
        <v>65.030389645031903</v>
      </c>
      <c r="O6231">
        <v>64.4149172798883</v>
      </c>
      <c r="P6231">
        <v>-7.9160941112105906E-2</v>
      </c>
      <c r="Q6231">
        <v>0</v>
      </c>
      <c r="R6231">
        <v>0.95897007180979499</v>
      </c>
      <c r="S6231" t="s">
        <v>12877</v>
      </c>
      <c r="T6231" t="s">
        <v>13290</v>
      </c>
      <c r="U6231" t="s">
        <v>13290</v>
      </c>
      <c r="V6231" t="s">
        <v>13290</v>
      </c>
      <c r="W6231" t="s">
        <v>19467</v>
      </c>
      <c r="X6231">
        <v>16</v>
      </c>
      <c r="Y6231" t="s">
        <v>25935</v>
      </c>
      <c r="Z6231" t="s">
        <v>32561</v>
      </c>
      <c r="AA6231">
        <v>0.82260865459790122</v>
      </c>
      <c r="AB6231" t="str">
        <f>HYPERLINK("Melting_Curves/meltCurve_Q9UHL4_DPP7.pdf", "Melting_Curves/meltCurve_Q9UHL4_DPP7.pdf")</f>
        <v>Melting_Curves/meltCurve_Q9UHL4_DPP7.pdf</v>
      </c>
    </row>
    <row r="6232" spans="1:28" x14ac:dyDescent="0.25">
      <c r="A6232" t="s">
        <v>6236</v>
      </c>
      <c r="B6232">
        <v>0.99252571173614901</v>
      </c>
      <c r="C6232">
        <v>0.96636559003709099</v>
      </c>
      <c r="D6232">
        <v>0.93904846640428696</v>
      </c>
      <c r="E6232">
        <v>0.93712069348303095</v>
      </c>
      <c r="F6232">
        <v>1.1670194469269599</v>
      </c>
      <c r="G6232">
        <v>0.95813036729974499</v>
      </c>
      <c r="H6232">
        <v>0.882190997003516</v>
      </c>
      <c r="I6232">
        <v>1.1108426312998201</v>
      </c>
      <c r="J6232">
        <v>1.29116715405113</v>
      </c>
      <c r="K6232">
        <v>1.2899586079946599</v>
      </c>
      <c r="L6232">
        <v>15000</v>
      </c>
      <c r="M6232">
        <v>233.89166505749901</v>
      </c>
      <c r="O6232">
        <v>64.127573546723696</v>
      </c>
      <c r="P6232">
        <v>0.26494591078212198</v>
      </c>
      <c r="Q6232">
        <v>1.29056762719192</v>
      </c>
      <c r="R6232">
        <v>0.744427102215384</v>
      </c>
      <c r="S6232" t="s">
        <v>12878</v>
      </c>
      <c r="T6232" t="s">
        <v>13290</v>
      </c>
      <c r="U6232" t="s">
        <v>13290</v>
      </c>
      <c r="V6232" t="s">
        <v>13290</v>
      </c>
      <c r="W6232" t="s">
        <v>19468</v>
      </c>
      <c r="X6232">
        <v>9</v>
      </c>
      <c r="Y6232" t="s">
        <v>25936</v>
      </c>
      <c r="Z6232" t="s">
        <v>32562</v>
      </c>
      <c r="AA6232">
        <v>1.0567951894879271</v>
      </c>
      <c r="AB6232" t="str">
        <f>HYPERLINK("Melting_Curves/meltCurve_Q9UHN1_POLG2.pdf", "Melting_Curves/meltCurve_Q9UHN1_POLG2.pdf")</f>
        <v>Melting_Curves/meltCurve_Q9UHN1_POLG2.pdf</v>
      </c>
    </row>
    <row r="6233" spans="1:28" x14ac:dyDescent="0.25">
      <c r="A6233" t="s">
        <v>6237</v>
      </c>
      <c r="B6233">
        <v>0.99252571173614901</v>
      </c>
      <c r="C6233">
        <v>0.85046337224665902</v>
      </c>
      <c r="D6233">
        <v>0.936958382816929</v>
      </c>
      <c r="E6233">
        <v>0.92150626719889195</v>
      </c>
      <c r="F6233">
        <v>0.700117878172408</v>
      </c>
      <c r="G6233">
        <v>0.36606916014333302</v>
      </c>
      <c r="H6233">
        <v>0.23711132423662001</v>
      </c>
      <c r="I6233">
        <v>0.23806345019957301</v>
      </c>
      <c r="J6233">
        <v>0.33308001508566598</v>
      </c>
      <c r="K6233">
        <v>0.21600191979988001</v>
      </c>
      <c r="L6233">
        <v>1604.4815976626301</v>
      </c>
      <c r="M6233">
        <v>29.841560922173201</v>
      </c>
      <c r="N6233">
        <v>55.028162950473799</v>
      </c>
      <c r="O6233">
        <v>53.526963498974197</v>
      </c>
      <c r="P6233">
        <v>-0.10484968105462</v>
      </c>
      <c r="Q6233">
        <v>0.247727328104836</v>
      </c>
      <c r="R6233">
        <v>0.96317911104167597</v>
      </c>
      <c r="S6233" t="s">
        <v>12879</v>
      </c>
      <c r="T6233" t="s">
        <v>13290</v>
      </c>
      <c r="U6233" t="s">
        <v>13290</v>
      </c>
      <c r="V6233" t="s">
        <v>13290</v>
      </c>
      <c r="W6233" t="s">
        <v>19469</v>
      </c>
      <c r="X6233">
        <v>59</v>
      </c>
      <c r="Y6233" t="s">
        <v>25937</v>
      </c>
      <c r="Z6233" t="s">
        <v>32563</v>
      </c>
      <c r="AA6233">
        <v>0.59791579887054203</v>
      </c>
      <c r="AB6233" t="str">
        <f>HYPERLINK("Melting_Curves/meltCurve_Q9UHN6_TMEM2.pdf", "Melting_Curves/meltCurve_Q9UHN6_TMEM2.pdf")</f>
        <v>Melting_Curves/meltCurve_Q9UHN6_TMEM2.pdf</v>
      </c>
    </row>
    <row r="6234" spans="1:28" x14ac:dyDescent="0.25">
      <c r="A6234" t="s">
        <v>6238</v>
      </c>
      <c r="B6234">
        <v>0.99252571173614901</v>
      </c>
      <c r="C6234">
        <v>0.96908193819144295</v>
      </c>
      <c r="D6234">
        <v>0.91076101415289001</v>
      </c>
      <c r="E6234">
        <v>0.70868474705940299</v>
      </c>
      <c r="F6234">
        <v>0.33316766907400502</v>
      </c>
      <c r="G6234">
        <v>0.224399720921899</v>
      </c>
      <c r="H6234">
        <v>0.187723020768196</v>
      </c>
      <c r="I6234">
        <v>0.18621356387690999</v>
      </c>
      <c r="J6234">
        <v>0.246229821748181</v>
      </c>
      <c r="K6234">
        <v>0.19545397423571301</v>
      </c>
      <c r="L6234">
        <v>1407.9721701178801</v>
      </c>
      <c r="M6234">
        <v>27.938991786766401</v>
      </c>
      <c r="N6234">
        <v>51.322493933600498</v>
      </c>
      <c r="O6234">
        <v>50.138475642408899</v>
      </c>
      <c r="P6234">
        <v>-0.111685424607671</v>
      </c>
      <c r="Q6234">
        <v>0.19829781438543201</v>
      </c>
      <c r="R6234">
        <v>0.99513725187875501</v>
      </c>
      <c r="S6234" t="s">
        <v>12880</v>
      </c>
      <c r="T6234" t="s">
        <v>13290</v>
      </c>
      <c r="U6234" t="s">
        <v>13290</v>
      </c>
      <c r="V6234" t="s">
        <v>13290</v>
      </c>
      <c r="W6234" t="s">
        <v>19470</v>
      </c>
      <c r="X6234">
        <v>4</v>
      </c>
      <c r="Y6234" t="s">
        <v>25938</v>
      </c>
      <c r="Z6234" t="s">
        <v>32564</v>
      </c>
      <c r="AA6234">
        <v>0.48183423692430088</v>
      </c>
      <c r="AB6234" t="str">
        <f>HYPERLINK("Melting_Curves/meltCurve_Q9UHP3_USP25.pdf", "Melting_Curves/meltCurve_Q9UHP3_USP25.pdf")</f>
        <v>Melting_Curves/meltCurve_Q9UHP3_USP25.pdf</v>
      </c>
    </row>
    <row r="6235" spans="1:28" x14ac:dyDescent="0.25">
      <c r="A6235" t="s">
        <v>6239</v>
      </c>
      <c r="B6235">
        <v>0.99252571173614901</v>
      </c>
      <c r="C6235">
        <v>0.96467914148885003</v>
      </c>
      <c r="D6235">
        <v>1.03897862588617</v>
      </c>
      <c r="E6235">
        <v>1.1846415676549</v>
      </c>
      <c r="F6235">
        <v>0.67650487224507805</v>
      </c>
      <c r="G6235">
        <v>0.43577059384742001</v>
      </c>
      <c r="H6235">
        <v>0.46577350167349502</v>
      </c>
      <c r="I6235">
        <v>0.64212302354957496</v>
      </c>
      <c r="J6235">
        <v>1.1169990418969</v>
      </c>
      <c r="K6235">
        <v>0.67676163085496399</v>
      </c>
      <c r="L6235">
        <v>13109.586494954299</v>
      </c>
      <c r="M6235">
        <v>250</v>
      </c>
      <c r="O6235">
        <v>52.434988906842698</v>
      </c>
      <c r="P6235">
        <v>-0.39634233731377799</v>
      </c>
      <c r="Q6235">
        <v>0.66748469475384598</v>
      </c>
      <c r="R6235">
        <v>0.49812349780417498</v>
      </c>
      <c r="S6235" t="s">
        <v>12881</v>
      </c>
      <c r="T6235" t="s">
        <v>13290</v>
      </c>
      <c r="U6235" t="s">
        <v>13290</v>
      </c>
      <c r="V6235" t="s">
        <v>13290</v>
      </c>
      <c r="W6235" t="s">
        <v>19471</v>
      </c>
      <c r="X6235">
        <v>10</v>
      </c>
      <c r="Y6235" t="s">
        <v>25939</v>
      </c>
      <c r="Z6235" t="s">
        <v>32565</v>
      </c>
      <c r="AA6235">
        <v>0.80537997597352773</v>
      </c>
      <c r="AB6235" t="str">
        <f>HYPERLINK("Melting_Curves/meltCurve_Q9UHQ4_BCAP29.pdf", "Melting_Curves/meltCurve_Q9UHQ4_BCAP29.pdf")</f>
        <v>Melting_Curves/meltCurve_Q9UHQ4_BCAP29.pdf</v>
      </c>
    </row>
    <row r="6236" spans="1:28" x14ac:dyDescent="0.25">
      <c r="A6236" t="s">
        <v>6240</v>
      </c>
      <c r="B6236">
        <v>0.99252571173614901</v>
      </c>
      <c r="C6236">
        <v>0.82463553618478203</v>
      </c>
      <c r="D6236">
        <v>0.75396090637000102</v>
      </c>
      <c r="E6236">
        <v>0.56266763806807196</v>
      </c>
      <c r="F6236">
        <v>0.51640236357545499</v>
      </c>
      <c r="G6236">
        <v>0.33299422605292101</v>
      </c>
      <c r="H6236">
        <v>0.124703717750863</v>
      </c>
      <c r="I6236">
        <v>9.8057613103194899E-2</v>
      </c>
      <c r="J6236">
        <v>8.1588585767466096E-2</v>
      </c>
      <c r="K6236">
        <v>8.1179908649251301E-2</v>
      </c>
      <c r="L6236">
        <v>500.93347793835198</v>
      </c>
      <c r="M6236">
        <v>9.6961919548915692</v>
      </c>
      <c r="N6236">
        <v>51.662898776556801</v>
      </c>
      <c r="O6236">
        <v>49.609015257006497</v>
      </c>
      <c r="P6236">
        <v>-4.8889791639186997E-2</v>
      </c>
      <c r="Q6236">
        <v>0</v>
      </c>
      <c r="R6236">
        <v>0.979740923012131</v>
      </c>
      <c r="S6236" t="s">
        <v>12882</v>
      </c>
      <c r="T6236" t="s">
        <v>13290</v>
      </c>
      <c r="U6236" t="s">
        <v>13290</v>
      </c>
      <c r="V6236" t="s">
        <v>13290</v>
      </c>
      <c r="W6236" t="s">
        <v>19472</v>
      </c>
      <c r="X6236">
        <v>8</v>
      </c>
      <c r="Y6236" t="s">
        <v>25940</v>
      </c>
      <c r="Z6236" t="s">
        <v>32566</v>
      </c>
      <c r="AA6236">
        <v>0.42934021937964129</v>
      </c>
      <c r="AB6236" t="str">
        <f>HYPERLINK("Melting_Curves/meltCurve_Q9UHQ9_CYB5R1.pdf", "Melting_Curves/meltCurve_Q9UHQ9_CYB5R1.pdf")</f>
        <v>Melting_Curves/meltCurve_Q9UHQ9_CYB5R1.pdf</v>
      </c>
    </row>
    <row r="6237" spans="1:28" x14ac:dyDescent="0.25">
      <c r="A6237" t="s">
        <v>6241</v>
      </c>
      <c r="B6237">
        <v>0.99252571173614901</v>
      </c>
      <c r="C6237">
        <v>1.0016457331350701</v>
      </c>
      <c r="D6237">
        <v>0.95438579818730396</v>
      </c>
      <c r="E6237">
        <v>0.83521398327120699</v>
      </c>
      <c r="F6237">
        <v>0.60931250838489404</v>
      </c>
      <c r="G6237">
        <v>0.40127154961542599</v>
      </c>
      <c r="H6237">
        <v>0.237288625086953</v>
      </c>
      <c r="I6237">
        <v>0.18230175477428501</v>
      </c>
      <c r="J6237">
        <v>0.180776837631551</v>
      </c>
      <c r="K6237">
        <v>0.16695934553497199</v>
      </c>
      <c r="L6237">
        <v>929.99656535169197</v>
      </c>
      <c r="M6237">
        <v>17.295686748547901</v>
      </c>
      <c r="N6237">
        <v>54.860834997794697</v>
      </c>
      <c r="O6237">
        <v>53.067055923795003</v>
      </c>
      <c r="P6237">
        <v>-6.9632861480048297E-2</v>
      </c>
      <c r="Q6237">
        <v>0.14545220901471601</v>
      </c>
      <c r="R6237">
        <v>0.99935391956587705</v>
      </c>
      <c r="S6237" t="s">
        <v>12883</v>
      </c>
      <c r="T6237" t="s">
        <v>13290</v>
      </c>
      <c r="U6237" t="s">
        <v>13290</v>
      </c>
      <c r="V6237" t="s">
        <v>13290</v>
      </c>
      <c r="W6237" t="s">
        <v>19473</v>
      </c>
      <c r="X6237">
        <v>25</v>
      </c>
      <c r="Y6237" t="s">
        <v>25941</v>
      </c>
      <c r="Z6237" t="s">
        <v>32567</v>
      </c>
      <c r="AA6237">
        <v>0.55229999107939454</v>
      </c>
      <c r="AB6237" t="str">
        <f>HYPERLINK("Melting_Curves/meltCurve_Q9UHR4_BAIAP2L1.pdf", "Melting_Curves/meltCurve_Q9UHR4_BAIAP2L1.pdf")</f>
        <v>Melting_Curves/meltCurve_Q9UHR4_BAIAP2L1.pdf</v>
      </c>
    </row>
    <row r="6238" spans="1:28" x14ac:dyDescent="0.25">
      <c r="A6238" t="s">
        <v>6242</v>
      </c>
      <c r="B6238">
        <v>0.99252571173614901</v>
      </c>
      <c r="C6238">
        <v>1.1921204724644101</v>
      </c>
      <c r="D6238">
        <v>1.02979540165294</v>
      </c>
      <c r="E6238">
        <v>1.08327701521356</v>
      </c>
      <c r="F6238">
        <v>0.92337064247723899</v>
      </c>
      <c r="G6238">
        <v>0.87412242127537498</v>
      </c>
      <c r="H6238">
        <v>0.88160285430301799</v>
      </c>
      <c r="I6238">
        <v>1.06710648980772</v>
      </c>
      <c r="J6238">
        <v>1.8668887568768699</v>
      </c>
      <c r="K6238">
        <v>2.3666049369179301</v>
      </c>
      <c r="L6238">
        <v>15000</v>
      </c>
      <c r="M6238">
        <v>232.517632617804</v>
      </c>
      <c r="O6238">
        <v>64.506443454589302</v>
      </c>
      <c r="P6238">
        <v>0.45057041086472799</v>
      </c>
      <c r="Q6238">
        <v>1.5</v>
      </c>
      <c r="R6238">
        <v>0.55790649521315105</v>
      </c>
      <c r="S6238" t="s">
        <v>12884</v>
      </c>
      <c r="T6238" t="s">
        <v>13290</v>
      </c>
      <c r="U6238" t="s">
        <v>13290</v>
      </c>
      <c r="V6238" t="s">
        <v>13290</v>
      </c>
      <c r="W6238" t="s">
        <v>19474</v>
      </c>
      <c r="X6238">
        <v>1</v>
      </c>
      <c r="Y6238" t="s">
        <v>25942</v>
      </c>
      <c r="Z6238" t="s">
        <v>32568</v>
      </c>
      <c r="AA6238">
        <v>1.0914139480901841</v>
      </c>
      <c r="AB6238" t="str">
        <f>HYPERLINK("Melting_Curves/meltCurve_Q9UHV7_MED13.pdf", "Melting_Curves/meltCurve_Q9UHV7_MED13.pdf")</f>
        <v>Melting_Curves/meltCurve_Q9UHV7_MED13.pdf</v>
      </c>
    </row>
    <row r="6239" spans="1:28" x14ac:dyDescent="0.25">
      <c r="A6239" t="s">
        <v>6243</v>
      </c>
      <c r="B6239">
        <v>0.99252571173614901</v>
      </c>
      <c r="C6239">
        <v>1.0709115588132101</v>
      </c>
      <c r="D6239">
        <v>1.07188263656789</v>
      </c>
      <c r="E6239">
        <v>1.22433670835043</v>
      </c>
      <c r="F6239">
        <v>1.0296914523915599</v>
      </c>
      <c r="G6239">
        <v>0.77657251433200603</v>
      </c>
      <c r="H6239">
        <v>0.56319142897836705</v>
      </c>
      <c r="I6239">
        <v>0.51964304508699999</v>
      </c>
      <c r="J6239">
        <v>0.66394017806438099</v>
      </c>
      <c r="K6239">
        <v>0.74313057083016398</v>
      </c>
      <c r="L6239">
        <v>14178.898244223799</v>
      </c>
      <c r="M6239">
        <v>250</v>
      </c>
      <c r="O6239">
        <v>56.711968509977503</v>
      </c>
      <c r="P6239">
        <v>-0.41605385597885097</v>
      </c>
      <c r="Q6239">
        <v>0.622476302521765</v>
      </c>
      <c r="R6239">
        <v>0.82712232992931101</v>
      </c>
      <c r="S6239" t="s">
        <v>12885</v>
      </c>
      <c r="T6239" t="s">
        <v>13290</v>
      </c>
      <c r="U6239" t="s">
        <v>13290</v>
      </c>
      <c r="V6239" t="s">
        <v>13290</v>
      </c>
      <c r="W6239" t="s">
        <v>19475</v>
      </c>
      <c r="X6239">
        <v>14</v>
      </c>
      <c r="Y6239" t="s">
        <v>25943</v>
      </c>
      <c r="Z6239" t="s">
        <v>32569</v>
      </c>
      <c r="AA6239">
        <v>0.83286496154252643</v>
      </c>
      <c r="AB6239" t="str">
        <f>HYPERLINK("Melting_Curves/meltCurve_Q9UHV9_PFDN2.pdf", "Melting_Curves/meltCurve_Q9UHV9_PFDN2.pdf")</f>
        <v>Melting_Curves/meltCurve_Q9UHV9_PFDN2.pdf</v>
      </c>
    </row>
    <row r="6240" spans="1:28" x14ac:dyDescent="0.25">
      <c r="A6240" t="s">
        <v>6244</v>
      </c>
      <c r="B6240">
        <v>0.99252571173614901</v>
      </c>
      <c r="C6240">
        <v>1.08429107916506</v>
      </c>
      <c r="D6240">
        <v>1.06189634943918</v>
      </c>
      <c r="E6240">
        <v>1.25151041414967</v>
      </c>
      <c r="F6240">
        <v>1.15485381395502</v>
      </c>
      <c r="G6240">
        <v>1.0944153931071301</v>
      </c>
      <c r="H6240">
        <v>1.1039977774515899</v>
      </c>
      <c r="I6240">
        <v>1.3545855537687901</v>
      </c>
      <c r="J6240">
        <v>1.37963303312323</v>
      </c>
      <c r="K6240">
        <v>0.52375815476263798</v>
      </c>
      <c r="L6240">
        <v>15000</v>
      </c>
      <c r="M6240">
        <v>214.19008298449799</v>
      </c>
      <c r="Q6240">
        <v>0</v>
      </c>
      <c r="R6240">
        <v>0.245851016510193</v>
      </c>
      <c r="S6240" t="s">
        <v>12886</v>
      </c>
      <c r="T6240" t="s">
        <v>13290</v>
      </c>
      <c r="U6240" t="s">
        <v>13290</v>
      </c>
      <c r="V6240" t="s">
        <v>13290</v>
      </c>
      <c r="W6240" t="s">
        <v>19476</v>
      </c>
      <c r="X6240">
        <v>5</v>
      </c>
      <c r="Y6240" t="s">
        <v>25944</v>
      </c>
      <c r="Z6240" t="s">
        <v>32570</v>
      </c>
      <c r="AA6240">
        <v>0.99303653978035866</v>
      </c>
      <c r="AB6240" t="str">
        <f>HYPERLINK("Melting_Curves/meltCurve_Q9UHW5_GPN3.pdf", "Melting_Curves/meltCurve_Q9UHW5_GPN3.pdf")</f>
        <v>Melting_Curves/meltCurve_Q9UHW5_GPN3.pdf</v>
      </c>
    </row>
    <row r="6241" spans="1:28" x14ac:dyDescent="0.25">
      <c r="A6241" t="s">
        <v>6245</v>
      </c>
      <c r="B6241">
        <v>0.99252571173614901</v>
      </c>
      <c r="C6241">
        <v>0.96811994202908602</v>
      </c>
      <c r="D6241">
        <v>0.65717425016125397</v>
      </c>
      <c r="E6241">
        <v>0.43769505102170803</v>
      </c>
      <c r="F6241">
        <v>0.16381958849317799</v>
      </c>
      <c r="G6241">
        <v>8.5569941203946606E-2</v>
      </c>
      <c r="H6241">
        <v>5.9109504096582603E-2</v>
      </c>
      <c r="I6241">
        <v>5.8553951694100201E-2</v>
      </c>
      <c r="J6241">
        <v>6.69159594387288E-2</v>
      </c>
      <c r="K6241">
        <v>7.1931681857545698E-2</v>
      </c>
      <c r="L6241">
        <v>922.10009329514696</v>
      </c>
      <c r="M6241">
        <v>19.187444165147099</v>
      </c>
      <c r="N6241">
        <v>48.3427791432429</v>
      </c>
      <c r="O6241">
        <v>47.544596171911003</v>
      </c>
      <c r="P6241">
        <v>-9.5494291019207297E-2</v>
      </c>
      <c r="Q6241">
        <v>5.3534517903676998E-2</v>
      </c>
      <c r="R6241">
        <v>0.99239933039420702</v>
      </c>
      <c r="S6241" t="s">
        <v>12887</v>
      </c>
      <c r="T6241" t="s">
        <v>13290</v>
      </c>
      <c r="U6241" t="s">
        <v>13290</v>
      </c>
      <c r="V6241" t="s">
        <v>13290</v>
      </c>
      <c r="W6241" t="s">
        <v>19477</v>
      </c>
      <c r="X6241">
        <v>23</v>
      </c>
      <c r="Y6241" t="s">
        <v>25945</v>
      </c>
      <c r="Z6241" t="s">
        <v>32571</v>
      </c>
      <c r="AA6241">
        <v>0.322402535706178</v>
      </c>
      <c r="AB6241" t="str">
        <f>HYPERLINK("Melting_Curves/meltCurve_Q9UHX1_4_PUF60.pdf", "Melting_Curves/meltCurve_Q9UHX1_4_PUF60.pdf")</f>
        <v>Melting_Curves/meltCurve_Q9UHX1_4_PUF60.pdf</v>
      </c>
    </row>
    <row r="6242" spans="1:28" x14ac:dyDescent="0.25">
      <c r="A6242" t="s">
        <v>6246</v>
      </c>
      <c r="B6242">
        <v>0.99252571173614901</v>
      </c>
      <c r="C6242">
        <v>0.86953465071109703</v>
      </c>
      <c r="D6242">
        <v>1.0031346859774</v>
      </c>
      <c r="E6242">
        <v>1.08496902791017</v>
      </c>
      <c r="F6242">
        <v>0.76745854405618796</v>
      </c>
      <c r="G6242">
        <v>0.67108629973661504</v>
      </c>
      <c r="H6242">
        <v>0.57066609896790899</v>
      </c>
      <c r="I6242">
        <v>1.12839858013788</v>
      </c>
      <c r="J6242">
        <v>2.0475457375213901</v>
      </c>
      <c r="K6242">
        <v>2.2559514153680298</v>
      </c>
      <c r="L6242">
        <v>15000</v>
      </c>
      <c r="M6242">
        <v>233.31400266753599</v>
      </c>
      <c r="O6242">
        <v>64.286313268521198</v>
      </c>
      <c r="P6242">
        <v>0.45366186450351798</v>
      </c>
      <c r="Q6242">
        <v>1.5</v>
      </c>
      <c r="R6242">
        <v>0.56696563504902098</v>
      </c>
      <c r="S6242" t="s">
        <v>12888</v>
      </c>
      <c r="T6242" t="s">
        <v>13290</v>
      </c>
      <c r="U6242" t="s">
        <v>13290</v>
      </c>
      <c r="V6242" t="s">
        <v>13290</v>
      </c>
      <c r="W6242" t="s">
        <v>19478</v>
      </c>
      <c r="X6242">
        <v>5</v>
      </c>
      <c r="Y6242" t="s">
        <v>25946</v>
      </c>
      <c r="Z6242" t="s">
        <v>32572</v>
      </c>
      <c r="AA6242">
        <v>1.095084549808812</v>
      </c>
      <c r="AB6242" t="str">
        <f>HYPERLINK("Melting_Curves/meltCurve_Q9UHX3_4_EMR2.pdf", "Melting_Curves/meltCurve_Q9UHX3_4_EMR2.pdf")</f>
        <v>Melting_Curves/meltCurve_Q9UHX3_4_EMR2.pdf</v>
      </c>
    </row>
    <row r="6243" spans="1:28" x14ac:dyDescent="0.25">
      <c r="A6243" t="s">
        <v>6247</v>
      </c>
      <c r="B6243">
        <v>0.99252571173614901</v>
      </c>
      <c r="C6243">
        <v>1.0348355273331</v>
      </c>
      <c r="D6243">
        <v>0.90284595871941697</v>
      </c>
      <c r="E6243">
        <v>0.727524400669182</v>
      </c>
      <c r="F6243">
        <v>0.36915253702179801</v>
      </c>
      <c r="G6243">
        <v>0.18186788076501101</v>
      </c>
      <c r="H6243">
        <v>0.118662067599281</v>
      </c>
      <c r="I6243">
        <v>0.12368521428117001</v>
      </c>
      <c r="J6243">
        <v>0.16408274067658499</v>
      </c>
      <c r="K6243">
        <v>0.19854730182059599</v>
      </c>
      <c r="L6243">
        <v>1307.95472244088</v>
      </c>
      <c r="M6243">
        <v>25.667137289414999</v>
      </c>
      <c r="N6243">
        <v>51.640588316174401</v>
      </c>
      <c r="O6243">
        <v>50.652035963497497</v>
      </c>
      <c r="P6243">
        <v>-0.108468537526239</v>
      </c>
      <c r="Q6243">
        <v>0.14379455825540699</v>
      </c>
      <c r="R6243">
        <v>0.99270582513153105</v>
      </c>
      <c r="S6243" t="s">
        <v>12889</v>
      </c>
      <c r="T6243" t="s">
        <v>13290</v>
      </c>
      <c r="U6243" t="s">
        <v>13290</v>
      </c>
      <c r="V6243" t="s">
        <v>13290</v>
      </c>
      <c r="W6243" t="s">
        <v>19479</v>
      </c>
      <c r="X6243">
        <v>4</v>
      </c>
      <c r="Y6243" t="s">
        <v>25947</v>
      </c>
      <c r="Z6243" t="s">
        <v>32573</v>
      </c>
      <c r="AA6243">
        <v>0.46388755163000162</v>
      </c>
      <c r="AB6243" t="str">
        <f>HYPERLINK("Melting_Curves/meltCurve_Q9UHY1_NRBP1.pdf", "Melting_Curves/meltCurve_Q9UHY1_NRBP1.pdf")</f>
        <v>Melting_Curves/meltCurve_Q9UHY1_NRBP1.pdf</v>
      </c>
    </row>
    <row r="6244" spans="1:28" x14ac:dyDescent="0.25">
      <c r="A6244" t="s">
        <v>6248</v>
      </c>
      <c r="B6244">
        <v>0.99252571173614901</v>
      </c>
      <c r="C6244">
        <v>1.03561546004233</v>
      </c>
      <c r="D6244">
        <v>0.90021907806267298</v>
      </c>
      <c r="E6244">
        <v>0.39818327073958798</v>
      </c>
      <c r="F6244">
        <v>0.147946887344686</v>
      </c>
      <c r="G6244">
        <v>8.8662379721011597E-2</v>
      </c>
      <c r="H6244">
        <v>5.3269338221000599E-2</v>
      </c>
      <c r="I6244">
        <v>5.3331110499824003E-2</v>
      </c>
      <c r="J6244">
        <v>5.8582927472545801E-2</v>
      </c>
      <c r="K6244">
        <v>5.8733214121606897E-2</v>
      </c>
      <c r="L6244">
        <v>1638.9620312643201</v>
      </c>
      <c r="M6244">
        <v>33.5780889645049</v>
      </c>
      <c r="N6244">
        <v>49.012229896128801</v>
      </c>
      <c r="O6244">
        <v>48.638337653697697</v>
      </c>
      <c r="P6244">
        <v>-0.16145044969474101</v>
      </c>
      <c r="Q6244">
        <v>6.4551299298662698E-2</v>
      </c>
      <c r="R6244">
        <v>0.99776966628652497</v>
      </c>
      <c r="S6244" t="s">
        <v>12890</v>
      </c>
      <c r="T6244" t="s">
        <v>13290</v>
      </c>
      <c r="U6244" t="s">
        <v>13290</v>
      </c>
      <c r="V6244" t="s">
        <v>13290</v>
      </c>
      <c r="W6244" t="s">
        <v>19480</v>
      </c>
      <c r="X6244">
        <v>12</v>
      </c>
      <c r="Y6244" t="s">
        <v>25948</v>
      </c>
      <c r="Z6244" t="s">
        <v>32574</v>
      </c>
      <c r="AA6244">
        <v>0.34378667052454048</v>
      </c>
      <c r="AB6244" t="str">
        <f>HYPERLINK("Melting_Curves/meltCurve_Q9UHY7_ENOPH1.pdf", "Melting_Curves/meltCurve_Q9UHY7_ENOPH1.pdf")</f>
        <v>Melting_Curves/meltCurve_Q9UHY7_ENOPH1.pdf</v>
      </c>
    </row>
    <row r="6245" spans="1:28" x14ac:dyDescent="0.25">
      <c r="A6245" t="s">
        <v>6249</v>
      </c>
      <c r="B6245">
        <v>0.99252571173614901</v>
      </c>
      <c r="C6245">
        <v>0.93292749776542205</v>
      </c>
      <c r="D6245">
        <v>0.831917158516702</v>
      </c>
      <c r="E6245">
        <v>0.446750607619331</v>
      </c>
      <c r="F6245">
        <v>0.184385347033237</v>
      </c>
      <c r="G6245">
        <v>0.115435710900922</v>
      </c>
      <c r="H6245">
        <v>8.2284492612238205E-2</v>
      </c>
      <c r="I6245">
        <v>8.6525922513286502E-2</v>
      </c>
      <c r="J6245">
        <v>0.10112163667165</v>
      </c>
      <c r="K6245">
        <v>9.5751412431655303E-2</v>
      </c>
      <c r="L6245">
        <v>1176.9716241251999</v>
      </c>
      <c r="M6245">
        <v>24.169404281693801</v>
      </c>
      <c r="N6245">
        <v>49.0864279999671</v>
      </c>
      <c r="O6245">
        <v>48.367048746930898</v>
      </c>
      <c r="P6245">
        <v>-0.114023622224421</v>
      </c>
      <c r="Q6245">
        <v>8.7291821565400302E-2</v>
      </c>
      <c r="R6245">
        <v>0.99873962960608897</v>
      </c>
      <c r="S6245" t="s">
        <v>12891</v>
      </c>
      <c r="T6245" t="s">
        <v>13290</v>
      </c>
      <c r="U6245" t="s">
        <v>13290</v>
      </c>
      <c r="V6245" t="s">
        <v>13290</v>
      </c>
      <c r="W6245" t="s">
        <v>19481</v>
      </c>
      <c r="X6245">
        <v>2</v>
      </c>
      <c r="Y6245" t="s">
        <v>25949</v>
      </c>
      <c r="Z6245" t="s">
        <v>32575</v>
      </c>
      <c r="AA6245">
        <v>0.36054056236888171</v>
      </c>
      <c r="AB6245" t="str">
        <f>HYPERLINK("Melting_Curves/meltCurve_Q9UI09_NDUFA12.pdf", "Melting_Curves/meltCurve_Q9UI09_NDUFA12.pdf")</f>
        <v>Melting_Curves/meltCurve_Q9UI09_NDUFA12.pdf</v>
      </c>
    </row>
    <row r="6246" spans="1:28" x14ac:dyDescent="0.25">
      <c r="A6246" t="s">
        <v>6250</v>
      </c>
      <c r="B6246">
        <v>0.99252571173614901</v>
      </c>
      <c r="C6246">
        <v>0.84226009104033694</v>
      </c>
      <c r="D6246">
        <v>0.86395298966854595</v>
      </c>
      <c r="E6246">
        <v>0.829227265457397</v>
      </c>
      <c r="F6246">
        <v>0.42383536475641898</v>
      </c>
      <c r="G6246">
        <v>0.21661572948914901</v>
      </c>
      <c r="H6246">
        <v>0.13055819233904201</v>
      </c>
      <c r="I6246">
        <v>0.10764426356968</v>
      </c>
      <c r="J6246">
        <v>9.8773505189166499E-2</v>
      </c>
      <c r="K6246">
        <v>0.10235681916384699</v>
      </c>
      <c r="L6246">
        <v>1029.67488232095</v>
      </c>
      <c r="M6246">
        <v>19.763658223526999</v>
      </c>
      <c r="N6246">
        <v>52.584773093353</v>
      </c>
      <c r="O6246">
        <v>51.574809076519998</v>
      </c>
      <c r="P6246">
        <v>-8.7816564708284597E-2</v>
      </c>
      <c r="Q6246">
        <v>8.3374546641474895E-2</v>
      </c>
      <c r="R6246">
        <v>0.97392819963634703</v>
      </c>
      <c r="S6246" t="s">
        <v>12892</v>
      </c>
      <c r="T6246" t="s">
        <v>13290</v>
      </c>
      <c r="U6246" t="s">
        <v>13290</v>
      </c>
      <c r="V6246" t="s">
        <v>13290</v>
      </c>
      <c r="W6246" t="s">
        <v>19482</v>
      </c>
      <c r="X6246">
        <v>13</v>
      </c>
      <c r="Y6246" t="s">
        <v>25950</v>
      </c>
      <c r="Z6246" t="s">
        <v>32576</v>
      </c>
      <c r="AA6246">
        <v>0.46601257228278292</v>
      </c>
      <c r="AB6246" t="str">
        <f>HYPERLINK("Melting_Curves/meltCurve_Q9UI10_EIF2B4.pdf", "Melting_Curves/meltCurve_Q9UI10_EIF2B4.pdf")</f>
        <v>Melting_Curves/meltCurve_Q9UI10_EIF2B4.pdf</v>
      </c>
    </row>
    <row r="6247" spans="1:28" x14ac:dyDescent="0.25">
      <c r="A6247" t="s">
        <v>6251</v>
      </c>
      <c r="B6247">
        <v>0.99252571173614901</v>
      </c>
      <c r="C6247">
        <v>0.96621979092514798</v>
      </c>
      <c r="D6247">
        <v>0.86934303014663505</v>
      </c>
      <c r="E6247">
        <v>0.70037993156078604</v>
      </c>
      <c r="F6247">
        <v>0.46214964963400101</v>
      </c>
      <c r="G6247">
        <v>0.19367121727799</v>
      </c>
      <c r="H6247">
        <v>8.3593340675656103E-2</v>
      </c>
      <c r="I6247">
        <v>7.0819915828687005E-2</v>
      </c>
      <c r="J6247">
        <v>8.3583094900917101E-2</v>
      </c>
      <c r="K6247">
        <v>8.8606802608270405E-2</v>
      </c>
      <c r="L6247">
        <v>883.440971920886</v>
      </c>
      <c r="M6247">
        <v>17.0376733968106</v>
      </c>
      <c r="N6247">
        <v>52.153392283596602</v>
      </c>
      <c r="O6247">
        <v>51.153683464125301</v>
      </c>
      <c r="P6247">
        <v>-7.9370607704467799E-2</v>
      </c>
      <c r="Q6247">
        <v>4.68533052826796E-2</v>
      </c>
      <c r="R6247">
        <v>0.99560278959423798</v>
      </c>
      <c r="S6247" t="s">
        <v>12893</v>
      </c>
      <c r="T6247" t="s">
        <v>13290</v>
      </c>
      <c r="U6247" t="s">
        <v>13290</v>
      </c>
      <c r="V6247" t="s">
        <v>13290</v>
      </c>
      <c r="W6247" t="s">
        <v>19483</v>
      </c>
      <c r="X6247">
        <v>12</v>
      </c>
      <c r="Y6247" t="s">
        <v>25951</v>
      </c>
      <c r="Z6247" t="s">
        <v>32577</v>
      </c>
      <c r="AA6247">
        <v>0.4408618614701551</v>
      </c>
      <c r="AB6247" t="str">
        <f>HYPERLINK("Melting_Curves/meltCurve_Q9UI12_2_ATP6V1H.pdf", "Melting_Curves/meltCurve_Q9UI12_2_ATP6V1H.pdf")</f>
        <v>Melting_Curves/meltCurve_Q9UI12_2_ATP6V1H.pdf</v>
      </c>
    </row>
    <row r="6248" spans="1:28" x14ac:dyDescent="0.25">
      <c r="A6248" t="s">
        <v>6252</v>
      </c>
      <c r="B6248">
        <v>0.99252571173614901</v>
      </c>
      <c r="C6248">
        <v>0.92307750270058797</v>
      </c>
      <c r="D6248">
        <v>0.87007810390967499</v>
      </c>
      <c r="E6248">
        <v>0.57632141962724404</v>
      </c>
      <c r="F6248">
        <v>0.228112834656404</v>
      </c>
      <c r="G6248">
        <v>0.12195599150521</v>
      </c>
      <c r="H6248">
        <v>8.2401412582041297E-2</v>
      </c>
      <c r="I6248">
        <v>8.9778195456879303E-2</v>
      </c>
      <c r="J6248">
        <v>9.8386149744244505E-2</v>
      </c>
      <c r="K6248">
        <v>9.5515784470776494E-2</v>
      </c>
      <c r="L6248">
        <v>1148.68539189949</v>
      </c>
      <c r="M6248">
        <v>23.103613789434601</v>
      </c>
      <c r="N6248">
        <v>50.107571360923501</v>
      </c>
      <c r="O6248">
        <v>49.350868477630499</v>
      </c>
      <c r="P6248">
        <v>-0.107437623216289</v>
      </c>
      <c r="Q6248">
        <v>8.2041011170435704E-2</v>
      </c>
      <c r="R6248">
        <v>0.99669435781266802</v>
      </c>
      <c r="S6248" t="s">
        <v>12894</v>
      </c>
      <c r="T6248" t="s">
        <v>13290</v>
      </c>
      <c r="U6248" t="s">
        <v>13290</v>
      </c>
      <c r="V6248" t="s">
        <v>13290</v>
      </c>
      <c r="W6248" t="s">
        <v>19484</v>
      </c>
      <c r="X6248">
        <v>12</v>
      </c>
      <c r="Y6248" t="s">
        <v>25952</v>
      </c>
      <c r="Z6248" t="s">
        <v>32578</v>
      </c>
      <c r="AA6248">
        <v>0.3890194039360258</v>
      </c>
      <c r="AB6248" t="str">
        <f>HYPERLINK("Melting_Curves/meltCurve_Q9UI15_TAGLN3.pdf", "Melting_Curves/meltCurve_Q9UI15_TAGLN3.pdf")</f>
        <v>Melting_Curves/meltCurve_Q9UI15_TAGLN3.pdf</v>
      </c>
    </row>
    <row r="6249" spans="1:28" x14ac:dyDescent="0.25">
      <c r="A6249" t="s">
        <v>6253</v>
      </c>
      <c r="B6249">
        <v>0.99252571173614901</v>
      </c>
      <c r="C6249">
        <v>0.978841816783249</v>
      </c>
      <c r="D6249">
        <v>0.88391858477815499</v>
      </c>
      <c r="E6249">
        <v>0.77003075624676198</v>
      </c>
      <c r="F6249">
        <v>0.389920666303958</v>
      </c>
      <c r="G6249">
        <v>0.26165211944192901</v>
      </c>
      <c r="H6249">
        <v>0.22862453558904799</v>
      </c>
      <c r="I6249">
        <v>0.28012008236064401</v>
      </c>
      <c r="J6249">
        <v>0.245394614747422</v>
      </c>
      <c r="K6249">
        <v>0.25282005978258498</v>
      </c>
      <c r="L6249">
        <v>1398.0727663769401</v>
      </c>
      <c r="M6249">
        <v>27.5660516884416</v>
      </c>
      <c r="N6249">
        <v>51.972210826421403</v>
      </c>
      <c r="O6249">
        <v>50.452542125675699</v>
      </c>
      <c r="P6249">
        <v>-0.103397864221942</v>
      </c>
      <c r="Q6249">
        <v>0.243034537683853</v>
      </c>
      <c r="R6249">
        <v>0.99062762245008595</v>
      </c>
      <c r="S6249" t="s">
        <v>12895</v>
      </c>
      <c r="T6249" t="s">
        <v>13290</v>
      </c>
      <c r="U6249" t="s">
        <v>13290</v>
      </c>
      <c r="V6249" t="s">
        <v>13290</v>
      </c>
      <c r="W6249" t="s">
        <v>19485</v>
      </c>
      <c r="X6249">
        <v>7</v>
      </c>
      <c r="Y6249" t="s">
        <v>25953</v>
      </c>
      <c r="Z6249" t="s">
        <v>32579</v>
      </c>
      <c r="AA6249">
        <v>0.51906542788749543</v>
      </c>
      <c r="AB6249" t="str">
        <f>HYPERLINK("Melting_Curves/meltCurve_Q9UI26_IPO11.pdf", "Melting_Curves/meltCurve_Q9UI26_IPO11.pdf")</f>
        <v>Melting_Curves/meltCurve_Q9UI26_IPO11.pdf</v>
      </c>
    </row>
    <row r="6250" spans="1:28" x14ac:dyDescent="0.25">
      <c r="A6250" t="s">
        <v>6254</v>
      </c>
      <c r="B6250">
        <v>0.99252571173614901</v>
      </c>
      <c r="C6250">
        <v>1.03220014839259</v>
      </c>
      <c r="D6250">
        <v>0.92179498233291102</v>
      </c>
      <c r="E6250">
        <v>0.78910752750844104</v>
      </c>
      <c r="F6250">
        <v>0.64428842072700299</v>
      </c>
      <c r="G6250">
        <v>0.39372966785199998</v>
      </c>
      <c r="H6250">
        <v>0.28178579526766401</v>
      </c>
      <c r="I6250">
        <v>0.29129866868333598</v>
      </c>
      <c r="J6250">
        <v>0.36494491426680697</v>
      </c>
      <c r="K6250">
        <v>0.32279736352440103</v>
      </c>
      <c r="L6250">
        <v>1021.54463381253</v>
      </c>
      <c r="M6250">
        <v>19.5509423280158</v>
      </c>
      <c r="N6250">
        <v>54.789673956592303</v>
      </c>
      <c r="O6250">
        <v>51.712993018350602</v>
      </c>
      <c r="P6250">
        <v>-6.6357619392422199E-2</v>
      </c>
      <c r="Q6250">
        <v>0.29795149724970799</v>
      </c>
      <c r="R6250">
        <v>0.98217678092305305</v>
      </c>
      <c r="S6250" t="s">
        <v>12896</v>
      </c>
      <c r="T6250" t="s">
        <v>13290</v>
      </c>
      <c r="U6250" t="s">
        <v>13290</v>
      </c>
      <c r="V6250" t="s">
        <v>13290</v>
      </c>
      <c r="W6250" t="s">
        <v>19486</v>
      </c>
      <c r="X6250">
        <v>6</v>
      </c>
      <c r="Y6250" t="s">
        <v>25954</v>
      </c>
      <c r="Z6250" t="s">
        <v>32580</v>
      </c>
      <c r="AA6250">
        <v>0.59473129377024736</v>
      </c>
      <c r="AB6250" t="str">
        <f>HYPERLINK("Melting_Curves/meltCurve_Q9UI30_TRMT112.pdf", "Melting_Curves/meltCurve_Q9UI30_TRMT112.pdf")</f>
        <v>Melting_Curves/meltCurve_Q9UI30_TRMT112.pdf</v>
      </c>
    </row>
    <row r="6251" spans="1:28" x14ac:dyDescent="0.25">
      <c r="A6251" t="s">
        <v>6255</v>
      </c>
      <c r="B6251">
        <v>0.99252571173614901</v>
      </c>
      <c r="C6251">
        <v>0.90279107302460404</v>
      </c>
      <c r="D6251">
        <v>0.85948815949190305</v>
      </c>
      <c r="E6251">
        <v>0.45708240099476399</v>
      </c>
      <c r="F6251">
        <v>0.16333126285510599</v>
      </c>
      <c r="G6251">
        <v>9.7587320557460694E-2</v>
      </c>
      <c r="H6251">
        <v>7.6979416031384099E-2</v>
      </c>
      <c r="I6251">
        <v>7.7957812356263506E-2</v>
      </c>
      <c r="J6251">
        <v>9.1370480439972201E-2</v>
      </c>
      <c r="K6251">
        <v>0.100098860777625</v>
      </c>
      <c r="L6251">
        <v>1257.9893506600099</v>
      </c>
      <c r="M6251">
        <v>25.757324956331399</v>
      </c>
      <c r="N6251">
        <v>49.1738225825925</v>
      </c>
      <c r="O6251">
        <v>48.548539106526398</v>
      </c>
      <c r="P6251">
        <v>-0.12200133671280899</v>
      </c>
      <c r="Q6251">
        <v>8.0197373879700995E-2</v>
      </c>
      <c r="R6251">
        <v>0.99530349289103703</v>
      </c>
      <c r="S6251" t="s">
        <v>12897</v>
      </c>
      <c r="T6251" t="s">
        <v>13290</v>
      </c>
      <c r="U6251" t="s">
        <v>13290</v>
      </c>
      <c r="V6251" t="s">
        <v>13290</v>
      </c>
      <c r="W6251" t="s">
        <v>19487</v>
      </c>
      <c r="X6251">
        <v>4</v>
      </c>
      <c r="Y6251" t="s">
        <v>25955</v>
      </c>
      <c r="Z6251" t="s">
        <v>32581</v>
      </c>
      <c r="AA6251">
        <v>0.35888988350515583</v>
      </c>
      <c r="AB6251" t="str">
        <f>HYPERLINK("Melting_Curves/meltCurve_Q9UI32_GLS2.pdf", "Melting_Curves/meltCurve_Q9UI32_GLS2.pdf")</f>
        <v>Melting_Curves/meltCurve_Q9UI32_GLS2.pdf</v>
      </c>
    </row>
    <row r="6252" spans="1:28" x14ac:dyDescent="0.25">
      <c r="A6252" t="s">
        <v>6256</v>
      </c>
      <c r="B6252">
        <v>0.99252571173614901</v>
      </c>
      <c r="C6252">
        <v>0.82899291182928903</v>
      </c>
      <c r="D6252">
        <v>0.46735845875679299</v>
      </c>
      <c r="E6252">
        <v>0.29137545942022702</v>
      </c>
      <c r="F6252">
        <v>0.15813872223910999</v>
      </c>
      <c r="G6252">
        <v>0.10378297844781199</v>
      </c>
      <c r="H6252">
        <v>0.103486498458674</v>
      </c>
      <c r="I6252">
        <v>9.2545671726428996E-2</v>
      </c>
      <c r="J6252">
        <v>0.129975497509903</v>
      </c>
      <c r="K6252">
        <v>0.131388922115279</v>
      </c>
      <c r="L6252">
        <v>990.85288014316995</v>
      </c>
      <c r="M6252">
        <v>21.767445509993401</v>
      </c>
      <c r="N6252">
        <v>46.072825028567401</v>
      </c>
      <c r="O6252">
        <v>45.140985713177898</v>
      </c>
      <c r="P6252">
        <v>-0.10669854291342599</v>
      </c>
      <c r="Q6252">
        <v>0.11494159662147101</v>
      </c>
      <c r="R6252">
        <v>0.99252125105377398</v>
      </c>
      <c r="S6252" t="s">
        <v>12898</v>
      </c>
      <c r="T6252" t="s">
        <v>13290</v>
      </c>
      <c r="U6252" t="s">
        <v>13290</v>
      </c>
      <c r="V6252" t="s">
        <v>13290</v>
      </c>
      <c r="W6252" t="s">
        <v>19488</v>
      </c>
      <c r="X6252">
        <v>6</v>
      </c>
      <c r="Y6252" t="s">
        <v>25956</v>
      </c>
      <c r="Z6252" t="s">
        <v>32582</v>
      </c>
      <c r="AA6252">
        <v>0.2894593732741218</v>
      </c>
      <c r="AB6252" t="str">
        <f>HYPERLINK("Melting_Curves/meltCurve_Q9UI36_2_DACH1.pdf", "Melting_Curves/meltCurve_Q9UI36_2_DACH1.pdf")</f>
        <v>Melting_Curves/meltCurve_Q9UI36_2_DACH1.pdf</v>
      </c>
    </row>
    <row r="6253" spans="1:28" x14ac:dyDescent="0.25">
      <c r="A6253" t="s">
        <v>6257</v>
      </c>
      <c r="B6253">
        <v>0.99252571173614901</v>
      </c>
      <c r="C6253">
        <v>1.1057130338533201</v>
      </c>
      <c r="D6253">
        <v>0.85100015851194399</v>
      </c>
      <c r="E6253">
        <v>0.45764480734996899</v>
      </c>
      <c r="F6253">
        <v>0.23103416673216101</v>
      </c>
      <c r="G6253">
        <v>0.14983808002239299</v>
      </c>
      <c r="H6253">
        <v>0.129064907729249</v>
      </c>
      <c r="I6253">
        <v>0.13461383617244499</v>
      </c>
      <c r="J6253">
        <v>9.7051796763826803E-2</v>
      </c>
      <c r="K6253">
        <v>8.2772024658297694E-2</v>
      </c>
      <c r="L6253">
        <v>1357.6656374419999</v>
      </c>
      <c r="M6253">
        <v>27.7765979148989</v>
      </c>
      <c r="N6253">
        <v>49.354788477247702</v>
      </c>
      <c r="O6253">
        <v>48.6268141397262</v>
      </c>
      <c r="P6253">
        <v>-0.126002821793051</v>
      </c>
      <c r="Q6253">
        <v>0.11766587958512301</v>
      </c>
      <c r="R6253">
        <v>0.98723051782699001</v>
      </c>
      <c r="S6253" t="s">
        <v>12899</v>
      </c>
      <c r="T6253" t="s">
        <v>13290</v>
      </c>
      <c r="U6253" t="s">
        <v>13290</v>
      </c>
      <c r="V6253" t="s">
        <v>13290</v>
      </c>
      <c r="W6253" t="s">
        <v>19489</v>
      </c>
      <c r="X6253">
        <v>4</v>
      </c>
      <c r="Y6253" t="s">
        <v>25957</v>
      </c>
      <c r="Z6253" t="s">
        <v>32583</v>
      </c>
      <c r="AA6253">
        <v>0.38506498981045811</v>
      </c>
      <c r="AB6253" t="str">
        <f>HYPERLINK("Melting_Curves/meltCurve_Q9UI43_FTSJ2.pdf", "Melting_Curves/meltCurve_Q9UI43_FTSJ2.pdf")</f>
        <v>Melting_Curves/meltCurve_Q9UI43_FTSJ2.pdf</v>
      </c>
    </row>
    <row r="6254" spans="1:28" x14ac:dyDescent="0.25">
      <c r="A6254" t="s">
        <v>6258</v>
      </c>
      <c r="B6254">
        <v>0.99252571173614901</v>
      </c>
      <c r="C6254">
        <v>1.1107555720901801</v>
      </c>
      <c r="D6254">
        <v>0.54403160740119805</v>
      </c>
      <c r="E6254">
        <v>0.716201494944534</v>
      </c>
      <c r="F6254">
        <v>0.13604683682010801</v>
      </c>
      <c r="G6254">
        <v>7.2576921843268999E-2</v>
      </c>
      <c r="H6254">
        <v>4.6199766737727702E-2</v>
      </c>
      <c r="I6254">
        <v>4.6843512365546201E-2</v>
      </c>
      <c r="J6254">
        <v>5.0215220354446102E-2</v>
      </c>
      <c r="K6254">
        <v>4.7448963036793503E-2</v>
      </c>
      <c r="L6254">
        <v>865.34091431655304</v>
      </c>
      <c r="M6254">
        <v>17.469650128182899</v>
      </c>
      <c r="N6254">
        <v>49.630943792935298</v>
      </c>
      <c r="O6254">
        <v>48.898557097148299</v>
      </c>
      <c r="P6254">
        <v>-8.7821820898122196E-2</v>
      </c>
      <c r="Q6254">
        <v>1.6781012965706998E-2</v>
      </c>
      <c r="R6254">
        <v>0.90663467346285198</v>
      </c>
      <c r="S6254" t="s">
        <v>12900</v>
      </c>
      <c r="T6254" t="s">
        <v>13290</v>
      </c>
      <c r="U6254" t="s">
        <v>13290</v>
      </c>
      <c r="V6254" t="s">
        <v>13290</v>
      </c>
      <c r="W6254" t="s">
        <v>19490</v>
      </c>
      <c r="X6254">
        <v>14</v>
      </c>
      <c r="Y6254" t="s">
        <v>25958</v>
      </c>
      <c r="Z6254" t="s">
        <v>32584</v>
      </c>
      <c r="AA6254">
        <v>0.34712957631238373</v>
      </c>
      <c r="AB6254" t="str">
        <f>HYPERLINK("Melting_Curves/meltCurve_Q9UIC8_LCMT1.pdf", "Melting_Curves/meltCurve_Q9UIC8_LCMT1.pdf")</f>
        <v>Melting_Curves/meltCurve_Q9UIC8_LCMT1.pdf</v>
      </c>
    </row>
    <row r="6255" spans="1:28" x14ac:dyDescent="0.25">
      <c r="A6255" t="s">
        <v>6259</v>
      </c>
      <c r="B6255">
        <v>0.99252571173614901</v>
      </c>
      <c r="C6255">
        <v>0.79149211603653002</v>
      </c>
      <c r="D6255">
        <v>0.81338642292057395</v>
      </c>
      <c r="E6255">
        <v>0.39105296122611899</v>
      </c>
      <c r="F6255">
        <v>0.12596309021959801</v>
      </c>
      <c r="G6255">
        <v>7.2486187410012295E-2</v>
      </c>
      <c r="H6255">
        <v>5.6885815432668102E-2</v>
      </c>
      <c r="I6255">
        <v>6.2283486366517898E-2</v>
      </c>
      <c r="J6255">
        <v>9.9832505806178404E-2</v>
      </c>
      <c r="K6255">
        <v>8.2446293379241503E-2</v>
      </c>
      <c r="L6255">
        <v>1029.15665028544</v>
      </c>
      <c r="M6255">
        <v>21.376479319154601</v>
      </c>
      <c r="N6255">
        <v>48.428726929614399</v>
      </c>
      <c r="O6255">
        <v>47.728956883083498</v>
      </c>
      <c r="P6255">
        <v>-0.10536684987363</v>
      </c>
      <c r="Q6255">
        <v>5.89799189419263E-2</v>
      </c>
      <c r="R6255">
        <v>0.97628944417690799</v>
      </c>
      <c r="S6255" t="s">
        <v>12901</v>
      </c>
      <c r="T6255" t="s">
        <v>13290</v>
      </c>
      <c r="U6255" t="s">
        <v>13290</v>
      </c>
      <c r="V6255" t="s">
        <v>13290</v>
      </c>
      <c r="W6255" t="s">
        <v>19491</v>
      </c>
      <c r="X6255">
        <v>8</v>
      </c>
      <c r="Y6255" t="s">
        <v>25959</v>
      </c>
      <c r="Z6255" t="s">
        <v>32585</v>
      </c>
      <c r="AA6255">
        <v>0.32603216241431821</v>
      </c>
      <c r="AB6255" t="str">
        <f>HYPERLINK("Melting_Curves/meltCurve_Q9UID3_VPS51.pdf", "Melting_Curves/meltCurve_Q9UID3_VPS51.pdf")</f>
        <v>Melting_Curves/meltCurve_Q9UID3_VPS51.pdf</v>
      </c>
    </row>
    <row r="6256" spans="1:28" x14ac:dyDescent="0.25">
      <c r="A6256" t="s">
        <v>6260</v>
      </c>
      <c r="B6256">
        <v>0.99252571173614901</v>
      </c>
      <c r="C6256">
        <v>1.20308898378979</v>
      </c>
      <c r="D6256">
        <v>1.09008787888322</v>
      </c>
      <c r="E6256">
        <v>1.4424037468536901</v>
      </c>
      <c r="F6256">
        <v>0.95828783968859699</v>
      </c>
      <c r="G6256">
        <v>0.87626801294611401</v>
      </c>
      <c r="H6256">
        <v>0.97525472608260599</v>
      </c>
      <c r="I6256">
        <v>1.6179546255922099</v>
      </c>
      <c r="J6256">
        <v>2.3000478202304802</v>
      </c>
      <c r="K6256">
        <v>2.4352814052068199</v>
      </c>
      <c r="L6256">
        <v>15000</v>
      </c>
      <c r="M6256">
        <v>241.28677454306199</v>
      </c>
      <c r="O6256">
        <v>62.162418811351998</v>
      </c>
      <c r="P6256">
        <v>0.48519422898161901</v>
      </c>
      <c r="Q6256">
        <v>1.5</v>
      </c>
      <c r="R6256">
        <v>0.37800389841284499</v>
      </c>
      <c r="S6256" t="s">
        <v>12902</v>
      </c>
      <c r="T6256" t="s">
        <v>13290</v>
      </c>
      <c r="U6256" t="s">
        <v>13290</v>
      </c>
      <c r="V6256" t="s">
        <v>13290</v>
      </c>
      <c r="W6256" t="s">
        <v>19492</v>
      </c>
      <c r="X6256">
        <v>14</v>
      </c>
      <c r="Y6256" t="s">
        <v>25960</v>
      </c>
      <c r="Z6256" t="s">
        <v>32586</v>
      </c>
      <c r="AA6256">
        <v>1.1304966118533151</v>
      </c>
      <c r="AB6256" t="str">
        <f>HYPERLINK("Melting_Curves/meltCurve_Q9UII2_ATPIF1.pdf", "Melting_Curves/meltCurve_Q9UII2_ATPIF1.pdf")</f>
        <v>Melting_Curves/meltCurve_Q9UII2_ATPIF1.pdf</v>
      </c>
    </row>
    <row r="6257" spans="1:28" x14ac:dyDescent="0.25">
      <c r="A6257" t="s">
        <v>6261</v>
      </c>
      <c r="B6257">
        <v>0.99252571173614901</v>
      </c>
      <c r="C6257">
        <v>1.1085122668827301</v>
      </c>
      <c r="D6257">
        <v>1.0239125463287999</v>
      </c>
      <c r="E6257">
        <v>0.90411406422558405</v>
      </c>
      <c r="F6257">
        <v>0.73598101350493295</v>
      </c>
      <c r="G6257">
        <v>0.44900990805847402</v>
      </c>
      <c r="H6257">
        <v>0.12131124445479199</v>
      </c>
      <c r="I6257">
        <v>8.9818222686648005E-2</v>
      </c>
      <c r="J6257">
        <v>8.8705748179062696E-2</v>
      </c>
      <c r="K6257">
        <v>8.2045707857674705E-2</v>
      </c>
      <c r="L6257">
        <v>1259.3465959186401</v>
      </c>
      <c r="M6257">
        <v>22.6743717383868</v>
      </c>
      <c r="N6257">
        <v>55.825393355392301</v>
      </c>
      <c r="O6257">
        <v>55.113946131343802</v>
      </c>
      <c r="P6257">
        <v>-9.7235353792709298E-2</v>
      </c>
      <c r="Q6257">
        <v>5.4630163751783402E-2</v>
      </c>
      <c r="R6257">
        <v>0.98887476913246397</v>
      </c>
      <c r="S6257" t="s">
        <v>12903</v>
      </c>
      <c r="T6257" t="s">
        <v>13290</v>
      </c>
      <c r="U6257" t="s">
        <v>13290</v>
      </c>
      <c r="V6257" t="s">
        <v>13290</v>
      </c>
      <c r="W6257" t="s">
        <v>19493</v>
      </c>
      <c r="X6257">
        <v>21</v>
      </c>
      <c r="Y6257" t="s">
        <v>25961</v>
      </c>
      <c r="Z6257" t="s">
        <v>32587</v>
      </c>
      <c r="AA6257">
        <v>0.55459356953542105</v>
      </c>
      <c r="AB6257" t="str">
        <f>HYPERLINK("Melting_Curves/meltCurve_Q9UIJ7_AK3.pdf", "Melting_Curves/meltCurve_Q9UIJ7_AK3.pdf")</f>
        <v>Melting_Curves/meltCurve_Q9UIJ7_AK3.pdf</v>
      </c>
    </row>
    <row r="6258" spans="1:28" x14ac:dyDescent="0.25">
      <c r="A6258" t="s">
        <v>6262</v>
      </c>
      <c r="B6258">
        <v>0.99252571173614901</v>
      </c>
      <c r="C6258">
        <v>1.1492774291664201</v>
      </c>
      <c r="D6258">
        <v>0.76240276941493701</v>
      </c>
      <c r="E6258">
        <v>0.87787676175114804</v>
      </c>
      <c r="F6258">
        <v>0.41160799029258499</v>
      </c>
      <c r="G6258">
        <v>0.170809057850457</v>
      </c>
      <c r="H6258">
        <v>5.7815005680189401E-2</v>
      </c>
      <c r="I6258">
        <v>8.9187781990637996E-2</v>
      </c>
      <c r="J6258">
        <v>0.25788531277895999</v>
      </c>
      <c r="K6258">
        <v>8.1662980043523195E-2</v>
      </c>
      <c r="L6258">
        <v>1589.27009809896</v>
      </c>
      <c r="M6258">
        <v>30.544005851076498</v>
      </c>
      <c r="N6258">
        <v>52.487287004335201</v>
      </c>
      <c r="O6258">
        <v>51.810634927588502</v>
      </c>
      <c r="P6258">
        <v>-0.13023653873333499</v>
      </c>
      <c r="Q6258">
        <v>0.11634421854836099</v>
      </c>
      <c r="R6258">
        <v>0.93685269885038802</v>
      </c>
      <c r="S6258" t="s">
        <v>12904</v>
      </c>
      <c r="T6258" t="s">
        <v>13290</v>
      </c>
      <c r="U6258" t="s">
        <v>13290</v>
      </c>
      <c r="V6258" t="s">
        <v>13290</v>
      </c>
      <c r="W6258" t="s">
        <v>19494</v>
      </c>
      <c r="X6258">
        <v>1</v>
      </c>
      <c r="Y6258" t="s">
        <v>25962</v>
      </c>
      <c r="Z6258" t="s">
        <v>32588</v>
      </c>
      <c r="AA6258">
        <v>0.4762042798875285</v>
      </c>
      <c r="AB6258" t="str">
        <f>HYPERLINK("Melting_Curves/meltCurve_Q9UIK4_DAPK2.pdf", "Melting_Curves/meltCurve_Q9UIK4_DAPK2.pdf")</f>
        <v>Melting_Curves/meltCurve_Q9UIK4_DAPK2.pdf</v>
      </c>
    </row>
    <row r="6259" spans="1:28" x14ac:dyDescent="0.25">
      <c r="A6259" t="s">
        <v>6263</v>
      </c>
      <c r="B6259">
        <v>0.99252571173614901</v>
      </c>
      <c r="C6259">
        <v>1.03629051381454</v>
      </c>
      <c r="D6259">
        <v>0.87890003109475501</v>
      </c>
      <c r="E6259">
        <v>0.73783861934948702</v>
      </c>
      <c r="F6259">
        <v>0.65463290587027401</v>
      </c>
      <c r="G6259">
        <v>0.54875368303564598</v>
      </c>
      <c r="H6259">
        <v>0.71658079771946104</v>
      </c>
      <c r="I6259">
        <v>1.07035508155758</v>
      </c>
      <c r="J6259">
        <v>1.76952228183537</v>
      </c>
      <c r="K6259">
        <v>1.87277276080358</v>
      </c>
      <c r="L6259">
        <v>15000</v>
      </c>
      <c r="M6259">
        <v>232.56999444734899</v>
      </c>
      <c r="O6259">
        <v>64.491943260849794</v>
      </c>
      <c r="P6259">
        <v>0.45077335182200901</v>
      </c>
      <c r="Q6259">
        <v>1.5</v>
      </c>
      <c r="R6259">
        <v>0.61958129974991405</v>
      </c>
      <c r="S6259" t="s">
        <v>12905</v>
      </c>
      <c r="T6259" t="s">
        <v>13290</v>
      </c>
      <c r="U6259" t="s">
        <v>13290</v>
      </c>
      <c r="V6259" t="s">
        <v>13290</v>
      </c>
      <c r="W6259" t="s">
        <v>19495</v>
      </c>
      <c r="X6259">
        <v>1</v>
      </c>
      <c r="Y6259" t="s">
        <v>25963</v>
      </c>
      <c r="Z6259" t="s">
        <v>32589</v>
      </c>
      <c r="AA6259">
        <v>1.0916560646700311</v>
      </c>
      <c r="AB6259" t="str">
        <f>HYPERLINK("Melting_Curves/meltCurve_Q9UIL1_3_SCOC.pdf", "Melting_Curves/meltCurve_Q9UIL1_3_SCOC.pdf")</f>
        <v>Melting_Curves/meltCurve_Q9UIL1_3_SCOC.pdf</v>
      </c>
    </row>
    <row r="6260" spans="1:28" x14ac:dyDescent="0.25">
      <c r="A6260" t="s">
        <v>6264</v>
      </c>
      <c r="B6260">
        <v>0.99252571173614901</v>
      </c>
      <c r="C6260">
        <v>0.99510663276159095</v>
      </c>
      <c r="D6260">
        <v>0.93225134743594096</v>
      </c>
      <c r="E6260">
        <v>0.74478931748968102</v>
      </c>
      <c r="F6260">
        <v>0.49503702027707402</v>
      </c>
      <c r="G6260">
        <v>0.25842257033055099</v>
      </c>
      <c r="H6260">
        <v>0.132364778855981</v>
      </c>
      <c r="I6260">
        <v>0.14098000935378299</v>
      </c>
      <c r="J6260">
        <v>0.19346945124458101</v>
      </c>
      <c r="K6260">
        <v>0.19860311284837501</v>
      </c>
      <c r="L6260">
        <v>1090.0896496653099</v>
      </c>
      <c r="M6260">
        <v>21.042747757332901</v>
      </c>
      <c r="N6260">
        <v>52.7206430998081</v>
      </c>
      <c r="O6260">
        <v>51.3425382549961</v>
      </c>
      <c r="P6260">
        <v>-8.6761403798036901E-2</v>
      </c>
      <c r="Q6260">
        <v>0.153260372735288</v>
      </c>
      <c r="R6260">
        <v>0.99317029402916801</v>
      </c>
      <c r="S6260" t="s">
        <v>12906</v>
      </c>
      <c r="T6260" t="s">
        <v>13290</v>
      </c>
      <c r="U6260" t="s">
        <v>13290</v>
      </c>
      <c r="V6260" t="s">
        <v>13290</v>
      </c>
      <c r="W6260" t="s">
        <v>19496</v>
      </c>
      <c r="X6260">
        <v>9</v>
      </c>
      <c r="Y6260" t="s">
        <v>25964</v>
      </c>
      <c r="Z6260" t="s">
        <v>32590</v>
      </c>
      <c r="AA6260">
        <v>0.49709995280927971</v>
      </c>
      <c r="AB6260" t="str">
        <f>HYPERLINK("Melting_Curves/meltCurve_Q9UIM3_FKBPL.pdf", "Melting_Curves/meltCurve_Q9UIM3_FKBPL.pdf")</f>
        <v>Melting_Curves/meltCurve_Q9UIM3_FKBPL.pdf</v>
      </c>
    </row>
    <row r="6261" spans="1:28" x14ac:dyDescent="0.25">
      <c r="A6261" t="s">
        <v>6265</v>
      </c>
      <c r="B6261">
        <v>0.99252571173614901</v>
      </c>
      <c r="C6261">
        <v>0.890511084020431</v>
      </c>
      <c r="D6261">
        <v>1.0029685065632901</v>
      </c>
      <c r="E6261">
        <v>0.96240540439043099</v>
      </c>
      <c r="F6261">
        <v>0.86072186938786899</v>
      </c>
      <c r="G6261">
        <v>0.68794575768814503</v>
      </c>
      <c r="H6261">
        <v>0.62532554243627703</v>
      </c>
      <c r="I6261">
        <v>0.52503251308189702</v>
      </c>
      <c r="J6261">
        <v>0.49161594614262399</v>
      </c>
      <c r="K6261">
        <v>0.26797451951329598</v>
      </c>
      <c r="L6261">
        <v>534.05104026220704</v>
      </c>
      <c r="M6261">
        <v>8.2996303908655804</v>
      </c>
      <c r="N6261">
        <v>64.346361686736699</v>
      </c>
      <c r="O6261">
        <v>60.935438768557901</v>
      </c>
      <c r="P6261">
        <v>-3.4084478329800202E-2</v>
      </c>
      <c r="Q6261">
        <v>0</v>
      </c>
      <c r="R6261">
        <v>0.952330229217489</v>
      </c>
      <c r="S6261" t="s">
        <v>12907</v>
      </c>
      <c r="T6261" t="s">
        <v>13290</v>
      </c>
      <c r="U6261" t="s">
        <v>13290</v>
      </c>
      <c r="V6261" t="s">
        <v>13290</v>
      </c>
      <c r="W6261" t="s">
        <v>19497</v>
      </c>
      <c r="X6261">
        <v>9</v>
      </c>
      <c r="Y6261" t="s">
        <v>25965</v>
      </c>
      <c r="Z6261" t="s">
        <v>32591</v>
      </c>
      <c r="AA6261">
        <v>0.7487026270270738</v>
      </c>
      <c r="AB6261" t="str">
        <f>HYPERLINK("Melting_Curves/meltCurve_Q9UIQ6_3_LNPEP.pdf", "Melting_Curves/meltCurve_Q9UIQ6_3_LNPEP.pdf")</f>
        <v>Melting_Curves/meltCurve_Q9UIQ6_3_LNPEP.pdf</v>
      </c>
    </row>
    <row r="6262" spans="1:28" x14ac:dyDescent="0.25">
      <c r="A6262" t="s">
        <v>6266</v>
      </c>
      <c r="B6262">
        <v>0.99252571173614901</v>
      </c>
      <c r="C6262">
        <v>0.56142853895959699</v>
      </c>
      <c r="D6262">
        <v>0.34687106915036098</v>
      </c>
      <c r="E6262">
        <v>0.224451522271852</v>
      </c>
      <c r="F6262">
        <v>0.19310909839811399</v>
      </c>
      <c r="G6262">
        <v>0.104795922525624</v>
      </c>
      <c r="H6262">
        <v>8.4685331759667998E-2</v>
      </c>
      <c r="I6262">
        <v>8.7639039488186396E-2</v>
      </c>
      <c r="J6262">
        <v>9.3181554849796705E-2</v>
      </c>
      <c r="K6262">
        <v>9.4815104997605107E-2</v>
      </c>
      <c r="L6262">
        <v>936.06692400265797</v>
      </c>
      <c r="M6262">
        <v>21.450462618290199</v>
      </c>
      <c r="N6262">
        <v>44.157055037603399</v>
      </c>
      <c r="O6262">
        <v>43.264585016641</v>
      </c>
      <c r="P6262">
        <v>-0.11015250267410601</v>
      </c>
      <c r="Q6262">
        <v>0.111332054873356</v>
      </c>
      <c r="R6262">
        <v>0.96746939677507704</v>
      </c>
      <c r="S6262" t="s">
        <v>12908</v>
      </c>
      <c r="T6262" t="s">
        <v>13290</v>
      </c>
      <c r="U6262" t="s">
        <v>13290</v>
      </c>
      <c r="V6262" t="s">
        <v>13290</v>
      </c>
      <c r="W6262" t="s">
        <v>19498</v>
      </c>
      <c r="X6262">
        <v>2</v>
      </c>
      <c r="Y6262" t="s">
        <v>25966</v>
      </c>
      <c r="Z6262" t="s">
        <v>32592</v>
      </c>
      <c r="AA6262">
        <v>0.23479780093640509</v>
      </c>
      <c r="AB6262" t="str">
        <f>HYPERLINK("Melting_Curves/meltCurve_Q9UIU6_SIX4.pdf", "Melting_Curves/meltCurve_Q9UIU6_SIX4.pdf")</f>
        <v>Melting_Curves/meltCurve_Q9UIU6_SIX4.pdf</v>
      </c>
    </row>
    <row r="6263" spans="1:28" x14ac:dyDescent="0.25">
      <c r="A6263" t="s">
        <v>6267</v>
      </c>
      <c r="B6263">
        <v>0.99252571173614901</v>
      </c>
      <c r="C6263">
        <v>0.96018056326323498</v>
      </c>
      <c r="D6263">
        <v>1.0298617132760599</v>
      </c>
      <c r="E6263">
        <v>0.83907346065195698</v>
      </c>
      <c r="F6263">
        <v>0.91965654070539704</v>
      </c>
      <c r="G6263">
        <v>0.76066301780401102</v>
      </c>
      <c r="H6263">
        <v>0.74183386842882004</v>
      </c>
      <c r="I6263">
        <v>0.83638066198306704</v>
      </c>
      <c r="J6263">
        <v>1.2633296655756701</v>
      </c>
      <c r="K6263">
        <v>1.2277667152160101</v>
      </c>
      <c r="L6263">
        <v>11903.701847169399</v>
      </c>
      <c r="M6263">
        <v>250</v>
      </c>
      <c r="O6263">
        <v>47.611760370297198</v>
      </c>
      <c r="P6263">
        <v>-7.7128585213750794E-2</v>
      </c>
      <c r="Q6263">
        <v>0.94124435661513906</v>
      </c>
      <c r="R6263">
        <v>2.0055216148115999E-2</v>
      </c>
      <c r="S6263" t="s">
        <v>12909</v>
      </c>
      <c r="T6263" t="s">
        <v>13290</v>
      </c>
      <c r="U6263" t="s">
        <v>13290</v>
      </c>
      <c r="V6263" t="s">
        <v>13290</v>
      </c>
      <c r="W6263" t="s">
        <v>19499</v>
      </c>
      <c r="X6263">
        <v>14</v>
      </c>
      <c r="Y6263" t="s">
        <v>25967</v>
      </c>
      <c r="Z6263" t="s">
        <v>32593</v>
      </c>
      <c r="AA6263">
        <v>0.95616303000653458</v>
      </c>
      <c r="AB6263" t="str">
        <f>HYPERLINK("Melting_Curves/meltCurve_Q9UJ14_GGT7.pdf", "Melting_Curves/meltCurve_Q9UJ14_GGT7.pdf")</f>
        <v>Melting_Curves/meltCurve_Q9UJ14_GGT7.pdf</v>
      </c>
    </row>
    <row r="6264" spans="1:28" x14ac:dyDescent="0.25">
      <c r="A6264" t="s">
        <v>6268</v>
      </c>
      <c r="B6264">
        <v>0.99252571173614901</v>
      </c>
      <c r="C6264">
        <v>0.95923709066829399</v>
      </c>
      <c r="D6264">
        <v>0.77996215012123804</v>
      </c>
      <c r="E6264">
        <v>0.370506499247027</v>
      </c>
      <c r="F6264">
        <v>0.10812277697075499</v>
      </c>
      <c r="G6264">
        <v>6.8415016780647597E-2</v>
      </c>
      <c r="H6264">
        <v>5.9475187224943799E-2</v>
      </c>
      <c r="I6264">
        <v>7.6105252016400296E-2</v>
      </c>
      <c r="J6264">
        <v>9.8840710649915897E-2</v>
      </c>
      <c r="K6264">
        <v>9.6070978204843796E-2</v>
      </c>
      <c r="L6264">
        <v>1305.42248661698</v>
      </c>
      <c r="M6264">
        <v>27.1599616055484</v>
      </c>
      <c r="N6264">
        <v>48.345220844440398</v>
      </c>
      <c r="O6264">
        <v>47.805927242504502</v>
      </c>
      <c r="P6264">
        <v>-0.13166297615807701</v>
      </c>
      <c r="Q6264">
        <v>7.3016422635143005E-2</v>
      </c>
      <c r="R6264">
        <v>0.99782806293008297</v>
      </c>
      <c r="S6264" t="s">
        <v>12910</v>
      </c>
      <c r="T6264" t="s">
        <v>13290</v>
      </c>
      <c r="U6264" t="s">
        <v>13290</v>
      </c>
      <c r="V6264" t="s">
        <v>13290</v>
      </c>
      <c r="W6264" t="s">
        <v>19500</v>
      </c>
      <c r="X6264">
        <v>7</v>
      </c>
      <c r="Y6264" t="s">
        <v>25968</v>
      </c>
      <c r="Z6264" t="s">
        <v>32594</v>
      </c>
      <c r="AA6264">
        <v>0.3290728954415657</v>
      </c>
      <c r="AB6264" t="str">
        <f>HYPERLINK("Melting_Curves/meltCurve_Q9UJ68_2_MSRA.pdf", "Melting_Curves/meltCurve_Q9UJ68_2_MSRA.pdf")</f>
        <v>Melting_Curves/meltCurve_Q9UJ68_2_MSRA.pdf</v>
      </c>
    </row>
    <row r="6265" spans="1:28" x14ac:dyDescent="0.25">
      <c r="A6265" t="s">
        <v>6269</v>
      </c>
      <c r="B6265">
        <v>0.99252571173614901</v>
      </c>
      <c r="C6265">
        <v>0.847562811693653</v>
      </c>
      <c r="D6265">
        <v>0.87687999485531198</v>
      </c>
      <c r="E6265">
        <v>0.96439005510085496</v>
      </c>
      <c r="F6265">
        <v>0.68230836229817204</v>
      </c>
      <c r="G6265">
        <v>0.61139679251846302</v>
      </c>
      <c r="H6265">
        <v>0.37642599004468102</v>
      </c>
      <c r="I6265">
        <v>0.25840299251580801</v>
      </c>
      <c r="J6265">
        <v>0.14750806048668699</v>
      </c>
      <c r="K6265">
        <v>0.16321860084071399</v>
      </c>
      <c r="L6265">
        <v>633.13871407816805</v>
      </c>
      <c r="M6265">
        <v>10.8909478669532</v>
      </c>
      <c r="N6265">
        <v>58.134392399474997</v>
      </c>
      <c r="O6265">
        <v>56.277441449632001</v>
      </c>
      <c r="P6265">
        <v>-4.8397574860430101E-2</v>
      </c>
      <c r="Q6265">
        <v>0</v>
      </c>
      <c r="R6265">
        <v>0.96049576157329697</v>
      </c>
      <c r="S6265" t="s">
        <v>12911</v>
      </c>
      <c r="T6265" t="s">
        <v>13290</v>
      </c>
      <c r="U6265" t="s">
        <v>13290</v>
      </c>
      <c r="V6265" t="s">
        <v>13290</v>
      </c>
      <c r="W6265" t="s">
        <v>19501</v>
      </c>
      <c r="X6265">
        <v>1</v>
      </c>
      <c r="Y6265" t="s">
        <v>25969</v>
      </c>
      <c r="Z6265" t="s">
        <v>32595</v>
      </c>
      <c r="AA6265">
        <v>0.61523911253696317</v>
      </c>
      <c r="AB6265" t="str">
        <f>HYPERLINK("Melting_Curves/meltCurve_Q9UJA2_2_CRLS1.pdf", "Melting_Curves/meltCurve_Q9UJA2_2_CRLS1.pdf")</f>
        <v>Melting_Curves/meltCurve_Q9UJA2_2_CRLS1.pdf</v>
      </c>
    </row>
    <row r="6266" spans="1:28" x14ac:dyDescent="0.25">
      <c r="A6266" t="s">
        <v>6270</v>
      </c>
      <c r="B6266">
        <v>0.99252571173614901</v>
      </c>
      <c r="C6266">
        <v>0.87461139206656302</v>
      </c>
      <c r="D6266">
        <v>1.01380044663546</v>
      </c>
      <c r="E6266">
        <v>0.945462533834587</v>
      </c>
      <c r="F6266">
        <v>0.83154199520112804</v>
      </c>
      <c r="G6266">
        <v>0.52179100874462803</v>
      </c>
      <c r="H6266">
        <v>0.20915884849494301</v>
      </c>
      <c r="I6266">
        <v>0.102315647397878</v>
      </c>
      <c r="J6266">
        <v>0.103217859924251</v>
      </c>
      <c r="K6266">
        <v>9.3586591883503698E-2</v>
      </c>
      <c r="L6266">
        <v>1371.45103453806</v>
      </c>
      <c r="M6266">
        <v>24.257728025531801</v>
      </c>
      <c r="N6266">
        <v>56.906485457069799</v>
      </c>
      <c r="O6266">
        <v>56.156644109116499</v>
      </c>
      <c r="P6266">
        <v>-0.10011776518766299</v>
      </c>
      <c r="Q6266">
        <v>7.2923461440489099E-2</v>
      </c>
      <c r="R6266">
        <v>0.98812450492806603</v>
      </c>
      <c r="S6266" t="s">
        <v>12912</v>
      </c>
      <c r="T6266" t="s">
        <v>13290</v>
      </c>
      <c r="U6266" t="s">
        <v>13290</v>
      </c>
      <c r="V6266" t="s">
        <v>13290</v>
      </c>
      <c r="W6266" t="s">
        <v>19502</v>
      </c>
      <c r="X6266">
        <v>17</v>
      </c>
      <c r="Y6266" t="s">
        <v>25970</v>
      </c>
      <c r="Z6266" t="s">
        <v>32596</v>
      </c>
      <c r="AA6266">
        <v>0.59279977674623574</v>
      </c>
      <c r="AB6266" t="str">
        <f>HYPERLINK("Melting_Curves/meltCurve_Q9UJA5_TRMT6.pdf", "Melting_Curves/meltCurve_Q9UJA5_TRMT6.pdf")</f>
        <v>Melting_Curves/meltCurve_Q9UJA5_TRMT6.pdf</v>
      </c>
    </row>
    <row r="6267" spans="1:28" x14ac:dyDescent="0.25">
      <c r="A6267" t="s">
        <v>6271</v>
      </c>
      <c r="B6267">
        <v>0.99252571173614901</v>
      </c>
      <c r="C6267">
        <v>1.02538358198965</v>
      </c>
      <c r="D6267">
        <v>1.00351065019108</v>
      </c>
      <c r="E6267">
        <v>0.72247797328221697</v>
      </c>
      <c r="F6267">
        <v>0.47847378530982698</v>
      </c>
      <c r="G6267">
        <v>0.18602349703193499</v>
      </c>
      <c r="H6267">
        <v>9.8242305363550997E-2</v>
      </c>
      <c r="I6267">
        <v>8.1814195727745495E-2</v>
      </c>
      <c r="J6267">
        <v>5.91943355592899E-2</v>
      </c>
      <c r="K6267">
        <v>4.9834424412924599E-2</v>
      </c>
      <c r="L6267">
        <v>1091.0366729017201</v>
      </c>
      <c r="M6267">
        <v>20.848619018356199</v>
      </c>
      <c r="N6267">
        <v>52.5973612852031</v>
      </c>
      <c r="O6267">
        <v>51.857037605618501</v>
      </c>
      <c r="P6267">
        <v>-9.5483768865830099E-2</v>
      </c>
      <c r="Q6267">
        <v>5.0034117418316898E-2</v>
      </c>
      <c r="R6267">
        <v>0.995005951485322</v>
      </c>
      <c r="S6267" t="s">
        <v>12913</v>
      </c>
      <c r="T6267" t="s">
        <v>13290</v>
      </c>
      <c r="U6267" t="s">
        <v>13290</v>
      </c>
      <c r="V6267" t="s">
        <v>13290</v>
      </c>
      <c r="W6267" t="s">
        <v>19503</v>
      </c>
      <c r="X6267">
        <v>3</v>
      </c>
      <c r="Y6267" t="s">
        <v>25971</v>
      </c>
      <c r="Z6267" t="s">
        <v>32597</v>
      </c>
      <c r="AA6267">
        <v>0.45270257965711552</v>
      </c>
      <c r="AB6267" t="str">
        <f>HYPERLINK("Melting_Curves/meltCurve_Q9UJC5_SH3BGRL2.pdf", "Melting_Curves/meltCurve_Q9UJC5_SH3BGRL2.pdf")</f>
        <v>Melting_Curves/meltCurve_Q9UJC5_SH3BGRL2.pdf</v>
      </c>
    </row>
    <row r="6268" spans="1:28" x14ac:dyDescent="0.25">
      <c r="A6268" t="s">
        <v>6272</v>
      </c>
      <c r="B6268">
        <v>0.99252571173614901</v>
      </c>
      <c r="C6268">
        <v>1.0557562028749401</v>
      </c>
      <c r="D6268">
        <v>0.95232053807456396</v>
      </c>
      <c r="E6268">
        <v>0.82437715222954</v>
      </c>
      <c r="F6268">
        <v>0.434511980489934</v>
      </c>
      <c r="G6268">
        <v>0.26578634615325097</v>
      </c>
      <c r="H6268">
        <v>0.26774382288619197</v>
      </c>
      <c r="I6268">
        <v>0.30389004911650702</v>
      </c>
      <c r="J6268">
        <v>0.48640673865877099</v>
      </c>
      <c r="K6268">
        <v>0.49695054115521298</v>
      </c>
      <c r="L6268">
        <v>2370.1848619440002</v>
      </c>
      <c r="M6268">
        <v>46.8313693247025</v>
      </c>
      <c r="N6268">
        <v>52.069281544179901</v>
      </c>
      <c r="O6268">
        <v>50.519025183916298</v>
      </c>
      <c r="P6268">
        <v>-0.147093400555003</v>
      </c>
      <c r="Q6268">
        <v>0.36529662915526601</v>
      </c>
      <c r="R6268">
        <v>0.93187236416047503</v>
      </c>
      <c r="S6268" t="s">
        <v>12914</v>
      </c>
      <c r="T6268" t="s">
        <v>13290</v>
      </c>
      <c r="U6268" t="s">
        <v>13290</v>
      </c>
      <c r="V6268" t="s">
        <v>13290</v>
      </c>
      <c r="W6268" t="s">
        <v>19504</v>
      </c>
      <c r="X6268">
        <v>1</v>
      </c>
      <c r="Y6268" t="s">
        <v>25972</v>
      </c>
      <c r="Z6268" t="s">
        <v>32598</v>
      </c>
      <c r="AA6268">
        <v>0.59140872364454111</v>
      </c>
      <c r="AB6268" t="str">
        <f>HYPERLINK("Melting_Curves/meltCurve_Q9UJJ2_ZNF280C.pdf", "Melting_Curves/meltCurve_Q9UJJ2_ZNF280C.pdf")</f>
        <v>Melting_Curves/meltCurve_Q9UJJ2_ZNF280C.pdf</v>
      </c>
    </row>
    <row r="6269" spans="1:28" x14ac:dyDescent="0.25">
      <c r="A6269" t="s">
        <v>6273</v>
      </c>
      <c r="B6269">
        <v>0.99252571173614901</v>
      </c>
      <c r="C6269">
        <v>1.17573005942471</v>
      </c>
      <c r="D6269">
        <v>0.95316575651504998</v>
      </c>
      <c r="E6269">
        <v>1.05656676389697</v>
      </c>
      <c r="F6269">
        <v>0.940932290119598</v>
      </c>
      <c r="G6269">
        <v>0.77671066695721902</v>
      </c>
      <c r="H6269">
        <v>0.75692095906196699</v>
      </c>
      <c r="I6269">
        <v>0.56324716925460605</v>
      </c>
      <c r="J6269">
        <v>0.38448439539427398</v>
      </c>
      <c r="K6269">
        <v>0.18117769839725401</v>
      </c>
      <c r="L6269">
        <v>940.72114657199495</v>
      </c>
      <c r="M6269">
        <v>14.574488529974801</v>
      </c>
      <c r="N6269">
        <v>64.545740155364101</v>
      </c>
      <c r="O6269">
        <v>63.367098473668499</v>
      </c>
      <c r="P6269">
        <v>-5.7506722490931597E-2</v>
      </c>
      <c r="Q6269">
        <v>0</v>
      </c>
      <c r="R6269">
        <v>0.93745935569985595</v>
      </c>
      <c r="S6269" t="s">
        <v>12915</v>
      </c>
      <c r="T6269" t="s">
        <v>13290</v>
      </c>
      <c r="U6269" t="s">
        <v>13290</v>
      </c>
      <c r="V6269" t="s">
        <v>13290</v>
      </c>
      <c r="W6269" t="s">
        <v>19505</v>
      </c>
      <c r="X6269">
        <v>1</v>
      </c>
      <c r="Y6269" t="s">
        <v>25973</v>
      </c>
      <c r="Z6269" t="s">
        <v>32599</v>
      </c>
      <c r="AA6269">
        <v>0.79532565043107206</v>
      </c>
      <c r="AB6269" t="str">
        <f>HYPERLINK("Melting_Curves/meltCurve_Q9UJK0_TSR3.pdf", "Melting_Curves/meltCurve_Q9UJK0_TSR3.pdf")</f>
        <v>Melting_Curves/meltCurve_Q9UJK0_TSR3.pdf</v>
      </c>
    </row>
    <row r="6270" spans="1:28" x14ac:dyDescent="0.25">
      <c r="A6270" t="s">
        <v>6274</v>
      </c>
      <c r="B6270">
        <v>0.99252571173614901</v>
      </c>
      <c r="C6270">
        <v>0.86878604751238997</v>
      </c>
      <c r="D6270">
        <v>0.85229031396039301</v>
      </c>
      <c r="E6270">
        <v>0.82783295103785404</v>
      </c>
      <c r="F6270">
        <v>0.75941581214488296</v>
      </c>
      <c r="G6270">
        <v>0.56308388345229299</v>
      </c>
      <c r="H6270">
        <v>0.446244925495143</v>
      </c>
      <c r="I6270">
        <v>0.362627847190863</v>
      </c>
      <c r="J6270">
        <v>0.21344943898650801</v>
      </c>
      <c r="K6270">
        <v>0.124306606194859</v>
      </c>
      <c r="L6270">
        <v>513.29232047118001</v>
      </c>
      <c r="M6270">
        <v>8.7664626098005005</v>
      </c>
      <c r="N6270">
        <v>58.551817672370497</v>
      </c>
      <c r="O6270">
        <v>55.744753955187598</v>
      </c>
      <c r="P6270">
        <v>-3.9346726388432902E-2</v>
      </c>
      <c r="Q6270">
        <v>0</v>
      </c>
      <c r="R6270">
        <v>0.97146674254454202</v>
      </c>
      <c r="S6270" t="s">
        <v>12916</v>
      </c>
      <c r="T6270" t="s">
        <v>13290</v>
      </c>
      <c r="U6270" t="s">
        <v>13290</v>
      </c>
      <c r="V6270" t="s">
        <v>13290</v>
      </c>
      <c r="W6270" t="s">
        <v>19506</v>
      </c>
      <c r="X6270">
        <v>21</v>
      </c>
      <c r="Y6270" t="s">
        <v>25974</v>
      </c>
      <c r="Z6270" t="s">
        <v>32600</v>
      </c>
      <c r="AA6270">
        <v>0.62063250075013043</v>
      </c>
      <c r="AB6270" t="str">
        <f>HYPERLINK("Melting_Curves/meltCurve_Q9UJS0_SLC25A13.pdf", "Melting_Curves/meltCurve_Q9UJS0_SLC25A13.pdf")</f>
        <v>Melting_Curves/meltCurve_Q9UJS0_SLC25A13.pdf</v>
      </c>
    </row>
    <row r="6271" spans="1:28" x14ac:dyDescent="0.25">
      <c r="A6271" t="s">
        <v>6275</v>
      </c>
      <c r="B6271">
        <v>0.99252571173614901</v>
      </c>
      <c r="C6271">
        <v>1.19494664630527</v>
      </c>
      <c r="D6271">
        <v>0.47664783398451199</v>
      </c>
      <c r="E6271">
        <v>0.43175552042916499</v>
      </c>
      <c r="F6271">
        <v>0.16395387389549401</v>
      </c>
      <c r="G6271">
        <v>0.10334899711550501</v>
      </c>
      <c r="H6271">
        <v>8.5656345800642394E-2</v>
      </c>
      <c r="I6271">
        <v>0.105035771697776</v>
      </c>
      <c r="J6271">
        <v>0.157047852097636</v>
      </c>
      <c r="K6271">
        <v>0.19545215131714899</v>
      </c>
      <c r="L6271">
        <v>1421.5394369428</v>
      </c>
      <c r="M6271">
        <v>30.650688367479098</v>
      </c>
      <c r="N6271">
        <v>46.926545972802799</v>
      </c>
      <c r="O6271">
        <v>46.182632756789999</v>
      </c>
      <c r="P6271">
        <v>-0.140967071301032</v>
      </c>
      <c r="Q6271">
        <v>0.15040191165271599</v>
      </c>
      <c r="R6271">
        <v>0.90569153601942398</v>
      </c>
      <c r="S6271" t="s">
        <v>12917</v>
      </c>
      <c r="T6271" t="s">
        <v>13290</v>
      </c>
      <c r="U6271" t="s">
        <v>13290</v>
      </c>
      <c r="V6271" t="s">
        <v>13290</v>
      </c>
      <c r="W6271" t="s">
        <v>19507</v>
      </c>
      <c r="X6271">
        <v>26</v>
      </c>
      <c r="Y6271" t="s">
        <v>25975</v>
      </c>
      <c r="Z6271" t="s">
        <v>32601</v>
      </c>
      <c r="AA6271">
        <v>0.33593954080624938</v>
      </c>
      <c r="AB6271" t="str">
        <f>HYPERLINK("Melting_Curves/meltCurve_Q9UJU6_DBNL.pdf", "Melting_Curves/meltCurve_Q9UJU6_DBNL.pdf")</f>
        <v>Melting_Curves/meltCurve_Q9UJU6_DBNL.pdf</v>
      </c>
    </row>
    <row r="6272" spans="1:28" x14ac:dyDescent="0.25">
      <c r="A6272" t="s">
        <v>6276</v>
      </c>
      <c r="B6272">
        <v>0.99252571173614901</v>
      </c>
      <c r="C6272">
        <v>1.27134128740987</v>
      </c>
      <c r="D6272">
        <v>0.97833746891574602</v>
      </c>
      <c r="E6272">
        <v>0.80761925822895397</v>
      </c>
      <c r="F6272">
        <v>0.166119790763638</v>
      </c>
      <c r="G6272">
        <v>0.119491744898005</v>
      </c>
      <c r="H6272">
        <v>0.18327237337945901</v>
      </c>
      <c r="I6272">
        <v>0.30492202604186402</v>
      </c>
      <c r="J6272">
        <v>0.39956301095554198</v>
      </c>
      <c r="K6272">
        <v>0.73332022985171796</v>
      </c>
      <c r="L6272">
        <v>12446.356021122299</v>
      </c>
      <c r="M6272">
        <v>250</v>
      </c>
      <c r="N6272">
        <v>49.987271106127899</v>
      </c>
      <c r="O6272">
        <v>49.782238099554498</v>
      </c>
      <c r="P6272">
        <v>-0.85650337209865901</v>
      </c>
      <c r="Q6272">
        <v>0.31778152329547998</v>
      </c>
      <c r="R6272">
        <v>0.78144818800010296</v>
      </c>
      <c r="S6272" t="s">
        <v>12918</v>
      </c>
      <c r="T6272" t="s">
        <v>13290</v>
      </c>
      <c r="U6272" t="s">
        <v>13290</v>
      </c>
      <c r="V6272" t="s">
        <v>13290</v>
      </c>
      <c r="W6272" t="s">
        <v>19508</v>
      </c>
      <c r="X6272">
        <v>25</v>
      </c>
      <c r="Y6272" t="s">
        <v>25975</v>
      </c>
      <c r="Z6272" t="s">
        <v>32602</v>
      </c>
      <c r="AA6272">
        <v>0.54036770095547082</v>
      </c>
      <c r="AB6272" t="str">
        <f>HYPERLINK("Melting_Curves/meltCurve_Q9UJU6_2_DBNL.pdf", "Melting_Curves/meltCurve_Q9UJU6_2_DBNL.pdf")</f>
        <v>Melting_Curves/meltCurve_Q9UJU6_2_DBNL.pdf</v>
      </c>
    </row>
    <row r="6273" spans="1:28" x14ac:dyDescent="0.25">
      <c r="A6273" t="s">
        <v>6277</v>
      </c>
      <c r="B6273">
        <v>0.99252571173614901</v>
      </c>
      <c r="C6273">
        <v>1.0909997690175699</v>
      </c>
      <c r="D6273">
        <v>1.2865688366888901</v>
      </c>
      <c r="E6273">
        <v>0.91318737046467702</v>
      </c>
      <c r="F6273">
        <v>0.53525600795088202</v>
      </c>
      <c r="G6273">
        <v>0.32509216242100097</v>
      </c>
      <c r="H6273">
        <v>0.25427405034631201</v>
      </c>
      <c r="I6273">
        <v>0.42300303108138398</v>
      </c>
      <c r="J6273">
        <v>0.91098595323984</v>
      </c>
      <c r="K6273">
        <v>0.69438440856498895</v>
      </c>
      <c r="L6273">
        <v>4554.7678555069897</v>
      </c>
      <c r="M6273">
        <v>90.316822321311605</v>
      </c>
      <c r="O6273">
        <v>50.406286175486002</v>
      </c>
      <c r="P6273">
        <v>-0.21362967047856801</v>
      </c>
      <c r="Q6273">
        <v>0.52308867743969001</v>
      </c>
      <c r="R6273">
        <v>0.64292930498447098</v>
      </c>
      <c r="S6273" t="s">
        <v>12919</v>
      </c>
      <c r="T6273" t="s">
        <v>13290</v>
      </c>
      <c r="U6273" t="s">
        <v>13290</v>
      </c>
      <c r="V6273" t="s">
        <v>13290</v>
      </c>
      <c r="W6273" t="s">
        <v>19509</v>
      </c>
      <c r="X6273">
        <v>25</v>
      </c>
      <c r="Y6273" t="s">
        <v>25975</v>
      </c>
      <c r="Z6273" t="s">
        <v>32603</v>
      </c>
      <c r="AA6273">
        <v>0.68923466420370449</v>
      </c>
      <c r="AB6273" t="str">
        <f>HYPERLINK("Melting_Curves/meltCurve_Q9UJU6_3_DBNL.pdf", "Melting_Curves/meltCurve_Q9UJU6_3_DBNL.pdf")</f>
        <v>Melting_Curves/meltCurve_Q9UJU6_3_DBNL.pdf</v>
      </c>
    </row>
    <row r="6274" spans="1:28" x14ac:dyDescent="0.25">
      <c r="A6274" t="s">
        <v>6278</v>
      </c>
      <c r="B6274">
        <v>0.99252571173614901</v>
      </c>
      <c r="C6274">
        <v>0.89171921183142</v>
      </c>
      <c r="D6274">
        <v>1.14342299564987</v>
      </c>
      <c r="E6274">
        <v>1.1125411369707801</v>
      </c>
      <c r="F6274">
        <v>0.75724722022723301</v>
      </c>
      <c r="G6274">
        <v>0.52815236758384598</v>
      </c>
      <c r="H6274">
        <v>0.49962379201738499</v>
      </c>
      <c r="I6274">
        <v>0.70356274804835806</v>
      </c>
      <c r="J6274">
        <v>0.714349832411034</v>
      </c>
      <c r="K6274">
        <v>0.37932427601763502</v>
      </c>
      <c r="S6274" t="s">
        <v>12920</v>
      </c>
      <c r="T6274" t="s">
        <v>13290</v>
      </c>
      <c r="U6274" t="s">
        <v>13291</v>
      </c>
      <c r="V6274" t="s">
        <v>13290</v>
      </c>
      <c r="W6274" t="s">
        <v>19510</v>
      </c>
      <c r="X6274">
        <v>9</v>
      </c>
      <c r="Y6274" t="s">
        <v>25976</v>
      </c>
      <c r="Z6274" t="s">
        <v>32604</v>
      </c>
      <c r="AB6274" t="str">
        <f>HYPERLINK("Melting_Curves/meltCurve_Q9UJW0_DCTN4.pdf", "Melting_Curves/meltCurve_Q9UJW0_DCTN4.pdf")</f>
        <v>Melting_Curves/meltCurve_Q9UJW0_DCTN4.pdf</v>
      </c>
    </row>
    <row r="6275" spans="1:28" x14ac:dyDescent="0.25">
      <c r="A6275" t="s">
        <v>6279</v>
      </c>
      <c r="B6275">
        <v>0.99252571173614901</v>
      </c>
      <c r="C6275">
        <v>0.87216007510207905</v>
      </c>
      <c r="D6275">
        <v>0.71023208328198195</v>
      </c>
      <c r="E6275">
        <v>0.58492450399667695</v>
      </c>
      <c r="F6275">
        <v>0.37645538392823003</v>
      </c>
      <c r="G6275">
        <v>0.16515591629707799</v>
      </c>
      <c r="H6275">
        <v>0.10648573070242601</v>
      </c>
      <c r="I6275">
        <v>0.10426854264239301</v>
      </c>
      <c r="J6275">
        <v>0.117998293611166</v>
      </c>
      <c r="K6275">
        <v>0.11337903250489199</v>
      </c>
      <c r="L6275">
        <v>641.15539644746696</v>
      </c>
      <c r="M6275">
        <v>12.898270671160599</v>
      </c>
      <c r="N6275">
        <v>50.225084178105199</v>
      </c>
      <c r="O6275">
        <v>48.559267123180398</v>
      </c>
      <c r="P6275">
        <v>-6.2292061570701399E-2</v>
      </c>
      <c r="Q6275">
        <v>6.2105284989817301E-2</v>
      </c>
      <c r="R6275">
        <v>0.98861332915326605</v>
      </c>
      <c r="S6275" t="s">
        <v>12921</v>
      </c>
      <c r="T6275" t="s">
        <v>13290</v>
      </c>
      <c r="U6275" t="s">
        <v>13290</v>
      </c>
      <c r="V6275" t="s">
        <v>13290</v>
      </c>
      <c r="W6275" t="s">
        <v>19511</v>
      </c>
      <c r="X6275">
        <v>7</v>
      </c>
      <c r="Y6275" t="s">
        <v>25977</v>
      </c>
      <c r="Z6275" t="s">
        <v>32605</v>
      </c>
      <c r="AA6275">
        <v>0.39498424385826519</v>
      </c>
      <c r="AB6275" t="str">
        <f>HYPERLINK("Melting_Curves/meltCurve_Q9UJX3_2_ANAPC7.pdf", "Melting_Curves/meltCurve_Q9UJX3_2_ANAPC7.pdf")</f>
        <v>Melting_Curves/meltCurve_Q9UJX3_2_ANAPC7.pdf</v>
      </c>
    </row>
    <row r="6276" spans="1:28" x14ac:dyDescent="0.25">
      <c r="A6276" t="s">
        <v>6280</v>
      </c>
      <c r="B6276">
        <v>0.99252571173614901</v>
      </c>
      <c r="C6276">
        <v>1.2731012114965801</v>
      </c>
      <c r="D6276">
        <v>0.98827496807295401</v>
      </c>
      <c r="E6276">
        <v>0.83459259875629899</v>
      </c>
      <c r="F6276">
        <v>0.93159514112685604</v>
      </c>
      <c r="G6276">
        <v>1.0026233389034001</v>
      </c>
      <c r="H6276">
        <v>1.5608345991808701</v>
      </c>
      <c r="I6276">
        <v>1.2806641773107501</v>
      </c>
      <c r="J6276">
        <v>1.13778105289284</v>
      </c>
      <c r="K6276">
        <v>0.38466690967545097</v>
      </c>
      <c r="L6276">
        <v>15000</v>
      </c>
      <c r="M6276">
        <v>214.755126228167</v>
      </c>
      <c r="N6276">
        <v>69.846992056345599</v>
      </c>
      <c r="O6276">
        <v>69.840936648622801</v>
      </c>
      <c r="P6276">
        <v>-0.76872940209397</v>
      </c>
      <c r="Q6276">
        <v>0</v>
      </c>
      <c r="R6276">
        <v>0.41191973433706303</v>
      </c>
      <c r="S6276" t="s">
        <v>12922</v>
      </c>
      <c r="T6276" t="s">
        <v>13290</v>
      </c>
      <c r="U6276" t="s">
        <v>13290</v>
      </c>
      <c r="V6276" t="s">
        <v>13290</v>
      </c>
      <c r="W6276" t="s">
        <v>19512</v>
      </c>
      <c r="X6276">
        <v>1</v>
      </c>
      <c r="Y6276" t="s">
        <v>25978</v>
      </c>
      <c r="Z6276" t="s">
        <v>32606</v>
      </c>
      <c r="AA6276">
        <v>0.98972027942291385</v>
      </c>
      <c r="AB6276" t="str">
        <f>HYPERLINK("Melting_Curves/meltCurve_Q9UJX5_2_ANAPC4.pdf", "Melting_Curves/meltCurve_Q9UJX5_2_ANAPC4.pdf")</f>
        <v>Melting_Curves/meltCurve_Q9UJX5_2_ANAPC4.pdf</v>
      </c>
    </row>
    <row r="6277" spans="1:28" x14ac:dyDescent="0.25">
      <c r="A6277" t="s">
        <v>6281</v>
      </c>
      <c r="B6277">
        <v>0.99252571173614901</v>
      </c>
      <c r="C6277">
        <v>0.92275916672663005</v>
      </c>
      <c r="D6277">
        <v>0.85724844239384201</v>
      </c>
      <c r="E6277">
        <v>0.66150307399609498</v>
      </c>
      <c r="F6277">
        <v>0.21690000401422799</v>
      </c>
      <c r="G6277">
        <v>0.126425793164509</v>
      </c>
      <c r="H6277">
        <v>7.1638215424251805E-2</v>
      </c>
      <c r="I6277">
        <v>5.4025679228865198E-2</v>
      </c>
      <c r="J6277">
        <v>3.73747329435637E-2</v>
      </c>
      <c r="K6277">
        <v>5.7613793217784898E-2</v>
      </c>
      <c r="L6277">
        <v>1129.6505262708899</v>
      </c>
      <c r="M6277">
        <v>22.4176439709066</v>
      </c>
      <c r="N6277">
        <v>50.598787482486998</v>
      </c>
      <c r="O6277">
        <v>49.995293374740797</v>
      </c>
      <c r="P6277">
        <v>-0.10717455474742101</v>
      </c>
      <c r="Q6277">
        <v>4.3947307642806001E-2</v>
      </c>
      <c r="R6277">
        <v>0.99239404421502297</v>
      </c>
      <c r="S6277" t="s">
        <v>12923</v>
      </c>
      <c r="T6277" t="s">
        <v>13290</v>
      </c>
      <c r="U6277" t="s">
        <v>13290</v>
      </c>
      <c r="V6277" t="s">
        <v>13290</v>
      </c>
      <c r="W6277" t="s">
        <v>19513</v>
      </c>
      <c r="X6277">
        <v>3</v>
      </c>
      <c r="Y6277" t="s">
        <v>25979</v>
      </c>
      <c r="Z6277" t="s">
        <v>32607</v>
      </c>
      <c r="AA6277">
        <v>0.38574421774146461</v>
      </c>
      <c r="AB6277" t="str">
        <f>HYPERLINK("Melting_Curves/meltCurve_Q9UJX6_2_ANAPC2.pdf", "Melting_Curves/meltCurve_Q9UJX6_2_ANAPC2.pdf")</f>
        <v>Melting_Curves/meltCurve_Q9UJX6_2_ANAPC2.pdf</v>
      </c>
    </row>
    <row r="6278" spans="1:28" x14ac:dyDescent="0.25">
      <c r="A6278" t="s">
        <v>6282</v>
      </c>
      <c r="B6278">
        <v>0.99252571173614901</v>
      </c>
      <c r="C6278">
        <v>0.86891556695799299</v>
      </c>
      <c r="D6278">
        <v>0.35579480128972601</v>
      </c>
      <c r="E6278">
        <v>0.18088332879138599</v>
      </c>
      <c r="F6278">
        <v>9.9294955448021097E-2</v>
      </c>
      <c r="G6278">
        <v>6.7596544402609496E-2</v>
      </c>
      <c r="H6278">
        <v>4.6318035999219E-2</v>
      </c>
      <c r="I6278">
        <v>4.2710485931995099E-2</v>
      </c>
      <c r="J6278">
        <v>5.08536381038317E-2</v>
      </c>
      <c r="K6278">
        <v>4.9576113831550299E-2</v>
      </c>
      <c r="L6278">
        <v>1440.9262772183499</v>
      </c>
      <c r="M6278">
        <v>31.973707531917398</v>
      </c>
      <c r="N6278">
        <v>45.266052514397302</v>
      </c>
      <c r="O6278">
        <v>44.890764928116397</v>
      </c>
      <c r="P6278">
        <v>-0.166329612944636</v>
      </c>
      <c r="Q6278">
        <v>6.5903827864571204E-2</v>
      </c>
      <c r="R6278">
        <v>0.99291939035811805</v>
      </c>
      <c r="S6278" t="s">
        <v>12924</v>
      </c>
      <c r="T6278" t="s">
        <v>13290</v>
      </c>
      <c r="U6278" t="s">
        <v>13290</v>
      </c>
      <c r="V6278" t="s">
        <v>13290</v>
      </c>
      <c r="W6278" t="s">
        <v>19514</v>
      </c>
      <c r="X6278">
        <v>5</v>
      </c>
      <c r="Y6278" t="s">
        <v>25980</v>
      </c>
      <c r="Z6278" t="s">
        <v>32608</v>
      </c>
      <c r="AA6278">
        <v>0.22878465291526431</v>
      </c>
      <c r="AB6278" t="str">
        <f>HYPERLINK("Melting_Curves/meltCurve_Q9UJY4_GGA2.pdf", "Melting_Curves/meltCurve_Q9UJY4_GGA2.pdf")</f>
        <v>Melting_Curves/meltCurve_Q9UJY4_GGA2.pdf</v>
      </c>
    </row>
    <row r="6279" spans="1:28" x14ac:dyDescent="0.25">
      <c r="A6279" t="s">
        <v>6283</v>
      </c>
      <c r="B6279">
        <v>0.99252571173614901</v>
      </c>
      <c r="C6279">
        <v>1.08535860252246</v>
      </c>
      <c r="D6279">
        <v>0.93253614175022503</v>
      </c>
      <c r="E6279">
        <v>0.62983240029587295</v>
      </c>
      <c r="F6279">
        <v>0.17797687660223999</v>
      </c>
      <c r="G6279">
        <v>0.113537007887427</v>
      </c>
      <c r="H6279">
        <v>8.9304445981509606E-2</v>
      </c>
      <c r="I6279">
        <v>0.102929490287696</v>
      </c>
      <c r="J6279">
        <v>0.14684923435529601</v>
      </c>
      <c r="K6279">
        <v>0.134812561383995</v>
      </c>
      <c r="L6279">
        <v>1956.0148493516101</v>
      </c>
      <c r="M6279">
        <v>39.143380057322901</v>
      </c>
      <c r="N6279">
        <v>50.303447996130302</v>
      </c>
      <c r="O6279">
        <v>49.840627562463503</v>
      </c>
      <c r="P6279">
        <v>-0.17393744450210399</v>
      </c>
      <c r="Q6279">
        <v>0.114115187839527</v>
      </c>
      <c r="R6279">
        <v>0.99270828078486795</v>
      </c>
      <c r="S6279" t="s">
        <v>12925</v>
      </c>
      <c r="T6279" t="s">
        <v>13290</v>
      </c>
      <c r="U6279" t="s">
        <v>13290</v>
      </c>
      <c r="V6279" t="s">
        <v>13290</v>
      </c>
      <c r="W6279" t="s">
        <v>19515</v>
      </c>
      <c r="X6279">
        <v>9</v>
      </c>
      <c r="Y6279" t="s">
        <v>25981</v>
      </c>
      <c r="Z6279" t="s">
        <v>32609</v>
      </c>
      <c r="AA6279">
        <v>0.411737207806326</v>
      </c>
      <c r="AB6279" t="str">
        <f>HYPERLINK("Melting_Curves/meltCurve_Q9UJY5_4_GGA1.pdf", "Melting_Curves/meltCurve_Q9UJY5_4_GGA1.pdf")</f>
        <v>Melting_Curves/meltCurve_Q9UJY5_4_GGA1.pdf</v>
      </c>
    </row>
    <row r="6280" spans="1:28" x14ac:dyDescent="0.25">
      <c r="A6280" t="s">
        <v>6284</v>
      </c>
      <c r="B6280">
        <v>0.99252571173614901</v>
      </c>
      <c r="C6280">
        <v>0.95083638404780602</v>
      </c>
      <c r="D6280">
        <v>0.88997967953048296</v>
      </c>
      <c r="E6280">
        <v>0.81787029751660101</v>
      </c>
      <c r="F6280">
        <v>0.74126932870917805</v>
      </c>
      <c r="G6280">
        <v>0.729041692853858</v>
      </c>
      <c r="H6280">
        <v>0.62767391810753803</v>
      </c>
      <c r="I6280">
        <v>0.88835705108241403</v>
      </c>
      <c r="J6280">
        <v>0.43601943297104301</v>
      </c>
      <c r="K6280">
        <v>0.195416604650619</v>
      </c>
      <c r="L6280">
        <v>395.64109421874599</v>
      </c>
      <c r="M6280">
        <v>5.9852483208921701</v>
      </c>
      <c r="N6280">
        <v>66.102703343888805</v>
      </c>
      <c r="O6280">
        <v>59.855385321498098</v>
      </c>
      <c r="P6280">
        <v>-2.5080456400120899E-2</v>
      </c>
      <c r="Q6280">
        <v>0</v>
      </c>
      <c r="R6280">
        <v>0.68351634257832194</v>
      </c>
      <c r="S6280" t="s">
        <v>12926</v>
      </c>
      <c r="T6280" t="s">
        <v>13290</v>
      </c>
      <c r="U6280" t="s">
        <v>13290</v>
      </c>
      <c r="V6280" t="s">
        <v>13290</v>
      </c>
      <c r="W6280" t="s">
        <v>19516</v>
      </c>
      <c r="X6280">
        <v>25</v>
      </c>
      <c r="Y6280" t="s">
        <v>25982</v>
      </c>
      <c r="Z6280" t="s">
        <v>32610</v>
      </c>
      <c r="AA6280">
        <v>0.7440169873959861</v>
      </c>
      <c r="AB6280" t="str">
        <f>HYPERLINK("Melting_Curves/meltCurve_Q9UJZ1_STOML2.pdf", "Melting_Curves/meltCurve_Q9UJZ1_STOML2.pdf")</f>
        <v>Melting_Curves/meltCurve_Q9UJZ1_STOML2.pdf</v>
      </c>
    </row>
    <row r="6281" spans="1:28" x14ac:dyDescent="0.25">
      <c r="A6281" t="s">
        <v>6285</v>
      </c>
      <c r="B6281">
        <v>0.99252571173614901</v>
      </c>
      <c r="C6281">
        <v>1.03403866043946</v>
      </c>
      <c r="D6281">
        <v>0.95026970500059404</v>
      </c>
      <c r="E6281">
        <v>0.70005163779358803</v>
      </c>
      <c r="F6281">
        <v>0.29216105922632601</v>
      </c>
      <c r="G6281">
        <v>0.12669910076537499</v>
      </c>
      <c r="H6281">
        <v>7.8839085161324401E-2</v>
      </c>
      <c r="I6281">
        <v>7.1177928902182899E-2</v>
      </c>
      <c r="J6281">
        <v>6.8460177814462397E-2</v>
      </c>
      <c r="K6281">
        <v>7.1342884242986002E-2</v>
      </c>
      <c r="L6281">
        <v>1394.2273241727501</v>
      </c>
      <c r="M6281">
        <v>27.361109835979899</v>
      </c>
      <c r="N6281">
        <v>51.236200660612603</v>
      </c>
      <c r="O6281">
        <v>50.686669811981801</v>
      </c>
      <c r="P6281">
        <v>-0.12559250770651501</v>
      </c>
      <c r="Q6281">
        <v>6.9364358118475397E-2</v>
      </c>
      <c r="R6281">
        <v>0.99899617230311899</v>
      </c>
      <c r="S6281" t="s">
        <v>12927</v>
      </c>
      <c r="T6281" t="s">
        <v>13290</v>
      </c>
      <c r="U6281" t="s">
        <v>13290</v>
      </c>
      <c r="V6281" t="s">
        <v>13290</v>
      </c>
      <c r="W6281" t="s">
        <v>19517</v>
      </c>
      <c r="X6281">
        <v>4</v>
      </c>
      <c r="Y6281" t="s">
        <v>25983</v>
      </c>
      <c r="Z6281" t="s">
        <v>32611</v>
      </c>
      <c r="AA6281">
        <v>0.41627696387547208</v>
      </c>
      <c r="AB6281" t="str">
        <f>HYPERLINK("Melting_Curves/meltCurve_Q9UK22_FBXO2.pdf", "Melting_Curves/meltCurve_Q9UK22_FBXO2.pdf")</f>
        <v>Melting_Curves/meltCurve_Q9UK22_FBXO2.pdf</v>
      </c>
    </row>
    <row r="6282" spans="1:28" x14ac:dyDescent="0.25">
      <c r="A6282" t="s">
        <v>6286</v>
      </c>
      <c r="B6282">
        <v>0.99252571173614901</v>
      </c>
      <c r="C6282">
        <v>0.949505785576923</v>
      </c>
      <c r="D6282">
        <v>0.95254753214670296</v>
      </c>
      <c r="E6282">
        <v>0.96685230955055401</v>
      </c>
      <c r="F6282">
        <v>0.84879823572644997</v>
      </c>
      <c r="G6282">
        <v>0.64115714910927302</v>
      </c>
      <c r="H6282">
        <v>0.52064889989691798</v>
      </c>
      <c r="I6282">
        <v>0.57774453701947504</v>
      </c>
      <c r="J6282">
        <v>0.56952962960006304</v>
      </c>
      <c r="K6282">
        <v>0.39399995993993198</v>
      </c>
      <c r="L6282">
        <v>1210.1572147648801</v>
      </c>
      <c r="M6282">
        <v>22.017365409286398</v>
      </c>
      <c r="N6282">
        <v>67.256264903173403</v>
      </c>
      <c r="O6282">
        <v>54.516372602587403</v>
      </c>
      <c r="P6282">
        <v>-5.1387107053197802E-2</v>
      </c>
      <c r="Q6282">
        <v>0.49106058393893498</v>
      </c>
      <c r="R6282">
        <v>0.94501191321230604</v>
      </c>
      <c r="S6282" t="s">
        <v>12928</v>
      </c>
      <c r="T6282" t="s">
        <v>13290</v>
      </c>
      <c r="U6282" t="s">
        <v>13290</v>
      </c>
      <c r="V6282" t="s">
        <v>13290</v>
      </c>
      <c r="W6282" t="s">
        <v>19518</v>
      </c>
      <c r="X6282">
        <v>9</v>
      </c>
      <c r="Y6282" t="s">
        <v>25984</v>
      </c>
      <c r="Z6282" t="s">
        <v>32612</v>
      </c>
      <c r="AA6282">
        <v>0.75075250200145793</v>
      </c>
      <c r="AB6282" t="str">
        <f>HYPERLINK("Melting_Curves/meltCurve_Q9UK23_NAGPA.pdf", "Melting_Curves/meltCurve_Q9UK23_NAGPA.pdf")</f>
        <v>Melting_Curves/meltCurve_Q9UK23_NAGPA.pdf</v>
      </c>
    </row>
    <row r="6283" spans="1:28" x14ac:dyDescent="0.25">
      <c r="A6283" t="s">
        <v>6287</v>
      </c>
      <c r="B6283">
        <v>0.99252571173614901</v>
      </c>
      <c r="C6283">
        <v>1.0572432635150899</v>
      </c>
      <c r="D6283">
        <v>1.0916453314797501</v>
      </c>
      <c r="E6283">
        <v>0.89146060809891403</v>
      </c>
      <c r="F6283">
        <v>0.93164182094358206</v>
      </c>
      <c r="G6283">
        <v>0.73769933879912697</v>
      </c>
      <c r="H6283">
        <v>0.72218043967724099</v>
      </c>
      <c r="I6283">
        <v>0.27269238589557099</v>
      </c>
      <c r="J6283">
        <v>0.25217001054216998</v>
      </c>
      <c r="K6283">
        <v>0.31721635553669703</v>
      </c>
      <c r="L6283">
        <v>1065.2866850026901</v>
      </c>
      <c r="M6283">
        <v>17.6180114199909</v>
      </c>
      <c r="N6283">
        <v>61.9798105560401</v>
      </c>
      <c r="O6283">
        <v>59.702893694654897</v>
      </c>
      <c r="P6283">
        <v>-6.0876500558783499E-2</v>
      </c>
      <c r="Q6283">
        <v>0.17486531126076099</v>
      </c>
      <c r="R6283">
        <v>0.92604559130713404</v>
      </c>
      <c r="S6283" t="s">
        <v>12929</v>
      </c>
      <c r="T6283" t="s">
        <v>13290</v>
      </c>
      <c r="U6283" t="s">
        <v>13290</v>
      </c>
      <c r="V6283" t="s">
        <v>13290</v>
      </c>
      <c r="W6283" t="s">
        <v>19519</v>
      </c>
      <c r="X6283">
        <v>5</v>
      </c>
      <c r="Y6283" t="s">
        <v>25985</v>
      </c>
      <c r="Z6283" t="s">
        <v>32613</v>
      </c>
      <c r="AA6283">
        <v>0.74339847731115805</v>
      </c>
      <c r="AB6283" t="str">
        <f>HYPERLINK("Melting_Curves/meltCurve_Q9UK32_RPS6KA6.pdf", "Melting_Curves/meltCurve_Q9UK32_RPS6KA6.pdf")</f>
        <v>Melting_Curves/meltCurve_Q9UK32_RPS6KA6.pdf</v>
      </c>
    </row>
    <row r="6284" spans="1:28" x14ac:dyDescent="0.25">
      <c r="A6284" t="s">
        <v>6288</v>
      </c>
      <c r="B6284">
        <v>0.99252571173614901</v>
      </c>
      <c r="C6284">
        <v>0.98809559584716</v>
      </c>
      <c r="D6284">
        <v>0.90379914981573195</v>
      </c>
      <c r="E6284">
        <v>0.54144983583150297</v>
      </c>
      <c r="F6284">
        <v>0.17204658126073799</v>
      </c>
      <c r="G6284">
        <v>9.9972599748090002E-2</v>
      </c>
      <c r="H6284">
        <v>6.8672809472987997E-2</v>
      </c>
      <c r="I6284">
        <v>7.2585948911186193E-2</v>
      </c>
      <c r="J6284">
        <v>8.0278173491759905E-2</v>
      </c>
      <c r="K6284">
        <v>6.7137745971210805E-2</v>
      </c>
      <c r="L6284">
        <v>1444.0610677986199</v>
      </c>
      <c r="M6284">
        <v>29.1204162495251</v>
      </c>
      <c r="N6284">
        <v>49.8494817245886</v>
      </c>
      <c r="O6284">
        <v>49.357210767604599</v>
      </c>
      <c r="P6284">
        <v>-0.137100730710212</v>
      </c>
      <c r="Q6284">
        <v>7.0499547930305398E-2</v>
      </c>
      <c r="R6284">
        <v>0.99966667266130604</v>
      </c>
      <c r="S6284" t="s">
        <v>12930</v>
      </c>
      <c r="T6284" t="s">
        <v>13290</v>
      </c>
      <c r="U6284" t="s">
        <v>13290</v>
      </c>
      <c r="V6284" t="s">
        <v>13290</v>
      </c>
      <c r="W6284" t="s">
        <v>19520</v>
      </c>
      <c r="X6284">
        <v>9</v>
      </c>
      <c r="Y6284" t="s">
        <v>25986</v>
      </c>
      <c r="Z6284" t="s">
        <v>32614</v>
      </c>
      <c r="AA6284">
        <v>0.37367607709011191</v>
      </c>
      <c r="AB6284" t="str">
        <f>HYPERLINK("Melting_Curves/meltCurve_Q9UK41_VPS28.pdf", "Melting_Curves/meltCurve_Q9UK41_VPS28.pdf")</f>
        <v>Melting_Curves/meltCurve_Q9UK41_VPS28.pdf</v>
      </c>
    </row>
    <row r="6285" spans="1:28" x14ac:dyDescent="0.25">
      <c r="A6285" t="s">
        <v>6289</v>
      </c>
      <c r="B6285">
        <v>0.99252571173614901</v>
      </c>
      <c r="C6285">
        <v>1.0889881803102499</v>
      </c>
      <c r="D6285">
        <v>0.99251564821024196</v>
      </c>
      <c r="E6285">
        <v>1.1122986940602</v>
      </c>
      <c r="F6285">
        <v>0.80528681021029902</v>
      </c>
      <c r="G6285">
        <v>0.65996312030599003</v>
      </c>
      <c r="H6285">
        <v>0.59964764056195197</v>
      </c>
      <c r="I6285">
        <v>0.88941328554449395</v>
      </c>
      <c r="J6285">
        <v>1.1258586823402199</v>
      </c>
      <c r="K6285">
        <v>1.0113154037213301</v>
      </c>
      <c r="L6285">
        <v>4667.1971674813203</v>
      </c>
      <c r="M6285">
        <v>90.436422348849504</v>
      </c>
      <c r="O6285">
        <v>51.582278538552501</v>
      </c>
      <c r="P6285">
        <v>-6.6792430192435095E-2</v>
      </c>
      <c r="Q6285">
        <v>0.84761426187683697</v>
      </c>
      <c r="R6285">
        <v>0.26930395247779099</v>
      </c>
      <c r="S6285" t="s">
        <v>12931</v>
      </c>
      <c r="T6285" t="s">
        <v>13290</v>
      </c>
      <c r="U6285" t="s">
        <v>13290</v>
      </c>
      <c r="V6285" t="s">
        <v>13290</v>
      </c>
      <c r="W6285" t="s">
        <v>19521</v>
      </c>
      <c r="X6285">
        <v>5</v>
      </c>
      <c r="Y6285" t="s">
        <v>25987</v>
      </c>
      <c r="Z6285" t="s">
        <v>32615</v>
      </c>
      <c r="AA6285">
        <v>0.90668043991303193</v>
      </c>
      <c r="AB6285" t="str">
        <f>HYPERLINK("Melting_Curves/meltCurve_Q9UK45_LSM7.pdf", "Melting_Curves/meltCurve_Q9UK45_LSM7.pdf")</f>
        <v>Melting_Curves/meltCurve_Q9UK45_LSM7.pdf</v>
      </c>
    </row>
    <row r="6286" spans="1:28" x14ac:dyDescent="0.25">
      <c r="A6286" t="s">
        <v>6290</v>
      </c>
      <c r="B6286">
        <v>0.99252571173614901</v>
      </c>
      <c r="C6286">
        <v>0.93384679221767997</v>
      </c>
      <c r="D6286">
        <v>0.827998496784497</v>
      </c>
      <c r="E6286">
        <v>0.77292526205202905</v>
      </c>
      <c r="F6286">
        <v>0.63573384096751195</v>
      </c>
      <c r="G6286">
        <v>0.39905266608295098</v>
      </c>
      <c r="H6286">
        <v>0.40032253666154899</v>
      </c>
      <c r="I6286">
        <v>0.347432607764107</v>
      </c>
      <c r="J6286">
        <v>0.389849771398811</v>
      </c>
      <c r="K6286">
        <v>0.33292561015698502</v>
      </c>
      <c r="L6286">
        <v>650.32918773665597</v>
      </c>
      <c r="M6286">
        <v>12.632772944223699</v>
      </c>
      <c r="N6286">
        <v>55.802338075694003</v>
      </c>
      <c r="O6286">
        <v>50.240643841760097</v>
      </c>
      <c r="P6286">
        <v>-4.3251749764346301E-2</v>
      </c>
      <c r="Q6286">
        <v>0.31208557260553799</v>
      </c>
      <c r="R6286">
        <v>0.97699923134732902</v>
      </c>
      <c r="S6286" t="s">
        <v>12932</v>
      </c>
      <c r="T6286" t="s">
        <v>13290</v>
      </c>
      <c r="U6286" t="s">
        <v>13290</v>
      </c>
      <c r="V6286" t="s">
        <v>13290</v>
      </c>
      <c r="W6286" t="s">
        <v>19522</v>
      </c>
      <c r="X6286">
        <v>2</v>
      </c>
      <c r="Y6286" t="s">
        <v>25988</v>
      </c>
      <c r="Z6286" t="s">
        <v>32616</v>
      </c>
      <c r="AA6286">
        <v>0.59559358460052059</v>
      </c>
      <c r="AB6286" t="str">
        <f>HYPERLINK("Melting_Curves/meltCurve_Q9UK53_2_ING1.pdf", "Melting_Curves/meltCurve_Q9UK53_2_ING1.pdf")</f>
        <v>Melting_Curves/meltCurve_Q9UK53_2_ING1.pdf</v>
      </c>
    </row>
    <row r="6287" spans="1:28" x14ac:dyDescent="0.25">
      <c r="A6287" t="s">
        <v>6291</v>
      </c>
      <c r="B6287">
        <v>0.99252571173614901</v>
      </c>
      <c r="C6287">
        <v>1.0500429387800201</v>
      </c>
      <c r="D6287">
        <v>0.95459348150491796</v>
      </c>
      <c r="E6287">
        <v>0.86655028701108205</v>
      </c>
      <c r="F6287">
        <v>0.69617857728366095</v>
      </c>
      <c r="G6287">
        <v>0.52982325439312505</v>
      </c>
      <c r="H6287">
        <v>0.16434085257578199</v>
      </c>
      <c r="I6287">
        <v>8.5081498928323604E-2</v>
      </c>
      <c r="J6287">
        <v>9.9757800123439905E-2</v>
      </c>
      <c r="K6287">
        <v>0.11366942574477699</v>
      </c>
      <c r="L6287">
        <v>971.40147156342096</v>
      </c>
      <c r="M6287">
        <v>17.394505383164901</v>
      </c>
      <c r="N6287">
        <v>56.105609528940498</v>
      </c>
      <c r="O6287">
        <v>55.1228827030288</v>
      </c>
      <c r="P6287">
        <v>-7.58357219530299E-2</v>
      </c>
      <c r="Q6287">
        <v>3.8765879848343801E-2</v>
      </c>
      <c r="R6287">
        <v>0.98640242042297199</v>
      </c>
      <c r="S6287" t="s">
        <v>12933</v>
      </c>
      <c r="T6287" t="s">
        <v>13290</v>
      </c>
      <c r="U6287" t="s">
        <v>13290</v>
      </c>
      <c r="V6287" t="s">
        <v>13290</v>
      </c>
      <c r="W6287" t="s">
        <v>19523</v>
      </c>
      <c r="X6287">
        <v>17</v>
      </c>
      <c r="Y6287" t="s">
        <v>25989</v>
      </c>
      <c r="Z6287" t="s">
        <v>32617</v>
      </c>
      <c r="AA6287">
        <v>0.56134340996444332</v>
      </c>
      <c r="AB6287" t="str">
        <f>HYPERLINK("Melting_Curves/meltCurve_Q9UK59_DBR1.pdf", "Melting_Curves/meltCurve_Q9UK59_DBR1.pdf")</f>
        <v>Melting_Curves/meltCurve_Q9UK59_DBR1.pdf</v>
      </c>
    </row>
    <row r="6288" spans="1:28" x14ac:dyDescent="0.25">
      <c r="A6288" t="s">
        <v>6292</v>
      </c>
      <c r="B6288">
        <v>0.99252571173614901</v>
      </c>
      <c r="C6288">
        <v>1.10992970080547</v>
      </c>
      <c r="D6288">
        <v>0.987657067261413</v>
      </c>
      <c r="E6288">
        <v>0.97168616967178401</v>
      </c>
      <c r="F6288">
        <v>0.91221936901582001</v>
      </c>
      <c r="G6288">
        <v>0.84156768237736401</v>
      </c>
      <c r="H6288">
        <v>0.91789490140640195</v>
      </c>
      <c r="I6288">
        <v>1.2100346268417499</v>
      </c>
      <c r="J6288">
        <v>1.7519440767276999</v>
      </c>
      <c r="K6288">
        <v>1.91071846146439</v>
      </c>
      <c r="L6288">
        <v>15000</v>
      </c>
      <c r="M6288">
        <v>234.05273456390799</v>
      </c>
      <c r="O6288">
        <v>64.083442074067705</v>
      </c>
      <c r="P6288">
        <v>0.45653902049578099</v>
      </c>
      <c r="Q6288">
        <v>1.5</v>
      </c>
      <c r="R6288">
        <v>0.76911991337229701</v>
      </c>
      <c r="S6288" t="s">
        <v>12934</v>
      </c>
      <c r="T6288" t="s">
        <v>13290</v>
      </c>
      <c r="U6288" t="s">
        <v>13290</v>
      </c>
      <c r="V6288" t="s">
        <v>13290</v>
      </c>
      <c r="W6288" t="s">
        <v>19524</v>
      </c>
      <c r="X6288">
        <v>9</v>
      </c>
      <c r="Y6288" t="s">
        <v>20529</v>
      </c>
      <c r="Z6288" t="s">
        <v>32618</v>
      </c>
      <c r="AA6288">
        <v>1.098467151430873</v>
      </c>
      <c r="AB6288" t="str">
        <f>HYPERLINK("Melting_Curves/meltCurve_Q9UK76_HN1.pdf", "Melting_Curves/meltCurve_Q9UK76_HN1.pdf")</f>
        <v>Melting_Curves/meltCurve_Q9UK76_HN1.pdf</v>
      </c>
    </row>
    <row r="6289" spans="1:28" x14ac:dyDescent="0.25">
      <c r="A6289" t="s">
        <v>6293</v>
      </c>
      <c r="B6289">
        <v>0.99252571173614901</v>
      </c>
      <c r="C6289">
        <v>0.95218087088194703</v>
      </c>
      <c r="D6289">
        <v>0.87214661860560905</v>
      </c>
      <c r="E6289">
        <v>0.61125726867052599</v>
      </c>
      <c r="F6289">
        <v>0.19263926341741699</v>
      </c>
      <c r="G6289">
        <v>0.111200553666884</v>
      </c>
      <c r="H6289">
        <v>6.9993024712550894E-2</v>
      </c>
      <c r="I6289">
        <v>8.0087338668051303E-2</v>
      </c>
      <c r="J6289">
        <v>0.10125654509047199</v>
      </c>
      <c r="K6289">
        <v>0.114503362990585</v>
      </c>
      <c r="L6289">
        <v>1344.8220941771599</v>
      </c>
      <c r="M6289">
        <v>26.9645157274818</v>
      </c>
      <c r="N6289">
        <v>50.213513161275699</v>
      </c>
      <c r="O6289">
        <v>49.601888081599803</v>
      </c>
      <c r="P6289">
        <v>-0.124574032167253</v>
      </c>
      <c r="Q6289">
        <v>8.3381243654179094E-2</v>
      </c>
      <c r="R6289">
        <v>0.994915094426983</v>
      </c>
      <c r="S6289" t="s">
        <v>12935</v>
      </c>
      <c r="T6289" t="s">
        <v>13290</v>
      </c>
      <c r="U6289" t="s">
        <v>13290</v>
      </c>
      <c r="V6289" t="s">
        <v>13290</v>
      </c>
      <c r="W6289" t="s">
        <v>19525</v>
      </c>
      <c r="X6289">
        <v>3</v>
      </c>
      <c r="Y6289" t="s">
        <v>25990</v>
      </c>
      <c r="Z6289" t="s">
        <v>32619</v>
      </c>
      <c r="AA6289">
        <v>0.3920865666229999</v>
      </c>
      <c r="AB6289" t="str">
        <f>HYPERLINK("Melting_Curves/meltCurve_Q9UK97_3_FBXO9.pdf", "Melting_Curves/meltCurve_Q9UK97_3_FBXO9.pdf")</f>
        <v>Melting_Curves/meltCurve_Q9UK97_3_FBXO9.pdf</v>
      </c>
    </row>
    <row r="6290" spans="1:28" x14ac:dyDescent="0.25">
      <c r="A6290" t="s">
        <v>6294</v>
      </c>
      <c r="B6290">
        <v>0.99252571173614901</v>
      </c>
      <c r="C6290">
        <v>0.80618031876919505</v>
      </c>
      <c r="D6290">
        <v>0.70802891612555396</v>
      </c>
      <c r="E6290">
        <v>0.365607418690298</v>
      </c>
      <c r="F6290">
        <v>7.9809902643938502E-2</v>
      </c>
      <c r="G6290">
        <v>6.8726770541836596E-2</v>
      </c>
      <c r="H6290">
        <v>4.63104303567793E-2</v>
      </c>
      <c r="I6290">
        <v>5.3172009763774897E-2</v>
      </c>
      <c r="J6290">
        <v>3.3351363545794703E-2</v>
      </c>
      <c r="K6290">
        <v>0.10774618170166</v>
      </c>
      <c r="L6290">
        <v>917.69087922562801</v>
      </c>
      <c r="M6290">
        <v>19.317954643017</v>
      </c>
      <c r="N6290">
        <v>47.720334016911401</v>
      </c>
      <c r="O6290">
        <v>47.004265981425803</v>
      </c>
      <c r="P6290">
        <v>-9.8452366608403202E-2</v>
      </c>
      <c r="Q6290">
        <v>4.18218215550826E-2</v>
      </c>
      <c r="R6290">
        <v>0.98403823297513404</v>
      </c>
      <c r="S6290" t="s">
        <v>12936</v>
      </c>
      <c r="T6290" t="s">
        <v>13290</v>
      </c>
      <c r="U6290" t="s">
        <v>13290</v>
      </c>
      <c r="V6290" t="s">
        <v>13290</v>
      </c>
      <c r="W6290" t="s">
        <v>19526</v>
      </c>
      <c r="X6290">
        <v>1</v>
      </c>
      <c r="Y6290" t="s">
        <v>25991</v>
      </c>
      <c r="Z6290" t="s">
        <v>32620</v>
      </c>
      <c r="AA6290">
        <v>0.29637061395371911</v>
      </c>
      <c r="AB6290" t="str">
        <f>HYPERLINK("Melting_Curves/meltCurve_Q9UKA2_FBXL4.pdf", "Melting_Curves/meltCurve_Q9UKA2_FBXL4.pdf")</f>
        <v>Melting_Curves/meltCurve_Q9UKA2_FBXL4.pdf</v>
      </c>
    </row>
    <row r="6291" spans="1:28" x14ac:dyDescent="0.25">
      <c r="A6291" t="s">
        <v>6295</v>
      </c>
      <c r="B6291">
        <v>0.99252571173614901</v>
      </c>
      <c r="C6291">
        <v>1.28087826737341</v>
      </c>
      <c r="D6291">
        <v>0.76232455247162401</v>
      </c>
      <c r="E6291">
        <v>1.1511349612915101</v>
      </c>
      <c r="F6291">
        <v>1.2570584202927599</v>
      </c>
      <c r="G6291">
        <v>0.77430693079152502</v>
      </c>
      <c r="H6291">
        <v>0.23243399105935</v>
      </c>
      <c r="I6291">
        <v>7.0882502587696697E-2</v>
      </c>
      <c r="J6291">
        <v>3.9835167000475097E-2</v>
      </c>
      <c r="K6291">
        <v>3.2719491141693098E-2</v>
      </c>
      <c r="L6291">
        <v>2560.1286089114501</v>
      </c>
      <c r="M6291">
        <v>43.6502856727924</v>
      </c>
      <c r="N6291">
        <v>58.770339620404002</v>
      </c>
      <c r="O6291">
        <v>58.528202960448397</v>
      </c>
      <c r="P6291">
        <v>-0.178537353635421</v>
      </c>
      <c r="Q6291">
        <v>4.2438802297347998E-2</v>
      </c>
      <c r="R6291">
        <v>0.90420315983664001</v>
      </c>
      <c r="S6291" t="s">
        <v>12937</v>
      </c>
      <c r="T6291" t="s">
        <v>13290</v>
      </c>
      <c r="U6291" t="s">
        <v>13290</v>
      </c>
      <c r="V6291" t="s">
        <v>13290</v>
      </c>
      <c r="W6291" t="s">
        <v>19527</v>
      </c>
      <c r="X6291">
        <v>1</v>
      </c>
      <c r="Y6291" t="s">
        <v>25992</v>
      </c>
      <c r="Z6291" t="s">
        <v>32621</v>
      </c>
      <c r="AA6291">
        <v>0.64095305109265488</v>
      </c>
      <c r="AB6291" t="str">
        <f>HYPERLINK("Melting_Curves/meltCurve_Q9UKA4_AKAP11.pdf", "Melting_Curves/meltCurve_Q9UKA4_AKAP11.pdf")</f>
        <v>Melting_Curves/meltCurve_Q9UKA4_AKAP11.pdf</v>
      </c>
    </row>
    <row r="6292" spans="1:28" x14ac:dyDescent="0.25">
      <c r="A6292" t="s">
        <v>6296</v>
      </c>
      <c r="B6292">
        <v>0.99252571173614901</v>
      </c>
      <c r="C6292">
        <v>1.0776631540875501</v>
      </c>
      <c r="D6292">
        <v>0.92494437960944498</v>
      </c>
      <c r="E6292">
        <v>0.76872629880569099</v>
      </c>
      <c r="F6292">
        <v>0.43458052282696502</v>
      </c>
      <c r="G6292">
        <v>0.29030462395200202</v>
      </c>
      <c r="H6292">
        <v>0.24689375726028201</v>
      </c>
      <c r="I6292">
        <v>0.29357162931815101</v>
      </c>
      <c r="J6292">
        <v>0.42596759691038499</v>
      </c>
      <c r="K6292">
        <v>0.48353151960868102</v>
      </c>
      <c r="L6292">
        <v>1849.1807591156701</v>
      </c>
      <c r="M6292">
        <v>36.7361391449653</v>
      </c>
      <c r="N6292">
        <v>52.019606911842303</v>
      </c>
      <c r="O6292">
        <v>50.188365564921099</v>
      </c>
      <c r="P6292">
        <v>-0.11937625114429599</v>
      </c>
      <c r="Q6292">
        <v>0.34764168104971399</v>
      </c>
      <c r="R6292">
        <v>0.94247083776552898</v>
      </c>
      <c r="S6292" t="s">
        <v>12938</v>
      </c>
      <c r="T6292" t="s">
        <v>13290</v>
      </c>
      <c r="U6292" t="s">
        <v>13290</v>
      </c>
      <c r="V6292" t="s">
        <v>13290</v>
      </c>
      <c r="W6292" t="s">
        <v>19528</v>
      </c>
      <c r="X6292">
        <v>8</v>
      </c>
      <c r="Y6292" t="s">
        <v>25993</v>
      </c>
      <c r="Z6292" t="s">
        <v>32622</v>
      </c>
      <c r="AA6292">
        <v>0.57511452003119534</v>
      </c>
      <c r="AB6292" t="str">
        <f>HYPERLINK("Melting_Curves/meltCurve_Q9UKB3_DNAJC12.pdf", "Melting_Curves/meltCurve_Q9UKB3_DNAJC12.pdf")</f>
        <v>Melting_Curves/meltCurve_Q9UKB3_DNAJC12.pdf</v>
      </c>
    </row>
    <row r="6293" spans="1:28" x14ac:dyDescent="0.25">
      <c r="A6293" t="s">
        <v>6297</v>
      </c>
      <c r="B6293">
        <v>0.99252571173614901</v>
      </c>
      <c r="C6293">
        <v>0.91863437211750598</v>
      </c>
      <c r="D6293">
        <v>0.73580980618486902</v>
      </c>
      <c r="E6293">
        <v>0.56559439605753703</v>
      </c>
      <c r="F6293">
        <v>0.28815546207083198</v>
      </c>
      <c r="G6293">
        <v>0.25446857891916902</v>
      </c>
      <c r="H6293">
        <v>0.18462751245522899</v>
      </c>
      <c r="I6293">
        <v>0.231250166151203</v>
      </c>
      <c r="J6293">
        <v>0.378386818989009</v>
      </c>
      <c r="K6293">
        <v>0.35220122931672099</v>
      </c>
      <c r="L6293">
        <v>988.03715864978903</v>
      </c>
      <c r="M6293">
        <v>20.731800067622601</v>
      </c>
      <c r="N6293">
        <v>49.513706642508502</v>
      </c>
      <c r="O6293">
        <v>47.221279440858801</v>
      </c>
      <c r="P6293">
        <v>-8.0114887133622303E-2</v>
      </c>
      <c r="Q6293">
        <v>0.27010281232978101</v>
      </c>
      <c r="R6293">
        <v>0.949853166779835</v>
      </c>
      <c r="S6293" t="s">
        <v>12939</v>
      </c>
      <c r="T6293" t="s">
        <v>13290</v>
      </c>
      <c r="U6293" t="s">
        <v>13290</v>
      </c>
      <c r="V6293" t="s">
        <v>13290</v>
      </c>
      <c r="W6293" t="s">
        <v>19529</v>
      </c>
      <c r="X6293">
        <v>2</v>
      </c>
      <c r="Y6293" t="s">
        <v>25994</v>
      </c>
      <c r="Z6293" t="s">
        <v>32623</v>
      </c>
      <c r="AA6293">
        <v>0.46609969113456678</v>
      </c>
      <c r="AB6293" t="str">
        <f>HYPERLINK("Melting_Curves/meltCurve_Q9UKB5_AJAP1.pdf", "Melting_Curves/meltCurve_Q9UKB5_AJAP1.pdf")</f>
        <v>Melting_Curves/meltCurve_Q9UKB5_AJAP1.pdf</v>
      </c>
    </row>
    <row r="6294" spans="1:28" x14ac:dyDescent="0.25">
      <c r="A6294" t="s">
        <v>6298</v>
      </c>
      <c r="B6294">
        <v>0.99252571173614901</v>
      </c>
      <c r="C6294">
        <v>0.961216422960948</v>
      </c>
      <c r="D6294">
        <v>0.64672370283370595</v>
      </c>
      <c r="E6294">
        <v>0.29327098924230899</v>
      </c>
      <c r="F6294">
        <v>0.191591021345733</v>
      </c>
      <c r="G6294">
        <v>0.12637324022044</v>
      </c>
      <c r="H6294">
        <v>0.11049160529082599</v>
      </c>
      <c r="I6294">
        <v>0.122110193210417</v>
      </c>
      <c r="J6294">
        <v>0.114804243073706</v>
      </c>
      <c r="K6294">
        <v>0.105880132202211</v>
      </c>
      <c r="L6294">
        <v>1207.8189728263601</v>
      </c>
      <c r="M6294">
        <v>25.7661245801946</v>
      </c>
      <c r="N6294">
        <v>47.376393402539399</v>
      </c>
      <c r="O6294">
        <v>46.5965969902282</v>
      </c>
      <c r="P6294">
        <v>-0.121780745268584</v>
      </c>
      <c r="Q6294">
        <v>0.119075585700955</v>
      </c>
      <c r="R6294">
        <v>0.99740976699397199</v>
      </c>
      <c r="S6294" t="s">
        <v>12940</v>
      </c>
      <c r="T6294" t="s">
        <v>13290</v>
      </c>
      <c r="U6294" t="s">
        <v>13290</v>
      </c>
      <c r="V6294" t="s">
        <v>13290</v>
      </c>
      <c r="W6294" t="s">
        <v>19530</v>
      </c>
      <c r="X6294">
        <v>11</v>
      </c>
      <c r="Y6294" t="s">
        <v>25995</v>
      </c>
      <c r="Z6294" t="s">
        <v>32624</v>
      </c>
      <c r="AA6294">
        <v>0.3283664876336605</v>
      </c>
      <c r="AB6294" t="str">
        <f>HYPERLINK("Melting_Curves/meltCurve_Q9UKD2_MRTO4.pdf", "Melting_Curves/meltCurve_Q9UKD2_MRTO4.pdf")</f>
        <v>Melting_Curves/meltCurve_Q9UKD2_MRTO4.pdf</v>
      </c>
    </row>
    <row r="6295" spans="1:28" x14ac:dyDescent="0.25">
      <c r="A6295" t="s">
        <v>6299</v>
      </c>
      <c r="B6295">
        <v>0.99252571173614901</v>
      </c>
      <c r="C6295">
        <v>1.00538468217818</v>
      </c>
      <c r="D6295">
        <v>0.92084281095402998</v>
      </c>
      <c r="E6295">
        <v>0.67645865304120001</v>
      </c>
      <c r="F6295">
        <v>0.26827760656427202</v>
      </c>
      <c r="G6295">
        <v>0.16414154512739601</v>
      </c>
      <c r="H6295">
        <v>0.107481227056893</v>
      </c>
      <c r="I6295">
        <v>0.103606875771437</v>
      </c>
      <c r="J6295">
        <v>0.107231701486988</v>
      </c>
      <c r="K6295">
        <v>0.100893323422019</v>
      </c>
      <c r="L6295">
        <v>1376.9723774653801</v>
      </c>
      <c r="M6295">
        <v>27.2541274944946</v>
      </c>
      <c r="N6295">
        <v>50.9572102475531</v>
      </c>
      <c r="O6295">
        <v>50.253787086776903</v>
      </c>
      <c r="P6295">
        <v>-0.121547606631967</v>
      </c>
      <c r="Q6295">
        <v>0.10352380825886701</v>
      </c>
      <c r="R6295">
        <v>0.99896445316110205</v>
      </c>
      <c r="S6295" t="s">
        <v>12941</v>
      </c>
      <c r="T6295" t="s">
        <v>13290</v>
      </c>
      <c r="U6295" t="s">
        <v>13290</v>
      </c>
      <c r="V6295" t="s">
        <v>13290</v>
      </c>
      <c r="W6295" t="s">
        <v>19531</v>
      </c>
      <c r="X6295">
        <v>16</v>
      </c>
      <c r="Y6295" t="s">
        <v>25996</v>
      </c>
      <c r="Z6295" t="s">
        <v>32625</v>
      </c>
      <c r="AA6295">
        <v>0.42477258481238439</v>
      </c>
      <c r="AB6295" t="str">
        <f>HYPERLINK("Melting_Curves/meltCurve_Q9UKF6_CPSF3.pdf", "Melting_Curves/meltCurve_Q9UKF6_CPSF3.pdf")</f>
        <v>Melting_Curves/meltCurve_Q9UKF6_CPSF3.pdf</v>
      </c>
    </row>
    <row r="6296" spans="1:28" x14ac:dyDescent="0.25">
      <c r="A6296" t="s">
        <v>6300</v>
      </c>
      <c r="B6296">
        <v>0.99252571173614901</v>
      </c>
      <c r="C6296">
        <v>1.0446826184309901</v>
      </c>
      <c r="D6296">
        <v>0.72118053984283204</v>
      </c>
      <c r="E6296">
        <v>0.493712312903547</v>
      </c>
      <c r="F6296">
        <v>0.16811863894284901</v>
      </c>
      <c r="G6296">
        <v>0.101646869889219</v>
      </c>
      <c r="H6296">
        <v>6.5739974982800806E-2</v>
      </c>
      <c r="I6296">
        <v>6.8249238413991706E-2</v>
      </c>
      <c r="J6296">
        <v>7.6828420515238E-2</v>
      </c>
      <c r="K6296">
        <v>8.1557574703970306E-2</v>
      </c>
      <c r="L6296">
        <v>1046.29621435847</v>
      </c>
      <c r="M6296">
        <v>21.474904802878601</v>
      </c>
      <c r="N6296">
        <v>49.038040924081599</v>
      </c>
      <c r="O6296">
        <v>48.305227347591</v>
      </c>
      <c r="P6296">
        <v>-0.103957641780138</v>
      </c>
      <c r="Q6296">
        <v>6.4661914878698198E-2</v>
      </c>
      <c r="R6296">
        <v>0.98768740335998795</v>
      </c>
      <c r="S6296" t="s">
        <v>12942</v>
      </c>
      <c r="T6296" t="s">
        <v>13290</v>
      </c>
      <c r="U6296" t="s">
        <v>13290</v>
      </c>
      <c r="V6296" t="s">
        <v>13290</v>
      </c>
      <c r="W6296" t="s">
        <v>19532</v>
      </c>
      <c r="X6296">
        <v>25</v>
      </c>
      <c r="Y6296" t="s">
        <v>25997</v>
      </c>
      <c r="Z6296" t="s">
        <v>32626</v>
      </c>
      <c r="AA6296">
        <v>0.34793536632064992</v>
      </c>
      <c r="AB6296" t="str">
        <f>HYPERLINK("Melting_Curves/meltCurve_Q9UKG1_APPL1.pdf", "Melting_Curves/meltCurve_Q9UKG1_APPL1.pdf")</f>
        <v>Melting_Curves/meltCurve_Q9UKG1_APPL1.pdf</v>
      </c>
    </row>
    <row r="6297" spans="1:28" x14ac:dyDescent="0.25">
      <c r="A6297" t="s">
        <v>6301</v>
      </c>
      <c r="B6297">
        <v>0.99252571173614901</v>
      </c>
      <c r="C6297">
        <v>1.0801539182954401</v>
      </c>
      <c r="D6297">
        <v>1.1080719164435999</v>
      </c>
      <c r="E6297">
        <v>1.07073195493925</v>
      </c>
      <c r="F6297">
        <v>0.41320653830870102</v>
      </c>
      <c r="G6297">
        <v>0.146385585935075</v>
      </c>
      <c r="H6297">
        <v>0.11107955889961001</v>
      </c>
      <c r="I6297">
        <v>0.16963258225384001</v>
      </c>
      <c r="J6297">
        <v>0.26507922327616101</v>
      </c>
      <c r="K6297">
        <v>0.237760639536166</v>
      </c>
      <c r="L6297">
        <v>13249.526050885101</v>
      </c>
      <c r="M6297">
        <v>250</v>
      </c>
      <c r="N6297">
        <v>53.096905848577201</v>
      </c>
      <c r="O6297">
        <v>52.994712699473901</v>
      </c>
      <c r="P6297">
        <v>-0.96001616341246498</v>
      </c>
      <c r="Q6297">
        <v>0.18598750903823499</v>
      </c>
      <c r="R6297">
        <v>0.977482352060145</v>
      </c>
      <c r="S6297" t="s">
        <v>12943</v>
      </c>
      <c r="T6297" t="s">
        <v>13290</v>
      </c>
      <c r="U6297" t="s">
        <v>13290</v>
      </c>
      <c r="V6297" t="s">
        <v>13290</v>
      </c>
      <c r="W6297" t="s">
        <v>19533</v>
      </c>
      <c r="X6297">
        <v>7</v>
      </c>
      <c r="Y6297" t="s">
        <v>25998</v>
      </c>
      <c r="Z6297" t="s">
        <v>32627</v>
      </c>
      <c r="AA6297">
        <v>0.53875052704715509</v>
      </c>
      <c r="AB6297" t="str">
        <f>HYPERLINK("Melting_Curves/meltCurve_Q9UKI8_5_TLK1.pdf", "Melting_Curves/meltCurve_Q9UKI8_5_TLK1.pdf")</f>
        <v>Melting_Curves/meltCurve_Q9UKI8_5_TLK1.pdf</v>
      </c>
    </row>
    <row r="6298" spans="1:28" x14ac:dyDescent="0.25">
      <c r="A6298" t="s">
        <v>6302</v>
      </c>
      <c r="B6298">
        <v>0.99252571173614901</v>
      </c>
      <c r="C6298">
        <v>0.90736338734408895</v>
      </c>
      <c r="D6298">
        <v>0.83408105886872197</v>
      </c>
      <c r="E6298">
        <v>0.61899753769663401</v>
      </c>
      <c r="F6298">
        <v>0.55488782401033399</v>
      </c>
      <c r="G6298">
        <v>0.35051530208416498</v>
      </c>
      <c r="H6298">
        <v>0.27953731179278402</v>
      </c>
      <c r="I6298">
        <v>0.309986929600022</v>
      </c>
      <c r="J6298">
        <v>0.42486541811457701</v>
      </c>
      <c r="K6298">
        <v>0.57510020948261498</v>
      </c>
      <c r="L6298">
        <v>894.13945217867797</v>
      </c>
      <c r="M6298">
        <v>18.5048008744008</v>
      </c>
      <c r="N6298">
        <v>52.584092934489497</v>
      </c>
      <c r="O6298">
        <v>47.765638914545001</v>
      </c>
      <c r="P6298">
        <v>-5.9225207608286201E-2</v>
      </c>
      <c r="Q6298">
        <v>0.38852522883935298</v>
      </c>
      <c r="R6298">
        <v>0.88072836646437003</v>
      </c>
      <c r="S6298" t="s">
        <v>12944</v>
      </c>
      <c r="T6298" t="s">
        <v>13290</v>
      </c>
      <c r="U6298" t="s">
        <v>13290</v>
      </c>
      <c r="V6298" t="s">
        <v>13290</v>
      </c>
      <c r="W6298" t="s">
        <v>19534</v>
      </c>
      <c r="X6298">
        <v>15</v>
      </c>
      <c r="Y6298" t="s">
        <v>25999</v>
      </c>
      <c r="Z6298" t="s">
        <v>32628</v>
      </c>
      <c r="AA6298">
        <v>0.56824936097557888</v>
      </c>
      <c r="AB6298" t="str">
        <f>HYPERLINK("Melting_Curves/meltCurve_Q9UKJ3_GPATCH8.pdf", "Melting_Curves/meltCurve_Q9UKJ3_GPATCH8.pdf")</f>
        <v>Melting_Curves/meltCurve_Q9UKJ3_GPATCH8.pdf</v>
      </c>
    </row>
    <row r="6299" spans="1:28" x14ac:dyDescent="0.25">
      <c r="A6299" t="s">
        <v>6303</v>
      </c>
      <c r="B6299">
        <v>0.99252571173614901</v>
      </c>
      <c r="C6299">
        <v>1.02420131153359</v>
      </c>
      <c r="D6299">
        <v>1.05808529654061</v>
      </c>
      <c r="E6299">
        <v>1.0046745502955501</v>
      </c>
      <c r="F6299">
        <v>0.92251468700391803</v>
      </c>
      <c r="G6299">
        <v>0.81869569444846502</v>
      </c>
      <c r="H6299">
        <v>0.93394169295210006</v>
      </c>
      <c r="I6299">
        <v>1.30970877045546</v>
      </c>
      <c r="J6299">
        <v>2.01439953787568</v>
      </c>
      <c r="K6299">
        <v>2.2455845485241199</v>
      </c>
      <c r="L6299">
        <v>15000</v>
      </c>
      <c r="M6299">
        <v>234.86228533120101</v>
      </c>
      <c r="O6299">
        <v>63.862572970102001</v>
      </c>
      <c r="P6299">
        <v>0.45970244126827298</v>
      </c>
      <c r="Q6299">
        <v>1.5</v>
      </c>
      <c r="R6299">
        <v>0.60255849555275698</v>
      </c>
      <c r="S6299" t="s">
        <v>12945</v>
      </c>
      <c r="T6299" t="s">
        <v>13290</v>
      </c>
      <c r="U6299" t="s">
        <v>13290</v>
      </c>
      <c r="V6299" t="s">
        <v>13290</v>
      </c>
      <c r="W6299" t="s">
        <v>19535</v>
      </c>
      <c r="X6299">
        <v>18</v>
      </c>
      <c r="Y6299" t="s">
        <v>26000</v>
      </c>
      <c r="Z6299" t="s">
        <v>32629</v>
      </c>
      <c r="AA6299">
        <v>1.1021495864819439</v>
      </c>
      <c r="AB6299" t="str">
        <f>HYPERLINK("Melting_Curves/meltCurve_Q9UKK9_NUDT5.pdf", "Melting_Curves/meltCurve_Q9UKK9_NUDT5.pdf")</f>
        <v>Melting_Curves/meltCurve_Q9UKK9_NUDT5.pdf</v>
      </c>
    </row>
    <row r="6300" spans="1:28" x14ac:dyDescent="0.25">
      <c r="A6300" t="s">
        <v>6304</v>
      </c>
      <c r="B6300">
        <v>0.99252571173614901</v>
      </c>
      <c r="C6300">
        <v>0.75474663599888603</v>
      </c>
      <c r="D6300">
        <v>0.58748945761801297</v>
      </c>
      <c r="E6300">
        <v>0.40062362015543201</v>
      </c>
      <c r="F6300">
        <v>0.259684566911701</v>
      </c>
      <c r="G6300">
        <v>0.13291696596431199</v>
      </c>
      <c r="H6300">
        <v>0.12464708514867801</v>
      </c>
      <c r="I6300">
        <v>0.188799694908698</v>
      </c>
      <c r="J6300">
        <v>0.27321977226029698</v>
      </c>
      <c r="K6300">
        <v>0.33831158293581398</v>
      </c>
      <c r="L6300">
        <v>829.62714082885702</v>
      </c>
      <c r="M6300">
        <v>18.1992905443987</v>
      </c>
      <c r="N6300">
        <v>46.996931755768301</v>
      </c>
      <c r="O6300">
        <v>45.045987920606301</v>
      </c>
      <c r="P6300">
        <v>-7.9745109768202704E-2</v>
      </c>
      <c r="Q6300">
        <v>0.21051262143163299</v>
      </c>
      <c r="R6300">
        <v>0.93757023656138705</v>
      </c>
      <c r="S6300" t="s">
        <v>12946</v>
      </c>
      <c r="T6300" t="s">
        <v>13290</v>
      </c>
      <c r="U6300" t="s">
        <v>13290</v>
      </c>
      <c r="V6300" t="s">
        <v>13290</v>
      </c>
      <c r="W6300" t="s">
        <v>19536</v>
      </c>
      <c r="X6300">
        <v>2</v>
      </c>
      <c r="Y6300" t="s">
        <v>26001</v>
      </c>
      <c r="Z6300" t="s">
        <v>32630</v>
      </c>
      <c r="AA6300">
        <v>0.37315724840916548</v>
      </c>
      <c r="AB6300" t="str">
        <f>HYPERLINK("Melting_Curves/meltCurve_Q9UKL3_CASP8AP2.pdf", "Melting_Curves/meltCurve_Q9UKL3_CASP8AP2.pdf")</f>
        <v>Melting_Curves/meltCurve_Q9UKL3_CASP8AP2.pdf</v>
      </c>
    </row>
    <row r="6301" spans="1:28" x14ac:dyDescent="0.25">
      <c r="A6301" t="s">
        <v>6305</v>
      </c>
      <c r="B6301">
        <v>0.99252571173614901</v>
      </c>
      <c r="C6301">
        <v>1.05911189880957</v>
      </c>
      <c r="D6301">
        <v>1.01672910246593</v>
      </c>
      <c r="E6301">
        <v>0.86872850400622204</v>
      </c>
      <c r="F6301">
        <v>0.43937872520950499</v>
      </c>
      <c r="G6301">
        <v>0.203004896887157</v>
      </c>
      <c r="H6301">
        <v>0.13487335110763199</v>
      </c>
      <c r="I6301">
        <v>0.160379092171472</v>
      </c>
      <c r="J6301">
        <v>0.27124169144847499</v>
      </c>
      <c r="K6301">
        <v>0.23730218972218201</v>
      </c>
      <c r="L6301">
        <v>1957.15340047977</v>
      </c>
      <c r="M6301">
        <v>37.699156285251597</v>
      </c>
      <c r="N6301">
        <v>52.610229110870002</v>
      </c>
      <c r="O6301">
        <v>51.769613490272697</v>
      </c>
      <c r="P6301">
        <v>-0.146339037890896</v>
      </c>
      <c r="Q6301">
        <v>0.19617346324458601</v>
      </c>
      <c r="R6301">
        <v>0.98734311743643099</v>
      </c>
      <c r="S6301" t="s">
        <v>12947</v>
      </c>
      <c r="T6301" t="s">
        <v>13290</v>
      </c>
      <c r="U6301" t="s">
        <v>13290</v>
      </c>
      <c r="V6301" t="s">
        <v>13290</v>
      </c>
      <c r="W6301" t="s">
        <v>19537</v>
      </c>
      <c r="X6301">
        <v>6</v>
      </c>
      <c r="Y6301" t="s">
        <v>26002</v>
      </c>
      <c r="Z6301" t="s">
        <v>32631</v>
      </c>
      <c r="AA6301">
        <v>0.51867576503974677</v>
      </c>
      <c r="AB6301" t="str">
        <f>HYPERLINK("Melting_Curves/meltCurve_Q9UKL6_PCTP.pdf", "Melting_Curves/meltCurve_Q9UKL6_PCTP.pdf")</f>
        <v>Melting_Curves/meltCurve_Q9UKL6_PCTP.pdf</v>
      </c>
    </row>
    <row r="6302" spans="1:28" x14ac:dyDescent="0.25">
      <c r="A6302" t="s">
        <v>6306</v>
      </c>
      <c r="B6302">
        <v>0.99252571173614901</v>
      </c>
      <c r="C6302">
        <v>0.78389123607682498</v>
      </c>
      <c r="D6302">
        <v>0.77378229526522202</v>
      </c>
      <c r="E6302">
        <v>0.54706205696544397</v>
      </c>
      <c r="F6302">
        <v>0.13845036637092301</v>
      </c>
      <c r="G6302">
        <v>7.0244887642525705E-2</v>
      </c>
      <c r="H6302">
        <v>4.2344451112634802E-2</v>
      </c>
      <c r="I6302">
        <v>5.6102778713586501E-2</v>
      </c>
      <c r="J6302">
        <v>7.43032340334389E-2</v>
      </c>
      <c r="K6302">
        <v>7.6583704935622596E-2</v>
      </c>
      <c r="L6302">
        <v>843.46067826761396</v>
      </c>
      <c r="M6302">
        <v>17.260493064064001</v>
      </c>
      <c r="N6302">
        <v>49.054730456717003</v>
      </c>
      <c r="O6302">
        <v>48.224764089504802</v>
      </c>
      <c r="P6302">
        <v>-8.6617956767853194E-2</v>
      </c>
      <c r="Q6302">
        <v>3.2035161764483802E-2</v>
      </c>
      <c r="R6302">
        <v>0.96898851185859503</v>
      </c>
      <c r="S6302" t="s">
        <v>12948</v>
      </c>
      <c r="T6302" t="s">
        <v>13290</v>
      </c>
      <c r="U6302" t="s">
        <v>13290</v>
      </c>
      <c r="V6302" t="s">
        <v>13290</v>
      </c>
      <c r="W6302" t="s">
        <v>19538</v>
      </c>
      <c r="X6302">
        <v>3</v>
      </c>
      <c r="Y6302" t="s">
        <v>26003</v>
      </c>
      <c r="Z6302" t="s">
        <v>32632</v>
      </c>
      <c r="AA6302">
        <v>0.33639677853427158</v>
      </c>
      <c r="AB6302" t="str">
        <f>HYPERLINK("Melting_Curves/meltCurve_Q9UKM7_MAN1B1.pdf", "Melting_Curves/meltCurve_Q9UKM7_MAN1B1.pdf")</f>
        <v>Melting_Curves/meltCurve_Q9UKM7_MAN1B1.pdf</v>
      </c>
    </row>
    <row r="6303" spans="1:28" x14ac:dyDescent="0.25">
      <c r="A6303" t="s">
        <v>6307</v>
      </c>
      <c r="B6303">
        <v>0.99252571173614901</v>
      </c>
      <c r="C6303">
        <v>0.932759119296655</v>
      </c>
      <c r="D6303">
        <v>0.93183353750006204</v>
      </c>
      <c r="E6303">
        <v>0.84368388326048704</v>
      </c>
      <c r="F6303">
        <v>0.27579320084764603</v>
      </c>
      <c r="G6303">
        <v>0.115628707878008</v>
      </c>
      <c r="H6303">
        <v>7.3688301748507906E-2</v>
      </c>
      <c r="I6303">
        <v>6.9770914834276596E-2</v>
      </c>
      <c r="J6303">
        <v>7.5088630492935807E-2</v>
      </c>
      <c r="K6303">
        <v>8.3336066339805101E-2</v>
      </c>
      <c r="L6303">
        <v>2022.03567385513</v>
      </c>
      <c r="M6303">
        <v>39.254362694337303</v>
      </c>
      <c r="N6303">
        <v>51.732399529934597</v>
      </c>
      <c r="O6303">
        <v>51.377946444224598</v>
      </c>
      <c r="P6303">
        <v>-0.17624561692631399</v>
      </c>
      <c r="Q6303">
        <v>7.7287670305131201E-2</v>
      </c>
      <c r="R6303">
        <v>0.99465241960050599</v>
      </c>
      <c r="S6303" t="s">
        <v>12949</v>
      </c>
      <c r="T6303" t="s">
        <v>13290</v>
      </c>
      <c r="U6303" t="s">
        <v>13290</v>
      </c>
      <c r="V6303" t="s">
        <v>13290</v>
      </c>
      <c r="W6303" t="s">
        <v>19539</v>
      </c>
      <c r="X6303">
        <v>11</v>
      </c>
      <c r="Y6303" t="s">
        <v>26004</v>
      </c>
      <c r="Z6303" t="s">
        <v>32633</v>
      </c>
      <c r="AA6303">
        <v>0.43474700166776847</v>
      </c>
      <c r="AB6303" t="str">
        <f>HYPERLINK("Melting_Curves/meltCurve_Q9UKN8_GTF3C4.pdf", "Melting_Curves/meltCurve_Q9UKN8_GTF3C4.pdf")</f>
        <v>Melting_Curves/meltCurve_Q9UKN8_GTF3C4.pdf</v>
      </c>
    </row>
    <row r="6304" spans="1:28" x14ac:dyDescent="0.25">
      <c r="A6304" t="s">
        <v>6308</v>
      </c>
      <c r="B6304">
        <v>0.99252571173614901</v>
      </c>
      <c r="C6304">
        <v>1.3587342961531499</v>
      </c>
      <c r="D6304">
        <v>1.1772433954858701</v>
      </c>
      <c r="E6304">
        <v>1.1659745487076401</v>
      </c>
      <c r="F6304">
        <v>0.93171084407322202</v>
      </c>
      <c r="G6304">
        <v>0.71796460268568996</v>
      </c>
      <c r="H6304">
        <v>0.71434798880831296</v>
      </c>
      <c r="I6304">
        <v>1.0225609340182999</v>
      </c>
      <c r="J6304">
        <v>1.35186141445565</v>
      </c>
      <c r="K6304">
        <v>1.39264340624996</v>
      </c>
      <c r="L6304">
        <v>7025.8271752990204</v>
      </c>
      <c r="M6304">
        <v>106.876477181083</v>
      </c>
      <c r="O6304">
        <v>65.714840832422297</v>
      </c>
      <c r="P6304">
        <v>0.15968347015711001</v>
      </c>
      <c r="Q6304">
        <v>1.3927363656696301</v>
      </c>
      <c r="R6304">
        <v>0.37295038683522302</v>
      </c>
      <c r="S6304" t="s">
        <v>12950</v>
      </c>
      <c r="T6304" t="s">
        <v>13290</v>
      </c>
      <c r="U6304" t="s">
        <v>13290</v>
      </c>
      <c r="V6304" t="s">
        <v>13290</v>
      </c>
      <c r="W6304" t="s">
        <v>19540</v>
      </c>
      <c r="X6304">
        <v>2</v>
      </c>
      <c r="Y6304" t="s">
        <v>26005</v>
      </c>
      <c r="Z6304" t="s">
        <v>32634</v>
      </c>
      <c r="AA6304">
        <v>1.055562765807216</v>
      </c>
      <c r="AB6304" t="str">
        <f>HYPERLINK("Melting_Curves/meltCurve_Q9UKQ2_2_ADAM28.pdf", "Melting_Curves/meltCurve_Q9UKQ2_2_ADAM28.pdf")</f>
        <v>Melting_Curves/meltCurve_Q9UKQ2_2_ADAM28.pdf</v>
      </c>
    </row>
    <row r="6305" spans="1:28" x14ac:dyDescent="0.25">
      <c r="A6305" t="s">
        <v>6309</v>
      </c>
      <c r="B6305">
        <v>0.99252571173614901</v>
      </c>
      <c r="C6305">
        <v>0.98102275900154701</v>
      </c>
      <c r="D6305">
        <v>0.94832751740565002</v>
      </c>
      <c r="E6305">
        <v>0.65171061665038199</v>
      </c>
      <c r="F6305">
        <v>0.58214588271627199</v>
      </c>
      <c r="G6305">
        <v>0.47911874572082003</v>
      </c>
      <c r="H6305">
        <v>0.58505140145844103</v>
      </c>
      <c r="I6305">
        <v>0.69025672688265205</v>
      </c>
      <c r="J6305">
        <v>0.825124210036288</v>
      </c>
      <c r="K6305">
        <v>0.87765100077093905</v>
      </c>
      <c r="L6305">
        <v>11577.4331560707</v>
      </c>
      <c r="M6305">
        <v>250</v>
      </c>
      <c r="O6305">
        <v>46.306776696391402</v>
      </c>
      <c r="P6305">
        <v>-0.445195139488611</v>
      </c>
      <c r="Q6305">
        <v>0.67015122372771396</v>
      </c>
      <c r="R6305">
        <v>0.61896168448994904</v>
      </c>
      <c r="S6305" t="s">
        <v>12951</v>
      </c>
      <c r="T6305" t="s">
        <v>13290</v>
      </c>
      <c r="U6305" t="s">
        <v>13290</v>
      </c>
      <c r="V6305" t="s">
        <v>13290</v>
      </c>
      <c r="W6305" t="s">
        <v>19541</v>
      </c>
      <c r="X6305">
        <v>2</v>
      </c>
      <c r="Y6305" t="s">
        <v>26006</v>
      </c>
      <c r="Z6305" t="s">
        <v>32635</v>
      </c>
      <c r="AA6305">
        <v>0.73955328430530132</v>
      </c>
      <c r="AB6305" t="str">
        <f>HYPERLINK("Melting_Curves/meltCurve_Q9UKR5_C14orf1.pdf", "Melting_Curves/meltCurve_Q9UKR5_C14orf1.pdf")</f>
        <v>Melting_Curves/meltCurve_Q9UKR5_C14orf1.pdf</v>
      </c>
    </row>
    <row r="6306" spans="1:28" x14ac:dyDescent="0.25">
      <c r="A6306" t="s">
        <v>6310</v>
      </c>
      <c r="B6306">
        <v>0.99252571173614901</v>
      </c>
      <c r="C6306">
        <v>0.94700018746577297</v>
      </c>
      <c r="D6306">
        <v>0.65527166952472704</v>
      </c>
      <c r="E6306">
        <v>0.34547108059763199</v>
      </c>
      <c r="F6306">
        <v>0.204715765953665</v>
      </c>
      <c r="G6306">
        <v>0.13414382728466001</v>
      </c>
      <c r="H6306">
        <v>0.107353210302161</v>
      </c>
      <c r="I6306">
        <v>0.115604104906546</v>
      </c>
      <c r="J6306">
        <v>0.15912940389889099</v>
      </c>
      <c r="K6306">
        <v>0.148047129539917</v>
      </c>
      <c r="L6306">
        <v>1092.58480672411</v>
      </c>
      <c r="M6306">
        <v>23.222056488638501</v>
      </c>
      <c r="N6306">
        <v>47.679450404786301</v>
      </c>
      <c r="O6306">
        <v>46.7047088771725</v>
      </c>
      <c r="P6306">
        <v>-0.10788211435830899</v>
      </c>
      <c r="Q6306">
        <v>0.13211620073869601</v>
      </c>
      <c r="R6306">
        <v>0.99620264741420494</v>
      </c>
      <c r="S6306" t="s">
        <v>12952</v>
      </c>
      <c r="T6306" t="s">
        <v>13290</v>
      </c>
      <c r="U6306" t="s">
        <v>13290</v>
      </c>
      <c r="V6306" t="s">
        <v>13290</v>
      </c>
      <c r="W6306" t="s">
        <v>19542</v>
      </c>
      <c r="X6306">
        <v>12</v>
      </c>
      <c r="Y6306" t="s">
        <v>26007</v>
      </c>
      <c r="Z6306" t="s">
        <v>32636</v>
      </c>
      <c r="AA6306">
        <v>0.3451635853933917</v>
      </c>
      <c r="AB6306" t="str">
        <f>HYPERLINK("Melting_Curves/meltCurve_Q9UKS6_PACSIN3.pdf", "Melting_Curves/meltCurve_Q9UKS6_PACSIN3.pdf")</f>
        <v>Melting_Curves/meltCurve_Q9UKS6_PACSIN3.pdf</v>
      </c>
    </row>
    <row r="6307" spans="1:28" x14ac:dyDescent="0.25">
      <c r="A6307" t="s">
        <v>6311</v>
      </c>
      <c r="B6307">
        <v>0.99252571173614901</v>
      </c>
      <c r="C6307">
        <v>0.98881122873195704</v>
      </c>
      <c r="D6307">
        <v>0.87376184709370497</v>
      </c>
      <c r="E6307">
        <v>0.650631507146891</v>
      </c>
      <c r="F6307">
        <v>0.30810274254394798</v>
      </c>
      <c r="G6307">
        <v>0.17362491996256699</v>
      </c>
      <c r="H6307">
        <v>0.108682507874936</v>
      </c>
      <c r="I6307">
        <v>0.13582267214576599</v>
      </c>
      <c r="J6307">
        <v>0.16683314513879299</v>
      </c>
      <c r="K6307">
        <v>0.159338702887382</v>
      </c>
      <c r="L6307">
        <v>1185.55317379075</v>
      </c>
      <c r="M6307">
        <v>23.621273430280102</v>
      </c>
      <c r="N6307">
        <v>50.8644790313922</v>
      </c>
      <c r="O6307">
        <v>49.834493286985001</v>
      </c>
      <c r="P6307">
        <v>-0.10256829178681801</v>
      </c>
      <c r="Q6307">
        <v>0.134449226197872</v>
      </c>
      <c r="R6307">
        <v>0.99598583239693805</v>
      </c>
      <c r="S6307" t="s">
        <v>12953</v>
      </c>
      <c r="T6307" t="s">
        <v>13290</v>
      </c>
      <c r="U6307" t="s">
        <v>13290</v>
      </c>
      <c r="V6307" t="s">
        <v>13290</v>
      </c>
      <c r="W6307" t="s">
        <v>19543</v>
      </c>
      <c r="X6307">
        <v>5</v>
      </c>
      <c r="Y6307" t="s">
        <v>26008</v>
      </c>
      <c r="Z6307" t="s">
        <v>32637</v>
      </c>
      <c r="AA6307">
        <v>0.43713073833027338</v>
      </c>
      <c r="AB6307" t="str">
        <f>HYPERLINK("Melting_Curves/meltCurve_Q9UKT5_FBXO4.pdf", "Melting_Curves/meltCurve_Q9UKT5_FBXO4.pdf")</f>
        <v>Melting_Curves/meltCurve_Q9UKT5_FBXO4.pdf</v>
      </c>
    </row>
    <row r="6308" spans="1:28" x14ac:dyDescent="0.25">
      <c r="A6308" t="s">
        <v>6312</v>
      </c>
      <c r="B6308">
        <v>0.99252571173614901</v>
      </c>
      <c r="C6308">
        <v>0.97682310108061798</v>
      </c>
      <c r="D6308">
        <v>1.02227146152179</v>
      </c>
      <c r="E6308">
        <v>1.0406099676790901</v>
      </c>
      <c r="F6308">
        <v>0.97206651352308904</v>
      </c>
      <c r="G6308">
        <v>0.62780958814330501</v>
      </c>
      <c r="H6308">
        <v>0.19977544839028699</v>
      </c>
      <c r="I6308">
        <v>0.141290124997071</v>
      </c>
      <c r="J6308">
        <v>0.125937629738266</v>
      </c>
      <c r="K6308">
        <v>0.123051186613316</v>
      </c>
      <c r="L6308">
        <v>2409.09974535935</v>
      </c>
      <c r="M6308">
        <v>42.103492064166602</v>
      </c>
      <c r="N6308">
        <v>57.620601604776098</v>
      </c>
      <c r="O6308">
        <v>57.089897061328202</v>
      </c>
      <c r="P6308">
        <v>-0.16090554627050399</v>
      </c>
      <c r="Q6308">
        <v>0.12728703130093699</v>
      </c>
      <c r="R6308">
        <v>0.99816624196206005</v>
      </c>
      <c r="S6308" t="s">
        <v>12954</v>
      </c>
      <c r="T6308" t="s">
        <v>13290</v>
      </c>
      <c r="U6308" t="s">
        <v>13290</v>
      </c>
      <c r="V6308" t="s">
        <v>13290</v>
      </c>
      <c r="W6308" t="s">
        <v>19544</v>
      </c>
      <c r="X6308">
        <v>27</v>
      </c>
      <c r="Y6308" t="s">
        <v>26009</v>
      </c>
      <c r="Z6308" t="s">
        <v>32638</v>
      </c>
      <c r="AA6308">
        <v>0.63126613678346888</v>
      </c>
      <c r="AB6308" t="str">
        <f>HYPERLINK("Melting_Curves/meltCurve_Q9UKU7_ACAD8.pdf", "Melting_Curves/meltCurve_Q9UKU7_ACAD8.pdf")</f>
        <v>Melting_Curves/meltCurve_Q9UKU7_ACAD8.pdf</v>
      </c>
    </row>
    <row r="6309" spans="1:28" x14ac:dyDescent="0.25">
      <c r="A6309" t="s">
        <v>6313</v>
      </c>
      <c r="B6309">
        <v>0.99252571173614901</v>
      </c>
      <c r="C6309">
        <v>0.89752312622164299</v>
      </c>
      <c r="D6309">
        <v>0.96684046590862105</v>
      </c>
      <c r="E6309">
        <v>0.83253076655921099</v>
      </c>
      <c r="F6309">
        <v>0.77358273743916295</v>
      </c>
      <c r="G6309">
        <v>0.60468276468006998</v>
      </c>
      <c r="H6309">
        <v>0.59571890462292199</v>
      </c>
      <c r="I6309">
        <v>0.56215611958758704</v>
      </c>
      <c r="J6309">
        <v>0.40267342387978899</v>
      </c>
      <c r="K6309">
        <v>0.24697098469422299</v>
      </c>
      <c r="L6309">
        <v>418.53148481615199</v>
      </c>
      <c r="M6309">
        <v>6.6620553113795298</v>
      </c>
      <c r="N6309">
        <v>62.8231776943055</v>
      </c>
      <c r="O6309">
        <v>57.887410044924899</v>
      </c>
      <c r="P6309">
        <v>-2.88355107470274E-2</v>
      </c>
      <c r="Q6309">
        <v>0</v>
      </c>
      <c r="R6309">
        <v>0.94755746053024403</v>
      </c>
      <c r="S6309" t="s">
        <v>12955</v>
      </c>
      <c r="T6309" t="s">
        <v>13290</v>
      </c>
      <c r="U6309" t="s">
        <v>13290</v>
      </c>
      <c r="V6309" t="s">
        <v>13290</v>
      </c>
      <c r="W6309" t="s">
        <v>19545</v>
      </c>
      <c r="X6309">
        <v>24</v>
      </c>
      <c r="Y6309" t="s">
        <v>26010</v>
      </c>
      <c r="Z6309" t="s">
        <v>32639</v>
      </c>
      <c r="AA6309">
        <v>0.69754486130332505</v>
      </c>
      <c r="AB6309" t="str">
        <f>HYPERLINK("Melting_Curves/meltCurve_Q9UKV8_AGO2.pdf", "Melting_Curves/meltCurve_Q9UKV8_AGO2.pdf")</f>
        <v>Melting_Curves/meltCurve_Q9UKV8_AGO2.pdf</v>
      </c>
    </row>
    <row r="6310" spans="1:28" x14ac:dyDescent="0.25">
      <c r="A6310" t="s">
        <v>6314</v>
      </c>
      <c r="B6310">
        <v>0.99252571173614901</v>
      </c>
      <c r="C6310">
        <v>0.94802594858746903</v>
      </c>
      <c r="D6310">
        <v>1.20230781073868</v>
      </c>
      <c r="E6310">
        <v>1.4758311955146299</v>
      </c>
      <c r="F6310">
        <v>1.1814949218684101</v>
      </c>
      <c r="G6310">
        <v>0.56908013449693196</v>
      </c>
      <c r="H6310">
        <v>0.327948436486031</v>
      </c>
      <c r="I6310">
        <v>0.32959232956066598</v>
      </c>
      <c r="J6310">
        <v>0.49275518217588399</v>
      </c>
      <c r="K6310">
        <v>0.61921138659796104</v>
      </c>
      <c r="L6310">
        <v>14130.4727079655</v>
      </c>
      <c r="M6310">
        <v>250</v>
      </c>
      <c r="N6310">
        <v>57.014659740148701</v>
      </c>
      <c r="O6310">
        <v>56.518273830438702</v>
      </c>
      <c r="P6310">
        <v>-0.61664037904538105</v>
      </c>
      <c r="Q6310">
        <v>0.44237680413251701</v>
      </c>
      <c r="R6310">
        <v>0.749145339643699</v>
      </c>
      <c r="S6310" t="s">
        <v>12956</v>
      </c>
      <c r="T6310" t="s">
        <v>13290</v>
      </c>
      <c r="U6310" t="s">
        <v>13290</v>
      </c>
      <c r="V6310" t="s">
        <v>13290</v>
      </c>
      <c r="W6310" t="s">
        <v>19546</v>
      </c>
      <c r="X6310">
        <v>14</v>
      </c>
      <c r="Y6310" t="s">
        <v>26011</v>
      </c>
      <c r="Z6310" t="s">
        <v>32640</v>
      </c>
      <c r="AA6310">
        <v>0.74953176983491665</v>
      </c>
      <c r="AB6310" t="str">
        <f>HYPERLINK("Melting_Curves/meltCurve_Q9UKX7_2_NUP50.pdf", "Melting_Curves/meltCurve_Q9UKX7_2_NUP50.pdf")</f>
        <v>Melting_Curves/meltCurve_Q9UKX7_2_NUP50.pdf</v>
      </c>
    </row>
    <row r="6311" spans="1:28" x14ac:dyDescent="0.25">
      <c r="A6311" t="s">
        <v>6315</v>
      </c>
      <c r="B6311">
        <v>0.99252571173614901</v>
      </c>
      <c r="C6311">
        <v>1.1042197992604099</v>
      </c>
      <c r="D6311">
        <v>1.00999353590901</v>
      </c>
      <c r="E6311">
        <v>0.97876260668638304</v>
      </c>
      <c r="F6311">
        <v>0.94397733800706596</v>
      </c>
      <c r="G6311">
        <v>0.86210745363489305</v>
      </c>
      <c r="H6311">
        <v>0.916794986138739</v>
      </c>
      <c r="I6311">
        <v>1.21602430121788</v>
      </c>
      <c r="J6311">
        <v>1.7864826714092901</v>
      </c>
      <c r="K6311">
        <v>1.90976302785913</v>
      </c>
      <c r="L6311">
        <v>15000</v>
      </c>
      <c r="M6311">
        <v>234.10174107955299</v>
      </c>
      <c r="O6311">
        <v>64.070028899183001</v>
      </c>
      <c r="P6311">
        <v>0.45673020899307698</v>
      </c>
      <c r="Q6311">
        <v>1.5</v>
      </c>
      <c r="R6311">
        <v>0.76520348876552302</v>
      </c>
      <c r="S6311" t="s">
        <v>12957</v>
      </c>
      <c r="T6311" t="s">
        <v>13290</v>
      </c>
      <c r="U6311" t="s">
        <v>13290</v>
      </c>
      <c r="V6311" t="s">
        <v>13290</v>
      </c>
      <c r="W6311" t="s">
        <v>13695</v>
      </c>
      <c r="X6311">
        <v>19</v>
      </c>
      <c r="Y6311" t="s">
        <v>20283</v>
      </c>
      <c r="Z6311" t="s">
        <v>32641</v>
      </c>
      <c r="AA6311">
        <v>1.0986907936144359</v>
      </c>
      <c r="AB6311" t="str">
        <f>HYPERLINK("Melting_Curves/meltCurve_Q9UKY7_CDV3.pdf", "Melting_Curves/meltCurve_Q9UKY7_CDV3.pdf")</f>
        <v>Melting_Curves/meltCurve_Q9UKY7_CDV3.pdf</v>
      </c>
    </row>
    <row r="6312" spans="1:28" x14ac:dyDescent="0.25">
      <c r="A6312" t="s">
        <v>6316</v>
      </c>
      <c r="B6312">
        <v>0.99252571173614901</v>
      </c>
      <c r="C6312">
        <v>0.77838897250396499</v>
      </c>
      <c r="D6312">
        <v>0.896592156683788</v>
      </c>
      <c r="E6312">
        <v>0.69164447641748705</v>
      </c>
      <c r="F6312">
        <v>0.116819269577282</v>
      </c>
      <c r="G6312">
        <v>6.9453152919659603E-2</v>
      </c>
      <c r="H6312">
        <v>4.6091579776863498E-2</v>
      </c>
      <c r="I6312">
        <v>4.8799046966078903E-2</v>
      </c>
      <c r="J6312">
        <v>4.2527116809268198E-2</v>
      </c>
      <c r="K6312">
        <v>4.1551765517739099E-2</v>
      </c>
      <c r="L6312">
        <v>2035.10893188778</v>
      </c>
      <c r="M6312">
        <v>40.379651484597098</v>
      </c>
      <c r="N6312">
        <v>50.512633678241599</v>
      </c>
      <c r="O6312">
        <v>50.2762315253038</v>
      </c>
      <c r="P6312">
        <v>-0.192097792808336</v>
      </c>
      <c r="Q6312">
        <v>4.3287056891226097E-2</v>
      </c>
      <c r="R6312">
        <v>0.962117957561201</v>
      </c>
      <c r="S6312" t="s">
        <v>12958</v>
      </c>
      <c r="T6312" t="s">
        <v>13290</v>
      </c>
      <c r="U6312" t="s">
        <v>13290</v>
      </c>
      <c r="V6312" t="s">
        <v>13290</v>
      </c>
      <c r="W6312" t="s">
        <v>19547</v>
      </c>
      <c r="X6312">
        <v>1</v>
      </c>
      <c r="Y6312" t="s">
        <v>26012</v>
      </c>
      <c r="Z6312" t="s">
        <v>32642</v>
      </c>
      <c r="AA6312">
        <v>0.37819801871108011</v>
      </c>
      <c r="AB6312" t="str">
        <f>HYPERLINK("Melting_Curves/meltCurve_Q9UKZ1_CNOT11.pdf", "Melting_Curves/meltCurve_Q9UKZ1_CNOT11.pdf")</f>
        <v>Melting_Curves/meltCurve_Q9UKZ1_CNOT11.pdf</v>
      </c>
    </row>
    <row r="6313" spans="1:28" x14ac:dyDescent="0.25">
      <c r="A6313" t="s">
        <v>6317</v>
      </c>
      <c r="B6313">
        <v>0.99252571173614901</v>
      </c>
      <c r="C6313">
        <v>1.04964930463913</v>
      </c>
      <c r="D6313">
        <v>0.41444519917337402</v>
      </c>
      <c r="E6313">
        <v>0.25456522628296502</v>
      </c>
      <c r="F6313">
        <v>8.8885513686159198E-2</v>
      </c>
      <c r="G6313">
        <v>4.1342505288834201E-2</v>
      </c>
      <c r="H6313">
        <v>2.7175962242470399E-2</v>
      </c>
      <c r="I6313">
        <v>2.9138971627024099E-2</v>
      </c>
      <c r="J6313">
        <v>3.69434196764949E-2</v>
      </c>
      <c r="K6313">
        <v>3.7454589461675299E-2</v>
      </c>
      <c r="S6313" t="s">
        <v>12959</v>
      </c>
      <c r="T6313" t="s">
        <v>13290</v>
      </c>
      <c r="U6313" t="s">
        <v>13291</v>
      </c>
      <c r="V6313" t="s">
        <v>13290</v>
      </c>
      <c r="W6313" t="s">
        <v>19548</v>
      </c>
      <c r="X6313">
        <v>9</v>
      </c>
      <c r="Y6313" t="s">
        <v>26013</v>
      </c>
      <c r="Z6313" t="s">
        <v>32643</v>
      </c>
      <c r="AB6313" t="str">
        <f>HYPERLINK("Melting_Curves/meltCurve_Q9UL15_BAG5.pdf", "Melting_Curves/meltCurve_Q9UL15_BAG5.pdf")</f>
        <v>Melting_Curves/meltCurve_Q9UL15_BAG5.pdf</v>
      </c>
    </row>
    <row r="6314" spans="1:28" x14ac:dyDescent="0.25">
      <c r="A6314" t="s">
        <v>6318</v>
      </c>
      <c r="B6314">
        <v>0.99252571173614901</v>
      </c>
      <c r="C6314">
        <v>0.86178351122681096</v>
      </c>
      <c r="D6314">
        <v>0.92266544348490198</v>
      </c>
      <c r="E6314">
        <v>0.79179817108514805</v>
      </c>
      <c r="F6314">
        <v>0.71206364270929801</v>
      </c>
      <c r="G6314">
        <v>0.56305813460098597</v>
      </c>
      <c r="H6314">
        <v>0.58216381039226806</v>
      </c>
      <c r="I6314">
        <v>0.59169937284292096</v>
      </c>
      <c r="J6314">
        <v>0.57143163586525703</v>
      </c>
      <c r="K6314">
        <v>0.40943417330923898</v>
      </c>
      <c r="L6314">
        <v>434.24085704735899</v>
      </c>
      <c r="M6314">
        <v>8.1956276426447694</v>
      </c>
      <c r="N6314">
        <v>68.446067918320594</v>
      </c>
      <c r="O6314">
        <v>50.110394774481001</v>
      </c>
      <c r="P6314">
        <v>-2.36785892136962E-2</v>
      </c>
      <c r="Q6314">
        <v>0.42148741883444302</v>
      </c>
      <c r="R6314">
        <v>0.91551126931147397</v>
      </c>
      <c r="S6314" t="s">
        <v>12960</v>
      </c>
      <c r="T6314" t="s">
        <v>13290</v>
      </c>
      <c r="U6314" t="s">
        <v>13290</v>
      </c>
      <c r="V6314" t="s">
        <v>13290</v>
      </c>
      <c r="W6314" t="s">
        <v>19549</v>
      </c>
      <c r="X6314">
        <v>18</v>
      </c>
      <c r="Y6314" t="s">
        <v>26014</v>
      </c>
      <c r="Z6314" t="s">
        <v>32644</v>
      </c>
      <c r="AA6314">
        <v>0.69510570157331242</v>
      </c>
      <c r="AB6314" t="str">
        <f>HYPERLINK("Melting_Curves/meltCurve_Q9UL18_AGO1.pdf", "Melting_Curves/meltCurve_Q9UL18_AGO1.pdf")</f>
        <v>Melting_Curves/meltCurve_Q9UL18_AGO1.pdf</v>
      </c>
    </row>
    <row r="6315" spans="1:28" x14ac:dyDescent="0.25">
      <c r="A6315" t="s">
        <v>6319</v>
      </c>
      <c r="B6315">
        <v>0.99252571173614901</v>
      </c>
      <c r="C6315">
        <v>0.98479380609520695</v>
      </c>
      <c r="D6315">
        <v>0.90995198562680102</v>
      </c>
      <c r="E6315">
        <v>0.80541636270315897</v>
      </c>
      <c r="F6315">
        <v>0.75250726783555899</v>
      </c>
      <c r="G6315">
        <v>0.63527939907231201</v>
      </c>
      <c r="H6315">
        <v>0.48304249277331202</v>
      </c>
      <c r="I6315">
        <v>0.449891887136875</v>
      </c>
      <c r="J6315">
        <v>0.21444912386942899</v>
      </c>
      <c r="K6315">
        <v>0.144424518202903</v>
      </c>
      <c r="L6315">
        <v>536.14685732334203</v>
      </c>
      <c r="M6315">
        <v>8.9675934550821292</v>
      </c>
      <c r="N6315">
        <v>59.7871481208917</v>
      </c>
      <c r="O6315">
        <v>57.038476661902102</v>
      </c>
      <c r="P6315">
        <v>-3.9333950883631501E-2</v>
      </c>
      <c r="Q6315">
        <v>0</v>
      </c>
      <c r="R6315">
        <v>0.97406606298115195</v>
      </c>
      <c r="S6315" t="s">
        <v>12961</v>
      </c>
      <c r="T6315" t="s">
        <v>13290</v>
      </c>
      <c r="U6315" t="s">
        <v>13290</v>
      </c>
      <c r="V6315" t="s">
        <v>13290</v>
      </c>
      <c r="W6315" t="s">
        <v>19550</v>
      </c>
      <c r="X6315">
        <v>14</v>
      </c>
      <c r="Y6315" t="s">
        <v>26015</v>
      </c>
      <c r="Z6315" t="s">
        <v>32645</v>
      </c>
      <c r="AA6315">
        <v>0.65245362615439562</v>
      </c>
      <c r="AB6315" t="str">
        <f>HYPERLINK("Melting_Curves/meltCurve_Q9UL25_RAB21.pdf", "Melting_Curves/meltCurve_Q9UL25_RAB21.pdf")</f>
        <v>Melting_Curves/meltCurve_Q9UL25_RAB21.pdf</v>
      </c>
    </row>
    <row r="6316" spans="1:28" x14ac:dyDescent="0.25">
      <c r="A6316" t="s">
        <v>6320</v>
      </c>
      <c r="B6316">
        <v>0.99252571173614901</v>
      </c>
      <c r="C6316">
        <v>0.98868342230999695</v>
      </c>
      <c r="D6316">
        <v>0.92164248969366802</v>
      </c>
      <c r="E6316">
        <v>0.76273900246526605</v>
      </c>
      <c r="F6316">
        <v>0.70394978720673895</v>
      </c>
      <c r="G6316">
        <v>0.47970031239188099</v>
      </c>
      <c r="H6316">
        <v>0.28671805111668902</v>
      </c>
      <c r="I6316">
        <v>0.24386213590999301</v>
      </c>
      <c r="J6316">
        <v>0.33105577069604403</v>
      </c>
      <c r="K6316">
        <v>0.25461482646983802</v>
      </c>
      <c r="L6316">
        <v>756.81061573683496</v>
      </c>
      <c r="M6316">
        <v>14.0803525623129</v>
      </c>
      <c r="N6316">
        <v>56.044753439500397</v>
      </c>
      <c r="O6316">
        <v>52.700066233585297</v>
      </c>
      <c r="P6316">
        <v>-5.2165575408389397E-2</v>
      </c>
      <c r="Q6316">
        <v>0.219117842387103</v>
      </c>
      <c r="R6316">
        <v>0.97925094764260301</v>
      </c>
      <c r="S6316" t="s">
        <v>12962</v>
      </c>
      <c r="T6316" t="s">
        <v>13290</v>
      </c>
      <c r="U6316" t="s">
        <v>13290</v>
      </c>
      <c r="V6316" t="s">
        <v>13290</v>
      </c>
      <c r="W6316" t="s">
        <v>19551</v>
      </c>
      <c r="X6316">
        <v>7</v>
      </c>
      <c r="Y6316" t="s">
        <v>26016</v>
      </c>
      <c r="Z6316" t="s">
        <v>32646</v>
      </c>
      <c r="AA6316">
        <v>0.5945605881128333</v>
      </c>
      <c r="AB6316" t="str">
        <f>HYPERLINK("Melting_Curves/meltCurve_Q9UL26_RAB22A.pdf", "Melting_Curves/meltCurve_Q9UL26_RAB22A.pdf")</f>
        <v>Melting_Curves/meltCurve_Q9UL26_RAB22A.pdf</v>
      </c>
    </row>
    <row r="6317" spans="1:28" x14ac:dyDescent="0.25">
      <c r="A6317" t="s">
        <v>6321</v>
      </c>
      <c r="B6317">
        <v>0.99252571173614901</v>
      </c>
      <c r="C6317">
        <v>1.01846429175274</v>
      </c>
      <c r="D6317">
        <v>0.79843721204356599</v>
      </c>
      <c r="E6317">
        <v>0.224700326939271</v>
      </c>
      <c r="F6317">
        <v>6.4519902016693206E-2</v>
      </c>
      <c r="G6317">
        <v>3.6136379139389302E-2</v>
      </c>
      <c r="H6317">
        <v>2.31179769501627E-2</v>
      </c>
      <c r="I6317">
        <v>1.7352357913933102E-2</v>
      </c>
      <c r="J6317">
        <v>2.2807009573139799E-2</v>
      </c>
      <c r="K6317">
        <v>2.1772409663560199E-2</v>
      </c>
      <c r="L6317">
        <v>1729.9705519696299</v>
      </c>
      <c r="M6317">
        <v>36.235025233171399</v>
      </c>
      <c r="N6317">
        <v>47.814213222506801</v>
      </c>
      <c r="O6317">
        <v>47.598333827487501</v>
      </c>
      <c r="P6317">
        <v>-0.185321385109566</v>
      </c>
      <c r="Q6317">
        <v>2.6250234960964298E-2</v>
      </c>
      <c r="R6317">
        <v>0.99901307359091096</v>
      </c>
      <c r="S6317" t="s">
        <v>12963</v>
      </c>
      <c r="T6317" t="s">
        <v>13290</v>
      </c>
      <c r="U6317" t="s">
        <v>13290</v>
      </c>
      <c r="V6317" t="s">
        <v>13290</v>
      </c>
      <c r="W6317" t="s">
        <v>19552</v>
      </c>
      <c r="X6317">
        <v>1</v>
      </c>
      <c r="Y6317" t="s">
        <v>26017</v>
      </c>
      <c r="Z6317" t="s">
        <v>32647</v>
      </c>
      <c r="AA6317">
        <v>0.28152621268888212</v>
      </c>
      <c r="AB6317" t="str">
        <f>HYPERLINK("Melting_Curves/meltCurve_Q9UL42_PNMA2.pdf", "Melting_Curves/meltCurve_Q9UL42_PNMA2.pdf")</f>
        <v>Melting_Curves/meltCurve_Q9UL42_PNMA2.pdf</v>
      </c>
    </row>
    <row r="6318" spans="1:28" x14ac:dyDescent="0.25">
      <c r="A6318" t="s">
        <v>6322</v>
      </c>
      <c r="B6318">
        <v>0.99252571173614901</v>
      </c>
      <c r="C6318">
        <v>0.99351632053388395</v>
      </c>
      <c r="D6318">
        <v>1.0770794796296601</v>
      </c>
      <c r="E6318">
        <v>1.09981526540109</v>
      </c>
      <c r="F6318">
        <v>0.72955005052098099</v>
      </c>
      <c r="G6318">
        <v>0.236302999870526</v>
      </c>
      <c r="H6318">
        <v>0.14975960831553001</v>
      </c>
      <c r="I6318">
        <v>0.129883689695796</v>
      </c>
      <c r="J6318">
        <v>0.16009654895519099</v>
      </c>
      <c r="K6318">
        <v>0.13810521593394301</v>
      </c>
      <c r="L6318">
        <v>2707.47796176664</v>
      </c>
      <c r="M6318">
        <v>50.059517313531501</v>
      </c>
      <c r="N6318">
        <v>54.463960128188603</v>
      </c>
      <c r="O6318">
        <v>53.999077566002299</v>
      </c>
      <c r="P6318">
        <v>-0.197693030427672</v>
      </c>
      <c r="Q6318">
        <v>0.14699679045171901</v>
      </c>
      <c r="R6318">
        <v>0.98921939682794102</v>
      </c>
      <c r="S6318" t="s">
        <v>12964</v>
      </c>
      <c r="T6318" t="s">
        <v>13290</v>
      </c>
      <c r="U6318" t="s">
        <v>13290</v>
      </c>
      <c r="V6318" t="s">
        <v>13290</v>
      </c>
      <c r="W6318" t="s">
        <v>19553</v>
      </c>
      <c r="X6318">
        <v>16</v>
      </c>
      <c r="Y6318" t="s">
        <v>26018</v>
      </c>
      <c r="Z6318" t="s">
        <v>32648</v>
      </c>
      <c r="AA6318">
        <v>0.54951643610975309</v>
      </c>
      <c r="AB6318" t="str">
        <f>HYPERLINK("Melting_Curves/meltCurve_Q9UL46_PSME2.pdf", "Melting_Curves/meltCurve_Q9UL46_PSME2.pdf")</f>
        <v>Melting_Curves/meltCurve_Q9UL46_PSME2.pdf</v>
      </c>
    </row>
    <row r="6319" spans="1:28" x14ac:dyDescent="0.25">
      <c r="A6319" t="s">
        <v>6323</v>
      </c>
      <c r="B6319">
        <v>0.99252571173614901</v>
      </c>
      <c r="C6319">
        <v>0.90031435350734901</v>
      </c>
      <c r="D6319">
        <v>0.82416184424691197</v>
      </c>
      <c r="E6319">
        <v>0.71621147322451795</v>
      </c>
      <c r="F6319">
        <v>0.52958771731288301</v>
      </c>
      <c r="G6319">
        <v>0.31052877671046802</v>
      </c>
      <c r="H6319">
        <v>0.17896593705710701</v>
      </c>
      <c r="I6319">
        <v>0.179133999388289</v>
      </c>
      <c r="J6319">
        <v>0.25894423124117999</v>
      </c>
      <c r="K6319">
        <v>0.218012301358047</v>
      </c>
      <c r="L6319">
        <v>713.21213338599796</v>
      </c>
      <c r="M6319">
        <v>13.8890056811783</v>
      </c>
      <c r="N6319">
        <v>52.883000425712297</v>
      </c>
      <c r="O6319">
        <v>50.321430498071599</v>
      </c>
      <c r="P6319">
        <v>-5.7579578968574602E-2</v>
      </c>
      <c r="Q6319">
        <v>0.165644531635741</v>
      </c>
      <c r="R6319">
        <v>0.97908252258334405</v>
      </c>
      <c r="S6319" t="s">
        <v>12965</v>
      </c>
      <c r="T6319" t="s">
        <v>13290</v>
      </c>
      <c r="U6319" t="s">
        <v>13290</v>
      </c>
      <c r="V6319" t="s">
        <v>13290</v>
      </c>
      <c r="W6319" t="s">
        <v>19554</v>
      </c>
      <c r="X6319">
        <v>3</v>
      </c>
      <c r="Y6319" t="s">
        <v>26019</v>
      </c>
      <c r="Z6319" t="s">
        <v>32649</v>
      </c>
      <c r="AA6319">
        <v>0.50284824782391169</v>
      </c>
      <c r="AB6319" t="str">
        <f>HYPERLINK("Melting_Curves/meltCurve_Q9UL52_TMPRSS11E.pdf", "Melting_Curves/meltCurve_Q9UL52_TMPRSS11E.pdf")</f>
        <v>Melting_Curves/meltCurve_Q9UL52_TMPRSS11E.pdf</v>
      </c>
    </row>
    <row r="6320" spans="1:28" x14ac:dyDescent="0.25">
      <c r="A6320" t="s">
        <v>6324</v>
      </c>
      <c r="B6320">
        <v>0.99252571173614901</v>
      </c>
      <c r="C6320">
        <v>0.83407292795995702</v>
      </c>
      <c r="D6320">
        <v>0.55617327335777</v>
      </c>
      <c r="E6320">
        <v>0.30867290907810402</v>
      </c>
      <c r="F6320">
        <v>0.183592906251661</v>
      </c>
      <c r="G6320">
        <v>4.8660334923042302E-2</v>
      </c>
      <c r="H6320">
        <v>4.2458452899570599E-2</v>
      </c>
      <c r="I6320">
        <v>4.9613514162418798E-2</v>
      </c>
      <c r="J6320">
        <v>6.61974956642611E-2</v>
      </c>
      <c r="K6320">
        <v>6.3475976864808298E-2</v>
      </c>
      <c r="L6320">
        <v>821.32588202916099</v>
      </c>
      <c r="M6320">
        <v>17.604450388644999</v>
      </c>
      <c r="N6320">
        <v>46.920061087811497</v>
      </c>
      <c r="O6320">
        <v>46.064936273458102</v>
      </c>
      <c r="P6320">
        <v>-9.1015154748159299E-2</v>
      </c>
      <c r="Q6320">
        <v>4.74269831260258E-2</v>
      </c>
      <c r="R6320">
        <v>0.99446879326225301</v>
      </c>
      <c r="S6320" t="s">
        <v>12966</v>
      </c>
      <c r="T6320" t="s">
        <v>13290</v>
      </c>
      <c r="U6320" t="s">
        <v>13290</v>
      </c>
      <c r="V6320" t="s">
        <v>13290</v>
      </c>
      <c r="W6320" t="s">
        <v>19555</v>
      </c>
      <c r="X6320">
        <v>6</v>
      </c>
      <c r="Y6320" t="s">
        <v>26020</v>
      </c>
      <c r="Z6320" t="s">
        <v>32650</v>
      </c>
      <c r="AA6320">
        <v>0.277518634183754</v>
      </c>
      <c r="AB6320" t="str">
        <f>HYPERLINK("Melting_Curves/meltCurve_Q9UL54_2_TAOK2.pdf", "Melting_Curves/meltCurve_Q9UL54_2_TAOK2.pdf")</f>
        <v>Melting_Curves/meltCurve_Q9UL54_2_TAOK2.pdf</v>
      </c>
    </row>
    <row r="6321" spans="1:28" x14ac:dyDescent="0.25">
      <c r="A6321" t="s">
        <v>6325</v>
      </c>
      <c r="B6321">
        <v>0.99252571173614901</v>
      </c>
      <c r="C6321">
        <v>0.90268283575814101</v>
      </c>
      <c r="D6321">
        <v>0.83851095267839204</v>
      </c>
      <c r="E6321">
        <v>0.67521739675908099</v>
      </c>
      <c r="F6321">
        <v>0.47849016927864901</v>
      </c>
      <c r="G6321">
        <v>0.23359215183807799</v>
      </c>
      <c r="H6321">
        <v>7.3949471314801105E-2</v>
      </c>
      <c r="I6321">
        <v>5.8621018745674998E-2</v>
      </c>
      <c r="J6321">
        <v>6.0696832587435599E-2</v>
      </c>
      <c r="K6321">
        <v>6.3888205921893496E-2</v>
      </c>
      <c r="L6321">
        <v>705.29833102126804</v>
      </c>
      <c r="M6321">
        <v>13.5248449636024</v>
      </c>
      <c r="N6321">
        <v>52.148331047895901</v>
      </c>
      <c r="O6321">
        <v>51.047894802757902</v>
      </c>
      <c r="P6321">
        <v>-6.6246086021751097E-2</v>
      </c>
      <c r="Q6321">
        <v>0</v>
      </c>
      <c r="R6321">
        <v>0.99304330753528902</v>
      </c>
      <c r="S6321" t="s">
        <v>12967</v>
      </c>
      <c r="T6321" t="s">
        <v>13290</v>
      </c>
      <c r="U6321" t="s">
        <v>13290</v>
      </c>
      <c r="V6321" t="s">
        <v>13290</v>
      </c>
      <c r="W6321" t="s">
        <v>19556</v>
      </c>
      <c r="X6321">
        <v>4</v>
      </c>
      <c r="Y6321" t="s">
        <v>26021</v>
      </c>
      <c r="Z6321" t="s">
        <v>32651</v>
      </c>
      <c r="AA6321">
        <v>0.43079276654740928</v>
      </c>
      <c r="AB6321" t="str">
        <f>HYPERLINK("Melting_Curves/meltCurve_Q9ULC3_RAB23.pdf", "Melting_Curves/meltCurve_Q9ULC3_RAB23.pdf")</f>
        <v>Melting_Curves/meltCurve_Q9ULC3_RAB23.pdf</v>
      </c>
    </row>
    <row r="6322" spans="1:28" x14ac:dyDescent="0.25">
      <c r="A6322" t="s">
        <v>6326</v>
      </c>
      <c r="B6322">
        <v>0.99252571173614901</v>
      </c>
      <c r="C6322">
        <v>1.0408517374589401</v>
      </c>
      <c r="D6322">
        <v>0.967921719218378</v>
      </c>
      <c r="E6322">
        <v>0.83594218331818104</v>
      </c>
      <c r="F6322">
        <v>0.81844295815239099</v>
      </c>
      <c r="G6322">
        <v>0.63547107272389203</v>
      </c>
      <c r="H6322">
        <v>0.35146087283788102</v>
      </c>
      <c r="I6322">
        <v>8.0915155779634595E-2</v>
      </c>
      <c r="J6322">
        <v>7.8720625377840803E-2</v>
      </c>
      <c r="K6322">
        <v>7.5340808663677303E-2</v>
      </c>
      <c r="L6322">
        <v>981.01745193580598</v>
      </c>
      <c r="M6322">
        <v>16.909887353355401</v>
      </c>
      <c r="N6322">
        <v>58.0144292721303</v>
      </c>
      <c r="O6322">
        <v>57.221306777105703</v>
      </c>
      <c r="P6322">
        <v>-7.3883992767711307E-2</v>
      </c>
      <c r="Q6322">
        <v>0</v>
      </c>
      <c r="R6322">
        <v>0.98178446070629999</v>
      </c>
      <c r="S6322" t="s">
        <v>12968</v>
      </c>
      <c r="T6322" t="s">
        <v>13290</v>
      </c>
      <c r="U6322" t="s">
        <v>13290</v>
      </c>
      <c r="V6322" t="s">
        <v>13290</v>
      </c>
      <c r="W6322" t="s">
        <v>19557</v>
      </c>
      <c r="X6322">
        <v>12</v>
      </c>
      <c r="Y6322" t="s">
        <v>26022</v>
      </c>
      <c r="Z6322" t="s">
        <v>32652</v>
      </c>
      <c r="AA6322">
        <v>0.61331387918841274</v>
      </c>
      <c r="AB6322" t="str">
        <f>HYPERLINK("Melting_Curves/meltCurve_Q9ULC4_MCTS1.pdf", "Melting_Curves/meltCurve_Q9ULC4_MCTS1.pdf")</f>
        <v>Melting_Curves/meltCurve_Q9ULC4_MCTS1.pdf</v>
      </c>
    </row>
    <row r="6323" spans="1:28" x14ac:dyDescent="0.25">
      <c r="A6323" t="s">
        <v>6327</v>
      </c>
      <c r="B6323">
        <v>0.99252571173614901</v>
      </c>
      <c r="C6323">
        <v>0.77565062177991795</v>
      </c>
      <c r="D6323">
        <v>0.72226468261904897</v>
      </c>
      <c r="E6323">
        <v>0.50522749390560195</v>
      </c>
      <c r="F6323">
        <v>0.13564135715081899</v>
      </c>
      <c r="G6323">
        <v>7.35643259854004E-2</v>
      </c>
      <c r="H6323">
        <v>4.8528735532864499E-2</v>
      </c>
      <c r="I6323">
        <v>4.5991841712557997E-2</v>
      </c>
      <c r="J6323">
        <v>4.9659030893375401E-2</v>
      </c>
      <c r="K6323">
        <v>5.2346558435825002E-2</v>
      </c>
      <c r="L6323">
        <v>745.18225296910396</v>
      </c>
      <c r="M6323">
        <v>15.379863665073399</v>
      </c>
      <c r="N6323">
        <v>48.549064845898101</v>
      </c>
      <c r="O6323">
        <v>47.654849009558497</v>
      </c>
      <c r="P6323">
        <v>-7.9467239023692807E-2</v>
      </c>
      <c r="Q6323">
        <v>1.51664276511904E-2</v>
      </c>
      <c r="R6323">
        <v>0.97699933307939202</v>
      </c>
      <c r="S6323" t="s">
        <v>12969</v>
      </c>
      <c r="T6323" t="s">
        <v>13290</v>
      </c>
      <c r="U6323" t="s">
        <v>13290</v>
      </c>
      <c r="V6323" t="s">
        <v>13290</v>
      </c>
      <c r="W6323" t="s">
        <v>19558</v>
      </c>
      <c r="X6323">
        <v>31</v>
      </c>
      <c r="Y6323" t="s">
        <v>26023</v>
      </c>
      <c r="Z6323" t="s">
        <v>32653</v>
      </c>
      <c r="AA6323">
        <v>0.31627940697977669</v>
      </c>
      <c r="AB6323" t="str">
        <f>HYPERLINK("Melting_Curves/meltCurve_Q9ULC5_ACSL5.pdf", "Melting_Curves/meltCurve_Q9ULC5_ACSL5.pdf")</f>
        <v>Melting_Curves/meltCurve_Q9ULC5_ACSL5.pdf</v>
      </c>
    </row>
    <row r="6324" spans="1:28" x14ac:dyDescent="0.25">
      <c r="A6324" t="s">
        <v>6328</v>
      </c>
      <c r="B6324">
        <v>0.99252571173614901</v>
      </c>
      <c r="C6324">
        <v>0.84639239453027304</v>
      </c>
      <c r="D6324">
        <v>0.79306554626793402</v>
      </c>
      <c r="E6324">
        <v>0.69064748506621998</v>
      </c>
      <c r="F6324">
        <v>0.41692819918487301</v>
      </c>
      <c r="G6324">
        <v>0.27981968684896102</v>
      </c>
      <c r="H6324">
        <v>0.23996761883119699</v>
      </c>
      <c r="I6324">
        <v>0.32711433252964101</v>
      </c>
      <c r="J6324">
        <v>0.59065339708632902</v>
      </c>
      <c r="K6324">
        <v>0.93996320036512904</v>
      </c>
      <c r="L6324">
        <v>998.96133197789197</v>
      </c>
      <c r="M6324">
        <v>21.385796690871601</v>
      </c>
      <c r="N6324">
        <v>53.886239396702003</v>
      </c>
      <c r="O6324">
        <v>46.308762641555496</v>
      </c>
      <c r="P6324">
        <v>-6.1075268182140201E-2</v>
      </c>
      <c r="Q6324">
        <v>0.47100419819648698</v>
      </c>
      <c r="R6324">
        <v>0.47259485000713503</v>
      </c>
      <c r="S6324" t="s">
        <v>12970</v>
      </c>
      <c r="T6324" t="s">
        <v>13290</v>
      </c>
      <c r="U6324" t="s">
        <v>13290</v>
      </c>
      <c r="V6324" t="s">
        <v>13290</v>
      </c>
      <c r="W6324" t="s">
        <v>19559</v>
      </c>
      <c r="X6324">
        <v>6</v>
      </c>
      <c r="Y6324" t="s">
        <v>26024</v>
      </c>
      <c r="Z6324" t="s">
        <v>32654</v>
      </c>
      <c r="AA6324">
        <v>0.59609781162061315</v>
      </c>
      <c r="AB6324" t="str">
        <f>HYPERLINK("Melting_Curves/meltCurve_Q9ULD9_ZNF608.pdf", "Melting_Curves/meltCurve_Q9ULD9_ZNF608.pdf")</f>
        <v>Melting_Curves/meltCurve_Q9ULD9_ZNF608.pdf</v>
      </c>
    </row>
    <row r="6325" spans="1:28" x14ac:dyDescent="0.25">
      <c r="A6325" t="s">
        <v>6329</v>
      </c>
      <c r="B6325">
        <v>0.99252571173614901</v>
      </c>
      <c r="C6325">
        <v>0.84637751246599902</v>
      </c>
      <c r="D6325">
        <v>0.89013260392100002</v>
      </c>
      <c r="E6325">
        <v>0.78022440758900902</v>
      </c>
      <c r="F6325">
        <v>0.46818855073566701</v>
      </c>
      <c r="G6325">
        <v>0.17085557416133401</v>
      </c>
      <c r="H6325">
        <v>7.3390290287571006E-2</v>
      </c>
      <c r="I6325">
        <v>6.99749790287824E-2</v>
      </c>
      <c r="J6325">
        <v>8.1132886744329599E-2</v>
      </c>
      <c r="K6325">
        <v>7.9374586043403694E-2</v>
      </c>
      <c r="L6325">
        <v>1014.00291217813</v>
      </c>
      <c r="M6325">
        <v>19.406367350305501</v>
      </c>
      <c r="N6325">
        <v>52.513364728277701</v>
      </c>
      <c r="O6325">
        <v>51.705702220637001</v>
      </c>
      <c r="P6325">
        <v>-8.9499597574008494E-2</v>
      </c>
      <c r="Q6325">
        <v>4.6195527682656903E-2</v>
      </c>
      <c r="R6325">
        <v>0.980418655352709</v>
      </c>
      <c r="S6325" t="s">
        <v>12971</v>
      </c>
      <c r="T6325" t="s">
        <v>13290</v>
      </c>
      <c r="U6325" t="s">
        <v>13290</v>
      </c>
      <c r="V6325" t="s">
        <v>13290</v>
      </c>
      <c r="W6325" t="s">
        <v>19560</v>
      </c>
      <c r="X6325">
        <v>32</v>
      </c>
      <c r="Y6325" t="s">
        <v>26025</v>
      </c>
      <c r="Z6325" t="s">
        <v>32655</v>
      </c>
      <c r="AA6325">
        <v>0.44960075099691488</v>
      </c>
      <c r="AB6325" t="str">
        <f>HYPERLINK("Melting_Curves/meltCurve_Q9ULE6_PALD1.pdf", "Melting_Curves/meltCurve_Q9ULE6_PALD1.pdf")</f>
        <v>Melting_Curves/meltCurve_Q9ULE6_PALD1.pdf</v>
      </c>
    </row>
    <row r="6326" spans="1:28" x14ac:dyDescent="0.25">
      <c r="A6326" t="s">
        <v>6330</v>
      </c>
      <c r="B6326">
        <v>0.99252571173614901</v>
      </c>
      <c r="C6326">
        <v>1.0088989873873</v>
      </c>
      <c r="D6326">
        <v>0.93140999981439598</v>
      </c>
      <c r="E6326">
        <v>1.00816356655527</v>
      </c>
      <c r="F6326">
        <v>0.83636492804303297</v>
      </c>
      <c r="G6326">
        <v>0.68263264908756804</v>
      </c>
      <c r="H6326">
        <v>0.74187599142865301</v>
      </c>
      <c r="I6326">
        <v>1.01192936386828</v>
      </c>
      <c r="J6326">
        <v>1.7052092229625699</v>
      </c>
      <c r="K6326">
        <v>1.69241667275232</v>
      </c>
      <c r="L6326">
        <v>15000</v>
      </c>
      <c r="M6326">
        <v>230.96138218078201</v>
      </c>
      <c r="O6326">
        <v>64.9410529457584</v>
      </c>
      <c r="P6326">
        <v>0.44455966632403798</v>
      </c>
      <c r="Q6326">
        <v>1.5</v>
      </c>
      <c r="R6326">
        <v>0.75556004001583199</v>
      </c>
      <c r="S6326" t="s">
        <v>12972</v>
      </c>
      <c r="T6326" t="s">
        <v>13290</v>
      </c>
      <c r="U6326" t="s">
        <v>13290</v>
      </c>
      <c r="V6326" t="s">
        <v>13290</v>
      </c>
      <c r="W6326" t="s">
        <v>19561</v>
      </c>
      <c r="X6326">
        <v>7</v>
      </c>
      <c r="Y6326" t="s">
        <v>26026</v>
      </c>
      <c r="Z6326" t="s">
        <v>32656</v>
      </c>
      <c r="AA6326">
        <v>1.0841678524545151</v>
      </c>
      <c r="AB6326" t="str">
        <f>HYPERLINK("Melting_Curves/meltCurve_Q9ULF5_SLC39A10.pdf", "Melting_Curves/meltCurve_Q9ULF5_SLC39A10.pdf")</f>
        <v>Melting_Curves/meltCurve_Q9ULF5_SLC39A10.pdf</v>
      </c>
    </row>
    <row r="6327" spans="1:28" x14ac:dyDescent="0.25">
      <c r="A6327" t="s">
        <v>6331</v>
      </c>
      <c r="B6327">
        <v>0.99252571173614901</v>
      </c>
      <c r="C6327">
        <v>1.0181468555475399</v>
      </c>
      <c r="D6327">
        <v>0.88846449781905601</v>
      </c>
      <c r="E6327">
        <v>0.77277984196958205</v>
      </c>
      <c r="F6327">
        <v>0.49099548064776399</v>
      </c>
      <c r="G6327">
        <v>0.203363817198149</v>
      </c>
      <c r="H6327">
        <v>0.178228027002752</v>
      </c>
      <c r="I6327">
        <v>0.22398955382698199</v>
      </c>
      <c r="J6327">
        <v>0.312249176442839</v>
      </c>
      <c r="K6327">
        <v>0.28618517347706901</v>
      </c>
      <c r="L6327">
        <v>1332.0938931287999</v>
      </c>
      <c r="M6327">
        <v>26.011358051131801</v>
      </c>
      <c r="N6327">
        <v>52.483158468415802</v>
      </c>
      <c r="O6327">
        <v>50.9121936158962</v>
      </c>
      <c r="P6327">
        <v>-9.7877495783234403E-2</v>
      </c>
      <c r="Q6327">
        <v>0.23370387065154299</v>
      </c>
      <c r="R6327">
        <v>0.97306173428062404</v>
      </c>
      <c r="S6327" t="s">
        <v>12973</v>
      </c>
      <c r="T6327" t="s">
        <v>13290</v>
      </c>
      <c r="U6327" t="s">
        <v>13290</v>
      </c>
      <c r="V6327" t="s">
        <v>13290</v>
      </c>
      <c r="W6327" t="s">
        <v>19562</v>
      </c>
      <c r="X6327">
        <v>4</v>
      </c>
      <c r="Y6327" t="s">
        <v>26027</v>
      </c>
      <c r="Z6327" t="s">
        <v>32657</v>
      </c>
      <c r="AA6327">
        <v>0.52651306419519783</v>
      </c>
      <c r="AB6327" t="str">
        <f>HYPERLINK("Melting_Curves/meltCurve_Q9ULH0_2_KIDINS220.pdf", "Melting_Curves/meltCurve_Q9ULH0_2_KIDINS220.pdf")</f>
        <v>Melting_Curves/meltCurve_Q9ULH0_2_KIDINS220.pdf</v>
      </c>
    </row>
    <row r="6328" spans="1:28" x14ac:dyDescent="0.25">
      <c r="A6328" t="s">
        <v>6332</v>
      </c>
      <c r="B6328">
        <v>0.99252571173614901</v>
      </c>
      <c r="C6328">
        <v>0.955907791885237</v>
      </c>
      <c r="D6328">
        <v>0.80560201978908597</v>
      </c>
      <c r="E6328">
        <v>0.66772372219490295</v>
      </c>
      <c r="F6328">
        <v>0.38913972569620098</v>
      </c>
      <c r="G6328">
        <v>0.183460957432001</v>
      </c>
      <c r="H6328">
        <v>0.160003818069238</v>
      </c>
      <c r="I6328">
        <v>0.185768871099567</v>
      </c>
      <c r="J6328">
        <v>0.251311419657548</v>
      </c>
      <c r="K6328">
        <v>0.24907342404358601</v>
      </c>
      <c r="L6328">
        <v>970.82026674503504</v>
      </c>
      <c r="M6328">
        <v>19.476394940151501</v>
      </c>
      <c r="N6328">
        <v>51.104862199093503</v>
      </c>
      <c r="O6328">
        <v>49.329429812997503</v>
      </c>
      <c r="P6328">
        <v>-7.9901745550219894E-2</v>
      </c>
      <c r="Q6328">
        <v>0.190535028780244</v>
      </c>
      <c r="R6328">
        <v>0.97850365166726105</v>
      </c>
      <c r="S6328" t="s">
        <v>12974</v>
      </c>
      <c r="T6328" t="s">
        <v>13290</v>
      </c>
      <c r="U6328" t="s">
        <v>13290</v>
      </c>
      <c r="V6328" t="s">
        <v>13290</v>
      </c>
      <c r="W6328" t="s">
        <v>19563</v>
      </c>
      <c r="X6328">
        <v>5</v>
      </c>
      <c r="Y6328" t="s">
        <v>26028</v>
      </c>
      <c r="Z6328" t="s">
        <v>32658</v>
      </c>
      <c r="AA6328">
        <v>0.46807830894216129</v>
      </c>
      <c r="AB6328" t="str">
        <f>HYPERLINK("Melting_Curves/meltCurve_Q9ULH7_4_MKL2.pdf", "Melting_Curves/meltCurve_Q9ULH7_4_MKL2.pdf")</f>
        <v>Melting_Curves/meltCurve_Q9ULH7_4_MKL2.pdf</v>
      </c>
    </row>
    <row r="6329" spans="1:28" x14ac:dyDescent="0.25">
      <c r="A6329" t="s">
        <v>6333</v>
      </c>
      <c r="B6329">
        <v>0.99252571173614901</v>
      </c>
      <c r="C6329">
        <v>1.10369540034772</v>
      </c>
      <c r="D6329">
        <v>0.97418379712966996</v>
      </c>
      <c r="E6329">
        <v>0.94003849203582202</v>
      </c>
      <c r="F6329">
        <v>0.66165207936944403</v>
      </c>
      <c r="G6329">
        <v>0.28338691022428403</v>
      </c>
      <c r="H6329">
        <v>0.12865303201098</v>
      </c>
      <c r="I6329">
        <v>0.104264400004851</v>
      </c>
      <c r="J6329">
        <v>0.17891737601306401</v>
      </c>
      <c r="K6329">
        <v>0.18296268749701</v>
      </c>
      <c r="L6329">
        <v>1780.7185443214801</v>
      </c>
      <c r="M6329">
        <v>33.060308467904399</v>
      </c>
      <c r="N6329">
        <v>54.423447011406097</v>
      </c>
      <c r="O6329">
        <v>53.666808292546698</v>
      </c>
      <c r="P6329">
        <v>-0.13177978689428699</v>
      </c>
      <c r="Q6329">
        <v>0.144331182879747</v>
      </c>
      <c r="R6329">
        <v>0.98890464539515599</v>
      </c>
      <c r="S6329" t="s">
        <v>12975</v>
      </c>
      <c r="T6329" t="s">
        <v>13290</v>
      </c>
      <c r="U6329" t="s">
        <v>13290</v>
      </c>
      <c r="V6329" t="s">
        <v>13290</v>
      </c>
      <c r="W6329" t="s">
        <v>19564</v>
      </c>
      <c r="X6329">
        <v>5</v>
      </c>
      <c r="Y6329" t="s">
        <v>26029</v>
      </c>
      <c r="Z6329" t="s">
        <v>32659</v>
      </c>
      <c r="AA6329">
        <v>0.54437091690262529</v>
      </c>
      <c r="AB6329" t="str">
        <f>HYPERLINK("Melting_Curves/meltCurve_Q9ULJ6_ZMIZ1.pdf", "Melting_Curves/meltCurve_Q9ULJ6_ZMIZ1.pdf")</f>
        <v>Melting_Curves/meltCurve_Q9ULJ6_ZMIZ1.pdf</v>
      </c>
    </row>
    <row r="6330" spans="1:28" x14ac:dyDescent="0.25">
      <c r="A6330" t="s">
        <v>6334</v>
      </c>
      <c r="B6330">
        <v>0.99252571173614901</v>
      </c>
      <c r="C6330">
        <v>0.99500741276779703</v>
      </c>
      <c r="D6330">
        <v>0.82554272974399001</v>
      </c>
      <c r="E6330">
        <v>0.72636522524080005</v>
      </c>
      <c r="F6330">
        <v>0.50186339262406199</v>
      </c>
      <c r="G6330">
        <v>0.38151056931437399</v>
      </c>
      <c r="H6330">
        <v>0.31057818569628198</v>
      </c>
      <c r="I6330">
        <v>0.35511705906258201</v>
      </c>
      <c r="J6330">
        <v>0.53809223634023895</v>
      </c>
      <c r="K6330">
        <v>0.57478394916659803</v>
      </c>
      <c r="L6330">
        <v>1100.37834181423</v>
      </c>
      <c r="M6330">
        <v>22.513315250247899</v>
      </c>
      <c r="N6330">
        <v>53.525824089360903</v>
      </c>
      <c r="O6330">
        <v>48.496063586043597</v>
      </c>
      <c r="P6330">
        <v>-6.6241436293351094E-2</v>
      </c>
      <c r="Q6330">
        <v>0.42924756755646598</v>
      </c>
      <c r="R6330">
        <v>0.884178946328116</v>
      </c>
      <c r="S6330" t="s">
        <v>12976</v>
      </c>
      <c r="T6330" t="s">
        <v>13290</v>
      </c>
      <c r="U6330" t="s">
        <v>13290</v>
      </c>
      <c r="V6330" t="s">
        <v>13290</v>
      </c>
      <c r="W6330" t="s">
        <v>19565</v>
      </c>
      <c r="X6330">
        <v>3</v>
      </c>
      <c r="Y6330" t="s">
        <v>26030</v>
      </c>
      <c r="Z6330" t="s">
        <v>32660</v>
      </c>
      <c r="AA6330">
        <v>0.60440482090270076</v>
      </c>
      <c r="AB6330" t="str">
        <f>HYPERLINK("Melting_Curves/meltCurve_Q9ULJ8_PPP1R9A.pdf", "Melting_Curves/meltCurve_Q9ULJ8_PPP1R9A.pdf")</f>
        <v>Melting_Curves/meltCurve_Q9ULJ8_PPP1R9A.pdf</v>
      </c>
    </row>
    <row r="6331" spans="1:28" x14ac:dyDescent="0.25">
      <c r="A6331" t="s">
        <v>6335</v>
      </c>
      <c r="B6331">
        <v>0.99252571173614901</v>
      </c>
      <c r="C6331">
        <v>0.95196972862102502</v>
      </c>
      <c r="D6331">
        <v>0.79640419983951805</v>
      </c>
      <c r="E6331">
        <v>0.62048754492108904</v>
      </c>
      <c r="F6331">
        <v>0.36441269364634499</v>
      </c>
      <c r="G6331">
        <v>0.13978760496748499</v>
      </c>
      <c r="H6331">
        <v>8.2869278023758597E-2</v>
      </c>
      <c r="I6331">
        <v>8.4988329152229203E-2</v>
      </c>
      <c r="J6331">
        <v>0.123838360545819</v>
      </c>
      <c r="K6331">
        <v>0.15978753550361399</v>
      </c>
      <c r="L6331">
        <v>879.35242329079995</v>
      </c>
      <c r="M6331">
        <v>17.536450940759199</v>
      </c>
      <c r="N6331">
        <v>50.714932073722402</v>
      </c>
      <c r="O6331">
        <v>49.505850916327198</v>
      </c>
      <c r="P6331">
        <v>-8.0632526272325505E-2</v>
      </c>
      <c r="Q6331">
        <v>8.9539346624882901E-2</v>
      </c>
      <c r="R6331">
        <v>0.98834298366877504</v>
      </c>
      <c r="S6331" t="s">
        <v>12977</v>
      </c>
      <c r="T6331" t="s">
        <v>13290</v>
      </c>
      <c r="U6331" t="s">
        <v>13290</v>
      </c>
      <c r="V6331" t="s">
        <v>13290</v>
      </c>
      <c r="W6331" t="s">
        <v>19566</v>
      </c>
      <c r="X6331">
        <v>2</v>
      </c>
      <c r="Y6331" t="s">
        <v>26031</v>
      </c>
      <c r="Z6331" t="s">
        <v>32661</v>
      </c>
      <c r="AA6331">
        <v>0.41368026365963978</v>
      </c>
      <c r="AB6331" t="str">
        <f>HYPERLINK("Melting_Curves/meltCurve_Q9ULL5_3_PRR12.pdf", "Melting_Curves/meltCurve_Q9ULL5_3_PRR12.pdf")</f>
        <v>Melting_Curves/meltCurve_Q9ULL5_3_PRR12.pdf</v>
      </c>
    </row>
    <row r="6332" spans="1:28" x14ac:dyDescent="0.25">
      <c r="A6332" t="s">
        <v>6336</v>
      </c>
      <c r="B6332">
        <v>0.99252571173614901</v>
      </c>
      <c r="C6332">
        <v>0.97739058387316602</v>
      </c>
      <c r="D6332">
        <v>0.86119020128043799</v>
      </c>
      <c r="E6332">
        <v>0.55866899991271801</v>
      </c>
      <c r="F6332">
        <v>0.16298402828872399</v>
      </c>
      <c r="G6332">
        <v>8.5890989418456895E-2</v>
      </c>
      <c r="H6332">
        <v>4.6181538079507797E-2</v>
      </c>
      <c r="I6332">
        <v>4.9007915717296298E-2</v>
      </c>
      <c r="J6332">
        <v>5.1081357431766103E-2</v>
      </c>
      <c r="K6332">
        <v>5.0504089368218798E-2</v>
      </c>
      <c r="L6332">
        <v>1265.5968813653701</v>
      </c>
      <c r="M6332">
        <v>25.4745533059853</v>
      </c>
      <c r="N6332">
        <v>49.857248920622197</v>
      </c>
      <c r="O6332">
        <v>49.377717875399902</v>
      </c>
      <c r="P6332">
        <v>-0.12342063640332</v>
      </c>
      <c r="Q6332">
        <v>4.3099542031762701E-2</v>
      </c>
      <c r="R6332">
        <v>0.99829907044723099</v>
      </c>
      <c r="S6332" t="s">
        <v>12978</v>
      </c>
      <c r="T6332" t="s">
        <v>13290</v>
      </c>
      <c r="U6332" t="s">
        <v>13290</v>
      </c>
      <c r="V6332" t="s">
        <v>13290</v>
      </c>
      <c r="W6332" t="s">
        <v>19567</v>
      </c>
      <c r="X6332">
        <v>8</v>
      </c>
      <c r="Y6332" t="s">
        <v>26032</v>
      </c>
      <c r="Z6332" t="s">
        <v>32662</v>
      </c>
      <c r="AA6332">
        <v>0.36009296482136149</v>
      </c>
      <c r="AB6332" t="str">
        <f>HYPERLINK("Melting_Curves/meltCurve_Q9ULP9_2_TBC1D24.pdf", "Melting_Curves/meltCurve_Q9ULP9_2_TBC1D24.pdf")</f>
        <v>Melting_Curves/meltCurve_Q9ULP9_2_TBC1D24.pdf</v>
      </c>
    </row>
    <row r="6333" spans="1:28" x14ac:dyDescent="0.25">
      <c r="A6333" t="s">
        <v>6337</v>
      </c>
      <c r="B6333">
        <v>0.99252571173614901</v>
      </c>
      <c r="C6333">
        <v>0.88165892093350595</v>
      </c>
      <c r="D6333">
        <v>0.73529629501470795</v>
      </c>
      <c r="E6333">
        <v>0.91301342847826505</v>
      </c>
      <c r="F6333">
        <v>1.0080187597039501</v>
      </c>
      <c r="G6333">
        <v>0.89018080741883399</v>
      </c>
      <c r="H6333">
        <v>0.85010849392342902</v>
      </c>
      <c r="I6333">
        <v>1.1295369921618801</v>
      </c>
      <c r="J6333">
        <v>1.6911732440512599</v>
      </c>
      <c r="K6333">
        <v>1.7948155156277701</v>
      </c>
      <c r="L6333">
        <v>15000</v>
      </c>
      <c r="M6333">
        <v>233.32478853606301</v>
      </c>
      <c r="O6333">
        <v>64.283341231519699</v>
      </c>
      <c r="P6333">
        <v>0.453703807033772</v>
      </c>
      <c r="Q6333">
        <v>1.5</v>
      </c>
      <c r="R6333">
        <v>0.78724881985043704</v>
      </c>
      <c r="S6333" t="s">
        <v>12979</v>
      </c>
      <c r="T6333" t="s">
        <v>13290</v>
      </c>
      <c r="U6333" t="s">
        <v>13290</v>
      </c>
      <c r="V6333" t="s">
        <v>13290</v>
      </c>
      <c r="W6333" t="s">
        <v>19568</v>
      </c>
      <c r="X6333">
        <v>16</v>
      </c>
      <c r="Y6333" t="s">
        <v>26033</v>
      </c>
      <c r="Z6333" t="s">
        <v>32663</v>
      </c>
      <c r="AA6333">
        <v>1.09513409165728</v>
      </c>
      <c r="AB6333" t="str">
        <f>HYPERLINK("Melting_Curves/meltCurve_Q9ULR0_ISY1.pdf", "Melting_Curves/meltCurve_Q9ULR0_ISY1.pdf")</f>
        <v>Melting_Curves/meltCurve_Q9ULR0_ISY1.pdf</v>
      </c>
    </row>
    <row r="6334" spans="1:28" x14ac:dyDescent="0.25">
      <c r="A6334" t="s">
        <v>6338</v>
      </c>
      <c r="B6334">
        <v>0.99252571173614901</v>
      </c>
      <c r="C6334">
        <v>1.0317333544238501</v>
      </c>
      <c r="D6334">
        <v>0.97565834233997795</v>
      </c>
      <c r="E6334">
        <v>0.99572918101572405</v>
      </c>
      <c r="F6334">
        <v>0.75602053300141703</v>
      </c>
      <c r="G6334">
        <v>0.60756290639291</v>
      </c>
      <c r="H6334">
        <v>0.42948695779856599</v>
      </c>
      <c r="I6334">
        <v>0.21240973735221599</v>
      </c>
      <c r="J6334">
        <v>0.25367853964982401</v>
      </c>
      <c r="K6334">
        <v>0.239474727225235</v>
      </c>
      <c r="L6334">
        <v>997.36245026024903</v>
      </c>
      <c r="M6334">
        <v>17.5761305313302</v>
      </c>
      <c r="N6334">
        <v>58.343195407173503</v>
      </c>
      <c r="O6334">
        <v>56.025996430345302</v>
      </c>
      <c r="P6334">
        <v>-6.3449360161618104E-2</v>
      </c>
      <c r="Q6334">
        <v>0.19103446278033401</v>
      </c>
      <c r="R6334">
        <v>0.98505694917144804</v>
      </c>
      <c r="S6334" t="s">
        <v>12980</v>
      </c>
      <c r="T6334" t="s">
        <v>13290</v>
      </c>
      <c r="U6334" t="s">
        <v>13290</v>
      </c>
      <c r="V6334" t="s">
        <v>13290</v>
      </c>
      <c r="W6334" t="s">
        <v>19569</v>
      </c>
      <c r="X6334">
        <v>12</v>
      </c>
      <c r="Y6334" t="s">
        <v>26034</v>
      </c>
      <c r="Z6334" t="s">
        <v>32664</v>
      </c>
      <c r="AA6334">
        <v>0.65418904757190333</v>
      </c>
      <c r="AB6334" t="str">
        <f>HYPERLINK("Melting_Curves/meltCurve_Q9ULR3_PPM1H.pdf", "Melting_Curves/meltCurve_Q9ULR3_PPM1H.pdf")</f>
        <v>Melting_Curves/meltCurve_Q9ULR3_PPM1H.pdf</v>
      </c>
    </row>
    <row r="6335" spans="1:28" x14ac:dyDescent="0.25">
      <c r="A6335" t="s">
        <v>6339</v>
      </c>
      <c r="B6335">
        <v>0.99252571173614901</v>
      </c>
      <c r="C6335">
        <v>1.02584114488105</v>
      </c>
      <c r="D6335">
        <v>1.05544007788411</v>
      </c>
      <c r="E6335">
        <v>1.0227530466127901</v>
      </c>
      <c r="F6335">
        <v>0.427897324938738</v>
      </c>
      <c r="G6335">
        <v>0.110064776990332</v>
      </c>
      <c r="H6335">
        <v>9.7634458787156694E-2</v>
      </c>
      <c r="I6335">
        <v>7.7646353293214496E-2</v>
      </c>
      <c r="J6335">
        <v>9.5570339846159702E-2</v>
      </c>
      <c r="K6335">
        <v>9.6522496099525304E-2</v>
      </c>
      <c r="L6335">
        <v>9641.5542978408102</v>
      </c>
      <c r="M6335">
        <v>181.775167203736</v>
      </c>
      <c r="N6335">
        <v>53.103007441616597</v>
      </c>
      <c r="O6335">
        <v>53.0346774620715</v>
      </c>
      <c r="P6335">
        <v>-0.775049923400986</v>
      </c>
      <c r="Q6335">
        <v>9.5486515734065094E-2</v>
      </c>
      <c r="R6335">
        <v>0.99747947699515604</v>
      </c>
      <c r="S6335" t="s">
        <v>12981</v>
      </c>
      <c r="T6335" t="s">
        <v>13290</v>
      </c>
      <c r="U6335" t="s">
        <v>13290</v>
      </c>
      <c r="V6335" t="s">
        <v>13290</v>
      </c>
      <c r="W6335" t="s">
        <v>19570</v>
      </c>
      <c r="X6335">
        <v>29</v>
      </c>
      <c r="Y6335" t="s">
        <v>26035</v>
      </c>
      <c r="Z6335" t="s">
        <v>32665</v>
      </c>
      <c r="AA6335">
        <v>0.48884074885362</v>
      </c>
      <c r="AB6335" t="str">
        <f>HYPERLINK("Melting_Curves/meltCurve_Q9ULV4_CORO1C.pdf", "Melting_Curves/meltCurve_Q9ULV4_CORO1C.pdf")</f>
        <v>Melting_Curves/meltCurve_Q9ULV4_CORO1C.pdf</v>
      </c>
    </row>
    <row r="6336" spans="1:28" x14ac:dyDescent="0.25">
      <c r="A6336" t="s">
        <v>6340</v>
      </c>
      <c r="B6336">
        <v>0.99252571173614901</v>
      </c>
      <c r="C6336">
        <v>1.107600521123</v>
      </c>
      <c r="D6336">
        <v>1.0206506943649301</v>
      </c>
      <c r="E6336">
        <v>1.0819477182306001</v>
      </c>
      <c r="F6336">
        <v>0.72827045245793098</v>
      </c>
      <c r="G6336">
        <v>0.59934939530201004</v>
      </c>
      <c r="H6336">
        <v>0.56997336864797898</v>
      </c>
      <c r="I6336">
        <v>0.72948248979418695</v>
      </c>
      <c r="J6336">
        <v>1.1611682126160601</v>
      </c>
      <c r="K6336">
        <v>1.38804679097951</v>
      </c>
      <c r="L6336">
        <v>15000</v>
      </c>
      <c r="M6336">
        <v>223.204571155026</v>
      </c>
      <c r="O6336">
        <v>67.197542957915104</v>
      </c>
      <c r="P6336">
        <v>0.32228124524774099</v>
      </c>
      <c r="Q6336">
        <v>1.38810143445588</v>
      </c>
      <c r="R6336">
        <v>0.212544829426738</v>
      </c>
      <c r="S6336" t="s">
        <v>12982</v>
      </c>
      <c r="T6336" t="s">
        <v>13290</v>
      </c>
      <c r="U6336" t="s">
        <v>13290</v>
      </c>
      <c r="V6336" t="s">
        <v>13290</v>
      </c>
      <c r="W6336" t="s">
        <v>19571</v>
      </c>
      <c r="X6336">
        <v>40</v>
      </c>
      <c r="Y6336" t="s">
        <v>26036</v>
      </c>
      <c r="Z6336" t="s">
        <v>32666</v>
      </c>
      <c r="AA6336">
        <v>1.0361281092498349</v>
      </c>
      <c r="AB6336" t="str">
        <f>HYPERLINK("Melting_Curves/meltCurve_Q9ULW0_TPX2.pdf", "Melting_Curves/meltCurve_Q9ULW0_TPX2.pdf")</f>
        <v>Melting_Curves/meltCurve_Q9ULW0_TPX2.pdf</v>
      </c>
    </row>
    <row r="6337" spans="1:28" x14ac:dyDescent="0.25">
      <c r="A6337" t="s">
        <v>6341</v>
      </c>
      <c r="B6337">
        <v>0.99252571173614901</v>
      </c>
      <c r="C6337">
        <v>0.97160707426187498</v>
      </c>
      <c r="D6337">
        <v>0.80303354699517104</v>
      </c>
      <c r="E6337">
        <v>0.47217949870523002</v>
      </c>
      <c r="F6337">
        <v>0.16431686332908599</v>
      </c>
      <c r="G6337">
        <v>8.1692624978336098E-2</v>
      </c>
      <c r="H6337">
        <v>5.8633834034010797E-2</v>
      </c>
      <c r="I6337">
        <v>5.72466060965851E-2</v>
      </c>
      <c r="J6337">
        <v>6.2138713931309597E-2</v>
      </c>
      <c r="K6337">
        <v>5.7868661416697102E-2</v>
      </c>
      <c r="L6337">
        <v>1120.70056972366</v>
      </c>
      <c r="M6337">
        <v>22.904331561304001</v>
      </c>
      <c r="N6337">
        <v>49.160922847905297</v>
      </c>
      <c r="O6337">
        <v>48.561240614907</v>
      </c>
      <c r="P6337">
        <v>-0.111894012226635</v>
      </c>
      <c r="Q6337">
        <v>5.1077718912228801E-2</v>
      </c>
      <c r="R6337">
        <v>0.99914622197556802</v>
      </c>
      <c r="S6337" t="s">
        <v>12983</v>
      </c>
      <c r="T6337" t="s">
        <v>13290</v>
      </c>
      <c r="U6337" t="s">
        <v>13290</v>
      </c>
      <c r="V6337" t="s">
        <v>13290</v>
      </c>
      <c r="W6337" t="s">
        <v>19572</v>
      </c>
      <c r="X6337">
        <v>7</v>
      </c>
      <c r="Y6337" t="s">
        <v>26037</v>
      </c>
      <c r="Z6337" t="s">
        <v>32667</v>
      </c>
      <c r="AA6337">
        <v>0.3435984303879529</v>
      </c>
      <c r="AB6337" t="str">
        <f>HYPERLINK("Melting_Curves/meltCurve_Q9ULX3_NOB1.pdf", "Melting_Curves/meltCurve_Q9ULX3_NOB1.pdf")</f>
        <v>Melting_Curves/meltCurve_Q9ULX3_NOB1.pdf</v>
      </c>
    </row>
    <row r="6338" spans="1:28" x14ac:dyDescent="0.25">
      <c r="A6338" t="s">
        <v>6342</v>
      </c>
      <c r="B6338">
        <v>0.99252571173614901</v>
      </c>
      <c r="C6338">
        <v>0.65104791796708905</v>
      </c>
      <c r="D6338">
        <v>0.60629266187033204</v>
      </c>
      <c r="E6338">
        <v>0.351558863991138</v>
      </c>
      <c r="F6338">
        <v>0.17432779434628101</v>
      </c>
      <c r="G6338">
        <v>0.11267653322159001</v>
      </c>
      <c r="H6338">
        <v>9.4528062220881601E-2</v>
      </c>
      <c r="I6338">
        <v>0.12976774200529001</v>
      </c>
      <c r="J6338">
        <v>0.25834575083522998</v>
      </c>
      <c r="K6338">
        <v>0.49798083953442701</v>
      </c>
      <c r="L6338">
        <v>831.87901939478104</v>
      </c>
      <c r="M6338">
        <v>18.537136200567499</v>
      </c>
      <c r="N6338">
        <v>46.228987151057403</v>
      </c>
      <c r="O6338">
        <v>44.363877161178898</v>
      </c>
      <c r="P6338">
        <v>-8.2598605306730896E-2</v>
      </c>
      <c r="Q6338">
        <v>0.209320504229522</v>
      </c>
      <c r="R6338">
        <v>0.80821911152839099</v>
      </c>
      <c r="S6338" t="s">
        <v>12984</v>
      </c>
      <c r="T6338" t="s">
        <v>13290</v>
      </c>
      <c r="U6338" t="s">
        <v>13290</v>
      </c>
      <c r="V6338" t="s">
        <v>13290</v>
      </c>
      <c r="W6338" t="s">
        <v>19573</v>
      </c>
      <c r="X6338">
        <v>3</v>
      </c>
      <c r="Y6338" t="s">
        <v>26038</v>
      </c>
      <c r="Z6338" t="s">
        <v>32668</v>
      </c>
      <c r="AA6338">
        <v>0.35402124887908282</v>
      </c>
      <c r="AB6338" t="str">
        <f>HYPERLINK("Melting_Curves/meltCurve_Q9ULX6_AKAP8L.pdf", "Melting_Curves/meltCurve_Q9ULX6_AKAP8L.pdf")</f>
        <v>Melting_Curves/meltCurve_Q9ULX6_AKAP8L.pdf</v>
      </c>
    </row>
    <row r="6339" spans="1:28" x14ac:dyDescent="0.25">
      <c r="A6339" t="s">
        <v>6343</v>
      </c>
      <c r="B6339">
        <v>0.99252571173614901</v>
      </c>
      <c r="C6339">
        <v>0.78099600131351699</v>
      </c>
      <c r="D6339">
        <v>1.08283711859758</v>
      </c>
      <c r="E6339">
        <v>0.91904116644381095</v>
      </c>
      <c r="F6339">
        <v>0.70614867026527195</v>
      </c>
      <c r="G6339">
        <v>0.64279611231912404</v>
      </c>
      <c r="H6339">
        <v>0.48123310122740198</v>
      </c>
      <c r="I6339">
        <v>0.26643256623303102</v>
      </c>
      <c r="J6339">
        <v>0.32572870442678098</v>
      </c>
      <c r="K6339">
        <v>9.6739469841282802E-2</v>
      </c>
      <c r="L6339">
        <v>624.83304552973402</v>
      </c>
      <c r="M6339">
        <v>10.5013798727976</v>
      </c>
      <c r="N6339">
        <v>59.5001139843543</v>
      </c>
      <c r="O6339">
        <v>57.463940729042001</v>
      </c>
      <c r="P6339">
        <v>-4.5705254537230101E-2</v>
      </c>
      <c r="Q6339">
        <v>0</v>
      </c>
      <c r="R6339">
        <v>0.91655768526140602</v>
      </c>
      <c r="S6339" t="s">
        <v>12985</v>
      </c>
      <c r="T6339" t="s">
        <v>13290</v>
      </c>
      <c r="U6339" t="s">
        <v>13290</v>
      </c>
      <c r="V6339" t="s">
        <v>13290</v>
      </c>
      <c r="W6339" t="s">
        <v>19574</v>
      </c>
      <c r="X6339">
        <v>1</v>
      </c>
      <c r="Y6339" t="s">
        <v>26039</v>
      </c>
      <c r="Z6339" t="s">
        <v>32669</v>
      </c>
      <c r="AA6339">
        <v>0.6514825610883499</v>
      </c>
      <c r="AB6339" t="str">
        <f>HYPERLINK("Melting_Curves/meltCurve_Q9ULX7_CA14.pdf", "Melting_Curves/meltCurve_Q9ULX7_CA14.pdf")</f>
        <v>Melting_Curves/meltCurve_Q9ULX7_CA14.pdf</v>
      </c>
    </row>
    <row r="6340" spans="1:28" x14ac:dyDescent="0.25">
      <c r="A6340" t="s">
        <v>6344</v>
      </c>
      <c r="B6340">
        <v>0.99252571173614901</v>
      </c>
      <c r="C6340">
        <v>1.1174254711524001</v>
      </c>
      <c r="D6340">
        <v>1.03452443933352</v>
      </c>
      <c r="E6340">
        <v>1.0685629305081701</v>
      </c>
      <c r="F6340">
        <v>0.97008825490341999</v>
      </c>
      <c r="G6340">
        <v>0.68903577417044004</v>
      </c>
      <c r="H6340">
        <v>0.60660854338576198</v>
      </c>
      <c r="I6340">
        <v>0.79501990681986701</v>
      </c>
      <c r="J6340">
        <v>1.2281321102588301</v>
      </c>
      <c r="K6340">
        <v>1.5931252507911999</v>
      </c>
      <c r="L6340">
        <v>15000</v>
      </c>
      <c r="M6340">
        <v>223.37178538713201</v>
      </c>
      <c r="O6340">
        <v>67.147234269643306</v>
      </c>
      <c r="P6340">
        <v>0.41582462000125903</v>
      </c>
      <c r="Q6340">
        <v>1.5</v>
      </c>
      <c r="R6340">
        <v>0.54983055720628404</v>
      </c>
      <c r="S6340" t="s">
        <v>12986</v>
      </c>
      <c r="T6340" t="s">
        <v>13290</v>
      </c>
      <c r="U6340" t="s">
        <v>13290</v>
      </c>
      <c r="V6340" t="s">
        <v>13290</v>
      </c>
      <c r="W6340" t="s">
        <v>19575</v>
      </c>
      <c r="X6340">
        <v>3</v>
      </c>
      <c r="Y6340" t="s">
        <v>26040</v>
      </c>
      <c r="Z6340" t="s">
        <v>32670</v>
      </c>
      <c r="AA6340">
        <v>1.0473831855179609</v>
      </c>
      <c r="AB6340" t="str">
        <f>HYPERLINK("Melting_Curves/meltCurve_Q9ULX9_MAFF.pdf", "Melting_Curves/meltCurve_Q9ULX9_MAFF.pdf")</f>
        <v>Melting_Curves/meltCurve_Q9ULX9_MAFF.pdf</v>
      </c>
    </row>
    <row r="6341" spans="1:28" x14ac:dyDescent="0.25">
      <c r="A6341" t="s">
        <v>6345</v>
      </c>
      <c r="B6341">
        <v>0.99252571173614901</v>
      </c>
      <c r="C6341">
        <v>1.07311355806241</v>
      </c>
      <c r="D6341">
        <v>0.88994381382490395</v>
      </c>
      <c r="E6341">
        <v>0.682642810835693</v>
      </c>
      <c r="F6341">
        <v>0.48625360350449998</v>
      </c>
      <c r="G6341">
        <v>0.26568640679301098</v>
      </c>
      <c r="H6341">
        <v>0.17299351429897</v>
      </c>
      <c r="I6341">
        <v>0.17460872764879401</v>
      </c>
      <c r="J6341">
        <v>0.17304452797179201</v>
      </c>
      <c r="K6341">
        <v>0.16779475115429199</v>
      </c>
      <c r="L6341">
        <v>943.62439223382296</v>
      </c>
      <c r="M6341">
        <v>18.362796002162298</v>
      </c>
      <c r="N6341">
        <v>52.423320417852601</v>
      </c>
      <c r="O6341">
        <v>50.790025678548503</v>
      </c>
      <c r="P6341">
        <v>-7.6641181950545006E-2</v>
      </c>
      <c r="Q6341">
        <v>0.152105138543077</v>
      </c>
      <c r="R6341">
        <v>0.98968340762442897</v>
      </c>
      <c r="S6341" t="s">
        <v>12987</v>
      </c>
      <c r="T6341" t="s">
        <v>13290</v>
      </c>
      <c r="U6341" t="s">
        <v>13290</v>
      </c>
      <c r="V6341" t="s">
        <v>13290</v>
      </c>
      <c r="W6341" t="s">
        <v>19576</v>
      </c>
      <c r="X6341">
        <v>4</v>
      </c>
      <c r="Y6341" t="s">
        <v>26041</v>
      </c>
      <c r="Z6341" t="s">
        <v>32671</v>
      </c>
      <c r="AA6341">
        <v>0.48768792770623659</v>
      </c>
      <c r="AB6341" t="str">
        <f>HYPERLINK("Melting_Curves/meltCurve_Q9ULZ3_2_PYCARD.pdf", "Melting_Curves/meltCurve_Q9ULZ3_2_PYCARD.pdf")</f>
        <v>Melting_Curves/meltCurve_Q9ULZ3_2_PYCARD.pdf</v>
      </c>
    </row>
    <row r="6342" spans="1:28" x14ac:dyDescent="0.25">
      <c r="A6342" t="s">
        <v>6346</v>
      </c>
      <c r="B6342">
        <v>0.99252571173614901</v>
      </c>
      <c r="C6342">
        <v>0.97684428484386898</v>
      </c>
      <c r="D6342">
        <v>0.97411504597137399</v>
      </c>
      <c r="E6342">
        <v>1.3554060743640699</v>
      </c>
      <c r="F6342">
        <v>0.16572689787213801</v>
      </c>
      <c r="G6342">
        <v>9.0441396549040695E-2</v>
      </c>
      <c r="H6342">
        <v>5.1245279476836297E-2</v>
      </c>
      <c r="I6342">
        <v>5.0387377537436003E-2</v>
      </c>
      <c r="J6342">
        <v>5.5261068642865403E-2</v>
      </c>
      <c r="K6342">
        <v>7.2316712420419399E-2</v>
      </c>
      <c r="L6342">
        <v>13188.0896305918</v>
      </c>
      <c r="M6342">
        <v>250</v>
      </c>
      <c r="N6342">
        <v>52.781220874813101</v>
      </c>
      <c r="O6342">
        <v>52.7489827299135</v>
      </c>
      <c r="P6342">
        <v>-1.10910874291602</v>
      </c>
      <c r="Q6342">
        <v>6.3930274438927001E-2</v>
      </c>
      <c r="R6342">
        <v>0.94819277220495501</v>
      </c>
      <c r="S6342" t="s">
        <v>12988</v>
      </c>
      <c r="T6342" t="s">
        <v>13290</v>
      </c>
      <c r="U6342" t="s">
        <v>13290</v>
      </c>
      <c r="V6342" t="s">
        <v>13290</v>
      </c>
      <c r="W6342" t="s">
        <v>19577</v>
      </c>
      <c r="X6342">
        <v>43</v>
      </c>
      <c r="Y6342" t="s">
        <v>20394</v>
      </c>
      <c r="Z6342" t="s">
        <v>32672</v>
      </c>
      <c r="AA6342">
        <v>0.46192016011287901</v>
      </c>
      <c r="AB6342" t="str">
        <f>HYPERLINK("Melting_Curves/meltCurve_Q9UM54_5_MYO6.pdf", "Melting_Curves/meltCurve_Q9UM54_5_MYO6.pdf")</f>
        <v>Melting_Curves/meltCurve_Q9UM54_5_MYO6.pdf</v>
      </c>
    </row>
    <row r="6343" spans="1:28" x14ac:dyDescent="0.25">
      <c r="A6343" t="s">
        <v>6347</v>
      </c>
      <c r="B6343">
        <v>0.99252571173614901</v>
      </c>
      <c r="C6343">
        <v>1.05663953301445</v>
      </c>
      <c r="D6343">
        <v>0.87701051990914403</v>
      </c>
      <c r="E6343">
        <v>0.49655473766785102</v>
      </c>
      <c r="F6343">
        <v>0.18088795464431201</v>
      </c>
      <c r="G6343">
        <v>0.111428491036259</v>
      </c>
      <c r="H6343">
        <v>7.8156258071658893E-2</v>
      </c>
      <c r="I6343">
        <v>8.8455603692182694E-2</v>
      </c>
      <c r="J6343">
        <v>0.102783498800246</v>
      </c>
      <c r="K6343">
        <v>9.4272732243469604E-2</v>
      </c>
      <c r="L6343">
        <v>1440.47737457023</v>
      </c>
      <c r="M6343">
        <v>29.2753404412998</v>
      </c>
      <c r="N6343">
        <v>49.542759113987501</v>
      </c>
      <c r="O6343">
        <v>48.976581200425898</v>
      </c>
      <c r="P6343">
        <v>-0.135898752049012</v>
      </c>
      <c r="Q6343">
        <v>9.0591745451126193E-2</v>
      </c>
      <c r="R6343">
        <v>0.99637994425485599</v>
      </c>
      <c r="S6343" t="s">
        <v>12989</v>
      </c>
      <c r="T6343" t="s">
        <v>13290</v>
      </c>
      <c r="U6343" t="s">
        <v>13290</v>
      </c>
      <c r="V6343" t="s">
        <v>13290</v>
      </c>
      <c r="W6343" t="s">
        <v>19578</v>
      </c>
      <c r="X6343">
        <v>30</v>
      </c>
      <c r="Y6343" t="s">
        <v>26042</v>
      </c>
      <c r="Z6343" t="s">
        <v>32673</v>
      </c>
      <c r="AA6343">
        <v>0.37545233742242462</v>
      </c>
      <c r="AB6343" t="str">
        <f>HYPERLINK("Melting_Curves/meltCurve_Q9UMR2_DDX19B.pdf", "Melting_Curves/meltCurve_Q9UMR2_DDX19B.pdf")</f>
        <v>Melting_Curves/meltCurve_Q9UMR2_DDX19B.pdf</v>
      </c>
    </row>
    <row r="6344" spans="1:28" x14ac:dyDescent="0.25">
      <c r="A6344" t="s">
        <v>6348</v>
      </c>
      <c r="B6344">
        <v>0.99252571173614901</v>
      </c>
      <c r="C6344">
        <v>0.47613895039347098</v>
      </c>
      <c r="D6344">
        <v>1.2181491737846399</v>
      </c>
      <c r="E6344">
        <v>0.39911699771519499</v>
      </c>
      <c r="F6344">
        <v>0.79207781921695597</v>
      </c>
      <c r="G6344">
        <v>0.49897383867842099</v>
      </c>
      <c r="H6344">
        <v>0.33153559061243099</v>
      </c>
      <c r="I6344">
        <v>0.24567852901603901</v>
      </c>
      <c r="J6344">
        <v>0.30721004575303801</v>
      </c>
      <c r="K6344">
        <v>0.28455850661287901</v>
      </c>
      <c r="L6344">
        <v>327.119022579709</v>
      </c>
      <c r="M6344">
        <v>5.8029024276122003</v>
      </c>
      <c r="N6344">
        <v>56.3716220710253</v>
      </c>
      <c r="O6344">
        <v>50.757629844094197</v>
      </c>
      <c r="P6344">
        <v>-2.8685657363346599E-2</v>
      </c>
      <c r="Q6344">
        <v>0</v>
      </c>
      <c r="R6344">
        <v>0.52045494879906096</v>
      </c>
      <c r="S6344" t="s">
        <v>12990</v>
      </c>
      <c r="T6344" t="s">
        <v>13290</v>
      </c>
      <c r="U6344" t="s">
        <v>13290</v>
      </c>
      <c r="V6344" t="s">
        <v>13290</v>
      </c>
      <c r="W6344" t="s">
        <v>19579</v>
      </c>
      <c r="X6344">
        <v>6</v>
      </c>
      <c r="Y6344" t="s">
        <v>26043</v>
      </c>
      <c r="Z6344" t="s">
        <v>32674</v>
      </c>
      <c r="AA6344">
        <v>0.55552215356680856</v>
      </c>
      <c r="AB6344" t="str">
        <f>HYPERLINK("Melting_Curves/meltCurve_Q9UMS0_3_NFU1.pdf", "Melting_Curves/meltCurve_Q9UMS0_3_NFU1.pdf")</f>
        <v>Melting_Curves/meltCurve_Q9UMS0_3_NFU1.pdf</v>
      </c>
    </row>
    <row r="6345" spans="1:28" x14ac:dyDescent="0.25">
      <c r="A6345" t="s">
        <v>6349</v>
      </c>
      <c r="B6345">
        <v>0.99252571173614901</v>
      </c>
      <c r="C6345">
        <v>0.95184629604689697</v>
      </c>
      <c r="D6345">
        <v>1.0907051720199901</v>
      </c>
      <c r="E6345">
        <v>1.2387870490478099</v>
      </c>
      <c r="F6345">
        <v>1.3408504923650499</v>
      </c>
      <c r="G6345">
        <v>0.90768594775765699</v>
      </c>
      <c r="H6345">
        <v>0.34001375358441199</v>
      </c>
      <c r="I6345">
        <v>0.153170403648311</v>
      </c>
      <c r="J6345">
        <v>0.138656874972021</v>
      </c>
      <c r="K6345">
        <v>0.118980019389897</v>
      </c>
      <c r="L6345">
        <v>3086.3365487965002</v>
      </c>
      <c r="M6345">
        <v>51.9298844255962</v>
      </c>
      <c r="N6345">
        <v>59.7785612804159</v>
      </c>
      <c r="O6345">
        <v>59.344827154499001</v>
      </c>
      <c r="P6345">
        <v>-0.19038152636585601</v>
      </c>
      <c r="Q6345">
        <v>0.129738087556346</v>
      </c>
      <c r="R6345">
        <v>0.91235543221035098</v>
      </c>
      <c r="S6345" t="s">
        <v>12991</v>
      </c>
      <c r="T6345" t="s">
        <v>13290</v>
      </c>
      <c r="U6345" t="s">
        <v>13290</v>
      </c>
      <c r="V6345" t="s">
        <v>13290</v>
      </c>
      <c r="W6345" t="s">
        <v>19580</v>
      </c>
      <c r="X6345">
        <v>19</v>
      </c>
      <c r="Y6345" t="s">
        <v>20527</v>
      </c>
      <c r="Z6345" t="s">
        <v>32675</v>
      </c>
      <c r="AA6345">
        <v>0.69555305780031584</v>
      </c>
      <c r="AB6345" t="str">
        <f>HYPERLINK("Melting_Curves/meltCurve_Q9UMS4_PRPF19.pdf", "Melting_Curves/meltCurve_Q9UMS4_PRPF19.pdf")</f>
        <v>Melting_Curves/meltCurve_Q9UMS4_PRPF19.pdf</v>
      </c>
    </row>
    <row r="6346" spans="1:28" x14ac:dyDescent="0.25">
      <c r="A6346" t="s">
        <v>6350</v>
      </c>
      <c r="B6346">
        <v>0.99252571173614901</v>
      </c>
      <c r="C6346">
        <v>1.0437654871074</v>
      </c>
      <c r="D6346">
        <v>0.91232468269046396</v>
      </c>
      <c r="E6346">
        <v>0.84755084590983099</v>
      </c>
      <c r="F6346">
        <v>0.70090608780588104</v>
      </c>
      <c r="G6346">
        <v>0.58822841113213697</v>
      </c>
      <c r="H6346">
        <v>0.50280291377223696</v>
      </c>
      <c r="I6346">
        <v>0.62926979823129403</v>
      </c>
      <c r="J6346">
        <v>0.78191960337711897</v>
      </c>
      <c r="K6346">
        <v>0.69742123133501499</v>
      </c>
      <c r="L6346">
        <v>1388.8701729571901</v>
      </c>
      <c r="M6346">
        <v>27.937635101533601</v>
      </c>
      <c r="O6346">
        <v>49.4606157993964</v>
      </c>
      <c r="P6346">
        <v>-5.0741942972527501E-2</v>
      </c>
      <c r="Q6346">
        <v>0.64067022477399704</v>
      </c>
      <c r="R6346">
        <v>0.81543965585292599</v>
      </c>
      <c r="S6346" t="s">
        <v>12992</v>
      </c>
      <c r="T6346" t="s">
        <v>13290</v>
      </c>
      <c r="U6346" t="s">
        <v>13290</v>
      </c>
      <c r="V6346" t="s">
        <v>13290</v>
      </c>
      <c r="W6346" t="s">
        <v>19581</v>
      </c>
      <c r="X6346">
        <v>11</v>
      </c>
      <c r="Y6346" t="s">
        <v>26044</v>
      </c>
      <c r="Z6346" t="s">
        <v>32676</v>
      </c>
      <c r="AA6346">
        <v>0.75956856299755782</v>
      </c>
      <c r="AB6346" t="str">
        <f>HYPERLINK("Melting_Curves/meltCurve_Q9UMX0_UBQLN1.pdf", "Melting_Curves/meltCurve_Q9UMX0_UBQLN1.pdf")</f>
        <v>Melting_Curves/meltCurve_Q9UMX0_UBQLN1.pdf</v>
      </c>
    </row>
    <row r="6347" spans="1:28" x14ac:dyDescent="0.25">
      <c r="A6347" t="s">
        <v>6351</v>
      </c>
      <c r="B6347">
        <v>0.99252571173614901</v>
      </c>
      <c r="C6347">
        <v>1.46473314191451</v>
      </c>
      <c r="D6347">
        <v>1.0054202942405599</v>
      </c>
      <c r="E6347">
        <v>0.78026408733506003</v>
      </c>
      <c r="F6347">
        <v>0.70603311562432602</v>
      </c>
      <c r="G6347">
        <v>0.76318216369425596</v>
      </c>
      <c r="H6347">
        <v>0.47770510097581897</v>
      </c>
      <c r="I6347">
        <v>0.61957367915869199</v>
      </c>
      <c r="J6347">
        <v>0.66287166346449999</v>
      </c>
      <c r="K6347">
        <v>0.53607359214776695</v>
      </c>
      <c r="L6347">
        <v>1412.64608144923</v>
      </c>
      <c r="M6347">
        <v>28.121533329088201</v>
      </c>
      <c r="O6347">
        <v>49.981650671852201</v>
      </c>
      <c r="P6347">
        <v>-5.5057472567051402E-2</v>
      </c>
      <c r="Q6347">
        <v>0.60857896615746798</v>
      </c>
      <c r="R6347">
        <v>0.64285650113819803</v>
      </c>
      <c r="S6347" t="s">
        <v>12993</v>
      </c>
      <c r="T6347" t="s">
        <v>13290</v>
      </c>
      <c r="U6347" t="s">
        <v>13290</v>
      </c>
      <c r="V6347" t="s">
        <v>13290</v>
      </c>
      <c r="W6347" t="s">
        <v>19582</v>
      </c>
      <c r="X6347">
        <v>11</v>
      </c>
      <c r="Y6347" t="s">
        <v>26044</v>
      </c>
      <c r="Z6347" t="s">
        <v>32677</v>
      </c>
      <c r="AA6347">
        <v>0.74486937097200112</v>
      </c>
      <c r="AB6347" t="str">
        <f>HYPERLINK("Melting_Curves/meltCurve_Q9UMX0_2_UBQLN1.pdf", "Melting_Curves/meltCurve_Q9UMX0_2_UBQLN1.pdf")</f>
        <v>Melting_Curves/meltCurve_Q9UMX0_2_UBQLN1.pdf</v>
      </c>
    </row>
    <row r="6348" spans="1:28" x14ac:dyDescent="0.25">
      <c r="A6348" t="s">
        <v>6352</v>
      </c>
      <c r="B6348">
        <v>0.99252571173614901</v>
      </c>
      <c r="C6348">
        <v>1.1297322825285301</v>
      </c>
      <c r="D6348">
        <v>1.0415864859109001</v>
      </c>
      <c r="E6348">
        <v>0.91432055815008195</v>
      </c>
      <c r="F6348">
        <v>0.66384802640446805</v>
      </c>
      <c r="G6348">
        <v>0.58539407166759205</v>
      </c>
      <c r="H6348">
        <v>0.56746601601758495</v>
      </c>
      <c r="I6348">
        <v>0.77477804194037503</v>
      </c>
      <c r="J6348">
        <v>1.18337199115202</v>
      </c>
      <c r="K6348">
        <v>1.25667110701226</v>
      </c>
      <c r="L6348">
        <v>15000</v>
      </c>
      <c r="M6348">
        <v>224.46235672904899</v>
      </c>
      <c r="O6348">
        <v>66.821020402581595</v>
      </c>
      <c r="P6348">
        <v>0.215581220307037</v>
      </c>
      <c r="Q6348">
        <v>1.2567087448284699</v>
      </c>
      <c r="R6348">
        <v>3.5568690371592597E-2</v>
      </c>
      <c r="S6348" t="s">
        <v>12994</v>
      </c>
      <c r="T6348" t="s">
        <v>13290</v>
      </c>
      <c r="U6348" t="s">
        <v>13290</v>
      </c>
      <c r="V6348" t="s">
        <v>13290</v>
      </c>
      <c r="W6348" t="s">
        <v>19583</v>
      </c>
      <c r="X6348">
        <v>12</v>
      </c>
      <c r="Y6348" t="s">
        <v>26045</v>
      </c>
      <c r="Z6348" t="s">
        <v>32678</v>
      </c>
      <c r="AA6348">
        <v>1.02711954921369</v>
      </c>
      <c r="AB6348" t="str">
        <f>HYPERLINK("Melting_Curves/meltCurve_Q9UMX5_NENF.pdf", "Melting_Curves/meltCurve_Q9UMX5_NENF.pdf")</f>
        <v>Melting_Curves/meltCurve_Q9UMX5_NENF.pdf</v>
      </c>
    </row>
    <row r="6349" spans="1:28" x14ac:dyDescent="0.25">
      <c r="A6349" t="s">
        <v>6353</v>
      </c>
      <c r="B6349">
        <v>0.99252571173614901</v>
      </c>
      <c r="C6349">
        <v>1.17352405664866</v>
      </c>
      <c r="D6349">
        <v>1.35038550310561</v>
      </c>
      <c r="E6349">
        <v>1.637011094782</v>
      </c>
      <c r="F6349">
        <v>1.67705497810497</v>
      </c>
      <c r="G6349">
        <v>1.07963298716409</v>
      </c>
      <c r="H6349">
        <v>0.59661916992122099</v>
      </c>
      <c r="I6349">
        <v>0.63126344827543501</v>
      </c>
      <c r="J6349">
        <v>0.71703243787516202</v>
      </c>
      <c r="K6349">
        <v>0.88371447010999205</v>
      </c>
      <c r="L6349">
        <v>6077.0246229177301</v>
      </c>
      <c r="M6349">
        <v>103.580115837938</v>
      </c>
      <c r="O6349">
        <v>58.6479261420222</v>
      </c>
      <c r="P6349">
        <v>-0.12948726945868899</v>
      </c>
      <c r="Q6349">
        <v>0.70673285643507799</v>
      </c>
      <c r="R6349">
        <v>0.20946962200202601</v>
      </c>
      <c r="S6349" t="s">
        <v>12995</v>
      </c>
      <c r="T6349" t="s">
        <v>13290</v>
      </c>
      <c r="U6349" t="s">
        <v>13290</v>
      </c>
      <c r="V6349" t="s">
        <v>13290</v>
      </c>
      <c r="W6349" t="s">
        <v>19584</v>
      </c>
      <c r="X6349">
        <v>4</v>
      </c>
      <c r="Y6349" t="s">
        <v>26046</v>
      </c>
      <c r="Z6349" t="s">
        <v>32679</v>
      </c>
      <c r="AA6349">
        <v>0.88941690789633487</v>
      </c>
      <c r="AB6349" t="str">
        <f>HYPERLINK("Melting_Curves/meltCurve_Q9UMY1_NOL7.pdf", "Melting_Curves/meltCurve_Q9UMY1_NOL7.pdf")</f>
        <v>Melting_Curves/meltCurve_Q9UMY1_NOL7.pdf</v>
      </c>
    </row>
    <row r="6350" spans="1:28" x14ac:dyDescent="0.25">
      <c r="A6350" t="s">
        <v>6354</v>
      </c>
      <c r="B6350">
        <v>0.99252571173614901</v>
      </c>
      <c r="C6350">
        <v>1.1565583620958699</v>
      </c>
      <c r="D6350">
        <v>0.69068581555299302</v>
      </c>
      <c r="E6350">
        <v>0.68916362474318404</v>
      </c>
      <c r="F6350">
        <v>0.209712044488958</v>
      </c>
      <c r="G6350">
        <v>0.122899688546849</v>
      </c>
      <c r="H6350">
        <v>8.8119138357572194E-2</v>
      </c>
      <c r="I6350">
        <v>9.2514507083394107E-2</v>
      </c>
      <c r="J6350">
        <v>0.111596817850574</v>
      </c>
      <c r="K6350">
        <v>0.11163729794737499</v>
      </c>
      <c r="L6350">
        <v>1077.6916893084899</v>
      </c>
      <c r="M6350">
        <v>21.591541379132401</v>
      </c>
      <c r="N6350">
        <v>50.338058559800601</v>
      </c>
      <c r="O6350">
        <v>49.4904486118755</v>
      </c>
      <c r="P6350">
        <v>-9.9976370699582498E-2</v>
      </c>
      <c r="Q6350">
        <v>8.3389854572390204E-2</v>
      </c>
      <c r="R6350">
        <v>0.94425042705747397</v>
      </c>
      <c r="S6350" t="s">
        <v>12996</v>
      </c>
      <c r="T6350" t="s">
        <v>13290</v>
      </c>
      <c r="U6350" t="s">
        <v>13290</v>
      </c>
      <c r="V6350" t="s">
        <v>13290</v>
      </c>
      <c r="W6350" t="s">
        <v>19585</v>
      </c>
      <c r="X6350">
        <v>14</v>
      </c>
      <c r="Y6350" t="s">
        <v>26047</v>
      </c>
      <c r="Z6350" t="s">
        <v>32680</v>
      </c>
      <c r="AA6350">
        <v>0.39723475157011401</v>
      </c>
      <c r="AB6350" t="str">
        <f>HYPERLINK("Melting_Curves/meltCurve_Q9UMY4_2_SNX12.pdf", "Melting_Curves/meltCurve_Q9UMY4_2_SNX12.pdf")</f>
        <v>Melting_Curves/meltCurve_Q9UMY4_2_SNX12.pdf</v>
      </c>
    </row>
    <row r="6351" spans="1:28" x14ac:dyDescent="0.25">
      <c r="A6351" t="s">
        <v>6355</v>
      </c>
      <c r="B6351">
        <v>0.99252571173614901</v>
      </c>
      <c r="C6351">
        <v>0.892468214153879</v>
      </c>
      <c r="D6351">
        <v>0.86400856697787098</v>
      </c>
      <c r="E6351">
        <v>0.64989896776073797</v>
      </c>
      <c r="F6351">
        <v>0.25552409736770199</v>
      </c>
      <c r="G6351">
        <v>0.14649493813252201</v>
      </c>
      <c r="H6351">
        <v>9.9726797000860498E-2</v>
      </c>
      <c r="I6351">
        <v>0.115958463927509</v>
      </c>
      <c r="J6351">
        <v>0.16294807809622799</v>
      </c>
      <c r="K6351">
        <v>0.21711286435017901</v>
      </c>
      <c r="L6351">
        <v>1244.3837535632999</v>
      </c>
      <c r="M6351">
        <v>24.934539263784</v>
      </c>
      <c r="N6351">
        <v>50.547821333531999</v>
      </c>
      <c r="O6351">
        <v>49.588348885485097</v>
      </c>
      <c r="P6351">
        <v>-0.108652447092906</v>
      </c>
      <c r="Q6351">
        <v>0.135685298070852</v>
      </c>
      <c r="R6351">
        <v>0.97947527611630503</v>
      </c>
      <c r="S6351" t="s">
        <v>12997</v>
      </c>
      <c r="T6351" t="s">
        <v>13290</v>
      </c>
      <c r="U6351" t="s">
        <v>13290</v>
      </c>
      <c r="V6351" t="s">
        <v>13290</v>
      </c>
      <c r="W6351" t="s">
        <v>19586</v>
      </c>
      <c r="X6351">
        <v>7</v>
      </c>
      <c r="Y6351" t="s">
        <v>26048</v>
      </c>
      <c r="Z6351" t="s">
        <v>32681</v>
      </c>
      <c r="AA6351">
        <v>0.42884137603857458</v>
      </c>
      <c r="AB6351" t="str">
        <f>HYPERLINK("Melting_Curves/meltCurve_Q9UMZ2_6_SYNRG.pdf", "Melting_Curves/meltCurve_Q9UMZ2_6_SYNRG.pdf")</f>
        <v>Melting_Curves/meltCurve_Q9UMZ2_6_SYNRG.pdf</v>
      </c>
    </row>
    <row r="6352" spans="1:28" x14ac:dyDescent="0.25">
      <c r="A6352" t="s">
        <v>6356</v>
      </c>
      <c r="B6352">
        <v>0.99252571173614901</v>
      </c>
      <c r="C6352">
        <v>1.0353272455553999</v>
      </c>
      <c r="D6352">
        <v>0.57921133231190403</v>
      </c>
      <c r="E6352">
        <v>0.50930638594543398</v>
      </c>
      <c r="F6352">
        <v>0.110104222893028</v>
      </c>
      <c r="G6352">
        <v>6.5813497838358798E-2</v>
      </c>
      <c r="H6352">
        <v>4.6405131918492999E-2</v>
      </c>
      <c r="I6352">
        <v>4.65554687165649E-2</v>
      </c>
      <c r="J6352">
        <v>5.8012289187842098E-2</v>
      </c>
      <c r="K6352">
        <v>6.3076110393736298E-2</v>
      </c>
      <c r="L6352">
        <v>912.83501585724605</v>
      </c>
      <c r="M6352">
        <v>18.9558734335534</v>
      </c>
      <c r="N6352">
        <v>48.354485450201302</v>
      </c>
      <c r="O6352">
        <v>47.629462833704302</v>
      </c>
      <c r="P6352">
        <v>-9.57728483938457E-2</v>
      </c>
      <c r="Q6352">
        <v>3.7464516003928999E-2</v>
      </c>
      <c r="R6352">
        <v>0.96245158832065003</v>
      </c>
      <c r="S6352" t="s">
        <v>12998</v>
      </c>
      <c r="T6352" t="s">
        <v>13290</v>
      </c>
      <c r="U6352" t="s">
        <v>13290</v>
      </c>
      <c r="V6352" t="s">
        <v>13290</v>
      </c>
      <c r="W6352" t="s">
        <v>19587</v>
      </c>
      <c r="X6352">
        <v>16</v>
      </c>
      <c r="Y6352" t="s">
        <v>26049</v>
      </c>
      <c r="Z6352" t="s">
        <v>32682</v>
      </c>
      <c r="AA6352">
        <v>0.3144017376485333</v>
      </c>
      <c r="AB6352" t="str">
        <f>HYPERLINK("Melting_Curves/meltCurve_Q9UN37_VPS4A.pdf", "Melting_Curves/meltCurve_Q9UN37_VPS4A.pdf")</f>
        <v>Melting_Curves/meltCurve_Q9UN37_VPS4A.pdf</v>
      </c>
    </row>
    <row r="6353" spans="1:28" x14ac:dyDescent="0.25">
      <c r="A6353" t="s">
        <v>6357</v>
      </c>
      <c r="B6353">
        <v>0.99252571173614901</v>
      </c>
      <c r="C6353">
        <v>0.80818008417690401</v>
      </c>
      <c r="D6353">
        <v>0.46192581771829799</v>
      </c>
      <c r="E6353">
        <v>0.28633511677293599</v>
      </c>
      <c r="F6353">
        <v>0.17168692236573799</v>
      </c>
      <c r="G6353">
        <v>0.114196659738984</v>
      </c>
      <c r="H6353">
        <v>8.3611615388275898E-2</v>
      </c>
      <c r="I6353">
        <v>9.3893995134363195E-2</v>
      </c>
      <c r="J6353">
        <v>0.14526918755431101</v>
      </c>
      <c r="K6353">
        <v>0.18995605606396801</v>
      </c>
      <c r="L6353">
        <v>1000.33901979353</v>
      </c>
      <c r="M6353">
        <v>22.081120498922001</v>
      </c>
      <c r="N6353">
        <v>45.925301525827599</v>
      </c>
      <c r="O6353">
        <v>44.9362305868055</v>
      </c>
      <c r="P6353">
        <v>-0.106963615276221</v>
      </c>
      <c r="Q6353">
        <v>0.129312566238761</v>
      </c>
      <c r="R6353">
        <v>0.98635118843797098</v>
      </c>
      <c r="S6353" t="s">
        <v>12999</v>
      </c>
      <c r="T6353" t="s">
        <v>13290</v>
      </c>
      <c r="U6353" t="s">
        <v>13290</v>
      </c>
      <c r="V6353" t="s">
        <v>13290</v>
      </c>
      <c r="W6353" t="s">
        <v>19588</v>
      </c>
      <c r="X6353">
        <v>4</v>
      </c>
      <c r="Y6353" t="s">
        <v>26050</v>
      </c>
      <c r="Z6353" t="s">
        <v>32683</v>
      </c>
      <c r="AA6353">
        <v>0.29453583966527191</v>
      </c>
      <c r="AB6353" t="str">
        <f>HYPERLINK("Melting_Curves/meltCurve_Q9UN79_SOX13.pdf", "Melting_Curves/meltCurve_Q9UN79_SOX13.pdf")</f>
        <v>Melting_Curves/meltCurve_Q9UN79_SOX13.pdf</v>
      </c>
    </row>
    <row r="6354" spans="1:28" x14ac:dyDescent="0.25">
      <c r="A6354" t="s">
        <v>6358</v>
      </c>
      <c r="B6354">
        <v>0.99252571173614901</v>
      </c>
      <c r="C6354">
        <v>0.74663335068576797</v>
      </c>
      <c r="D6354">
        <v>0.66480700060808795</v>
      </c>
      <c r="E6354">
        <v>0.59230232445235098</v>
      </c>
      <c r="F6354">
        <v>0.234907510864271</v>
      </c>
      <c r="G6354">
        <v>8.8963211943105705E-2</v>
      </c>
      <c r="H6354">
        <v>6.4141515398310298E-2</v>
      </c>
      <c r="I6354">
        <v>7.2627420207673404E-2</v>
      </c>
      <c r="J6354">
        <v>9.3497435773975193E-2</v>
      </c>
      <c r="K6354">
        <v>0.111614987468557</v>
      </c>
      <c r="L6354">
        <v>616.131969188629</v>
      </c>
      <c r="M6354">
        <v>12.6718939248025</v>
      </c>
      <c r="N6354">
        <v>48.895471567712001</v>
      </c>
      <c r="O6354">
        <v>47.458747418531303</v>
      </c>
      <c r="P6354">
        <v>-6.44805829503214E-2</v>
      </c>
      <c r="Q6354">
        <v>3.4218343079762903E-2</v>
      </c>
      <c r="R6354">
        <v>0.95774989869604499</v>
      </c>
      <c r="S6354" t="s">
        <v>13000</v>
      </c>
      <c r="T6354" t="s">
        <v>13290</v>
      </c>
      <c r="U6354" t="s">
        <v>13290</v>
      </c>
      <c r="V6354" t="s">
        <v>13290</v>
      </c>
      <c r="W6354" t="s">
        <v>19589</v>
      </c>
      <c r="X6354">
        <v>13</v>
      </c>
      <c r="Y6354" t="s">
        <v>26051</v>
      </c>
      <c r="Z6354" t="s">
        <v>32684</v>
      </c>
      <c r="AA6354">
        <v>0.34481270805433339</v>
      </c>
      <c r="AB6354" t="str">
        <f>HYPERLINK("Melting_Curves/meltCurve_Q9UN86_2_G3BP2.pdf", "Melting_Curves/meltCurve_Q9UN86_2_G3BP2.pdf")</f>
        <v>Melting_Curves/meltCurve_Q9UN86_2_G3BP2.pdf</v>
      </c>
    </row>
    <row r="6355" spans="1:28" x14ac:dyDescent="0.25">
      <c r="A6355" t="s">
        <v>6359</v>
      </c>
      <c r="B6355">
        <v>0.99252571173614901</v>
      </c>
      <c r="C6355">
        <v>0.80956066924848002</v>
      </c>
      <c r="D6355">
        <v>0.40388957845640899</v>
      </c>
      <c r="E6355">
        <v>0.17518901903602599</v>
      </c>
      <c r="F6355">
        <v>0.109921113571478</v>
      </c>
      <c r="G6355">
        <v>6.8180873091579094E-2</v>
      </c>
      <c r="H6355">
        <v>5.7927997051727201E-2</v>
      </c>
      <c r="I6355">
        <v>6.7396611189676103E-2</v>
      </c>
      <c r="J6355">
        <v>9.1499864139790804E-2</v>
      </c>
      <c r="K6355">
        <v>9.85796729724705E-2</v>
      </c>
      <c r="L6355">
        <v>1205.0868139433401</v>
      </c>
      <c r="M6355">
        <v>26.757111065819799</v>
      </c>
      <c r="N6355">
        <v>45.338294359704697</v>
      </c>
      <c r="O6355">
        <v>44.788674097977001</v>
      </c>
      <c r="P6355">
        <v>-0.13722547937037499</v>
      </c>
      <c r="Q6355">
        <v>8.1203277627888606E-2</v>
      </c>
      <c r="R6355">
        <v>0.99734421875485602</v>
      </c>
      <c r="S6355" t="s">
        <v>13001</v>
      </c>
      <c r="T6355" t="s">
        <v>13290</v>
      </c>
      <c r="U6355" t="s">
        <v>13290</v>
      </c>
      <c r="V6355" t="s">
        <v>13290</v>
      </c>
      <c r="W6355" t="s">
        <v>19590</v>
      </c>
      <c r="X6355">
        <v>20</v>
      </c>
      <c r="Y6355" t="s">
        <v>26052</v>
      </c>
      <c r="Z6355" t="s">
        <v>32685</v>
      </c>
      <c r="AA6355">
        <v>0.24324712941467769</v>
      </c>
      <c r="AB6355" t="str">
        <f>HYPERLINK("Melting_Curves/meltCurve_Q9UNE7_STUB1.pdf", "Melting_Curves/meltCurve_Q9UNE7_STUB1.pdf")</f>
        <v>Melting_Curves/meltCurve_Q9UNE7_STUB1.pdf</v>
      </c>
    </row>
    <row r="6356" spans="1:28" x14ac:dyDescent="0.25">
      <c r="A6356" t="s">
        <v>6360</v>
      </c>
      <c r="B6356">
        <v>0.99252571173614901</v>
      </c>
      <c r="C6356">
        <v>1.0276075479650399</v>
      </c>
      <c r="D6356">
        <v>0.61569841680742599</v>
      </c>
      <c r="E6356">
        <v>0.26955485382576799</v>
      </c>
      <c r="F6356">
        <v>0.15125004063533301</v>
      </c>
      <c r="G6356">
        <v>8.9172941343917206E-2</v>
      </c>
      <c r="H6356">
        <v>7.4185993406248901E-2</v>
      </c>
      <c r="I6356">
        <v>8.1921219447128699E-2</v>
      </c>
      <c r="J6356">
        <v>0.100070329299672</v>
      </c>
      <c r="K6356">
        <v>0.104037478965639</v>
      </c>
      <c r="L6356">
        <v>1380.5104494586899</v>
      </c>
      <c r="M6356">
        <v>29.5160516966566</v>
      </c>
      <c r="N6356">
        <v>47.117285803704497</v>
      </c>
      <c r="O6356">
        <v>46.558397741564299</v>
      </c>
      <c r="P6356">
        <v>-0.14305771054649499</v>
      </c>
      <c r="Q6356">
        <v>9.7373648619084902E-2</v>
      </c>
      <c r="R6356">
        <v>0.990869600164895</v>
      </c>
      <c r="S6356" t="s">
        <v>13002</v>
      </c>
      <c r="T6356" t="s">
        <v>13290</v>
      </c>
      <c r="U6356" t="s">
        <v>13290</v>
      </c>
      <c r="V6356" t="s">
        <v>13290</v>
      </c>
      <c r="W6356" t="s">
        <v>19591</v>
      </c>
      <c r="X6356">
        <v>25</v>
      </c>
      <c r="Y6356" t="s">
        <v>26053</v>
      </c>
      <c r="Z6356" t="s">
        <v>32686</v>
      </c>
      <c r="AA6356">
        <v>0.30672922925999457</v>
      </c>
      <c r="AB6356" t="str">
        <f>HYPERLINK("Melting_Curves/meltCurve_Q9UNF0_2_PACSIN2.pdf", "Melting_Curves/meltCurve_Q9UNF0_2_PACSIN2.pdf")</f>
        <v>Melting_Curves/meltCurve_Q9UNF0_2_PACSIN2.pdf</v>
      </c>
    </row>
    <row r="6357" spans="1:28" x14ac:dyDescent="0.25">
      <c r="A6357" t="s">
        <v>6361</v>
      </c>
      <c r="B6357">
        <v>0.99252571173614901</v>
      </c>
      <c r="C6357">
        <v>0.66421185220283196</v>
      </c>
      <c r="D6357">
        <v>0.36588844839266499</v>
      </c>
      <c r="E6357">
        <v>0.24302822844468999</v>
      </c>
      <c r="F6357">
        <v>0.14407475257153199</v>
      </c>
      <c r="G6357">
        <v>8.9207480748391701E-2</v>
      </c>
      <c r="H6357">
        <v>8.0151727038247605E-2</v>
      </c>
      <c r="I6357">
        <v>9.4956355004229095E-2</v>
      </c>
      <c r="J6357">
        <v>0.13018075668672599</v>
      </c>
      <c r="K6357">
        <v>0.1358077650491</v>
      </c>
      <c r="L6357">
        <v>983.95337849925602</v>
      </c>
      <c r="M6357">
        <v>22.2659045039942</v>
      </c>
      <c r="N6357">
        <v>44.711530740075098</v>
      </c>
      <c r="O6357">
        <v>43.839215483357002</v>
      </c>
      <c r="P6357">
        <v>-0.112481439188431</v>
      </c>
      <c r="Q6357">
        <v>0.11416259298442399</v>
      </c>
      <c r="R6357">
        <v>0.98426966305751096</v>
      </c>
      <c r="S6357" t="s">
        <v>13003</v>
      </c>
      <c r="T6357" t="s">
        <v>13290</v>
      </c>
      <c r="U6357" t="s">
        <v>13290</v>
      </c>
      <c r="V6357" t="s">
        <v>13290</v>
      </c>
      <c r="W6357" t="s">
        <v>19592</v>
      </c>
      <c r="X6357">
        <v>16</v>
      </c>
      <c r="Y6357" t="s">
        <v>26054</v>
      </c>
      <c r="Z6357" t="s">
        <v>32687</v>
      </c>
      <c r="AA6357">
        <v>0.25090048351513178</v>
      </c>
      <c r="AB6357" t="str">
        <f>HYPERLINK("Melting_Curves/meltCurve_Q9UNF1_MAGED2.pdf", "Melting_Curves/meltCurve_Q9UNF1_MAGED2.pdf")</f>
        <v>Melting_Curves/meltCurve_Q9UNF1_MAGED2.pdf</v>
      </c>
    </row>
    <row r="6358" spans="1:28" x14ac:dyDescent="0.25">
      <c r="A6358" t="s">
        <v>6362</v>
      </c>
      <c r="B6358">
        <v>0.99252571173614901</v>
      </c>
      <c r="C6358">
        <v>1.1071832958913099</v>
      </c>
      <c r="D6358">
        <v>0.60057889025362099</v>
      </c>
      <c r="E6358">
        <v>0.48675312418469502</v>
      </c>
      <c r="F6358">
        <v>0.122956200013669</v>
      </c>
      <c r="G6358">
        <v>7.1553675121829002E-2</v>
      </c>
      <c r="H6358">
        <v>5.0831001483185798E-2</v>
      </c>
      <c r="I6358">
        <v>5.9140109729584597E-2</v>
      </c>
      <c r="J6358">
        <v>7.6468819395431306E-2</v>
      </c>
      <c r="K6358">
        <v>7.9141375193403501E-2</v>
      </c>
      <c r="L6358">
        <v>1016.18785035536</v>
      </c>
      <c r="M6358">
        <v>21.101821167816301</v>
      </c>
      <c r="N6358">
        <v>48.428004694943397</v>
      </c>
      <c r="O6358">
        <v>47.730183995622397</v>
      </c>
      <c r="P6358">
        <v>-0.104361677659687</v>
      </c>
      <c r="Q6358">
        <v>5.5802639347581402E-2</v>
      </c>
      <c r="R6358">
        <v>0.95771879305532504</v>
      </c>
      <c r="S6358" t="s">
        <v>13004</v>
      </c>
      <c r="T6358" t="s">
        <v>13290</v>
      </c>
      <c r="U6358" t="s">
        <v>13290</v>
      </c>
      <c r="V6358" t="s">
        <v>13290</v>
      </c>
      <c r="W6358" t="s">
        <v>19593</v>
      </c>
      <c r="X6358">
        <v>26</v>
      </c>
      <c r="Y6358" t="s">
        <v>26055</v>
      </c>
      <c r="Z6358" t="s">
        <v>32688</v>
      </c>
      <c r="AA6358">
        <v>0.32445665441339611</v>
      </c>
      <c r="AB6358" t="str">
        <f>HYPERLINK("Melting_Curves/meltCurve_Q9UNH7_SNX6.pdf", "Melting_Curves/meltCurve_Q9UNH7_SNX6.pdf")</f>
        <v>Melting_Curves/meltCurve_Q9UNH7_SNX6.pdf</v>
      </c>
    </row>
    <row r="6359" spans="1:28" x14ac:dyDescent="0.25">
      <c r="A6359" t="s">
        <v>6363</v>
      </c>
      <c r="B6359">
        <v>0.99252571173614901</v>
      </c>
      <c r="C6359">
        <v>1.0137753207885301</v>
      </c>
      <c r="D6359">
        <v>0.79493872225604101</v>
      </c>
      <c r="E6359">
        <v>0.471909052152375</v>
      </c>
      <c r="F6359">
        <v>0.219056383256341</v>
      </c>
      <c r="G6359">
        <v>0.108858119719031</v>
      </c>
      <c r="H6359">
        <v>6.1614561821470001E-2</v>
      </c>
      <c r="I6359">
        <v>5.7910599806969401E-2</v>
      </c>
      <c r="J6359">
        <v>6.7704453496163206E-2</v>
      </c>
      <c r="K6359">
        <v>6.17578969617055E-2</v>
      </c>
      <c r="L6359">
        <v>1053.44242093301</v>
      </c>
      <c r="M6359">
        <v>21.477170063951501</v>
      </c>
      <c r="N6359">
        <v>49.3351898676761</v>
      </c>
      <c r="O6359">
        <v>48.6301098045682</v>
      </c>
      <c r="P6359">
        <v>-0.10395532161867101</v>
      </c>
      <c r="Q6359">
        <v>5.8491510881522497E-2</v>
      </c>
      <c r="R6359">
        <v>0.99731428468945804</v>
      </c>
      <c r="S6359" t="s">
        <v>13005</v>
      </c>
      <c r="T6359" t="s">
        <v>13290</v>
      </c>
      <c r="U6359" t="s">
        <v>13290</v>
      </c>
      <c r="V6359" t="s">
        <v>13290</v>
      </c>
      <c r="W6359" t="s">
        <v>19594</v>
      </c>
      <c r="X6359">
        <v>6</v>
      </c>
      <c r="Y6359" t="s">
        <v>26056</v>
      </c>
      <c r="Z6359" t="s">
        <v>32689</v>
      </c>
      <c r="AA6359">
        <v>0.35389545783369802</v>
      </c>
      <c r="AB6359" t="str">
        <f>HYPERLINK("Melting_Curves/meltCurve_Q9UNI6_DUSP12.pdf", "Melting_Curves/meltCurve_Q9UNI6_DUSP12.pdf")</f>
        <v>Melting_Curves/meltCurve_Q9UNI6_DUSP12.pdf</v>
      </c>
    </row>
    <row r="6360" spans="1:28" x14ac:dyDescent="0.25">
      <c r="A6360" t="s">
        <v>6364</v>
      </c>
      <c r="B6360">
        <v>0.99252571173614901</v>
      </c>
      <c r="C6360">
        <v>0.97326318593507399</v>
      </c>
      <c r="D6360">
        <v>0.88035559260974405</v>
      </c>
      <c r="E6360">
        <v>0.81436971387774704</v>
      </c>
      <c r="F6360">
        <v>0.71720267283879802</v>
      </c>
      <c r="G6360">
        <v>0.52071504495929999</v>
      </c>
      <c r="H6360">
        <v>0.440063091140528</v>
      </c>
      <c r="I6360">
        <v>0.51589245438396603</v>
      </c>
      <c r="J6360">
        <v>0.79643353316478804</v>
      </c>
      <c r="K6360">
        <v>0.678633530848053</v>
      </c>
      <c r="L6360">
        <v>1038.2440410024101</v>
      </c>
      <c r="M6360">
        <v>21.071728412804699</v>
      </c>
      <c r="O6360">
        <v>48.834583568110098</v>
      </c>
      <c r="P6360">
        <v>-4.3702076995500203E-2</v>
      </c>
      <c r="Q6360">
        <v>0.59488546387830699</v>
      </c>
      <c r="R6360">
        <v>0.71860460064396503</v>
      </c>
      <c r="S6360" t="s">
        <v>13006</v>
      </c>
      <c r="T6360" t="s">
        <v>13290</v>
      </c>
      <c r="U6360" t="s">
        <v>13290</v>
      </c>
      <c r="V6360" t="s">
        <v>13290</v>
      </c>
      <c r="W6360" t="s">
        <v>19595</v>
      </c>
      <c r="X6360">
        <v>6</v>
      </c>
      <c r="Y6360" t="s">
        <v>26057</v>
      </c>
      <c r="Z6360" t="s">
        <v>32690</v>
      </c>
      <c r="AA6360">
        <v>0.72518744002011271</v>
      </c>
      <c r="AB6360" t="str">
        <f>HYPERLINK("Melting_Curves/meltCurve_Q9UNK0_STX8.pdf", "Melting_Curves/meltCurve_Q9UNK0_STX8.pdf")</f>
        <v>Melting_Curves/meltCurve_Q9UNK0_STX8.pdf</v>
      </c>
    </row>
    <row r="6361" spans="1:28" x14ac:dyDescent="0.25">
      <c r="A6361" t="s">
        <v>6365</v>
      </c>
      <c r="B6361">
        <v>0.99252571173614901</v>
      </c>
      <c r="C6361">
        <v>0.99606360059626298</v>
      </c>
      <c r="D6361">
        <v>0.90509043996783201</v>
      </c>
      <c r="E6361">
        <v>0.81284174453588598</v>
      </c>
      <c r="F6361">
        <v>0.50646957412678095</v>
      </c>
      <c r="G6361">
        <v>0.36070172265435901</v>
      </c>
      <c r="H6361">
        <v>0.30074260921426499</v>
      </c>
      <c r="I6361">
        <v>0.30208405882802603</v>
      </c>
      <c r="J6361">
        <v>0.42000076649274498</v>
      </c>
      <c r="K6361">
        <v>0.369379219942917</v>
      </c>
      <c r="L6361">
        <v>1387.1213189386899</v>
      </c>
      <c r="M6361">
        <v>27.187094804439599</v>
      </c>
      <c r="N6361">
        <v>53.274431007223797</v>
      </c>
      <c r="O6361">
        <v>50.747668296729699</v>
      </c>
      <c r="P6361">
        <v>-8.8175125406589894E-2</v>
      </c>
      <c r="Q6361">
        <v>0.34165252858409201</v>
      </c>
      <c r="R6361">
        <v>0.97983929697986305</v>
      </c>
      <c r="S6361" t="s">
        <v>13007</v>
      </c>
      <c r="T6361" t="s">
        <v>13290</v>
      </c>
      <c r="U6361" t="s">
        <v>13290</v>
      </c>
      <c r="V6361" t="s">
        <v>13290</v>
      </c>
      <c r="W6361" t="s">
        <v>19596</v>
      </c>
      <c r="X6361">
        <v>3</v>
      </c>
      <c r="Y6361" t="s">
        <v>26058</v>
      </c>
      <c r="Z6361" t="s">
        <v>32691</v>
      </c>
      <c r="AA6361">
        <v>0.58855407857761577</v>
      </c>
      <c r="AB6361" t="str">
        <f>HYPERLINK("Melting_Curves/meltCurve_Q9UNK9_ANGEL1.pdf", "Melting_Curves/meltCurve_Q9UNK9_ANGEL1.pdf")</f>
        <v>Melting_Curves/meltCurve_Q9UNK9_ANGEL1.pdf</v>
      </c>
    </row>
    <row r="6362" spans="1:28" x14ac:dyDescent="0.25">
      <c r="A6362" t="s">
        <v>6366</v>
      </c>
      <c r="B6362">
        <v>0.99252571173614901</v>
      </c>
      <c r="C6362">
        <v>0.74414648287333196</v>
      </c>
      <c r="D6362">
        <v>0.99248074376968098</v>
      </c>
      <c r="E6362">
        <v>0.68865679903306998</v>
      </c>
      <c r="F6362">
        <v>0.48299049973867397</v>
      </c>
      <c r="G6362">
        <v>0.16223489222031101</v>
      </c>
      <c r="H6362">
        <v>6.88426291861398E-2</v>
      </c>
      <c r="I6362">
        <v>5.7244709789440497E-2</v>
      </c>
      <c r="J6362">
        <v>5.6811162941359503E-2</v>
      </c>
      <c r="K6362">
        <v>5.4632409911152501E-2</v>
      </c>
      <c r="L6362">
        <v>895.539120196407</v>
      </c>
      <c r="M6362">
        <v>17.1668837909735</v>
      </c>
      <c r="N6362">
        <v>52.281071441901503</v>
      </c>
      <c r="O6362">
        <v>51.474218958406396</v>
      </c>
      <c r="P6362">
        <v>-8.1844322458608995E-2</v>
      </c>
      <c r="Q6362">
        <v>1.8430578120507999E-2</v>
      </c>
      <c r="R6362">
        <v>0.95180745598449201</v>
      </c>
      <c r="S6362" t="s">
        <v>13008</v>
      </c>
      <c r="T6362" t="s">
        <v>13290</v>
      </c>
      <c r="U6362" t="s">
        <v>13290</v>
      </c>
      <c r="V6362" t="s">
        <v>13290</v>
      </c>
      <c r="W6362" t="s">
        <v>19597</v>
      </c>
      <c r="X6362">
        <v>21</v>
      </c>
      <c r="Y6362" t="s">
        <v>26059</v>
      </c>
      <c r="Z6362" t="s">
        <v>32692</v>
      </c>
      <c r="AA6362">
        <v>0.43414677221808767</v>
      </c>
      <c r="AB6362" t="str">
        <f>HYPERLINK("Melting_Curves/meltCurve_Q9UNM6_PSMD13.pdf", "Melting_Curves/meltCurve_Q9UNM6_PSMD13.pdf")</f>
        <v>Melting_Curves/meltCurve_Q9UNM6_PSMD13.pdf</v>
      </c>
    </row>
    <row r="6363" spans="1:28" x14ac:dyDescent="0.25">
      <c r="A6363" t="s">
        <v>6367</v>
      </c>
      <c r="B6363">
        <v>0.99252571173614901</v>
      </c>
      <c r="C6363">
        <v>1.1058808595007601</v>
      </c>
      <c r="D6363">
        <v>0.63706714472509995</v>
      </c>
      <c r="E6363">
        <v>0.73965767726885501</v>
      </c>
      <c r="F6363">
        <v>0.36467321895191002</v>
      </c>
      <c r="G6363">
        <v>0.12743568558457999</v>
      </c>
      <c r="H6363">
        <v>6.5443533022239694E-2</v>
      </c>
      <c r="I6363">
        <v>5.1738101971457999E-2</v>
      </c>
      <c r="J6363">
        <v>6.06215651198534E-2</v>
      </c>
      <c r="K6363">
        <v>5.1602607532135303E-2</v>
      </c>
      <c r="L6363">
        <v>797.32312184837701</v>
      </c>
      <c r="M6363">
        <v>15.603130203322101</v>
      </c>
      <c r="N6363">
        <v>51.189622845803399</v>
      </c>
      <c r="O6363">
        <v>50.282917500047702</v>
      </c>
      <c r="P6363">
        <v>-7.6540381455060605E-2</v>
      </c>
      <c r="Q6363">
        <v>1.3443965124845801E-2</v>
      </c>
      <c r="R6363">
        <v>0.94333920924356496</v>
      </c>
      <c r="S6363" t="s">
        <v>13009</v>
      </c>
      <c r="T6363" t="s">
        <v>13290</v>
      </c>
      <c r="U6363" t="s">
        <v>13290</v>
      </c>
      <c r="V6363" t="s">
        <v>13290</v>
      </c>
      <c r="W6363" t="s">
        <v>19598</v>
      </c>
      <c r="X6363">
        <v>27</v>
      </c>
      <c r="Y6363" t="s">
        <v>26060</v>
      </c>
      <c r="Z6363" t="s">
        <v>32693</v>
      </c>
      <c r="AA6363">
        <v>0.39975944683734688</v>
      </c>
      <c r="AB6363" t="str">
        <f>HYPERLINK("Melting_Curves/meltCurve_Q9UNN5_FAF1.pdf", "Melting_Curves/meltCurve_Q9UNN5_FAF1.pdf")</f>
        <v>Melting_Curves/meltCurve_Q9UNN5_FAF1.pdf</v>
      </c>
    </row>
    <row r="6364" spans="1:28" x14ac:dyDescent="0.25">
      <c r="A6364" t="s">
        <v>6368</v>
      </c>
      <c r="B6364">
        <v>0.99252571173614901</v>
      </c>
      <c r="C6364">
        <v>0.97569191788253395</v>
      </c>
      <c r="D6364">
        <v>0.80547677135427498</v>
      </c>
      <c r="E6364">
        <v>0.70119977318888405</v>
      </c>
      <c r="F6364">
        <v>0.78167726078167898</v>
      </c>
      <c r="G6364">
        <v>0.59888240874356102</v>
      </c>
      <c r="H6364">
        <v>0.34853808731434299</v>
      </c>
      <c r="I6364">
        <v>0.30979810691087001</v>
      </c>
      <c r="J6364">
        <v>0.27713528384486702</v>
      </c>
      <c r="K6364">
        <v>0.284008917948258</v>
      </c>
      <c r="L6364">
        <v>437.47160138866599</v>
      </c>
      <c r="M6364">
        <v>7.5943166473656003</v>
      </c>
      <c r="N6364">
        <v>58.254857576716702</v>
      </c>
      <c r="O6364">
        <v>54.0178488890976</v>
      </c>
      <c r="P6364">
        <v>-3.3766328108688799E-2</v>
      </c>
      <c r="Q6364">
        <v>4.0606969033878802E-2</v>
      </c>
      <c r="R6364">
        <v>0.94592351254089002</v>
      </c>
      <c r="S6364" t="s">
        <v>13010</v>
      </c>
      <c r="T6364" t="s">
        <v>13290</v>
      </c>
      <c r="U6364" t="s">
        <v>13290</v>
      </c>
      <c r="V6364" t="s">
        <v>13290</v>
      </c>
      <c r="W6364" t="s">
        <v>19599</v>
      </c>
      <c r="X6364">
        <v>7</v>
      </c>
      <c r="Y6364" t="s">
        <v>26061</v>
      </c>
      <c r="Z6364" t="s">
        <v>32694</v>
      </c>
      <c r="AA6364">
        <v>0.60871292084719386</v>
      </c>
      <c r="AB6364" t="str">
        <f>HYPERLINK("Melting_Curves/meltCurve_Q9UNP9_PPIE.pdf", "Melting_Curves/meltCurve_Q9UNP9_PPIE.pdf")</f>
        <v>Melting_Curves/meltCurve_Q9UNP9_PPIE.pdf</v>
      </c>
    </row>
    <row r="6365" spans="1:28" x14ac:dyDescent="0.25">
      <c r="A6365" t="s">
        <v>6369</v>
      </c>
      <c r="B6365">
        <v>0.99252571173614901</v>
      </c>
      <c r="C6365">
        <v>0.81266662607719797</v>
      </c>
      <c r="D6365">
        <v>0.22917832999993201</v>
      </c>
      <c r="E6365">
        <v>0.16013466997787201</v>
      </c>
      <c r="F6365">
        <v>9.4785812582736398E-2</v>
      </c>
      <c r="G6365">
        <v>5.7291547216757097E-2</v>
      </c>
      <c r="H6365">
        <v>4.7804435500795897E-2</v>
      </c>
      <c r="I6365">
        <v>5.4057081376417598E-2</v>
      </c>
      <c r="J6365">
        <v>7.1918184225781501E-2</v>
      </c>
      <c r="K6365">
        <v>7.1078228159580994E-2</v>
      </c>
      <c r="L6365">
        <v>1824.06405310325</v>
      </c>
      <c r="M6365">
        <v>41.182821627240003</v>
      </c>
      <c r="N6365">
        <v>44.471136249408502</v>
      </c>
      <c r="O6365">
        <v>44.1878189320107</v>
      </c>
      <c r="P6365">
        <v>-0.21517877326903301</v>
      </c>
      <c r="Q6365">
        <v>7.6482672628175694E-2</v>
      </c>
      <c r="R6365">
        <v>0.99306707312629305</v>
      </c>
      <c r="S6365" t="s">
        <v>13011</v>
      </c>
      <c r="T6365" t="s">
        <v>13290</v>
      </c>
      <c r="U6365" t="s">
        <v>13290</v>
      </c>
      <c r="V6365" t="s">
        <v>13290</v>
      </c>
      <c r="W6365" t="s">
        <v>19600</v>
      </c>
      <c r="X6365">
        <v>6</v>
      </c>
      <c r="Y6365" t="s">
        <v>26062</v>
      </c>
      <c r="Z6365" t="s">
        <v>32695</v>
      </c>
      <c r="AA6365">
        <v>0.21157990421111689</v>
      </c>
      <c r="AB6365" t="str">
        <f>HYPERLINK("Melting_Curves/meltCurve_Q9UNS1_2_TIMELESS.pdf", "Melting_Curves/meltCurve_Q9UNS1_2_TIMELESS.pdf")</f>
        <v>Melting_Curves/meltCurve_Q9UNS1_2_TIMELESS.pdf</v>
      </c>
    </row>
    <row r="6366" spans="1:28" x14ac:dyDescent="0.25">
      <c r="A6366" t="s">
        <v>6370</v>
      </c>
      <c r="B6366">
        <v>0.99252571173614901</v>
      </c>
      <c r="C6366">
        <v>0.93374536426773402</v>
      </c>
      <c r="D6366">
        <v>1.1817334586985</v>
      </c>
      <c r="E6366">
        <v>1.36882377807462</v>
      </c>
      <c r="F6366">
        <v>0.97294716983170804</v>
      </c>
      <c r="G6366">
        <v>0.41266761355216902</v>
      </c>
      <c r="H6366">
        <v>0.81597590438664802</v>
      </c>
      <c r="I6366">
        <v>0.344148178840954</v>
      </c>
      <c r="J6366">
        <v>0.150431431743936</v>
      </c>
      <c r="K6366">
        <v>0.16597066030857799</v>
      </c>
      <c r="L6366">
        <v>922.33631524867599</v>
      </c>
      <c r="M6366">
        <v>14.9525925603826</v>
      </c>
      <c r="N6366">
        <v>61.6840638616967</v>
      </c>
      <c r="O6366">
        <v>60.6122720702189</v>
      </c>
      <c r="P6366">
        <v>-6.1679418065397701E-2</v>
      </c>
      <c r="Q6366">
        <v>0</v>
      </c>
      <c r="R6366">
        <v>0.75673938859985901</v>
      </c>
      <c r="S6366" t="s">
        <v>13012</v>
      </c>
      <c r="T6366" t="s">
        <v>13290</v>
      </c>
      <c r="U6366" t="s">
        <v>13290</v>
      </c>
      <c r="V6366" t="s">
        <v>13290</v>
      </c>
      <c r="W6366" t="s">
        <v>19601</v>
      </c>
      <c r="X6366">
        <v>14</v>
      </c>
      <c r="Y6366" t="s">
        <v>26063</v>
      </c>
      <c r="Z6366" t="s">
        <v>32696</v>
      </c>
      <c r="AA6366">
        <v>0.72167881254175625</v>
      </c>
      <c r="AB6366" t="str">
        <f>HYPERLINK("Melting_Curves/meltCurve_Q9UNS2_COPS3.pdf", "Melting_Curves/meltCurve_Q9UNS2_COPS3.pdf")</f>
        <v>Melting_Curves/meltCurve_Q9UNS2_COPS3.pdf</v>
      </c>
    </row>
    <row r="6367" spans="1:28" x14ac:dyDescent="0.25">
      <c r="A6367" t="s">
        <v>6371</v>
      </c>
      <c r="B6367">
        <v>0.99252571173614901</v>
      </c>
      <c r="C6367">
        <v>1.10124162538269</v>
      </c>
      <c r="D6367">
        <v>1.06247253546357</v>
      </c>
      <c r="E6367">
        <v>0.98520208944391996</v>
      </c>
      <c r="F6367">
        <v>0.79196079107711803</v>
      </c>
      <c r="G6367">
        <v>0.556355159682834</v>
      </c>
      <c r="H6367">
        <v>0.30403958467766101</v>
      </c>
      <c r="I6367">
        <v>0.24683036862617699</v>
      </c>
      <c r="J6367">
        <v>0.195448892276121</v>
      </c>
      <c r="K6367">
        <v>0.153741052089932</v>
      </c>
      <c r="L6367">
        <v>1200.54900372717</v>
      </c>
      <c r="M6367">
        <v>21.290173619361699</v>
      </c>
      <c r="N6367">
        <v>57.452183480216597</v>
      </c>
      <c r="O6367">
        <v>55.899414310859001</v>
      </c>
      <c r="P6367">
        <v>-7.9725270457350006E-2</v>
      </c>
      <c r="Q6367">
        <v>0.16271595551338</v>
      </c>
      <c r="R6367">
        <v>0.98692515048220397</v>
      </c>
      <c r="S6367" t="s">
        <v>13013</v>
      </c>
      <c r="T6367" t="s">
        <v>13290</v>
      </c>
      <c r="U6367" t="s">
        <v>13290</v>
      </c>
      <c r="V6367" t="s">
        <v>13290</v>
      </c>
      <c r="W6367" t="s">
        <v>19602</v>
      </c>
      <c r="X6367">
        <v>8</v>
      </c>
      <c r="Y6367" t="s">
        <v>26064</v>
      </c>
      <c r="Z6367" t="s">
        <v>32697</v>
      </c>
      <c r="AA6367">
        <v>0.62989065210745876</v>
      </c>
      <c r="AB6367" t="str">
        <f>HYPERLINK("Melting_Curves/meltCurve_Q9UNW1_MINPP1.pdf", "Melting_Curves/meltCurve_Q9UNW1_MINPP1.pdf")</f>
        <v>Melting_Curves/meltCurve_Q9UNW1_MINPP1.pdf</v>
      </c>
    </row>
    <row r="6368" spans="1:28" x14ac:dyDescent="0.25">
      <c r="A6368" t="s">
        <v>6372</v>
      </c>
      <c r="B6368">
        <v>0.99252571173614901</v>
      </c>
      <c r="C6368">
        <v>0.90625122357190202</v>
      </c>
      <c r="D6368">
        <v>0.84130869793201402</v>
      </c>
      <c r="E6368">
        <v>0.48173388313383297</v>
      </c>
      <c r="F6368">
        <v>0.25581533558085601</v>
      </c>
      <c r="G6368">
        <v>0.15424490719005299</v>
      </c>
      <c r="H6368">
        <v>0.10806420709742</v>
      </c>
      <c r="I6368">
        <v>9.5765120782891705E-2</v>
      </c>
      <c r="J6368">
        <v>7.24313155150903E-2</v>
      </c>
      <c r="K6368">
        <v>5.8097374726185702E-2</v>
      </c>
      <c r="L6368">
        <v>927.823646568257</v>
      </c>
      <c r="M6368">
        <v>18.852401678746698</v>
      </c>
      <c r="N6368">
        <v>49.6333032106253</v>
      </c>
      <c r="O6368">
        <v>48.671421881941498</v>
      </c>
      <c r="P6368">
        <v>-8.9728179027933605E-2</v>
      </c>
      <c r="Q6368">
        <v>7.3429789461752298E-2</v>
      </c>
      <c r="R6368">
        <v>0.99680060544631599</v>
      </c>
      <c r="S6368" t="s">
        <v>13014</v>
      </c>
      <c r="T6368" t="s">
        <v>13290</v>
      </c>
      <c r="U6368" t="s">
        <v>13290</v>
      </c>
      <c r="V6368" t="s">
        <v>13290</v>
      </c>
      <c r="W6368" t="s">
        <v>19603</v>
      </c>
      <c r="X6368">
        <v>4</v>
      </c>
      <c r="Y6368" t="s">
        <v>26065</v>
      </c>
      <c r="Z6368" t="s">
        <v>32698</v>
      </c>
      <c r="AA6368">
        <v>0.372630445712053</v>
      </c>
      <c r="AB6368" t="str">
        <f>HYPERLINK("Melting_Curves/meltCurve_Q9UNX4_WDR3.pdf", "Melting_Curves/meltCurve_Q9UNX4_WDR3.pdf")</f>
        <v>Melting_Curves/meltCurve_Q9UNX4_WDR3.pdf</v>
      </c>
    </row>
    <row r="6369" spans="1:28" x14ac:dyDescent="0.25">
      <c r="A6369" t="s">
        <v>6373</v>
      </c>
      <c r="B6369">
        <v>0.99252571173614901</v>
      </c>
      <c r="C6369">
        <v>0.83268728377229495</v>
      </c>
      <c r="D6369">
        <v>0.48414250464689801</v>
      </c>
      <c r="E6369">
        <v>0.25652476739044999</v>
      </c>
      <c r="F6369">
        <v>0.16299562112919</v>
      </c>
      <c r="G6369">
        <v>9.4763745887520706E-2</v>
      </c>
      <c r="H6369">
        <v>7.7459260846603997E-2</v>
      </c>
      <c r="I6369">
        <v>8.3319539021068506E-2</v>
      </c>
      <c r="J6369">
        <v>0.11650622780440301</v>
      </c>
      <c r="K6369">
        <v>0.119896670061657</v>
      </c>
      <c r="L6369">
        <v>1014.39895546108</v>
      </c>
      <c r="M6369">
        <v>22.235663080982601</v>
      </c>
      <c r="N6369">
        <v>46.092921269350498</v>
      </c>
      <c r="O6369">
        <v>45.256182211051097</v>
      </c>
      <c r="P6369">
        <v>-0.110314860464671</v>
      </c>
      <c r="Q6369">
        <v>0.101925125065187</v>
      </c>
      <c r="R6369">
        <v>0.99513889108109499</v>
      </c>
      <c r="S6369" t="s">
        <v>13015</v>
      </c>
      <c r="T6369" t="s">
        <v>13290</v>
      </c>
      <c r="U6369" t="s">
        <v>13290</v>
      </c>
      <c r="V6369" t="s">
        <v>13290</v>
      </c>
      <c r="W6369" t="s">
        <v>19604</v>
      </c>
      <c r="X6369">
        <v>8</v>
      </c>
      <c r="Y6369" t="s">
        <v>26066</v>
      </c>
      <c r="Z6369" t="s">
        <v>32699</v>
      </c>
      <c r="AA6369">
        <v>0.28134727689546379</v>
      </c>
      <c r="AB6369" t="str">
        <f>HYPERLINK("Melting_Curves/meltCurve_Q9UNY4_TTF2.pdf", "Melting_Curves/meltCurve_Q9UNY4_TTF2.pdf")</f>
        <v>Melting_Curves/meltCurve_Q9UNY4_TTF2.pdf</v>
      </c>
    </row>
    <row r="6370" spans="1:28" x14ac:dyDescent="0.25">
      <c r="A6370" t="s">
        <v>6374</v>
      </c>
      <c r="B6370">
        <v>0.99252571173614901</v>
      </c>
      <c r="C6370">
        <v>1.1590044744781201</v>
      </c>
      <c r="D6370">
        <v>0.92685458501641804</v>
      </c>
      <c r="E6370">
        <v>0.99645926001299501</v>
      </c>
      <c r="F6370">
        <v>0.64681315079678203</v>
      </c>
      <c r="G6370">
        <v>0.48697120538972599</v>
      </c>
      <c r="H6370">
        <v>0.44322327841284498</v>
      </c>
      <c r="I6370">
        <v>0.71371870683579997</v>
      </c>
      <c r="J6370">
        <v>0.97351713291963604</v>
      </c>
      <c r="K6370">
        <v>1.00534235713102</v>
      </c>
      <c r="L6370">
        <v>12617.4401233263</v>
      </c>
      <c r="M6370">
        <v>250</v>
      </c>
      <c r="O6370">
        <v>50.466530920422201</v>
      </c>
      <c r="P6370">
        <v>-0.35717042304770902</v>
      </c>
      <c r="Q6370">
        <v>0.71159756605783198</v>
      </c>
      <c r="R6370">
        <v>0.41876663248073598</v>
      </c>
      <c r="S6370" t="s">
        <v>13016</v>
      </c>
      <c r="T6370" t="s">
        <v>13290</v>
      </c>
      <c r="U6370" t="s">
        <v>13290</v>
      </c>
      <c r="V6370" t="s">
        <v>13290</v>
      </c>
      <c r="W6370" t="s">
        <v>19605</v>
      </c>
      <c r="X6370">
        <v>4</v>
      </c>
      <c r="Y6370" t="s">
        <v>26067</v>
      </c>
      <c r="Z6370" t="s">
        <v>32700</v>
      </c>
      <c r="AA6370">
        <v>0.81227325788108984</v>
      </c>
      <c r="AB6370" t="str">
        <f>HYPERLINK("Melting_Curves/meltCurve_Q9UNZ5_C19orf53.pdf", "Melting_Curves/meltCurve_Q9UNZ5_C19orf53.pdf")</f>
        <v>Melting_Curves/meltCurve_Q9UNZ5_C19orf53.pdf</v>
      </c>
    </row>
    <row r="6371" spans="1:28" x14ac:dyDescent="0.25">
      <c r="A6371" t="s">
        <v>6375</v>
      </c>
      <c r="B6371">
        <v>0.99252571173614901</v>
      </c>
      <c r="C6371">
        <v>0.80031928691229304</v>
      </c>
      <c r="D6371">
        <v>0.61679926832092302</v>
      </c>
      <c r="E6371">
        <v>0.32396847037090898</v>
      </c>
      <c r="F6371">
        <v>0.21781232769934999</v>
      </c>
      <c r="G6371">
        <v>0.116613515209013</v>
      </c>
      <c r="H6371">
        <v>8.8189278195427198E-2</v>
      </c>
      <c r="I6371">
        <v>7.7318292425185703E-2</v>
      </c>
      <c r="J6371">
        <v>0.10306733295626599</v>
      </c>
      <c r="K6371">
        <v>0.136236098373378</v>
      </c>
      <c r="L6371">
        <v>800.52541633000897</v>
      </c>
      <c r="M6371">
        <v>17.1580354799517</v>
      </c>
      <c r="N6371">
        <v>47.226380926949602</v>
      </c>
      <c r="O6371">
        <v>46.036081169853801</v>
      </c>
      <c r="P6371">
        <v>-8.44624626289638E-2</v>
      </c>
      <c r="Q6371">
        <v>9.3581773166160107E-2</v>
      </c>
      <c r="R6371">
        <v>0.99310394509407895</v>
      </c>
      <c r="S6371" t="s">
        <v>13017</v>
      </c>
      <c r="T6371" t="s">
        <v>13290</v>
      </c>
      <c r="U6371" t="s">
        <v>13290</v>
      </c>
      <c r="V6371" t="s">
        <v>13290</v>
      </c>
      <c r="W6371" t="s">
        <v>19606</v>
      </c>
      <c r="X6371">
        <v>3</v>
      </c>
      <c r="Y6371" t="s">
        <v>26068</v>
      </c>
      <c r="Z6371" t="s">
        <v>32701</v>
      </c>
      <c r="AA6371">
        <v>0.31360232847341019</v>
      </c>
      <c r="AB6371" t="str">
        <f>HYPERLINK("Melting_Curves/meltCurve_Q9UP83_3_COG5.pdf", "Melting_Curves/meltCurve_Q9UP83_3_COG5.pdf")</f>
        <v>Melting_Curves/meltCurve_Q9UP83_3_COG5.pdf</v>
      </c>
    </row>
    <row r="6372" spans="1:28" x14ac:dyDescent="0.25">
      <c r="A6372" t="s">
        <v>6376</v>
      </c>
      <c r="B6372">
        <v>0.99252571173614901</v>
      </c>
      <c r="C6372">
        <v>0.90269228574529303</v>
      </c>
      <c r="D6372">
        <v>0.73989776516430406</v>
      </c>
      <c r="E6372">
        <v>0.59534307388699303</v>
      </c>
      <c r="F6372">
        <v>0.39959111089738902</v>
      </c>
      <c r="G6372">
        <v>0.18092921932384001</v>
      </c>
      <c r="H6372">
        <v>9.5718887307635003E-2</v>
      </c>
      <c r="I6372">
        <v>8.0234822025148103E-2</v>
      </c>
      <c r="J6372">
        <v>8.0935725529947197E-2</v>
      </c>
      <c r="K6372">
        <v>6.6024931642322204E-2</v>
      </c>
      <c r="L6372">
        <v>637.37817552746401</v>
      </c>
      <c r="M6372">
        <v>12.602917227144401</v>
      </c>
      <c r="N6372">
        <v>50.741295703234499</v>
      </c>
      <c r="O6372">
        <v>49.351230028334498</v>
      </c>
      <c r="P6372">
        <v>-6.2555151048999502E-2</v>
      </c>
      <c r="Q6372">
        <v>2.0367022811831899E-2</v>
      </c>
      <c r="R6372">
        <v>0.99394064451226305</v>
      </c>
      <c r="S6372" t="s">
        <v>13018</v>
      </c>
      <c r="T6372" t="s">
        <v>13290</v>
      </c>
      <c r="U6372" t="s">
        <v>13290</v>
      </c>
      <c r="V6372" t="s">
        <v>13290</v>
      </c>
      <c r="W6372" t="s">
        <v>19607</v>
      </c>
      <c r="X6372">
        <v>2</v>
      </c>
      <c r="Y6372" t="s">
        <v>26069</v>
      </c>
      <c r="Z6372" t="s">
        <v>32702</v>
      </c>
      <c r="AA6372">
        <v>0.39608606549908681</v>
      </c>
      <c r="AB6372" t="str">
        <f>HYPERLINK("Melting_Curves/meltCurve_Q9UP95_5_SLC12A4.pdf", "Melting_Curves/meltCurve_Q9UP95_5_SLC12A4.pdf")</f>
        <v>Melting_Curves/meltCurve_Q9UP95_5_SLC12A4.pdf</v>
      </c>
    </row>
    <row r="6373" spans="1:28" x14ac:dyDescent="0.25">
      <c r="A6373" t="s">
        <v>6377</v>
      </c>
      <c r="B6373">
        <v>0.99252571173614901</v>
      </c>
      <c r="C6373">
        <v>0.95090563389759297</v>
      </c>
      <c r="D6373">
        <v>0.60209384056731396</v>
      </c>
      <c r="E6373">
        <v>0.42850281853664202</v>
      </c>
      <c r="F6373">
        <v>0.28001767651963899</v>
      </c>
      <c r="G6373">
        <v>0.183085631510155</v>
      </c>
      <c r="H6373">
        <v>0.15761499459535999</v>
      </c>
      <c r="I6373">
        <v>0.17286414635783801</v>
      </c>
      <c r="J6373">
        <v>0.27116147570290799</v>
      </c>
      <c r="K6373">
        <v>0.349727032080416</v>
      </c>
      <c r="L6373">
        <v>1080.24935945174</v>
      </c>
      <c r="M6373">
        <v>23.2688659799554</v>
      </c>
      <c r="N6373">
        <v>47.699063256798802</v>
      </c>
      <c r="O6373">
        <v>46.085834578902201</v>
      </c>
      <c r="P6373">
        <v>-9.7008740580231206E-2</v>
      </c>
      <c r="Q6373">
        <v>0.23147930481114101</v>
      </c>
      <c r="R6373">
        <v>0.95726753604585602</v>
      </c>
      <c r="S6373" t="s">
        <v>13019</v>
      </c>
      <c r="T6373" t="s">
        <v>13290</v>
      </c>
      <c r="U6373" t="s">
        <v>13290</v>
      </c>
      <c r="V6373" t="s">
        <v>13290</v>
      </c>
      <c r="W6373" t="s">
        <v>19608</v>
      </c>
      <c r="X6373">
        <v>15</v>
      </c>
      <c r="Y6373" t="s">
        <v>26070</v>
      </c>
      <c r="Z6373" t="s">
        <v>32703</v>
      </c>
      <c r="AA6373">
        <v>0.40426449960542199</v>
      </c>
      <c r="AB6373" t="str">
        <f>HYPERLINK("Melting_Curves/meltCurve_Q9UPN6_SCAF8.pdf", "Melting_Curves/meltCurve_Q9UPN6_SCAF8.pdf")</f>
        <v>Melting_Curves/meltCurve_Q9UPN6_SCAF8.pdf</v>
      </c>
    </row>
    <row r="6374" spans="1:28" x14ac:dyDescent="0.25">
      <c r="A6374" t="s">
        <v>6378</v>
      </c>
      <c r="B6374">
        <v>0.99252571173614901</v>
      </c>
      <c r="C6374">
        <v>0.86795874453437205</v>
      </c>
      <c r="D6374">
        <v>0.96723216901481501</v>
      </c>
      <c r="E6374">
        <v>0.66411059004682305</v>
      </c>
      <c r="F6374">
        <v>0.53271429319616903</v>
      </c>
      <c r="G6374">
        <v>0.32880917335597398</v>
      </c>
      <c r="H6374">
        <v>0.22631033625389699</v>
      </c>
      <c r="I6374">
        <v>0.13601216009554701</v>
      </c>
      <c r="J6374">
        <v>0.12486203856355101</v>
      </c>
      <c r="K6374">
        <v>0.109674869261895</v>
      </c>
      <c r="L6374">
        <v>670.35190741445297</v>
      </c>
      <c r="M6374">
        <v>12.689345566268701</v>
      </c>
      <c r="N6374">
        <v>53.4000074532958</v>
      </c>
      <c r="O6374">
        <v>51.567456939833001</v>
      </c>
      <c r="P6374">
        <v>-5.7619701104675701E-2</v>
      </c>
      <c r="Q6374">
        <v>6.3552849417738894E-2</v>
      </c>
      <c r="R6374">
        <v>0.98332252037949097</v>
      </c>
      <c r="S6374" t="s">
        <v>13020</v>
      </c>
      <c r="T6374" t="s">
        <v>13290</v>
      </c>
      <c r="U6374" t="s">
        <v>13290</v>
      </c>
      <c r="V6374" t="s">
        <v>13290</v>
      </c>
      <c r="W6374" t="s">
        <v>19609</v>
      </c>
      <c r="X6374">
        <v>3</v>
      </c>
      <c r="Y6374" t="s">
        <v>26071</v>
      </c>
      <c r="Z6374" t="s">
        <v>32704</v>
      </c>
      <c r="AA6374">
        <v>0.4892684728673275</v>
      </c>
      <c r="AB6374" t="str">
        <f>HYPERLINK("Melting_Curves/meltCurve_Q9UPN7_PPP6R1.pdf", "Melting_Curves/meltCurve_Q9UPN7_PPP6R1.pdf")</f>
        <v>Melting_Curves/meltCurve_Q9UPN7_PPP6R1.pdf</v>
      </c>
    </row>
    <row r="6375" spans="1:28" x14ac:dyDescent="0.25">
      <c r="A6375" t="s">
        <v>6379</v>
      </c>
      <c r="B6375">
        <v>0.99252571173614901</v>
      </c>
      <c r="C6375">
        <v>0.95567656311540805</v>
      </c>
      <c r="D6375">
        <v>0.75517607657708097</v>
      </c>
      <c r="E6375">
        <v>0.25460547519330901</v>
      </c>
      <c r="F6375">
        <v>0.147224710371194</v>
      </c>
      <c r="G6375">
        <v>8.3044946985658105E-2</v>
      </c>
      <c r="H6375">
        <v>6.8354900734048901E-2</v>
      </c>
      <c r="I6375">
        <v>8.5343464472566202E-2</v>
      </c>
      <c r="J6375">
        <v>0.11370046458244799</v>
      </c>
      <c r="K6375">
        <v>9.8956977744696598E-2</v>
      </c>
      <c r="L6375">
        <v>1522.5614439788401</v>
      </c>
      <c r="M6375">
        <v>32.1440397473594</v>
      </c>
      <c r="N6375">
        <v>47.671538946257499</v>
      </c>
      <c r="O6375">
        <v>47.184647824239697</v>
      </c>
      <c r="P6375">
        <v>-0.154495359429558</v>
      </c>
      <c r="Q6375">
        <v>9.2861812226804702E-2</v>
      </c>
      <c r="R6375">
        <v>0.99808525587780605</v>
      </c>
      <c r="S6375" t="s">
        <v>13021</v>
      </c>
      <c r="T6375" t="s">
        <v>13290</v>
      </c>
      <c r="U6375" t="s">
        <v>13290</v>
      </c>
      <c r="V6375" t="s">
        <v>13290</v>
      </c>
      <c r="W6375" t="s">
        <v>19610</v>
      </c>
      <c r="X6375">
        <v>19</v>
      </c>
      <c r="Y6375" t="s">
        <v>26072</v>
      </c>
      <c r="Z6375" t="s">
        <v>32705</v>
      </c>
      <c r="AA6375">
        <v>0.32032084030368502</v>
      </c>
      <c r="AB6375" t="str">
        <f>HYPERLINK("Melting_Curves/meltCurve_Q9UPN9_2_TRIM33.pdf", "Melting_Curves/meltCurve_Q9UPN9_2_TRIM33.pdf")</f>
        <v>Melting_Curves/meltCurve_Q9UPN9_2_TRIM33.pdf</v>
      </c>
    </row>
    <row r="6376" spans="1:28" x14ac:dyDescent="0.25">
      <c r="A6376" t="s">
        <v>6380</v>
      </c>
      <c r="B6376">
        <v>0.99252571173614901</v>
      </c>
      <c r="C6376">
        <v>0.558308087252677</v>
      </c>
      <c r="D6376">
        <v>0.26674405368145598</v>
      </c>
      <c r="E6376">
        <v>0.172374507515939</v>
      </c>
      <c r="F6376">
        <v>0.116935343310916</v>
      </c>
      <c r="G6376">
        <v>8.1832902622728798E-2</v>
      </c>
      <c r="H6376">
        <v>8.0723195358267594E-2</v>
      </c>
      <c r="I6376">
        <v>0.1009162974136</v>
      </c>
      <c r="J6376">
        <v>0.14508392231234801</v>
      </c>
      <c r="K6376">
        <v>0.1444989377318</v>
      </c>
      <c r="L6376">
        <v>1343.88150013729</v>
      </c>
      <c r="M6376">
        <v>31.164672194766698</v>
      </c>
      <c r="N6376">
        <v>43.507182797118602</v>
      </c>
      <c r="O6376">
        <v>42.945565541749097</v>
      </c>
      <c r="P6376">
        <v>-0.15954626071669201</v>
      </c>
      <c r="Q6376">
        <v>0.12057268102987299</v>
      </c>
      <c r="R6376">
        <v>0.98326056507249204</v>
      </c>
      <c r="S6376" t="s">
        <v>13022</v>
      </c>
      <c r="T6376" t="s">
        <v>13290</v>
      </c>
      <c r="U6376" t="s">
        <v>13290</v>
      </c>
      <c r="V6376" t="s">
        <v>13290</v>
      </c>
      <c r="W6376" t="s">
        <v>19611</v>
      </c>
      <c r="X6376">
        <v>5</v>
      </c>
      <c r="Y6376" t="s">
        <v>26073</v>
      </c>
      <c r="Z6376" t="s">
        <v>32706</v>
      </c>
      <c r="AA6376">
        <v>0.21920833831161399</v>
      </c>
      <c r="AB6376" t="str">
        <f>HYPERLINK("Melting_Curves/meltCurve_Q9UPP1_4_PHF8.pdf", "Melting_Curves/meltCurve_Q9UPP1_4_PHF8.pdf")</f>
        <v>Melting_Curves/meltCurve_Q9UPP1_4_PHF8.pdf</v>
      </c>
    </row>
    <row r="6377" spans="1:28" x14ac:dyDescent="0.25">
      <c r="A6377" t="s">
        <v>6381</v>
      </c>
      <c r="B6377">
        <v>0.99252571173614901</v>
      </c>
      <c r="C6377">
        <v>0.915253375753322</v>
      </c>
      <c r="D6377">
        <v>0.99881162134858803</v>
      </c>
      <c r="E6377">
        <v>0.85767933711783095</v>
      </c>
      <c r="F6377">
        <v>0.50159903065913503</v>
      </c>
      <c r="G6377">
        <v>0.28816728426420901</v>
      </c>
      <c r="H6377">
        <v>0.23681647325609101</v>
      </c>
      <c r="I6377">
        <v>0.28795760641456802</v>
      </c>
      <c r="J6377">
        <v>0.42327054511863599</v>
      </c>
      <c r="K6377">
        <v>0.52894858324126104</v>
      </c>
      <c r="L6377">
        <v>2049.84404752214</v>
      </c>
      <c r="M6377">
        <v>39.9604188378255</v>
      </c>
      <c r="N6377">
        <v>52.924748283088398</v>
      </c>
      <c r="O6377">
        <v>51.1688936109352</v>
      </c>
      <c r="P6377">
        <v>-0.126177517405898</v>
      </c>
      <c r="Q6377">
        <v>0.35372537683533101</v>
      </c>
      <c r="R6377">
        <v>0.92021624643288102</v>
      </c>
      <c r="S6377" t="s">
        <v>13023</v>
      </c>
      <c r="T6377" t="s">
        <v>13290</v>
      </c>
      <c r="U6377" t="s">
        <v>13290</v>
      </c>
      <c r="V6377" t="s">
        <v>13290</v>
      </c>
      <c r="W6377" t="s">
        <v>19612</v>
      </c>
      <c r="X6377">
        <v>7</v>
      </c>
      <c r="Y6377" t="s">
        <v>26074</v>
      </c>
      <c r="Z6377" t="s">
        <v>32707</v>
      </c>
      <c r="AA6377">
        <v>0.59938358180178042</v>
      </c>
      <c r="AB6377" t="str">
        <f>HYPERLINK("Melting_Curves/meltCurve_Q9UPQ9_1_TNRC6B.pdf", "Melting_Curves/meltCurve_Q9UPQ9_1_TNRC6B.pdf")</f>
        <v>Melting_Curves/meltCurve_Q9UPQ9_1_TNRC6B.pdf</v>
      </c>
    </row>
    <row r="6378" spans="1:28" x14ac:dyDescent="0.25">
      <c r="A6378" t="s">
        <v>6382</v>
      </c>
      <c r="B6378">
        <v>0.99252571173614901</v>
      </c>
      <c r="C6378">
        <v>0.79552398664068102</v>
      </c>
      <c r="D6378">
        <v>0.653594544713896</v>
      </c>
      <c r="E6378">
        <v>0.38236989333329702</v>
      </c>
      <c r="F6378">
        <v>0.21952760130142401</v>
      </c>
      <c r="G6378">
        <v>0.12531726254532</v>
      </c>
      <c r="H6378">
        <v>9.5646515301134299E-2</v>
      </c>
      <c r="I6378">
        <v>0.120761770043846</v>
      </c>
      <c r="J6378">
        <v>0.15328731547640501</v>
      </c>
      <c r="K6378">
        <v>7.9179104342759002E-2</v>
      </c>
      <c r="L6378">
        <v>755.01000463544403</v>
      </c>
      <c r="M6378">
        <v>16.0288502438713</v>
      </c>
      <c r="N6378">
        <v>47.736116588374102</v>
      </c>
      <c r="O6378">
        <v>46.3883491156285</v>
      </c>
      <c r="P6378">
        <v>-7.8120706490272196E-2</v>
      </c>
      <c r="Q6378">
        <v>9.5728824725768602E-2</v>
      </c>
      <c r="R6378">
        <v>0.99107026531192199</v>
      </c>
      <c r="S6378" t="s">
        <v>13024</v>
      </c>
      <c r="T6378" t="s">
        <v>13290</v>
      </c>
      <c r="U6378" t="s">
        <v>13290</v>
      </c>
      <c r="V6378" t="s">
        <v>13290</v>
      </c>
      <c r="W6378" t="s">
        <v>19613</v>
      </c>
      <c r="X6378">
        <v>1</v>
      </c>
      <c r="Y6378" t="s">
        <v>26075</v>
      </c>
      <c r="Z6378" t="s">
        <v>32708</v>
      </c>
      <c r="AA6378">
        <v>0.33110677994048399</v>
      </c>
      <c r="AB6378" t="str">
        <f>HYPERLINK("Melting_Curves/meltCurve_Q9UPR3_SMG5.pdf", "Melting_Curves/meltCurve_Q9UPR3_SMG5.pdf")</f>
        <v>Melting_Curves/meltCurve_Q9UPR3_SMG5.pdf</v>
      </c>
    </row>
    <row r="6379" spans="1:28" x14ac:dyDescent="0.25">
      <c r="A6379" t="s">
        <v>6383</v>
      </c>
      <c r="B6379">
        <v>0.99252571173614901</v>
      </c>
      <c r="C6379">
        <v>0.85958968423362203</v>
      </c>
      <c r="D6379">
        <v>0.82640778483090505</v>
      </c>
      <c r="E6379">
        <v>0.36942781821514697</v>
      </c>
      <c r="F6379">
        <v>0.13919535512825401</v>
      </c>
      <c r="G6379">
        <v>7.78565120600197E-2</v>
      </c>
      <c r="H6379">
        <v>5.6141042223109602E-2</v>
      </c>
      <c r="I6379">
        <v>6.7501410366219303E-2</v>
      </c>
      <c r="J6379">
        <v>8.0098617313811293E-2</v>
      </c>
      <c r="K6379">
        <v>8.0241455066973999E-2</v>
      </c>
      <c r="L6379">
        <v>1199.8511991611299</v>
      </c>
      <c r="M6379">
        <v>24.8714617323369</v>
      </c>
      <c r="N6379">
        <v>48.511240236261401</v>
      </c>
      <c r="O6379">
        <v>47.933444995225301</v>
      </c>
      <c r="P6379">
        <v>-0.12136024703643</v>
      </c>
      <c r="Q6379">
        <v>6.4447996344177694E-2</v>
      </c>
      <c r="R6379">
        <v>0.99055764784748201</v>
      </c>
      <c r="S6379" t="s">
        <v>13025</v>
      </c>
      <c r="T6379" t="s">
        <v>13290</v>
      </c>
      <c r="U6379" t="s">
        <v>13290</v>
      </c>
      <c r="V6379" t="s">
        <v>13290</v>
      </c>
      <c r="W6379" t="s">
        <v>19614</v>
      </c>
      <c r="X6379">
        <v>11</v>
      </c>
      <c r="Y6379" t="s">
        <v>26076</v>
      </c>
      <c r="Z6379" t="s">
        <v>32709</v>
      </c>
      <c r="AA6379">
        <v>0.32983541510545089</v>
      </c>
      <c r="AB6379" t="str">
        <f>HYPERLINK("Melting_Curves/meltCurve_Q9UPT5_1_EXOC7.pdf", "Melting_Curves/meltCurve_Q9UPT5_1_EXOC7.pdf")</f>
        <v>Melting_Curves/meltCurve_Q9UPT5_1_EXOC7.pdf</v>
      </c>
    </row>
    <row r="6380" spans="1:28" x14ac:dyDescent="0.25">
      <c r="A6380" t="s">
        <v>6384</v>
      </c>
      <c r="B6380">
        <v>0.99252571173614901</v>
      </c>
      <c r="C6380">
        <v>1.0872305373261799</v>
      </c>
      <c r="D6380">
        <v>1.0677540064369599</v>
      </c>
      <c r="E6380">
        <v>1.2849119001827101</v>
      </c>
      <c r="F6380">
        <v>0.98313168810649298</v>
      </c>
      <c r="G6380">
        <v>0.80202305339999602</v>
      </c>
      <c r="H6380">
        <v>0.81179860834192297</v>
      </c>
      <c r="I6380">
        <v>1.1445561045216699</v>
      </c>
      <c r="J6380">
        <v>1.55556343518787</v>
      </c>
      <c r="K6380">
        <v>2.23328136047347</v>
      </c>
      <c r="L6380">
        <v>15000</v>
      </c>
      <c r="M6380">
        <v>233.47541284739199</v>
      </c>
      <c r="O6380">
        <v>64.241871679633704</v>
      </c>
      <c r="P6380">
        <v>0.45428973578521598</v>
      </c>
      <c r="Q6380">
        <v>1.5</v>
      </c>
      <c r="R6380">
        <v>0.56591766430419899</v>
      </c>
      <c r="S6380" t="s">
        <v>13026</v>
      </c>
      <c r="T6380" t="s">
        <v>13290</v>
      </c>
      <c r="U6380" t="s">
        <v>13290</v>
      </c>
      <c r="V6380" t="s">
        <v>13290</v>
      </c>
      <c r="W6380" t="s">
        <v>19615</v>
      </c>
      <c r="X6380">
        <v>24</v>
      </c>
      <c r="Y6380" t="s">
        <v>26077</v>
      </c>
      <c r="Z6380" t="s">
        <v>32710</v>
      </c>
      <c r="AA6380">
        <v>1.095825463609218</v>
      </c>
      <c r="AB6380" t="str">
        <f>HYPERLINK("Melting_Curves/meltCurve_Q9UPT8_ZC3H4.pdf", "Melting_Curves/meltCurve_Q9UPT8_ZC3H4.pdf")</f>
        <v>Melting_Curves/meltCurve_Q9UPT8_ZC3H4.pdf</v>
      </c>
    </row>
    <row r="6381" spans="1:28" x14ac:dyDescent="0.25">
      <c r="A6381" t="s">
        <v>6385</v>
      </c>
      <c r="B6381">
        <v>0.99252571173614901</v>
      </c>
      <c r="C6381">
        <v>1.0091853192404201</v>
      </c>
      <c r="D6381">
        <v>0.71747287076480704</v>
      </c>
      <c r="E6381">
        <v>0.415594087002365</v>
      </c>
      <c r="F6381">
        <v>0.123880412038525</v>
      </c>
      <c r="G6381">
        <v>5.6719269286096601E-2</v>
      </c>
      <c r="H6381">
        <v>4.64374212115417E-2</v>
      </c>
      <c r="I6381">
        <v>5.68760099726556E-2</v>
      </c>
      <c r="J6381">
        <v>8.1711045290157894E-2</v>
      </c>
      <c r="K6381">
        <v>5.5676540802426497E-2</v>
      </c>
      <c r="L6381">
        <v>1118.20398797849</v>
      </c>
      <c r="M6381">
        <v>23.192226506186799</v>
      </c>
      <c r="N6381">
        <v>48.437437339244099</v>
      </c>
      <c r="O6381">
        <v>47.860434341888897</v>
      </c>
      <c r="P6381">
        <v>-0.11501722824711</v>
      </c>
      <c r="Q6381">
        <v>5.0600092727173897E-2</v>
      </c>
      <c r="R6381">
        <v>0.99347350167544501</v>
      </c>
      <c r="S6381" t="s">
        <v>13027</v>
      </c>
      <c r="T6381" t="s">
        <v>13290</v>
      </c>
      <c r="U6381" t="s">
        <v>13290</v>
      </c>
      <c r="V6381" t="s">
        <v>13290</v>
      </c>
      <c r="W6381" t="s">
        <v>19616</v>
      </c>
      <c r="X6381">
        <v>5</v>
      </c>
      <c r="Y6381" t="s">
        <v>26078</v>
      </c>
      <c r="Z6381" t="s">
        <v>32711</v>
      </c>
      <c r="AA6381">
        <v>0.32039527135467399</v>
      </c>
      <c r="AB6381" t="str">
        <f>HYPERLINK("Melting_Curves/meltCurve_Q9UPT9_2_USP22.pdf", "Melting_Curves/meltCurve_Q9UPT9_2_USP22.pdf")</f>
        <v>Melting_Curves/meltCurve_Q9UPT9_2_USP22.pdf</v>
      </c>
    </row>
    <row r="6382" spans="1:28" x14ac:dyDescent="0.25">
      <c r="A6382" t="s">
        <v>6386</v>
      </c>
      <c r="B6382">
        <v>0.99252571173614901</v>
      </c>
      <c r="C6382">
        <v>0.84659843016907599</v>
      </c>
      <c r="D6382">
        <v>0.90539787253987802</v>
      </c>
      <c r="E6382">
        <v>0.53362314972158997</v>
      </c>
      <c r="F6382">
        <v>0.27354561539799099</v>
      </c>
      <c r="G6382">
        <v>9.9343942946541794E-2</v>
      </c>
      <c r="H6382">
        <v>6.3904504977624593E-2</v>
      </c>
      <c r="I6382">
        <v>6.1163210659725901E-2</v>
      </c>
      <c r="J6382">
        <v>9.1352501855991197E-2</v>
      </c>
      <c r="K6382">
        <v>7.4313444727933095E-2</v>
      </c>
      <c r="L6382">
        <v>1022.14107552191</v>
      </c>
      <c r="M6382">
        <v>20.534654788448901</v>
      </c>
      <c r="N6382">
        <v>50.082777307974602</v>
      </c>
      <c r="O6382">
        <v>49.311564745060302</v>
      </c>
      <c r="P6382">
        <v>-9.7964643121776995E-2</v>
      </c>
      <c r="Q6382">
        <v>5.9025573254250001E-2</v>
      </c>
      <c r="R6382">
        <v>0.98556772147669403</v>
      </c>
      <c r="S6382" t="s">
        <v>13028</v>
      </c>
      <c r="T6382" t="s">
        <v>13290</v>
      </c>
      <c r="U6382" t="s">
        <v>13290</v>
      </c>
      <c r="V6382" t="s">
        <v>13290</v>
      </c>
      <c r="W6382" t="s">
        <v>19617</v>
      </c>
      <c r="X6382">
        <v>11</v>
      </c>
      <c r="Y6382" t="s">
        <v>26079</v>
      </c>
      <c r="Z6382" t="s">
        <v>32712</v>
      </c>
      <c r="AA6382">
        <v>0.37811694414848768</v>
      </c>
      <c r="AB6382" t="str">
        <f>HYPERLINK("Melting_Curves/meltCurve_Q9UPU5_USP24.pdf", "Melting_Curves/meltCurve_Q9UPU5_USP24.pdf")</f>
        <v>Melting_Curves/meltCurve_Q9UPU5_USP24.pdf</v>
      </c>
    </row>
    <row r="6383" spans="1:28" x14ac:dyDescent="0.25">
      <c r="A6383" t="s">
        <v>6387</v>
      </c>
      <c r="B6383">
        <v>0.99252571173614901</v>
      </c>
      <c r="C6383">
        <v>0.98193752554680802</v>
      </c>
      <c r="D6383">
        <v>0.88200360975802705</v>
      </c>
      <c r="E6383">
        <v>0.65839563594792705</v>
      </c>
      <c r="F6383">
        <v>0.31199625287266802</v>
      </c>
      <c r="G6383">
        <v>0.161052575145121</v>
      </c>
      <c r="H6383">
        <v>0.13342095142773799</v>
      </c>
      <c r="I6383">
        <v>0.11995355577530301</v>
      </c>
      <c r="J6383">
        <v>0.15021500874843</v>
      </c>
      <c r="K6383">
        <v>0.13062030414967099</v>
      </c>
      <c r="L6383">
        <v>1175.4793404741899</v>
      </c>
      <c r="M6383">
        <v>23.349176026865401</v>
      </c>
      <c r="N6383">
        <v>50.9594681552515</v>
      </c>
      <c r="O6383">
        <v>49.978590269234203</v>
      </c>
      <c r="P6383">
        <v>-0.102438087452143</v>
      </c>
      <c r="Q6383">
        <v>0.12294621009929201</v>
      </c>
      <c r="R6383">
        <v>0.99801406743917398</v>
      </c>
      <c r="S6383" t="s">
        <v>13029</v>
      </c>
      <c r="T6383" t="s">
        <v>13290</v>
      </c>
      <c r="U6383" t="s">
        <v>13290</v>
      </c>
      <c r="V6383" t="s">
        <v>13290</v>
      </c>
      <c r="W6383" t="s">
        <v>19618</v>
      </c>
      <c r="X6383">
        <v>8</v>
      </c>
      <c r="Y6383" t="s">
        <v>26080</v>
      </c>
      <c r="Z6383" t="s">
        <v>32713</v>
      </c>
      <c r="AA6383">
        <v>0.43435130558169938</v>
      </c>
      <c r="AB6383" t="str">
        <f>HYPERLINK("Melting_Curves/meltCurve_Q9UPW5_AGTPBP1.pdf", "Melting_Curves/meltCurve_Q9UPW5_AGTPBP1.pdf")</f>
        <v>Melting_Curves/meltCurve_Q9UPW5_AGTPBP1.pdf</v>
      </c>
    </row>
    <row r="6384" spans="1:28" x14ac:dyDescent="0.25">
      <c r="A6384" t="s">
        <v>6388</v>
      </c>
      <c r="B6384">
        <v>0.99252571173614901</v>
      </c>
      <c r="C6384">
        <v>0.76455552381528002</v>
      </c>
      <c r="D6384">
        <v>0.97096990767743596</v>
      </c>
      <c r="E6384">
        <v>0.46500640300926699</v>
      </c>
      <c r="F6384">
        <v>0.15567643356303701</v>
      </c>
      <c r="G6384">
        <v>9.4773963911760198E-2</v>
      </c>
      <c r="H6384">
        <v>6.8616454391470405E-2</v>
      </c>
      <c r="I6384">
        <v>0.10593643637516401</v>
      </c>
      <c r="J6384">
        <v>0.21832893718214799</v>
      </c>
      <c r="K6384">
        <v>0.28714182820610701</v>
      </c>
      <c r="L6384">
        <v>2456.1850390556301</v>
      </c>
      <c r="M6384">
        <v>50.067959040519099</v>
      </c>
      <c r="N6384">
        <v>49.415744967487299</v>
      </c>
      <c r="O6384">
        <v>48.978952695958498</v>
      </c>
      <c r="P6384">
        <v>-0.21662045475853001</v>
      </c>
      <c r="Q6384">
        <v>0.152365366581419</v>
      </c>
      <c r="R6384">
        <v>0.92506165864457601</v>
      </c>
      <c r="S6384" t="s">
        <v>13030</v>
      </c>
      <c r="T6384" t="s">
        <v>13290</v>
      </c>
      <c r="U6384" t="s">
        <v>13290</v>
      </c>
      <c r="V6384" t="s">
        <v>13290</v>
      </c>
      <c r="W6384" t="s">
        <v>19619</v>
      </c>
      <c r="X6384">
        <v>1</v>
      </c>
      <c r="Y6384" t="s">
        <v>26081</v>
      </c>
      <c r="Z6384" t="s">
        <v>32714</v>
      </c>
      <c r="AA6384">
        <v>0.41009633382140148</v>
      </c>
      <c r="AB6384" t="str">
        <f>HYPERLINK("Melting_Curves/meltCurve_Q9UPY3_DICER1.pdf", "Melting_Curves/meltCurve_Q9UPY3_DICER1.pdf")</f>
        <v>Melting_Curves/meltCurve_Q9UPY3_DICER1.pdf</v>
      </c>
    </row>
    <row r="6385" spans="1:28" x14ac:dyDescent="0.25">
      <c r="A6385" t="s">
        <v>6389</v>
      </c>
      <c r="B6385">
        <v>0.99252571173614901</v>
      </c>
      <c r="C6385">
        <v>1.01354083917147</v>
      </c>
      <c r="D6385">
        <v>0.90087382522237602</v>
      </c>
      <c r="E6385">
        <v>0.75722452185206801</v>
      </c>
      <c r="F6385">
        <v>0.83922683963412203</v>
      </c>
      <c r="G6385">
        <v>0.56940020345571896</v>
      </c>
      <c r="H6385">
        <v>0.36039830997304001</v>
      </c>
      <c r="I6385">
        <v>0.31064479653993399</v>
      </c>
      <c r="J6385">
        <v>0.40682939297813397</v>
      </c>
      <c r="K6385">
        <v>0.16178831719735001</v>
      </c>
      <c r="L6385">
        <v>562.88074486781898</v>
      </c>
      <c r="M6385">
        <v>9.7632859635359992</v>
      </c>
      <c r="N6385">
        <v>58.848988702688501</v>
      </c>
      <c r="O6385">
        <v>55.390153727497299</v>
      </c>
      <c r="P6385">
        <v>-4.0121407232560198E-2</v>
      </c>
      <c r="Q6385">
        <v>9.0000219481837104E-2</v>
      </c>
      <c r="R6385">
        <v>0.93866210316575704</v>
      </c>
      <c r="S6385" t="s">
        <v>13031</v>
      </c>
      <c r="T6385" t="s">
        <v>13290</v>
      </c>
      <c r="U6385" t="s">
        <v>13290</v>
      </c>
      <c r="V6385" t="s">
        <v>13290</v>
      </c>
      <c r="W6385" t="s">
        <v>19620</v>
      </c>
      <c r="X6385">
        <v>4</v>
      </c>
      <c r="Y6385" t="s">
        <v>26082</v>
      </c>
      <c r="Z6385" t="s">
        <v>32715</v>
      </c>
      <c r="AA6385">
        <v>0.63601801126849611</v>
      </c>
      <c r="AB6385" t="str">
        <f>HYPERLINK("Melting_Curves/meltCurve_Q9UPY5_SLC7A11.pdf", "Melting_Curves/meltCurve_Q9UPY5_SLC7A11.pdf")</f>
        <v>Melting_Curves/meltCurve_Q9UPY5_SLC7A11.pdf</v>
      </c>
    </row>
    <row r="6386" spans="1:28" x14ac:dyDescent="0.25">
      <c r="A6386" t="s">
        <v>6390</v>
      </c>
      <c r="B6386">
        <v>0.99252571173614901</v>
      </c>
      <c r="C6386">
        <v>1.00527695545315</v>
      </c>
      <c r="D6386">
        <v>0.86190729849504799</v>
      </c>
      <c r="E6386">
        <v>0.62076474843798302</v>
      </c>
      <c r="F6386">
        <v>0.20815727704157899</v>
      </c>
      <c r="G6386">
        <v>0.12369029285604501</v>
      </c>
      <c r="H6386">
        <v>9.8211764423404097E-2</v>
      </c>
      <c r="I6386">
        <v>0.11882956250221199</v>
      </c>
      <c r="J6386">
        <v>0.150330832203391</v>
      </c>
      <c r="K6386">
        <v>0.13532252687208901</v>
      </c>
      <c r="L6386">
        <v>1403.6222311220299</v>
      </c>
      <c r="M6386">
        <v>28.182442722204399</v>
      </c>
      <c r="N6386">
        <v>50.272652045784803</v>
      </c>
      <c r="O6386">
        <v>49.556104599962197</v>
      </c>
      <c r="P6386">
        <v>-0.12577707755085399</v>
      </c>
      <c r="Q6386">
        <v>0.115340000194082</v>
      </c>
      <c r="R6386">
        <v>0.99370760399980196</v>
      </c>
      <c r="S6386" t="s">
        <v>13032</v>
      </c>
      <c r="T6386" t="s">
        <v>13290</v>
      </c>
      <c r="U6386" t="s">
        <v>13290</v>
      </c>
      <c r="V6386" t="s">
        <v>13290</v>
      </c>
      <c r="W6386" t="s">
        <v>19621</v>
      </c>
      <c r="X6386">
        <v>2</v>
      </c>
      <c r="Y6386" t="s">
        <v>26083</v>
      </c>
      <c r="Z6386" t="s">
        <v>32716</v>
      </c>
      <c r="AA6386">
        <v>0.41066352159900532</v>
      </c>
      <c r="AB6386" t="str">
        <f>HYPERLINK("Melting_Curves/meltCurve_Q9UPY8_2_MAPRE3.pdf", "Melting_Curves/meltCurve_Q9UPY8_2_MAPRE3.pdf")</f>
        <v>Melting_Curves/meltCurve_Q9UPY8_2_MAPRE3.pdf</v>
      </c>
    </row>
    <row r="6387" spans="1:28" x14ac:dyDescent="0.25">
      <c r="A6387" t="s">
        <v>6391</v>
      </c>
      <c r="B6387">
        <v>0.99252571173614901</v>
      </c>
      <c r="C6387">
        <v>0.98864437932942595</v>
      </c>
      <c r="D6387">
        <v>0.90837946875845799</v>
      </c>
      <c r="E6387">
        <v>0.66351448800885104</v>
      </c>
      <c r="F6387">
        <v>0.31945305227396997</v>
      </c>
      <c r="G6387">
        <v>9.6159207525153806E-2</v>
      </c>
      <c r="H6387">
        <v>7.6000872106264494E-2</v>
      </c>
      <c r="I6387">
        <v>7.2324310840805206E-2</v>
      </c>
      <c r="J6387">
        <v>8.8053776616839205E-2</v>
      </c>
      <c r="K6387">
        <v>6.2952159558635395E-2</v>
      </c>
      <c r="L6387">
        <v>1197.92989286741</v>
      </c>
      <c r="M6387">
        <v>23.582646150517402</v>
      </c>
      <c r="N6387">
        <v>51.082260780342203</v>
      </c>
      <c r="O6387">
        <v>50.436064829016203</v>
      </c>
      <c r="P6387">
        <v>-0.10968608181615699</v>
      </c>
      <c r="Q6387">
        <v>6.16761147825204E-2</v>
      </c>
      <c r="R6387">
        <v>0.99830143259073201</v>
      </c>
      <c r="S6387" t="s">
        <v>13033</v>
      </c>
      <c r="T6387" t="s">
        <v>13290</v>
      </c>
      <c r="U6387" t="s">
        <v>13290</v>
      </c>
      <c r="V6387" t="s">
        <v>13290</v>
      </c>
      <c r="W6387" t="s">
        <v>19622</v>
      </c>
      <c r="X6387">
        <v>3</v>
      </c>
      <c r="Y6387" t="s">
        <v>26084</v>
      </c>
      <c r="Z6387" t="s">
        <v>32717</v>
      </c>
      <c r="AA6387">
        <v>0.40886927927077571</v>
      </c>
      <c r="AB6387" t="str">
        <f>HYPERLINK("Melting_Curves/meltCurve_Q9UQ13_2_SHOC2.pdf", "Melting_Curves/meltCurve_Q9UQ13_2_SHOC2.pdf")</f>
        <v>Melting_Curves/meltCurve_Q9UQ13_2_SHOC2.pdf</v>
      </c>
    </row>
    <row r="6388" spans="1:28" x14ac:dyDescent="0.25">
      <c r="A6388" t="s">
        <v>6392</v>
      </c>
      <c r="B6388">
        <v>0.99252571173614901</v>
      </c>
      <c r="C6388">
        <v>0.54081070796920105</v>
      </c>
      <c r="D6388">
        <v>0.856374247177774</v>
      </c>
      <c r="E6388">
        <v>0.59153669688060995</v>
      </c>
      <c r="F6388">
        <v>0.30776040636518798</v>
      </c>
      <c r="G6388">
        <v>0.17531073387848001</v>
      </c>
      <c r="H6388">
        <v>0.14819647961055901</v>
      </c>
      <c r="I6388">
        <v>0.20776939544644199</v>
      </c>
      <c r="J6388">
        <v>0.33901118408053099</v>
      </c>
      <c r="K6388">
        <v>0.451906333349406</v>
      </c>
      <c r="L6388">
        <v>594.71818388552299</v>
      </c>
      <c r="M6388">
        <v>12.712864207243699</v>
      </c>
      <c r="N6388">
        <v>49.368736586626198</v>
      </c>
      <c r="O6388">
        <v>45.668591508999</v>
      </c>
      <c r="P6388">
        <v>-5.2676367351798301E-2</v>
      </c>
      <c r="Q6388">
        <v>0.24322566099631299</v>
      </c>
      <c r="R6388">
        <v>0.70283182110206399</v>
      </c>
      <c r="S6388" t="s">
        <v>13034</v>
      </c>
      <c r="T6388" t="s">
        <v>13290</v>
      </c>
      <c r="U6388" t="s">
        <v>13290</v>
      </c>
      <c r="V6388" t="s">
        <v>13290</v>
      </c>
      <c r="W6388" t="s">
        <v>19623</v>
      </c>
      <c r="X6388">
        <v>53</v>
      </c>
      <c r="Y6388" t="s">
        <v>26085</v>
      </c>
      <c r="Z6388" t="s">
        <v>32718</v>
      </c>
      <c r="AA6388">
        <v>0.44327182720610647</v>
      </c>
      <c r="AB6388" t="str">
        <f>HYPERLINK("Melting_Curves/meltCurve_Q9UQ35_SRRM2.pdf", "Melting_Curves/meltCurve_Q9UQ35_SRRM2.pdf")</f>
        <v>Melting_Curves/meltCurve_Q9UQ35_SRRM2.pdf</v>
      </c>
    </row>
    <row r="6389" spans="1:28" x14ac:dyDescent="0.25">
      <c r="A6389" t="s">
        <v>6393</v>
      </c>
      <c r="B6389">
        <v>0.99252571173614901</v>
      </c>
      <c r="C6389">
        <v>0.90792084088597902</v>
      </c>
      <c r="D6389">
        <v>0.85237787334804704</v>
      </c>
      <c r="E6389">
        <v>0.760360345303567</v>
      </c>
      <c r="F6389">
        <v>0.42230222957876901</v>
      </c>
      <c r="G6389">
        <v>0.31803496347121801</v>
      </c>
      <c r="H6389">
        <v>0.20980050771897299</v>
      </c>
      <c r="I6389">
        <v>0.142161106495579</v>
      </c>
      <c r="J6389">
        <v>0.166756709883017</v>
      </c>
      <c r="K6389">
        <v>0.124531940187299</v>
      </c>
      <c r="L6389">
        <v>745.42005242409698</v>
      </c>
      <c r="M6389">
        <v>14.3840713665883</v>
      </c>
      <c r="N6389">
        <v>52.727746523290698</v>
      </c>
      <c r="O6389">
        <v>50.851854048119399</v>
      </c>
      <c r="P6389">
        <v>-6.2986882663277996E-2</v>
      </c>
      <c r="Q6389">
        <v>0.10939859110410199</v>
      </c>
      <c r="R6389">
        <v>0.98973051077789098</v>
      </c>
      <c r="S6389" t="s">
        <v>13035</v>
      </c>
      <c r="T6389" t="s">
        <v>13290</v>
      </c>
      <c r="U6389" t="s">
        <v>13290</v>
      </c>
      <c r="V6389" t="s">
        <v>13290</v>
      </c>
      <c r="W6389" t="s">
        <v>19624</v>
      </c>
      <c r="X6389">
        <v>4</v>
      </c>
      <c r="Y6389" t="s">
        <v>26086</v>
      </c>
      <c r="Z6389" t="s">
        <v>32719</v>
      </c>
      <c r="AA6389">
        <v>0.48173245961831429</v>
      </c>
      <c r="AB6389" t="str">
        <f>HYPERLINK("Melting_Curves/meltCurve_Q9UQ53_2_MGAT4B.pdf", "Melting_Curves/meltCurve_Q9UQ53_2_MGAT4B.pdf")</f>
        <v>Melting_Curves/meltCurve_Q9UQ53_2_MGAT4B.pdf</v>
      </c>
    </row>
    <row r="6390" spans="1:28" x14ac:dyDescent="0.25">
      <c r="A6390" t="s">
        <v>6394</v>
      </c>
      <c r="B6390">
        <v>0.99252571173614901</v>
      </c>
      <c r="C6390">
        <v>1.1200502991400001</v>
      </c>
      <c r="D6390">
        <v>0.57737539442115304</v>
      </c>
      <c r="E6390">
        <v>0.60684546811485995</v>
      </c>
      <c r="F6390">
        <v>0.26174287770861498</v>
      </c>
      <c r="G6390">
        <v>9.86644705880039E-2</v>
      </c>
      <c r="H6390">
        <v>5.1681099139969301E-2</v>
      </c>
      <c r="I6390">
        <v>5.0055935295885701E-2</v>
      </c>
      <c r="J6390">
        <v>5.3639653781005499E-2</v>
      </c>
      <c r="K6390">
        <v>5.3973556977356001E-2</v>
      </c>
      <c r="L6390">
        <v>801.88681161905095</v>
      </c>
      <c r="M6390">
        <v>16.206741919428602</v>
      </c>
      <c r="N6390">
        <v>49.647960196104798</v>
      </c>
      <c r="O6390">
        <v>48.743673129664103</v>
      </c>
      <c r="P6390">
        <v>-8.0892907965956801E-2</v>
      </c>
      <c r="Q6390">
        <v>2.6893025169940001E-2</v>
      </c>
      <c r="R6390">
        <v>0.94028602161215902</v>
      </c>
      <c r="S6390" t="s">
        <v>13036</v>
      </c>
      <c r="T6390" t="s">
        <v>13290</v>
      </c>
      <c r="U6390" t="s">
        <v>13290</v>
      </c>
      <c r="V6390" t="s">
        <v>13290</v>
      </c>
      <c r="W6390" t="s">
        <v>19625</v>
      </c>
      <c r="X6390">
        <v>37</v>
      </c>
      <c r="Y6390" t="s">
        <v>26087</v>
      </c>
      <c r="Z6390" t="s">
        <v>32720</v>
      </c>
      <c r="AA6390">
        <v>0.3547965220106768</v>
      </c>
      <c r="AB6390" t="str">
        <f>HYPERLINK("Melting_Curves/meltCurve_Q9UQ80_PA2G4.pdf", "Melting_Curves/meltCurve_Q9UQ80_PA2G4.pdf")</f>
        <v>Melting_Curves/meltCurve_Q9UQ80_PA2G4.pdf</v>
      </c>
    </row>
    <row r="6391" spans="1:28" x14ac:dyDescent="0.25">
      <c r="A6391" t="s">
        <v>6395</v>
      </c>
      <c r="B6391">
        <v>0.99252571173614901</v>
      </c>
      <c r="C6391">
        <v>0.88000254178394199</v>
      </c>
      <c r="D6391">
        <v>0.77258578659261501</v>
      </c>
      <c r="E6391">
        <v>0.71809141229629903</v>
      </c>
      <c r="F6391">
        <v>0.64297995844140898</v>
      </c>
      <c r="G6391">
        <v>0.33822390638211303</v>
      </c>
      <c r="H6391">
        <v>0.124687147577111</v>
      </c>
      <c r="I6391">
        <v>0.137123442149549</v>
      </c>
      <c r="J6391">
        <v>0.15404481509814</v>
      </c>
      <c r="K6391">
        <v>0.14792911953486701</v>
      </c>
      <c r="L6391">
        <v>557.72477609617101</v>
      </c>
      <c r="M6391">
        <v>10.4279756555823</v>
      </c>
      <c r="N6391">
        <v>53.661076358456398</v>
      </c>
      <c r="O6391">
        <v>51.628854764910997</v>
      </c>
      <c r="P6391">
        <v>-4.9659126399434199E-2</v>
      </c>
      <c r="Q6391">
        <v>1.69587868415755E-2</v>
      </c>
      <c r="R6391">
        <v>0.96156579913784601</v>
      </c>
      <c r="S6391" t="s">
        <v>13037</v>
      </c>
      <c r="T6391" t="s">
        <v>13290</v>
      </c>
      <c r="U6391" t="s">
        <v>13290</v>
      </c>
      <c r="V6391" t="s">
        <v>13290</v>
      </c>
      <c r="W6391" t="s">
        <v>19626</v>
      </c>
      <c r="X6391">
        <v>21</v>
      </c>
      <c r="Y6391" t="s">
        <v>26088</v>
      </c>
      <c r="Z6391" t="s">
        <v>32721</v>
      </c>
      <c r="AA6391">
        <v>0.48947372042887688</v>
      </c>
      <c r="AB6391" t="str">
        <f>HYPERLINK("Melting_Curves/meltCurve_Q9UQ90_SPG7.pdf", "Melting_Curves/meltCurve_Q9UQ90_SPG7.pdf")</f>
        <v>Melting_Curves/meltCurve_Q9UQ90_SPG7.pdf</v>
      </c>
    </row>
    <row r="6392" spans="1:28" x14ac:dyDescent="0.25">
      <c r="A6392" t="s">
        <v>6396</v>
      </c>
      <c r="B6392">
        <v>0.99252571173614901</v>
      </c>
      <c r="C6392">
        <v>0.78675478964941903</v>
      </c>
      <c r="D6392">
        <v>1.00268147713463</v>
      </c>
      <c r="E6392">
        <v>0.69110774300821298</v>
      </c>
      <c r="F6392">
        <v>0.37756821408267699</v>
      </c>
      <c r="G6392">
        <v>0.19463232169626701</v>
      </c>
      <c r="H6392">
        <v>0.10100350127686999</v>
      </c>
      <c r="I6392">
        <v>8.7191787979577703E-2</v>
      </c>
      <c r="J6392">
        <v>8.67551347113973E-2</v>
      </c>
      <c r="K6392">
        <v>8.4034446569350704E-2</v>
      </c>
      <c r="L6392">
        <v>1055.7658058031</v>
      </c>
      <c r="M6392">
        <v>20.546499339961699</v>
      </c>
      <c r="N6392">
        <v>51.7908005552978</v>
      </c>
      <c r="O6392">
        <v>50.904896061191899</v>
      </c>
      <c r="P6392">
        <v>-9.3393580797246398E-2</v>
      </c>
      <c r="Q6392">
        <v>7.44794888375232E-2</v>
      </c>
      <c r="R6392">
        <v>0.96641893331570605</v>
      </c>
      <c r="S6392" t="s">
        <v>13038</v>
      </c>
      <c r="T6392" t="s">
        <v>13290</v>
      </c>
      <c r="U6392" t="s">
        <v>13290</v>
      </c>
      <c r="V6392" t="s">
        <v>13290</v>
      </c>
      <c r="W6392" t="s">
        <v>19627</v>
      </c>
      <c r="X6392">
        <v>35</v>
      </c>
      <c r="Y6392" t="s">
        <v>26089</v>
      </c>
      <c r="Z6392" t="s">
        <v>32722</v>
      </c>
      <c r="AA6392">
        <v>0.43790086043009829</v>
      </c>
      <c r="AB6392" t="str">
        <f>HYPERLINK("Melting_Curves/meltCurve_Q9UQB8_5_BAIAP2.pdf", "Melting_Curves/meltCurve_Q9UQB8_5_BAIAP2.pdf")</f>
        <v>Melting_Curves/meltCurve_Q9UQB8_5_BAIAP2.pdf</v>
      </c>
    </row>
    <row r="6393" spans="1:28" x14ac:dyDescent="0.25">
      <c r="A6393" t="s">
        <v>6397</v>
      </c>
      <c r="B6393">
        <v>0.99252571173614901</v>
      </c>
      <c r="C6393">
        <v>1.2145338475885501</v>
      </c>
      <c r="D6393">
        <v>1.04087074467983</v>
      </c>
      <c r="E6393">
        <v>1.4023960316712101</v>
      </c>
      <c r="F6393">
        <v>0.38448986210853903</v>
      </c>
      <c r="G6393">
        <v>0.23385457534721199</v>
      </c>
      <c r="H6393">
        <v>0.17365584635292799</v>
      </c>
      <c r="I6393">
        <v>0.20004798136642299</v>
      </c>
      <c r="J6393">
        <v>0.21332144621070601</v>
      </c>
      <c r="K6393">
        <v>0.190175224145818</v>
      </c>
      <c r="L6393">
        <v>13235.260241784799</v>
      </c>
      <c r="M6393">
        <v>250</v>
      </c>
      <c r="N6393">
        <v>53.050990221716603</v>
      </c>
      <c r="O6393">
        <v>52.937652715614597</v>
      </c>
      <c r="P6393">
        <v>-0.94189693338922698</v>
      </c>
      <c r="Q6393">
        <v>0.20221099120862701</v>
      </c>
      <c r="R6393">
        <v>0.90415515155880199</v>
      </c>
      <c r="S6393" t="s">
        <v>13039</v>
      </c>
      <c r="T6393" t="s">
        <v>13290</v>
      </c>
      <c r="U6393" t="s">
        <v>13290</v>
      </c>
      <c r="V6393" t="s">
        <v>13290</v>
      </c>
      <c r="W6393" t="s">
        <v>19628</v>
      </c>
      <c r="X6393">
        <v>32</v>
      </c>
      <c r="Y6393" t="s">
        <v>26089</v>
      </c>
      <c r="Z6393" t="s">
        <v>32723</v>
      </c>
      <c r="AA6393">
        <v>0.54642578920966089</v>
      </c>
      <c r="AB6393" t="str">
        <f>HYPERLINK("Melting_Curves/meltCurve_Q9UQB8_6_BAIAP2.pdf", "Melting_Curves/meltCurve_Q9UQB8_6_BAIAP2.pdf")</f>
        <v>Melting_Curves/meltCurve_Q9UQB8_6_BAIAP2.pdf</v>
      </c>
    </row>
    <row r="6394" spans="1:28" x14ac:dyDescent="0.25">
      <c r="A6394" t="s">
        <v>6398</v>
      </c>
      <c r="B6394">
        <v>0.99252571173614901</v>
      </c>
      <c r="C6394">
        <v>0.82983284070582197</v>
      </c>
      <c r="D6394">
        <v>0.52520266359131096</v>
      </c>
      <c r="E6394">
        <v>0.39012923190545001</v>
      </c>
      <c r="F6394">
        <v>0.26125054134411002</v>
      </c>
      <c r="G6394">
        <v>0.18926580629892101</v>
      </c>
      <c r="H6394">
        <v>0.161899162988342</v>
      </c>
      <c r="I6394">
        <v>0.17903658719038801</v>
      </c>
      <c r="J6394">
        <v>0.26394668432318202</v>
      </c>
      <c r="K6394">
        <v>0.29534490583898498</v>
      </c>
      <c r="L6394">
        <v>952.808270874198</v>
      </c>
      <c r="M6394">
        <v>20.970817589461301</v>
      </c>
      <c r="N6394">
        <v>46.737321091003501</v>
      </c>
      <c r="O6394">
        <v>45.0278779028801</v>
      </c>
      <c r="P6394">
        <v>-9.0672089666248096E-2</v>
      </c>
      <c r="Q6394">
        <v>0.22126829597209599</v>
      </c>
      <c r="R6394">
        <v>0.97261282096906798</v>
      </c>
      <c r="S6394" t="s">
        <v>13040</v>
      </c>
      <c r="T6394" t="s">
        <v>13290</v>
      </c>
      <c r="U6394" t="s">
        <v>13290</v>
      </c>
      <c r="V6394" t="s">
        <v>13290</v>
      </c>
      <c r="W6394" t="s">
        <v>19629</v>
      </c>
      <c r="X6394">
        <v>4</v>
      </c>
      <c r="Y6394" t="s">
        <v>26090</v>
      </c>
      <c r="Z6394" t="s">
        <v>32724</v>
      </c>
      <c r="AA6394">
        <v>0.37363543290359857</v>
      </c>
      <c r="AB6394" t="str">
        <f>HYPERLINK("Melting_Curves/meltCurve_Q9UQC2_2_GAB2.pdf", "Melting_Curves/meltCurve_Q9UQC2_2_GAB2.pdf")</f>
        <v>Melting_Curves/meltCurve_Q9UQC2_2_GAB2.pdf</v>
      </c>
    </row>
    <row r="6395" spans="1:28" x14ac:dyDescent="0.25">
      <c r="A6395" t="s">
        <v>6399</v>
      </c>
      <c r="B6395">
        <v>0.99252571173614901</v>
      </c>
      <c r="C6395">
        <v>0.90052635391178304</v>
      </c>
      <c r="D6395">
        <v>1.1356761641869799</v>
      </c>
      <c r="E6395">
        <v>1.10360694288738</v>
      </c>
      <c r="F6395">
        <v>0.60649449567230096</v>
      </c>
      <c r="G6395">
        <v>0.20658326635295901</v>
      </c>
      <c r="H6395">
        <v>0.102826523652831</v>
      </c>
      <c r="I6395">
        <v>9.6987543924195604E-2</v>
      </c>
      <c r="J6395">
        <v>0.110871339215581</v>
      </c>
      <c r="K6395">
        <v>0.101710479704554</v>
      </c>
      <c r="L6395">
        <v>2779.07083454962</v>
      </c>
      <c r="M6395">
        <v>51.933709166783402</v>
      </c>
      <c r="N6395">
        <v>53.778509547940303</v>
      </c>
      <c r="O6395">
        <v>53.4327231453248</v>
      </c>
      <c r="P6395">
        <v>-0.215407730016416</v>
      </c>
      <c r="Q6395">
        <v>0.113499643134026</v>
      </c>
      <c r="R6395">
        <v>0.97568407421163394</v>
      </c>
      <c r="S6395" t="s">
        <v>13041</v>
      </c>
      <c r="T6395" t="s">
        <v>13290</v>
      </c>
      <c r="U6395" t="s">
        <v>13290</v>
      </c>
      <c r="V6395" t="s">
        <v>13290</v>
      </c>
      <c r="W6395" t="s">
        <v>19630</v>
      </c>
      <c r="X6395">
        <v>55</v>
      </c>
      <c r="Y6395" t="s">
        <v>26091</v>
      </c>
      <c r="Z6395" t="s">
        <v>32725</v>
      </c>
      <c r="AA6395">
        <v>0.51471463131560991</v>
      </c>
      <c r="AB6395" t="str">
        <f>HYPERLINK("Melting_Curves/meltCurve_Q9UQE7_SMC3.pdf", "Melting_Curves/meltCurve_Q9UQE7_SMC3.pdf")</f>
        <v>Melting_Curves/meltCurve_Q9UQE7_SMC3.pdf</v>
      </c>
    </row>
    <row r="6396" spans="1:28" x14ac:dyDescent="0.25">
      <c r="A6396" t="s">
        <v>6400</v>
      </c>
      <c r="B6396">
        <v>0.99252571173614901</v>
      </c>
      <c r="C6396">
        <v>0.78524357564326497</v>
      </c>
      <c r="D6396">
        <v>0.74339383454541896</v>
      </c>
      <c r="E6396">
        <v>0.48594468183538297</v>
      </c>
      <c r="F6396">
        <v>0.42865741415388797</v>
      </c>
      <c r="G6396">
        <v>0.329530118685603</v>
      </c>
      <c r="H6396">
        <v>0.26073878976323001</v>
      </c>
      <c r="I6396">
        <v>0.16882579021948799</v>
      </c>
      <c r="J6396">
        <v>0.157290452647662</v>
      </c>
      <c r="K6396">
        <v>0.13700134175722301</v>
      </c>
      <c r="L6396">
        <v>475.232377364157</v>
      </c>
      <c r="M6396">
        <v>9.5756007279078794</v>
      </c>
      <c r="N6396">
        <v>50.759842530943899</v>
      </c>
      <c r="O6396">
        <v>47.6097707206414</v>
      </c>
      <c r="P6396">
        <v>-4.54799616096613E-2</v>
      </c>
      <c r="Q6396">
        <v>9.6015537491675101E-2</v>
      </c>
      <c r="R6396">
        <v>0.980309975042995</v>
      </c>
      <c r="S6396" t="s">
        <v>13042</v>
      </c>
      <c r="T6396" t="s">
        <v>13290</v>
      </c>
      <c r="U6396" t="s">
        <v>13290</v>
      </c>
      <c r="V6396" t="s">
        <v>13290</v>
      </c>
      <c r="W6396" t="s">
        <v>19631</v>
      </c>
      <c r="X6396">
        <v>3</v>
      </c>
      <c r="Y6396" t="s">
        <v>26092</v>
      </c>
      <c r="Z6396" t="s">
        <v>32726</v>
      </c>
      <c r="AA6396">
        <v>0.43087801382636243</v>
      </c>
      <c r="AB6396" t="str">
        <f>HYPERLINK("Melting_Curves/meltCurve_Q9UQL6_HDAC5.pdf", "Melting_Curves/meltCurve_Q9UQL6_HDAC5.pdf")</f>
        <v>Melting_Curves/meltCurve_Q9UQL6_HDAC5.pdf</v>
      </c>
    </row>
    <row r="6397" spans="1:28" x14ac:dyDescent="0.25">
      <c r="A6397" t="s">
        <v>6401</v>
      </c>
      <c r="B6397">
        <v>0.99252571173614901</v>
      </c>
      <c r="C6397">
        <v>1.13835111300487</v>
      </c>
      <c r="D6397">
        <v>0.98806484643399894</v>
      </c>
      <c r="E6397">
        <v>0.95148384330623204</v>
      </c>
      <c r="F6397">
        <v>0.60938553838017495</v>
      </c>
      <c r="G6397">
        <v>0.45695433369414301</v>
      </c>
      <c r="H6397">
        <v>0.433969321895953</v>
      </c>
      <c r="I6397">
        <v>0.55682331103166305</v>
      </c>
      <c r="J6397">
        <v>0.87467609376915201</v>
      </c>
      <c r="K6397">
        <v>0.97467918411107601</v>
      </c>
      <c r="L6397">
        <v>12490.4319424841</v>
      </c>
      <c r="M6397">
        <v>250</v>
      </c>
      <c r="O6397">
        <v>49.958539258755998</v>
      </c>
      <c r="P6397">
        <v>-0.436510429200276</v>
      </c>
      <c r="Q6397">
        <v>0.65108128643693397</v>
      </c>
      <c r="R6397">
        <v>0.54555933545899604</v>
      </c>
      <c r="S6397" t="s">
        <v>13043</v>
      </c>
      <c r="T6397" t="s">
        <v>13290</v>
      </c>
      <c r="U6397" t="s">
        <v>13290</v>
      </c>
      <c r="V6397" t="s">
        <v>13290</v>
      </c>
      <c r="W6397" t="s">
        <v>19632</v>
      </c>
      <c r="X6397">
        <v>9</v>
      </c>
      <c r="Y6397" t="s">
        <v>26093</v>
      </c>
      <c r="Z6397" t="s">
        <v>32727</v>
      </c>
      <c r="AA6397">
        <v>0.76697298829170424</v>
      </c>
      <c r="AB6397" t="str">
        <f>HYPERLINK("Melting_Curves/meltCurve_Q9UQN3_CHMP2B.pdf", "Melting_Curves/meltCurve_Q9UQN3_CHMP2B.pdf")</f>
        <v>Melting_Curves/meltCurve_Q9UQN3_CHMP2B.pdf</v>
      </c>
    </row>
    <row r="6398" spans="1:28" x14ac:dyDescent="0.25">
      <c r="A6398" t="s">
        <v>6402</v>
      </c>
      <c r="B6398">
        <v>0.99252571173614901</v>
      </c>
      <c r="C6398">
        <v>0.96955042356364995</v>
      </c>
      <c r="D6398">
        <v>0.92024156877213203</v>
      </c>
      <c r="E6398">
        <v>0.75735648380658804</v>
      </c>
      <c r="F6398">
        <v>0.26494642887765502</v>
      </c>
      <c r="G6398">
        <v>0.169624746904222</v>
      </c>
      <c r="H6398">
        <v>0.13710071458755499</v>
      </c>
      <c r="I6398">
        <v>0.152494188398071</v>
      </c>
      <c r="J6398">
        <v>0.212235196862051</v>
      </c>
      <c r="K6398">
        <v>0.19249627122264901</v>
      </c>
      <c r="L6398">
        <v>2021.0818700083901</v>
      </c>
      <c r="M6398">
        <v>39.925691962537101</v>
      </c>
      <c r="N6398">
        <v>51.150619292501197</v>
      </c>
      <c r="O6398">
        <v>50.494590485761599</v>
      </c>
      <c r="P6398">
        <v>-0.16421185610026601</v>
      </c>
      <c r="Q6398">
        <v>0.169277460215701</v>
      </c>
      <c r="R6398">
        <v>0.99285645593361604</v>
      </c>
      <c r="S6398" t="s">
        <v>13044</v>
      </c>
      <c r="T6398" t="s">
        <v>13290</v>
      </c>
      <c r="U6398" t="s">
        <v>13290</v>
      </c>
      <c r="V6398" t="s">
        <v>13290</v>
      </c>
      <c r="W6398" t="s">
        <v>19633</v>
      </c>
      <c r="X6398">
        <v>10</v>
      </c>
      <c r="Y6398" t="s">
        <v>26094</v>
      </c>
      <c r="Z6398" t="s">
        <v>32728</v>
      </c>
      <c r="AA6398">
        <v>0.46630120749276072</v>
      </c>
      <c r="AB6398" t="str">
        <f>HYPERLINK("Melting_Curves/meltCurve_Q9Y217_MTMR6.pdf", "Melting_Curves/meltCurve_Q9Y217_MTMR6.pdf")</f>
        <v>Melting_Curves/meltCurve_Q9Y217_MTMR6.pdf</v>
      </c>
    </row>
    <row r="6399" spans="1:28" x14ac:dyDescent="0.25">
      <c r="A6399" t="s">
        <v>6403</v>
      </c>
      <c r="B6399">
        <v>0.99252571173614901</v>
      </c>
      <c r="C6399">
        <v>0.95259916952165102</v>
      </c>
      <c r="D6399">
        <v>0.98488629536835104</v>
      </c>
      <c r="E6399">
        <v>0.97282271167583401</v>
      </c>
      <c r="F6399">
        <v>0.39415312672785902</v>
      </c>
      <c r="G6399">
        <v>0.29667004429146399</v>
      </c>
      <c r="H6399">
        <v>0.25155473210773799</v>
      </c>
      <c r="I6399">
        <v>0.28643661710696799</v>
      </c>
      <c r="J6399">
        <v>0.30735502746704002</v>
      </c>
      <c r="K6399">
        <v>0.33240010743840798</v>
      </c>
      <c r="L6399">
        <v>3679.3921375766399</v>
      </c>
      <c r="M6399">
        <v>70.967217396829994</v>
      </c>
      <c r="N6399">
        <v>52.5045105815366</v>
      </c>
      <c r="O6399">
        <v>51.805264350801501</v>
      </c>
      <c r="P6399">
        <v>-0.24158310429612401</v>
      </c>
      <c r="Q6399">
        <v>0.294588767492165</v>
      </c>
      <c r="R6399">
        <v>0.99436233535291896</v>
      </c>
      <c r="S6399" t="s">
        <v>13045</v>
      </c>
      <c r="T6399" t="s">
        <v>13290</v>
      </c>
      <c r="U6399" t="s">
        <v>13290</v>
      </c>
      <c r="V6399" t="s">
        <v>13290</v>
      </c>
      <c r="W6399" t="s">
        <v>19634</v>
      </c>
      <c r="X6399">
        <v>6</v>
      </c>
      <c r="Y6399" t="s">
        <v>26095</v>
      </c>
      <c r="Z6399" t="s">
        <v>32729</v>
      </c>
      <c r="AA6399">
        <v>0.57393923790030399</v>
      </c>
      <c r="AB6399" t="str">
        <f>HYPERLINK("Melting_Curves/meltCurve_Q9Y219_JAG2.pdf", "Melting_Curves/meltCurve_Q9Y219_JAG2.pdf")</f>
        <v>Melting_Curves/meltCurve_Q9Y219_JAG2.pdf</v>
      </c>
    </row>
    <row r="6400" spans="1:28" x14ac:dyDescent="0.25">
      <c r="A6400" t="s">
        <v>6404</v>
      </c>
      <c r="B6400">
        <v>0.99252571173614901</v>
      </c>
      <c r="C6400">
        <v>0.99042321068346095</v>
      </c>
      <c r="D6400">
        <v>0.84753112106323203</v>
      </c>
      <c r="E6400">
        <v>0.76078126024272497</v>
      </c>
      <c r="F6400">
        <v>0.38715530192328601</v>
      </c>
      <c r="G6400">
        <v>0.28032084823172299</v>
      </c>
      <c r="H6400">
        <v>0.195577027633901</v>
      </c>
      <c r="I6400">
        <v>0.20679942012031299</v>
      </c>
      <c r="J6400">
        <v>0.31688262970140202</v>
      </c>
      <c r="K6400">
        <v>0.28393158067207602</v>
      </c>
      <c r="L6400">
        <v>1242.4274806978301</v>
      </c>
      <c r="M6400">
        <v>24.5891083067017</v>
      </c>
      <c r="N6400">
        <v>51.929439209069798</v>
      </c>
      <c r="O6400">
        <v>50.196918819846502</v>
      </c>
      <c r="P6400">
        <v>-9.2760451908074804E-2</v>
      </c>
      <c r="Q6400">
        <v>0.24255537115079701</v>
      </c>
      <c r="R6400">
        <v>0.975749563119228</v>
      </c>
      <c r="S6400" t="s">
        <v>13046</v>
      </c>
      <c r="T6400" t="s">
        <v>13290</v>
      </c>
      <c r="U6400" t="s">
        <v>13290</v>
      </c>
      <c r="V6400" t="s">
        <v>13290</v>
      </c>
      <c r="W6400" t="s">
        <v>19635</v>
      </c>
      <c r="X6400">
        <v>1</v>
      </c>
      <c r="Y6400" t="s">
        <v>26096</v>
      </c>
      <c r="Z6400" t="s">
        <v>32730</v>
      </c>
      <c r="AA6400">
        <v>0.51539198012715681</v>
      </c>
      <c r="AB6400" t="str">
        <f>HYPERLINK("Melting_Curves/meltCurve_Q9Y221_2_NIP7.pdf", "Melting_Curves/meltCurve_Q9Y221_2_NIP7.pdf")</f>
        <v>Melting_Curves/meltCurve_Q9Y221_2_NIP7.pdf</v>
      </c>
    </row>
    <row r="6401" spans="1:28" x14ac:dyDescent="0.25">
      <c r="A6401" t="s">
        <v>6405</v>
      </c>
      <c r="B6401">
        <v>0.99252571173614901</v>
      </c>
      <c r="C6401">
        <v>0.93745363372565205</v>
      </c>
      <c r="D6401">
        <v>1.129423548823</v>
      </c>
      <c r="E6401">
        <v>1.1539851412589499</v>
      </c>
      <c r="F6401">
        <v>1.0782452080715399</v>
      </c>
      <c r="G6401">
        <v>0.67993302452036197</v>
      </c>
      <c r="H6401">
        <v>0.27537589880364899</v>
      </c>
      <c r="I6401">
        <v>0.32695370617525699</v>
      </c>
      <c r="J6401">
        <v>0.44236233738054898</v>
      </c>
      <c r="K6401">
        <v>0.49684446727300302</v>
      </c>
      <c r="L6401">
        <v>14195.280759614399</v>
      </c>
      <c r="M6401">
        <v>250</v>
      </c>
      <c r="N6401">
        <v>57.117682378290098</v>
      </c>
      <c r="O6401">
        <v>56.777500771569898</v>
      </c>
      <c r="P6401">
        <v>-0.67656203765216805</v>
      </c>
      <c r="Q6401">
        <v>0.38538409734645301</v>
      </c>
      <c r="R6401">
        <v>0.92408655357584402</v>
      </c>
      <c r="S6401" t="s">
        <v>13047</v>
      </c>
      <c r="T6401" t="s">
        <v>13290</v>
      </c>
      <c r="U6401" t="s">
        <v>13290</v>
      </c>
      <c r="V6401" t="s">
        <v>13290</v>
      </c>
      <c r="W6401" t="s">
        <v>19636</v>
      </c>
      <c r="X6401">
        <v>7</v>
      </c>
      <c r="Y6401" t="s">
        <v>26097</v>
      </c>
      <c r="Z6401" t="s">
        <v>32731</v>
      </c>
      <c r="AA6401">
        <v>0.72924351327402781</v>
      </c>
      <c r="AB6401" t="str">
        <f>HYPERLINK("Melting_Curves/meltCurve_Q9Y223_GNE.pdf", "Melting_Curves/meltCurve_Q9Y223_GNE.pdf")</f>
        <v>Melting_Curves/meltCurve_Q9Y223_GNE.pdf</v>
      </c>
    </row>
    <row r="6402" spans="1:28" x14ac:dyDescent="0.25">
      <c r="A6402" t="s">
        <v>6406</v>
      </c>
      <c r="B6402">
        <v>0.99252571173614901</v>
      </c>
      <c r="C6402">
        <v>0.87351251604722002</v>
      </c>
      <c r="D6402">
        <v>1.0390692009211799</v>
      </c>
      <c r="E6402">
        <v>0.80907109698936197</v>
      </c>
      <c r="F6402">
        <v>0.44909240911993797</v>
      </c>
      <c r="G6402">
        <v>0.31092621863227599</v>
      </c>
      <c r="H6402">
        <v>0.201375931487701</v>
      </c>
      <c r="I6402">
        <v>0.15391056199131301</v>
      </c>
      <c r="J6402">
        <v>0.148315318890195</v>
      </c>
      <c r="K6402">
        <v>0.133730779123412</v>
      </c>
      <c r="L6402">
        <v>1192.60304878583</v>
      </c>
      <c r="M6402">
        <v>22.842726107145801</v>
      </c>
      <c r="N6402">
        <v>53.043481010033503</v>
      </c>
      <c r="O6402">
        <v>51.814110578713702</v>
      </c>
      <c r="P6402">
        <v>-9.3586029058306694E-2</v>
      </c>
      <c r="Q6402">
        <v>0.15089214548250701</v>
      </c>
      <c r="R6402">
        <v>0.98062383471095105</v>
      </c>
      <c r="S6402" t="s">
        <v>13048</v>
      </c>
      <c r="T6402" t="s">
        <v>13290</v>
      </c>
      <c r="U6402" t="s">
        <v>13290</v>
      </c>
      <c r="V6402" t="s">
        <v>13290</v>
      </c>
      <c r="W6402" t="s">
        <v>19637</v>
      </c>
      <c r="X6402">
        <v>15</v>
      </c>
      <c r="Y6402" t="s">
        <v>26098</v>
      </c>
      <c r="Z6402" t="s">
        <v>32732</v>
      </c>
      <c r="AA6402">
        <v>0.50567297555247248</v>
      </c>
      <c r="AB6402" t="str">
        <f>HYPERLINK("Melting_Curves/meltCurve_Q9Y224_C14orf166.pdf", "Melting_Curves/meltCurve_Q9Y224_C14orf166.pdf")</f>
        <v>Melting_Curves/meltCurve_Q9Y224_C14orf166.pdf</v>
      </c>
    </row>
    <row r="6403" spans="1:28" x14ac:dyDescent="0.25">
      <c r="A6403" t="s">
        <v>6407</v>
      </c>
      <c r="B6403">
        <v>0.99252571173614901</v>
      </c>
      <c r="C6403">
        <v>0.91539734077217605</v>
      </c>
      <c r="D6403">
        <v>1.2158349248971601</v>
      </c>
      <c r="E6403">
        <v>1.1930623253107899</v>
      </c>
      <c r="F6403">
        <v>1.2835445731688999</v>
      </c>
      <c r="G6403">
        <v>0.95129305252377505</v>
      </c>
      <c r="H6403">
        <v>0.97325546087624004</v>
      </c>
      <c r="I6403">
        <v>0.79835513612745601</v>
      </c>
      <c r="J6403">
        <v>0.19815350435253001</v>
      </c>
      <c r="K6403">
        <v>0.20530018587283699</v>
      </c>
      <c r="L6403">
        <v>15000</v>
      </c>
      <c r="M6403">
        <v>233.29018373277299</v>
      </c>
      <c r="N6403">
        <v>64.440282656280303</v>
      </c>
      <c r="O6403">
        <v>64.292877245163893</v>
      </c>
      <c r="P6403">
        <v>-0.724165330148824</v>
      </c>
      <c r="Q6403">
        <v>0.201703671733166</v>
      </c>
      <c r="R6403">
        <v>0.86849777729891597</v>
      </c>
      <c r="S6403" t="s">
        <v>13049</v>
      </c>
      <c r="T6403" t="s">
        <v>13290</v>
      </c>
      <c r="U6403" t="s">
        <v>13290</v>
      </c>
      <c r="V6403" t="s">
        <v>13290</v>
      </c>
      <c r="W6403" t="s">
        <v>19638</v>
      </c>
      <c r="X6403">
        <v>36</v>
      </c>
      <c r="Y6403" t="s">
        <v>26099</v>
      </c>
      <c r="Z6403" t="s">
        <v>32733</v>
      </c>
      <c r="AA6403">
        <v>0.84836340806459032</v>
      </c>
      <c r="AB6403" t="str">
        <f>HYPERLINK("Melting_Curves/meltCurve_Q9Y230_RUVBL2.pdf", "Melting_Curves/meltCurve_Q9Y230_RUVBL2.pdf")</f>
        <v>Melting_Curves/meltCurve_Q9Y230_RUVBL2.pdf</v>
      </c>
    </row>
    <row r="6404" spans="1:28" x14ac:dyDescent="0.25">
      <c r="A6404" t="s">
        <v>6408</v>
      </c>
      <c r="B6404">
        <v>0.99252571173614901</v>
      </c>
      <c r="C6404">
        <v>0.97683279264829903</v>
      </c>
      <c r="D6404">
        <v>1.0815723716141701</v>
      </c>
      <c r="E6404">
        <v>1.08920389130298</v>
      </c>
      <c r="F6404">
        <v>0.47096586500092802</v>
      </c>
      <c r="G6404">
        <v>0.33730539234634899</v>
      </c>
      <c r="H6404">
        <v>0.28750088710809102</v>
      </c>
      <c r="I6404">
        <v>0.35738595808648499</v>
      </c>
      <c r="J6404">
        <v>0.50792603066413899</v>
      </c>
      <c r="K6404">
        <v>0.57383815879903699</v>
      </c>
      <c r="L6404">
        <v>13182.555604216401</v>
      </c>
      <c r="M6404">
        <v>250</v>
      </c>
      <c r="N6404">
        <v>53.101130558926897</v>
      </c>
      <c r="O6404">
        <v>52.7268316571868</v>
      </c>
      <c r="P6404">
        <v>-0.69605044812365302</v>
      </c>
      <c r="Q6404">
        <v>0.41279126058471199</v>
      </c>
      <c r="R6404">
        <v>0.92327833308859997</v>
      </c>
      <c r="S6404" t="s">
        <v>13050</v>
      </c>
      <c r="T6404" t="s">
        <v>13290</v>
      </c>
      <c r="U6404" t="s">
        <v>13290</v>
      </c>
      <c r="V6404" t="s">
        <v>13290</v>
      </c>
      <c r="W6404" t="s">
        <v>19639</v>
      </c>
      <c r="X6404">
        <v>4</v>
      </c>
      <c r="Y6404" t="s">
        <v>26100</v>
      </c>
      <c r="Z6404" t="s">
        <v>32734</v>
      </c>
      <c r="AA6404">
        <v>0.66202219656686323</v>
      </c>
      <c r="AB6404" t="str">
        <f>HYPERLINK("Melting_Curves/meltCurve_Q9Y232_2_CDYL.pdf", "Melting_Curves/meltCurve_Q9Y232_2_CDYL.pdf")</f>
        <v>Melting_Curves/meltCurve_Q9Y232_2_CDYL.pdf</v>
      </c>
    </row>
    <row r="6405" spans="1:28" x14ac:dyDescent="0.25">
      <c r="A6405" t="s">
        <v>6409</v>
      </c>
      <c r="B6405">
        <v>0.99252571173614901</v>
      </c>
      <c r="C6405">
        <v>0.93279049422763805</v>
      </c>
      <c r="D6405">
        <v>0.580769748928603</v>
      </c>
      <c r="E6405">
        <v>0.162343223280071</v>
      </c>
      <c r="F6405">
        <v>7.94496012077993E-2</v>
      </c>
      <c r="G6405">
        <v>4.9818709831199799E-2</v>
      </c>
      <c r="H6405">
        <v>2.7847223732211601E-2</v>
      </c>
      <c r="I6405">
        <v>3.1183578050595399E-2</v>
      </c>
      <c r="J6405">
        <v>2.2078058214619001E-2</v>
      </c>
      <c r="K6405">
        <v>2.56695908344007E-2</v>
      </c>
      <c r="L6405">
        <v>1360.16283880792</v>
      </c>
      <c r="M6405">
        <v>29.282015660899301</v>
      </c>
      <c r="N6405">
        <v>46.562242209595503</v>
      </c>
      <c r="O6405">
        <v>46.23542645997</v>
      </c>
      <c r="P6405">
        <v>-0.15295772668198099</v>
      </c>
      <c r="Q6405">
        <v>3.3944236917224903E-2</v>
      </c>
      <c r="R6405">
        <v>0.99923111049725</v>
      </c>
      <c r="S6405" t="s">
        <v>13051</v>
      </c>
      <c r="T6405" t="s">
        <v>13290</v>
      </c>
      <c r="U6405" t="s">
        <v>13290</v>
      </c>
      <c r="V6405" t="s">
        <v>13290</v>
      </c>
      <c r="W6405" t="s">
        <v>19640</v>
      </c>
      <c r="X6405">
        <v>1</v>
      </c>
      <c r="Y6405" t="s">
        <v>26101</v>
      </c>
      <c r="Z6405" t="s">
        <v>32735</v>
      </c>
      <c r="AA6405">
        <v>0.24780645231455681</v>
      </c>
      <c r="AB6405" t="str">
        <f>HYPERLINK("Melting_Curves/meltCurve_Q9Y234_LIPT1.pdf", "Melting_Curves/meltCurve_Q9Y234_LIPT1.pdf")</f>
        <v>Melting_Curves/meltCurve_Q9Y234_LIPT1.pdf</v>
      </c>
    </row>
    <row r="6406" spans="1:28" x14ac:dyDescent="0.25">
      <c r="A6406" t="s">
        <v>6410</v>
      </c>
      <c r="B6406">
        <v>0.99252571173614901</v>
      </c>
      <c r="C6406">
        <v>1.13932196046616</v>
      </c>
      <c r="D6406">
        <v>0.82620245381530499</v>
      </c>
      <c r="E6406">
        <v>0.673399328613141</v>
      </c>
      <c r="F6406">
        <v>0.30191724189830399</v>
      </c>
      <c r="G6406">
        <v>0.14388667130647101</v>
      </c>
      <c r="H6406">
        <v>9.2612869099578596E-2</v>
      </c>
      <c r="I6406">
        <v>8.6874098028210806E-2</v>
      </c>
      <c r="J6406">
        <v>8.4190620990554604E-2</v>
      </c>
      <c r="K6406">
        <v>7.5908418571953795E-2</v>
      </c>
      <c r="L6406">
        <v>1131.65787371121</v>
      </c>
      <c r="M6406">
        <v>22.343275588174698</v>
      </c>
      <c r="N6406">
        <v>51.016037003474104</v>
      </c>
      <c r="O6406">
        <v>50.248216816262698</v>
      </c>
      <c r="P6406">
        <v>-0.102906799571738</v>
      </c>
      <c r="Q6406">
        <v>7.4303212446943601E-2</v>
      </c>
      <c r="R6406">
        <v>0.979737178515942</v>
      </c>
      <c r="S6406" t="s">
        <v>13052</v>
      </c>
      <c r="T6406" t="s">
        <v>13290</v>
      </c>
      <c r="U6406" t="s">
        <v>13290</v>
      </c>
      <c r="V6406" t="s">
        <v>13290</v>
      </c>
      <c r="W6406" t="s">
        <v>19641</v>
      </c>
      <c r="X6406">
        <v>11</v>
      </c>
      <c r="Y6406" t="s">
        <v>26102</v>
      </c>
      <c r="Z6406" t="s">
        <v>32736</v>
      </c>
      <c r="AA6406">
        <v>0.4132761443592079</v>
      </c>
      <c r="AB6406" t="str">
        <f>HYPERLINK("Melting_Curves/meltCurve_Q9Y235_APOBEC2.pdf", "Melting_Curves/meltCurve_Q9Y235_APOBEC2.pdf")</f>
        <v>Melting_Curves/meltCurve_Q9Y235_APOBEC2.pdf</v>
      </c>
    </row>
    <row r="6407" spans="1:28" x14ac:dyDescent="0.25">
      <c r="A6407" t="s">
        <v>6411</v>
      </c>
      <c r="B6407">
        <v>0.99252571173614901</v>
      </c>
      <c r="C6407">
        <v>1.1071439515769901</v>
      </c>
      <c r="D6407">
        <v>1.01207306206699</v>
      </c>
      <c r="E6407">
        <v>0.88070904150972995</v>
      </c>
      <c r="F6407">
        <v>0.63213625825682396</v>
      </c>
      <c r="G6407">
        <v>0.42438335740340899</v>
      </c>
      <c r="H6407">
        <v>0.33024563415363201</v>
      </c>
      <c r="I6407">
        <v>0.34808174636783401</v>
      </c>
      <c r="J6407">
        <v>0.45323528681819902</v>
      </c>
      <c r="K6407">
        <v>0.48819073816189601</v>
      </c>
      <c r="L6407">
        <v>1684.6903929780799</v>
      </c>
      <c r="M6407">
        <v>32.290155771677902</v>
      </c>
      <c r="N6407">
        <v>54.940135268546399</v>
      </c>
      <c r="O6407">
        <v>51.974619264862902</v>
      </c>
      <c r="P6407">
        <v>-9.2934824121474899E-2</v>
      </c>
      <c r="Q6407">
        <v>0.40164698883357702</v>
      </c>
      <c r="R6407">
        <v>0.96016762671802203</v>
      </c>
      <c r="S6407" t="s">
        <v>13053</v>
      </c>
      <c r="T6407" t="s">
        <v>13290</v>
      </c>
      <c r="U6407" t="s">
        <v>13290</v>
      </c>
      <c r="V6407" t="s">
        <v>13290</v>
      </c>
      <c r="W6407" t="s">
        <v>19642</v>
      </c>
      <c r="X6407">
        <v>9</v>
      </c>
      <c r="Y6407" t="s">
        <v>26103</v>
      </c>
      <c r="Z6407" t="s">
        <v>32737</v>
      </c>
      <c r="AA6407">
        <v>0.64776085666066119</v>
      </c>
      <c r="AB6407" t="str">
        <f>HYPERLINK("Melting_Curves/meltCurve_Q9Y237_PIN4.pdf", "Melting_Curves/meltCurve_Q9Y237_PIN4.pdf")</f>
        <v>Melting_Curves/meltCurve_Q9Y237_PIN4.pdf</v>
      </c>
    </row>
    <row r="6408" spans="1:28" x14ac:dyDescent="0.25">
      <c r="A6408" t="s">
        <v>6412</v>
      </c>
      <c r="B6408">
        <v>0.99252571173614901</v>
      </c>
      <c r="C6408">
        <v>1.0367520200668301</v>
      </c>
      <c r="D6408">
        <v>0.92009246243938503</v>
      </c>
      <c r="E6408">
        <v>0.78600305347041299</v>
      </c>
      <c r="F6408">
        <v>0.845146861646769</v>
      </c>
      <c r="G6408">
        <v>0.87364963797693396</v>
      </c>
      <c r="H6408">
        <v>0.59912881944873497</v>
      </c>
      <c r="I6408">
        <v>0.71552135058803001</v>
      </c>
      <c r="J6408">
        <v>1.0884687405698901</v>
      </c>
      <c r="K6408">
        <v>0.78528905330084098</v>
      </c>
      <c r="L6408">
        <v>11513.3341729964</v>
      </c>
      <c r="M6408">
        <v>250</v>
      </c>
      <c r="O6408">
        <v>46.050389459012898</v>
      </c>
      <c r="P6408">
        <v>-0.253370061941532</v>
      </c>
      <c r="Q6408">
        <v>0.81331535923791498</v>
      </c>
      <c r="R6408">
        <v>0.32263657697715298</v>
      </c>
      <c r="S6408" t="s">
        <v>13054</v>
      </c>
      <c r="T6408" t="s">
        <v>13290</v>
      </c>
      <c r="U6408" t="s">
        <v>13290</v>
      </c>
      <c r="V6408" t="s">
        <v>13290</v>
      </c>
      <c r="W6408" t="s">
        <v>19643</v>
      </c>
      <c r="X6408">
        <v>1</v>
      </c>
      <c r="Y6408" t="s">
        <v>26104</v>
      </c>
      <c r="Z6408" t="s">
        <v>32738</v>
      </c>
      <c r="AA6408">
        <v>0.85099928048844975</v>
      </c>
      <c r="AB6408" t="str">
        <f>HYPERLINK("Melting_Curves/meltCurve_Q9Y241_HIGD1A.pdf", "Melting_Curves/meltCurve_Q9Y241_HIGD1A.pdf")</f>
        <v>Melting_Curves/meltCurve_Q9Y241_HIGD1A.pdf</v>
      </c>
    </row>
    <row r="6409" spans="1:28" x14ac:dyDescent="0.25">
      <c r="A6409" t="s">
        <v>6413</v>
      </c>
      <c r="B6409">
        <v>0.99252571173614901</v>
      </c>
      <c r="C6409">
        <v>0.97179191444037005</v>
      </c>
      <c r="D6409">
        <v>0.78150599605600302</v>
      </c>
      <c r="E6409">
        <v>0.66819641614034297</v>
      </c>
      <c r="F6409">
        <v>0.18127597184043001</v>
      </c>
      <c r="G6409">
        <v>0.115425470070015</v>
      </c>
      <c r="H6409">
        <v>9.0857574738359898E-2</v>
      </c>
      <c r="I6409">
        <v>0.14410577188529</v>
      </c>
      <c r="J6409">
        <v>0.13157541720470101</v>
      </c>
      <c r="K6409">
        <v>0.120535688733481</v>
      </c>
      <c r="L6409">
        <v>1191.9003425583701</v>
      </c>
      <c r="M6409">
        <v>23.9495235211484</v>
      </c>
      <c r="N6409">
        <v>50.246555920294497</v>
      </c>
      <c r="O6409">
        <v>49.4241015380017</v>
      </c>
      <c r="P6409">
        <v>-0.108772311389006</v>
      </c>
      <c r="Q6409">
        <v>0.102130284148075</v>
      </c>
      <c r="R6409">
        <v>0.97622363511299504</v>
      </c>
      <c r="S6409" t="s">
        <v>13055</v>
      </c>
      <c r="T6409" t="s">
        <v>13290</v>
      </c>
      <c r="U6409" t="s">
        <v>13290</v>
      </c>
      <c r="V6409" t="s">
        <v>13290</v>
      </c>
      <c r="W6409" t="s">
        <v>19644</v>
      </c>
      <c r="X6409">
        <v>2</v>
      </c>
      <c r="Y6409" t="s">
        <v>26105</v>
      </c>
      <c r="Z6409" t="s">
        <v>32739</v>
      </c>
      <c r="AA6409">
        <v>0.40318364228739789</v>
      </c>
      <c r="AB6409" t="str">
        <f>HYPERLINK("Melting_Curves/meltCurve_Q9Y242_TCF19.pdf", "Melting_Curves/meltCurve_Q9Y242_TCF19.pdf")</f>
        <v>Melting_Curves/meltCurve_Q9Y242_TCF19.pdf</v>
      </c>
    </row>
    <row r="6410" spans="1:28" x14ac:dyDescent="0.25">
      <c r="A6410" t="s">
        <v>6414</v>
      </c>
      <c r="B6410">
        <v>0.99252571173614901</v>
      </c>
      <c r="C6410">
        <v>1.1445875104168</v>
      </c>
      <c r="D6410">
        <v>1.03712976589533</v>
      </c>
      <c r="E6410">
        <v>0.89861758343086395</v>
      </c>
      <c r="F6410">
        <v>0.479235126860936</v>
      </c>
      <c r="G6410">
        <v>0.17951551808059299</v>
      </c>
      <c r="H6410">
        <v>0.121226432570909</v>
      </c>
      <c r="I6410">
        <v>0.155134457134884</v>
      </c>
      <c r="J6410">
        <v>0.206937276764488</v>
      </c>
      <c r="K6410">
        <v>0.25452887373161298</v>
      </c>
      <c r="L6410">
        <v>2101.4914113953801</v>
      </c>
      <c r="M6410">
        <v>40.1253261653303</v>
      </c>
      <c r="N6410">
        <v>52.952359683761301</v>
      </c>
      <c r="O6410">
        <v>52.2436110780056</v>
      </c>
      <c r="P6410">
        <v>-0.15790641065882299</v>
      </c>
      <c r="Q6410">
        <v>0.17761821323160201</v>
      </c>
      <c r="R6410">
        <v>0.97790602347021705</v>
      </c>
      <c r="S6410" t="s">
        <v>13056</v>
      </c>
      <c r="T6410" t="s">
        <v>13290</v>
      </c>
      <c r="U6410" t="s">
        <v>13290</v>
      </c>
      <c r="V6410" t="s">
        <v>13290</v>
      </c>
      <c r="W6410" t="s">
        <v>19645</v>
      </c>
      <c r="X6410">
        <v>2</v>
      </c>
      <c r="Y6410" t="s">
        <v>26106</v>
      </c>
      <c r="Z6410" t="s">
        <v>32740</v>
      </c>
      <c r="AA6410">
        <v>0.51975770480553107</v>
      </c>
      <c r="AB6410" t="str">
        <f>HYPERLINK("Melting_Curves/meltCurve_Q9Y243_2_AKT3.pdf", "Melting_Curves/meltCurve_Q9Y243_2_AKT3.pdf")</f>
        <v>Melting_Curves/meltCurve_Q9Y243_2_AKT3.pdf</v>
      </c>
    </row>
    <row r="6411" spans="1:28" x14ac:dyDescent="0.25">
      <c r="A6411" t="s">
        <v>6415</v>
      </c>
      <c r="B6411">
        <v>0.99252571173614901</v>
      </c>
      <c r="C6411">
        <v>0.92715026249352395</v>
      </c>
      <c r="D6411">
        <v>1.0819230982594401</v>
      </c>
      <c r="E6411">
        <v>0.90271305865680496</v>
      </c>
      <c r="F6411">
        <v>0.67530965637018503</v>
      </c>
      <c r="G6411">
        <v>0.27375135829024899</v>
      </c>
      <c r="H6411">
        <v>0.175042240162601</v>
      </c>
      <c r="I6411">
        <v>0.15299707414606001</v>
      </c>
      <c r="J6411">
        <v>0.15735318210843799</v>
      </c>
      <c r="K6411">
        <v>0.22536278078581501</v>
      </c>
      <c r="L6411">
        <v>1806.6975134399099</v>
      </c>
      <c r="M6411">
        <v>33.611427213349799</v>
      </c>
      <c r="N6411">
        <v>54.428146292297797</v>
      </c>
      <c r="O6411">
        <v>53.563273805628199</v>
      </c>
      <c r="P6411">
        <v>-0.13011888273608599</v>
      </c>
      <c r="Q6411">
        <v>0.17057202957862</v>
      </c>
      <c r="R6411">
        <v>0.98611183008995096</v>
      </c>
      <c r="S6411" t="s">
        <v>13057</v>
      </c>
      <c r="T6411" t="s">
        <v>13290</v>
      </c>
      <c r="U6411" t="s">
        <v>13290</v>
      </c>
      <c r="V6411" t="s">
        <v>13290</v>
      </c>
      <c r="W6411" t="s">
        <v>19646</v>
      </c>
      <c r="X6411">
        <v>4</v>
      </c>
      <c r="Y6411" t="s">
        <v>26107</v>
      </c>
      <c r="Z6411" t="s">
        <v>32741</v>
      </c>
      <c r="AA6411">
        <v>0.55514408923287184</v>
      </c>
      <c r="AB6411" t="str">
        <f>HYPERLINK("Melting_Curves/meltCurve_Q9Y244_POMP.pdf", "Melting_Curves/meltCurve_Q9Y244_POMP.pdf")</f>
        <v>Melting_Curves/meltCurve_Q9Y244_POMP.pdf</v>
      </c>
    </row>
    <row r="6412" spans="1:28" x14ac:dyDescent="0.25">
      <c r="A6412" t="s">
        <v>6416</v>
      </c>
      <c r="B6412">
        <v>0.99252571173614901</v>
      </c>
      <c r="C6412">
        <v>1.09658808747498</v>
      </c>
      <c r="D6412">
        <v>1.10404891752237</v>
      </c>
      <c r="E6412">
        <v>0.90469397791684603</v>
      </c>
      <c r="F6412">
        <v>0.43559504681903699</v>
      </c>
      <c r="G6412">
        <v>0.102264840863784</v>
      </c>
      <c r="H6412">
        <v>8.1295948769695897E-2</v>
      </c>
      <c r="I6412">
        <v>8.1161447680712998E-2</v>
      </c>
      <c r="J6412">
        <v>0.13776652215242899</v>
      </c>
      <c r="K6412">
        <v>8.6461772151874006E-2</v>
      </c>
      <c r="L6412">
        <v>2183.38220545076</v>
      </c>
      <c r="M6412">
        <v>41.582572035433401</v>
      </c>
      <c r="N6412">
        <v>52.761291286379603</v>
      </c>
      <c r="O6412">
        <v>52.386146707737097</v>
      </c>
      <c r="P6412">
        <v>-0.18043349112853899</v>
      </c>
      <c r="Q6412">
        <v>9.0753834537887296E-2</v>
      </c>
      <c r="R6412">
        <v>0.98737512591468501</v>
      </c>
      <c r="S6412" t="s">
        <v>13058</v>
      </c>
      <c r="T6412" t="s">
        <v>13290</v>
      </c>
      <c r="U6412" t="s">
        <v>13290</v>
      </c>
      <c r="V6412" t="s">
        <v>13290</v>
      </c>
      <c r="W6412" t="s">
        <v>19647</v>
      </c>
      <c r="X6412">
        <v>7</v>
      </c>
      <c r="Y6412" t="s">
        <v>26108</v>
      </c>
      <c r="Z6412" t="s">
        <v>32742</v>
      </c>
      <c r="AA6412">
        <v>0.47287331390958098</v>
      </c>
      <c r="AB6412" t="str">
        <f>HYPERLINK("Melting_Curves/meltCurve_Q9Y247_FAM50B.pdf", "Melting_Curves/meltCurve_Q9Y247_FAM50B.pdf")</f>
        <v>Melting_Curves/meltCurve_Q9Y247_FAM50B.pdf</v>
      </c>
    </row>
    <row r="6413" spans="1:28" x14ac:dyDescent="0.25">
      <c r="A6413" t="s">
        <v>6417</v>
      </c>
      <c r="B6413">
        <v>0.99252571173614901</v>
      </c>
      <c r="C6413">
        <v>1.0215510796437499</v>
      </c>
      <c r="D6413">
        <v>0.89980301372114402</v>
      </c>
      <c r="E6413">
        <v>0.71322208876313598</v>
      </c>
      <c r="F6413">
        <v>0.26712093000096798</v>
      </c>
      <c r="G6413">
        <v>0.15175445227686701</v>
      </c>
      <c r="H6413">
        <v>0.106525286385178</v>
      </c>
      <c r="I6413">
        <v>0.109385415495645</v>
      </c>
      <c r="J6413">
        <v>9.19052867512994E-2</v>
      </c>
      <c r="K6413">
        <v>9.1188336299419304E-2</v>
      </c>
      <c r="L6413">
        <v>1422.5877877838</v>
      </c>
      <c r="M6413">
        <v>28.041632245459802</v>
      </c>
      <c r="N6413">
        <v>51.122392265347798</v>
      </c>
      <c r="O6413">
        <v>50.475387394707901</v>
      </c>
      <c r="P6413">
        <v>-0.12548033443624401</v>
      </c>
      <c r="Q6413">
        <v>9.6541419176723306E-2</v>
      </c>
      <c r="R6413">
        <v>0.99668793343394102</v>
      </c>
      <c r="S6413" t="s">
        <v>13059</v>
      </c>
      <c r="T6413" t="s">
        <v>13290</v>
      </c>
      <c r="U6413" t="s">
        <v>13290</v>
      </c>
      <c r="V6413" t="s">
        <v>13290</v>
      </c>
      <c r="W6413" t="s">
        <v>19648</v>
      </c>
      <c r="X6413">
        <v>5</v>
      </c>
      <c r="Y6413" t="s">
        <v>26109</v>
      </c>
      <c r="Z6413" t="s">
        <v>32743</v>
      </c>
      <c r="AA6413">
        <v>0.426191869435599</v>
      </c>
      <c r="AB6413" t="str">
        <f>HYPERLINK("Melting_Curves/meltCurve_Q9Y248_GINS2.pdf", "Melting_Curves/meltCurve_Q9Y248_GINS2.pdf")</f>
        <v>Melting_Curves/meltCurve_Q9Y248_GINS2.pdf</v>
      </c>
    </row>
    <row r="6414" spans="1:28" x14ac:dyDescent="0.25">
      <c r="A6414" t="s">
        <v>6418</v>
      </c>
      <c r="B6414">
        <v>0.99252571173614901</v>
      </c>
      <c r="C6414">
        <v>1.11268712967813</v>
      </c>
      <c r="D6414">
        <v>1.10464618712573</v>
      </c>
      <c r="E6414">
        <v>1.04080504555582</v>
      </c>
      <c r="F6414">
        <v>0.98708375737675902</v>
      </c>
      <c r="G6414">
        <v>0.67678412073541205</v>
      </c>
      <c r="H6414">
        <v>0.44043181852674201</v>
      </c>
      <c r="I6414">
        <v>0.32704034637874602</v>
      </c>
      <c r="J6414">
        <v>0.19409844712168201</v>
      </c>
      <c r="K6414">
        <v>7.9903146535832706E-2</v>
      </c>
      <c r="L6414">
        <v>1140.5353667397501</v>
      </c>
      <c r="M6414">
        <v>19.129916866962901</v>
      </c>
      <c r="N6414">
        <v>60.134831122511301</v>
      </c>
      <c r="O6414">
        <v>58.980459230649302</v>
      </c>
      <c r="P6414">
        <v>-7.4969674398824002E-2</v>
      </c>
      <c r="Q6414">
        <v>7.5463922680978804E-2</v>
      </c>
      <c r="R6414">
        <v>0.97056485405332904</v>
      </c>
      <c r="S6414" t="s">
        <v>13060</v>
      </c>
      <c r="T6414" t="s">
        <v>13290</v>
      </c>
      <c r="U6414" t="s">
        <v>13290</v>
      </c>
      <c r="V6414" t="s">
        <v>13290</v>
      </c>
      <c r="W6414" t="s">
        <v>19649</v>
      </c>
      <c r="X6414">
        <v>2</v>
      </c>
      <c r="Y6414" t="s">
        <v>26110</v>
      </c>
      <c r="Z6414" t="s">
        <v>32744</v>
      </c>
      <c r="AA6414">
        <v>0.68861350683854528</v>
      </c>
      <c r="AB6414" t="str">
        <f>HYPERLINK("Melting_Curves/meltCurve_Q9Y259_CHKB.pdf", "Melting_Curves/meltCurve_Q9Y259_CHKB.pdf")</f>
        <v>Melting_Curves/meltCurve_Q9Y259_CHKB.pdf</v>
      </c>
    </row>
    <row r="6415" spans="1:28" x14ac:dyDescent="0.25">
      <c r="A6415" t="s">
        <v>6419</v>
      </c>
      <c r="B6415">
        <v>0.99252571173614901</v>
      </c>
      <c r="C6415">
        <v>0.93618385433358198</v>
      </c>
      <c r="D6415">
        <v>0.69441704056335196</v>
      </c>
      <c r="E6415">
        <v>0.28654961717152999</v>
      </c>
      <c r="F6415">
        <v>0.13870853019704399</v>
      </c>
      <c r="G6415">
        <v>8.0021051271413499E-2</v>
      </c>
      <c r="H6415">
        <v>6.6925622363282297E-2</v>
      </c>
      <c r="I6415">
        <v>6.9967056750350795E-2</v>
      </c>
      <c r="J6415">
        <v>7.2216438762183005E-2</v>
      </c>
      <c r="K6415">
        <v>7.6706692432043394E-2</v>
      </c>
      <c r="L6415">
        <v>1188.6628025658899</v>
      </c>
      <c r="M6415">
        <v>25.131385345622601</v>
      </c>
      <c r="N6415">
        <v>47.588776625547503</v>
      </c>
      <c r="O6415">
        <v>47.001526266462299</v>
      </c>
      <c r="P6415">
        <v>-0.124159226420956</v>
      </c>
      <c r="Q6415">
        <v>7.1186104404123304E-2</v>
      </c>
      <c r="R6415">
        <v>0.99974002514944205</v>
      </c>
      <c r="S6415" t="s">
        <v>13061</v>
      </c>
      <c r="T6415" t="s">
        <v>13290</v>
      </c>
      <c r="U6415" t="s">
        <v>13290</v>
      </c>
      <c r="V6415" t="s">
        <v>13290</v>
      </c>
      <c r="W6415" t="s">
        <v>19650</v>
      </c>
      <c r="X6415">
        <v>30</v>
      </c>
      <c r="Y6415" t="s">
        <v>26111</v>
      </c>
      <c r="Z6415" t="s">
        <v>32745</v>
      </c>
      <c r="AA6415">
        <v>0.30529230717139871</v>
      </c>
      <c r="AB6415" t="str">
        <f>HYPERLINK("Melting_Curves/meltCurve_Q9Y263_PLAA.pdf", "Melting_Curves/meltCurve_Q9Y263_PLAA.pdf")</f>
        <v>Melting_Curves/meltCurve_Q9Y263_PLAA.pdf</v>
      </c>
    </row>
    <row r="6416" spans="1:28" x14ac:dyDescent="0.25">
      <c r="A6416" t="s">
        <v>6420</v>
      </c>
      <c r="B6416">
        <v>0.99252571173614901</v>
      </c>
      <c r="C6416">
        <v>0.90399425143981404</v>
      </c>
      <c r="D6416">
        <v>1.2300119501884399</v>
      </c>
      <c r="E6416">
        <v>1.2433140564084799</v>
      </c>
      <c r="F6416">
        <v>1.2481280850538801</v>
      </c>
      <c r="G6416">
        <v>0.97301238355295605</v>
      </c>
      <c r="H6416">
        <v>1.0106524567923001</v>
      </c>
      <c r="I6416">
        <v>0.81800106579976395</v>
      </c>
      <c r="J6416">
        <v>0.174550586768488</v>
      </c>
      <c r="K6416">
        <v>0.18034099457085201</v>
      </c>
      <c r="L6416">
        <v>15000</v>
      </c>
      <c r="M6416">
        <v>233.11662876199799</v>
      </c>
      <c r="N6416">
        <v>64.466686166659997</v>
      </c>
      <c r="O6416">
        <v>64.340718479287503</v>
      </c>
      <c r="P6416">
        <v>-0.74508666149949898</v>
      </c>
      <c r="Q6416">
        <v>0.17741730810432699</v>
      </c>
      <c r="R6416">
        <v>0.87055353179400297</v>
      </c>
      <c r="S6416" t="s">
        <v>13062</v>
      </c>
      <c r="T6416" t="s">
        <v>13290</v>
      </c>
      <c r="U6416" t="s">
        <v>13290</v>
      </c>
      <c r="V6416" t="s">
        <v>13290</v>
      </c>
      <c r="W6416" t="s">
        <v>19651</v>
      </c>
      <c r="X6416">
        <v>26</v>
      </c>
      <c r="Y6416" t="s">
        <v>26112</v>
      </c>
      <c r="Z6416" t="s">
        <v>32746</v>
      </c>
      <c r="AA6416">
        <v>0.84506299855209344</v>
      </c>
      <c r="AB6416" t="str">
        <f>HYPERLINK("Melting_Curves/meltCurve_Q9Y265_RUVBL1.pdf", "Melting_Curves/meltCurve_Q9Y265_RUVBL1.pdf")</f>
        <v>Melting_Curves/meltCurve_Q9Y265_RUVBL1.pdf</v>
      </c>
    </row>
    <row r="6417" spans="1:28" x14ac:dyDescent="0.25">
      <c r="A6417" t="s">
        <v>6421</v>
      </c>
      <c r="B6417">
        <v>0.99252571173614901</v>
      </c>
      <c r="C6417">
        <v>1.09926990392255</v>
      </c>
      <c r="D6417">
        <v>0.86889235506344997</v>
      </c>
      <c r="E6417">
        <v>0.786764038000074</v>
      </c>
      <c r="F6417">
        <v>0.24410226540646901</v>
      </c>
      <c r="G6417">
        <v>9.7416860222359403E-2</v>
      </c>
      <c r="H6417">
        <v>6.8506656751503303E-2</v>
      </c>
      <c r="I6417">
        <v>7.3840717227978303E-2</v>
      </c>
      <c r="J6417">
        <v>8.9978195243172507E-2</v>
      </c>
      <c r="K6417">
        <v>9.3006855918808196E-2</v>
      </c>
      <c r="L6417">
        <v>1839.13515963688</v>
      </c>
      <c r="M6417">
        <v>36.000436368076699</v>
      </c>
      <c r="N6417">
        <v>51.327533492850797</v>
      </c>
      <c r="O6417">
        <v>50.929607415856701</v>
      </c>
      <c r="P6417">
        <v>-0.162972247187706</v>
      </c>
      <c r="Q6417">
        <v>7.7779411159436998E-2</v>
      </c>
      <c r="R6417">
        <v>0.98584421078493401</v>
      </c>
      <c r="S6417" t="s">
        <v>13063</v>
      </c>
      <c r="T6417" t="s">
        <v>13290</v>
      </c>
      <c r="U6417" t="s">
        <v>13290</v>
      </c>
      <c r="V6417" t="s">
        <v>13290</v>
      </c>
      <c r="W6417" t="s">
        <v>19652</v>
      </c>
      <c r="X6417">
        <v>29</v>
      </c>
      <c r="Y6417" t="s">
        <v>26113</v>
      </c>
      <c r="Z6417" t="s">
        <v>32747</v>
      </c>
      <c r="AA6417">
        <v>0.4226109320030359</v>
      </c>
      <c r="AB6417" t="str">
        <f>HYPERLINK("Melting_Curves/meltCurve_Q9Y266_NUDC.pdf", "Melting_Curves/meltCurve_Q9Y266_NUDC.pdf")</f>
        <v>Melting_Curves/meltCurve_Q9Y266_NUDC.pdf</v>
      </c>
    </row>
    <row r="6418" spans="1:28" x14ac:dyDescent="0.25">
      <c r="A6418" t="s">
        <v>6422</v>
      </c>
      <c r="B6418">
        <v>0.99252571173614901</v>
      </c>
      <c r="C6418">
        <v>0.830117999805706</v>
      </c>
      <c r="D6418">
        <v>1.00164222644446</v>
      </c>
      <c r="E6418">
        <v>1.0934545074855799</v>
      </c>
      <c r="F6418">
        <v>1.0369166003646999</v>
      </c>
      <c r="G6418">
        <v>0.47394446693452202</v>
      </c>
      <c r="H6418">
        <v>0.16924821295311801</v>
      </c>
      <c r="I6418">
        <v>0.17679126242519999</v>
      </c>
      <c r="J6418">
        <v>0.150963113163086</v>
      </c>
      <c r="K6418">
        <v>0.13704419807679799</v>
      </c>
      <c r="L6418">
        <v>14170.949009355299</v>
      </c>
      <c r="M6418">
        <v>250</v>
      </c>
      <c r="N6418">
        <v>56.770381363410799</v>
      </c>
      <c r="O6418">
        <v>56.680159409641099</v>
      </c>
      <c r="P6418">
        <v>-0.927891023184226</v>
      </c>
      <c r="Q6418">
        <v>0.15851168570285601</v>
      </c>
      <c r="R6418">
        <v>0.974993143844608</v>
      </c>
      <c r="S6418" t="s">
        <v>13064</v>
      </c>
      <c r="T6418" t="s">
        <v>13290</v>
      </c>
      <c r="U6418" t="s">
        <v>13290</v>
      </c>
      <c r="V6418" t="s">
        <v>13290</v>
      </c>
      <c r="W6418" t="s">
        <v>19653</v>
      </c>
      <c r="X6418">
        <v>7</v>
      </c>
      <c r="Y6418" t="s">
        <v>26114</v>
      </c>
      <c r="Z6418" t="s">
        <v>32748</v>
      </c>
      <c r="AA6418">
        <v>0.62656937639044796</v>
      </c>
      <c r="AB6418" t="str">
        <f>HYPERLINK("Melting_Curves/meltCurve_Q9Y276_BCS1L.pdf", "Melting_Curves/meltCurve_Q9Y276_BCS1L.pdf")</f>
        <v>Melting_Curves/meltCurve_Q9Y276_BCS1L.pdf</v>
      </c>
    </row>
    <row r="6419" spans="1:28" x14ac:dyDescent="0.25">
      <c r="A6419" t="s">
        <v>6423</v>
      </c>
      <c r="B6419">
        <v>0.99252571173614901</v>
      </c>
      <c r="C6419">
        <v>0.97161197272256306</v>
      </c>
      <c r="D6419">
        <v>0.96412740615657899</v>
      </c>
      <c r="E6419">
        <v>0.64182629361068999</v>
      </c>
      <c r="F6419">
        <v>0.59856415615575598</v>
      </c>
      <c r="G6419">
        <v>0.52143188602328505</v>
      </c>
      <c r="H6419">
        <v>0.41085267053271901</v>
      </c>
      <c r="I6419">
        <v>0.44313228903332502</v>
      </c>
      <c r="J6419">
        <v>0.62842986116077404</v>
      </c>
      <c r="K6419">
        <v>0.63891815400591001</v>
      </c>
      <c r="L6419">
        <v>2101.5983852127601</v>
      </c>
      <c r="M6419">
        <v>43.492324533563398</v>
      </c>
      <c r="O6419">
        <v>48.219325780987504</v>
      </c>
      <c r="P6419">
        <v>-0.104285871054563</v>
      </c>
      <c r="Q6419">
        <v>0.53751974966628002</v>
      </c>
      <c r="R6419">
        <v>0.88936509537039299</v>
      </c>
      <c r="S6419" t="s">
        <v>13065</v>
      </c>
      <c r="T6419" t="s">
        <v>13290</v>
      </c>
      <c r="U6419" t="s">
        <v>13290</v>
      </c>
      <c r="V6419" t="s">
        <v>13290</v>
      </c>
      <c r="W6419" t="s">
        <v>19654</v>
      </c>
      <c r="X6419">
        <v>15</v>
      </c>
      <c r="Y6419" t="s">
        <v>26115</v>
      </c>
      <c r="Z6419" t="s">
        <v>32749</v>
      </c>
      <c r="AA6419">
        <v>0.66710487650265382</v>
      </c>
      <c r="AB6419" t="str">
        <f>HYPERLINK("Melting_Curves/meltCurve_Q9Y277_VDAC3.pdf", "Melting_Curves/meltCurve_Q9Y277_VDAC3.pdf")</f>
        <v>Melting_Curves/meltCurve_Q9Y277_VDAC3.pdf</v>
      </c>
    </row>
    <row r="6420" spans="1:28" x14ac:dyDescent="0.25">
      <c r="A6420" t="s">
        <v>6424</v>
      </c>
      <c r="B6420">
        <v>0.99252571173614901</v>
      </c>
      <c r="C6420">
        <v>1.08161936755764</v>
      </c>
      <c r="D6420">
        <v>1.0166492421442199</v>
      </c>
      <c r="E6420">
        <v>0.79486477308144998</v>
      </c>
      <c r="F6420">
        <v>0.572709198381671</v>
      </c>
      <c r="G6420">
        <v>0.21628724326554599</v>
      </c>
      <c r="H6420">
        <v>0.11334835849661</v>
      </c>
      <c r="I6420">
        <v>7.4159437254601807E-2</v>
      </c>
      <c r="J6420">
        <v>7.7913073032736799E-2</v>
      </c>
      <c r="K6420">
        <v>7.9843978201659296E-2</v>
      </c>
      <c r="L6420">
        <v>1211.76593978043</v>
      </c>
      <c r="M6420">
        <v>22.775617611952701</v>
      </c>
      <c r="N6420">
        <v>53.523376810936703</v>
      </c>
      <c r="O6420">
        <v>52.7994535266916</v>
      </c>
      <c r="P6420">
        <v>-0.101000928913833</v>
      </c>
      <c r="Q6420">
        <v>6.3438779159546904E-2</v>
      </c>
      <c r="R6420">
        <v>0.99133317519193698</v>
      </c>
      <c r="S6420" t="s">
        <v>13066</v>
      </c>
      <c r="T6420" t="s">
        <v>13290</v>
      </c>
      <c r="U6420" t="s">
        <v>13290</v>
      </c>
      <c r="V6420" t="s">
        <v>13290</v>
      </c>
      <c r="W6420" t="s">
        <v>19655</v>
      </c>
      <c r="X6420">
        <v>13</v>
      </c>
      <c r="Y6420" t="s">
        <v>26116</v>
      </c>
      <c r="Z6420" t="s">
        <v>32750</v>
      </c>
      <c r="AA6420">
        <v>0.4859126782487953</v>
      </c>
      <c r="AB6420" t="str">
        <f>HYPERLINK("Melting_Curves/meltCurve_Q9Y281_CFL2.pdf", "Melting_Curves/meltCurve_Q9Y281_CFL2.pdf")</f>
        <v>Melting_Curves/meltCurve_Q9Y281_CFL2.pdf</v>
      </c>
    </row>
    <row r="6421" spans="1:28" x14ac:dyDescent="0.25">
      <c r="A6421" t="s">
        <v>6425</v>
      </c>
      <c r="B6421">
        <v>0.99252571173614901</v>
      </c>
      <c r="C6421">
        <v>1.0840176590980499</v>
      </c>
      <c r="D6421">
        <v>0.99738927806369104</v>
      </c>
      <c r="E6421">
        <v>0.73969510765615698</v>
      </c>
      <c r="F6421">
        <v>0.207968176009383</v>
      </c>
      <c r="G6421">
        <v>7.8638641658553193E-2</v>
      </c>
      <c r="H6421">
        <v>5.0449201544126E-2</v>
      </c>
      <c r="I6421">
        <v>3.9344840258937502E-2</v>
      </c>
      <c r="J6421">
        <v>4.4290530644078202E-2</v>
      </c>
      <c r="K6421">
        <v>4.9130452498157097E-2</v>
      </c>
      <c r="L6421">
        <v>1903.2468759963799</v>
      </c>
      <c r="M6421">
        <v>37.377574026605203</v>
      </c>
      <c r="N6421">
        <v>51.056895107045698</v>
      </c>
      <c r="O6421">
        <v>50.774397756400496</v>
      </c>
      <c r="P6421">
        <v>-0.175231844463245</v>
      </c>
      <c r="Q6421">
        <v>4.7849823035805199E-2</v>
      </c>
      <c r="R6421">
        <v>0.99599589670184396</v>
      </c>
      <c r="S6421" t="s">
        <v>13067</v>
      </c>
      <c r="T6421" t="s">
        <v>13290</v>
      </c>
      <c r="U6421" t="s">
        <v>13290</v>
      </c>
      <c r="V6421" t="s">
        <v>13290</v>
      </c>
      <c r="W6421" t="s">
        <v>19656</v>
      </c>
      <c r="X6421">
        <v>2</v>
      </c>
      <c r="Y6421" t="s">
        <v>26117</v>
      </c>
      <c r="Z6421" t="s">
        <v>32751</v>
      </c>
      <c r="AA6421">
        <v>0.39825793816179439</v>
      </c>
      <c r="AB6421" t="str">
        <f>HYPERLINK("Melting_Curves/meltCurve_Q9Y294_ASF1A.pdf", "Melting_Curves/meltCurve_Q9Y294_ASF1A.pdf")</f>
        <v>Melting_Curves/meltCurve_Q9Y294_ASF1A.pdf</v>
      </c>
    </row>
    <row r="6422" spans="1:28" x14ac:dyDescent="0.25">
      <c r="A6422" t="s">
        <v>6426</v>
      </c>
      <c r="B6422">
        <v>0.99252571173614901</v>
      </c>
      <c r="C6422">
        <v>1.00683649989986</v>
      </c>
      <c r="D6422">
        <v>0.89842094019048502</v>
      </c>
      <c r="E6422">
        <v>0.88719049627170399</v>
      </c>
      <c r="F6422">
        <v>0.59213596109010103</v>
      </c>
      <c r="G6422">
        <v>0.23478343035690799</v>
      </c>
      <c r="H6422">
        <v>6.8541151787283303E-2</v>
      </c>
      <c r="I6422">
        <v>6.5936706637889295E-2</v>
      </c>
      <c r="J6422">
        <v>6.5065680388624703E-2</v>
      </c>
      <c r="K6422">
        <v>7.1171309370850103E-2</v>
      </c>
      <c r="L6422">
        <v>1331.3715027599101</v>
      </c>
      <c r="M6422">
        <v>24.809996353018299</v>
      </c>
      <c r="N6422">
        <v>53.887655170170703</v>
      </c>
      <c r="O6422">
        <v>53.317711460943499</v>
      </c>
      <c r="P6422">
        <v>-0.110609844311178</v>
      </c>
      <c r="Q6422">
        <v>4.9192572783263999E-2</v>
      </c>
      <c r="R6422">
        <v>0.99431762248944899</v>
      </c>
      <c r="S6422" t="s">
        <v>13068</v>
      </c>
      <c r="T6422" t="s">
        <v>13290</v>
      </c>
      <c r="U6422" t="s">
        <v>13290</v>
      </c>
      <c r="V6422" t="s">
        <v>13290</v>
      </c>
      <c r="W6422" t="s">
        <v>19657</v>
      </c>
      <c r="X6422">
        <v>19</v>
      </c>
      <c r="Y6422" t="s">
        <v>26118</v>
      </c>
      <c r="Z6422" t="s">
        <v>32752</v>
      </c>
      <c r="AA6422">
        <v>0.49112462594450579</v>
      </c>
      <c r="AB6422" t="str">
        <f>HYPERLINK("Melting_Curves/meltCurve_Q9Y295_DRG1.pdf", "Melting_Curves/meltCurve_Q9Y295_DRG1.pdf")</f>
        <v>Melting_Curves/meltCurve_Q9Y295_DRG1.pdf</v>
      </c>
    </row>
    <row r="6423" spans="1:28" x14ac:dyDescent="0.25">
      <c r="A6423" t="s">
        <v>6427</v>
      </c>
      <c r="B6423">
        <v>0.99252571173614901</v>
      </c>
      <c r="C6423">
        <v>0.95967719373370997</v>
      </c>
      <c r="D6423">
        <v>0.91268737595184302</v>
      </c>
      <c r="E6423">
        <v>0.75900073873594498</v>
      </c>
      <c r="F6423">
        <v>0.575735359423175</v>
      </c>
      <c r="G6423">
        <v>0.33070058161299498</v>
      </c>
      <c r="H6423">
        <v>0.13870297938558801</v>
      </c>
      <c r="I6423">
        <v>0.17087796512259401</v>
      </c>
      <c r="J6423">
        <v>0.18975321656640301</v>
      </c>
      <c r="K6423">
        <v>0.21794775104890399</v>
      </c>
      <c r="L6423">
        <v>930.00671538753204</v>
      </c>
      <c r="M6423">
        <v>17.709489269804099</v>
      </c>
      <c r="N6423">
        <v>53.621776516585598</v>
      </c>
      <c r="O6423">
        <v>51.858722690242601</v>
      </c>
      <c r="P6423">
        <v>-7.2303944883618396E-2</v>
      </c>
      <c r="Q6423">
        <v>0.15313357986200499</v>
      </c>
      <c r="R6423">
        <v>0.98722456902454603</v>
      </c>
      <c r="S6423" t="s">
        <v>13069</v>
      </c>
      <c r="T6423" t="s">
        <v>13290</v>
      </c>
      <c r="U6423" t="s">
        <v>13290</v>
      </c>
      <c r="V6423" t="s">
        <v>13290</v>
      </c>
      <c r="W6423" t="s">
        <v>19658</v>
      </c>
      <c r="X6423">
        <v>3</v>
      </c>
      <c r="Y6423" t="s">
        <v>26119</v>
      </c>
      <c r="Z6423" t="s">
        <v>32753</v>
      </c>
      <c r="AA6423">
        <v>0.52077115838324861</v>
      </c>
      <c r="AB6423" t="str">
        <f>HYPERLINK("Melting_Curves/meltCurve_Q9Y296_TRAPPC4.pdf", "Melting_Curves/meltCurve_Q9Y296_TRAPPC4.pdf")</f>
        <v>Melting_Curves/meltCurve_Q9Y296_TRAPPC4.pdf</v>
      </c>
    </row>
    <row r="6424" spans="1:28" x14ac:dyDescent="0.25">
      <c r="A6424" t="s">
        <v>6428</v>
      </c>
      <c r="B6424">
        <v>0.99252571173614901</v>
      </c>
      <c r="C6424">
        <v>0.84346577604892403</v>
      </c>
      <c r="D6424">
        <v>1.2250585886231999</v>
      </c>
      <c r="E6424">
        <v>1.1143473220660001</v>
      </c>
      <c r="F6424">
        <v>0.25482253041969799</v>
      </c>
      <c r="G6424">
        <v>0.115786937671728</v>
      </c>
      <c r="H6424">
        <v>6.8196849726186601E-2</v>
      </c>
      <c r="I6424">
        <v>7.01952998349024E-2</v>
      </c>
      <c r="J6424">
        <v>8.17614010420189E-2</v>
      </c>
      <c r="K6424">
        <v>8.4426920819331105E-2</v>
      </c>
      <c r="L6424">
        <v>13221.613684735499</v>
      </c>
      <c r="M6424">
        <v>250</v>
      </c>
      <c r="N6424">
        <v>52.925448667405298</v>
      </c>
      <c r="O6424">
        <v>52.883066107551002</v>
      </c>
      <c r="P6424">
        <v>-1.0824902547848501</v>
      </c>
      <c r="Q6424">
        <v>8.4073468114340993E-2</v>
      </c>
      <c r="R6424">
        <v>0.95898459670852998</v>
      </c>
      <c r="S6424" t="s">
        <v>13070</v>
      </c>
      <c r="T6424" t="s">
        <v>13290</v>
      </c>
      <c r="U6424" t="s">
        <v>13290</v>
      </c>
      <c r="V6424" t="s">
        <v>13290</v>
      </c>
      <c r="W6424" t="s">
        <v>19659</v>
      </c>
      <c r="X6424">
        <v>15</v>
      </c>
      <c r="Y6424" t="s">
        <v>26120</v>
      </c>
      <c r="Z6424" t="s">
        <v>32754</v>
      </c>
      <c r="AA6424">
        <v>0.47759333965971462</v>
      </c>
      <c r="AB6424" t="str">
        <f>HYPERLINK("Melting_Curves/meltCurve_Q9Y2A7_NCKAP1.pdf", "Melting_Curves/meltCurve_Q9Y2A7_NCKAP1.pdf")</f>
        <v>Melting_Curves/meltCurve_Q9Y2A7_NCKAP1.pdf</v>
      </c>
    </row>
    <row r="6425" spans="1:28" x14ac:dyDescent="0.25">
      <c r="A6425" t="s">
        <v>6429</v>
      </c>
      <c r="B6425">
        <v>0.99252571173614901</v>
      </c>
      <c r="C6425">
        <v>0.82107092149487704</v>
      </c>
      <c r="D6425">
        <v>0.76789802278297203</v>
      </c>
      <c r="E6425">
        <v>0.51789297540821</v>
      </c>
      <c r="F6425">
        <v>0.31702189929005098</v>
      </c>
      <c r="G6425">
        <v>0.17718515480355401</v>
      </c>
      <c r="H6425">
        <v>0.111090532505512</v>
      </c>
      <c r="I6425">
        <v>0.15870303105580799</v>
      </c>
      <c r="J6425">
        <v>0.24474837807008701</v>
      </c>
      <c r="K6425">
        <v>5.8046544975841101E-2</v>
      </c>
      <c r="L6425">
        <v>710.30607662684804</v>
      </c>
      <c r="M6425">
        <v>14.5736596597363</v>
      </c>
      <c r="N6425">
        <v>49.615380428340799</v>
      </c>
      <c r="O6425">
        <v>47.848939820938398</v>
      </c>
      <c r="P6425">
        <v>-6.7511291896038106E-2</v>
      </c>
      <c r="Q6425">
        <v>0.11347513140427699</v>
      </c>
      <c r="R6425">
        <v>0.97166361514379695</v>
      </c>
      <c r="S6425" t="s">
        <v>13071</v>
      </c>
      <c r="T6425" t="s">
        <v>13290</v>
      </c>
      <c r="U6425" t="s">
        <v>13290</v>
      </c>
      <c r="V6425" t="s">
        <v>13290</v>
      </c>
      <c r="W6425" t="s">
        <v>19660</v>
      </c>
      <c r="X6425">
        <v>1</v>
      </c>
      <c r="Y6425" t="s">
        <v>26121</v>
      </c>
      <c r="Z6425" t="s">
        <v>32755</v>
      </c>
      <c r="AA6425">
        <v>0.39506255006939961</v>
      </c>
      <c r="AB6425" t="str">
        <f>HYPERLINK("Melting_Curves/meltCurve_Q9Y2A9_B3GNT3.pdf", "Melting_Curves/meltCurve_Q9Y2A9_B3GNT3.pdf")</f>
        <v>Melting_Curves/meltCurve_Q9Y2A9_B3GNT3.pdf</v>
      </c>
    </row>
    <row r="6426" spans="1:28" x14ac:dyDescent="0.25">
      <c r="A6426" t="s">
        <v>6430</v>
      </c>
      <c r="B6426">
        <v>0.99252571173614901</v>
      </c>
      <c r="C6426">
        <v>1.04407442351845</v>
      </c>
      <c r="D6426">
        <v>0.86969134566777995</v>
      </c>
      <c r="E6426">
        <v>0.79632272320108</v>
      </c>
      <c r="F6426">
        <v>0.543495261073212</v>
      </c>
      <c r="G6426">
        <v>0.42327012889746302</v>
      </c>
      <c r="H6426">
        <v>0.40894986636282898</v>
      </c>
      <c r="I6426">
        <v>0.50417695737260904</v>
      </c>
      <c r="J6426">
        <v>0.83577163758863005</v>
      </c>
      <c r="K6426">
        <v>0.89647968979318604</v>
      </c>
      <c r="L6426">
        <v>1519.3516312340701</v>
      </c>
      <c r="M6426">
        <v>31.4052222482559</v>
      </c>
      <c r="O6426">
        <v>48.184072119373901</v>
      </c>
      <c r="P6426">
        <v>-6.4410316413596694E-2</v>
      </c>
      <c r="Q6426">
        <v>0.60471114405873505</v>
      </c>
      <c r="R6426">
        <v>0.53295778917652603</v>
      </c>
      <c r="S6426" t="s">
        <v>13072</v>
      </c>
      <c r="T6426" t="s">
        <v>13290</v>
      </c>
      <c r="U6426" t="s">
        <v>13290</v>
      </c>
      <c r="V6426" t="s">
        <v>13290</v>
      </c>
      <c r="W6426" t="s">
        <v>19661</v>
      </c>
      <c r="X6426">
        <v>17</v>
      </c>
      <c r="Y6426" t="s">
        <v>26122</v>
      </c>
      <c r="Z6426" t="s">
        <v>32756</v>
      </c>
      <c r="AA6426">
        <v>0.71728717905094941</v>
      </c>
      <c r="AB6426" t="str">
        <f>HYPERLINK("Melting_Curves/meltCurve_Q9Y2B0_CNPY2.pdf", "Melting_Curves/meltCurve_Q9Y2B0_CNPY2.pdf")</f>
        <v>Melting_Curves/meltCurve_Q9Y2B0_CNPY2.pdf</v>
      </c>
    </row>
    <row r="6427" spans="1:28" x14ac:dyDescent="0.25">
      <c r="A6427" t="s">
        <v>6431</v>
      </c>
      <c r="B6427">
        <v>0.99252571173614901</v>
      </c>
      <c r="C6427">
        <v>0.83091258761376696</v>
      </c>
      <c r="D6427">
        <v>0.84294878341303903</v>
      </c>
      <c r="E6427">
        <v>0.79804128717296596</v>
      </c>
      <c r="F6427">
        <v>0.93955296496020901</v>
      </c>
      <c r="G6427">
        <v>0.56193117594419495</v>
      </c>
      <c r="H6427">
        <v>0.41873737819076501</v>
      </c>
      <c r="I6427">
        <v>0.40377544156508899</v>
      </c>
      <c r="J6427">
        <v>0.36589584362787098</v>
      </c>
      <c r="K6427">
        <v>0.220341312059081</v>
      </c>
      <c r="L6427">
        <v>450.86229430354001</v>
      </c>
      <c r="M6427">
        <v>7.4724641834519101</v>
      </c>
      <c r="N6427">
        <v>60.336494515299201</v>
      </c>
      <c r="O6427">
        <v>56.468344266326703</v>
      </c>
      <c r="P6427">
        <v>-3.31307507858353E-2</v>
      </c>
      <c r="Q6427">
        <v>0</v>
      </c>
      <c r="R6427">
        <v>0.88817992664603995</v>
      </c>
      <c r="S6427" t="s">
        <v>13073</v>
      </c>
      <c r="T6427" t="s">
        <v>13290</v>
      </c>
      <c r="U6427" t="s">
        <v>13290</v>
      </c>
      <c r="V6427" t="s">
        <v>13290</v>
      </c>
      <c r="W6427" t="s">
        <v>19662</v>
      </c>
      <c r="X6427">
        <v>3</v>
      </c>
      <c r="Y6427" t="s">
        <v>26123</v>
      </c>
      <c r="Z6427" t="s">
        <v>32757</v>
      </c>
      <c r="AA6427">
        <v>0.6550274342846979</v>
      </c>
      <c r="AB6427" t="str">
        <f>HYPERLINK("Melting_Curves/meltCurve_Q9Y2C4_EXOG.pdf", "Melting_Curves/meltCurve_Q9Y2C4_EXOG.pdf")</f>
        <v>Melting_Curves/meltCurve_Q9Y2C4_EXOG.pdf</v>
      </c>
    </row>
    <row r="6428" spans="1:28" x14ac:dyDescent="0.25">
      <c r="A6428" t="s">
        <v>6432</v>
      </c>
      <c r="B6428">
        <v>0.99252571173614901</v>
      </c>
      <c r="C6428">
        <v>0.87743359078873495</v>
      </c>
      <c r="D6428">
        <v>0.96313615322343904</v>
      </c>
      <c r="E6428">
        <v>0.54557356254035805</v>
      </c>
      <c r="F6428">
        <v>0.31556262416505998</v>
      </c>
      <c r="G6428">
        <v>0.24055379261047499</v>
      </c>
      <c r="H6428">
        <v>0.243570900831518</v>
      </c>
      <c r="I6428">
        <v>0.26475991318311498</v>
      </c>
      <c r="J6428">
        <v>0.16901498058052999</v>
      </c>
      <c r="K6428">
        <v>0.14504433056198801</v>
      </c>
      <c r="L6428">
        <v>1391.98857590852</v>
      </c>
      <c r="M6428">
        <v>28.233580586439899</v>
      </c>
      <c r="N6428">
        <v>50.266258866313898</v>
      </c>
      <c r="O6428">
        <v>49.057262540383299</v>
      </c>
      <c r="P6428">
        <v>-0.113810608428945</v>
      </c>
      <c r="Q6428">
        <v>0.209000392995287</v>
      </c>
      <c r="R6428">
        <v>0.97510951797039902</v>
      </c>
      <c r="S6428" t="s">
        <v>13074</v>
      </c>
      <c r="T6428" t="s">
        <v>13290</v>
      </c>
      <c r="U6428" t="s">
        <v>13290</v>
      </c>
      <c r="V6428" t="s">
        <v>13290</v>
      </c>
      <c r="W6428" t="s">
        <v>19663</v>
      </c>
      <c r="X6428">
        <v>8</v>
      </c>
      <c r="Y6428" t="s">
        <v>26124</v>
      </c>
      <c r="Z6428" t="s">
        <v>32758</v>
      </c>
      <c r="AA6428">
        <v>0.45975618610374203</v>
      </c>
      <c r="AB6428" t="str">
        <f>HYPERLINK("Melting_Curves/meltCurve_Q9Y2D4_EXOC6B.pdf", "Melting_Curves/meltCurve_Q9Y2D4_EXOC6B.pdf")</f>
        <v>Melting_Curves/meltCurve_Q9Y2D4_EXOC6B.pdf</v>
      </c>
    </row>
    <row r="6429" spans="1:28" x14ac:dyDescent="0.25">
      <c r="A6429" t="s">
        <v>6433</v>
      </c>
      <c r="B6429">
        <v>0.99252571173614901</v>
      </c>
      <c r="C6429">
        <v>1.0392805470086099</v>
      </c>
      <c r="D6429">
        <v>0.98641748832475096</v>
      </c>
      <c r="E6429">
        <v>0.87845649036573004</v>
      </c>
      <c r="F6429">
        <v>0.59060579119462597</v>
      </c>
      <c r="G6429">
        <v>0.44265437692820703</v>
      </c>
      <c r="H6429">
        <v>0.472949847795339</v>
      </c>
      <c r="I6429">
        <v>0.80218259231094802</v>
      </c>
      <c r="J6429">
        <v>1.7198821954033801</v>
      </c>
      <c r="K6429">
        <v>1.9620163083950599</v>
      </c>
      <c r="L6429">
        <v>6913.3066717055899</v>
      </c>
      <c r="M6429">
        <v>105.576350582006</v>
      </c>
      <c r="O6429">
        <v>65.458099848178406</v>
      </c>
      <c r="P6429">
        <v>0.20161056520123399</v>
      </c>
      <c r="Q6429">
        <v>1.5</v>
      </c>
      <c r="R6429">
        <v>0.50807301860880505</v>
      </c>
      <c r="S6429" t="s">
        <v>13075</v>
      </c>
      <c r="T6429" t="s">
        <v>13290</v>
      </c>
      <c r="U6429" t="s">
        <v>13290</v>
      </c>
      <c r="V6429" t="s">
        <v>13290</v>
      </c>
      <c r="W6429" t="s">
        <v>19664</v>
      </c>
      <c r="X6429">
        <v>6</v>
      </c>
      <c r="Y6429" t="s">
        <v>26125</v>
      </c>
      <c r="Z6429" t="s">
        <v>32759</v>
      </c>
      <c r="AA6429">
        <v>1.074997642874262</v>
      </c>
      <c r="AB6429" t="str">
        <f>HYPERLINK("Melting_Curves/meltCurve_Q9Y2D5_AKAP2.pdf", "Melting_Curves/meltCurve_Q9Y2D5_AKAP2.pdf")</f>
        <v>Melting_Curves/meltCurve_Q9Y2D5_AKAP2.pdf</v>
      </c>
    </row>
    <row r="6430" spans="1:28" x14ac:dyDescent="0.25">
      <c r="A6430" t="s">
        <v>6434</v>
      </c>
      <c r="B6430">
        <v>0.99252571173614901</v>
      </c>
      <c r="C6430">
        <v>1.0704928555519799</v>
      </c>
      <c r="D6430">
        <v>0.95424626311775795</v>
      </c>
      <c r="E6430">
        <v>0.82730787303727904</v>
      </c>
      <c r="F6430">
        <v>0.31493928877951699</v>
      </c>
      <c r="G6430">
        <v>0.20140374265774899</v>
      </c>
      <c r="H6430">
        <v>0.15203954370686901</v>
      </c>
      <c r="I6430">
        <v>0.182474639112543</v>
      </c>
      <c r="J6430">
        <v>0.23284200798733201</v>
      </c>
      <c r="K6430">
        <v>0.216427540082825</v>
      </c>
      <c r="L6430">
        <v>2202.7338643622402</v>
      </c>
      <c r="M6430">
        <v>43.134575299858398</v>
      </c>
      <c r="N6430">
        <v>51.657391468477798</v>
      </c>
      <c r="O6430">
        <v>50.957154350179003</v>
      </c>
      <c r="P6430">
        <v>-0.170416953303795</v>
      </c>
      <c r="Q6430">
        <v>0.194711008110139</v>
      </c>
      <c r="R6430">
        <v>0.99233181731227105</v>
      </c>
      <c r="S6430" t="s">
        <v>13076</v>
      </c>
      <c r="T6430" t="s">
        <v>13290</v>
      </c>
      <c r="U6430" t="s">
        <v>13290</v>
      </c>
      <c r="V6430" t="s">
        <v>13290</v>
      </c>
      <c r="W6430" t="s">
        <v>19665</v>
      </c>
      <c r="X6430">
        <v>10</v>
      </c>
      <c r="Y6430" t="s">
        <v>26126</v>
      </c>
      <c r="Z6430" t="s">
        <v>32760</v>
      </c>
      <c r="AA6430">
        <v>0.49421166113044279</v>
      </c>
      <c r="AB6430" t="str">
        <f>HYPERLINK("Melting_Curves/meltCurve_Q9Y2G5_POFUT2.pdf", "Melting_Curves/meltCurve_Q9Y2G5_POFUT2.pdf")</f>
        <v>Melting_Curves/meltCurve_Q9Y2G5_POFUT2.pdf</v>
      </c>
    </row>
    <row r="6431" spans="1:28" x14ac:dyDescent="0.25">
      <c r="A6431" t="s">
        <v>6435</v>
      </c>
      <c r="B6431">
        <v>0.99252571173614901</v>
      </c>
      <c r="C6431">
        <v>0.97666368761517097</v>
      </c>
      <c r="D6431">
        <v>0.93740289790166398</v>
      </c>
      <c r="E6431">
        <v>0.65963348432276103</v>
      </c>
      <c r="F6431">
        <v>0.52388598884871496</v>
      </c>
      <c r="G6431">
        <v>0.29413551979993102</v>
      </c>
      <c r="H6431">
        <v>0.16020207328125999</v>
      </c>
      <c r="I6431">
        <v>0.127614452967792</v>
      </c>
      <c r="J6431">
        <v>0.17018674589567501</v>
      </c>
      <c r="K6431">
        <v>0.18881921174528801</v>
      </c>
      <c r="L6431">
        <v>868.56012463268803</v>
      </c>
      <c r="M6431">
        <v>16.788629677936701</v>
      </c>
      <c r="N6431">
        <v>52.7270388568312</v>
      </c>
      <c r="O6431">
        <v>51.017728256943599</v>
      </c>
      <c r="P6431">
        <v>-7.1132188493537099E-2</v>
      </c>
      <c r="Q6431">
        <v>0.13542268518814499</v>
      </c>
      <c r="R6431">
        <v>0.98924177391905599</v>
      </c>
      <c r="S6431" t="s">
        <v>13077</v>
      </c>
      <c r="T6431" t="s">
        <v>13290</v>
      </c>
      <c r="U6431" t="s">
        <v>13290</v>
      </c>
      <c r="V6431" t="s">
        <v>13290</v>
      </c>
      <c r="W6431" t="s">
        <v>19666</v>
      </c>
      <c r="X6431">
        <v>8</v>
      </c>
      <c r="Y6431" t="s">
        <v>26127</v>
      </c>
      <c r="Z6431" t="s">
        <v>32761</v>
      </c>
      <c r="AA6431">
        <v>0.48987310709780352</v>
      </c>
      <c r="AB6431" t="str">
        <f>HYPERLINK("Melting_Curves/meltCurve_Q9Y2H0_3_DLGAP4.pdf", "Melting_Curves/meltCurve_Q9Y2H0_3_DLGAP4.pdf")</f>
        <v>Melting_Curves/meltCurve_Q9Y2H0_3_DLGAP4.pdf</v>
      </c>
    </row>
    <row r="6432" spans="1:28" x14ac:dyDescent="0.25">
      <c r="A6432" t="s">
        <v>6436</v>
      </c>
      <c r="B6432">
        <v>0.99252571173614901</v>
      </c>
      <c r="C6432">
        <v>0.67837712319660903</v>
      </c>
      <c r="D6432">
        <v>0.52371507797940797</v>
      </c>
      <c r="E6432">
        <v>0.36572800754135898</v>
      </c>
      <c r="F6432">
        <v>0.16867087179599399</v>
      </c>
      <c r="G6432">
        <v>0.109974222250052</v>
      </c>
      <c r="H6432">
        <v>7.5515321116500403E-2</v>
      </c>
      <c r="I6432">
        <v>7.5109507953221702E-2</v>
      </c>
      <c r="J6432">
        <v>6.1345262421827397E-2</v>
      </c>
      <c r="K6432">
        <v>5.2679247593448497E-2</v>
      </c>
      <c r="L6432">
        <v>627.93679214008</v>
      </c>
      <c r="M6432">
        <v>13.5972265479024</v>
      </c>
      <c r="N6432">
        <v>46.5205590916555</v>
      </c>
      <c r="O6432">
        <v>45.216693765865102</v>
      </c>
      <c r="P6432">
        <v>-7.1639665341365996E-2</v>
      </c>
      <c r="Q6432">
        <v>4.72089876882349E-2</v>
      </c>
      <c r="R6432">
        <v>0.98140584023969901</v>
      </c>
      <c r="S6432" t="s">
        <v>13078</v>
      </c>
      <c r="T6432" t="s">
        <v>13290</v>
      </c>
      <c r="U6432" t="s">
        <v>13290</v>
      </c>
      <c r="V6432" t="s">
        <v>13290</v>
      </c>
      <c r="W6432" t="s">
        <v>19667</v>
      </c>
      <c r="X6432">
        <v>12</v>
      </c>
      <c r="Y6432" t="s">
        <v>26128</v>
      </c>
      <c r="Z6432" t="s">
        <v>32762</v>
      </c>
      <c r="AA6432">
        <v>0.27706110843703202</v>
      </c>
      <c r="AB6432" t="str">
        <f>HYPERLINK("Melting_Curves/meltCurve_Q9Y2H1_STK38L.pdf", "Melting_Curves/meltCurve_Q9Y2H1_STK38L.pdf")</f>
        <v>Melting_Curves/meltCurve_Q9Y2H1_STK38L.pdf</v>
      </c>
    </row>
    <row r="6433" spans="1:28" x14ac:dyDescent="0.25">
      <c r="A6433" t="s">
        <v>6437</v>
      </c>
      <c r="B6433">
        <v>0.99252571173614901</v>
      </c>
      <c r="C6433">
        <v>0.76520438015938697</v>
      </c>
      <c r="D6433">
        <v>0.32069370430381</v>
      </c>
      <c r="E6433">
        <v>0.13246063289326601</v>
      </c>
      <c r="F6433">
        <v>8.9312143336796102E-2</v>
      </c>
      <c r="G6433">
        <v>5.17913822174879E-2</v>
      </c>
      <c r="H6433">
        <v>3.89419240006805E-2</v>
      </c>
      <c r="I6433">
        <v>3.94195869000123E-2</v>
      </c>
      <c r="J6433">
        <v>5.8791249202824997E-2</v>
      </c>
      <c r="K6433">
        <v>5.87292576209252E-2</v>
      </c>
      <c r="L6433">
        <v>1278.3785093996401</v>
      </c>
      <c r="M6433">
        <v>28.685194802397199</v>
      </c>
      <c r="N6433">
        <v>44.755685476948699</v>
      </c>
      <c r="O6433">
        <v>44.3508808521063</v>
      </c>
      <c r="P6433">
        <v>-0.15243206115692601</v>
      </c>
      <c r="Q6433">
        <v>5.7291396745383798E-2</v>
      </c>
      <c r="R6433">
        <v>0.99735728513378896</v>
      </c>
      <c r="S6433" t="s">
        <v>13079</v>
      </c>
      <c r="T6433" t="s">
        <v>13290</v>
      </c>
      <c r="U6433" t="s">
        <v>13290</v>
      </c>
      <c r="V6433" t="s">
        <v>13290</v>
      </c>
      <c r="W6433" t="s">
        <v>19668</v>
      </c>
      <c r="X6433">
        <v>10</v>
      </c>
      <c r="Y6433" t="s">
        <v>26129</v>
      </c>
      <c r="Z6433" t="s">
        <v>32763</v>
      </c>
      <c r="AA6433">
        <v>0.2078345506783853</v>
      </c>
      <c r="AB6433" t="str">
        <f>HYPERLINK("Melting_Curves/meltCurve_Q9Y2H6_2_FNDC3A.pdf", "Melting_Curves/meltCurve_Q9Y2H6_2_FNDC3A.pdf")</f>
        <v>Melting_Curves/meltCurve_Q9Y2H6_2_FNDC3A.pdf</v>
      </c>
    </row>
    <row r="6434" spans="1:28" x14ac:dyDescent="0.25">
      <c r="A6434" t="s">
        <v>6438</v>
      </c>
      <c r="B6434">
        <v>0.99252571173614901</v>
      </c>
      <c r="C6434">
        <v>1.05496489879943</v>
      </c>
      <c r="D6434">
        <v>0.880557518314246</v>
      </c>
      <c r="E6434">
        <v>0.48584479755439403</v>
      </c>
      <c r="F6434">
        <v>0.24627352938439401</v>
      </c>
      <c r="G6434">
        <v>0.12688939027034199</v>
      </c>
      <c r="H6434">
        <v>9.7733417538809E-2</v>
      </c>
      <c r="I6434">
        <v>0.10613368425321699</v>
      </c>
      <c r="J6434">
        <v>0.14683444074090601</v>
      </c>
      <c r="K6434">
        <v>0.15067914801441601</v>
      </c>
      <c r="L6434">
        <v>1389.1462172792701</v>
      </c>
      <c r="M6434">
        <v>28.304516442289799</v>
      </c>
      <c r="N6434">
        <v>49.585332745343997</v>
      </c>
      <c r="O6434">
        <v>48.835595694124102</v>
      </c>
      <c r="P6434">
        <v>-0.12670047910405199</v>
      </c>
      <c r="Q6434">
        <v>0.125589574189262</v>
      </c>
      <c r="R6434">
        <v>0.993698416318892</v>
      </c>
      <c r="S6434" t="s">
        <v>13080</v>
      </c>
      <c r="T6434" t="s">
        <v>13290</v>
      </c>
      <c r="U6434" t="s">
        <v>13290</v>
      </c>
      <c r="V6434" t="s">
        <v>13290</v>
      </c>
      <c r="W6434" t="s">
        <v>19669</v>
      </c>
      <c r="X6434">
        <v>10</v>
      </c>
      <c r="Y6434" t="s">
        <v>26130</v>
      </c>
      <c r="Z6434" t="s">
        <v>32764</v>
      </c>
      <c r="AA6434">
        <v>0.39621079673373638</v>
      </c>
      <c r="AB6434" t="str">
        <f>HYPERLINK("Melting_Curves/meltCurve_Q9Y2I1_NISCH.pdf", "Melting_Curves/meltCurve_Q9Y2I1_NISCH.pdf")</f>
        <v>Melting_Curves/meltCurve_Q9Y2I1_NISCH.pdf</v>
      </c>
    </row>
    <row r="6435" spans="1:28" x14ac:dyDescent="0.25">
      <c r="A6435" t="s">
        <v>6439</v>
      </c>
      <c r="B6435">
        <v>0.99252571173614901</v>
      </c>
      <c r="C6435">
        <v>0.88089213632183505</v>
      </c>
      <c r="D6435">
        <v>1.1140999963990399</v>
      </c>
      <c r="E6435">
        <v>1.1012560470436901</v>
      </c>
      <c r="F6435">
        <v>0.57997077092539095</v>
      </c>
      <c r="G6435">
        <v>0.230199428684979</v>
      </c>
      <c r="H6435">
        <v>0.10814547661225</v>
      </c>
      <c r="I6435">
        <v>9.6503147443091297E-2</v>
      </c>
      <c r="J6435">
        <v>0.13125591138697801</v>
      </c>
      <c r="K6435">
        <v>0.143117513084941</v>
      </c>
      <c r="L6435">
        <v>2926.15694069856</v>
      </c>
      <c r="M6435">
        <v>54.8697702470539</v>
      </c>
      <c r="N6435">
        <v>53.634626897975103</v>
      </c>
      <c r="O6435">
        <v>53.258406458898001</v>
      </c>
      <c r="P6435">
        <v>-0.22299725199571599</v>
      </c>
      <c r="Q6435">
        <v>0.134206204334989</v>
      </c>
      <c r="R6435">
        <v>0.97318906224411705</v>
      </c>
      <c r="S6435" t="s">
        <v>13081</v>
      </c>
      <c r="T6435" t="s">
        <v>13290</v>
      </c>
      <c r="U6435" t="s">
        <v>13290</v>
      </c>
      <c r="V6435" t="s">
        <v>13290</v>
      </c>
      <c r="W6435" t="s">
        <v>19670</v>
      </c>
      <c r="X6435">
        <v>2</v>
      </c>
      <c r="Y6435" t="s">
        <v>26131</v>
      </c>
      <c r="Z6435" t="s">
        <v>32765</v>
      </c>
      <c r="AA6435">
        <v>0.52057152579291011</v>
      </c>
      <c r="AB6435" t="str">
        <f>HYPERLINK("Melting_Curves/meltCurve_Q9Y2I8_WDR37.pdf", "Melting_Curves/meltCurve_Q9Y2I8_WDR37.pdf")</f>
        <v>Melting_Curves/meltCurve_Q9Y2I8_WDR37.pdf</v>
      </c>
    </row>
    <row r="6436" spans="1:28" x14ac:dyDescent="0.25">
      <c r="A6436" t="s">
        <v>6440</v>
      </c>
      <c r="B6436">
        <v>0.99252571173614901</v>
      </c>
      <c r="C6436">
        <v>0.87326126791814396</v>
      </c>
      <c r="D6436">
        <v>0.655594143547374</v>
      </c>
      <c r="E6436">
        <v>0.34146981089223599</v>
      </c>
      <c r="F6436">
        <v>0.19944753818196501</v>
      </c>
      <c r="G6436">
        <v>0.10766697149483501</v>
      </c>
      <c r="H6436">
        <v>9.0929249761173406E-2</v>
      </c>
      <c r="I6436">
        <v>8.2214226289733197E-2</v>
      </c>
      <c r="J6436">
        <v>0.16455629383803699</v>
      </c>
      <c r="K6436">
        <v>0.13459324908961601</v>
      </c>
      <c r="L6436">
        <v>953.88293424761196</v>
      </c>
      <c r="M6436">
        <v>20.293714131370599</v>
      </c>
      <c r="N6436">
        <v>47.589188366721103</v>
      </c>
      <c r="O6436">
        <v>46.554585634794201</v>
      </c>
      <c r="P6436">
        <v>-9.69449219397919E-2</v>
      </c>
      <c r="Q6436">
        <v>0.110445339387609</v>
      </c>
      <c r="R6436">
        <v>0.99386563283469898</v>
      </c>
      <c r="S6436" t="s">
        <v>13082</v>
      </c>
      <c r="T6436" t="s">
        <v>13290</v>
      </c>
      <c r="U6436" t="s">
        <v>13290</v>
      </c>
      <c r="V6436" t="s">
        <v>13290</v>
      </c>
      <c r="W6436" t="s">
        <v>19671</v>
      </c>
      <c r="X6436">
        <v>2</v>
      </c>
      <c r="Y6436" t="s">
        <v>26132</v>
      </c>
      <c r="Z6436" t="s">
        <v>32766</v>
      </c>
      <c r="AA6436">
        <v>0.33073002089800863</v>
      </c>
      <c r="AB6436" t="str">
        <f>HYPERLINK("Melting_Curves/meltCurve_Q9Y2I9_TBC1D30.pdf", "Melting_Curves/meltCurve_Q9Y2I9_TBC1D30.pdf")</f>
        <v>Melting_Curves/meltCurve_Q9Y2I9_TBC1D30.pdf</v>
      </c>
    </row>
    <row r="6437" spans="1:28" x14ac:dyDescent="0.25">
      <c r="A6437" t="s">
        <v>6441</v>
      </c>
      <c r="B6437">
        <v>0.99252571173614901</v>
      </c>
      <c r="C6437">
        <v>0.89548809313437305</v>
      </c>
      <c r="D6437">
        <v>0.70544145584811002</v>
      </c>
      <c r="E6437">
        <v>0.35562969405391698</v>
      </c>
      <c r="F6437">
        <v>0.249335864982871</v>
      </c>
      <c r="G6437">
        <v>0.18441001791086101</v>
      </c>
      <c r="H6437">
        <v>0.14495387413546201</v>
      </c>
      <c r="I6437">
        <v>0.11202072296028601</v>
      </c>
      <c r="J6437">
        <v>0.12545494824183001</v>
      </c>
      <c r="K6437">
        <v>0.102576560535281</v>
      </c>
      <c r="L6437">
        <v>912.38576993863205</v>
      </c>
      <c r="M6437">
        <v>19.225948527319499</v>
      </c>
      <c r="N6437">
        <v>48.164735242792901</v>
      </c>
      <c r="O6437">
        <v>46.951473839419798</v>
      </c>
      <c r="P6437">
        <v>-8.9761740291349201E-2</v>
      </c>
      <c r="Q6437">
        <v>0.123208508646063</v>
      </c>
      <c r="R6437">
        <v>0.99630324238243595</v>
      </c>
      <c r="S6437" t="s">
        <v>13083</v>
      </c>
      <c r="T6437" t="s">
        <v>13290</v>
      </c>
      <c r="U6437" t="s">
        <v>13290</v>
      </c>
      <c r="V6437" t="s">
        <v>13290</v>
      </c>
      <c r="W6437" t="s">
        <v>19672</v>
      </c>
      <c r="X6437">
        <v>5</v>
      </c>
      <c r="Y6437" t="s">
        <v>26133</v>
      </c>
      <c r="Z6437" t="s">
        <v>32767</v>
      </c>
      <c r="AA6437">
        <v>0.35487868387527433</v>
      </c>
      <c r="AB6437" t="str">
        <f>HYPERLINK("Melting_Curves/meltCurve_Q9Y2K6_USP20.pdf", "Melting_Curves/meltCurve_Q9Y2K6_USP20.pdf")</f>
        <v>Melting_Curves/meltCurve_Q9Y2K6_USP20.pdf</v>
      </c>
    </row>
    <row r="6438" spans="1:28" x14ac:dyDescent="0.25">
      <c r="A6438" t="s">
        <v>6442</v>
      </c>
      <c r="B6438">
        <v>0.99252571173614901</v>
      </c>
      <c r="C6438">
        <v>0.95868791349021998</v>
      </c>
      <c r="D6438">
        <v>0.82371743942253695</v>
      </c>
      <c r="E6438">
        <v>0.54321822224931104</v>
      </c>
      <c r="F6438">
        <v>0.14069346682411399</v>
      </c>
      <c r="G6438">
        <v>7.3908416770048196E-2</v>
      </c>
      <c r="H6438">
        <v>5.4316046294044899E-2</v>
      </c>
      <c r="I6438">
        <v>6.0999105748418297E-2</v>
      </c>
      <c r="J6438">
        <v>7.5512003221669802E-2</v>
      </c>
      <c r="K6438">
        <v>7.8463358304659697E-2</v>
      </c>
      <c r="L6438">
        <v>1221.08040437215</v>
      </c>
      <c r="M6438">
        <v>24.7537884183713</v>
      </c>
      <c r="N6438">
        <v>49.560420496230897</v>
      </c>
      <c r="O6438">
        <v>49.0104928548553</v>
      </c>
      <c r="P6438">
        <v>-0.119378927309451</v>
      </c>
      <c r="Q6438">
        <v>5.4571217455787302E-2</v>
      </c>
      <c r="R6438">
        <v>0.99463992650217903</v>
      </c>
      <c r="S6438" t="s">
        <v>13084</v>
      </c>
      <c r="T6438" t="s">
        <v>13290</v>
      </c>
      <c r="U6438" t="s">
        <v>13290</v>
      </c>
      <c r="V6438" t="s">
        <v>13290</v>
      </c>
      <c r="W6438" t="s">
        <v>19673</v>
      </c>
      <c r="X6438">
        <v>6</v>
      </c>
      <c r="Y6438" t="s">
        <v>26134</v>
      </c>
      <c r="Z6438" t="s">
        <v>32768</v>
      </c>
      <c r="AA6438">
        <v>0.35713846323609533</v>
      </c>
      <c r="AB6438" t="str">
        <f>HYPERLINK("Melting_Curves/meltCurve_Q9Y2K7_KDM2A.pdf", "Melting_Curves/meltCurve_Q9Y2K7_KDM2A.pdf")</f>
        <v>Melting_Curves/meltCurve_Q9Y2K7_KDM2A.pdf</v>
      </c>
    </row>
    <row r="6439" spans="1:28" x14ac:dyDescent="0.25">
      <c r="A6439" t="s">
        <v>6443</v>
      </c>
      <c r="B6439">
        <v>0.99252571173614901</v>
      </c>
      <c r="C6439">
        <v>0.88067055380180803</v>
      </c>
      <c r="D6439">
        <v>0.50948210388216797</v>
      </c>
      <c r="E6439">
        <v>0.242462264764394</v>
      </c>
      <c r="F6439">
        <v>0.12664437294095299</v>
      </c>
      <c r="G6439">
        <v>7.3749032313768503E-2</v>
      </c>
      <c r="H6439">
        <v>5.6223407061591797E-2</v>
      </c>
      <c r="I6439">
        <v>5.5847874874672403E-2</v>
      </c>
      <c r="J6439">
        <v>6.3488644435567898E-2</v>
      </c>
      <c r="K6439">
        <v>6.2073864677377202E-2</v>
      </c>
      <c r="L6439">
        <v>1053.5289007045501</v>
      </c>
      <c r="M6439">
        <v>22.862120258629499</v>
      </c>
      <c r="N6439">
        <v>46.360655543587001</v>
      </c>
      <c r="O6439">
        <v>45.7336278725383</v>
      </c>
      <c r="P6439">
        <v>-0.116950163601133</v>
      </c>
      <c r="Q6439">
        <v>6.4224564669690995E-2</v>
      </c>
      <c r="R6439">
        <v>0.99714388607841298</v>
      </c>
      <c r="S6439" t="s">
        <v>13085</v>
      </c>
      <c r="T6439" t="s">
        <v>13290</v>
      </c>
      <c r="U6439" t="s">
        <v>13290</v>
      </c>
      <c r="V6439" t="s">
        <v>13290</v>
      </c>
      <c r="W6439" t="s">
        <v>19674</v>
      </c>
      <c r="X6439">
        <v>37</v>
      </c>
      <c r="Y6439" t="s">
        <v>26135</v>
      </c>
      <c r="Z6439" t="s">
        <v>32769</v>
      </c>
      <c r="AA6439">
        <v>0.26451047681442952</v>
      </c>
      <c r="AB6439" t="str">
        <f>HYPERLINK("Melting_Curves/meltCurve_Q9Y2L1_DIS3.pdf", "Melting_Curves/meltCurve_Q9Y2L1_DIS3.pdf")</f>
        <v>Melting_Curves/meltCurve_Q9Y2L1_DIS3.pdf</v>
      </c>
    </row>
    <row r="6440" spans="1:28" x14ac:dyDescent="0.25">
      <c r="A6440" t="s">
        <v>6444</v>
      </c>
      <c r="B6440">
        <v>0.99252571173614901</v>
      </c>
      <c r="C6440">
        <v>1.0571042147305001</v>
      </c>
      <c r="D6440">
        <v>0.89322668264161298</v>
      </c>
      <c r="E6440">
        <v>0.79497569815228597</v>
      </c>
      <c r="F6440">
        <v>0.67057454275066897</v>
      </c>
      <c r="G6440">
        <v>0.36570213496819798</v>
      </c>
      <c r="H6440">
        <v>0.18007475545312099</v>
      </c>
      <c r="I6440">
        <v>7.5601022223338699E-2</v>
      </c>
      <c r="J6440">
        <v>0.108426093738504</v>
      </c>
      <c r="K6440">
        <v>8.2838643254764893E-2</v>
      </c>
      <c r="L6440">
        <v>851.89784959430301</v>
      </c>
      <c r="M6440">
        <v>15.5982818826715</v>
      </c>
      <c r="N6440">
        <v>54.841588691189401</v>
      </c>
      <c r="O6440">
        <v>53.740824635364703</v>
      </c>
      <c r="P6440">
        <v>-7.0302715819206094E-2</v>
      </c>
      <c r="Q6440">
        <v>3.12270170210565E-2</v>
      </c>
      <c r="R6440">
        <v>0.98863112678200304</v>
      </c>
      <c r="S6440" t="s">
        <v>13086</v>
      </c>
      <c r="T6440" t="s">
        <v>13290</v>
      </c>
      <c r="U6440" t="s">
        <v>13290</v>
      </c>
      <c r="V6440" t="s">
        <v>13290</v>
      </c>
      <c r="W6440" t="s">
        <v>19675</v>
      </c>
      <c r="X6440">
        <v>2</v>
      </c>
      <c r="Y6440" t="s">
        <v>26136</v>
      </c>
      <c r="Z6440" t="s">
        <v>32770</v>
      </c>
      <c r="AA6440">
        <v>0.52149488821665757</v>
      </c>
      <c r="AB6440" t="str">
        <f>HYPERLINK("Melting_Curves/meltCurve_Q9Y2Q0_3_ATP8A1.pdf", "Melting_Curves/meltCurve_Q9Y2Q0_3_ATP8A1.pdf")</f>
        <v>Melting_Curves/meltCurve_Q9Y2Q0_3_ATP8A1.pdf</v>
      </c>
    </row>
    <row r="6441" spans="1:28" x14ac:dyDescent="0.25">
      <c r="A6441" t="s">
        <v>6445</v>
      </c>
      <c r="B6441">
        <v>0.99252571173614901</v>
      </c>
      <c r="C6441">
        <v>1.0783029293861099</v>
      </c>
      <c r="D6441">
        <v>0.94826290887644304</v>
      </c>
      <c r="E6441">
        <v>0.82150443785869898</v>
      </c>
      <c r="F6441">
        <v>0.29201334174827298</v>
      </c>
      <c r="G6441">
        <v>0.10707227769272799</v>
      </c>
      <c r="H6441">
        <v>7.4995556450051903E-2</v>
      </c>
      <c r="I6441">
        <v>7.4779192741452699E-2</v>
      </c>
      <c r="J6441">
        <v>7.7884664557320807E-2</v>
      </c>
      <c r="K6441">
        <v>7.0308189594500206E-2</v>
      </c>
      <c r="L6441">
        <v>1866.3871464405399</v>
      </c>
      <c r="M6441">
        <v>36.238251659994198</v>
      </c>
      <c r="N6441">
        <v>51.7305015023179</v>
      </c>
      <c r="O6441">
        <v>51.347148986441503</v>
      </c>
      <c r="P6441">
        <v>-0.163454059150245</v>
      </c>
      <c r="Q6441">
        <v>7.3589518380071703E-2</v>
      </c>
      <c r="R6441">
        <v>0.99553243040940798</v>
      </c>
      <c r="S6441" t="s">
        <v>13087</v>
      </c>
      <c r="T6441" t="s">
        <v>13290</v>
      </c>
      <c r="U6441" t="s">
        <v>13290</v>
      </c>
      <c r="V6441" t="s">
        <v>13290</v>
      </c>
      <c r="W6441" t="s">
        <v>19676</v>
      </c>
      <c r="X6441">
        <v>14</v>
      </c>
      <c r="Y6441" t="s">
        <v>20236</v>
      </c>
      <c r="Z6441" t="s">
        <v>32771</v>
      </c>
      <c r="AA6441">
        <v>0.43283539370774138</v>
      </c>
      <c r="AB6441" t="str">
        <f>HYPERLINK("Melting_Curves/meltCurve_Q9Y2Q3_GSTK1.pdf", "Melting_Curves/meltCurve_Q9Y2Q3_GSTK1.pdf")</f>
        <v>Melting_Curves/meltCurve_Q9Y2Q3_GSTK1.pdf</v>
      </c>
    </row>
    <row r="6442" spans="1:28" x14ac:dyDescent="0.25">
      <c r="A6442" t="s">
        <v>6446</v>
      </c>
      <c r="B6442">
        <v>0.99252571173614901</v>
      </c>
      <c r="C6442">
        <v>0.95592362347041504</v>
      </c>
      <c r="D6442">
        <v>0.85379156891702201</v>
      </c>
      <c r="E6442">
        <v>0.73763643827317904</v>
      </c>
      <c r="F6442">
        <v>0.78006759008305904</v>
      </c>
      <c r="G6442">
        <v>0.73966340858720003</v>
      </c>
      <c r="H6442">
        <v>0.705715840810065</v>
      </c>
      <c r="I6442">
        <v>0.92872540399246595</v>
      </c>
      <c r="J6442">
        <v>0.99130780583101197</v>
      </c>
      <c r="K6442">
        <v>0.52135856690702098</v>
      </c>
      <c r="L6442">
        <v>1620.74856307033</v>
      </c>
      <c r="M6442">
        <v>36.058553692564999</v>
      </c>
      <c r="O6442">
        <v>44.810116079897497</v>
      </c>
      <c r="P6442">
        <v>-4.5856402899843197E-2</v>
      </c>
      <c r="Q6442">
        <v>0.77205694681541404</v>
      </c>
      <c r="R6442">
        <v>0.31127384228726801</v>
      </c>
      <c r="S6442" t="s">
        <v>13088</v>
      </c>
      <c r="T6442" t="s">
        <v>13290</v>
      </c>
      <c r="U6442" t="s">
        <v>13290</v>
      </c>
      <c r="V6442" t="s">
        <v>13290</v>
      </c>
      <c r="W6442" t="s">
        <v>19677</v>
      </c>
      <c r="X6442">
        <v>6</v>
      </c>
      <c r="Y6442" t="s">
        <v>26137</v>
      </c>
      <c r="Z6442" t="s">
        <v>32772</v>
      </c>
      <c r="AA6442">
        <v>0.81060567988663057</v>
      </c>
      <c r="AB6442" t="str">
        <f>HYPERLINK("Melting_Curves/meltCurve_Q9Y2Q5_LAMTOR2.pdf", "Melting_Curves/meltCurve_Q9Y2Q5_LAMTOR2.pdf")</f>
        <v>Melting_Curves/meltCurve_Q9Y2Q5_LAMTOR2.pdf</v>
      </c>
    </row>
    <row r="6443" spans="1:28" x14ac:dyDescent="0.25">
      <c r="A6443" t="s">
        <v>6447</v>
      </c>
      <c r="B6443">
        <v>0.99252571173614901</v>
      </c>
      <c r="C6443">
        <v>1.1334751317455001</v>
      </c>
      <c r="D6443">
        <v>1.1991945255527801</v>
      </c>
      <c r="E6443">
        <v>0.82797198596504495</v>
      </c>
      <c r="F6443">
        <v>0.246003298825409</v>
      </c>
      <c r="G6443">
        <v>0.14741663198819999</v>
      </c>
      <c r="H6443">
        <v>0.105782251842766</v>
      </c>
      <c r="I6443">
        <v>0.116106657735214</v>
      </c>
      <c r="J6443">
        <v>0.117457096154332</v>
      </c>
      <c r="K6443">
        <v>0.10246495028821399</v>
      </c>
      <c r="L6443">
        <v>2447.0854089761001</v>
      </c>
      <c r="M6443">
        <v>47.822137708287798</v>
      </c>
      <c r="N6443">
        <v>51.457391353299002</v>
      </c>
      <c r="O6443">
        <v>51.081319447353899</v>
      </c>
      <c r="P6443">
        <v>-0.206667418515251</v>
      </c>
      <c r="Q6443">
        <v>0.11699194685575</v>
      </c>
      <c r="R6443">
        <v>0.97039600789690506</v>
      </c>
      <c r="S6443" t="s">
        <v>13089</v>
      </c>
      <c r="T6443" t="s">
        <v>13290</v>
      </c>
      <c r="U6443" t="s">
        <v>13290</v>
      </c>
      <c r="V6443" t="s">
        <v>13290</v>
      </c>
      <c r="W6443" t="s">
        <v>19678</v>
      </c>
      <c r="X6443">
        <v>4</v>
      </c>
      <c r="Y6443" t="s">
        <v>26138</v>
      </c>
      <c r="Z6443" t="s">
        <v>32773</v>
      </c>
      <c r="AA6443">
        <v>0.44796143188934928</v>
      </c>
      <c r="AB6443" t="str">
        <f>HYPERLINK("Melting_Curves/meltCurve_Q9Y2Q9_MRPS28.pdf", "Melting_Curves/meltCurve_Q9Y2Q9_MRPS28.pdf")</f>
        <v>Melting_Curves/meltCurve_Q9Y2Q9_MRPS28.pdf</v>
      </c>
    </row>
    <row r="6444" spans="1:28" x14ac:dyDescent="0.25">
      <c r="A6444" t="s">
        <v>6448</v>
      </c>
      <c r="B6444">
        <v>0.99252571173614901</v>
      </c>
      <c r="C6444">
        <v>0.924356695996709</v>
      </c>
      <c r="D6444">
        <v>0.85686993464296901</v>
      </c>
      <c r="E6444">
        <v>0.83011368262985397</v>
      </c>
      <c r="F6444">
        <v>0.827512484690759</v>
      </c>
      <c r="G6444">
        <v>0.70289294069196795</v>
      </c>
      <c r="H6444">
        <v>0.66496865373156999</v>
      </c>
      <c r="I6444">
        <v>0.85834089298794702</v>
      </c>
      <c r="J6444">
        <v>1.35180450378193</v>
      </c>
      <c r="K6444">
        <v>1.15882268940219</v>
      </c>
      <c r="L6444">
        <v>2716.1923355589101</v>
      </c>
      <c r="M6444">
        <v>64.909366045581805</v>
      </c>
      <c r="O6444">
        <v>41.806257687394201</v>
      </c>
      <c r="P6444">
        <v>-3.6257319495142097E-2</v>
      </c>
      <c r="Q6444">
        <v>0.906590837192219</v>
      </c>
      <c r="R6444">
        <v>1.7166589568596801E-2</v>
      </c>
      <c r="S6444" t="s">
        <v>13090</v>
      </c>
      <c r="T6444" t="s">
        <v>13290</v>
      </c>
      <c r="U6444" t="s">
        <v>13290</v>
      </c>
      <c r="V6444" t="s">
        <v>13290</v>
      </c>
      <c r="W6444" t="s">
        <v>19679</v>
      </c>
      <c r="X6444">
        <v>5</v>
      </c>
      <c r="Y6444" t="s">
        <v>26139</v>
      </c>
      <c r="Z6444" t="s">
        <v>32774</v>
      </c>
      <c r="AA6444">
        <v>0.91252740498341445</v>
      </c>
      <c r="AB6444" t="str">
        <f>HYPERLINK("Melting_Curves/meltCurve_Q9Y2R0_COA3.pdf", "Melting_Curves/meltCurve_Q9Y2R0_COA3.pdf")</f>
        <v>Melting_Curves/meltCurve_Q9Y2R0_COA3.pdf</v>
      </c>
    </row>
    <row r="6445" spans="1:28" x14ac:dyDescent="0.25">
      <c r="A6445" t="s">
        <v>6449</v>
      </c>
      <c r="B6445">
        <v>0.99252571173614901</v>
      </c>
      <c r="C6445">
        <v>0.98699215444048105</v>
      </c>
      <c r="D6445">
        <v>0.58529254700677802</v>
      </c>
      <c r="E6445">
        <v>0.21141560331915499</v>
      </c>
      <c r="F6445">
        <v>9.6785530523493202E-2</v>
      </c>
      <c r="G6445">
        <v>5.7028816533097999E-2</v>
      </c>
      <c r="H6445">
        <v>2.9611103546857798E-2</v>
      </c>
      <c r="I6445">
        <v>1.27621988739809E-2</v>
      </c>
      <c r="J6445">
        <v>1.82339440200961E-2</v>
      </c>
      <c r="K6445">
        <v>1.2002087585169E-2</v>
      </c>
      <c r="L6445">
        <v>1287.60649648352</v>
      </c>
      <c r="M6445">
        <v>27.5560096912277</v>
      </c>
      <c r="N6445">
        <v>46.837024081240799</v>
      </c>
      <c r="O6445">
        <v>46.482877653638504</v>
      </c>
      <c r="P6445">
        <v>-0.14355698178126</v>
      </c>
      <c r="Q6445">
        <v>3.1371994876950998E-2</v>
      </c>
      <c r="R6445">
        <v>0.99464420629258998</v>
      </c>
      <c r="S6445" t="s">
        <v>13091</v>
      </c>
      <c r="T6445" t="s">
        <v>13290</v>
      </c>
      <c r="U6445" t="s">
        <v>13290</v>
      </c>
      <c r="V6445" t="s">
        <v>13290</v>
      </c>
      <c r="W6445" t="s">
        <v>19680</v>
      </c>
      <c r="X6445">
        <v>4</v>
      </c>
      <c r="Y6445" t="s">
        <v>26140</v>
      </c>
      <c r="Z6445" t="s">
        <v>32775</v>
      </c>
      <c r="AA6445">
        <v>0.25557888979832882</v>
      </c>
      <c r="AB6445" t="str">
        <f>HYPERLINK("Melting_Curves/meltCurve_Q9Y2R4_DDX52.pdf", "Melting_Curves/meltCurve_Q9Y2R4_DDX52.pdf")</f>
        <v>Melting_Curves/meltCurve_Q9Y2R4_DDX52.pdf</v>
      </c>
    </row>
    <row r="6446" spans="1:28" x14ac:dyDescent="0.25">
      <c r="A6446" t="s">
        <v>6450</v>
      </c>
      <c r="B6446">
        <v>0.99252571173614901</v>
      </c>
      <c r="C6446">
        <v>0.96924523379285499</v>
      </c>
      <c r="D6446">
        <v>0.79884041128842098</v>
      </c>
      <c r="E6446">
        <v>0.34759762813304701</v>
      </c>
      <c r="F6446">
        <v>0.16228956204275199</v>
      </c>
      <c r="G6446">
        <v>9.6562686149939306E-2</v>
      </c>
      <c r="H6446">
        <v>7.9644956110745499E-2</v>
      </c>
      <c r="I6446">
        <v>8.8505616438029594E-2</v>
      </c>
      <c r="J6446">
        <v>0.14452693403802899</v>
      </c>
      <c r="K6446">
        <v>0.18889723952190801</v>
      </c>
      <c r="L6446">
        <v>1447.7295568428799</v>
      </c>
      <c r="M6446">
        <v>30.2495684097637</v>
      </c>
      <c r="N6446">
        <v>48.292152045972301</v>
      </c>
      <c r="O6446">
        <v>47.651809171702702</v>
      </c>
      <c r="P6446">
        <v>-0.139864997403919</v>
      </c>
      <c r="Q6446">
        <v>0.118694447233628</v>
      </c>
      <c r="R6446">
        <v>0.99296608660059904</v>
      </c>
      <c r="S6446" t="s">
        <v>13092</v>
      </c>
      <c r="T6446" t="s">
        <v>13290</v>
      </c>
      <c r="U6446" t="s">
        <v>13290</v>
      </c>
      <c r="V6446" t="s">
        <v>13290</v>
      </c>
      <c r="W6446" t="s">
        <v>19681</v>
      </c>
      <c r="X6446">
        <v>5</v>
      </c>
      <c r="Y6446" t="s">
        <v>26141</v>
      </c>
      <c r="Z6446" t="s">
        <v>32776</v>
      </c>
      <c r="AA6446">
        <v>0.35478909785776053</v>
      </c>
      <c r="AB6446" t="str">
        <f>HYPERLINK("Melting_Curves/meltCurve_Q9Y2S0_POLR1D.pdf", "Melting_Curves/meltCurve_Q9Y2S0_POLR1D.pdf")</f>
        <v>Melting_Curves/meltCurve_Q9Y2S0_POLR1D.pdf</v>
      </c>
    </row>
    <row r="6447" spans="1:28" x14ac:dyDescent="0.25">
      <c r="A6447" t="s">
        <v>6451</v>
      </c>
      <c r="B6447">
        <v>0.99252571173614901</v>
      </c>
      <c r="C6447">
        <v>0.98593007735190397</v>
      </c>
      <c r="D6447">
        <v>0.92654535797843596</v>
      </c>
      <c r="E6447">
        <v>0.80605144368612602</v>
      </c>
      <c r="F6447">
        <v>0.64825696047057102</v>
      </c>
      <c r="G6447">
        <v>0.51803541815487997</v>
      </c>
      <c r="H6447">
        <v>0.375054727185127</v>
      </c>
      <c r="I6447">
        <v>0.38849591597697197</v>
      </c>
      <c r="J6447">
        <v>0.55373837525647296</v>
      </c>
      <c r="K6447">
        <v>0.638562481790794</v>
      </c>
      <c r="L6447">
        <v>1171.1988555682001</v>
      </c>
      <c r="M6447">
        <v>23.117056031348099</v>
      </c>
      <c r="N6447">
        <v>60.554334119701799</v>
      </c>
      <c r="O6447">
        <v>50.289283477571999</v>
      </c>
      <c r="P6447">
        <v>-5.8778233521439398E-2</v>
      </c>
      <c r="Q6447">
        <v>0.48854023340194702</v>
      </c>
      <c r="R6447">
        <v>0.88883445259903404</v>
      </c>
      <c r="S6447" t="s">
        <v>13093</v>
      </c>
      <c r="T6447" t="s">
        <v>13290</v>
      </c>
      <c r="U6447" t="s">
        <v>13290</v>
      </c>
      <c r="V6447" t="s">
        <v>13290</v>
      </c>
      <c r="W6447" t="s">
        <v>19682</v>
      </c>
      <c r="X6447">
        <v>2</v>
      </c>
      <c r="Y6447" t="s">
        <v>26141</v>
      </c>
      <c r="Z6447" t="s">
        <v>32777</v>
      </c>
      <c r="AA6447">
        <v>0.67571638716501259</v>
      </c>
      <c r="AB6447" t="str">
        <f>HYPERLINK("Melting_Curves/meltCurve_Q9Y2S0_2_POLR1D.pdf", "Melting_Curves/meltCurve_Q9Y2S0_2_POLR1D.pdf")</f>
        <v>Melting_Curves/meltCurve_Q9Y2S0_2_POLR1D.pdf</v>
      </c>
    </row>
    <row r="6448" spans="1:28" x14ac:dyDescent="0.25">
      <c r="A6448" t="s">
        <v>6452</v>
      </c>
      <c r="B6448">
        <v>0.99252571173614901</v>
      </c>
      <c r="C6448">
        <v>1.05738544178355</v>
      </c>
      <c r="D6448">
        <v>0.92322333219040598</v>
      </c>
      <c r="E6448">
        <v>0.87878746010475095</v>
      </c>
      <c r="F6448">
        <v>0.45137807897103999</v>
      </c>
      <c r="G6448">
        <v>0.248011062017293</v>
      </c>
      <c r="H6448">
        <v>0.24669564667397501</v>
      </c>
      <c r="I6448">
        <v>0.26873135264117698</v>
      </c>
      <c r="J6448">
        <v>0.32949794723043702</v>
      </c>
      <c r="K6448">
        <v>0.29612123231267401</v>
      </c>
      <c r="L6448">
        <v>2060.3716860740301</v>
      </c>
      <c r="M6448">
        <v>39.937534824598202</v>
      </c>
      <c r="N6448">
        <v>52.644522394312702</v>
      </c>
      <c r="O6448">
        <v>51.460998512641503</v>
      </c>
      <c r="P6448">
        <v>-0.14059403220821001</v>
      </c>
      <c r="Q6448">
        <v>0.27535871026250602</v>
      </c>
      <c r="R6448">
        <v>0.98621275243194995</v>
      </c>
      <c r="S6448" t="s">
        <v>13094</v>
      </c>
      <c r="T6448" t="s">
        <v>13290</v>
      </c>
      <c r="U6448" t="s">
        <v>13290</v>
      </c>
      <c r="V6448" t="s">
        <v>13290</v>
      </c>
      <c r="W6448" t="s">
        <v>19683</v>
      </c>
      <c r="X6448">
        <v>12</v>
      </c>
      <c r="Y6448" t="s">
        <v>26142</v>
      </c>
      <c r="Z6448" t="s">
        <v>32778</v>
      </c>
      <c r="AA6448">
        <v>0.55789980929413119</v>
      </c>
      <c r="AB6448" t="str">
        <f>HYPERLINK("Melting_Curves/meltCurve_Q9Y2S2_2_CRYL1.pdf", "Melting_Curves/meltCurve_Q9Y2S2_2_CRYL1.pdf")</f>
        <v>Melting_Curves/meltCurve_Q9Y2S2_2_CRYL1.pdf</v>
      </c>
    </row>
    <row r="6449" spans="1:28" x14ac:dyDescent="0.25">
      <c r="A6449" t="s">
        <v>6453</v>
      </c>
      <c r="B6449">
        <v>0.99252571173614901</v>
      </c>
      <c r="C6449">
        <v>1.15456323546971</v>
      </c>
      <c r="D6449">
        <v>1.0566992195353699</v>
      </c>
      <c r="E6449">
        <v>1.05590097809517</v>
      </c>
      <c r="F6449">
        <v>0.97149385711019298</v>
      </c>
      <c r="G6449">
        <v>0.84162012616098403</v>
      </c>
      <c r="H6449">
        <v>1.16396968779098</v>
      </c>
      <c r="I6449">
        <v>1.5165538518602399</v>
      </c>
      <c r="J6449">
        <v>2.4772532515477601</v>
      </c>
      <c r="K6449">
        <v>2.5338701338957899</v>
      </c>
      <c r="L6449">
        <v>15000</v>
      </c>
      <c r="M6449">
        <v>245.99301258246899</v>
      </c>
      <c r="O6449">
        <v>60.973311491997499</v>
      </c>
      <c r="P6449">
        <v>0.50430468459391298</v>
      </c>
      <c r="Q6449">
        <v>1.5</v>
      </c>
      <c r="R6449">
        <v>0.40009393434479801</v>
      </c>
      <c r="S6449" t="s">
        <v>13095</v>
      </c>
      <c r="T6449" t="s">
        <v>13290</v>
      </c>
      <c r="U6449" t="s">
        <v>13290</v>
      </c>
      <c r="V6449" t="s">
        <v>13290</v>
      </c>
      <c r="W6449" t="s">
        <v>19684</v>
      </c>
      <c r="X6449">
        <v>6</v>
      </c>
      <c r="Y6449" t="s">
        <v>26143</v>
      </c>
      <c r="Z6449" t="s">
        <v>32779</v>
      </c>
      <c r="AA6449">
        <v>1.150322372352409</v>
      </c>
      <c r="AB6449" t="str">
        <f>HYPERLINK("Melting_Curves/meltCurve_Q9Y2S6_TMA7.pdf", "Melting_Curves/meltCurve_Q9Y2S6_TMA7.pdf")</f>
        <v>Melting_Curves/meltCurve_Q9Y2S6_TMA7.pdf</v>
      </c>
    </row>
    <row r="6450" spans="1:28" x14ac:dyDescent="0.25">
      <c r="A6450" t="s">
        <v>6454</v>
      </c>
      <c r="B6450">
        <v>0.99252571173614901</v>
      </c>
      <c r="C6450">
        <v>0.86992400741088105</v>
      </c>
      <c r="D6450">
        <v>0.67487897569598898</v>
      </c>
      <c r="E6450">
        <v>0.65089389933428798</v>
      </c>
      <c r="F6450">
        <v>0.39436154983325999</v>
      </c>
      <c r="G6450">
        <v>0.16793350187287001</v>
      </c>
      <c r="H6450">
        <v>8.3288295232283496E-2</v>
      </c>
      <c r="I6450">
        <v>6.4290168903025996E-2</v>
      </c>
      <c r="J6450">
        <v>7.61987461272879E-2</v>
      </c>
      <c r="K6450">
        <v>8.2785644856801899E-2</v>
      </c>
      <c r="L6450">
        <v>586.19797846165102</v>
      </c>
      <c r="M6450">
        <v>11.5776901921367</v>
      </c>
      <c r="N6450">
        <v>50.640991091532399</v>
      </c>
      <c r="O6450">
        <v>49.191856238676898</v>
      </c>
      <c r="P6450">
        <v>-5.8793214385713201E-2</v>
      </c>
      <c r="Q6450">
        <v>1.0625162388867399E-3</v>
      </c>
      <c r="R6450">
        <v>0.97806019226608998</v>
      </c>
      <c r="S6450" t="s">
        <v>13096</v>
      </c>
      <c r="T6450" t="s">
        <v>13290</v>
      </c>
      <c r="U6450" t="s">
        <v>13290</v>
      </c>
      <c r="V6450" t="s">
        <v>13290</v>
      </c>
      <c r="W6450" t="s">
        <v>19685</v>
      </c>
      <c r="X6450">
        <v>15</v>
      </c>
      <c r="Y6450" t="s">
        <v>26144</v>
      </c>
      <c r="Z6450" t="s">
        <v>32780</v>
      </c>
      <c r="AA6450">
        <v>0.39017792073256319</v>
      </c>
      <c r="AB6450" t="str">
        <f>HYPERLINK("Melting_Curves/meltCurve_Q9Y2S7_POLDIP2.pdf", "Melting_Curves/meltCurve_Q9Y2S7_POLDIP2.pdf")</f>
        <v>Melting_Curves/meltCurve_Q9Y2S7_POLDIP2.pdf</v>
      </c>
    </row>
    <row r="6451" spans="1:28" x14ac:dyDescent="0.25">
      <c r="A6451" t="s">
        <v>6455</v>
      </c>
      <c r="B6451">
        <v>0.99252571173614901</v>
      </c>
      <c r="C6451">
        <v>0.83999036628369605</v>
      </c>
      <c r="D6451">
        <v>1.01458562302628</v>
      </c>
      <c r="E6451">
        <v>0.64482615122227904</v>
      </c>
      <c r="F6451">
        <v>0.156925421614802</v>
      </c>
      <c r="G6451">
        <v>8.7222076448536606E-2</v>
      </c>
      <c r="H6451">
        <v>5.08863402239541E-2</v>
      </c>
      <c r="I6451">
        <v>4.7097787029925897E-2</v>
      </c>
      <c r="J6451">
        <v>5.5695249846340299E-2</v>
      </c>
      <c r="K6451">
        <v>5.0272216152006402E-2</v>
      </c>
      <c r="L6451">
        <v>1971.3411480933601</v>
      </c>
      <c r="M6451">
        <v>39.214727174935497</v>
      </c>
      <c r="N6451">
        <v>50.423692586735797</v>
      </c>
      <c r="O6451">
        <v>50.1402341083446</v>
      </c>
      <c r="P6451">
        <v>-0.18454145024304999</v>
      </c>
      <c r="Q6451">
        <v>5.61779979641591E-2</v>
      </c>
      <c r="R6451">
        <v>0.98313000811502105</v>
      </c>
      <c r="S6451" t="s">
        <v>13097</v>
      </c>
      <c r="T6451" t="s">
        <v>13290</v>
      </c>
      <c r="U6451" t="s">
        <v>13290</v>
      </c>
      <c r="V6451" t="s">
        <v>13290</v>
      </c>
      <c r="W6451" t="s">
        <v>19686</v>
      </c>
      <c r="X6451">
        <v>12</v>
      </c>
      <c r="Y6451" t="s">
        <v>26145</v>
      </c>
      <c r="Z6451" t="s">
        <v>32781</v>
      </c>
      <c r="AA6451">
        <v>0.38270742761082072</v>
      </c>
      <c r="AB6451" t="str">
        <f>HYPERLINK("Melting_Curves/meltCurve_Q9Y2T2_AP3M1.pdf", "Melting_Curves/meltCurve_Q9Y2T2_AP3M1.pdf")</f>
        <v>Melting_Curves/meltCurve_Q9Y2T2_AP3M1.pdf</v>
      </c>
    </row>
    <row r="6452" spans="1:28" x14ac:dyDescent="0.25">
      <c r="A6452" t="s">
        <v>6456</v>
      </c>
      <c r="B6452">
        <v>0.99252571173614901</v>
      </c>
      <c r="C6452">
        <v>0.98582334314921205</v>
      </c>
      <c r="D6452">
        <v>0.88495182543903195</v>
      </c>
      <c r="E6452">
        <v>0.63423600200561103</v>
      </c>
      <c r="F6452">
        <v>0.397152165863076</v>
      </c>
      <c r="G6452">
        <v>0.25807834703097199</v>
      </c>
      <c r="H6452">
        <v>0.19499660602227301</v>
      </c>
      <c r="I6452">
        <v>0.22593430280440099</v>
      </c>
      <c r="J6452">
        <v>0.28372633290283999</v>
      </c>
      <c r="K6452">
        <v>0.26964307694302903</v>
      </c>
      <c r="L6452">
        <v>1133.0095142468999</v>
      </c>
      <c r="M6452">
        <v>22.771655562498701</v>
      </c>
      <c r="N6452">
        <v>51.201093364806603</v>
      </c>
      <c r="O6452">
        <v>49.376312745264499</v>
      </c>
      <c r="P6452">
        <v>-8.7955270217075596E-2</v>
      </c>
      <c r="Q6452">
        <v>0.23715298975430801</v>
      </c>
      <c r="R6452">
        <v>0.99270388090040396</v>
      </c>
      <c r="S6452" t="s">
        <v>13098</v>
      </c>
      <c r="T6452" t="s">
        <v>13290</v>
      </c>
      <c r="U6452" t="s">
        <v>13290</v>
      </c>
      <c r="V6452" t="s">
        <v>13290</v>
      </c>
      <c r="W6452" t="s">
        <v>19687</v>
      </c>
      <c r="X6452">
        <v>13</v>
      </c>
      <c r="Y6452" t="s">
        <v>26146</v>
      </c>
      <c r="Z6452" t="s">
        <v>32782</v>
      </c>
      <c r="AA6452">
        <v>0.49342198911102741</v>
      </c>
      <c r="AB6452" t="str">
        <f>HYPERLINK("Melting_Curves/meltCurve_Q9Y2U8_LEMD3.pdf", "Melting_Curves/meltCurve_Q9Y2U8_LEMD3.pdf")</f>
        <v>Melting_Curves/meltCurve_Q9Y2U8_LEMD3.pdf</v>
      </c>
    </row>
    <row r="6453" spans="1:28" x14ac:dyDescent="0.25">
      <c r="A6453" t="s">
        <v>6457</v>
      </c>
      <c r="B6453">
        <v>0.99252571173614901</v>
      </c>
      <c r="C6453">
        <v>1.1480131166099801</v>
      </c>
      <c r="D6453">
        <v>0.955137116255526</v>
      </c>
      <c r="E6453">
        <v>0.77982926688726195</v>
      </c>
      <c r="F6453">
        <v>0.35822920449614898</v>
      </c>
      <c r="G6453">
        <v>0.20532477807485</v>
      </c>
      <c r="H6453">
        <v>0.17998883973643201</v>
      </c>
      <c r="I6453">
        <v>0.21798419967041599</v>
      </c>
      <c r="J6453">
        <v>0.322286276807911</v>
      </c>
      <c r="K6453">
        <v>0.35445017897567399</v>
      </c>
      <c r="L6453">
        <v>2072.6117822916799</v>
      </c>
      <c r="M6453">
        <v>40.921498508086799</v>
      </c>
      <c r="N6453">
        <v>51.552311856595701</v>
      </c>
      <c r="O6453">
        <v>50.527996171912697</v>
      </c>
      <c r="P6453">
        <v>-0.15063715141273401</v>
      </c>
      <c r="Q6453">
        <v>0.25600218253849299</v>
      </c>
      <c r="R6453">
        <v>0.96178152777946402</v>
      </c>
      <c r="S6453" t="s">
        <v>13099</v>
      </c>
      <c r="T6453" t="s">
        <v>13290</v>
      </c>
      <c r="U6453" t="s">
        <v>13290</v>
      </c>
      <c r="V6453" t="s">
        <v>13290</v>
      </c>
      <c r="W6453" t="s">
        <v>19688</v>
      </c>
      <c r="X6453">
        <v>7</v>
      </c>
      <c r="Y6453" t="s">
        <v>26147</v>
      </c>
      <c r="Z6453" t="s">
        <v>32783</v>
      </c>
      <c r="AA6453">
        <v>0.5225717892877737</v>
      </c>
      <c r="AB6453" t="str">
        <f>HYPERLINK("Melting_Curves/meltCurve_Q9Y2V2_CARHSP1.pdf", "Melting_Curves/meltCurve_Q9Y2V2_CARHSP1.pdf")</f>
        <v>Melting_Curves/meltCurve_Q9Y2V2_CARHSP1.pdf</v>
      </c>
    </row>
    <row r="6454" spans="1:28" x14ac:dyDescent="0.25">
      <c r="A6454" t="s">
        <v>6458</v>
      </c>
      <c r="B6454">
        <v>0.99252571173614901</v>
      </c>
      <c r="C6454">
        <v>0.75146631657759699</v>
      </c>
      <c r="D6454">
        <v>0.48547747863611501</v>
      </c>
      <c r="E6454">
        <v>0.17979290700379999</v>
      </c>
      <c r="F6454">
        <v>0.114652083107734</v>
      </c>
      <c r="G6454">
        <v>7.3153161725365401E-2</v>
      </c>
      <c r="H6454">
        <v>5.7478013529005403E-2</v>
      </c>
      <c r="I6454">
        <v>6.4224720630588206E-2</v>
      </c>
      <c r="J6454">
        <v>4.6797982674971698E-2</v>
      </c>
      <c r="K6454">
        <v>4.2197850066077E-2</v>
      </c>
      <c r="L6454">
        <v>936.40919677520696</v>
      </c>
      <c r="M6454">
        <v>20.608837292316501</v>
      </c>
      <c r="N6454">
        <v>45.687496204256298</v>
      </c>
      <c r="O6454">
        <v>45.015941206311503</v>
      </c>
      <c r="P6454">
        <v>-0.108347656539756</v>
      </c>
      <c r="Q6454">
        <v>5.3371032590485298E-2</v>
      </c>
      <c r="R6454">
        <v>0.99583778828935299</v>
      </c>
      <c r="S6454" t="s">
        <v>13100</v>
      </c>
      <c r="T6454" t="s">
        <v>13290</v>
      </c>
      <c r="U6454" t="s">
        <v>13290</v>
      </c>
      <c r="V6454" t="s">
        <v>13290</v>
      </c>
      <c r="W6454" t="s">
        <v>19689</v>
      </c>
      <c r="X6454">
        <v>3</v>
      </c>
      <c r="Y6454" t="s">
        <v>26148</v>
      </c>
      <c r="Z6454" t="s">
        <v>32784</v>
      </c>
      <c r="AA6454">
        <v>0.2392283350110507</v>
      </c>
      <c r="AB6454" t="str">
        <f>HYPERLINK("Melting_Curves/meltCurve_Q9Y2V7_2_COG6.pdf", "Melting_Curves/meltCurve_Q9Y2V7_2_COG6.pdf")</f>
        <v>Melting_Curves/meltCurve_Q9Y2V7_2_COG6.pdf</v>
      </c>
    </row>
    <row r="6455" spans="1:28" x14ac:dyDescent="0.25">
      <c r="A6455" t="s">
        <v>6459</v>
      </c>
      <c r="B6455">
        <v>0.99252571173614901</v>
      </c>
      <c r="C6455">
        <v>0.94870600631612401</v>
      </c>
      <c r="D6455">
        <v>0.98141065225281099</v>
      </c>
      <c r="E6455">
        <v>0.933114701183821</v>
      </c>
      <c r="F6455">
        <v>0.63504384930315405</v>
      </c>
      <c r="G6455">
        <v>0.34846071762920999</v>
      </c>
      <c r="H6455">
        <v>0.31120368111603203</v>
      </c>
      <c r="I6455">
        <v>0.414291811235943</v>
      </c>
      <c r="J6455">
        <v>0.52117336305672501</v>
      </c>
      <c r="K6455">
        <v>0.55343964614454699</v>
      </c>
      <c r="L6455">
        <v>2627.6772782493299</v>
      </c>
      <c r="M6455">
        <v>50.103777869759199</v>
      </c>
      <c r="N6455">
        <v>54.579822883212302</v>
      </c>
      <c r="O6455">
        <v>52.3613364275365</v>
      </c>
      <c r="P6455">
        <v>-0.13645838161766199</v>
      </c>
      <c r="Q6455">
        <v>0.42957282359889898</v>
      </c>
      <c r="R6455">
        <v>0.92458984341540795</v>
      </c>
      <c r="S6455" t="s">
        <v>13101</v>
      </c>
      <c r="T6455" t="s">
        <v>13290</v>
      </c>
      <c r="U6455" t="s">
        <v>13290</v>
      </c>
      <c r="V6455" t="s">
        <v>13290</v>
      </c>
      <c r="W6455" t="s">
        <v>19690</v>
      </c>
      <c r="X6455">
        <v>27</v>
      </c>
      <c r="Y6455" t="s">
        <v>26149</v>
      </c>
      <c r="Z6455" t="s">
        <v>32785</v>
      </c>
      <c r="AA6455">
        <v>0.66751318680429828</v>
      </c>
      <c r="AB6455" t="str">
        <f>HYPERLINK("Melting_Curves/meltCurve_Q9Y2W1_THRAP3.pdf", "Melting_Curves/meltCurve_Q9Y2W1_THRAP3.pdf")</f>
        <v>Melting_Curves/meltCurve_Q9Y2W1_THRAP3.pdf</v>
      </c>
    </row>
    <row r="6456" spans="1:28" x14ac:dyDescent="0.25">
      <c r="A6456" t="s">
        <v>6460</v>
      </c>
      <c r="B6456">
        <v>0.99252571173614901</v>
      </c>
      <c r="C6456">
        <v>1.0214412079714399</v>
      </c>
      <c r="D6456">
        <v>1.13089629696225</v>
      </c>
      <c r="E6456">
        <v>1.1503080785856601</v>
      </c>
      <c r="F6456">
        <v>0.53181995917348202</v>
      </c>
      <c r="G6456">
        <v>0.21662637091765299</v>
      </c>
      <c r="H6456">
        <v>0.12881495984646199</v>
      </c>
      <c r="I6456">
        <v>0.136093880556623</v>
      </c>
      <c r="J6456">
        <v>0.17482207257037899</v>
      </c>
      <c r="K6456">
        <v>0.18847297064156099</v>
      </c>
      <c r="L6456">
        <v>10379.3564491613</v>
      </c>
      <c r="M6456">
        <v>195.355530011349</v>
      </c>
      <c r="N6456">
        <v>53.242993963181597</v>
      </c>
      <c r="O6456">
        <v>53.125034374999998</v>
      </c>
      <c r="P6456">
        <v>-0.76398642159498897</v>
      </c>
      <c r="Q6456">
        <v>0.16896536545260599</v>
      </c>
      <c r="R6456">
        <v>0.97526768499564698</v>
      </c>
      <c r="S6456" t="s">
        <v>13102</v>
      </c>
      <c r="T6456" t="s">
        <v>13290</v>
      </c>
      <c r="U6456" t="s">
        <v>13290</v>
      </c>
      <c r="V6456" t="s">
        <v>13290</v>
      </c>
      <c r="W6456" t="s">
        <v>19691</v>
      </c>
      <c r="X6456">
        <v>17</v>
      </c>
      <c r="Y6456" t="s">
        <v>26150</v>
      </c>
      <c r="Z6456" t="s">
        <v>32786</v>
      </c>
      <c r="AA6456">
        <v>0.53282505319143525</v>
      </c>
      <c r="AB6456" t="str">
        <f>HYPERLINK("Melting_Curves/meltCurve_Q9Y2X3_NOP58.pdf", "Melting_Curves/meltCurve_Q9Y2X3_NOP58.pdf")</f>
        <v>Melting_Curves/meltCurve_Q9Y2X3_NOP58.pdf</v>
      </c>
    </row>
    <row r="6457" spans="1:28" x14ac:dyDescent="0.25">
      <c r="A6457" t="s">
        <v>6461</v>
      </c>
      <c r="B6457">
        <v>0.99252571173614901</v>
      </c>
      <c r="C6457">
        <v>0.87074167889203702</v>
      </c>
      <c r="D6457">
        <v>1.1499424089927801</v>
      </c>
      <c r="E6457">
        <v>0.62330050789081803</v>
      </c>
      <c r="F6457">
        <v>0.224935366300345</v>
      </c>
      <c r="G6457">
        <v>0.12698158592074199</v>
      </c>
      <c r="H6457">
        <v>0.101251436853634</v>
      </c>
      <c r="I6457">
        <v>9.2216764828658607E-2</v>
      </c>
      <c r="J6457">
        <v>0.101503314102085</v>
      </c>
      <c r="K6457">
        <v>0.10827601110643301</v>
      </c>
      <c r="L6457">
        <v>2248.0122781609998</v>
      </c>
      <c r="M6457">
        <v>44.898240758009599</v>
      </c>
      <c r="N6457">
        <v>50.3576894287702</v>
      </c>
      <c r="O6457">
        <v>49.970029880841999</v>
      </c>
      <c r="P6457">
        <v>-0.19914296991945701</v>
      </c>
      <c r="Q6457">
        <v>0.113447081567343</v>
      </c>
      <c r="R6457">
        <v>0.97022836437830196</v>
      </c>
      <c r="S6457" t="s">
        <v>13103</v>
      </c>
      <c r="T6457" t="s">
        <v>13290</v>
      </c>
      <c r="U6457" t="s">
        <v>13290</v>
      </c>
      <c r="V6457" t="s">
        <v>13290</v>
      </c>
      <c r="W6457" t="s">
        <v>19692</v>
      </c>
      <c r="X6457">
        <v>10</v>
      </c>
      <c r="Y6457" t="s">
        <v>26151</v>
      </c>
      <c r="Z6457" t="s">
        <v>32787</v>
      </c>
      <c r="AA6457">
        <v>0.41343690702535041</v>
      </c>
      <c r="AB6457" t="str">
        <f>HYPERLINK("Melting_Curves/meltCurve_Q9Y2X7_3_GIT1.pdf", "Melting_Curves/meltCurve_Q9Y2X7_3_GIT1.pdf")</f>
        <v>Melting_Curves/meltCurve_Q9Y2X7_3_GIT1.pdf</v>
      </c>
    </row>
    <row r="6458" spans="1:28" x14ac:dyDescent="0.25">
      <c r="A6458" t="s">
        <v>6462</v>
      </c>
      <c r="B6458">
        <v>0.99252571173614901</v>
      </c>
      <c r="C6458">
        <v>1.0297644092154301</v>
      </c>
      <c r="D6458">
        <v>1.05808055786518</v>
      </c>
      <c r="E6458">
        <v>1.01949387871238</v>
      </c>
      <c r="F6458">
        <v>1.23154113748335</v>
      </c>
      <c r="G6458">
        <v>1.3031329672566301</v>
      </c>
      <c r="H6458">
        <v>1.07560082709831</v>
      </c>
      <c r="I6458">
        <v>0.54802457092352697</v>
      </c>
      <c r="J6458">
        <v>0.57272935465342301</v>
      </c>
      <c r="K6458">
        <v>0.74542782128037899</v>
      </c>
      <c r="L6458">
        <v>13462.1527878121</v>
      </c>
      <c r="M6458">
        <v>215.891287114942</v>
      </c>
      <c r="O6458">
        <v>62.350808881375102</v>
      </c>
      <c r="P6458">
        <v>-0.32645757259436198</v>
      </c>
      <c r="Q6458">
        <v>0.62286767892374695</v>
      </c>
      <c r="R6458">
        <v>0.69556469043804803</v>
      </c>
      <c r="S6458" t="s">
        <v>13104</v>
      </c>
      <c r="T6458" t="s">
        <v>13290</v>
      </c>
      <c r="U6458" t="s">
        <v>13290</v>
      </c>
      <c r="V6458" t="s">
        <v>13290</v>
      </c>
      <c r="W6458" t="s">
        <v>19693</v>
      </c>
      <c r="X6458">
        <v>2</v>
      </c>
      <c r="Y6458" t="s">
        <v>26152</v>
      </c>
      <c r="Z6458" t="s">
        <v>32788</v>
      </c>
      <c r="AA6458">
        <v>0.90396410903286861</v>
      </c>
      <c r="AB6458" t="str">
        <f>HYPERLINK("Melting_Curves/meltCurve_Q9Y2Y1_POLR3K.pdf", "Melting_Curves/meltCurve_Q9Y2Y1_POLR3K.pdf")</f>
        <v>Melting_Curves/meltCurve_Q9Y2Y1_POLR3K.pdf</v>
      </c>
    </row>
    <row r="6459" spans="1:28" x14ac:dyDescent="0.25">
      <c r="A6459" t="s">
        <v>6463</v>
      </c>
      <c r="B6459">
        <v>0.99252571173614901</v>
      </c>
      <c r="C6459">
        <v>1.0681993563765799</v>
      </c>
      <c r="D6459">
        <v>0.89233827342134098</v>
      </c>
      <c r="E6459">
        <v>0.65280617335946201</v>
      </c>
      <c r="F6459">
        <v>0.28967577884449303</v>
      </c>
      <c r="G6459">
        <v>0.12305133242467201</v>
      </c>
      <c r="H6459">
        <v>9.2913545640004702E-2</v>
      </c>
      <c r="I6459">
        <v>0.100647030911569</v>
      </c>
      <c r="J6459">
        <v>0.12372841451253699</v>
      </c>
      <c r="K6459">
        <v>0.13389972743894499</v>
      </c>
      <c r="L6459">
        <v>1328.73921185363</v>
      </c>
      <c r="M6459">
        <v>26.376521779775601</v>
      </c>
      <c r="N6459">
        <v>50.830489304948799</v>
      </c>
      <c r="O6459">
        <v>50.088948033688503</v>
      </c>
      <c r="P6459">
        <v>-0.117816315862972</v>
      </c>
      <c r="Q6459">
        <v>0.10507825745365899</v>
      </c>
      <c r="R6459">
        <v>0.99331983926473699</v>
      </c>
      <c r="S6459" t="s">
        <v>13105</v>
      </c>
      <c r="T6459" t="s">
        <v>13290</v>
      </c>
      <c r="U6459" t="s">
        <v>13290</v>
      </c>
      <c r="V6459" t="s">
        <v>13290</v>
      </c>
      <c r="W6459" t="s">
        <v>19694</v>
      </c>
      <c r="X6459">
        <v>22</v>
      </c>
      <c r="Y6459" t="s">
        <v>26153</v>
      </c>
      <c r="Z6459" t="s">
        <v>32789</v>
      </c>
      <c r="AA6459">
        <v>0.42181100879261341</v>
      </c>
      <c r="AB6459" t="str">
        <f>HYPERLINK("Melting_Curves/meltCurve_Q9Y2Z0_2_SUGT1.pdf", "Melting_Curves/meltCurve_Q9Y2Z0_2_SUGT1.pdf")</f>
        <v>Melting_Curves/meltCurve_Q9Y2Z0_2_SUGT1.pdf</v>
      </c>
    </row>
    <row r="6460" spans="1:28" x14ac:dyDescent="0.25">
      <c r="A6460" t="s">
        <v>6464</v>
      </c>
      <c r="B6460">
        <v>0.99252571173614901</v>
      </c>
      <c r="C6460">
        <v>0.92698054278046904</v>
      </c>
      <c r="D6460">
        <v>0.81031868496902104</v>
      </c>
      <c r="E6460">
        <v>0.52254413542348399</v>
      </c>
      <c r="F6460">
        <v>0.23143741551687999</v>
      </c>
      <c r="G6460">
        <v>0.117171978741827</v>
      </c>
      <c r="H6460">
        <v>8.0405386671760004E-2</v>
      </c>
      <c r="I6460">
        <v>6.3654629188246506E-2</v>
      </c>
      <c r="J6460">
        <v>7.0781775509519307E-2</v>
      </c>
      <c r="K6460">
        <v>6.8172304281009094E-2</v>
      </c>
      <c r="L6460">
        <v>949.46240791312005</v>
      </c>
      <c r="M6460">
        <v>19.2400968570782</v>
      </c>
      <c r="N6460">
        <v>49.658142640823101</v>
      </c>
      <c r="O6460">
        <v>48.824281086607598</v>
      </c>
      <c r="P6460">
        <v>-9.2945083428989106E-2</v>
      </c>
      <c r="Q6460">
        <v>5.6594105884522697E-2</v>
      </c>
      <c r="R6460">
        <v>0.99905497341564797</v>
      </c>
      <c r="S6460" t="s">
        <v>13106</v>
      </c>
      <c r="T6460" t="s">
        <v>13290</v>
      </c>
      <c r="U6460" t="s">
        <v>13290</v>
      </c>
      <c r="V6460" t="s">
        <v>13290</v>
      </c>
      <c r="W6460" t="s">
        <v>19695</v>
      </c>
      <c r="X6460">
        <v>13</v>
      </c>
      <c r="Y6460" t="s">
        <v>26154</v>
      </c>
      <c r="Z6460" t="s">
        <v>32790</v>
      </c>
      <c r="AA6460">
        <v>0.36480068966936402</v>
      </c>
      <c r="AB6460" t="str">
        <f>HYPERLINK("Melting_Curves/meltCurve_Q9Y2Z2_4_MTO1.pdf", "Melting_Curves/meltCurve_Q9Y2Z2_4_MTO1.pdf")</f>
        <v>Melting_Curves/meltCurve_Q9Y2Z2_4_MTO1.pdf</v>
      </c>
    </row>
    <row r="6461" spans="1:28" x14ac:dyDescent="0.25">
      <c r="A6461" t="s">
        <v>6465</v>
      </c>
      <c r="B6461">
        <v>0.99252571173614901</v>
      </c>
      <c r="C6461">
        <v>0.94234929890472396</v>
      </c>
      <c r="D6461">
        <v>0.60967392389908903</v>
      </c>
      <c r="E6461">
        <v>0.28971022945869501</v>
      </c>
      <c r="F6461">
        <v>0.194225962284262</v>
      </c>
      <c r="G6461">
        <v>0.11789616004786101</v>
      </c>
      <c r="H6461">
        <v>8.3707222160672806E-2</v>
      </c>
      <c r="I6461">
        <v>7.9716156769729901E-2</v>
      </c>
      <c r="J6461">
        <v>8.4485623246693606E-2</v>
      </c>
      <c r="K6461">
        <v>7.5584450667692996E-2</v>
      </c>
      <c r="L6461">
        <v>1056.9467976398</v>
      </c>
      <c r="M6461">
        <v>22.5603246479638</v>
      </c>
      <c r="N6461">
        <v>47.265899035700301</v>
      </c>
      <c r="O6461">
        <v>46.486362670145297</v>
      </c>
      <c r="P6461">
        <v>-0.11040276779383799</v>
      </c>
      <c r="Q6461">
        <v>9.0062873871253696E-2</v>
      </c>
      <c r="R6461">
        <v>0.99525885846539497</v>
      </c>
      <c r="S6461" t="s">
        <v>13107</v>
      </c>
      <c r="T6461" t="s">
        <v>13290</v>
      </c>
      <c r="U6461" t="s">
        <v>13290</v>
      </c>
      <c r="V6461" t="s">
        <v>13290</v>
      </c>
      <c r="W6461" t="s">
        <v>19696</v>
      </c>
      <c r="X6461">
        <v>12</v>
      </c>
      <c r="Y6461" t="s">
        <v>26155</v>
      </c>
      <c r="Z6461" t="s">
        <v>32791</v>
      </c>
      <c r="AA6461">
        <v>0.3080720074450955</v>
      </c>
      <c r="AB6461" t="str">
        <f>HYPERLINK("Melting_Curves/meltCurve_Q9Y2Z4_YARS2.pdf", "Melting_Curves/meltCurve_Q9Y2Z4_YARS2.pdf")</f>
        <v>Melting_Curves/meltCurve_Q9Y2Z4_YARS2.pdf</v>
      </c>
    </row>
    <row r="6462" spans="1:28" x14ac:dyDescent="0.25">
      <c r="A6462" t="s">
        <v>6466</v>
      </c>
      <c r="B6462">
        <v>0.99252571173614901</v>
      </c>
      <c r="C6462">
        <v>0.98754029384478104</v>
      </c>
      <c r="D6462">
        <v>0.941056725163118</v>
      </c>
      <c r="E6462">
        <v>0.72542040441656197</v>
      </c>
      <c r="F6462">
        <v>0.71715863053252005</v>
      </c>
      <c r="G6462">
        <v>0.53427447475006495</v>
      </c>
      <c r="H6462">
        <v>0.200242669998345</v>
      </c>
      <c r="I6462">
        <v>6.86263721498859E-2</v>
      </c>
      <c r="J6462">
        <v>5.8192892697659898E-2</v>
      </c>
      <c r="K6462">
        <v>3.9145131909692099E-2</v>
      </c>
      <c r="L6462">
        <v>799.11734839553003</v>
      </c>
      <c r="M6462">
        <v>14.315460803461001</v>
      </c>
      <c r="N6462">
        <v>55.821971334172403</v>
      </c>
      <c r="O6462">
        <v>54.766577735280002</v>
      </c>
      <c r="P6462">
        <v>-6.5355540644364496E-2</v>
      </c>
      <c r="Q6462">
        <v>0</v>
      </c>
      <c r="R6462">
        <v>0.97514501307319701</v>
      </c>
      <c r="S6462" t="s">
        <v>13108</v>
      </c>
      <c r="T6462" t="s">
        <v>13290</v>
      </c>
      <c r="U6462" t="s">
        <v>13290</v>
      </c>
      <c r="V6462" t="s">
        <v>13290</v>
      </c>
      <c r="W6462" t="s">
        <v>19697</v>
      </c>
      <c r="X6462">
        <v>7</v>
      </c>
      <c r="Y6462" t="s">
        <v>26156</v>
      </c>
      <c r="Z6462" t="s">
        <v>32792</v>
      </c>
      <c r="AA6462">
        <v>0.54616817857927957</v>
      </c>
      <c r="AB6462" t="str">
        <f>HYPERLINK("Melting_Curves/meltCurve_Q9Y2Z9_3_COQ6.pdf", "Melting_Curves/meltCurve_Q9Y2Z9_3_COQ6.pdf")</f>
        <v>Melting_Curves/meltCurve_Q9Y2Z9_3_COQ6.pdf</v>
      </c>
    </row>
    <row r="6463" spans="1:28" x14ac:dyDescent="0.25">
      <c r="A6463" t="s">
        <v>6467</v>
      </c>
      <c r="B6463">
        <v>0.99252571173614901</v>
      </c>
      <c r="C6463">
        <v>0.97538168581834805</v>
      </c>
      <c r="D6463">
        <v>0.99103464360786098</v>
      </c>
      <c r="E6463">
        <v>0.97445458784940397</v>
      </c>
      <c r="F6463">
        <v>0.81212959372403204</v>
      </c>
      <c r="G6463">
        <v>0.49020760282305298</v>
      </c>
      <c r="H6463">
        <v>0.19005702941142999</v>
      </c>
      <c r="I6463">
        <v>0.108968632303565</v>
      </c>
      <c r="J6463">
        <v>0.113496395353662</v>
      </c>
      <c r="K6463">
        <v>0.111557062714328</v>
      </c>
      <c r="L6463">
        <v>1459.31523097477</v>
      </c>
      <c r="M6463">
        <v>26.0043547100531</v>
      </c>
      <c r="N6463">
        <v>56.563759001896997</v>
      </c>
      <c r="O6463">
        <v>55.789396924761299</v>
      </c>
      <c r="P6463">
        <v>-0.105736494825777</v>
      </c>
      <c r="Q6463">
        <v>9.2627752293687804E-2</v>
      </c>
      <c r="R6463">
        <v>0.99883713986465905</v>
      </c>
      <c r="S6463" t="s">
        <v>13109</v>
      </c>
      <c r="T6463" t="s">
        <v>13290</v>
      </c>
      <c r="U6463" t="s">
        <v>13290</v>
      </c>
      <c r="V6463" t="s">
        <v>13290</v>
      </c>
      <c r="W6463" t="s">
        <v>19698</v>
      </c>
      <c r="X6463">
        <v>11</v>
      </c>
      <c r="Y6463" t="s">
        <v>26157</v>
      </c>
      <c r="Z6463" t="s">
        <v>32793</v>
      </c>
      <c r="AA6463">
        <v>0.58791832128082544</v>
      </c>
      <c r="AB6463" t="str">
        <f>HYPERLINK("Melting_Curves/meltCurve_Q9Y303_AMDHD2.pdf", "Melting_Curves/meltCurve_Q9Y303_AMDHD2.pdf")</f>
        <v>Melting_Curves/meltCurve_Q9Y303_AMDHD2.pdf</v>
      </c>
    </row>
    <row r="6464" spans="1:28" x14ac:dyDescent="0.25">
      <c r="A6464" t="s">
        <v>6468</v>
      </c>
      <c r="B6464">
        <v>0.99252571173614901</v>
      </c>
      <c r="C6464">
        <v>0.93628863864372103</v>
      </c>
      <c r="D6464">
        <v>1.00800102625619</v>
      </c>
      <c r="E6464">
        <v>0.93119931177062598</v>
      </c>
      <c r="F6464">
        <v>0.30410026538912199</v>
      </c>
      <c r="G6464">
        <v>0.13014369291821101</v>
      </c>
      <c r="H6464">
        <v>8.3676682764471405E-2</v>
      </c>
      <c r="I6464">
        <v>9.7618709382019705E-2</v>
      </c>
      <c r="J6464">
        <v>0.11473912972575</v>
      </c>
      <c r="K6464">
        <v>0.113674411714034</v>
      </c>
      <c r="L6464">
        <v>2717.8243353053799</v>
      </c>
      <c r="M6464">
        <v>52.331842542020802</v>
      </c>
      <c r="N6464">
        <v>52.171040995889697</v>
      </c>
      <c r="O6464">
        <v>51.858761016561999</v>
      </c>
      <c r="P6464">
        <v>-0.225631108689229</v>
      </c>
      <c r="Q6464">
        <v>0.10563510400602</v>
      </c>
      <c r="R6464">
        <v>0.99694424623303102</v>
      </c>
      <c r="S6464" t="s">
        <v>13110</v>
      </c>
      <c r="T6464" t="s">
        <v>13290</v>
      </c>
      <c r="U6464" t="s">
        <v>13290</v>
      </c>
      <c r="V6464" t="s">
        <v>13290</v>
      </c>
      <c r="W6464" t="s">
        <v>19699</v>
      </c>
      <c r="X6464">
        <v>13</v>
      </c>
      <c r="Y6464" t="s">
        <v>26158</v>
      </c>
      <c r="Z6464" t="s">
        <v>32794</v>
      </c>
      <c r="AA6464">
        <v>0.46329557761411078</v>
      </c>
      <c r="AB6464" t="str">
        <f>HYPERLINK("Melting_Curves/meltCurve_Q9Y305_ACOT9.pdf", "Melting_Curves/meltCurve_Q9Y305_ACOT9.pdf")</f>
        <v>Melting_Curves/meltCurve_Q9Y305_ACOT9.pdf</v>
      </c>
    </row>
    <row r="6465" spans="1:28" x14ac:dyDescent="0.25">
      <c r="A6465" t="s">
        <v>6469</v>
      </c>
      <c r="B6465">
        <v>0.99252571173614901</v>
      </c>
      <c r="C6465">
        <v>1.0225955760148699</v>
      </c>
      <c r="D6465">
        <v>0.72678456906926703</v>
      </c>
      <c r="E6465">
        <v>0.216715180636259</v>
      </c>
      <c r="F6465">
        <v>0.13657912897281799</v>
      </c>
      <c r="G6465">
        <v>7.2783943566456399E-2</v>
      </c>
      <c r="H6465">
        <v>5.2572826697797198E-2</v>
      </c>
      <c r="I6465">
        <v>5.3868538907156399E-2</v>
      </c>
      <c r="J6465">
        <v>7.0250311315225897E-2</v>
      </c>
      <c r="K6465">
        <v>8.2240158063367694E-2</v>
      </c>
      <c r="L6465">
        <v>1658.1717816682101</v>
      </c>
      <c r="M6465">
        <v>35.124706222283599</v>
      </c>
      <c r="N6465">
        <v>47.424779641039699</v>
      </c>
      <c r="O6465">
        <v>47.055908226831299</v>
      </c>
      <c r="P6465">
        <v>-0.17277999903306901</v>
      </c>
      <c r="Q6465">
        <v>7.4122962193190797E-2</v>
      </c>
      <c r="R6465">
        <v>0.99622767482555796</v>
      </c>
      <c r="S6465" t="s">
        <v>13111</v>
      </c>
      <c r="T6465" t="s">
        <v>13290</v>
      </c>
      <c r="U6465" t="s">
        <v>13290</v>
      </c>
      <c r="V6465" t="s">
        <v>13290</v>
      </c>
      <c r="W6465" t="s">
        <v>19700</v>
      </c>
      <c r="X6465">
        <v>10</v>
      </c>
      <c r="Y6465" t="s">
        <v>26159</v>
      </c>
      <c r="Z6465" t="s">
        <v>32795</v>
      </c>
      <c r="AA6465">
        <v>0.30056377506634291</v>
      </c>
      <c r="AB6465" t="str">
        <f>HYPERLINK("Melting_Curves/meltCurve_Q9Y314_NOSIP.pdf", "Melting_Curves/meltCurve_Q9Y314_NOSIP.pdf")</f>
        <v>Melting_Curves/meltCurve_Q9Y314_NOSIP.pdf</v>
      </c>
    </row>
    <row r="6466" spans="1:28" x14ac:dyDescent="0.25">
      <c r="A6466" t="s">
        <v>6470</v>
      </c>
      <c r="B6466">
        <v>0.99252571173614901</v>
      </c>
      <c r="C6466">
        <v>0.99680042373853806</v>
      </c>
      <c r="D6466">
        <v>1.1493507296740899</v>
      </c>
      <c r="E6466">
        <v>1.05385087113732</v>
      </c>
      <c r="F6466">
        <v>1.17416344126554</v>
      </c>
      <c r="G6466">
        <v>0.99588309201410896</v>
      </c>
      <c r="H6466">
        <v>1.0935057110414299</v>
      </c>
      <c r="I6466">
        <v>1.31834525837101</v>
      </c>
      <c r="J6466">
        <v>0.99225218211159905</v>
      </c>
      <c r="K6466">
        <v>0.30581414164484699</v>
      </c>
      <c r="L6466">
        <v>9354.14231206771</v>
      </c>
      <c r="M6466">
        <v>134.510955737545</v>
      </c>
      <c r="N6466">
        <v>69.561030553836204</v>
      </c>
      <c r="O6466">
        <v>69.526494091959805</v>
      </c>
      <c r="P6466">
        <v>-0.47486814294172303</v>
      </c>
      <c r="Q6466">
        <v>1.8193986948951801E-2</v>
      </c>
      <c r="R6466">
        <v>0.74392715655431696</v>
      </c>
      <c r="S6466" t="s">
        <v>13112</v>
      </c>
      <c r="T6466" t="s">
        <v>13290</v>
      </c>
      <c r="U6466" t="s">
        <v>13290</v>
      </c>
      <c r="V6466" t="s">
        <v>13290</v>
      </c>
      <c r="W6466" t="s">
        <v>19701</v>
      </c>
      <c r="X6466">
        <v>7</v>
      </c>
      <c r="Y6466" t="s">
        <v>26160</v>
      </c>
      <c r="Z6466" t="s">
        <v>32796</v>
      </c>
      <c r="AA6466">
        <v>0.97937477073590185</v>
      </c>
      <c r="AB6466" t="str">
        <f>HYPERLINK("Melting_Curves/meltCurve_Q9Y315_DERA.pdf", "Melting_Curves/meltCurve_Q9Y315_DERA.pdf")</f>
        <v>Melting_Curves/meltCurve_Q9Y315_DERA.pdf</v>
      </c>
    </row>
    <row r="6467" spans="1:28" x14ac:dyDescent="0.25">
      <c r="A6467" t="s">
        <v>6471</v>
      </c>
      <c r="B6467">
        <v>0.99252571173614901</v>
      </c>
      <c r="C6467">
        <v>1.0696950111950101</v>
      </c>
      <c r="D6467">
        <v>0.97912569753453904</v>
      </c>
      <c r="E6467">
        <v>0.76298661067264895</v>
      </c>
      <c r="F6467">
        <v>0.38378014668663502</v>
      </c>
      <c r="G6467">
        <v>0.164494125413258</v>
      </c>
      <c r="H6467">
        <v>0.11152821668120801</v>
      </c>
      <c r="I6467">
        <v>0.114599837843227</v>
      </c>
      <c r="J6467">
        <v>0.126515325285011</v>
      </c>
      <c r="K6467">
        <v>0.114055337446386</v>
      </c>
      <c r="L6467">
        <v>1437.41755499138</v>
      </c>
      <c r="M6467">
        <v>27.898992948973302</v>
      </c>
      <c r="N6467">
        <v>51.992669368525597</v>
      </c>
      <c r="O6467">
        <v>51.259672601548097</v>
      </c>
      <c r="P6467">
        <v>-0.120889396360152</v>
      </c>
      <c r="Q6467">
        <v>0.111552591823027</v>
      </c>
      <c r="R6467">
        <v>0.99609075486723397</v>
      </c>
      <c r="S6467" t="s">
        <v>13113</v>
      </c>
      <c r="T6467" t="s">
        <v>13290</v>
      </c>
      <c r="U6467" t="s">
        <v>13290</v>
      </c>
      <c r="V6467" t="s">
        <v>13290</v>
      </c>
      <c r="W6467" t="s">
        <v>19702</v>
      </c>
      <c r="X6467">
        <v>13</v>
      </c>
      <c r="Y6467" t="s">
        <v>26161</v>
      </c>
      <c r="Z6467" t="s">
        <v>32797</v>
      </c>
      <c r="AA6467">
        <v>0.4592890959000171</v>
      </c>
      <c r="AB6467" t="str">
        <f>HYPERLINK("Melting_Curves/meltCurve_Q9Y316_MEMO1.pdf", "Melting_Curves/meltCurve_Q9Y316_MEMO1.pdf")</f>
        <v>Melting_Curves/meltCurve_Q9Y316_MEMO1.pdf</v>
      </c>
    </row>
    <row r="6468" spans="1:28" x14ac:dyDescent="0.25">
      <c r="A6468" t="s">
        <v>6472</v>
      </c>
      <c r="B6468">
        <v>0.99252571173614901</v>
      </c>
      <c r="C6468">
        <v>0.87930217428572799</v>
      </c>
      <c r="D6468">
        <v>0.79267801258153203</v>
      </c>
      <c r="E6468">
        <v>0.64486519288824895</v>
      </c>
      <c r="F6468">
        <v>0.38744848175379298</v>
      </c>
      <c r="G6468">
        <v>0.197328014444238</v>
      </c>
      <c r="H6468">
        <v>6.6884130574603004E-2</v>
      </c>
      <c r="I6468">
        <v>5.1200439998126103E-2</v>
      </c>
      <c r="J6468">
        <v>4.1180439165786897E-2</v>
      </c>
      <c r="K6468">
        <v>4.9211285463677201E-2</v>
      </c>
      <c r="L6468">
        <v>686.08576522886403</v>
      </c>
      <c r="M6468">
        <v>13.4084911202734</v>
      </c>
      <c r="N6468">
        <v>51.168006878408598</v>
      </c>
      <c r="O6468">
        <v>50.070101137106498</v>
      </c>
      <c r="P6468">
        <v>-6.69590979691118E-2</v>
      </c>
      <c r="Q6468">
        <v>0</v>
      </c>
      <c r="R6468">
        <v>0.99418316951713104</v>
      </c>
      <c r="S6468" t="s">
        <v>13114</v>
      </c>
      <c r="T6468" t="s">
        <v>13290</v>
      </c>
      <c r="U6468" t="s">
        <v>13290</v>
      </c>
      <c r="V6468" t="s">
        <v>13290</v>
      </c>
      <c r="W6468" t="s">
        <v>19703</v>
      </c>
      <c r="X6468">
        <v>4</v>
      </c>
      <c r="Y6468" t="s">
        <v>26162</v>
      </c>
      <c r="Z6468" t="s">
        <v>32798</v>
      </c>
      <c r="AA6468">
        <v>0.39970146695020681</v>
      </c>
      <c r="AB6468" t="str">
        <f>HYPERLINK("Melting_Curves/meltCurve_Q9Y320_2_TMX2.pdf", "Melting_Curves/meltCurve_Q9Y320_2_TMX2.pdf")</f>
        <v>Melting_Curves/meltCurve_Q9Y320_2_TMX2.pdf</v>
      </c>
    </row>
    <row r="6469" spans="1:28" x14ac:dyDescent="0.25">
      <c r="A6469" t="s">
        <v>6473</v>
      </c>
      <c r="B6469">
        <v>0.99252571173614901</v>
      </c>
      <c r="C6469">
        <v>1.06094388611668</v>
      </c>
      <c r="D6469">
        <v>1.0807958405565701</v>
      </c>
      <c r="E6469">
        <v>0.96581366339572805</v>
      </c>
      <c r="F6469">
        <v>1.11251566399758</v>
      </c>
      <c r="G6469">
        <v>0.91433283535554599</v>
      </c>
      <c r="H6469">
        <v>0.84826107243708404</v>
      </c>
      <c r="I6469">
        <v>1.06925083950885</v>
      </c>
      <c r="J6469">
        <v>1.4094549768099001</v>
      </c>
      <c r="K6469">
        <v>1.3927062647625399</v>
      </c>
      <c r="L6469">
        <v>15000</v>
      </c>
      <c r="M6469">
        <v>232.80813875842301</v>
      </c>
      <c r="O6469">
        <v>64.425973026675194</v>
      </c>
      <c r="P6469">
        <v>0.36235019185584399</v>
      </c>
      <c r="Q6469">
        <v>1.40109881513763</v>
      </c>
      <c r="R6469">
        <v>0.82347700491255504</v>
      </c>
      <c r="S6469" t="s">
        <v>13115</v>
      </c>
      <c r="T6469" t="s">
        <v>13290</v>
      </c>
      <c r="U6469" t="s">
        <v>13290</v>
      </c>
      <c r="V6469" t="s">
        <v>13290</v>
      </c>
      <c r="W6469" t="s">
        <v>19704</v>
      </c>
      <c r="X6469">
        <v>7</v>
      </c>
      <c r="Y6469" t="s">
        <v>26163</v>
      </c>
      <c r="Z6469" t="s">
        <v>32799</v>
      </c>
      <c r="AA6469">
        <v>1.074408522337736</v>
      </c>
      <c r="AB6469" t="str">
        <f>HYPERLINK("Melting_Curves/meltCurve_Q9Y333_LSM2.pdf", "Melting_Curves/meltCurve_Q9Y333_LSM2.pdf")</f>
        <v>Melting_Curves/meltCurve_Q9Y333_LSM2.pdf</v>
      </c>
    </row>
    <row r="6470" spans="1:28" x14ac:dyDescent="0.25">
      <c r="A6470" t="s">
        <v>6474</v>
      </c>
      <c r="B6470">
        <v>0.99252571173614901</v>
      </c>
      <c r="C6470">
        <v>0.96133944031224094</v>
      </c>
      <c r="D6470">
        <v>0.55261683762228597</v>
      </c>
      <c r="E6470">
        <v>0.20496245010126901</v>
      </c>
      <c r="F6470">
        <v>9.30138041602281E-2</v>
      </c>
      <c r="G6470">
        <v>5.0431277542336402E-2</v>
      </c>
      <c r="H6470">
        <v>4.6014812394976401E-2</v>
      </c>
      <c r="I6470">
        <v>3.81768193827643E-2</v>
      </c>
      <c r="J6470">
        <v>4.1569590169829702E-2</v>
      </c>
      <c r="K6470">
        <v>4.6830067412416E-2</v>
      </c>
      <c r="L6470">
        <v>1323.1777365221801</v>
      </c>
      <c r="M6470">
        <v>28.5226303526781</v>
      </c>
      <c r="N6470">
        <v>46.561330593868902</v>
      </c>
      <c r="O6470">
        <v>46.164228330300197</v>
      </c>
      <c r="P6470">
        <v>-0.14678852055698799</v>
      </c>
      <c r="Q6470">
        <v>4.9691779330753402E-2</v>
      </c>
      <c r="R6470">
        <v>0.99682851370853598</v>
      </c>
      <c r="S6470" t="s">
        <v>13116</v>
      </c>
      <c r="T6470" t="s">
        <v>13290</v>
      </c>
      <c r="U6470" t="s">
        <v>13290</v>
      </c>
      <c r="V6470" t="s">
        <v>13290</v>
      </c>
      <c r="W6470" t="s">
        <v>19705</v>
      </c>
      <c r="X6470">
        <v>12</v>
      </c>
      <c r="Y6470" t="s">
        <v>26164</v>
      </c>
      <c r="Z6470" t="s">
        <v>32800</v>
      </c>
      <c r="AA6470">
        <v>0.2585382792455197</v>
      </c>
      <c r="AB6470" t="str">
        <f>HYPERLINK("Melting_Curves/meltCurve_Q9Y371_SH3GLB1.pdf", "Melting_Curves/meltCurve_Q9Y371_SH3GLB1.pdf")</f>
        <v>Melting_Curves/meltCurve_Q9Y371_SH3GLB1.pdf</v>
      </c>
    </row>
    <row r="6471" spans="1:28" x14ac:dyDescent="0.25">
      <c r="A6471" t="s">
        <v>6475</v>
      </c>
      <c r="B6471">
        <v>0.99252571173614901</v>
      </c>
      <c r="C6471">
        <v>0.87451463979364796</v>
      </c>
      <c r="D6471">
        <v>0.79437046902806496</v>
      </c>
      <c r="E6471">
        <v>0.64154389448160298</v>
      </c>
      <c r="F6471">
        <v>0.63128202803135902</v>
      </c>
      <c r="G6471">
        <v>0.47005858148450602</v>
      </c>
      <c r="H6471">
        <v>0.29866667034574701</v>
      </c>
      <c r="I6471">
        <v>0.19323722834854901</v>
      </c>
      <c r="J6471">
        <v>0.16887987651380701</v>
      </c>
      <c r="K6471">
        <v>0.156115815843653</v>
      </c>
      <c r="L6471">
        <v>438.61696684909703</v>
      </c>
      <c r="M6471">
        <v>8.0121789223139999</v>
      </c>
      <c r="N6471">
        <v>54.743780784225898</v>
      </c>
      <c r="O6471">
        <v>51.649336070462198</v>
      </c>
      <c r="P6471">
        <v>-3.8825227837697603E-2</v>
      </c>
      <c r="Q6471">
        <v>0</v>
      </c>
      <c r="R6471">
        <v>0.98155343076135804</v>
      </c>
      <c r="S6471" t="s">
        <v>13117</v>
      </c>
      <c r="T6471" t="s">
        <v>13290</v>
      </c>
      <c r="U6471" t="s">
        <v>13290</v>
      </c>
      <c r="V6471" t="s">
        <v>13290</v>
      </c>
      <c r="W6471" t="s">
        <v>19706</v>
      </c>
      <c r="X6471">
        <v>4</v>
      </c>
      <c r="Y6471" t="s">
        <v>26165</v>
      </c>
      <c r="Z6471" t="s">
        <v>32801</v>
      </c>
      <c r="AA6471">
        <v>0.52042793875813798</v>
      </c>
      <c r="AB6471" t="str">
        <f>HYPERLINK("Melting_Curves/meltCurve_Q9Y375_NDUFAF1.pdf", "Melting_Curves/meltCurve_Q9Y375_NDUFAF1.pdf")</f>
        <v>Melting_Curves/meltCurve_Q9Y375_NDUFAF1.pdf</v>
      </c>
    </row>
    <row r="6472" spans="1:28" x14ac:dyDescent="0.25">
      <c r="A6472" t="s">
        <v>6476</v>
      </c>
      <c r="B6472">
        <v>0.99252571173614901</v>
      </c>
      <c r="C6472">
        <v>1.07479754830564</v>
      </c>
      <c r="D6472">
        <v>0.98709498474698099</v>
      </c>
      <c r="E6472">
        <v>0.87194694173467402</v>
      </c>
      <c r="F6472">
        <v>0.76451920256716399</v>
      </c>
      <c r="G6472">
        <v>0.48665261070606702</v>
      </c>
      <c r="H6472">
        <v>0.14836791432808999</v>
      </c>
      <c r="I6472">
        <v>0.117826108426954</v>
      </c>
      <c r="J6472">
        <v>0.117374626975759</v>
      </c>
      <c r="K6472">
        <v>9.9416247822550097E-2</v>
      </c>
      <c r="L6472">
        <v>1178.2698588018</v>
      </c>
      <c r="M6472">
        <v>21.122345725754499</v>
      </c>
      <c r="N6472">
        <v>56.181574111136001</v>
      </c>
      <c r="O6472">
        <v>55.2903180107173</v>
      </c>
      <c r="P6472">
        <v>-8.8864853882969705E-2</v>
      </c>
      <c r="Q6472">
        <v>6.9565981399575899E-2</v>
      </c>
      <c r="R6472">
        <v>0.98950938167789304</v>
      </c>
      <c r="S6472" t="s">
        <v>13118</v>
      </c>
      <c r="T6472" t="s">
        <v>13290</v>
      </c>
      <c r="U6472" t="s">
        <v>13290</v>
      </c>
      <c r="V6472" t="s">
        <v>13290</v>
      </c>
      <c r="W6472" t="s">
        <v>19707</v>
      </c>
      <c r="X6472">
        <v>16</v>
      </c>
      <c r="Y6472" t="s">
        <v>26166</v>
      </c>
      <c r="Z6472" t="s">
        <v>32802</v>
      </c>
      <c r="AA6472">
        <v>0.57024872566108975</v>
      </c>
      <c r="AB6472" t="str">
        <f>HYPERLINK("Melting_Curves/meltCurve_Q9Y376_CAB39.pdf", "Melting_Curves/meltCurve_Q9Y376_CAB39.pdf")</f>
        <v>Melting_Curves/meltCurve_Q9Y376_CAB39.pdf</v>
      </c>
    </row>
    <row r="6473" spans="1:28" x14ac:dyDescent="0.25">
      <c r="A6473" t="s">
        <v>6477</v>
      </c>
      <c r="B6473">
        <v>0.99252571173614901</v>
      </c>
      <c r="C6473">
        <v>0.97069691744733799</v>
      </c>
      <c r="D6473">
        <v>0.86382487609599801</v>
      </c>
      <c r="E6473">
        <v>0.61674644891085795</v>
      </c>
      <c r="F6473">
        <v>0.16674473333856701</v>
      </c>
      <c r="G6473">
        <v>9.17526041445791E-2</v>
      </c>
      <c r="H6473">
        <v>7.2756196749539703E-2</v>
      </c>
      <c r="I6473">
        <v>6.2914611455764005E-2</v>
      </c>
      <c r="J6473">
        <v>6.2644691699601199E-2</v>
      </c>
      <c r="K6473">
        <v>6.7368080018461299E-2</v>
      </c>
      <c r="L6473">
        <v>1361.80340865382</v>
      </c>
      <c r="M6473">
        <v>27.256129550758001</v>
      </c>
      <c r="N6473">
        <v>50.190648104003799</v>
      </c>
      <c r="O6473">
        <v>49.6965726095845</v>
      </c>
      <c r="P6473">
        <v>-0.12914817922163399</v>
      </c>
      <c r="Q6473">
        <v>5.80966050340921E-2</v>
      </c>
      <c r="R6473">
        <v>0.99549615516996703</v>
      </c>
      <c r="S6473" t="s">
        <v>13119</v>
      </c>
      <c r="T6473" t="s">
        <v>13290</v>
      </c>
      <c r="U6473" t="s">
        <v>13290</v>
      </c>
      <c r="V6473" t="s">
        <v>13290</v>
      </c>
      <c r="W6473" t="s">
        <v>19708</v>
      </c>
      <c r="X6473">
        <v>33</v>
      </c>
      <c r="Y6473" t="s">
        <v>26167</v>
      </c>
      <c r="Z6473" t="s">
        <v>32803</v>
      </c>
      <c r="AA6473">
        <v>0.37797826016151098</v>
      </c>
      <c r="AB6473" t="str">
        <f>HYPERLINK("Melting_Curves/meltCurve_Q9Y383_LUC7L2.pdf", "Melting_Curves/meltCurve_Q9Y383_LUC7L2.pdf")</f>
        <v>Melting_Curves/meltCurve_Q9Y383_LUC7L2.pdf</v>
      </c>
    </row>
    <row r="6474" spans="1:28" x14ac:dyDescent="0.25">
      <c r="A6474" t="s">
        <v>6478</v>
      </c>
      <c r="B6474">
        <v>0.99252571173614901</v>
      </c>
      <c r="C6474">
        <v>1.0346335679690899</v>
      </c>
      <c r="D6474">
        <v>0.86254752179639804</v>
      </c>
      <c r="E6474">
        <v>0.59382847832430896</v>
      </c>
      <c r="F6474">
        <v>0.14229262132019099</v>
      </c>
      <c r="G6474">
        <v>0.112394506532981</v>
      </c>
      <c r="H6474">
        <v>7.1876024441594799E-2</v>
      </c>
      <c r="I6474">
        <v>6.64684226204761E-2</v>
      </c>
      <c r="J6474">
        <v>0.101197370102701</v>
      </c>
      <c r="K6474">
        <v>7.9739469904638594E-2</v>
      </c>
      <c r="L6474">
        <v>1492.1096689736601</v>
      </c>
      <c r="M6474">
        <v>29.998649357523099</v>
      </c>
      <c r="N6474">
        <v>50.010246820946001</v>
      </c>
      <c r="O6474">
        <v>49.519769184996299</v>
      </c>
      <c r="P6474">
        <v>-0.14008722704403601</v>
      </c>
      <c r="Q6474">
        <v>7.5019431306335094E-2</v>
      </c>
      <c r="R6474">
        <v>0.99325913303792301</v>
      </c>
      <c r="S6474" t="s">
        <v>13120</v>
      </c>
      <c r="T6474" t="s">
        <v>13290</v>
      </c>
      <c r="U6474" t="s">
        <v>13290</v>
      </c>
      <c r="V6474" t="s">
        <v>13290</v>
      </c>
      <c r="W6474" t="s">
        <v>19709</v>
      </c>
      <c r="X6474">
        <v>1</v>
      </c>
      <c r="Y6474" t="s">
        <v>26168</v>
      </c>
      <c r="Z6474" t="s">
        <v>32804</v>
      </c>
      <c r="AA6474">
        <v>0.38100377033271882</v>
      </c>
      <c r="AB6474" t="str">
        <f>HYPERLINK("Melting_Curves/meltCurve_Q9Y385_UBE2J1.pdf", "Melting_Curves/meltCurve_Q9Y385_UBE2J1.pdf")</f>
        <v>Melting_Curves/meltCurve_Q9Y385_UBE2J1.pdf</v>
      </c>
    </row>
    <row r="6475" spans="1:28" x14ac:dyDescent="0.25">
      <c r="A6475" t="s">
        <v>6479</v>
      </c>
      <c r="B6475">
        <v>0.99252571173614901</v>
      </c>
      <c r="C6475">
        <v>0.99155750712011803</v>
      </c>
      <c r="D6475">
        <v>0.79487363157679503</v>
      </c>
      <c r="E6475">
        <v>0.5969070738408</v>
      </c>
      <c r="F6475">
        <v>0.43082938894632</v>
      </c>
      <c r="G6475">
        <v>0.28814953555470102</v>
      </c>
      <c r="H6475">
        <v>0.22781872844956599</v>
      </c>
      <c r="I6475">
        <v>0.25073298235680103</v>
      </c>
      <c r="J6475">
        <v>0.26763578680964201</v>
      </c>
      <c r="K6475">
        <v>0.27805576707172203</v>
      </c>
      <c r="L6475">
        <v>881.29662517321799</v>
      </c>
      <c r="M6475">
        <v>17.925864352636498</v>
      </c>
      <c r="N6475">
        <v>51.092950857654898</v>
      </c>
      <c r="O6475">
        <v>48.563824977963002</v>
      </c>
      <c r="P6475">
        <v>-6.95897007431166E-2</v>
      </c>
      <c r="Q6475">
        <v>0.245922542480112</v>
      </c>
      <c r="R6475">
        <v>0.99160613284459698</v>
      </c>
      <c r="S6475" t="s">
        <v>13121</v>
      </c>
      <c r="T6475" t="s">
        <v>13290</v>
      </c>
      <c r="U6475" t="s">
        <v>13290</v>
      </c>
      <c r="V6475" t="s">
        <v>13290</v>
      </c>
      <c r="W6475" t="s">
        <v>19710</v>
      </c>
      <c r="X6475">
        <v>4</v>
      </c>
      <c r="Y6475" t="s">
        <v>26169</v>
      </c>
      <c r="Z6475" t="s">
        <v>32805</v>
      </c>
      <c r="AA6475">
        <v>0.48938240789085241</v>
      </c>
      <c r="AB6475" t="str">
        <f>HYPERLINK("Melting_Curves/meltCurve_Q9Y388_RBMX2.pdf", "Melting_Curves/meltCurve_Q9Y388_RBMX2.pdf")</f>
        <v>Melting_Curves/meltCurve_Q9Y388_RBMX2.pdf</v>
      </c>
    </row>
    <row r="6476" spans="1:28" x14ac:dyDescent="0.25">
      <c r="A6476" t="s">
        <v>6480</v>
      </c>
      <c r="B6476">
        <v>0.99252571173614901</v>
      </c>
      <c r="C6476">
        <v>0.97741002395204002</v>
      </c>
      <c r="D6476">
        <v>0.96150759915252404</v>
      </c>
      <c r="E6476">
        <v>0.97712727991817605</v>
      </c>
      <c r="F6476">
        <v>0.683119355647263</v>
      </c>
      <c r="G6476">
        <v>0.59192344733066904</v>
      </c>
      <c r="H6476">
        <v>0.29373946616505497</v>
      </c>
      <c r="I6476">
        <v>0.14404420982781599</v>
      </c>
      <c r="J6476">
        <v>0.10230054431600601</v>
      </c>
      <c r="K6476">
        <v>9.5845097577373806E-2</v>
      </c>
      <c r="L6476">
        <v>880.86539851069597</v>
      </c>
      <c r="M6476">
        <v>15.408344325326</v>
      </c>
      <c r="N6476">
        <v>57.3004914037055</v>
      </c>
      <c r="O6476">
        <v>56.231108459455101</v>
      </c>
      <c r="P6476">
        <v>-6.7312492835618298E-2</v>
      </c>
      <c r="Q6476">
        <v>1.7490294189686301E-2</v>
      </c>
      <c r="R6476">
        <v>0.98834194084584603</v>
      </c>
      <c r="S6476" t="s">
        <v>13122</v>
      </c>
      <c r="T6476" t="s">
        <v>13290</v>
      </c>
      <c r="U6476" t="s">
        <v>13290</v>
      </c>
      <c r="V6476" t="s">
        <v>13290</v>
      </c>
      <c r="W6476" t="s">
        <v>19711</v>
      </c>
      <c r="X6476">
        <v>16</v>
      </c>
      <c r="Y6476" t="s">
        <v>26170</v>
      </c>
      <c r="Z6476" t="s">
        <v>32806</v>
      </c>
      <c r="AA6476">
        <v>0.59471159892599634</v>
      </c>
      <c r="AB6476" t="str">
        <f>HYPERLINK("Melting_Curves/meltCurve_Q9Y394_2_DHRS7.pdf", "Melting_Curves/meltCurve_Q9Y394_2_DHRS7.pdf")</f>
        <v>Melting_Curves/meltCurve_Q9Y394_2_DHRS7.pdf</v>
      </c>
    </row>
    <row r="6477" spans="1:28" x14ac:dyDescent="0.25">
      <c r="A6477" t="s">
        <v>6481</v>
      </c>
      <c r="B6477">
        <v>0.99252571173614901</v>
      </c>
      <c r="C6477">
        <v>0.97355966375987701</v>
      </c>
      <c r="D6477">
        <v>1.0949569936024</v>
      </c>
      <c r="E6477">
        <v>0.35260478215861402</v>
      </c>
      <c r="F6477">
        <v>0.16104562842657499</v>
      </c>
      <c r="G6477">
        <v>8.9610565550765603E-2</v>
      </c>
      <c r="H6477">
        <v>7.2817389600621493E-2</v>
      </c>
      <c r="I6477">
        <v>7.7017122664431101E-2</v>
      </c>
      <c r="J6477">
        <v>0.10695977151177199</v>
      </c>
      <c r="K6477">
        <v>0.10275654414729</v>
      </c>
      <c r="L6477">
        <v>11879.9187907959</v>
      </c>
      <c r="M6477">
        <v>240.46237963357899</v>
      </c>
      <c r="N6477">
        <v>49.451232678185399</v>
      </c>
      <c r="O6477">
        <v>49.401074956984999</v>
      </c>
      <c r="P6477">
        <v>-1.093129707498</v>
      </c>
      <c r="Q6477">
        <v>0.101701162281524</v>
      </c>
      <c r="R6477">
        <v>0.99125004246167103</v>
      </c>
      <c r="S6477" t="s">
        <v>13123</v>
      </c>
      <c r="T6477" t="s">
        <v>13290</v>
      </c>
      <c r="U6477" t="s">
        <v>13290</v>
      </c>
      <c r="V6477" t="s">
        <v>13290</v>
      </c>
      <c r="W6477" t="s">
        <v>19712</v>
      </c>
      <c r="X6477">
        <v>2</v>
      </c>
      <c r="Y6477" t="s">
        <v>26171</v>
      </c>
      <c r="Z6477" t="s">
        <v>32807</v>
      </c>
      <c r="AA6477">
        <v>0.38338646181719721</v>
      </c>
      <c r="AB6477" t="str">
        <f>HYPERLINK("Melting_Curves/meltCurve_Q9Y399_MRPS2.pdf", "Melting_Curves/meltCurve_Q9Y399_MRPS2.pdf")</f>
        <v>Melting_Curves/meltCurve_Q9Y399_MRPS2.pdf</v>
      </c>
    </row>
    <row r="6478" spans="1:28" x14ac:dyDescent="0.25">
      <c r="A6478" t="s">
        <v>6482</v>
      </c>
      <c r="B6478">
        <v>0.99252571173614901</v>
      </c>
      <c r="C6478">
        <v>0.86287704359989503</v>
      </c>
      <c r="D6478">
        <v>0.54883573877053005</v>
      </c>
      <c r="E6478">
        <v>0.29583059525988098</v>
      </c>
      <c r="F6478">
        <v>0.21679682421000801</v>
      </c>
      <c r="G6478">
        <v>0.14245819642761201</v>
      </c>
      <c r="H6478">
        <v>0.163657934940834</v>
      </c>
      <c r="I6478">
        <v>0.15422572141020599</v>
      </c>
      <c r="J6478">
        <v>6.25624696525484E-2</v>
      </c>
      <c r="K6478">
        <v>6.0765894478258101E-2</v>
      </c>
      <c r="L6478">
        <v>912.16572767454602</v>
      </c>
      <c r="M6478">
        <v>19.737520452906899</v>
      </c>
      <c r="N6478">
        <v>46.8343561599292</v>
      </c>
      <c r="O6478">
        <v>45.7482494847658</v>
      </c>
      <c r="P6478">
        <v>-9.5470168871027106E-2</v>
      </c>
      <c r="Q6478">
        <v>0.11489522056325301</v>
      </c>
      <c r="R6478">
        <v>0.98733054262862496</v>
      </c>
      <c r="S6478" t="s">
        <v>13124</v>
      </c>
      <c r="T6478" t="s">
        <v>13290</v>
      </c>
      <c r="U6478" t="s">
        <v>13290</v>
      </c>
      <c r="V6478" t="s">
        <v>13290</v>
      </c>
      <c r="W6478" t="s">
        <v>19713</v>
      </c>
      <c r="X6478">
        <v>2</v>
      </c>
      <c r="Y6478" t="s">
        <v>26172</v>
      </c>
      <c r="Z6478" t="s">
        <v>32808</v>
      </c>
      <c r="AA6478">
        <v>0.31215263278808281</v>
      </c>
      <c r="AB6478" t="str">
        <f>HYPERLINK("Melting_Curves/meltCurve_Q9Y3A0_2_COQ4.pdf", "Melting_Curves/meltCurve_Q9Y3A0_2_COQ4.pdf")</f>
        <v>Melting_Curves/meltCurve_Q9Y3A0_2_COQ4.pdf</v>
      </c>
    </row>
    <row r="6479" spans="1:28" x14ac:dyDescent="0.25">
      <c r="A6479" t="s">
        <v>6483</v>
      </c>
      <c r="B6479">
        <v>0.99252571173614901</v>
      </c>
      <c r="C6479">
        <v>0.97262241502294899</v>
      </c>
      <c r="D6479">
        <v>0.98305724781110604</v>
      </c>
      <c r="E6479">
        <v>0.82383973526474397</v>
      </c>
      <c r="F6479">
        <v>0.60529888104669305</v>
      </c>
      <c r="G6479">
        <v>0.34051659731355799</v>
      </c>
      <c r="H6479">
        <v>0.23098104058293001</v>
      </c>
      <c r="I6479">
        <v>0.19385810191392799</v>
      </c>
      <c r="J6479">
        <v>0.16160708391308601</v>
      </c>
      <c r="K6479">
        <v>0.149320494241515</v>
      </c>
      <c r="L6479">
        <v>1010.66682081905</v>
      </c>
      <c r="M6479">
        <v>18.916472961376499</v>
      </c>
      <c r="N6479">
        <v>54.426745454025202</v>
      </c>
      <c r="O6479">
        <v>52.841534890619201</v>
      </c>
      <c r="P6479">
        <v>-7.6374164672141004E-2</v>
      </c>
      <c r="Q6479">
        <v>0.14665624479076</v>
      </c>
      <c r="R6479">
        <v>0.998544898154337</v>
      </c>
      <c r="S6479" t="s">
        <v>13125</v>
      </c>
      <c r="T6479" t="s">
        <v>13290</v>
      </c>
      <c r="U6479" t="s">
        <v>13290</v>
      </c>
      <c r="V6479" t="s">
        <v>13290</v>
      </c>
      <c r="W6479" t="s">
        <v>19714</v>
      </c>
      <c r="X6479">
        <v>7</v>
      </c>
      <c r="Y6479" t="s">
        <v>26173</v>
      </c>
      <c r="Z6479" t="s">
        <v>32809</v>
      </c>
      <c r="AA6479">
        <v>0.54141298303440588</v>
      </c>
      <c r="AB6479" t="str">
        <f>HYPERLINK("Melting_Curves/meltCurve_Q9Y3A3_3_MOB4.pdf", "Melting_Curves/meltCurve_Q9Y3A3_3_MOB4.pdf")</f>
        <v>Melting_Curves/meltCurve_Q9Y3A3_3_MOB4.pdf</v>
      </c>
    </row>
    <row r="6480" spans="1:28" x14ac:dyDescent="0.25">
      <c r="A6480" t="s">
        <v>6484</v>
      </c>
      <c r="B6480">
        <v>0.99252571173614901</v>
      </c>
      <c r="C6480">
        <v>1.0349503489555101</v>
      </c>
      <c r="D6480">
        <v>0.87018191881056295</v>
      </c>
      <c r="E6480">
        <v>0.49302550627878</v>
      </c>
      <c r="F6480">
        <v>0.14924833220960201</v>
      </c>
      <c r="G6480">
        <v>8.5266338265331004E-2</v>
      </c>
      <c r="H6480">
        <v>5.9035322694779901E-2</v>
      </c>
      <c r="I6480">
        <v>5.7054700267174699E-2</v>
      </c>
      <c r="J6480">
        <v>6.5331471788146897E-2</v>
      </c>
      <c r="K6480">
        <v>6.0400334183534403E-2</v>
      </c>
      <c r="L6480">
        <v>1407.4141751060899</v>
      </c>
      <c r="M6480">
        <v>28.570528216582701</v>
      </c>
      <c r="N6480">
        <v>49.4776792206275</v>
      </c>
      <c r="O6480">
        <v>49.021630925030102</v>
      </c>
      <c r="P6480">
        <v>-0.13713873463039</v>
      </c>
      <c r="Q6480">
        <v>5.8791219605459903E-2</v>
      </c>
      <c r="R6480">
        <v>0.99807860037928098</v>
      </c>
      <c r="S6480" t="s">
        <v>13126</v>
      </c>
      <c r="T6480" t="s">
        <v>13290</v>
      </c>
      <c r="U6480" t="s">
        <v>13290</v>
      </c>
      <c r="V6480" t="s">
        <v>13290</v>
      </c>
      <c r="W6480" t="s">
        <v>19715</v>
      </c>
      <c r="X6480">
        <v>15</v>
      </c>
      <c r="Y6480" t="s">
        <v>26174</v>
      </c>
      <c r="Z6480" t="s">
        <v>32810</v>
      </c>
      <c r="AA6480">
        <v>0.35570208259147668</v>
      </c>
      <c r="AB6480" t="str">
        <f>HYPERLINK("Melting_Curves/meltCurve_Q9Y3A5_SBDS.pdf", "Melting_Curves/meltCurve_Q9Y3A5_SBDS.pdf")</f>
        <v>Melting_Curves/meltCurve_Q9Y3A5_SBDS.pdf</v>
      </c>
    </row>
    <row r="6481" spans="1:28" x14ac:dyDescent="0.25">
      <c r="A6481" t="s">
        <v>6485</v>
      </c>
      <c r="B6481">
        <v>0.99252571173614901</v>
      </c>
      <c r="C6481">
        <v>0.85992099104577902</v>
      </c>
      <c r="D6481">
        <v>0.75996229200669896</v>
      </c>
      <c r="E6481">
        <v>0.56204250304317305</v>
      </c>
      <c r="F6481">
        <v>0.24117294655067101</v>
      </c>
      <c r="G6481">
        <v>0.102592438550507</v>
      </c>
      <c r="H6481">
        <v>5.3364657422965901E-2</v>
      </c>
      <c r="I6481">
        <v>5.4124811787377998E-2</v>
      </c>
      <c r="J6481">
        <v>7.0712921418355598E-2</v>
      </c>
      <c r="K6481">
        <v>8.8991828826227901E-2</v>
      </c>
      <c r="L6481">
        <v>799.42743663553995</v>
      </c>
      <c r="M6481">
        <v>16.199140790726201</v>
      </c>
      <c r="N6481">
        <v>49.592559716225502</v>
      </c>
      <c r="O6481">
        <v>48.616309974701899</v>
      </c>
      <c r="P6481">
        <v>-8.0134168721207294E-2</v>
      </c>
      <c r="Q6481">
        <v>3.8088161457721599E-2</v>
      </c>
      <c r="R6481">
        <v>0.98951335062974999</v>
      </c>
      <c r="S6481" t="s">
        <v>13127</v>
      </c>
      <c r="T6481" t="s">
        <v>13290</v>
      </c>
      <c r="U6481" t="s">
        <v>13290</v>
      </c>
      <c r="V6481" t="s">
        <v>13290</v>
      </c>
      <c r="W6481" t="s">
        <v>19716</v>
      </c>
      <c r="X6481">
        <v>3</v>
      </c>
      <c r="Y6481" t="s">
        <v>26175</v>
      </c>
      <c r="Z6481" t="s">
        <v>32811</v>
      </c>
      <c r="AA6481">
        <v>0.35818247233806749</v>
      </c>
      <c r="AB6481" t="str">
        <f>HYPERLINK("Melting_Curves/meltCurve_Q9Y3A6_TMED5.pdf", "Melting_Curves/meltCurve_Q9Y3A6_TMED5.pdf")</f>
        <v>Melting_Curves/meltCurve_Q9Y3A6_TMED5.pdf</v>
      </c>
    </row>
    <row r="6482" spans="1:28" x14ac:dyDescent="0.25">
      <c r="A6482" t="s">
        <v>6486</v>
      </c>
      <c r="B6482">
        <v>0.99252571173614901</v>
      </c>
      <c r="C6482">
        <v>1.0226258424929899</v>
      </c>
      <c r="D6482">
        <v>0.80417156614894802</v>
      </c>
      <c r="E6482">
        <v>0.67015983556302905</v>
      </c>
      <c r="F6482">
        <v>0.35800926047422099</v>
      </c>
      <c r="G6482">
        <v>0.19243342485392301</v>
      </c>
      <c r="H6482">
        <v>0.11511132256187601</v>
      </c>
      <c r="I6482">
        <v>0.124188611906433</v>
      </c>
      <c r="J6482">
        <v>0.168820225173201</v>
      </c>
      <c r="K6482">
        <v>0.156252121883869</v>
      </c>
      <c r="L6482">
        <v>969.63472738020096</v>
      </c>
      <c r="M6482">
        <v>19.245996876466499</v>
      </c>
      <c r="N6482">
        <v>51.144773714248302</v>
      </c>
      <c r="O6482">
        <v>49.846647155170601</v>
      </c>
      <c r="P6482">
        <v>-8.4474917082289797E-2</v>
      </c>
      <c r="Q6482">
        <v>0.124881556547723</v>
      </c>
      <c r="R6482">
        <v>0.98834907566669505</v>
      </c>
      <c r="S6482" t="s">
        <v>13128</v>
      </c>
      <c r="T6482" t="s">
        <v>13290</v>
      </c>
      <c r="U6482" t="s">
        <v>13290</v>
      </c>
      <c r="V6482" t="s">
        <v>13290</v>
      </c>
      <c r="W6482" t="s">
        <v>19717</v>
      </c>
      <c r="X6482">
        <v>2</v>
      </c>
      <c r="Y6482" t="s">
        <v>26176</v>
      </c>
      <c r="Z6482" t="s">
        <v>32812</v>
      </c>
      <c r="AA6482">
        <v>0.44079952667851657</v>
      </c>
      <c r="AB6482" t="str">
        <f>HYPERLINK("Melting_Curves/meltCurve_Q9Y3B1_SLMO2.pdf", "Melting_Curves/meltCurve_Q9Y3B1_SLMO2.pdf")</f>
        <v>Melting_Curves/meltCurve_Q9Y3B1_SLMO2.pdf</v>
      </c>
    </row>
    <row r="6483" spans="1:28" x14ac:dyDescent="0.25">
      <c r="A6483" t="s">
        <v>6487</v>
      </c>
      <c r="B6483">
        <v>0.99252571173614901</v>
      </c>
      <c r="C6483">
        <v>1.22379782798623</v>
      </c>
      <c r="D6483">
        <v>1.8872831708359601</v>
      </c>
      <c r="E6483">
        <v>0.83095450856310804</v>
      </c>
      <c r="F6483">
        <v>0.160094176675283</v>
      </c>
      <c r="G6483">
        <v>8.9102381672330297E-2</v>
      </c>
      <c r="H6483">
        <v>5.5164401539684202E-2</v>
      </c>
      <c r="I6483">
        <v>2.87968421454219E-2</v>
      </c>
      <c r="J6483">
        <v>5.56777023127705E-2</v>
      </c>
      <c r="K6483">
        <v>4.6345792020352397E-2</v>
      </c>
      <c r="L6483">
        <v>2966.76381749445</v>
      </c>
      <c r="M6483">
        <v>58.107322963475497</v>
      </c>
      <c r="N6483">
        <v>51.1644296882153</v>
      </c>
      <c r="O6483">
        <v>50.996260535410499</v>
      </c>
      <c r="P6483">
        <v>-0.268448939899879</v>
      </c>
      <c r="Q6483">
        <v>5.7613766173504902E-2</v>
      </c>
      <c r="R6483">
        <v>0.78353188888974701</v>
      </c>
      <c r="S6483" t="s">
        <v>13129</v>
      </c>
      <c r="T6483" t="s">
        <v>13290</v>
      </c>
      <c r="U6483" t="s">
        <v>13290</v>
      </c>
      <c r="V6483" t="s">
        <v>13290</v>
      </c>
      <c r="W6483" t="s">
        <v>19718</v>
      </c>
      <c r="X6483">
        <v>4</v>
      </c>
      <c r="Y6483" t="s">
        <v>26177</v>
      </c>
      <c r="Z6483" t="s">
        <v>32813</v>
      </c>
      <c r="AA6483">
        <v>0.40650330182242339</v>
      </c>
      <c r="AB6483" t="str">
        <f>HYPERLINK("Melting_Curves/meltCurve_Q9Y3B2_EXOSC1.pdf", "Melting_Curves/meltCurve_Q9Y3B2_EXOSC1.pdf")</f>
        <v>Melting_Curves/meltCurve_Q9Y3B2_EXOSC1.pdf</v>
      </c>
    </row>
    <row r="6484" spans="1:28" x14ac:dyDescent="0.25">
      <c r="A6484" t="s">
        <v>6488</v>
      </c>
      <c r="B6484">
        <v>0.99252571173614901</v>
      </c>
      <c r="C6484">
        <v>0.86241854778002802</v>
      </c>
      <c r="D6484">
        <v>0.80207040639599003</v>
      </c>
      <c r="E6484">
        <v>0.66923917965507196</v>
      </c>
      <c r="F6484">
        <v>0.58370733668825903</v>
      </c>
      <c r="G6484">
        <v>0.36418712776385298</v>
      </c>
      <c r="H6484">
        <v>0.12575417763499699</v>
      </c>
      <c r="I6484">
        <v>8.5946840857163601E-2</v>
      </c>
      <c r="J6484">
        <v>0.100836279317363</v>
      </c>
      <c r="K6484">
        <v>9.4974974950013502E-2</v>
      </c>
      <c r="L6484">
        <v>568.20127291957499</v>
      </c>
      <c r="M6484">
        <v>10.697482935858501</v>
      </c>
      <c r="N6484">
        <v>53.115415919603301</v>
      </c>
      <c r="O6484">
        <v>51.360190256787803</v>
      </c>
      <c r="P6484">
        <v>-5.20904294988042E-2</v>
      </c>
      <c r="Q6484">
        <v>0</v>
      </c>
      <c r="R6484">
        <v>0.97833930024446503</v>
      </c>
      <c r="S6484" t="s">
        <v>13130</v>
      </c>
      <c r="T6484" t="s">
        <v>13290</v>
      </c>
      <c r="U6484" t="s">
        <v>13290</v>
      </c>
      <c r="V6484" t="s">
        <v>13290</v>
      </c>
      <c r="W6484" t="s">
        <v>19719</v>
      </c>
      <c r="X6484">
        <v>9</v>
      </c>
      <c r="Y6484" t="s">
        <v>26178</v>
      </c>
      <c r="Z6484" t="s">
        <v>32814</v>
      </c>
      <c r="AA6484">
        <v>0.46892046849028812</v>
      </c>
      <c r="AB6484" t="str">
        <f>HYPERLINK("Melting_Curves/meltCurve_Q9Y3B3_TMED7.pdf", "Melting_Curves/meltCurve_Q9Y3B3_TMED7.pdf")</f>
        <v>Melting_Curves/meltCurve_Q9Y3B3_TMED7.pdf</v>
      </c>
    </row>
    <row r="6485" spans="1:28" x14ac:dyDescent="0.25">
      <c r="A6485" t="s">
        <v>6489</v>
      </c>
      <c r="B6485">
        <v>0.99252571173614901</v>
      </c>
      <c r="C6485">
        <v>0.84168016760507902</v>
      </c>
      <c r="D6485">
        <v>0.87896320192588595</v>
      </c>
      <c r="E6485">
        <v>0.46801597771665798</v>
      </c>
      <c r="F6485">
        <v>0.23971072201466001</v>
      </c>
      <c r="G6485">
        <v>0.110728832533539</v>
      </c>
      <c r="H6485">
        <v>6.8656518743296494E-2</v>
      </c>
      <c r="I6485">
        <v>6.3626321839205996E-2</v>
      </c>
      <c r="J6485">
        <v>8.0271586813552495E-2</v>
      </c>
      <c r="K6485">
        <v>8.2274631357408298E-2</v>
      </c>
      <c r="L6485">
        <v>998.61561882868205</v>
      </c>
      <c r="M6485">
        <v>20.309663932301302</v>
      </c>
      <c r="N6485">
        <v>49.502186686405899</v>
      </c>
      <c r="O6485">
        <v>48.700230720383502</v>
      </c>
      <c r="P6485">
        <v>-9.7610093392466998E-2</v>
      </c>
      <c r="Q6485">
        <v>6.3797712782946395E-2</v>
      </c>
      <c r="R6485">
        <v>0.98611979276351003</v>
      </c>
      <c r="S6485" t="s">
        <v>13131</v>
      </c>
      <c r="T6485" t="s">
        <v>13290</v>
      </c>
      <c r="U6485" t="s">
        <v>13290</v>
      </c>
      <c r="V6485" t="s">
        <v>13290</v>
      </c>
      <c r="W6485" t="s">
        <v>19720</v>
      </c>
      <c r="X6485">
        <v>4</v>
      </c>
      <c r="Y6485" t="s">
        <v>26179</v>
      </c>
      <c r="Z6485" t="s">
        <v>32815</v>
      </c>
      <c r="AA6485">
        <v>0.36264175868024312</v>
      </c>
      <c r="AB6485" t="str">
        <f>HYPERLINK("Melting_Curves/meltCurve_Q9Y3B4_SF3B14.pdf", "Melting_Curves/meltCurve_Q9Y3B4_SF3B14.pdf")</f>
        <v>Melting_Curves/meltCurve_Q9Y3B4_SF3B14.pdf</v>
      </c>
    </row>
    <row r="6486" spans="1:28" x14ac:dyDescent="0.25">
      <c r="A6486" t="s">
        <v>6490</v>
      </c>
      <c r="B6486">
        <v>0.99252571173614901</v>
      </c>
      <c r="C6486">
        <v>1.1241940698942301</v>
      </c>
      <c r="D6486">
        <v>1.1152628848997299</v>
      </c>
      <c r="E6486">
        <v>1.48773787475126</v>
      </c>
      <c r="F6486">
        <v>2.0580481365782801</v>
      </c>
      <c r="G6486">
        <v>2.0083823417191198</v>
      </c>
      <c r="H6486">
        <v>2.1426321468659602</v>
      </c>
      <c r="I6486">
        <v>2.8733957526542699</v>
      </c>
      <c r="J6486">
        <v>4.3055490189599697</v>
      </c>
      <c r="K6486">
        <v>4.7761467523471604</v>
      </c>
      <c r="L6486">
        <v>3198.59845326085</v>
      </c>
      <c r="M6486">
        <v>68.351691151947605</v>
      </c>
      <c r="O6486">
        <v>46.756177532919601</v>
      </c>
      <c r="P6486">
        <v>0.18273443084782101</v>
      </c>
      <c r="Q6486">
        <v>1.5</v>
      </c>
      <c r="R6486">
        <v>-0.359640473672035</v>
      </c>
      <c r="S6486" t="s">
        <v>13132</v>
      </c>
      <c r="T6486" t="s">
        <v>13290</v>
      </c>
      <c r="U6486" t="s">
        <v>13290</v>
      </c>
      <c r="V6486" t="s">
        <v>13290</v>
      </c>
      <c r="W6486" t="s">
        <v>19721</v>
      </c>
      <c r="X6486">
        <v>10</v>
      </c>
      <c r="Y6486" t="s">
        <v>26180</v>
      </c>
      <c r="Z6486" t="s">
        <v>32816</v>
      </c>
      <c r="AA6486">
        <v>1.386179313350548</v>
      </c>
      <c r="AB6486" t="str">
        <f>HYPERLINK("Melting_Curves/meltCurve_Q9Y3B9_RRP15.pdf", "Melting_Curves/meltCurve_Q9Y3B9_RRP15.pdf")</f>
        <v>Melting_Curves/meltCurve_Q9Y3B9_RRP15.pdf</v>
      </c>
    </row>
    <row r="6487" spans="1:28" x14ac:dyDescent="0.25">
      <c r="A6487" t="s">
        <v>6491</v>
      </c>
      <c r="B6487">
        <v>0.99252571173614901</v>
      </c>
      <c r="C6487">
        <v>1.11905230421775</v>
      </c>
      <c r="D6487">
        <v>1.2718779534023501</v>
      </c>
      <c r="E6487">
        <v>1.2299356646503199</v>
      </c>
      <c r="F6487">
        <v>0.69510913640838501</v>
      </c>
      <c r="G6487">
        <v>0.57267273838231103</v>
      </c>
      <c r="H6487">
        <v>0.39415878107512797</v>
      </c>
      <c r="I6487">
        <v>0.416608279258112</v>
      </c>
      <c r="J6487">
        <v>0.59506031317905095</v>
      </c>
      <c r="K6487">
        <v>0.72904669523825005</v>
      </c>
      <c r="L6487">
        <v>13263.5259163513</v>
      </c>
      <c r="M6487">
        <v>250</v>
      </c>
      <c r="O6487">
        <v>53.050708415108303</v>
      </c>
      <c r="P6487">
        <v>-0.540156133577543</v>
      </c>
      <c r="Q6487">
        <v>0.54150935067431605</v>
      </c>
      <c r="R6487">
        <v>0.77542038668075697</v>
      </c>
      <c r="S6487" t="s">
        <v>13133</v>
      </c>
      <c r="T6487" t="s">
        <v>13290</v>
      </c>
      <c r="U6487" t="s">
        <v>13290</v>
      </c>
      <c r="V6487" t="s">
        <v>13290</v>
      </c>
      <c r="W6487" t="s">
        <v>19722</v>
      </c>
      <c r="X6487">
        <v>9</v>
      </c>
      <c r="Y6487" t="s">
        <v>26181</v>
      </c>
      <c r="Z6487" t="s">
        <v>32817</v>
      </c>
      <c r="AA6487">
        <v>0.74105818920193933</v>
      </c>
      <c r="AB6487" t="str">
        <f>HYPERLINK("Melting_Curves/meltCurve_Q9Y3C1_NOP16.pdf", "Melting_Curves/meltCurve_Q9Y3C1_NOP16.pdf")</f>
        <v>Melting_Curves/meltCurve_Q9Y3C1_NOP16.pdf</v>
      </c>
    </row>
    <row r="6488" spans="1:28" x14ac:dyDescent="0.25">
      <c r="A6488" t="s">
        <v>6492</v>
      </c>
      <c r="B6488">
        <v>0.99252571173614901</v>
      </c>
      <c r="C6488">
        <v>1.0803538347655199</v>
      </c>
      <c r="D6488">
        <v>0.99202283102664701</v>
      </c>
      <c r="E6488">
        <v>0.94598423795167197</v>
      </c>
      <c r="F6488">
        <v>0.70694446435878899</v>
      </c>
      <c r="G6488">
        <v>0.49966832167762198</v>
      </c>
      <c r="H6488">
        <v>0.30377055880758902</v>
      </c>
      <c r="I6488">
        <v>0.29496992533862998</v>
      </c>
      <c r="J6488">
        <v>0.36790123338484798</v>
      </c>
      <c r="K6488">
        <v>0.40784484511885299</v>
      </c>
      <c r="L6488">
        <v>1517.5082175909599</v>
      </c>
      <c r="M6488">
        <v>28.222938045661198</v>
      </c>
      <c r="N6488">
        <v>56.057684128910502</v>
      </c>
      <c r="O6488">
        <v>53.500838083941602</v>
      </c>
      <c r="P6488">
        <v>-8.6768970465060102E-2</v>
      </c>
      <c r="Q6488">
        <v>0.34207075628302802</v>
      </c>
      <c r="R6488">
        <v>0.97834020278844303</v>
      </c>
      <c r="S6488" t="s">
        <v>13134</v>
      </c>
      <c r="T6488" t="s">
        <v>13290</v>
      </c>
      <c r="U6488" t="s">
        <v>13290</v>
      </c>
      <c r="V6488" t="s">
        <v>13290</v>
      </c>
      <c r="W6488" t="s">
        <v>19723</v>
      </c>
      <c r="X6488">
        <v>2</v>
      </c>
      <c r="Y6488" t="s">
        <v>26182</v>
      </c>
      <c r="Z6488" t="s">
        <v>32818</v>
      </c>
      <c r="AA6488">
        <v>0.64887680220535482</v>
      </c>
      <c r="AB6488" t="str">
        <f>HYPERLINK("Melting_Curves/meltCurve_Q9Y3C4_TPRKB.pdf", "Melting_Curves/meltCurve_Q9Y3C4_TPRKB.pdf")</f>
        <v>Melting_Curves/meltCurve_Q9Y3C4_TPRKB.pdf</v>
      </c>
    </row>
    <row r="6489" spans="1:28" x14ac:dyDescent="0.25">
      <c r="A6489" t="s">
        <v>6493</v>
      </c>
      <c r="B6489">
        <v>0.99252571173614901</v>
      </c>
      <c r="C6489">
        <v>0.95307233959940196</v>
      </c>
      <c r="D6489">
        <v>0.64303985540891995</v>
      </c>
      <c r="E6489">
        <v>0.43014478322685501</v>
      </c>
      <c r="F6489">
        <v>0.24307505634025001</v>
      </c>
      <c r="G6489">
        <v>0.10173680257438</v>
      </c>
      <c r="H6489">
        <v>5.7040105646823602E-2</v>
      </c>
      <c r="I6489">
        <v>5.9719392628438103E-2</v>
      </c>
      <c r="J6489">
        <v>6.9229366137702905E-2</v>
      </c>
      <c r="K6489">
        <v>6.7071059784491294E-2</v>
      </c>
      <c r="L6489">
        <v>811.68879637633904</v>
      </c>
      <c r="M6489">
        <v>16.850819134559799</v>
      </c>
      <c r="N6489">
        <v>48.482815189532801</v>
      </c>
      <c r="O6489">
        <v>47.5060308991225</v>
      </c>
      <c r="P6489">
        <v>-8.4102668707626504E-2</v>
      </c>
      <c r="Q6489">
        <v>5.1647183889514801E-2</v>
      </c>
      <c r="R6489">
        <v>0.99198660938754202</v>
      </c>
      <c r="S6489" t="s">
        <v>13135</v>
      </c>
      <c r="T6489" t="s">
        <v>13290</v>
      </c>
      <c r="U6489" t="s">
        <v>13290</v>
      </c>
      <c r="V6489" t="s">
        <v>13290</v>
      </c>
      <c r="W6489" t="s">
        <v>19724</v>
      </c>
      <c r="X6489">
        <v>8</v>
      </c>
      <c r="Y6489" t="s">
        <v>26183</v>
      </c>
      <c r="Z6489" t="s">
        <v>32819</v>
      </c>
      <c r="AA6489">
        <v>0.32906458277427347</v>
      </c>
      <c r="AB6489" t="str">
        <f>HYPERLINK("Melting_Curves/meltCurve_Q9Y3C6_PPIL1.pdf", "Melting_Curves/meltCurve_Q9Y3C6_PPIL1.pdf")</f>
        <v>Melting_Curves/meltCurve_Q9Y3C6_PPIL1.pdf</v>
      </c>
    </row>
    <row r="6490" spans="1:28" x14ac:dyDescent="0.25">
      <c r="A6490" t="s">
        <v>6494</v>
      </c>
      <c r="B6490">
        <v>0.99252571173614901</v>
      </c>
      <c r="C6490">
        <v>1.0765672555541701</v>
      </c>
      <c r="D6490">
        <v>0.94890431871037795</v>
      </c>
      <c r="E6490">
        <v>0.79123814436276496</v>
      </c>
      <c r="F6490">
        <v>0.77682820322329704</v>
      </c>
      <c r="G6490">
        <v>0.599499857119138</v>
      </c>
      <c r="H6490">
        <v>0.30122276476026799</v>
      </c>
      <c r="I6490">
        <v>0.106775948787939</v>
      </c>
      <c r="J6490">
        <v>0.10632589131520701</v>
      </c>
      <c r="K6490">
        <v>9.0912596791405703E-2</v>
      </c>
      <c r="L6490">
        <v>827.48079509781803</v>
      </c>
      <c r="M6490">
        <v>14.433275888376899</v>
      </c>
      <c r="N6490">
        <v>57.331461134067197</v>
      </c>
      <c r="O6490">
        <v>56.264603226379201</v>
      </c>
      <c r="P6490">
        <v>-6.4138776930349001E-2</v>
      </c>
      <c r="Q6490">
        <v>0</v>
      </c>
      <c r="R6490">
        <v>0.97749566179774094</v>
      </c>
      <c r="S6490" t="s">
        <v>13136</v>
      </c>
      <c r="T6490" t="s">
        <v>13290</v>
      </c>
      <c r="U6490" t="s">
        <v>13290</v>
      </c>
      <c r="V6490" t="s">
        <v>13290</v>
      </c>
      <c r="W6490" t="s">
        <v>19725</v>
      </c>
      <c r="X6490">
        <v>8</v>
      </c>
      <c r="Y6490" t="s">
        <v>26184</v>
      </c>
      <c r="Z6490" t="s">
        <v>32820</v>
      </c>
      <c r="AA6490">
        <v>0.59303617956055443</v>
      </c>
      <c r="AB6490" t="str">
        <f>HYPERLINK("Melting_Curves/meltCurve_Q9Y3C8_UFC1.pdf", "Melting_Curves/meltCurve_Q9Y3C8_UFC1.pdf")</f>
        <v>Melting_Curves/meltCurve_Q9Y3C8_UFC1.pdf</v>
      </c>
    </row>
    <row r="6491" spans="1:28" x14ac:dyDescent="0.25">
      <c r="A6491" t="s">
        <v>6495</v>
      </c>
      <c r="B6491">
        <v>0.99252571173614901</v>
      </c>
      <c r="C6491">
        <v>0.88928847768175201</v>
      </c>
      <c r="D6491">
        <v>0.83678650969193902</v>
      </c>
      <c r="E6491">
        <v>0.40861319083026298</v>
      </c>
      <c r="F6491">
        <v>0.22087255587019</v>
      </c>
      <c r="G6491">
        <v>0.14337154763117799</v>
      </c>
      <c r="H6491">
        <v>0.101203697562429</v>
      </c>
      <c r="I6491">
        <v>0.102555736312495</v>
      </c>
      <c r="J6491">
        <v>0.12624283375096901</v>
      </c>
      <c r="K6491">
        <v>0.143138848710231</v>
      </c>
      <c r="L6491">
        <v>1149.9354868233099</v>
      </c>
      <c r="M6491">
        <v>23.784199775114502</v>
      </c>
      <c r="N6491">
        <v>48.896358557337599</v>
      </c>
      <c r="O6491">
        <v>48.010796318304898</v>
      </c>
      <c r="P6491">
        <v>-0.10936860442285</v>
      </c>
      <c r="Q6491">
        <v>0.11692808541862799</v>
      </c>
      <c r="R6491">
        <v>0.99288866386002295</v>
      </c>
      <c r="S6491" t="s">
        <v>13137</v>
      </c>
      <c r="T6491" t="s">
        <v>13290</v>
      </c>
      <c r="U6491" t="s">
        <v>13290</v>
      </c>
      <c r="V6491" t="s">
        <v>13290</v>
      </c>
      <c r="W6491" t="s">
        <v>19726</v>
      </c>
      <c r="X6491">
        <v>5</v>
      </c>
      <c r="Y6491" t="s">
        <v>26185</v>
      </c>
      <c r="Z6491" t="s">
        <v>32821</v>
      </c>
      <c r="AA6491">
        <v>0.37134481879296549</v>
      </c>
      <c r="AB6491" t="str">
        <f>HYPERLINK("Melting_Curves/meltCurve_Q9Y3D0_FAM96B.pdf", "Melting_Curves/meltCurve_Q9Y3D0_FAM96B.pdf")</f>
        <v>Melting_Curves/meltCurve_Q9Y3D0_FAM96B.pdf</v>
      </c>
    </row>
    <row r="6492" spans="1:28" x14ac:dyDescent="0.25">
      <c r="A6492" t="s">
        <v>6496</v>
      </c>
      <c r="B6492">
        <v>0.99252571173614901</v>
      </c>
      <c r="C6492">
        <v>1.0965032706576801</v>
      </c>
      <c r="D6492">
        <v>0.97162084222289802</v>
      </c>
      <c r="E6492">
        <v>0.76572371708568998</v>
      </c>
      <c r="F6492">
        <v>0.50886537210998894</v>
      </c>
      <c r="G6492">
        <v>0.37443013653669599</v>
      </c>
      <c r="H6492">
        <v>0.34045882603214001</v>
      </c>
      <c r="I6492">
        <v>0.29723828140916297</v>
      </c>
      <c r="J6492">
        <v>0.34132871949980798</v>
      </c>
      <c r="K6492">
        <v>0.37730448389094901</v>
      </c>
      <c r="L6492">
        <v>1374.2876527963199</v>
      </c>
      <c r="M6492">
        <v>27.003066181048801</v>
      </c>
      <c r="N6492">
        <v>53.106085855442402</v>
      </c>
      <c r="O6492">
        <v>50.617100556072899</v>
      </c>
      <c r="P6492">
        <v>-8.8336822094935305E-2</v>
      </c>
      <c r="Q6492">
        <v>0.33765899594849902</v>
      </c>
      <c r="R6492">
        <v>0.984315046587944</v>
      </c>
      <c r="S6492" t="s">
        <v>13138</v>
      </c>
      <c r="T6492" t="s">
        <v>13290</v>
      </c>
      <c r="U6492" t="s">
        <v>13290</v>
      </c>
      <c r="V6492" t="s">
        <v>13290</v>
      </c>
      <c r="W6492" t="s">
        <v>19727</v>
      </c>
      <c r="X6492">
        <v>8</v>
      </c>
      <c r="Y6492" t="s">
        <v>26186</v>
      </c>
      <c r="Z6492" t="s">
        <v>32822</v>
      </c>
      <c r="AA6492">
        <v>0.58330203067186848</v>
      </c>
      <c r="AB6492" t="str">
        <f>HYPERLINK("Melting_Curves/meltCurve_Q9Y3D2_MSRB2.pdf", "Melting_Curves/meltCurve_Q9Y3D2_MSRB2.pdf")</f>
        <v>Melting_Curves/meltCurve_Q9Y3D2_MSRB2.pdf</v>
      </c>
    </row>
    <row r="6493" spans="1:28" x14ac:dyDescent="0.25">
      <c r="A6493" t="s">
        <v>6497</v>
      </c>
      <c r="B6493">
        <v>0.99252571173614901</v>
      </c>
      <c r="C6493">
        <v>1.16971789618733</v>
      </c>
      <c r="D6493">
        <v>1.0812203993107701</v>
      </c>
      <c r="E6493">
        <v>0.64341775292951298</v>
      </c>
      <c r="F6493">
        <v>0.88663749586126195</v>
      </c>
      <c r="G6493">
        <v>0.603180893255298</v>
      </c>
      <c r="H6493">
        <v>0.49310708843129603</v>
      </c>
      <c r="I6493">
        <v>0.316490220106107</v>
      </c>
      <c r="J6493">
        <v>0.30877867720112101</v>
      </c>
      <c r="K6493">
        <v>0.34947319741459898</v>
      </c>
      <c r="L6493">
        <v>726.29962060954904</v>
      </c>
      <c r="M6493">
        <v>12.846731457287399</v>
      </c>
      <c r="N6493">
        <v>59.626521943437098</v>
      </c>
      <c r="O6493">
        <v>55.218391557621899</v>
      </c>
      <c r="P6493">
        <v>-4.4031970989634801E-2</v>
      </c>
      <c r="Q6493">
        <v>0.24309916532668099</v>
      </c>
      <c r="R6493">
        <v>0.86296194252074498</v>
      </c>
      <c r="S6493" t="s">
        <v>13139</v>
      </c>
      <c r="T6493" t="s">
        <v>13290</v>
      </c>
      <c r="U6493" t="s">
        <v>13290</v>
      </c>
      <c r="V6493" t="s">
        <v>13290</v>
      </c>
      <c r="W6493" t="s">
        <v>19728</v>
      </c>
      <c r="X6493">
        <v>1</v>
      </c>
      <c r="Y6493" t="s">
        <v>26187</v>
      </c>
      <c r="Z6493" t="s">
        <v>32823</v>
      </c>
      <c r="AA6493">
        <v>0.6740805262364622</v>
      </c>
      <c r="AB6493" t="str">
        <f>HYPERLINK("Melting_Curves/meltCurve_Q9Y3D5_MRPS18C.pdf", "Melting_Curves/meltCurve_Q9Y3D5_MRPS18C.pdf")</f>
        <v>Melting_Curves/meltCurve_Q9Y3D5_MRPS18C.pdf</v>
      </c>
    </row>
    <row r="6494" spans="1:28" x14ac:dyDescent="0.25">
      <c r="A6494" t="s">
        <v>6498</v>
      </c>
      <c r="B6494">
        <v>0.99252571173614901</v>
      </c>
      <c r="C6494">
        <v>0.865035617283332</v>
      </c>
      <c r="D6494">
        <v>0.77863889965322697</v>
      </c>
      <c r="E6494">
        <v>0.577521253274345</v>
      </c>
      <c r="F6494">
        <v>0.613040312050109</v>
      </c>
      <c r="G6494">
        <v>0.45550043616295499</v>
      </c>
      <c r="H6494">
        <v>0.34476373390010601</v>
      </c>
      <c r="I6494">
        <v>0.37084192663267601</v>
      </c>
      <c r="J6494">
        <v>0.58199976208275295</v>
      </c>
      <c r="K6494">
        <v>0.36818114854293998</v>
      </c>
      <c r="L6494">
        <v>642.14899797394798</v>
      </c>
      <c r="M6494">
        <v>13.5191882138311</v>
      </c>
      <c r="N6494">
        <v>54.396302103221103</v>
      </c>
      <c r="O6494">
        <v>46.495931027306099</v>
      </c>
      <c r="P6494">
        <v>-4.28977815276314E-2</v>
      </c>
      <c r="Q6494">
        <v>0.409943969517988</v>
      </c>
      <c r="R6494">
        <v>0.88250110812485005</v>
      </c>
      <c r="S6494" t="s">
        <v>13140</v>
      </c>
      <c r="T6494" t="s">
        <v>13290</v>
      </c>
      <c r="U6494" t="s">
        <v>13290</v>
      </c>
      <c r="V6494" t="s">
        <v>13290</v>
      </c>
      <c r="W6494" t="s">
        <v>19729</v>
      </c>
      <c r="X6494">
        <v>7</v>
      </c>
      <c r="Y6494" t="s">
        <v>26188</v>
      </c>
      <c r="Z6494" t="s">
        <v>32824</v>
      </c>
      <c r="AA6494">
        <v>0.57656504209390491</v>
      </c>
      <c r="AB6494" t="str">
        <f>HYPERLINK("Melting_Curves/meltCurve_Q9Y3D6_FIS1.pdf", "Melting_Curves/meltCurve_Q9Y3D6_FIS1.pdf")</f>
        <v>Melting_Curves/meltCurve_Q9Y3D6_FIS1.pdf</v>
      </c>
    </row>
    <row r="6495" spans="1:28" x14ac:dyDescent="0.25">
      <c r="A6495" t="s">
        <v>6499</v>
      </c>
      <c r="B6495">
        <v>0.99252571173614901</v>
      </c>
      <c r="C6495">
        <v>1.0317124203186501</v>
      </c>
      <c r="D6495">
        <v>0.80847599113559898</v>
      </c>
      <c r="E6495">
        <v>0.358746682179232</v>
      </c>
      <c r="F6495">
        <v>0.12783122902913299</v>
      </c>
      <c r="G6495">
        <v>7.8018783466511393E-2</v>
      </c>
      <c r="H6495">
        <v>5.6441658520530402E-2</v>
      </c>
      <c r="I6495">
        <v>4.07345949843331E-2</v>
      </c>
      <c r="J6495">
        <v>4.6254703004864103E-2</v>
      </c>
      <c r="K6495">
        <v>4.6967424111101698E-2</v>
      </c>
      <c r="L6495">
        <v>1384.80578971569</v>
      </c>
      <c r="M6495">
        <v>28.647947334533701</v>
      </c>
      <c r="N6495">
        <v>48.5245210524117</v>
      </c>
      <c r="O6495">
        <v>48.105046879012001</v>
      </c>
      <c r="P6495">
        <v>-0.14115051393240599</v>
      </c>
      <c r="Q6495">
        <v>5.1939264992517498E-2</v>
      </c>
      <c r="R6495">
        <v>0.99756112987747503</v>
      </c>
      <c r="S6495" t="s">
        <v>13141</v>
      </c>
      <c r="T6495" t="s">
        <v>13290</v>
      </c>
      <c r="U6495" t="s">
        <v>13290</v>
      </c>
      <c r="V6495" t="s">
        <v>13290</v>
      </c>
      <c r="W6495" t="s">
        <v>19730</v>
      </c>
      <c r="X6495">
        <v>2</v>
      </c>
      <c r="Y6495" t="s">
        <v>23428</v>
      </c>
      <c r="Z6495" t="s">
        <v>32825</v>
      </c>
      <c r="AA6495">
        <v>0.32176159353011591</v>
      </c>
      <c r="AB6495" t="str">
        <f>HYPERLINK("Melting_Curves/meltCurve_Q9Y3D8_TAF9.pdf", "Melting_Curves/meltCurve_Q9Y3D8_TAF9.pdf")</f>
        <v>Melting_Curves/meltCurve_Q9Y3D8_TAF9.pdf</v>
      </c>
    </row>
    <row r="6496" spans="1:28" x14ac:dyDescent="0.25">
      <c r="A6496" t="s">
        <v>6500</v>
      </c>
      <c r="B6496">
        <v>0.99252571173614901</v>
      </c>
      <c r="C6496">
        <v>1.08440579209955</v>
      </c>
      <c r="D6496">
        <v>1.1342511427778901</v>
      </c>
      <c r="E6496">
        <v>0.61991641783069495</v>
      </c>
      <c r="F6496">
        <v>0.37815307843220403</v>
      </c>
      <c r="G6496">
        <v>0.25413960888141901</v>
      </c>
      <c r="H6496">
        <v>0.19478913343610199</v>
      </c>
      <c r="I6496">
        <v>0.209287015080039</v>
      </c>
      <c r="J6496">
        <v>0.23571614322063</v>
      </c>
      <c r="K6496">
        <v>0.249519740902265</v>
      </c>
      <c r="L6496">
        <v>2078.47473718225</v>
      </c>
      <c r="M6496">
        <v>41.6932054016035</v>
      </c>
      <c r="N6496">
        <v>50.6506995774917</v>
      </c>
      <c r="O6496">
        <v>49.737367846186302</v>
      </c>
      <c r="P6496">
        <v>-0.15906349822555299</v>
      </c>
      <c r="Q6496">
        <v>0.240990397824106</v>
      </c>
      <c r="R6496">
        <v>0.96778758643266505</v>
      </c>
      <c r="S6496" t="s">
        <v>13142</v>
      </c>
      <c r="T6496" t="s">
        <v>13290</v>
      </c>
      <c r="U6496" t="s">
        <v>13290</v>
      </c>
      <c r="V6496" t="s">
        <v>13290</v>
      </c>
      <c r="W6496" t="s">
        <v>19731</v>
      </c>
      <c r="X6496">
        <v>6</v>
      </c>
      <c r="Y6496" t="s">
        <v>26189</v>
      </c>
      <c r="Z6496" t="s">
        <v>32826</v>
      </c>
      <c r="AA6496">
        <v>0.49264667518373417</v>
      </c>
      <c r="AB6496" t="str">
        <f>HYPERLINK("Melting_Curves/meltCurve_Q9Y3D9_MRPS23.pdf", "Melting_Curves/meltCurve_Q9Y3D9_MRPS23.pdf")</f>
        <v>Melting_Curves/meltCurve_Q9Y3D9_MRPS23.pdf</v>
      </c>
    </row>
    <row r="6497" spans="1:28" x14ac:dyDescent="0.25">
      <c r="A6497" t="s">
        <v>6501</v>
      </c>
      <c r="B6497">
        <v>0.99252571173614901</v>
      </c>
      <c r="C6497">
        <v>1.0540698291867201</v>
      </c>
      <c r="D6497">
        <v>0.79686280905100704</v>
      </c>
      <c r="E6497">
        <v>0.56552599635479595</v>
      </c>
      <c r="F6497">
        <v>0.40754733401855497</v>
      </c>
      <c r="G6497">
        <v>0.263886435402097</v>
      </c>
      <c r="H6497">
        <v>0.209031484001023</v>
      </c>
      <c r="I6497">
        <v>0.225697234651481</v>
      </c>
      <c r="J6497">
        <v>0.35089584356838599</v>
      </c>
      <c r="K6497">
        <v>0.40485793101842998</v>
      </c>
      <c r="L6497">
        <v>1145.8114386208299</v>
      </c>
      <c r="M6497">
        <v>23.6435615434205</v>
      </c>
      <c r="N6497">
        <v>50.332357057476599</v>
      </c>
      <c r="O6497">
        <v>48.119177954803902</v>
      </c>
      <c r="P6497">
        <v>-8.6930751423494504E-2</v>
      </c>
      <c r="Q6497">
        <v>0.29232868243000998</v>
      </c>
      <c r="R6497">
        <v>0.95252629930946597</v>
      </c>
      <c r="S6497" t="s">
        <v>13143</v>
      </c>
      <c r="T6497" t="s">
        <v>13290</v>
      </c>
      <c r="U6497" t="s">
        <v>13290</v>
      </c>
      <c r="V6497" t="s">
        <v>13290</v>
      </c>
      <c r="W6497" t="s">
        <v>19732</v>
      </c>
      <c r="X6497">
        <v>5</v>
      </c>
      <c r="Y6497" t="s">
        <v>26190</v>
      </c>
      <c r="Z6497" t="s">
        <v>32827</v>
      </c>
      <c r="AA6497">
        <v>0.49896697072021112</v>
      </c>
      <c r="AB6497" t="str">
        <f>HYPERLINK("Melting_Curves/meltCurve_Q9Y3E2_BOLA1.pdf", "Melting_Curves/meltCurve_Q9Y3E2_BOLA1.pdf")</f>
        <v>Melting_Curves/meltCurve_Q9Y3E2_BOLA1.pdf</v>
      </c>
    </row>
    <row r="6498" spans="1:28" x14ac:dyDescent="0.25">
      <c r="A6498" t="s">
        <v>6502</v>
      </c>
      <c r="B6498">
        <v>0.99252571173614901</v>
      </c>
      <c r="C6498">
        <v>1.1063477556138701</v>
      </c>
      <c r="D6498">
        <v>1.10272328778552</v>
      </c>
      <c r="E6498">
        <v>1.35579539878137</v>
      </c>
      <c r="F6498">
        <v>0.44801287334753698</v>
      </c>
      <c r="G6498">
        <v>0.247019051411806</v>
      </c>
      <c r="H6498">
        <v>0.17591434029868899</v>
      </c>
      <c r="I6498">
        <v>0.14000665192651399</v>
      </c>
      <c r="J6498">
        <v>0.23211249851617</v>
      </c>
      <c r="K6498">
        <v>0.32560168266585099</v>
      </c>
      <c r="L6498">
        <v>13251.9920564034</v>
      </c>
      <c r="M6498">
        <v>250</v>
      </c>
      <c r="N6498">
        <v>53.1343732178889</v>
      </c>
      <c r="O6498">
        <v>53.004596475572399</v>
      </c>
      <c r="P6498">
        <v>-0.91486106999730399</v>
      </c>
      <c r="Q6498">
        <v>0.22413082830372</v>
      </c>
      <c r="R6498">
        <v>0.91486269322357905</v>
      </c>
      <c r="S6498" t="s">
        <v>13144</v>
      </c>
      <c r="T6498" t="s">
        <v>13290</v>
      </c>
      <c r="U6498" t="s">
        <v>13290</v>
      </c>
      <c r="V6498" t="s">
        <v>13290</v>
      </c>
      <c r="W6498" t="s">
        <v>19733</v>
      </c>
      <c r="X6498">
        <v>6</v>
      </c>
      <c r="Y6498" t="s">
        <v>26191</v>
      </c>
      <c r="Z6498" t="s">
        <v>32828</v>
      </c>
      <c r="AA6498">
        <v>0.56061905707319315</v>
      </c>
      <c r="AB6498" t="str">
        <f>HYPERLINK("Melting_Curves/meltCurve_Q9Y3E7_4_CHMP3.pdf", "Melting_Curves/meltCurve_Q9Y3E7_4_CHMP3.pdf")</f>
        <v>Melting_Curves/meltCurve_Q9Y3E7_4_CHMP3.pdf</v>
      </c>
    </row>
    <row r="6499" spans="1:28" x14ac:dyDescent="0.25">
      <c r="A6499" t="s">
        <v>6503</v>
      </c>
      <c r="B6499">
        <v>0.99252571173614901</v>
      </c>
      <c r="C6499">
        <v>1.01443496356737</v>
      </c>
      <c r="D6499">
        <v>0.822265953461225</v>
      </c>
      <c r="E6499">
        <v>0.66706929447487895</v>
      </c>
      <c r="F6499">
        <v>0.64396288918880895</v>
      </c>
      <c r="G6499">
        <v>0.52956464882478005</v>
      </c>
      <c r="H6499">
        <v>0.32829957018557898</v>
      </c>
      <c r="I6499">
        <v>0.161284338921583</v>
      </c>
      <c r="J6499">
        <v>9.31592384652907E-2</v>
      </c>
      <c r="K6499">
        <v>9.0244290888026102E-2</v>
      </c>
      <c r="L6499">
        <v>547.53825447600195</v>
      </c>
      <c r="M6499">
        <v>9.8740029336044408</v>
      </c>
      <c r="N6499">
        <v>55.4525108120488</v>
      </c>
      <c r="O6499">
        <v>53.321702603218597</v>
      </c>
      <c r="P6499">
        <v>-4.6318119017874998E-2</v>
      </c>
      <c r="Q6499">
        <v>0</v>
      </c>
      <c r="R6499">
        <v>0.96929359142655303</v>
      </c>
      <c r="S6499" t="s">
        <v>13145</v>
      </c>
      <c r="T6499" t="s">
        <v>13290</v>
      </c>
      <c r="U6499" t="s">
        <v>13290</v>
      </c>
      <c r="V6499" t="s">
        <v>13290</v>
      </c>
      <c r="W6499" t="s">
        <v>19734</v>
      </c>
      <c r="X6499">
        <v>20</v>
      </c>
      <c r="Y6499" t="s">
        <v>26192</v>
      </c>
      <c r="Z6499" t="s">
        <v>32829</v>
      </c>
      <c r="AA6499">
        <v>0.53891919855311188</v>
      </c>
      <c r="AB6499" t="str">
        <f>HYPERLINK("Melting_Curves/meltCurve_Q9Y3F4_STRAP.pdf", "Melting_Curves/meltCurve_Q9Y3F4_STRAP.pdf")</f>
        <v>Melting_Curves/meltCurve_Q9Y3F4_STRAP.pdf</v>
      </c>
    </row>
    <row r="6500" spans="1:28" x14ac:dyDescent="0.25">
      <c r="A6500" t="s">
        <v>6504</v>
      </c>
      <c r="B6500">
        <v>0.99252571173614901</v>
      </c>
      <c r="C6500">
        <v>0.97764227478399701</v>
      </c>
      <c r="D6500">
        <v>1.0492541759988101</v>
      </c>
      <c r="E6500">
        <v>0.94251533288490796</v>
      </c>
      <c r="F6500">
        <v>0.73114251874762404</v>
      </c>
      <c r="G6500">
        <v>0.48850201583481301</v>
      </c>
      <c r="H6500">
        <v>0.22363351007336499</v>
      </c>
      <c r="I6500">
        <v>0.13352889310745999</v>
      </c>
      <c r="J6500">
        <v>0.118433341380346</v>
      </c>
      <c r="K6500">
        <v>0.10684252915787799</v>
      </c>
      <c r="L6500">
        <v>1142.6875290558901</v>
      </c>
      <c r="M6500">
        <v>20.458476479927398</v>
      </c>
      <c r="N6500">
        <v>56.367684900796199</v>
      </c>
      <c r="O6500">
        <v>55.328550859038202</v>
      </c>
      <c r="P6500">
        <v>-8.4581407429308697E-2</v>
      </c>
      <c r="Q6500">
        <v>8.5048676122955094E-2</v>
      </c>
      <c r="R6500">
        <v>0.996092617570419</v>
      </c>
      <c r="S6500" t="s">
        <v>13146</v>
      </c>
      <c r="T6500" t="s">
        <v>13290</v>
      </c>
      <c r="U6500" t="s">
        <v>13290</v>
      </c>
      <c r="V6500" t="s">
        <v>13290</v>
      </c>
      <c r="W6500" t="s">
        <v>19735</v>
      </c>
      <c r="X6500">
        <v>29</v>
      </c>
      <c r="Y6500" t="s">
        <v>26193</v>
      </c>
      <c r="Z6500" t="s">
        <v>32830</v>
      </c>
      <c r="AA6500">
        <v>0.58005426131910875</v>
      </c>
      <c r="AB6500" t="str">
        <f>HYPERLINK("Melting_Curves/meltCurve_Q9Y3I0_C22orf28.pdf", "Melting_Curves/meltCurve_Q9Y3I0_C22orf28.pdf")</f>
        <v>Melting_Curves/meltCurve_Q9Y3I0_C22orf28.pdf</v>
      </c>
    </row>
    <row r="6501" spans="1:28" x14ac:dyDescent="0.25">
      <c r="A6501" t="s">
        <v>6505</v>
      </c>
      <c r="B6501">
        <v>0.99252571173614901</v>
      </c>
      <c r="C6501">
        <v>0.57793348742277195</v>
      </c>
      <c r="D6501">
        <v>0.48935227164518902</v>
      </c>
      <c r="E6501">
        <v>0.45040975810654899</v>
      </c>
      <c r="F6501">
        <v>0.187931700932012</v>
      </c>
      <c r="G6501">
        <v>8.0262468457409405E-2</v>
      </c>
      <c r="H6501">
        <v>5.7212217574420701E-2</v>
      </c>
      <c r="I6501">
        <v>6.4010015026872397E-2</v>
      </c>
      <c r="J6501">
        <v>6.8128743283736706E-2</v>
      </c>
      <c r="K6501">
        <v>5.6577894480892899E-2</v>
      </c>
      <c r="L6501">
        <v>522.11113401146304</v>
      </c>
      <c r="M6501">
        <v>11.305278560258801</v>
      </c>
      <c r="N6501">
        <v>46.373293689984202</v>
      </c>
      <c r="O6501">
        <v>44.808735358331802</v>
      </c>
      <c r="P6501">
        <v>-6.1664040489566599E-2</v>
      </c>
      <c r="Q6501">
        <v>2.2669678833576099E-2</v>
      </c>
      <c r="R6501">
        <v>0.93838509172567697</v>
      </c>
      <c r="S6501" t="s">
        <v>13147</v>
      </c>
      <c r="T6501" t="s">
        <v>13290</v>
      </c>
      <c r="U6501" t="s">
        <v>13290</v>
      </c>
      <c r="V6501" t="s">
        <v>13290</v>
      </c>
      <c r="W6501" t="s">
        <v>19736</v>
      </c>
      <c r="X6501">
        <v>2</v>
      </c>
      <c r="Y6501" t="s">
        <v>26194</v>
      </c>
      <c r="Z6501" t="s">
        <v>32831</v>
      </c>
      <c r="AA6501">
        <v>0.27290264480044252</v>
      </c>
      <c r="AB6501" t="str">
        <f>HYPERLINK("Melting_Curves/meltCurve_Q9Y3I1_FBXO7.pdf", "Melting_Curves/meltCurve_Q9Y3I1_FBXO7.pdf")</f>
        <v>Melting_Curves/meltCurve_Q9Y3I1_FBXO7.pdf</v>
      </c>
    </row>
    <row r="6502" spans="1:28" x14ac:dyDescent="0.25">
      <c r="A6502" t="s">
        <v>6506</v>
      </c>
      <c r="B6502">
        <v>0.99252571173614901</v>
      </c>
      <c r="C6502">
        <v>1.08223122408725</v>
      </c>
      <c r="D6502">
        <v>0.90455469962142898</v>
      </c>
      <c r="E6502">
        <v>0.82285363380344001</v>
      </c>
      <c r="F6502">
        <v>0.32827386175960499</v>
      </c>
      <c r="G6502">
        <v>0.10886331825864599</v>
      </c>
      <c r="H6502">
        <v>8.4438514768719802E-2</v>
      </c>
      <c r="I6502">
        <v>8.9896175470574602E-2</v>
      </c>
      <c r="J6502">
        <v>0.105762652551935</v>
      </c>
      <c r="K6502">
        <v>0.10031865940757601</v>
      </c>
      <c r="L6502">
        <v>1751.4346119608199</v>
      </c>
      <c r="M6502">
        <v>33.963234806131602</v>
      </c>
      <c r="N6502">
        <v>51.869354168094098</v>
      </c>
      <c r="O6502">
        <v>51.390748089375201</v>
      </c>
      <c r="P6502">
        <v>-0.15045205010839599</v>
      </c>
      <c r="Q6502">
        <v>8.9390320315130598E-2</v>
      </c>
      <c r="R6502">
        <v>0.99137097429568199</v>
      </c>
      <c r="S6502" t="s">
        <v>13148</v>
      </c>
      <c r="T6502" t="s">
        <v>13290</v>
      </c>
      <c r="U6502" t="s">
        <v>13290</v>
      </c>
      <c r="V6502" t="s">
        <v>13290</v>
      </c>
      <c r="W6502" t="s">
        <v>17444</v>
      </c>
      <c r="X6502">
        <v>10</v>
      </c>
      <c r="Y6502" t="s">
        <v>23938</v>
      </c>
      <c r="Z6502" t="s">
        <v>32832</v>
      </c>
      <c r="AA6502">
        <v>0.44504662253600208</v>
      </c>
      <c r="AB6502" t="str">
        <f>HYPERLINK("Melting_Curves/meltCurve_Q9Y3L3_SH3BP1.pdf", "Melting_Curves/meltCurve_Q9Y3L3_SH3BP1.pdf")</f>
        <v>Melting_Curves/meltCurve_Q9Y3L3_SH3BP1.pdf</v>
      </c>
    </row>
    <row r="6503" spans="1:28" x14ac:dyDescent="0.25">
      <c r="A6503" t="s">
        <v>6507</v>
      </c>
      <c r="B6503">
        <v>0.99252571173614901</v>
      </c>
      <c r="C6503">
        <v>0.87517582139874295</v>
      </c>
      <c r="D6503">
        <v>0.87067413792593396</v>
      </c>
      <c r="E6503">
        <v>0.85191951600427196</v>
      </c>
      <c r="F6503">
        <v>0.78845836807813396</v>
      </c>
      <c r="G6503">
        <v>0.59948126604954699</v>
      </c>
      <c r="H6503">
        <v>0.47943055568389398</v>
      </c>
      <c r="I6503">
        <v>0.36605480675777902</v>
      </c>
      <c r="J6503">
        <v>0.41158244822155599</v>
      </c>
      <c r="K6503">
        <v>0.24026752807197399</v>
      </c>
      <c r="L6503">
        <v>427.63078235054797</v>
      </c>
      <c r="M6503">
        <v>7.05304562825396</v>
      </c>
      <c r="N6503">
        <v>60.630655873630097</v>
      </c>
      <c r="O6503">
        <v>56.322089581246601</v>
      </c>
      <c r="P6503">
        <v>-3.1363200630485602E-2</v>
      </c>
      <c r="Q6503">
        <v>0</v>
      </c>
      <c r="R6503">
        <v>0.96635184711871303</v>
      </c>
      <c r="S6503" t="s">
        <v>13149</v>
      </c>
      <c r="T6503" t="s">
        <v>13290</v>
      </c>
      <c r="U6503" t="s">
        <v>13290</v>
      </c>
      <c r="V6503" t="s">
        <v>13290</v>
      </c>
      <c r="W6503" t="s">
        <v>19737</v>
      </c>
      <c r="X6503">
        <v>6</v>
      </c>
      <c r="Y6503" t="s">
        <v>26195</v>
      </c>
      <c r="Z6503" t="s">
        <v>32833</v>
      </c>
      <c r="AA6503">
        <v>0.65751460378203885</v>
      </c>
      <c r="AB6503" t="str">
        <f>HYPERLINK("Melting_Curves/meltCurve_Q9Y3L5_RAP2C.pdf", "Melting_Curves/meltCurve_Q9Y3L5_RAP2C.pdf")</f>
        <v>Melting_Curves/meltCurve_Q9Y3L5_RAP2C.pdf</v>
      </c>
    </row>
    <row r="6504" spans="1:28" x14ac:dyDescent="0.25">
      <c r="A6504" t="s">
        <v>6508</v>
      </c>
      <c r="B6504">
        <v>0.99252571173614901</v>
      </c>
      <c r="C6504">
        <v>1.02753716006866</v>
      </c>
      <c r="D6504">
        <v>0.94547913790942795</v>
      </c>
      <c r="E6504">
        <v>0.87004566567324304</v>
      </c>
      <c r="F6504">
        <v>0.65614681326518298</v>
      </c>
      <c r="G6504">
        <v>0.46720842288505599</v>
      </c>
      <c r="H6504">
        <v>0.36085887138586198</v>
      </c>
      <c r="I6504">
        <v>0.35478650211555701</v>
      </c>
      <c r="J6504">
        <v>0.56088758741509703</v>
      </c>
      <c r="K6504">
        <v>0.45253782583716101</v>
      </c>
      <c r="L6504">
        <v>1418.04846942882</v>
      </c>
      <c r="M6504">
        <v>27.2509741098585</v>
      </c>
      <c r="N6504">
        <v>56.0373328936764</v>
      </c>
      <c r="O6504">
        <v>51.758832805350004</v>
      </c>
      <c r="P6504">
        <v>-7.5218273572420599E-2</v>
      </c>
      <c r="Q6504">
        <v>0.42854567413658501</v>
      </c>
      <c r="R6504">
        <v>0.94829696443859501</v>
      </c>
      <c r="S6504" t="s">
        <v>13150</v>
      </c>
      <c r="T6504" t="s">
        <v>13290</v>
      </c>
      <c r="U6504" t="s">
        <v>13290</v>
      </c>
      <c r="V6504" t="s">
        <v>13290</v>
      </c>
      <c r="W6504" t="s">
        <v>19738</v>
      </c>
      <c r="X6504">
        <v>3</v>
      </c>
      <c r="Y6504" t="s">
        <v>26196</v>
      </c>
      <c r="Z6504" t="s">
        <v>32834</v>
      </c>
      <c r="AA6504">
        <v>0.66223962582012308</v>
      </c>
      <c r="AB6504" t="str">
        <f>HYPERLINK("Melting_Curves/meltCurve_Q9Y3P8_SIT1.pdf", "Melting_Curves/meltCurve_Q9Y3P8_SIT1.pdf")</f>
        <v>Melting_Curves/meltCurve_Q9Y3P8_SIT1.pdf</v>
      </c>
    </row>
    <row r="6505" spans="1:28" x14ac:dyDescent="0.25">
      <c r="A6505" t="s">
        <v>6509</v>
      </c>
      <c r="B6505">
        <v>0.99252571173614901</v>
      </c>
      <c r="C6505">
        <v>0.93788243163156404</v>
      </c>
      <c r="D6505">
        <v>0.82862580979493194</v>
      </c>
      <c r="E6505">
        <v>0.56699768861113597</v>
      </c>
      <c r="F6505">
        <v>0.18594309416639301</v>
      </c>
      <c r="G6505">
        <v>0.111687151611984</v>
      </c>
      <c r="H6505">
        <v>8.9152467197664606E-2</v>
      </c>
      <c r="I6505">
        <v>9.6447995099182393E-2</v>
      </c>
      <c r="J6505">
        <v>0.12589419601857399</v>
      </c>
      <c r="K6505">
        <v>0.12882491163030699</v>
      </c>
      <c r="L6505">
        <v>1179.8990351412201</v>
      </c>
      <c r="M6505">
        <v>23.921599874177701</v>
      </c>
      <c r="N6505">
        <v>49.768664268409601</v>
      </c>
      <c r="O6505">
        <v>48.982783397012803</v>
      </c>
      <c r="P6505">
        <v>-0.110336606492942</v>
      </c>
      <c r="Q6505">
        <v>9.6296825209366693E-2</v>
      </c>
      <c r="R6505">
        <v>0.99268126530779999</v>
      </c>
      <c r="S6505" t="s">
        <v>13151</v>
      </c>
      <c r="T6505" t="s">
        <v>13290</v>
      </c>
      <c r="U6505" t="s">
        <v>13290</v>
      </c>
      <c r="V6505" t="s">
        <v>13290</v>
      </c>
      <c r="W6505" t="s">
        <v>19739</v>
      </c>
      <c r="X6505">
        <v>17</v>
      </c>
      <c r="Y6505" t="s">
        <v>26197</v>
      </c>
      <c r="Z6505" t="s">
        <v>32835</v>
      </c>
      <c r="AA6505">
        <v>0.38593847655974728</v>
      </c>
      <c r="AB6505" t="str">
        <f>HYPERLINK("Melting_Curves/meltCurve_Q9Y3P9_RABGAP1.pdf", "Melting_Curves/meltCurve_Q9Y3P9_RABGAP1.pdf")</f>
        <v>Melting_Curves/meltCurve_Q9Y3P9_RABGAP1.pdf</v>
      </c>
    </row>
    <row r="6506" spans="1:28" x14ac:dyDescent="0.25">
      <c r="A6506" t="s">
        <v>6510</v>
      </c>
      <c r="B6506">
        <v>0.99252571173614901</v>
      </c>
      <c r="C6506">
        <v>1.06356786590262</v>
      </c>
      <c r="D6506">
        <v>0.89593044370934805</v>
      </c>
      <c r="E6506">
        <v>0.68798231278283395</v>
      </c>
      <c r="F6506">
        <v>0.37467488757843798</v>
      </c>
      <c r="G6506">
        <v>0.20229093858431399</v>
      </c>
      <c r="H6506">
        <v>0.122342850278627</v>
      </c>
      <c r="I6506">
        <v>0.11481867545957999</v>
      </c>
      <c r="J6506">
        <v>0.213212813110885</v>
      </c>
      <c r="K6506">
        <v>0.21097645147382299</v>
      </c>
      <c r="L6506">
        <v>1234.25882893672</v>
      </c>
      <c r="M6506">
        <v>24.3732783864148</v>
      </c>
      <c r="N6506">
        <v>51.452608646731001</v>
      </c>
      <c r="O6506">
        <v>50.302637651237099</v>
      </c>
      <c r="P6506">
        <v>-0.101780161804589</v>
      </c>
      <c r="Q6506">
        <v>0.159779103100706</v>
      </c>
      <c r="R6506">
        <v>0.98652040470991098</v>
      </c>
      <c r="S6506" t="s">
        <v>13152</v>
      </c>
      <c r="T6506" t="s">
        <v>13290</v>
      </c>
      <c r="U6506" t="s">
        <v>13290</v>
      </c>
      <c r="V6506" t="s">
        <v>13290</v>
      </c>
      <c r="W6506" t="s">
        <v>19740</v>
      </c>
      <c r="X6506">
        <v>2</v>
      </c>
      <c r="Y6506" t="s">
        <v>26198</v>
      </c>
      <c r="Z6506" t="s">
        <v>32836</v>
      </c>
      <c r="AA6506">
        <v>0.46572332006931372</v>
      </c>
      <c r="AB6506" t="str">
        <f>HYPERLINK("Melting_Curves/meltCurve_Q9Y3Q8_TSC22D4.pdf", "Melting_Curves/meltCurve_Q9Y3Q8_TSC22D4.pdf")</f>
        <v>Melting_Curves/meltCurve_Q9Y3Q8_TSC22D4.pdf</v>
      </c>
    </row>
    <row r="6507" spans="1:28" x14ac:dyDescent="0.25">
      <c r="A6507" t="s">
        <v>6511</v>
      </c>
      <c r="B6507">
        <v>0.99252571173614901</v>
      </c>
      <c r="C6507">
        <v>0.929078348269752</v>
      </c>
      <c r="D6507">
        <v>0.93772351443161395</v>
      </c>
      <c r="E6507">
        <v>0.86332788452360898</v>
      </c>
      <c r="F6507">
        <v>0.40441477517095098</v>
      </c>
      <c r="G6507">
        <v>0.174941692543852</v>
      </c>
      <c r="H6507">
        <v>0.114332192892348</v>
      </c>
      <c r="I6507">
        <v>0.127141928797979</v>
      </c>
      <c r="J6507">
        <v>0.13505530781730701</v>
      </c>
      <c r="K6507">
        <v>0.13702184619916599</v>
      </c>
      <c r="L6507">
        <v>1724.7997746225501</v>
      </c>
      <c r="M6507">
        <v>33.169820723224802</v>
      </c>
      <c r="N6507">
        <v>52.4571556747511</v>
      </c>
      <c r="O6507">
        <v>51.811159307764903</v>
      </c>
      <c r="P6507">
        <v>-0.13992713464961601</v>
      </c>
      <c r="Q6507">
        <v>0.12574078317794801</v>
      </c>
      <c r="R6507">
        <v>0.99419766669946097</v>
      </c>
      <c r="S6507" t="s">
        <v>13153</v>
      </c>
      <c r="T6507" t="s">
        <v>13290</v>
      </c>
      <c r="U6507" t="s">
        <v>13290</v>
      </c>
      <c r="V6507" t="s">
        <v>13290</v>
      </c>
      <c r="W6507" t="s">
        <v>19741</v>
      </c>
      <c r="X6507">
        <v>10</v>
      </c>
      <c r="Y6507" t="s">
        <v>26199</v>
      </c>
      <c r="Z6507" t="s">
        <v>32837</v>
      </c>
      <c r="AA6507">
        <v>0.47999042582877399</v>
      </c>
      <c r="AB6507" t="str">
        <f>HYPERLINK("Melting_Curves/meltCurve_Q9Y3R5_2_DOPEY2.pdf", "Melting_Curves/meltCurve_Q9Y3R5_2_DOPEY2.pdf")</f>
        <v>Melting_Curves/meltCurve_Q9Y3R5_2_DOPEY2.pdf</v>
      </c>
    </row>
    <row r="6508" spans="1:28" x14ac:dyDescent="0.25">
      <c r="A6508" t="s">
        <v>6512</v>
      </c>
      <c r="B6508">
        <v>0.99252571173614901</v>
      </c>
      <c r="C6508">
        <v>0.99820910707627897</v>
      </c>
      <c r="D6508">
        <v>0.71865725468490005</v>
      </c>
      <c r="E6508">
        <v>0.453924410368371</v>
      </c>
      <c r="F6508">
        <v>0.297026351969498</v>
      </c>
      <c r="G6508">
        <v>0.20079360547355299</v>
      </c>
      <c r="H6508">
        <v>0.18548445774161601</v>
      </c>
      <c r="I6508">
        <v>0.252606277354613</v>
      </c>
      <c r="J6508">
        <v>0.36152433828262298</v>
      </c>
      <c r="K6508">
        <v>0.30251686820583801</v>
      </c>
      <c r="L6508">
        <v>1247.7124043700701</v>
      </c>
      <c r="M6508">
        <v>26.442571225138401</v>
      </c>
      <c r="N6508">
        <v>48.547895435964598</v>
      </c>
      <c r="O6508">
        <v>46.918334596093203</v>
      </c>
      <c r="P6508">
        <v>-0.103997046589553</v>
      </c>
      <c r="Q6508">
        <v>0.26189967856681901</v>
      </c>
      <c r="R6508">
        <v>0.96949553161180901</v>
      </c>
      <c r="S6508" t="s">
        <v>13154</v>
      </c>
      <c r="T6508" t="s">
        <v>13290</v>
      </c>
      <c r="U6508" t="s">
        <v>13290</v>
      </c>
      <c r="V6508" t="s">
        <v>13290</v>
      </c>
      <c r="W6508" t="s">
        <v>19742</v>
      </c>
      <c r="X6508">
        <v>10</v>
      </c>
      <c r="Y6508" t="s">
        <v>26200</v>
      </c>
      <c r="Z6508" t="s">
        <v>32838</v>
      </c>
      <c r="AA6508">
        <v>0.4445044338323999</v>
      </c>
      <c r="AB6508" t="str">
        <f>HYPERLINK("Melting_Curves/meltCurve_Q9Y3S2_ZNF330.pdf", "Melting_Curves/meltCurve_Q9Y3S2_ZNF330.pdf")</f>
        <v>Melting_Curves/meltCurve_Q9Y3S2_ZNF330.pdf</v>
      </c>
    </row>
    <row r="6509" spans="1:28" x14ac:dyDescent="0.25">
      <c r="A6509" t="s">
        <v>6513</v>
      </c>
      <c r="B6509">
        <v>0.99252571173614901</v>
      </c>
      <c r="C6509">
        <v>0.98994874998471405</v>
      </c>
      <c r="D6509">
        <v>0.84905641340908999</v>
      </c>
      <c r="E6509">
        <v>0.51981182571551898</v>
      </c>
      <c r="F6509">
        <v>0.271062194177073</v>
      </c>
      <c r="G6509">
        <v>0.137079034641269</v>
      </c>
      <c r="H6509">
        <v>5.5734166320201901E-2</v>
      </c>
      <c r="I6509">
        <v>6.4910919525891106E-2</v>
      </c>
      <c r="J6509">
        <v>6.3670742741383707E-2</v>
      </c>
      <c r="K6509">
        <v>2.3188416833035699E-2</v>
      </c>
      <c r="L6509">
        <v>975.88136585145605</v>
      </c>
      <c r="M6509">
        <v>19.5940589438666</v>
      </c>
      <c r="N6509">
        <v>50.039886002019301</v>
      </c>
      <c r="O6509">
        <v>49.294894631318101</v>
      </c>
      <c r="P6509">
        <v>-9.5008375808952106E-2</v>
      </c>
      <c r="Q6509">
        <v>4.39423078583909E-2</v>
      </c>
      <c r="R6509">
        <v>0.99808788524118297</v>
      </c>
      <c r="S6509" t="s">
        <v>13155</v>
      </c>
      <c r="T6509" t="s">
        <v>13290</v>
      </c>
      <c r="U6509" t="s">
        <v>13290</v>
      </c>
      <c r="V6509" t="s">
        <v>13290</v>
      </c>
      <c r="W6509" t="s">
        <v>19743</v>
      </c>
      <c r="X6509">
        <v>3</v>
      </c>
      <c r="Y6509" t="s">
        <v>26201</v>
      </c>
      <c r="Z6509" t="s">
        <v>32839</v>
      </c>
      <c r="AA6509">
        <v>0.37027999005040779</v>
      </c>
      <c r="AB6509" t="str">
        <f>HYPERLINK("Melting_Curves/meltCurve_Q9Y3T6_R3HCC1.pdf", "Melting_Curves/meltCurve_Q9Y3T6_R3HCC1.pdf")</f>
        <v>Melting_Curves/meltCurve_Q9Y3T6_R3HCC1.pdf</v>
      </c>
    </row>
    <row r="6510" spans="1:28" x14ac:dyDescent="0.25">
      <c r="A6510" t="s">
        <v>6514</v>
      </c>
      <c r="B6510">
        <v>0.99252571173614901</v>
      </c>
      <c r="C6510">
        <v>0.94444752675766497</v>
      </c>
      <c r="D6510">
        <v>0.92487562523772704</v>
      </c>
      <c r="E6510">
        <v>0.64513684220744305</v>
      </c>
      <c r="F6510">
        <v>0.17900920577732701</v>
      </c>
      <c r="G6510">
        <v>0.108769104385826</v>
      </c>
      <c r="H6510">
        <v>0.104512883481156</v>
      </c>
      <c r="I6510">
        <v>0.165183108537934</v>
      </c>
      <c r="J6510">
        <v>0.13629498194301901</v>
      </c>
      <c r="K6510">
        <v>0.133629790303151</v>
      </c>
      <c r="L6510">
        <v>1998.8921836950699</v>
      </c>
      <c r="M6510">
        <v>39.979208187965597</v>
      </c>
      <c r="N6510">
        <v>50.362118577929998</v>
      </c>
      <c r="O6510">
        <v>49.8736890243555</v>
      </c>
      <c r="P6510">
        <v>-0.175267406709461</v>
      </c>
      <c r="Q6510">
        <v>0.125424033467567</v>
      </c>
      <c r="R6510">
        <v>0.99372800858398003</v>
      </c>
      <c r="S6510" t="s">
        <v>13156</v>
      </c>
      <c r="T6510" t="s">
        <v>13290</v>
      </c>
      <c r="U6510" t="s">
        <v>13290</v>
      </c>
      <c r="V6510" t="s">
        <v>13290</v>
      </c>
      <c r="W6510" t="s">
        <v>19744</v>
      </c>
      <c r="X6510">
        <v>8</v>
      </c>
      <c r="Y6510" t="s">
        <v>26202</v>
      </c>
      <c r="Z6510" t="s">
        <v>32840</v>
      </c>
      <c r="AA6510">
        <v>0.41992639145973898</v>
      </c>
      <c r="AB6510" t="str">
        <f>HYPERLINK("Melting_Curves/meltCurve_Q9Y3T9_NOC2L.pdf", "Melting_Curves/meltCurve_Q9Y3T9_NOC2L.pdf")</f>
        <v>Melting_Curves/meltCurve_Q9Y3T9_NOC2L.pdf</v>
      </c>
    </row>
    <row r="6511" spans="1:28" x14ac:dyDescent="0.25">
      <c r="A6511" t="s">
        <v>6515</v>
      </c>
      <c r="B6511">
        <v>0.99252571173614901</v>
      </c>
      <c r="C6511">
        <v>0.94315457472138697</v>
      </c>
      <c r="D6511">
        <v>0.90969394657143998</v>
      </c>
      <c r="E6511">
        <v>0.89781088481955795</v>
      </c>
      <c r="F6511">
        <v>0.61000596213474201</v>
      </c>
      <c r="G6511">
        <v>0.44867956545801502</v>
      </c>
      <c r="H6511">
        <v>0.27355317897331999</v>
      </c>
      <c r="I6511">
        <v>0.26174255533283802</v>
      </c>
      <c r="J6511">
        <v>0.30969131119346899</v>
      </c>
      <c r="K6511">
        <v>0.33360588492028898</v>
      </c>
      <c r="L6511">
        <v>1155.92910557492</v>
      </c>
      <c r="M6511">
        <v>21.8240994377901</v>
      </c>
      <c r="N6511">
        <v>55.081896566700102</v>
      </c>
      <c r="O6511">
        <v>52.527037635882003</v>
      </c>
      <c r="P6511">
        <v>-7.4392853327432104E-2</v>
      </c>
      <c r="Q6511">
        <v>0.283810916857414</v>
      </c>
      <c r="R6511">
        <v>0.98164283114401296</v>
      </c>
      <c r="S6511" t="s">
        <v>13157</v>
      </c>
      <c r="T6511" t="s">
        <v>13290</v>
      </c>
      <c r="U6511" t="s">
        <v>13290</v>
      </c>
      <c r="V6511" t="s">
        <v>13290</v>
      </c>
      <c r="W6511" t="s">
        <v>19745</v>
      </c>
      <c r="X6511">
        <v>4</v>
      </c>
      <c r="Y6511" t="s">
        <v>26203</v>
      </c>
      <c r="Z6511" t="s">
        <v>32841</v>
      </c>
      <c r="AA6511">
        <v>0.60179977375303018</v>
      </c>
      <c r="AB6511" t="str">
        <f>HYPERLINK("Melting_Curves/meltCurve_Q9Y3U8_RPL36.pdf", "Melting_Curves/meltCurve_Q9Y3U8_RPL36.pdf")</f>
        <v>Melting_Curves/meltCurve_Q9Y3U8_RPL36.pdf</v>
      </c>
    </row>
    <row r="6512" spans="1:28" x14ac:dyDescent="0.25">
      <c r="A6512" t="s">
        <v>6516</v>
      </c>
      <c r="B6512">
        <v>0.99252571173614901</v>
      </c>
      <c r="C6512">
        <v>1.0531224550173399</v>
      </c>
      <c r="D6512">
        <v>0.977346073211668</v>
      </c>
      <c r="E6512">
        <v>1.03224206843996</v>
      </c>
      <c r="F6512">
        <v>0.93807312389700703</v>
      </c>
      <c r="G6512">
        <v>0.97317455630189797</v>
      </c>
      <c r="H6512">
        <v>1.26012336544577</v>
      </c>
      <c r="I6512">
        <v>1.90292388604351</v>
      </c>
      <c r="J6512">
        <v>2.9038730344117698</v>
      </c>
      <c r="K6512">
        <v>3.14289466847345</v>
      </c>
      <c r="L6512">
        <v>15000</v>
      </c>
      <c r="M6512">
        <v>246.791609919763</v>
      </c>
      <c r="O6512">
        <v>60.776017484944099</v>
      </c>
      <c r="P6512">
        <v>0.50758415483462704</v>
      </c>
      <c r="Q6512">
        <v>1.5</v>
      </c>
      <c r="R6512">
        <v>0.24698814915412501</v>
      </c>
      <c r="S6512" t="s">
        <v>13158</v>
      </c>
      <c r="T6512" t="s">
        <v>13290</v>
      </c>
      <c r="U6512" t="s">
        <v>13290</v>
      </c>
      <c r="V6512" t="s">
        <v>13290</v>
      </c>
      <c r="W6512" t="s">
        <v>19746</v>
      </c>
      <c r="X6512">
        <v>21</v>
      </c>
      <c r="Y6512" t="s">
        <v>26204</v>
      </c>
      <c r="Z6512" t="s">
        <v>32842</v>
      </c>
      <c r="AA6512">
        <v>1.153611534849635</v>
      </c>
      <c r="AB6512" t="str">
        <f>HYPERLINK("Melting_Curves/meltCurve_Q9Y3X0_CCDC9.pdf", "Melting_Curves/meltCurve_Q9Y3X0_CCDC9.pdf")</f>
        <v>Melting_Curves/meltCurve_Q9Y3X0_CCDC9.pdf</v>
      </c>
    </row>
    <row r="6513" spans="1:28" x14ac:dyDescent="0.25">
      <c r="A6513" t="s">
        <v>6517</v>
      </c>
      <c r="B6513">
        <v>0.99252571173614901</v>
      </c>
      <c r="C6513">
        <v>0.98055614039980799</v>
      </c>
      <c r="D6513">
        <v>0.86416899474735898</v>
      </c>
      <c r="E6513">
        <v>0.81964262537507804</v>
      </c>
      <c r="F6513">
        <v>0.43504229749291801</v>
      </c>
      <c r="G6513">
        <v>0.22460072426837199</v>
      </c>
      <c r="H6513">
        <v>0.149276669665483</v>
      </c>
      <c r="I6513">
        <v>0.15376252125810899</v>
      </c>
      <c r="J6513">
        <v>0.25582399716567999</v>
      </c>
      <c r="K6513">
        <v>0.30370125928886699</v>
      </c>
      <c r="L6513">
        <v>1478.21083905828</v>
      </c>
      <c r="M6513">
        <v>28.745027156266602</v>
      </c>
      <c r="N6513">
        <v>52.400443686363197</v>
      </c>
      <c r="O6513">
        <v>51.177966420184802</v>
      </c>
      <c r="P6513">
        <v>-0.11132262847754799</v>
      </c>
      <c r="Q6513">
        <v>0.20720593254779199</v>
      </c>
      <c r="R6513">
        <v>0.97046386155136399</v>
      </c>
      <c r="S6513" t="s">
        <v>13159</v>
      </c>
      <c r="T6513" t="s">
        <v>13290</v>
      </c>
      <c r="U6513" t="s">
        <v>13290</v>
      </c>
      <c r="V6513" t="s">
        <v>13290</v>
      </c>
      <c r="W6513" t="s">
        <v>19747</v>
      </c>
      <c r="X6513">
        <v>5</v>
      </c>
      <c r="Y6513" t="s">
        <v>26205</v>
      </c>
      <c r="Z6513" t="s">
        <v>32843</v>
      </c>
      <c r="AA6513">
        <v>0.51459135302712311</v>
      </c>
      <c r="AB6513" t="str">
        <f>HYPERLINK("Melting_Curves/meltCurve_Q9Y3Y2_4_CHTOP.pdf", "Melting_Curves/meltCurve_Q9Y3Y2_4_CHTOP.pdf")</f>
        <v>Melting_Curves/meltCurve_Q9Y3Y2_4_CHTOP.pdf</v>
      </c>
    </row>
    <row r="6514" spans="1:28" x14ac:dyDescent="0.25">
      <c r="A6514" t="s">
        <v>6518</v>
      </c>
      <c r="B6514">
        <v>0.99252571173614901</v>
      </c>
      <c r="C6514">
        <v>0.97785929785386105</v>
      </c>
      <c r="D6514">
        <v>0.97637731287462703</v>
      </c>
      <c r="E6514">
        <v>0.89858241846145304</v>
      </c>
      <c r="F6514">
        <v>0.57227409891914405</v>
      </c>
      <c r="G6514">
        <v>0.251565826357601</v>
      </c>
      <c r="H6514">
        <v>0.157723744042572</v>
      </c>
      <c r="I6514">
        <v>0.122047889283862</v>
      </c>
      <c r="J6514">
        <v>0.123057959178099</v>
      </c>
      <c r="K6514">
        <v>0.10315055466765299</v>
      </c>
      <c r="L6514">
        <v>1425.39756787191</v>
      </c>
      <c r="M6514">
        <v>26.728602896676499</v>
      </c>
      <c r="N6514">
        <v>53.8465527287659</v>
      </c>
      <c r="O6514">
        <v>53.0327199681441</v>
      </c>
      <c r="P6514">
        <v>-0.111717145925518</v>
      </c>
      <c r="Q6514">
        <v>0.11336884858509</v>
      </c>
      <c r="R6514">
        <v>0.99932467263571001</v>
      </c>
      <c r="S6514" t="s">
        <v>13160</v>
      </c>
      <c r="T6514" t="s">
        <v>13290</v>
      </c>
      <c r="U6514" t="s">
        <v>13290</v>
      </c>
      <c r="V6514" t="s">
        <v>13290</v>
      </c>
      <c r="W6514" t="s">
        <v>19748</v>
      </c>
      <c r="X6514">
        <v>19</v>
      </c>
      <c r="Y6514" t="s">
        <v>26206</v>
      </c>
      <c r="Z6514" t="s">
        <v>32844</v>
      </c>
      <c r="AA6514">
        <v>0.51449997901447064</v>
      </c>
      <c r="AB6514" t="str">
        <f>HYPERLINK("Melting_Curves/meltCurve_Q9Y3Z3_SAMHD1.pdf", "Melting_Curves/meltCurve_Q9Y3Z3_SAMHD1.pdf")</f>
        <v>Melting_Curves/meltCurve_Q9Y3Z3_SAMHD1.pdf</v>
      </c>
    </row>
    <row r="6515" spans="1:28" x14ac:dyDescent="0.25">
      <c r="A6515" t="s">
        <v>6519</v>
      </c>
      <c r="B6515">
        <v>0.99252571173614901</v>
      </c>
      <c r="C6515">
        <v>1.1149279524214899</v>
      </c>
      <c r="D6515">
        <v>0.92901009542205004</v>
      </c>
      <c r="E6515">
        <v>0.890920155812014</v>
      </c>
      <c r="F6515">
        <v>0.63713170979822198</v>
      </c>
      <c r="G6515">
        <v>0.52779583687645004</v>
      </c>
      <c r="H6515">
        <v>0.42155754395171502</v>
      </c>
      <c r="I6515">
        <v>0.53341211969900704</v>
      </c>
      <c r="J6515">
        <v>0.64784106621229798</v>
      </c>
      <c r="K6515">
        <v>0.72902805628938705</v>
      </c>
      <c r="L6515">
        <v>2105.4988291612699</v>
      </c>
      <c r="M6515">
        <v>41.425092320540202</v>
      </c>
      <c r="O6515">
        <v>50.708658963355099</v>
      </c>
      <c r="P6515">
        <v>-8.7388437601178898E-2</v>
      </c>
      <c r="Q6515">
        <v>0.57211048752053995</v>
      </c>
      <c r="R6515">
        <v>0.84120572785518399</v>
      </c>
      <c r="S6515" t="s">
        <v>13161</v>
      </c>
      <c r="T6515" t="s">
        <v>13290</v>
      </c>
      <c r="U6515" t="s">
        <v>13290</v>
      </c>
      <c r="V6515" t="s">
        <v>13290</v>
      </c>
      <c r="W6515" t="s">
        <v>19749</v>
      </c>
      <c r="X6515">
        <v>6</v>
      </c>
      <c r="Y6515" t="s">
        <v>26207</v>
      </c>
      <c r="Z6515" t="s">
        <v>32845</v>
      </c>
      <c r="AA6515">
        <v>0.72793180072585906</v>
      </c>
      <c r="AB6515" t="str">
        <f>HYPERLINK("Melting_Curves/meltCurve_Q9Y421_FAM32A.pdf", "Melting_Curves/meltCurve_Q9Y421_FAM32A.pdf")</f>
        <v>Melting_Curves/meltCurve_Q9Y421_FAM32A.pdf</v>
      </c>
    </row>
    <row r="6516" spans="1:28" x14ac:dyDescent="0.25">
      <c r="A6516" t="s">
        <v>6520</v>
      </c>
      <c r="B6516">
        <v>0.99252571173614901</v>
      </c>
      <c r="C6516">
        <v>0.92109461233127399</v>
      </c>
      <c r="D6516">
        <v>0.74925525541117499</v>
      </c>
      <c r="E6516">
        <v>0.31188715903839498</v>
      </c>
      <c r="F6516">
        <v>0.178834525760422</v>
      </c>
      <c r="G6516">
        <v>0.104145383813589</v>
      </c>
      <c r="H6516">
        <v>7.7072416303749697E-2</v>
      </c>
      <c r="I6516">
        <v>7.8890366000395507E-2</v>
      </c>
      <c r="J6516">
        <v>0.106573789446718</v>
      </c>
      <c r="K6516">
        <v>0.120003913031594</v>
      </c>
      <c r="L6516">
        <v>1209.7735314291999</v>
      </c>
      <c r="M6516">
        <v>25.4386469235451</v>
      </c>
      <c r="N6516">
        <v>47.959284932460697</v>
      </c>
      <c r="O6516">
        <v>47.265535454192602</v>
      </c>
      <c r="P6516">
        <v>-0.121611877498356</v>
      </c>
      <c r="Q6516">
        <v>9.6181323781843506E-2</v>
      </c>
      <c r="R6516">
        <v>0.99718078304726998</v>
      </c>
      <c r="S6516" t="s">
        <v>13162</v>
      </c>
      <c r="T6516" t="s">
        <v>13290</v>
      </c>
      <c r="U6516" t="s">
        <v>13290</v>
      </c>
      <c r="V6516" t="s">
        <v>13290</v>
      </c>
      <c r="W6516" t="s">
        <v>19750</v>
      </c>
      <c r="X6516">
        <v>18</v>
      </c>
      <c r="Y6516" t="s">
        <v>26208</v>
      </c>
      <c r="Z6516" t="s">
        <v>32846</v>
      </c>
      <c r="AA6516">
        <v>0.3315515432837286</v>
      </c>
      <c r="AB6516" t="str">
        <f>HYPERLINK("Melting_Curves/meltCurve_Q9Y446_PKP3.pdf", "Melting_Curves/meltCurve_Q9Y446_PKP3.pdf")</f>
        <v>Melting_Curves/meltCurve_Q9Y446_PKP3.pdf</v>
      </c>
    </row>
    <row r="6517" spans="1:28" x14ac:dyDescent="0.25">
      <c r="A6517" t="s">
        <v>6521</v>
      </c>
      <c r="B6517">
        <v>0.99252571173614901</v>
      </c>
      <c r="C6517">
        <v>0.96018981926758695</v>
      </c>
      <c r="D6517">
        <v>0.87298004537298501</v>
      </c>
      <c r="E6517">
        <v>0.77842174157500599</v>
      </c>
      <c r="F6517">
        <v>0.83109670668313895</v>
      </c>
      <c r="G6517">
        <v>0.76750397977588303</v>
      </c>
      <c r="H6517">
        <v>0.57206135010191195</v>
      </c>
      <c r="I6517">
        <v>0.34512596383523397</v>
      </c>
      <c r="J6517">
        <v>0.421554751092789</v>
      </c>
      <c r="K6517">
        <v>0.421044679529335</v>
      </c>
      <c r="L6517">
        <v>417.57468306378797</v>
      </c>
      <c r="M6517">
        <v>6.7363023394044896</v>
      </c>
      <c r="N6517">
        <v>63.3928586910192</v>
      </c>
      <c r="O6517">
        <v>57.212082501968503</v>
      </c>
      <c r="P6517">
        <v>-2.7454063797053899E-2</v>
      </c>
      <c r="Q6517">
        <v>6.9304991003447503E-2</v>
      </c>
      <c r="R6517">
        <v>0.91406694242146702</v>
      </c>
      <c r="S6517" t="s">
        <v>13163</v>
      </c>
      <c r="T6517" t="s">
        <v>13290</v>
      </c>
      <c r="U6517" t="s">
        <v>13290</v>
      </c>
      <c r="V6517" t="s">
        <v>13290</v>
      </c>
      <c r="W6517" t="s">
        <v>19751</v>
      </c>
      <c r="X6517">
        <v>4</v>
      </c>
      <c r="Y6517" t="s">
        <v>26209</v>
      </c>
      <c r="Z6517" t="s">
        <v>32847</v>
      </c>
      <c r="AA6517">
        <v>0.70411827020049456</v>
      </c>
      <c r="AB6517" t="str">
        <f>HYPERLINK("Melting_Curves/meltCurve_Q9Y448_2_KNSTRN.pdf", "Melting_Curves/meltCurve_Q9Y448_2_KNSTRN.pdf")</f>
        <v>Melting_Curves/meltCurve_Q9Y448_2_KNSTRN.pdf</v>
      </c>
    </row>
    <row r="6518" spans="1:28" x14ac:dyDescent="0.25">
      <c r="A6518" t="s">
        <v>6522</v>
      </c>
      <c r="B6518">
        <v>0.99252571173614901</v>
      </c>
      <c r="C6518">
        <v>0.98402460126069302</v>
      </c>
      <c r="D6518">
        <v>0.91782773834696596</v>
      </c>
      <c r="E6518">
        <v>0.818405243728072</v>
      </c>
      <c r="F6518">
        <v>0.24539143117331499</v>
      </c>
      <c r="G6518">
        <v>8.2129237770568103E-2</v>
      </c>
      <c r="H6518">
        <v>5.0482338996205502E-2</v>
      </c>
      <c r="I6518">
        <v>5.0947668610076401E-2</v>
      </c>
      <c r="J6518">
        <v>5.64936842553646E-2</v>
      </c>
      <c r="K6518">
        <v>5.7159837007911302E-2</v>
      </c>
      <c r="L6518">
        <v>1969.2132501444601</v>
      </c>
      <c r="M6518">
        <v>38.339095102419698</v>
      </c>
      <c r="N6518">
        <v>51.5145304559395</v>
      </c>
      <c r="O6518">
        <v>51.223917435367703</v>
      </c>
      <c r="P6518">
        <v>-0.17714163851067</v>
      </c>
      <c r="Q6518">
        <v>5.3304075929158999E-2</v>
      </c>
      <c r="R6518">
        <v>0.99673148587194704</v>
      </c>
      <c r="S6518" t="s">
        <v>13164</v>
      </c>
      <c r="T6518" t="s">
        <v>13290</v>
      </c>
      <c r="U6518" t="s">
        <v>13290</v>
      </c>
      <c r="V6518" t="s">
        <v>13290</v>
      </c>
      <c r="W6518" t="s">
        <v>19752</v>
      </c>
      <c r="X6518">
        <v>24</v>
      </c>
      <c r="Y6518" t="s">
        <v>26210</v>
      </c>
      <c r="Z6518" t="s">
        <v>32848</v>
      </c>
      <c r="AA6518">
        <v>0.41554275164057858</v>
      </c>
      <c r="AB6518" t="str">
        <f>HYPERLINK("Melting_Curves/meltCurve_Q9Y450_HBS1L.pdf", "Melting_Curves/meltCurve_Q9Y450_HBS1L.pdf")</f>
        <v>Melting_Curves/meltCurve_Q9Y450_HBS1L.pdf</v>
      </c>
    </row>
    <row r="6519" spans="1:28" x14ac:dyDescent="0.25">
      <c r="A6519" t="s">
        <v>6523</v>
      </c>
      <c r="B6519">
        <v>0.99252571173614901</v>
      </c>
      <c r="C6519">
        <v>0.91814029114204598</v>
      </c>
      <c r="D6519">
        <v>0.88395936615959103</v>
      </c>
      <c r="E6519">
        <v>0.78251617459574196</v>
      </c>
      <c r="F6519">
        <v>0.40774602560412099</v>
      </c>
      <c r="G6519">
        <v>0.170193195009059</v>
      </c>
      <c r="H6519">
        <v>9.4587563583461307E-2</v>
      </c>
      <c r="I6519">
        <v>8.4704375052421496E-2</v>
      </c>
      <c r="J6519">
        <v>9.1529390432523394E-2</v>
      </c>
      <c r="K6519">
        <v>6.9965588456377806E-2</v>
      </c>
      <c r="L6519">
        <v>1104.7104337307401</v>
      </c>
      <c r="M6519">
        <v>21.297327943772601</v>
      </c>
      <c r="N6519">
        <v>52.211625328632202</v>
      </c>
      <c r="O6519">
        <v>51.420031166264003</v>
      </c>
      <c r="P6519">
        <v>-9.6829497493637701E-2</v>
      </c>
      <c r="Q6519">
        <v>6.4887714236367605E-2</v>
      </c>
      <c r="R6519">
        <v>0.99233063687224099</v>
      </c>
      <c r="S6519" t="s">
        <v>13165</v>
      </c>
      <c r="T6519" t="s">
        <v>13290</v>
      </c>
      <c r="U6519" t="s">
        <v>13290</v>
      </c>
      <c r="V6519" t="s">
        <v>13290</v>
      </c>
      <c r="W6519" t="s">
        <v>19753</v>
      </c>
      <c r="X6519">
        <v>1</v>
      </c>
      <c r="Y6519" t="s">
        <v>26211</v>
      </c>
      <c r="Z6519" t="s">
        <v>32849</v>
      </c>
      <c r="AA6519">
        <v>0.44645153605084092</v>
      </c>
      <c r="AB6519" t="str">
        <f>HYPERLINK("Melting_Curves/meltCurve_Q9Y478_PRKAB1.pdf", "Melting_Curves/meltCurve_Q9Y478_PRKAB1.pdf")</f>
        <v>Melting_Curves/meltCurve_Q9Y478_PRKAB1.pdf</v>
      </c>
    </row>
    <row r="6520" spans="1:28" x14ac:dyDescent="0.25">
      <c r="A6520" t="s">
        <v>6524</v>
      </c>
      <c r="B6520">
        <v>0.99252571173614901</v>
      </c>
      <c r="C6520">
        <v>0.89598728642573</v>
      </c>
      <c r="D6520">
        <v>0.83949208432094902</v>
      </c>
      <c r="E6520">
        <v>0.61963478439350494</v>
      </c>
      <c r="F6520">
        <v>0.51909110290568306</v>
      </c>
      <c r="G6520">
        <v>0.29178711615993902</v>
      </c>
      <c r="H6520">
        <v>0.13353680032946999</v>
      </c>
      <c r="I6520">
        <v>0.10887599777495199</v>
      </c>
      <c r="J6520">
        <v>0.128014306301801</v>
      </c>
      <c r="K6520">
        <v>9.7755258158889899E-2</v>
      </c>
      <c r="L6520">
        <v>609.77863844236697</v>
      </c>
      <c r="M6520">
        <v>11.711810913668099</v>
      </c>
      <c r="N6520">
        <v>52.374403442312897</v>
      </c>
      <c r="O6520">
        <v>50.616859971196902</v>
      </c>
      <c r="P6520">
        <v>-5.5928420033175302E-2</v>
      </c>
      <c r="Q6520">
        <v>3.3395795108230701E-2</v>
      </c>
      <c r="R6520">
        <v>0.99051974588758995</v>
      </c>
      <c r="S6520" t="s">
        <v>13166</v>
      </c>
      <c r="T6520" t="s">
        <v>13290</v>
      </c>
      <c r="U6520" t="s">
        <v>13290</v>
      </c>
      <c r="V6520" t="s">
        <v>13290</v>
      </c>
      <c r="W6520" t="s">
        <v>19754</v>
      </c>
      <c r="X6520">
        <v>6</v>
      </c>
      <c r="Y6520" t="s">
        <v>26212</v>
      </c>
      <c r="Z6520" t="s">
        <v>32850</v>
      </c>
      <c r="AA6520">
        <v>0.45250794550082291</v>
      </c>
      <c r="AB6520" t="str">
        <f>HYPERLINK("Melting_Curves/meltCurve_Q9Y487_ATP6V0A2.pdf", "Melting_Curves/meltCurve_Q9Y487_ATP6V0A2.pdf")</f>
        <v>Melting_Curves/meltCurve_Q9Y487_ATP6V0A2.pdf</v>
      </c>
    </row>
    <row r="6521" spans="1:28" x14ac:dyDescent="0.25">
      <c r="A6521" t="s">
        <v>6525</v>
      </c>
      <c r="B6521">
        <v>0.99252571173614901</v>
      </c>
      <c r="C6521">
        <v>0.85429480373816902</v>
      </c>
      <c r="D6521">
        <v>0.99904526035035202</v>
      </c>
      <c r="E6521">
        <v>0.56462226255082704</v>
      </c>
      <c r="F6521">
        <v>0.145966172035049</v>
      </c>
      <c r="G6521">
        <v>8.2569426870961998E-2</v>
      </c>
      <c r="H6521">
        <v>6.0141979365663199E-2</v>
      </c>
      <c r="I6521">
        <v>6.9297285031767505E-2</v>
      </c>
      <c r="J6521">
        <v>7.2104613994028802E-2</v>
      </c>
      <c r="K6521">
        <v>7.1394276517928998E-2</v>
      </c>
      <c r="L6521">
        <v>2012.5198185166701</v>
      </c>
      <c r="M6521">
        <v>40.423517053926197</v>
      </c>
      <c r="N6521">
        <v>49.975781228828701</v>
      </c>
      <c r="O6521">
        <v>49.6644948662966</v>
      </c>
      <c r="P6521">
        <v>-0.188995605480416</v>
      </c>
      <c r="Q6521">
        <v>7.1198887582138701E-2</v>
      </c>
      <c r="R6521">
        <v>0.98568758286025904</v>
      </c>
      <c r="S6521" t="s">
        <v>13167</v>
      </c>
      <c r="T6521" t="s">
        <v>13290</v>
      </c>
      <c r="U6521" t="s">
        <v>13290</v>
      </c>
      <c r="V6521" t="s">
        <v>13290</v>
      </c>
      <c r="W6521" t="s">
        <v>19755</v>
      </c>
      <c r="X6521">
        <v>104</v>
      </c>
      <c r="Y6521" t="s">
        <v>26213</v>
      </c>
      <c r="Z6521" t="s">
        <v>32851</v>
      </c>
      <c r="AA6521">
        <v>0.3773002006233323</v>
      </c>
      <c r="AB6521" t="str">
        <f>HYPERLINK("Melting_Curves/meltCurve_Q9Y490_TLN1.pdf", "Melting_Curves/meltCurve_Q9Y490_TLN1.pdf")</f>
        <v>Melting_Curves/meltCurve_Q9Y490_TLN1.pdf</v>
      </c>
    </row>
    <row r="6522" spans="1:28" x14ac:dyDescent="0.25">
      <c r="A6522" t="s">
        <v>6526</v>
      </c>
      <c r="B6522">
        <v>0.99252571173614901</v>
      </c>
      <c r="C6522">
        <v>0.81759502009184304</v>
      </c>
      <c r="D6522">
        <v>1.10548059589335</v>
      </c>
      <c r="E6522">
        <v>0.909704611705766</v>
      </c>
      <c r="F6522">
        <v>0.45118396299986901</v>
      </c>
      <c r="G6522">
        <v>0.158802991523743</v>
      </c>
      <c r="H6522">
        <v>0.15293858025062901</v>
      </c>
      <c r="I6522">
        <v>0.19130460979068201</v>
      </c>
      <c r="J6522">
        <v>0.184888370545463</v>
      </c>
      <c r="K6522">
        <v>0.247706455676036</v>
      </c>
      <c r="L6522">
        <v>2335.5921021171298</v>
      </c>
      <c r="M6522">
        <v>44.694958349758899</v>
      </c>
      <c r="N6522">
        <v>52.798526226881201</v>
      </c>
      <c r="O6522">
        <v>52.152009193721803</v>
      </c>
      <c r="P6522">
        <v>-0.174820259099811</v>
      </c>
      <c r="Q6522">
        <v>0.18405007456372599</v>
      </c>
      <c r="R6522">
        <v>0.96140839072378703</v>
      </c>
      <c r="S6522" t="s">
        <v>13168</v>
      </c>
      <c r="T6522" t="s">
        <v>13290</v>
      </c>
      <c r="U6522" t="s">
        <v>13290</v>
      </c>
      <c r="V6522" t="s">
        <v>13290</v>
      </c>
      <c r="W6522" t="s">
        <v>19756</v>
      </c>
      <c r="X6522">
        <v>4</v>
      </c>
      <c r="Y6522" t="s">
        <v>26214</v>
      </c>
      <c r="Z6522" t="s">
        <v>32852</v>
      </c>
      <c r="AA6522">
        <v>0.51975675870898475</v>
      </c>
      <c r="AB6522" t="str">
        <f>HYPERLINK("Melting_Curves/meltCurve_Q9Y4B6_VPRBP.pdf", "Melting_Curves/meltCurve_Q9Y4B6_VPRBP.pdf")</f>
        <v>Melting_Curves/meltCurve_Q9Y4B6_VPRBP.pdf</v>
      </c>
    </row>
    <row r="6523" spans="1:28" x14ac:dyDescent="0.25">
      <c r="A6523" t="s">
        <v>6527</v>
      </c>
      <c r="B6523">
        <v>0.99252571173614901</v>
      </c>
      <c r="C6523">
        <v>0.95266473385740802</v>
      </c>
      <c r="D6523">
        <v>0.70616768917077899</v>
      </c>
      <c r="E6523">
        <v>0.31675338408395398</v>
      </c>
      <c r="F6523">
        <v>0.167811917904514</v>
      </c>
      <c r="G6523">
        <v>9.5103920286850593E-2</v>
      </c>
      <c r="H6523">
        <v>7.1884025889578401E-2</v>
      </c>
      <c r="I6523">
        <v>6.6166491331112506E-2</v>
      </c>
      <c r="J6523">
        <v>7.94254122320978E-2</v>
      </c>
      <c r="K6523">
        <v>7.0966284450143302E-2</v>
      </c>
      <c r="L6523">
        <v>1128.9022592118899</v>
      </c>
      <c r="M6523">
        <v>23.747994317442998</v>
      </c>
      <c r="N6523">
        <v>47.8618030367359</v>
      </c>
      <c r="O6523">
        <v>47.203515137603397</v>
      </c>
      <c r="P6523">
        <v>-0.116409116908544</v>
      </c>
      <c r="Q6523">
        <v>7.4476998821723803E-2</v>
      </c>
      <c r="R6523">
        <v>0.99901564594016401</v>
      </c>
      <c r="S6523" t="s">
        <v>13169</v>
      </c>
      <c r="T6523" t="s">
        <v>13290</v>
      </c>
      <c r="U6523" t="s">
        <v>13290</v>
      </c>
      <c r="V6523" t="s">
        <v>13290</v>
      </c>
      <c r="W6523" t="s">
        <v>19757</v>
      </c>
      <c r="X6523">
        <v>32</v>
      </c>
      <c r="Y6523" t="s">
        <v>26215</v>
      </c>
      <c r="Z6523" t="s">
        <v>32853</v>
      </c>
      <c r="AA6523">
        <v>0.31615654253916781</v>
      </c>
      <c r="AB6523" t="str">
        <f>HYPERLINK("Melting_Curves/meltCurve_Q9Y4C1_KDM3A.pdf", "Melting_Curves/meltCurve_Q9Y4C1_KDM3A.pdf")</f>
        <v>Melting_Curves/meltCurve_Q9Y4C1_KDM3A.pdf</v>
      </c>
    </row>
    <row r="6524" spans="1:28" x14ac:dyDescent="0.25">
      <c r="A6524" t="s">
        <v>6528</v>
      </c>
      <c r="B6524">
        <v>0.99252571173614901</v>
      </c>
      <c r="C6524">
        <v>0.94274502686279604</v>
      </c>
      <c r="D6524">
        <v>0.823840978880925</v>
      </c>
      <c r="E6524">
        <v>0.70483524135820497</v>
      </c>
      <c r="F6524">
        <v>0.39955844545249602</v>
      </c>
      <c r="G6524">
        <v>0.235869098648812</v>
      </c>
      <c r="H6524">
        <v>0.19159860454122099</v>
      </c>
      <c r="I6524">
        <v>0.186484510461572</v>
      </c>
      <c r="J6524">
        <v>0.28563082489840602</v>
      </c>
      <c r="K6524">
        <v>0.19797857571328401</v>
      </c>
      <c r="L6524">
        <v>941.00950245607203</v>
      </c>
      <c r="M6524">
        <v>18.722325115581999</v>
      </c>
      <c r="N6524">
        <v>51.623480950479397</v>
      </c>
      <c r="O6524">
        <v>49.698487962968798</v>
      </c>
      <c r="P6524">
        <v>-7.5826217172875104E-2</v>
      </c>
      <c r="Q6524">
        <v>0.19491014795047801</v>
      </c>
      <c r="R6524">
        <v>0.98242103840169304</v>
      </c>
      <c r="S6524" t="s">
        <v>13170</v>
      </c>
      <c r="T6524" t="s">
        <v>13290</v>
      </c>
      <c r="U6524" t="s">
        <v>13290</v>
      </c>
      <c r="V6524" t="s">
        <v>13290</v>
      </c>
      <c r="W6524" t="s">
        <v>19758</v>
      </c>
      <c r="X6524">
        <v>4</v>
      </c>
      <c r="Y6524" t="s">
        <v>26216</v>
      </c>
      <c r="Z6524" t="s">
        <v>32854</v>
      </c>
      <c r="AA6524">
        <v>0.48299312787444781</v>
      </c>
      <c r="AB6524" t="str">
        <f>HYPERLINK("Melting_Curves/meltCurve_Q9Y4D1_2_DAAM1.pdf", "Melting_Curves/meltCurve_Q9Y4D1_2_DAAM1.pdf")</f>
        <v>Melting_Curves/meltCurve_Q9Y4D1_2_DAAM1.pdf</v>
      </c>
    </row>
    <row r="6525" spans="1:28" x14ac:dyDescent="0.25">
      <c r="A6525" t="s">
        <v>6529</v>
      </c>
      <c r="B6525">
        <v>0.99252571173614901</v>
      </c>
      <c r="C6525">
        <v>1.2710485129117099</v>
      </c>
      <c r="D6525">
        <v>1.2842559179019</v>
      </c>
      <c r="E6525">
        <v>1.9531804899541101</v>
      </c>
      <c r="F6525">
        <v>1.3681596083699601</v>
      </c>
      <c r="G6525">
        <v>1.3168576601650399</v>
      </c>
      <c r="H6525">
        <v>0.64119071910776804</v>
      </c>
      <c r="I6525">
        <v>0.458834674006879</v>
      </c>
      <c r="J6525">
        <v>0.44917028040544099</v>
      </c>
      <c r="K6525">
        <v>0.48452748085316599</v>
      </c>
      <c r="L6525">
        <v>15000</v>
      </c>
      <c r="M6525">
        <v>247.41709036659699</v>
      </c>
      <c r="N6525">
        <v>61.279248485109001</v>
      </c>
      <c r="O6525">
        <v>60.622408671631597</v>
      </c>
      <c r="P6525">
        <v>-0.54671097171529204</v>
      </c>
      <c r="Q6525">
        <v>0.46417709718512101</v>
      </c>
      <c r="R6525">
        <v>0.431227078580046</v>
      </c>
      <c r="S6525" t="s">
        <v>13171</v>
      </c>
      <c r="T6525" t="s">
        <v>13290</v>
      </c>
      <c r="U6525" t="s">
        <v>13290</v>
      </c>
      <c r="V6525" t="s">
        <v>13290</v>
      </c>
      <c r="W6525" t="s">
        <v>19759</v>
      </c>
      <c r="X6525">
        <v>1</v>
      </c>
      <c r="Y6525" t="s">
        <v>26217</v>
      </c>
      <c r="Z6525" t="s">
        <v>32855</v>
      </c>
      <c r="AA6525">
        <v>0.83263801490555933</v>
      </c>
      <c r="AB6525" t="str">
        <f>HYPERLINK("Melting_Curves/meltCurve_Q9Y4D7_2_PLXND1.pdf", "Melting_Curves/meltCurve_Q9Y4D7_2_PLXND1.pdf")</f>
        <v>Melting_Curves/meltCurve_Q9Y4D7_2_PLXND1.pdf</v>
      </c>
    </row>
    <row r="6526" spans="1:28" x14ac:dyDescent="0.25">
      <c r="A6526" t="s">
        <v>6530</v>
      </c>
      <c r="B6526">
        <v>0.99252571173614901</v>
      </c>
      <c r="C6526">
        <v>0.94936637152835202</v>
      </c>
      <c r="D6526">
        <v>1.0017306343991501</v>
      </c>
      <c r="E6526">
        <v>0.82290774729361904</v>
      </c>
      <c r="F6526">
        <v>0.53505093803467196</v>
      </c>
      <c r="G6526">
        <v>0.34567841591419601</v>
      </c>
      <c r="H6526">
        <v>0.32131213410381099</v>
      </c>
      <c r="I6526">
        <v>0.46483923429334201</v>
      </c>
      <c r="J6526">
        <v>0.77963972039723295</v>
      </c>
      <c r="K6526">
        <v>1.0823075992192199</v>
      </c>
      <c r="L6526">
        <v>12413.9839413351</v>
      </c>
      <c r="M6526">
        <v>250</v>
      </c>
      <c r="O6526">
        <v>49.652765225244899</v>
      </c>
      <c r="P6526">
        <v>-0.51842789253372701</v>
      </c>
      <c r="Q6526">
        <v>0.58813800438394503</v>
      </c>
      <c r="R6526">
        <v>0.42400078460910101</v>
      </c>
      <c r="S6526" t="s">
        <v>13172</v>
      </c>
      <c r="T6526" t="s">
        <v>13290</v>
      </c>
      <c r="U6526" t="s">
        <v>13290</v>
      </c>
      <c r="V6526" t="s">
        <v>13290</v>
      </c>
      <c r="W6526" t="s">
        <v>19760</v>
      </c>
      <c r="X6526">
        <v>14</v>
      </c>
      <c r="Y6526" t="s">
        <v>26218</v>
      </c>
      <c r="Z6526" t="s">
        <v>32856</v>
      </c>
      <c r="AA6526">
        <v>0.72073766205513212</v>
      </c>
      <c r="AB6526" t="str">
        <f>HYPERLINK("Melting_Curves/meltCurve_Q9Y4E1_2_FAM21C.pdf", "Melting_Curves/meltCurve_Q9Y4E1_2_FAM21C.pdf")</f>
        <v>Melting_Curves/meltCurve_Q9Y4E1_2_FAM21C.pdf</v>
      </c>
    </row>
    <row r="6527" spans="1:28" x14ac:dyDescent="0.25">
      <c r="A6527" t="s">
        <v>6531</v>
      </c>
      <c r="B6527">
        <v>0.99252571173614901</v>
      </c>
      <c r="C6527">
        <v>0.91142951569480002</v>
      </c>
      <c r="D6527">
        <v>0.96194314695413996</v>
      </c>
      <c r="E6527">
        <v>0.47089401680360699</v>
      </c>
      <c r="F6527">
        <v>0.151489985277729</v>
      </c>
      <c r="G6527">
        <v>8.81354268543037E-2</v>
      </c>
      <c r="H6527">
        <v>7.0071768158254999E-2</v>
      </c>
      <c r="I6527">
        <v>7.1212156251155595E-2</v>
      </c>
      <c r="J6527">
        <v>8.8077814932714896E-2</v>
      </c>
      <c r="K6527">
        <v>9.1914892476797003E-2</v>
      </c>
      <c r="L6527">
        <v>1856.3057514504701</v>
      </c>
      <c r="M6527">
        <v>37.701159835475302</v>
      </c>
      <c r="N6527">
        <v>49.475375888896998</v>
      </c>
      <c r="O6527">
        <v>49.099449402336198</v>
      </c>
      <c r="P6527">
        <v>-0.17604316968056399</v>
      </c>
      <c r="Q6527">
        <v>8.2935386486436197E-2</v>
      </c>
      <c r="R6527">
        <v>0.99430168416306497</v>
      </c>
      <c r="S6527" t="s">
        <v>13173</v>
      </c>
      <c r="T6527" t="s">
        <v>13290</v>
      </c>
      <c r="U6527" t="s">
        <v>13290</v>
      </c>
      <c r="V6527" t="s">
        <v>13290</v>
      </c>
      <c r="W6527" t="s">
        <v>19761</v>
      </c>
      <c r="X6527">
        <v>24</v>
      </c>
      <c r="Y6527" t="s">
        <v>26219</v>
      </c>
      <c r="Z6527" t="s">
        <v>32857</v>
      </c>
      <c r="AA6527">
        <v>0.36883204601132419</v>
      </c>
      <c r="AB6527" t="str">
        <f>HYPERLINK("Melting_Curves/meltCurve_Q9Y4E8_USP15.pdf", "Melting_Curves/meltCurve_Q9Y4E8_USP15.pdf")</f>
        <v>Melting_Curves/meltCurve_Q9Y4E8_USP15.pdf</v>
      </c>
    </row>
    <row r="6528" spans="1:28" x14ac:dyDescent="0.25">
      <c r="A6528" t="s">
        <v>6532</v>
      </c>
      <c r="B6528">
        <v>0.99252571173614901</v>
      </c>
      <c r="C6528">
        <v>0.88002247572596504</v>
      </c>
      <c r="D6528">
        <v>0.75049097045025703</v>
      </c>
      <c r="E6528">
        <v>0.60508533403048004</v>
      </c>
      <c r="F6528">
        <v>0.61569082307342304</v>
      </c>
      <c r="G6528">
        <v>0.36895129219621298</v>
      </c>
      <c r="H6528">
        <v>0.30403817867365301</v>
      </c>
      <c r="I6528">
        <v>0.295894547494712</v>
      </c>
      <c r="J6528">
        <v>0.132108504304353</v>
      </c>
      <c r="K6528">
        <v>0.146938422863542</v>
      </c>
      <c r="L6528">
        <v>407.06135580799599</v>
      </c>
      <c r="M6528">
        <v>7.5370530405324603</v>
      </c>
      <c r="N6528">
        <v>54.008025778250598</v>
      </c>
      <c r="O6528">
        <v>50.598665944083599</v>
      </c>
      <c r="P6528">
        <v>-3.72919601532938E-2</v>
      </c>
      <c r="Q6528">
        <v>0</v>
      </c>
      <c r="R6528">
        <v>0.97122566243391495</v>
      </c>
      <c r="S6528" t="s">
        <v>13174</v>
      </c>
      <c r="T6528" t="s">
        <v>13290</v>
      </c>
      <c r="U6528" t="s">
        <v>13290</v>
      </c>
      <c r="V6528" t="s">
        <v>13290</v>
      </c>
      <c r="W6528" t="s">
        <v>19762</v>
      </c>
      <c r="X6528">
        <v>2</v>
      </c>
      <c r="Y6528" t="s">
        <v>26220</v>
      </c>
      <c r="Z6528" t="s">
        <v>32858</v>
      </c>
      <c r="AA6528">
        <v>0.50177273928491639</v>
      </c>
      <c r="AB6528" t="str">
        <f>HYPERLINK("Melting_Curves/meltCurve_Q9Y4H2_IRS2.pdf", "Melting_Curves/meltCurve_Q9Y4H2_IRS2.pdf")</f>
        <v>Melting_Curves/meltCurve_Q9Y4H2_IRS2.pdf</v>
      </c>
    </row>
    <row r="6529" spans="1:28" x14ac:dyDescent="0.25">
      <c r="A6529" t="s">
        <v>6533</v>
      </c>
      <c r="B6529">
        <v>0.99252571173614901</v>
      </c>
      <c r="C6529">
        <v>0.91576254935704104</v>
      </c>
      <c r="D6529">
        <v>0.73958352920771797</v>
      </c>
      <c r="E6529">
        <v>1.3392574856831601</v>
      </c>
      <c r="F6529">
        <v>0.88806982172654603</v>
      </c>
      <c r="G6529">
        <v>0.85316360795853696</v>
      </c>
      <c r="H6529">
        <v>0.45916994708310399</v>
      </c>
      <c r="I6529">
        <v>0.28025069611671699</v>
      </c>
      <c r="J6529">
        <v>0</v>
      </c>
      <c r="K6529">
        <v>0</v>
      </c>
      <c r="L6529">
        <v>1550.42757171928</v>
      </c>
      <c r="M6529">
        <v>25.5797049685413</v>
      </c>
      <c r="N6529">
        <v>60.611628380042198</v>
      </c>
      <c r="O6529">
        <v>60.244845270294398</v>
      </c>
      <c r="P6529">
        <v>-0.106150268897804</v>
      </c>
      <c r="Q6529">
        <v>0</v>
      </c>
      <c r="R6529">
        <v>0.881097757951947</v>
      </c>
      <c r="S6529" t="s">
        <v>13175</v>
      </c>
      <c r="T6529" t="s">
        <v>13290</v>
      </c>
      <c r="U6529" t="s">
        <v>13290</v>
      </c>
      <c r="V6529" t="s">
        <v>13290</v>
      </c>
      <c r="W6529" t="s">
        <v>19763</v>
      </c>
      <c r="X6529">
        <v>1</v>
      </c>
      <c r="Y6529" t="s">
        <v>26221</v>
      </c>
      <c r="Z6529" t="s">
        <v>32859</v>
      </c>
      <c r="AA6529">
        <v>0.69372626747350219</v>
      </c>
      <c r="AB6529" t="str">
        <f>HYPERLINK("Melting_Curves/meltCurve_Q9Y4I5_3_MTL5.pdf", "Melting_Curves/meltCurve_Q9Y4I5_3_MTL5.pdf")</f>
        <v>Melting_Curves/meltCurve_Q9Y4I5_3_MTL5.pdf</v>
      </c>
    </row>
    <row r="6530" spans="1:28" x14ac:dyDescent="0.25">
      <c r="A6530" t="s">
        <v>6534</v>
      </c>
      <c r="B6530">
        <v>0.99252571173614901</v>
      </c>
      <c r="C6530">
        <v>1.05772471193691</v>
      </c>
      <c r="D6530">
        <v>0.83461983393614603</v>
      </c>
      <c r="E6530">
        <v>0.48558489753165701</v>
      </c>
      <c r="F6530">
        <v>0.179925612672139</v>
      </c>
      <c r="G6530">
        <v>0.15629387795504501</v>
      </c>
      <c r="H6530">
        <v>0.113305318528004</v>
      </c>
      <c r="I6530">
        <v>0.16760217156662299</v>
      </c>
      <c r="J6530">
        <v>0.14888904574754599</v>
      </c>
      <c r="K6530">
        <v>0.13224268048662399</v>
      </c>
      <c r="L6530">
        <v>1408.64887834257</v>
      </c>
      <c r="M6530">
        <v>28.895719165410402</v>
      </c>
      <c r="N6530">
        <v>49.295107655179201</v>
      </c>
      <c r="O6530">
        <v>48.517704658122703</v>
      </c>
      <c r="P6530">
        <v>-0.12851267446059</v>
      </c>
      <c r="Q6530">
        <v>0.136883536124424</v>
      </c>
      <c r="R6530">
        <v>0.99275805133714001</v>
      </c>
      <c r="S6530" t="s">
        <v>13176</v>
      </c>
      <c r="T6530" t="s">
        <v>13290</v>
      </c>
      <c r="U6530" t="s">
        <v>13290</v>
      </c>
      <c r="V6530" t="s">
        <v>13290</v>
      </c>
      <c r="W6530" t="s">
        <v>19764</v>
      </c>
      <c r="X6530">
        <v>2</v>
      </c>
      <c r="Y6530" t="s">
        <v>26222</v>
      </c>
      <c r="Z6530" t="s">
        <v>32860</v>
      </c>
      <c r="AA6530">
        <v>0.3942681568911004</v>
      </c>
      <c r="AB6530" t="str">
        <f>HYPERLINK("Melting_Curves/meltCurve_Q9Y4K1_AIM1.pdf", "Melting_Curves/meltCurve_Q9Y4K1_AIM1.pdf")</f>
        <v>Melting_Curves/meltCurve_Q9Y4K1_AIM1.pdf</v>
      </c>
    </row>
    <row r="6531" spans="1:28" x14ac:dyDescent="0.25">
      <c r="A6531" t="s">
        <v>6535</v>
      </c>
      <c r="B6531">
        <v>0.99252571173614901</v>
      </c>
      <c r="C6531">
        <v>0.99108638461188403</v>
      </c>
      <c r="D6531">
        <v>0.95706030671785802</v>
      </c>
      <c r="E6531">
        <v>0.84827334668764998</v>
      </c>
      <c r="F6531">
        <v>0.299697689002488</v>
      </c>
      <c r="G6531">
        <v>0.15233892113046099</v>
      </c>
      <c r="H6531">
        <v>0.10129605343163101</v>
      </c>
      <c r="I6531">
        <v>0.10290155009943899</v>
      </c>
      <c r="J6531">
        <v>0.14212236641377901</v>
      </c>
      <c r="K6531">
        <v>0.15544035533813999</v>
      </c>
      <c r="L6531">
        <v>2126.1889488235802</v>
      </c>
      <c r="M6531">
        <v>41.342056650702602</v>
      </c>
      <c r="N6531">
        <v>51.795011351412697</v>
      </c>
      <c r="O6531">
        <v>51.309308916877903</v>
      </c>
      <c r="P6531">
        <v>-0.17593060014265699</v>
      </c>
      <c r="Q6531">
        <v>0.126617142663317</v>
      </c>
      <c r="R6531">
        <v>0.99744319607460197</v>
      </c>
      <c r="S6531" t="s">
        <v>13177</v>
      </c>
      <c r="T6531" t="s">
        <v>13290</v>
      </c>
      <c r="U6531" t="s">
        <v>13290</v>
      </c>
      <c r="V6531" t="s">
        <v>13290</v>
      </c>
      <c r="W6531" t="s">
        <v>19765</v>
      </c>
      <c r="X6531">
        <v>7</v>
      </c>
      <c r="Y6531" t="s">
        <v>26223</v>
      </c>
      <c r="Z6531" t="s">
        <v>32861</v>
      </c>
      <c r="AA6531">
        <v>0.46225736644154303</v>
      </c>
      <c r="AB6531" t="str">
        <f>HYPERLINK("Melting_Curves/meltCurve_Q9Y4K4_MAP4K5.pdf", "Melting_Curves/meltCurve_Q9Y4K4_MAP4K5.pdf")</f>
        <v>Melting_Curves/meltCurve_Q9Y4K4_MAP4K5.pdf</v>
      </c>
    </row>
    <row r="6532" spans="1:28" x14ac:dyDescent="0.25">
      <c r="A6532" t="s">
        <v>6536</v>
      </c>
      <c r="B6532">
        <v>0.99252571173614901</v>
      </c>
      <c r="C6532">
        <v>1.0340616859802301</v>
      </c>
      <c r="D6532">
        <v>0.85137712713010005</v>
      </c>
      <c r="E6532">
        <v>0.68506681080274401</v>
      </c>
      <c r="F6532">
        <v>0.197577294144758</v>
      </c>
      <c r="G6532">
        <v>0.107914188708069</v>
      </c>
      <c r="H6532">
        <v>8.7507524668853906E-2</v>
      </c>
      <c r="I6532">
        <v>9.4674080348793904E-2</v>
      </c>
      <c r="J6532">
        <v>0.133747047095576</v>
      </c>
      <c r="K6532">
        <v>0.10606454951902899</v>
      </c>
      <c r="L6532">
        <v>1574.45677720515</v>
      </c>
      <c r="M6532">
        <v>31.312854882403499</v>
      </c>
      <c r="N6532">
        <v>50.627025803953799</v>
      </c>
      <c r="O6532">
        <v>50.077718693081202</v>
      </c>
      <c r="P6532">
        <v>-0.14128282458723099</v>
      </c>
      <c r="Q6532">
        <v>9.6206885165464606E-2</v>
      </c>
      <c r="R6532">
        <v>0.98886617515717401</v>
      </c>
      <c r="S6532" t="s">
        <v>13178</v>
      </c>
      <c r="T6532" t="s">
        <v>13290</v>
      </c>
      <c r="U6532" t="s">
        <v>13290</v>
      </c>
      <c r="V6532" t="s">
        <v>13290</v>
      </c>
      <c r="W6532" t="s">
        <v>19766</v>
      </c>
      <c r="X6532">
        <v>60</v>
      </c>
      <c r="Y6532" t="s">
        <v>26224</v>
      </c>
      <c r="Z6532" t="s">
        <v>32862</v>
      </c>
      <c r="AA6532">
        <v>0.41110206479395389</v>
      </c>
      <c r="AB6532" t="str">
        <f>HYPERLINK("Melting_Curves/meltCurve_Q9Y4L1_HYOU1.pdf", "Melting_Curves/meltCurve_Q9Y4L1_HYOU1.pdf")</f>
        <v>Melting_Curves/meltCurve_Q9Y4L1_HYOU1.pdf</v>
      </c>
    </row>
    <row r="6533" spans="1:28" x14ac:dyDescent="0.25">
      <c r="A6533" t="s">
        <v>6537</v>
      </c>
      <c r="B6533">
        <v>0.99252571173614901</v>
      </c>
      <c r="C6533">
        <v>0.89957170762181304</v>
      </c>
      <c r="D6533">
        <v>0.47066216739226302</v>
      </c>
      <c r="E6533">
        <v>0.14820366634718099</v>
      </c>
      <c r="F6533">
        <v>0.10089223719998799</v>
      </c>
      <c r="G6533">
        <v>6.2398986929866201E-2</v>
      </c>
      <c r="H6533">
        <v>4.7512010375924597E-2</v>
      </c>
      <c r="I6533">
        <v>4.8193158668860897E-2</v>
      </c>
      <c r="J6533">
        <v>4.5742478378703197E-2</v>
      </c>
      <c r="K6533">
        <v>4.3007145492890399E-2</v>
      </c>
      <c r="L6533">
        <v>1379.3255157523799</v>
      </c>
      <c r="M6533">
        <v>30.178178382317402</v>
      </c>
      <c r="N6533">
        <v>45.886874390403101</v>
      </c>
      <c r="O6533">
        <v>45.506768164093302</v>
      </c>
      <c r="P6533">
        <v>-0.15649641623004601</v>
      </c>
      <c r="Q6533">
        <v>5.6059574583395902E-2</v>
      </c>
      <c r="R6533">
        <v>0.99842962328993201</v>
      </c>
      <c r="S6533" t="s">
        <v>13179</v>
      </c>
      <c r="T6533" t="s">
        <v>13290</v>
      </c>
      <c r="U6533" t="s">
        <v>13290</v>
      </c>
      <c r="V6533" t="s">
        <v>13290</v>
      </c>
      <c r="W6533" t="s">
        <v>19767</v>
      </c>
      <c r="X6533">
        <v>9</v>
      </c>
      <c r="Y6533" t="s">
        <v>26225</v>
      </c>
      <c r="Z6533" t="s">
        <v>32863</v>
      </c>
      <c r="AA6533">
        <v>0.24133525425119159</v>
      </c>
      <c r="AB6533" t="str">
        <f>HYPERLINK("Melting_Curves/meltCurve_Q9Y4P1_6_ATG4B.pdf", "Melting_Curves/meltCurve_Q9Y4P1_6_ATG4B.pdf")</f>
        <v>Melting_Curves/meltCurve_Q9Y4P1_6_ATG4B.pdf</v>
      </c>
    </row>
    <row r="6534" spans="1:28" x14ac:dyDescent="0.25">
      <c r="A6534" t="s">
        <v>6538</v>
      </c>
      <c r="B6534">
        <v>0.99252571173614901</v>
      </c>
      <c r="C6534">
        <v>1.1055647551843499</v>
      </c>
      <c r="D6534">
        <v>0.98425950259953099</v>
      </c>
      <c r="E6534">
        <v>0.86984816251362296</v>
      </c>
      <c r="F6534">
        <v>0.36675664320958301</v>
      </c>
      <c r="G6534">
        <v>0.13626025050973101</v>
      </c>
      <c r="H6534">
        <v>7.4844533202739594E-2</v>
      </c>
      <c r="I6534">
        <v>6.9848007901804995E-2</v>
      </c>
      <c r="J6534">
        <v>8.2989639406244403E-2</v>
      </c>
      <c r="K6534">
        <v>8.3489009775572304E-2</v>
      </c>
      <c r="L6534">
        <v>1863.6405204867001</v>
      </c>
      <c r="M6534">
        <v>35.796825541277599</v>
      </c>
      <c r="N6534">
        <v>52.311672466106998</v>
      </c>
      <c r="O6534">
        <v>51.899942959956697</v>
      </c>
      <c r="P6534">
        <v>-0.158871960420636</v>
      </c>
      <c r="Q6534">
        <v>7.8642450673536493E-2</v>
      </c>
      <c r="R6534">
        <v>0.99359306169175299</v>
      </c>
      <c r="S6534" t="s">
        <v>13180</v>
      </c>
      <c r="T6534" t="s">
        <v>13290</v>
      </c>
      <c r="U6534" t="s">
        <v>13290</v>
      </c>
      <c r="V6534" t="s">
        <v>13290</v>
      </c>
      <c r="W6534" t="s">
        <v>19768</v>
      </c>
      <c r="X6534">
        <v>7</v>
      </c>
      <c r="Y6534" t="s">
        <v>26226</v>
      </c>
      <c r="Z6534" t="s">
        <v>32864</v>
      </c>
      <c r="AA6534">
        <v>0.45321958966612469</v>
      </c>
      <c r="AB6534" t="str">
        <f>HYPERLINK("Melting_Curves/meltCurve_Q9Y4P8_3_WIPI2.pdf", "Melting_Curves/meltCurve_Q9Y4P8_3_WIPI2.pdf")</f>
        <v>Melting_Curves/meltCurve_Q9Y4P8_3_WIPI2.pdf</v>
      </c>
    </row>
    <row r="6535" spans="1:28" x14ac:dyDescent="0.25">
      <c r="A6535" t="s">
        <v>6539</v>
      </c>
      <c r="B6535">
        <v>0.99252571173614901</v>
      </c>
      <c r="C6535">
        <v>0.85508873058544999</v>
      </c>
      <c r="D6535">
        <v>0.50067476286128099</v>
      </c>
      <c r="E6535">
        <v>0.198762320801736</v>
      </c>
      <c r="F6535">
        <v>0.16521522874325201</v>
      </c>
      <c r="G6535">
        <v>0.10861565368323101</v>
      </c>
      <c r="H6535">
        <v>9.4122498107789304E-2</v>
      </c>
      <c r="I6535">
        <v>8.9492439162358703E-2</v>
      </c>
      <c r="J6535">
        <v>9.0556116353899693E-2</v>
      </c>
      <c r="K6535">
        <v>7.4492657977915003E-2</v>
      </c>
      <c r="L6535">
        <v>1147.2677434828399</v>
      </c>
      <c r="M6535">
        <v>25.1228594589704</v>
      </c>
      <c r="N6535">
        <v>46.059475067704398</v>
      </c>
      <c r="O6535">
        <v>45.379873743844598</v>
      </c>
      <c r="P6535">
        <v>-0.125047129911358</v>
      </c>
      <c r="Q6535">
        <v>9.6511938114935095E-2</v>
      </c>
      <c r="R6535">
        <v>0.99724573124065097</v>
      </c>
      <c r="S6535" t="s">
        <v>13181</v>
      </c>
      <c r="T6535" t="s">
        <v>13290</v>
      </c>
      <c r="U6535" t="s">
        <v>13290</v>
      </c>
      <c r="V6535" t="s">
        <v>13290</v>
      </c>
      <c r="W6535" t="s">
        <v>19769</v>
      </c>
      <c r="X6535">
        <v>5</v>
      </c>
      <c r="Y6535" t="s">
        <v>26227</v>
      </c>
      <c r="Z6535" t="s">
        <v>32865</v>
      </c>
      <c r="AA6535">
        <v>0.27557367532776839</v>
      </c>
      <c r="AB6535" t="str">
        <f>HYPERLINK("Melting_Curves/meltCurve_Q9Y4R8_TELO2.pdf", "Melting_Curves/meltCurve_Q9Y4R8_TELO2.pdf")</f>
        <v>Melting_Curves/meltCurve_Q9Y4R8_TELO2.pdf</v>
      </c>
    </row>
    <row r="6536" spans="1:28" x14ac:dyDescent="0.25">
      <c r="A6536" t="s">
        <v>6540</v>
      </c>
      <c r="B6536">
        <v>0.99252571173614901</v>
      </c>
      <c r="C6536">
        <v>1.0341251245915899</v>
      </c>
      <c r="D6536">
        <v>0.51498317516635495</v>
      </c>
      <c r="E6536">
        <v>0.26044353113311802</v>
      </c>
      <c r="F6536">
        <v>0.124817540799788</v>
      </c>
      <c r="G6536">
        <v>6.7382873097964105E-2</v>
      </c>
      <c r="H6536">
        <v>4.8383293546256902E-2</v>
      </c>
      <c r="I6536">
        <v>5.7052247728605197E-2</v>
      </c>
      <c r="J6536">
        <v>8.3221166072386499E-2</v>
      </c>
      <c r="K6536">
        <v>8.5088658722737701E-2</v>
      </c>
      <c r="L6536">
        <v>1431.43261494781</v>
      </c>
      <c r="M6536">
        <v>30.948599352373499</v>
      </c>
      <c r="N6536">
        <v>46.5222314771896</v>
      </c>
      <c r="O6536">
        <v>46.060104346816601</v>
      </c>
      <c r="P6536">
        <v>-0.15415685054702999</v>
      </c>
      <c r="Q6536">
        <v>8.2292412326198397E-2</v>
      </c>
      <c r="R6536">
        <v>0.981645165365025</v>
      </c>
      <c r="S6536" t="s">
        <v>13182</v>
      </c>
      <c r="T6536" t="s">
        <v>13290</v>
      </c>
      <c r="U6536" t="s">
        <v>13290</v>
      </c>
      <c r="V6536" t="s">
        <v>13290</v>
      </c>
      <c r="W6536" t="s">
        <v>19770</v>
      </c>
      <c r="X6536">
        <v>3</v>
      </c>
      <c r="Y6536" t="s">
        <v>26228</v>
      </c>
      <c r="Z6536" t="s">
        <v>32866</v>
      </c>
      <c r="AA6536">
        <v>0.27872578562455952</v>
      </c>
      <c r="AB6536" t="str">
        <f>HYPERLINK("Melting_Curves/meltCurve_Q9Y4U1_MMACHC.pdf", "Melting_Curves/meltCurve_Q9Y4U1_MMACHC.pdf")</f>
        <v>Melting_Curves/meltCurve_Q9Y4U1_MMACHC.pdf</v>
      </c>
    </row>
    <row r="6537" spans="1:28" x14ac:dyDescent="0.25">
      <c r="A6537" t="s">
        <v>6541</v>
      </c>
      <c r="B6537">
        <v>0.99252571173614901</v>
      </c>
      <c r="C6537">
        <v>0.85732387755482897</v>
      </c>
      <c r="D6537">
        <v>0.79927784189108797</v>
      </c>
      <c r="E6537">
        <v>0.83498838875873604</v>
      </c>
      <c r="F6537">
        <v>0.54228549287948902</v>
      </c>
      <c r="G6537">
        <v>0.28949276323729201</v>
      </c>
      <c r="H6537">
        <v>8.5289920626020796E-2</v>
      </c>
      <c r="I6537">
        <v>9.1273007844285201E-2</v>
      </c>
      <c r="J6537">
        <v>0.13137294937771801</v>
      </c>
      <c r="K6537">
        <v>0.121215153721891</v>
      </c>
      <c r="L6537">
        <v>794.94174854283699</v>
      </c>
      <c r="M6537">
        <v>14.998723984660501</v>
      </c>
      <c r="N6537">
        <v>53.377104853783599</v>
      </c>
      <c r="O6537">
        <v>52.085239207421097</v>
      </c>
      <c r="P6537">
        <v>-6.8384708869847502E-2</v>
      </c>
      <c r="Q6537">
        <v>5.0192805655984898E-2</v>
      </c>
      <c r="R6537">
        <v>0.96214965438397804</v>
      </c>
      <c r="S6537" t="s">
        <v>13183</v>
      </c>
      <c r="T6537" t="s">
        <v>13290</v>
      </c>
      <c r="U6537" t="s">
        <v>13290</v>
      </c>
      <c r="V6537" t="s">
        <v>13290</v>
      </c>
      <c r="W6537" t="s">
        <v>19771</v>
      </c>
      <c r="X6537">
        <v>35</v>
      </c>
      <c r="Y6537" t="s">
        <v>26229</v>
      </c>
      <c r="Z6537" t="s">
        <v>32867</v>
      </c>
      <c r="AA6537">
        <v>0.48223623754056122</v>
      </c>
      <c r="AB6537" t="str">
        <f>HYPERLINK("Melting_Curves/meltCurve_Q9Y4W6_AFG3L2.pdf", "Melting_Curves/meltCurve_Q9Y4W6_AFG3L2.pdf")</f>
        <v>Melting_Curves/meltCurve_Q9Y4W6_AFG3L2.pdf</v>
      </c>
    </row>
    <row r="6538" spans="1:28" x14ac:dyDescent="0.25">
      <c r="A6538" t="s">
        <v>6542</v>
      </c>
      <c r="B6538">
        <v>0.99252571173614901</v>
      </c>
      <c r="C6538">
        <v>1.08032533546609</v>
      </c>
      <c r="D6538">
        <v>1.0213288711361601</v>
      </c>
      <c r="E6538">
        <v>0.98557766851247697</v>
      </c>
      <c r="F6538">
        <v>0.81718387139530502</v>
      </c>
      <c r="G6538">
        <v>0.50996169477729303</v>
      </c>
      <c r="H6538">
        <v>0.18385476983221</v>
      </c>
      <c r="I6538">
        <v>0.137826071926966</v>
      </c>
      <c r="J6538">
        <v>0.15303090377779499</v>
      </c>
      <c r="K6538">
        <v>0.160333846269202</v>
      </c>
      <c r="L6538">
        <v>1593.75331894086</v>
      </c>
      <c r="M6538">
        <v>28.453771873012801</v>
      </c>
      <c r="N6538">
        <v>56.628250432183599</v>
      </c>
      <c r="O6538">
        <v>55.737538669745099</v>
      </c>
      <c r="P6538">
        <v>-0.11063274899976799</v>
      </c>
      <c r="Q6538">
        <v>0.13314150954580301</v>
      </c>
      <c r="R6538">
        <v>0.99307706104050197</v>
      </c>
      <c r="S6538" t="s">
        <v>13184</v>
      </c>
      <c r="T6538" t="s">
        <v>13290</v>
      </c>
      <c r="U6538" t="s">
        <v>13290</v>
      </c>
      <c r="V6538" t="s">
        <v>13290</v>
      </c>
      <c r="W6538" t="s">
        <v>19772</v>
      </c>
      <c r="X6538">
        <v>12</v>
      </c>
      <c r="Y6538" t="s">
        <v>26230</v>
      </c>
      <c r="Z6538" t="s">
        <v>32868</v>
      </c>
      <c r="AA6538">
        <v>0.60217563032294352</v>
      </c>
      <c r="AB6538" t="str">
        <f>HYPERLINK("Melting_Curves/meltCurve_Q9Y4X5_ARIH1.pdf", "Melting_Curves/meltCurve_Q9Y4X5_ARIH1.pdf")</f>
        <v>Melting_Curves/meltCurve_Q9Y4X5_ARIH1.pdf</v>
      </c>
    </row>
    <row r="6539" spans="1:28" x14ac:dyDescent="0.25">
      <c r="A6539" t="s">
        <v>6543</v>
      </c>
      <c r="B6539">
        <v>0.99252571173614901</v>
      </c>
      <c r="C6539">
        <v>1.09950395137029</v>
      </c>
      <c r="D6539">
        <v>1.2480480684748301</v>
      </c>
      <c r="E6539">
        <v>1.3077817961304301</v>
      </c>
      <c r="F6539">
        <v>1.2382791684388299</v>
      </c>
      <c r="G6539">
        <v>1.0568857238912901</v>
      </c>
      <c r="H6539">
        <v>1.0653373686761101</v>
      </c>
      <c r="I6539">
        <v>1.4204262325160599</v>
      </c>
      <c r="J6539">
        <v>1.8641745401577401</v>
      </c>
      <c r="K6539">
        <v>1.55008791655686</v>
      </c>
      <c r="L6539">
        <v>401.87450401676102</v>
      </c>
      <c r="M6539">
        <v>7.6433319825547397</v>
      </c>
      <c r="O6539">
        <v>49.341879862289503</v>
      </c>
      <c r="P6539">
        <v>1.9389149285678999E-2</v>
      </c>
      <c r="Q6539">
        <v>1.5</v>
      </c>
      <c r="R6539">
        <v>0.37739578186036199</v>
      </c>
      <c r="S6539" t="s">
        <v>13185</v>
      </c>
      <c r="T6539" t="s">
        <v>13290</v>
      </c>
      <c r="U6539" t="s">
        <v>13290</v>
      </c>
      <c r="V6539" t="s">
        <v>13290</v>
      </c>
      <c r="W6539" t="s">
        <v>19773</v>
      </c>
      <c r="X6539">
        <v>9</v>
      </c>
      <c r="Y6539" t="s">
        <v>26231</v>
      </c>
      <c r="Z6539" t="s">
        <v>32869</v>
      </c>
      <c r="AA6539">
        <v>1.2679020026013961</v>
      </c>
      <c r="AB6539" t="str">
        <f>HYPERLINK("Melting_Curves/meltCurve_Q9Y4Z0_LSM4.pdf", "Melting_Curves/meltCurve_Q9Y4Z0_LSM4.pdf")</f>
        <v>Melting_Curves/meltCurve_Q9Y4Z0_LSM4.pdf</v>
      </c>
    </row>
    <row r="6540" spans="1:28" x14ac:dyDescent="0.25">
      <c r="A6540" t="s">
        <v>6544</v>
      </c>
      <c r="B6540">
        <v>0.99252571173614901</v>
      </c>
      <c r="C6540">
        <v>1.05732732724655</v>
      </c>
      <c r="D6540">
        <v>0.90808610470413698</v>
      </c>
      <c r="E6540">
        <v>0.69932373188157404</v>
      </c>
      <c r="F6540">
        <v>0.441541170615041</v>
      </c>
      <c r="G6540">
        <v>0.27903558832824199</v>
      </c>
      <c r="H6540">
        <v>0.18709252647911701</v>
      </c>
      <c r="I6540">
        <v>0.125016678898281</v>
      </c>
      <c r="J6540">
        <v>0.159505308819302</v>
      </c>
      <c r="K6540">
        <v>0.171512103838248</v>
      </c>
      <c r="L6540">
        <v>988.04814610516496</v>
      </c>
      <c r="M6540">
        <v>19.235472693145098</v>
      </c>
      <c r="N6540">
        <v>52.302957242171402</v>
      </c>
      <c r="O6540">
        <v>50.820439300549403</v>
      </c>
      <c r="P6540">
        <v>-8.0836150364583706E-2</v>
      </c>
      <c r="Q6540">
        <v>0.145750594988763</v>
      </c>
      <c r="R6540">
        <v>0.99339917288143598</v>
      </c>
      <c r="S6540" t="s">
        <v>13186</v>
      </c>
      <c r="T6540" t="s">
        <v>13290</v>
      </c>
      <c r="U6540" t="s">
        <v>13290</v>
      </c>
      <c r="V6540" t="s">
        <v>13290</v>
      </c>
      <c r="W6540" t="s">
        <v>19774</v>
      </c>
      <c r="X6540">
        <v>10</v>
      </c>
      <c r="Y6540" t="s">
        <v>26232</v>
      </c>
      <c r="Z6540" t="s">
        <v>32870</v>
      </c>
      <c r="AA6540">
        <v>0.48211861181398002</v>
      </c>
      <c r="AB6540" t="str">
        <f>HYPERLINK("Melting_Curves/meltCurve_Q9Y508_RNF114.pdf", "Melting_Curves/meltCurve_Q9Y508_RNF114.pdf")</f>
        <v>Melting_Curves/meltCurve_Q9Y508_RNF114.pdf</v>
      </c>
    </row>
    <row r="6541" spans="1:28" x14ac:dyDescent="0.25">
      <c r="A6541" t="s">
        <v>6545</v>
      </c>
      <c r="B6541">
        <v>0.99252571173614901</v>
      </c>
      <c r="C6541">
        <v>0.86154975920188603</v>
      </c>
      <c r="D6541">
        <v>0.84713182837411505</v>
      </c>
      <c r="E6541">
        <v>0.61792248398213001</v>
      </c>
      <c r="F6541">
        <v>0.54383268612870705</v>
      </c>
      <c r="G6541">
        <v>0.33604447270174098</v>
      </c>
      <c r="H6541">
        <v>0.238431041145932</v>
      </c>
      <c r="I6541">
        <v>0.240986956848455</v>
      </c>
      <c r="J6541">
        <v>0.27712914707211</v>
      </c>
      <c r="K6541">
        <v>0.27951333955277702</v>
      </c>
      <c r="L6541">
        <v>643.46825973329896</v>
      </c>
      <c r="M6541">
        <v>12.7998351177171</v>
      </c>
      <c r="N6541">
        <v>52.645736106414503</v>
      </c>
      <c r="O6541">
        <v>49.091952931998499</v>
      </c>
      <c r="P6541">
        <v>-5.0899543577733498E-2</v>
      </c>
      <c r="Q6541">
        <v>0.21927457731541899</v>
      </c>
      <c r="R6541">
        <v>0.97759678879186196</v>
      </c>
      <c r="S6541" t="s">
        <v>13187</v>
      </c>
      <c r="T6541" t="s">
        <v>13290</v>
      </c>
      <c r="U6541" t="s">
        <v>13290</v>
      </c>
      <c r="V6541" t="s">
        <v>13290</v>
      </c>
      <c r="W6541" t="s">
        <v>19775</v>
      </c>
      <c r="X6541">
        <v>15</v>
      </c>
      <c r="Y6541" t="s">
        <v>26233</v>
      </c>
      <c r="Z6541" t="s">
        <v>32871</v>
      </c>
      <c r="AA6541">
        <v>0.51063360603813779</v>
      </c>
      <c r="AB6541" t="str">
        <f>HYPERLINK("Melting_Curves/meltCurve_Q9Y512_SAMM50.pdf", "Melting_Curves/meltCurve_Q9Y512_SAMM50.pdf")</f>
        <v>Melting_Curves/meltCurve_Q9Y512_SAMM50.pdf</v>
      </c>
    </row>
    <row r="6542" spans="1:28" x14ac:dyDescent="0.25">
      <c r="A6542" t="s">
        <v>6546</v>
      </c>
      <c r="B6542">
        <v>0.99252571173614901</v>
      </c>
      <c r="C6542">
        <v>1.0507606440441</v>
      </c>
      <c r="D6542">
        <v>1.01151624486188</v>
      </c>
      <c r="E6542">
        <v>1.00428825990837</v>
      </c>
      <c r="F6542">
        <v>0.73419726246591399</v>
      </c>
      <c r="G6542">
        <v>0.49755613574316698</v>
      </c>
      <c r="H6542">
        <v>0.45887484734872303</v>
      </c>
      <c r="I6542">
        <v>0.58032523558403104</v>
      </c>
      <c r="J6542">
        <v>0.883585690994933</v>
      </c>
      <c r="K6542">
        <v>1.1606340555668799</v>
      </c>
      <c r="L6542">
        <v>13156.771304420001</v>
      </c>
      <c r="M6542">
        <v>250</v>
      </c>
      <c r="O6542">
        <v>52.623717371041401</v>
      </c>
      <c r="P6542">
        <v>-0.33706855305753403</v>
      </c>
      <c r="Q6542">
        <v>0.71619519566466805</v>
      </c>
      <c r="R6542">
        <v>0.366874784330251</v>
      </c>
      <c r="S6542" t="s">
        <v>13188</v>
      </c>
      <c r="T6542" t="s">
        <v>13290</v>
      </c>
      <c r="U6542" t="s">
        <v>13290</v>
      </c>
      <c r="V6542" t="s">
        <v>13290</v>
      </c>
      <c r="W6542" t="s">
        <v>19776</v>
      </c>
      <c r="X6542">
        <v>69</v>
      </c>
      <c r="Y6542" t="s">
        <v>20351</v>
      </c>
      <c r="Z6542" t="s">
        <v>32872</v>
      </c>
      <c r="AA6542">
        <v>0.83567565611329486</v>
      </c>
      <c r="AB6542" t="str">
        <f>HYPERLINK("Melting_Curves/meltCurve_Q9Y520_7_PRRC2C.pdf", "Melting_Curves/meltCurve_Q9Y520_7_PRRC2C.pdf")</f>
        <v>Melting_Curves/meltCurve_Q9Y520_7_PRRC2C.pdf</v>
      </c>
    </row>
    <row r="6543" spans="1:28" x14ac:dyDescent="0.25">
      <c r="A6543" t="s">
        <v>6547</v>
      </c>
      <c r="B6543">
        <v>0.99252571173614901</v>
      </c>
      <c r="C6543">
        <v>0.93443952958187704</v>
      </c>
      <c r="D6543">
        <v>0.66546359741897398</v>
      </c>
      <c r="E6543">
        <v>0.52879967190240296</v>
      </c>
      <c r="F6543">
        <v>0.32569713442834097</v>
      </c>
      <c r="G6543">
        <v>0.207719329626078</v>
      </c>
      <c r="H6543">
        <v>0.15549374139302699</v>
      </c>
      <c r="I6543">
        <v>0.183549494356745</v>
      </c>
      <c r="J6543">
        <v>0.223073743976962</v>
      </c>
      <c r="K6543">
        <v>0.28795294955398198</v>
      </c>
      <c r="L6543">
        <v>833.00333756182397</v>
      </c>
      <c r="M6543">
        <v>17.450240702508101</v>
      </c>
      <c r="N6543">
        <v>49.189013365602698</v>
      </c>
      <c r="O6543">
        <v>47.122263010736702</v>
      </c>
      <c r="P6543">
        <v>-7.3938366243548007E-2</v>
      </c>
      <c r="Q6543">
        <v>0.20139809061123101</v>
      </c>
      <c r="R6543">
        <v>0.97523498818311205</v>
      </c>
      <c r="S6543" t="s">
        <v>13189</v>
      </c>
      <c r="T6543" t="s">
        <v>13290</v>
      </c>
      <c r="U6543" t="s">
        <v>13290</v>
      </c>
      <c r="V6543" t="s">
        <v>13290</v>
      </c>
      <c r="W6543" t="s">
        <v>19777</v>
      </c>
      <c r="X6543">
        <v>2</v>
      </c>
      <c r="Y6543" t="s">
        <v>26234</v>
      </c>
      <c r="Z6543" t="s">
        <v>32873</v>
      </c>
      <c r="AA6543">
        <v>0.42258449792371222</v>
      </c>
      <c r="AB6543" t="str">
        <f>HYPERLINK("Melting_Curves/meltCurve_Q9Y546_LRRC42.pdf", "Melting_Curves/meltCurve_Q9Y546_LRRC42.pdf")</f>
        <v>Melting_Curves/meltCurve_Q9Y546_LRRC42.pdf</v>
      </c>
    </row>
    <row r="6544" spans="1:28" x14ac:dyDescent="0.25">
      <c r="A6544" t="s">
        <v>6548</v>
      </c>
      <c r="B6544">
        <v>0.99252571173614901</v>
      </c>
      <c r="C6544">
        <v>1.1017403396679399</v>
      </c>
      <c r="D6544">
        <v>0.851696676845904</v>
      </c>
      <c r="E6544">
        <v>0.88954193175914598</v>
      </c>
      <c r="F6544">
        <v>0.4491838843489</v>
      </c>
      <c r="G6544">
        <v>0.11974402089934599</v>
      </c>
      <c r="H6544">
        <v>7.5412018145071605E-2</v>
      </c>
      <c r="I6544">
        <v>7.2389506571509402E-2</v>
      </c>
      <c r="J6544">
        <v>8.7624608229650194E-2</v>
      </c>
      <c r="K6544">
        <v>8.2836399310641795E-2</v>
      </c>
      <c r="L6544">
        <v>1709.62695573768</v>
      </c>
      <c r="M6544">
        <v>32.554182735437799</v>
      </c>
      <c r="N6544">
        <v>52.766405683715597</v>
      </c>
      <c r="O6544">
        <v>52.319385503301703</v>
      </c>
      <c r="P6544">
        <v>-0.144436876408782</v>
      </c>
      <c r="Q6544">
        <v>7.1478899098863E-2</v>
      </c>
      <c r="R6544">
        <v>0.98198516945953296</v>
      </c>
      <c r="S6544" t="s">
        <v>13190</v>
      </c>
      <c r="T6544" t="s">
        <v>13290</v>
      </c>
      <c r="U6544" t="s">
        <v>13290</v>
      </c>
      <c r="V6544" t="s">
        <v>13290</v>
      </c>
      <c r="W6544" t="s">
        <v>19778</v>
      </c>
      <c r="X6544">
        <v>16</v>
      </c>
      <c r="Y6544" t="s">
        <v>26235</v>
      </c>
      <c r="Z6544" t="s">
        <v>32874</v>
      </c>
      <c r="AA6544">
        <v>0.46395495618348359</v>
      </c>
      <c r="AB6544" t="str">
        <f>HYPERLINK("Melting_Curves/meltCurve_Q9Y570_PPME1.pdf", "Melting_Curves/meltCurve_Q9Y570_PPME1.pdf")</f>
        <v>Melting_Curves/meltCurve_Q9Y570_PPME1.pdf</v>
      </c>
    </row>
    <row r="6545" spans="1:28" x14ac:dyDescent="0.25">
      <c r="A6545" t="s">
        <v>6549</v>
      </c>
      <c r="B6545">
        <v>0.99252571173614901</v>
      </c>
      <c r="C6545">
        <v>0.91261838932912698</v>
      </c>
      <c r="D6545">
        <v>0.84343542760052603</v>
      </c>
      <c r="E6545">
        <v>0.83248941786908504</v>
      </c>
      <c r="F6545">
        <v>0.80277402479631399</v>
      </c>
      <c r="G6545">
        <v>0.76158271713201797</v>
      </c>
      <c r="H6545">
        <v>0.75125761732864405</v>
      </c>
      <c r="I6545">
        <v>1.0834144406600601</v>
      </c>
      <c r="J6545">
        <v>1.7251481715160499</v>
      </c>
      <c r="K6545">
        <v>1.4201789351351799</v>
      </c>
      <c r="L6545">
        <v>15000</v>
      </c>
      <c r="M6545">
        <v>232.76900524293501</v>
      </c>
      <c r="O6545">
        <v>64.436813020621699</v>
      </c>
      <c r="P6545">
        <v>0.45154508086091999</v>
      </c>
      <c r="Q6545">
        <v>1.5</v>
      </c>
      <c r="R6545">
        <v>0.70295227703989205</v>
      </c>
      <c r="S6545" t="s">
        <v>13191</v>
      </c>
      <c r="T6545" t="s">
        <v>13290</v>
      </c>
      <c r="U6545" t="s">
        <v>13290</v>
      </c>
      <c r="V6545" t="s">
        <v>13290</v>
      </c>
      <c r="W6545" t="s">
        <v>19779</v>
      </c>
      <c r="X6545">
        <v>5</v>
      </c>
      <c r="Y6545" t="s">
        <v>26236</v>
      </c>
      <c r="Z6545" t="s">
        <v>32875</v>
      </c>
      <c r="AA6545">
        <v>1.0925752794754009</v>
      </c>
      <c r="AB6545" t="str">
        <f>HYPERLINK("Melting_Curves/meltCurve_Q9Y584_TIMM22.pdf", "Melting_Curves/meltCurve_Q9Y584_TIMM22.pdf")</f>
        <v>Melting_Curves/meltCurve_Q9Y584_TIMM22.pdf</v>
      </c>
    </row>
    <row r="6546" spans="1:28" x14ac:dyDescent="0.25">
      <c r="A6546" t="s">
        <v>6550</v>
      </c>
      <c r="B6546">
        <v>0.99252571173614901</v>
      </c>
      <c r="C6546">
        <v>1.00656502161303</v>
      </c>
      <c r="D6546">
        <v>0.966583414278955</v>
      </c>
      <c r="E6546">
        <v>0.81371114755352003</v>
      </c>
      <c r="F6546">
        <v>0.35829587773145699</v>
      </c>
      <c r="G6546">
        <v>0.20723745202878199</v>
      </c>
      <c r="H6546">
        <v>0.18413610768525099</v>
      </c>
      <c r="I6546">
        <v>0.17394800498413401</v>
      </c>
      <c r="J6546">
        <v>0.274995333163981</v>
      </c>
      <c r="K6546">
        <v>0.26373078100487202</v>
      </c>
      <c r="L6546">
        <v>2001.07605247776</v>
      </c>
      <c r="M6546">
        <v>39.185797906442502</v>
      </c>
      <c r="N6546">
        <v>51.826024213434501</v>
      </c>
      <c r="O6546">
        <v>50.9339081590646</v>
      </c>
      <c r="P6546">
        <v>-0.150316252366892</v>
      </c>
      <c r="Q6546">
        <v>0.218474305989457</v>
      </c>
      <c r="R6546">
        <v>0.99196580647968102</v>
      </c>
      <c r="S6546" t="s">
        <v>13192</v>
      </c>
      <c r="T6546" t="s">
        <v>13290</v>
      </c>
      <c r="U6546" t="s">
        <v>13290</v>
      </c>
      <c r="V6546" t="s">
        <v>13290</v>
      </c>
      <c r="W6546" t="s">
        <v>19780</v>
      </c>
      <c r="X6546">
        <v>2</v>
      </c>
      <c r="Y6546" t="s">
        <v>26237</v>
      </c>
      <c r="Z6546" t="s">
        <v>32876</v>
      </c>
      <c r="AA6546">
        <v>0.50963753871742867</v>
      </c>
      <c r="AB6546" t="str">
        <f>HYPERLINK("Melting_Curves/meltCurve_Q9Y597_2_KCTD3.pdf", "Melting_Curves/meltCurve_Q9Y597_2_KCTD3.pdf")</f>
        <v>Melting_Curves/meltCurve_Q9Y597_2_KCTD3.pdf</v>
      </c>
    </row>
    <row r="6547" spans="1:28" x14ac:dyDescent="0.25">
      <c r="A6547" t="s">
        <v>6551</v>
      </c>
      <c r="B6547">
        <v>0.99252571173614901</v>
      </c>
      <c r="C6547">
        <v>0.98828943050996398</v>
      </c>
      <c r="D6547">
        <v>0.85788419950304595</v>
      </c>
      <c r="E6547">
        <v>0.68799984010707305</v>
      </c>
      <c r="F6547">
        <v>0.25171990107903802</v>
      </c>
      <c r="G6547">
        <v>0.141538587831436</v>
      </c>
      <c r="H6547">
        <v>0.110978233881472</v>
      </c>
      <c r="I6547">
        <v>0.128742537341104</v>
      </c>
      <c r="J6547">
        <v>0.18118005816223001</v>
      </c>
      <c r="K6547">
        <v>0.20474798482636899</v>
      </c>
      <c r="L6547">
        <v>1472.1241074435</v>
      </c>
      <c r="M6547">
        <v>29.333834760059698</v>
      </c>
      <c r="N6547">
        <v>50.774515603762097</v>
      </c>
      <c r="O6547">
        <v>49.953689338811003</v>
      </c>
      <c r="P6547">
        <v>-0.12562475192932199</v>
      </c>
      <c r="Q6547">
        <v>0.144281613993474</v>
      </c>
      <c r="R6547">
        <v>0.98617906125461197</v>
      </c>
      <c r="S6547" t="s">
        <v>13193</v>
      </c>
      <c r="T6547" t="s">
        <v>13290</v>
      </c>
      <c r="U6547" t="s">
        <v>13290</v>
      </c>
      <c r="V6547" t="s">
        <v>13290</v>
      </c>
      <c r="W6547" t="s">
        <v>19781</v>
      </c>
      <c r="X6547">
        <v>8</v>
      </c>
      <c r="Y6547" t="s">
        <v>26238</v>
      </c>
      <c r="Z6547" t="s">
        <v>32877</v>
      </c>
      <c r="AA6547">
        <v>0.4403584187999981</v>
      </c>
      <c r="AB6547" t="str">
        <f>HYPERLINK("Melting_Curves/meltCurve_Q9Y5A9_2_YTHDF2.pdf", "Melting_Curves/meltCurve_Q9Y5A9_2_YTHDF2.pdf")</f>
        <v>Melting_Curves/meltCurve_Q9Y5A9_2_YTHDF2.pdf</v>
      </c>
    </row>
    <row r="6548" spans="1:28" x14ac:dyDescent="0.25">
      <c r="A6548" t="s">
        <v>6552</v>
      </c>
      <c r="B6548">
        <v>0.99252571173614901</v>
      </c>
      <c r="C6548">
        <v>0.96409722983148904</v>
      </c>
      <c r="D6548">
        <v>0.56715510167647598</v>
      </c>
      <c r="E6548">
        <v>0.24099724394823199</v>
      </c>
      <c r="F6548">
        <v>0.13719874639059601</v>
      </c>
      <c r="G6548">
        <v>8.8763176578090505E-2</v>
      </c>
      <c r="H6548">
        <v>7.5794947711621E-2</v>
      </c>
      <c r="I6548">
        <v>8.5107481515322006E-2</v>
      </c>
      <c r="J6548">
        <v>9.8623034590003295E-2</v>
      </c>
      <c r="K6548">
        <v>9.7744627116884295E-2</v>
      </c>
      <c r="L6548">
        <v>1333.95631018981</v>
      </c>
      <c r="M6548">
        <v>28.781627854676501</v>
      </c>
      <c r="N6548">
        <v>46.689074272570501</v>
      </c>
      <c r="O6548">
        <v>46.125486768500103</v>
      </c>
      <c r="P6548">
        <v>-0.14118670396058799</v>
      </c>
      <c r="Q6548">
        <v>9.4942850953357097E-2</v>
      </c>
      <c r="R6548">
        <v>0.99615619127866595</v>
      </c>
      <c r="S6548" t="s">
        <v>13194</v>
      </c>
      <c r="T6548" t="s">
        <v>13290</v>
      </c>
      <c r="U6548" t="s">
        <v>13290</v>
      </c>
      <c r="V6548" t="s">
        <v>13290</v>
      </c>
      <c r="W6548" t="s">
        <v>19782</v>
      </c>
      <c r="X6548">
        <v>9</v>
      </c>
      <c r="Y6548" t="s">
        <v>26239</v>
      </c>
      <c r="Z6548" t="s">
        <v>32878</v>
      </c>
      <c r="AA6548">
        <v>0.29243282513768948</v>
      </c>
      <c r="AB6548" t="str">
        <f>HYPERLINK("Melting_Curves/meltCurve_Q9Y5B0_CTDP1.pdf", "Melting_Curves/meltCurve_Q9Y5B0_CTDP1.pdf")</f>
        <v>Melting_Curves/meltCurve_Q9Y5B0_CTDP1.pdf</v>
      </c>
    </row>
    <row r="6549" spans="1:28" x14ac:dyDescent="0.25">
      <c r="A6549" t="s">
        <v>6553</v>
      </c>
      <c r="B6549">
        <v>0.99252571173614901</v>
      </c>
      <c r="C6549">
        <v>0.87614877265342805</v>
      </c>
      <c r="D6549">
        <v>0.608480019949178</v>
      </c>
      <c r="E6549">
        <v>0.317490476699335</v>
      </c>
      <c r="F6549">
        <v>0.18287240244962999</v>
      </c>
      <c r="G6549">
        <v>0.12846208662509401</v>
      </c>
      <c r="H6549">
        <v>9.4994278191655193E-2</v>
      </c>
      <c r="I6549">
        <v>0.11091538154002401</v>
      </c>
      <c r="J6549">
        <v>0.12399973743647</v>
      </c>
      <c r="K6549">
        <v>0.14848801563213801</v>
      </c>
      <c r="L6549">
        <v>983.64091255458197</v>
      </c>
      <c r="M6549">
        <v>21.117027439837202</v>
      </c>
      <c r="N6549">
        <v>47.177558994994598</v>
      </c>
      <c r="O6549">
        <v>46.168779231425198</v>
      </c>
      <c r="P6549">
        <v>-0.100940818855756</v>
      </c>
      <c r="Q6549">
        <v>0.11726370958905299</v>
      </c>
      <c r="R6549">
        <v>0.99763443553468001</v>
      </c>
      <c r="S6549" t="s">
        <v>13195</v>
      </c>
      <c r="T6549" t="s">
        <v>13290</v>
      </c>
      <c r="U6549" t="s">
        <v>13290</v>
      </c>
      <c r="V6549" t="s">
        <v>13290</v>
      </c>
      <c r="W6549" t="s">
        <v>19783</v>
      </c>
      <c r="X6549">
        <v>4</v>
      </c>
      <c r="Y6549" t="s">
        <v>26240</v>
      </c>
      <c r="Z6549" t="s">
        <v>32879</v>
      </c>
      <c r="AA6549">
        <v>0.32254662610119011</v>
      </c>
      <c r="AB6549" t="str">
        <f>HYPERLINK("Melting_Curves/meltCurve_Q9Y5B6_PAXBP1.pdf", "Melting_Curves/meltCurve_Q9Y5B6_PAXBP1.pdf")</f>
        <v>Melting_Curves/meltCurve_Q9Y5B6_PAXBP1.pdf</v>
      </c>
    </row>
    <row r="6550" spans="1:28" x14ac:dyDescent="0.25">
      <c r="A6550" t="s">
        <v>6554</v>
      </c>
      <c r="B6550">
        <v>0.99252571173614901</v>
      </c>
      <c r="C6550">
        <v>0.96975309697295198</v>
      </c>
      <c r="D6550">
        <v>0.63785494543629895</v>
      </c>
      <c r="E6550">
        <v>0.37255458662242102</v>
      </c>
      <c r="F6550">
        <v>0.25221856169635598</v>
      </c>
      <c r="G6550">
        <v>0.157797586756036</v>
      </c>
      <c r="H6550">
        <v>0.10673607415592801</v>
      </c>
      <c r="I6550">
        <v>0.11479966791606599</v>
      </c>
      <c r="J6550">
        <v>0.14034505801632</v>
      </c>
      <c r="K6550">
        <v>0.13827426249241601</v>
      </c>
      <c r="L6550">
        <v>982.11474639529797</v>
      </c>
      <c r="M6550">
        <v>20.785685134154399</v>
      </c>
      <c r="N6550">
        <v>47.947030706916699</v>
      </c>
      <c r="O6550">
        <v>46.818754506705801</v>
      </c>
      <c r="P6550">
        <v>-9.6512748895191902E-2</v>
      </c>
      <c r="Q6550">
        <v>0.13046303218208899</v>
      </c>
      <c r="R6550">
        <v>0.99106728445757997</v>
      </c>
      <c r="S6550" t="s">
        <v>13196</v>
      </c>
      <c r="T6550" t="s">
        <v>13290</v>
      </c>
      <c r="U6550" t="s">
        <v>13290</v>
      </c>
      <c r="V6550" t="s">
        <v>13290</v>
      </c>
      <c r="W6550" t="s">
        <v>19784</v>
      </c>
      <c r="X6550">
        <v>6</v>
      </c>
      <c r="Y6550" t="s">
        <v>26241</v>
      </c>
      <c r="Z6550" t="s">
        <v>32880</v>
      </c>
      <c r="AA6550">
        <v>0.35217906201511029</v>
      </c>
      <c r="AB6550" t="str">
        <f>HYPERLINK("Melting_Curves/meltCurve_Q9Y5B8_NME7.pdf", "Melting_Curves/meltCurve_Q9Y5B8_NME7.pdf")</f>
        <v>Melting_Curves/meltCurve_Q9Y5B8_NME7.pdf</v>
      </c>
    </row>
    <row r="6551" spans="1:28" x14ac:dyDescent="0.25">
      <c r="A6551" t="s">
        <v>6555</v>
      </c>
      <c r="B6551">
        <v>0.99252571173614901</v>
      </c>
      <c r="C6551">
        <v>0.85792992462931195</v>
      </c>
      <c r="D6551">
        <v>0.69704302309542898</v>
      </c>
      <c r="E6551">
        <v>0.27935161817107901</v>
      </c>
      <c r="F6551">
        <v>0.10924810794543301</v>
      </c>
      <c r="G6551">
        <v>5.6176951677685001E-2</v>
      </c>
      <c r="H6551">
        <v>4.14544973944369E-2</v>
      </c>
      <c r="I6551">
        <v>4.3240303724780098E-2</v>
      </c>
      <c r="J6551">
        <v>4.9989684000968301E-2</v>
      </c>
      <c r="K6551">
        <v>5.1060654227633201E-2</v>
      </c>
      <c r="L6551">
        <v>1042.08150474733</v>
      </c>
      <c r="M6551">
        <v>22.0344779378166</v>
      </c>
      <c r="N6551">
        <v>47.470003647010003</v>
      </c>
      <c r="O6551">
        <v>46.908860080160103</v>
      </c>
      <c r="P6551">
        <v>-0.112809369313108</v>
      </c>
      <c r="Q6551">
        <v>3.9388809009811301E-2</v>
      </c>
      <c r="R6551">
        <v>0.99668964253581505</v>
      </c>
      <c r="S6551" t="s">
        <v>13197</v>
      </c>
      <c r="T6551" t="s">
        <v>13290</v>
      </c>
      <c r="U6551" t="s">
        <v>13290</v>
      </c>
      <c r="V6551" t="s">
        <v>13290</v>
      </c>
      <c r="W6551" t="s">
        <v>19785</v>
      </c>
      <c r="X6551">
        <v>28</v>
      </c>
      <c r="Y6551" t="s">
        <v>26242</v>
      </c>
      <c r="Z6551" t="s">
        <v>32881</v>
      </c>
      <c r="AA6551">
        <v>0.28417252715351038</v>
      </c>
      <c r="AB6551" t="str">
        <f>HYPERLINK("Melting_Curves/meltCurve_Q9Y5B9_SUPT16H.pdf", "Melting_Curves/meltCurve_Q9Y5B9_SUPT16H.pdf")</f>
        <v>Melting_Curves/meltCurve_Q9Y5B9_SUPT16H.pdf</v>
      </c>
    </row>
    <row r="6552" spans="1:28" x14ac:dyDescent="0.25">
      <c r="A6552" t="s">
        <v>6556</v>
      </c>
      <c r="B6552">
        <v>0.99252571173614901</v>
      </c>
      <c r="C6552">
        <v>1.0402237824243401</v>
      </c>
      <c r="D6552">
        <v>1.11384959984889</v>
      </c>
      <c r="E6552">
        <v>1.1239872749967701</v>
      </c>
      <c r="F6552">
        <v>0.484081277226732</v>
      </c>
      <c r="G6552">
        <v>0.34161824276262998</v>
      </c>
      <c r="H6552">
        <v>0.315849016895697</v>
      </c>
      <c r="I6552">
        <v>0.41394962743112002</v>
      </c>
      <c r="J6552">
        <v>0.60446805995506803</v>
      </c>
      <c r="K6552">
        <v>0.62562464857786904</v>
      </c>
      <c r="L6552">
        <v>13136.299663898801</v>
      </c>
      <c r="M6552">
        <v>250</v>
      </c>
      <c r="N6552">
        <v>53.083101588654898</v>
      </c>
      <c r="O6552">
        <v>52.541849655534001</v>
      </c>
      <c r="P6552">
        <v>-0.64198637360672794</v>
      </c>
      <c r="Q6552">
        <v>0.46030171482820398</v>
      </c>
      <c r="R6552">
        <v>0.88135305198621905</v>
      </c>
      <c r="S6552" t="s">
        <v>13198</v>
      </c>
      <c r="T6552" t="s">
        <v>13290</v>
      </c>
      <c r="U6552" t="s">
        <v>13290</v>
      </c>
      <c r="V6552" t="s">
        <v>13290</v>
      </c>
      <c r="W6552" t="s">
        <v>19786</v>
      </c>
      <c r="X6552">
        <v>7</v>
      </c>
      <c r="Y6552" t="s">
        <v>26243</v>
      </c>
      <c r="Z6552" t="s">
        <v>32882</v>
      </c>
      <c r="AA6552">
        <v>0.6860388903672392</v>
      </c>
      <c r="AB6552" t="str">
        <f>HYPERLINK("Melting_Curves/meltCurve_Q9Y5J1_UTP18.pdf", "Melting_Curves/meltCurve_Q9Y5J1_UTP18.pdf")</f>
        <v>Melting_Curves/meltCurve_Q9Y5J1_UTP18.pdf</v>
      </c>
    </row>
    <row r="6553" spans="1:28" x14ac:dyDescent="0.25">
      <c r="A6553" t="s">
        <v>6557</v>
      </c>
      <c r="B6553">
        <v>0.99252571173614901</v>
      </c>
      <c r="C6553">
        <v>0.93141935234754103</v>
      </c>
      <c r="D6553">
        <v>0.90286078069088505</v>
      </c>
      <c r="E6553">
        <v>0.81540454660284301</v>
      </c>
      <c r="F6553">
        <v>0.58771233323522698</v>
      </c>
      <c r="G6553">
        <v>0.41503614669466299</v>
      </c>
      <c r="H6553">
        <v>0.27325241621448798</v>
      </c>
      <c r="I6553">
        <v>0.30777691105160399</v>
      </c>
      <c r="J6553">
        <v>0.31364678727194301</v>
      </c>
      <c r="K6553">
        <v>0.29775707040064398</v>
      </c>
      <c r="L6553">
        <v>907.76729276160199</v>
      </c>
      <c r="M6553">
        <v>17.391522152501999</v>
      </c>
      <c r="N6553">
        <v>54.688314674032597</v>
      </c>
      <c r="O6553">
        <v>51.520536787191404</v>
      </c>
      <c r="P6553">
        <v>-6.1299758801110098E-2</v>
      </c>
      <c r="Q6553">
        <v>0.27366504689214</v>
      </c>
      <c r="R6553">
        <v>0.98906828038781103</v>
      </c>
      <c r="S6553" t="s">
        <v>13199</v>
      </c>
      <c r="T6553" t="s">
        <v>13290</v>
      </c>
      <c r="U6553" t="s">
        <v>13290</v>
      </c>
      <c r="V6553" t="s">
        <v>13290</v>
      </c>
      <c r="W6553" t="s">
        <v>19787</v>
      </c>
      <c r="X6553">
        <v>5</v>
      </c>
      <c r="Y6553" t="s">
        <v>26244</v>
      </c>
      <c r="Z6553" t="s">
        <v>32883</v>
      </c>
      <c r="AA6553">
        <v>0.58170935346400043</v>
      </c>
      <c r="AB6553" t="str">
        <f>HYPERLINK("Melting_Curves/meltCurve_Q9Y5J6_TIMM10B.pdf", "Melting_Curves/meltCurve_Q9Y5J6_TIMM10B.pdf")</f>
        <v>Melting_Curves/meltCurve_Q9Y5J6_TIMM10B.pdf</v>
      </c>
    </row>
    <row r="6554" spans="1:28" x14ac:dyDescent="0.25">
      <c r="A6554" t="s">
        <v>6558</v>
      </c>
      <c r="B6554">
        <v>0.99252571173614901</v>
      </c>
      <c r="C6554">
        <v>0.989963670150808</v>
      </c>
      <c r="D6554">
        <v>0.95305591299944203</v>
      </c>
      <c r="E6554">
        <v>0.94471929321579895</v>
      </c>
      <c r="F6554">
        <v>0.85245831223050705</v>
      </c>
      <c r="G6554">
        <v>0.77363034468872105</v>
      </c>
      <c r="H6554">
        <v>0.74916063424114898</v>
      </c>
      <c r="I6554">
        <v>0.97530619313284905</v>
      </c>
      <c r="J6554">
        <v>1.1233842952789199</v>
      </c>
      <c r="K6554">
        <v>0.81646058771894803</v>
      </c>
      <c r="L6554">
        <v>1348.8732567352899</v>
      </c>
      <c r="M6554">
        <v>28.4038074073468</v>
      </c>
      <c r="O6554">
        <v>47.255646693920902</v>
      </c>
      <c r="P6554">
        <v>-1.7325860148595999E-2</v>
      </c>
      <c r="Q6554">
        <v>0.88470023336796899</v>
      </c>
      <c r="R6554">
        <v>0.15129655531885899</v>
      </c>
      <c r="S6554" t="s">
        <v>13200</v>
      </c>
      <c r="T6554" t="s">
        <v>13290</v>
      </c>
      <c r="U6554" t="s">
        <v>13290</v>
      </c>
      <c r="V6554" t="s">
        <v>13290</v>
      </c>
      <c r="W6554" t="s">
        <v>19788</v>
      </c>
      <c r="X6554">
        <v>7</v>
      </c>
      <c r="Y6554" t="s">
        <v>26245</v>
      </c>
      <c r="Z6554" t="s">
        <v>32884</v>
      </c>
      <c r="AA6554">
        <v>0.9142604801962636</v>
      </c>
      <c r="AB6554" t="str">
        <f>HYPERLINK("Melting_Curves/meltCurve_Q9Y5J7_TIMM9.pdf", "Melting_Curves/meltCurve_Q9Y5J7_TIMM9.pdf")</f>
        <v>Melting_Curves/meltCurve_Q9Y5J7_TIMM9.pdf</v>
      </c>
    </row>
    <row r="6555" spans="1:28" x14ac:dyDescent="0.25">
      <c r="A6555" t="s">
        <v>6559</v>
      </c>
      <c r="B6555">
        <v>0.99252571173614901</v>
      </c>
      <c r="C6555">
        <v>1.0452418724619901</v>
      </c>
      <c r="D6555">
        <v>0.92642323263723603</v>
      </c>
      <c r="E6555">
        <v>0.81851411563340404</v>
      </c>
      <c r="F6555">
        <v>0.53751784457673302</v>
      </c>
      <c r="G6555">
        <v>0.39771716041555799</v>
      </c>
      <c r="H6555">
        <v>0.195651407333714</v>
      </c>
      <c r="I6555">
        <v>0.16511180218992499</v>
      </c>
      <c r="J6555">
        <v>0.157443458850068</v>
      </c>
      <c r="K6555">
        <v>0.13746702617630599</v>
      </c>
      <c r="L6555">
        <v>893.81245919901005</v>
      </c>
      <c r="M6555">
        <v>16.758448090672299</v>
      </c>
      <c r="N6555">
        <v>54.232120920945299</v>
      </c>
      <c r="O6555">
        <v>52.592955428186301</v>
      </c>
      <c r="P6555">
        <v>-7.0022489344453501E-2</v>
      </c>
      <c r="Q6555">
        <v>0.12105252382979299</v>
      </c>
      <c r="R6555">
        <v>0.99389184702981404</v>
      </c>
      <c r="S6555" t="s">
        <v>13201</v>
      </c>
      <c r="T6555" t="s">
        <v>13290</v>
      </c>
      <c r="U6555" t="s">
        <v>13290</v>
      </c>
      <c r="V6555" t="s">
        <v>13290</v>
      </c>
      <c r="W6555" t="s">
        <v>19789</v>
      </c>
      <c r="X6555">
        <v>13</v>
      </c>
      <c r="Y6555" t="s">
        <v>26246</v>
      </c>
      <c r="Z6555" t="s">
        <v>32885</v>
      </c>
      <c r="AA6555">
        <v>0.52768296410542492</v>
      </c>
      <c r="AB6555" t="str">
        <f>HYPERLINK("Melting_Curves/meltCurve_Q9Y5K3_2_PCYT1B.pdf", "Melting_Curves/meltCurve_Q9Y5K3_2_PCYT1B.pdf")</f>
        <v>Melting_Curves/meltCurve_Q9Y5K3_2_PCYT1B.pdf</v>
      </c>
    </row>
    <row r="6556" spans="1:28" x14ac:dyDescent="0.25">
      <c r="A6556" t="s">
        <v>6560</v>
      </c>
      <c r="B6556">
        <v>0.99252571173614901</v>
      </c>
      <c r="C6556">
        <v>0.92026117024015797</v>
      </c>
      <c r="D6556">
        <v>0.76451032250899498</v>
      </c>
      <c r="E6556">
        <v>0.327817747240712</v>
      </c>
      <c r="F6556">
        <v>0.192793885408518</v>
      </c>
      <c r="G6556">
        <v>0.10280109520031901</v>
      </c>
      <c r="H6556">
        <v>6.7841803054281502E-2</v>
      </c>
      <c r="I6556">
        <v>6.5520765566063496E-2</v>
      </c>
      <c r="J6556">
        <v>8.0494816379067205E-2</v>
      </c>
      <c r="K6556">
        <v>7.2884607460318607E-2</v>
      </c>
      <c r="L6556">
        <v>1112.8226154057199</v>
      </c>
      <c r="M6556">
        <v>23.249712034598801</v>
      </c>
      <c r="N6556">
        <v>48.198449523958402</v>
      </c>
      <c r="O6556">
        <v>47.514050858832</v>
      </c>
      <c r="P6556">
        <v>-0.113218245910052</v>
      </c>
      <c r="Q6556">
        <v>7.4507073237184501E-2</v>
      </c>
      <c r="R6556">
        <v>0.99719464143474901</v>
      </c>
      <c r="S6556" t="s">
        <v>13202</v>
      </c>
      <c r="T6556" t="s">
        <v>13290</v>
      </c>
      <c r="U6556" t="s">
        <v>13290</v>
      </c>
      <c r="V6556" t="s">
        <v>13290</v>
      </c>
      <c r="W6556" t="s">
        <v>19790</v>
      </c>
      <c r="X6556">
        <v>17</v>
      </c>
      <c r="Y6556" t="s">
        <v>26247</v>
      </c>
      <c r="Z6556" t="s">
        <v>32886</v>
      </c>
      <c r="AA6556">
        <v>0.32666495096150427</v>
      </c>
      <c r="AB6556" t="str">
        <f>HYPERLINK("Melting_Curves/meltCurve_Q9Y5K5_2_UCHL5.pdf", "Melting_Curves/meltCurve_Q9Y5K5_2_UCHL5.pdf")</f>
        <v>Melting_Curves/meltCurve_Q9Y5K5_2_UCHL5.pdf</v>
      </c>
    </row>
    <row r="6557" spans="1:28" x14ac:dyDescent="0.25">
      <c r="A6557" t="s">
        <v>6561</v>
      </c>
      <c r="B6557">
        <v>0.99252571173614901</v>
      </c>
      <c r="C6557">
        <v>0.85312447616590004</v>
      </c>
      <c r="D6557">
        <v>0.94516458601661402</v>
      </c>
      <c r="E6557">
        <v>1.0567963644767899</v>
      </c>
      <c r="F6557">
        <v>0.42794641214739398</v>
      </c>
      <c r="G6557">
        <v>0.21761792574911501</v>
      </c>
      <c r="H6557">
        <v>0.17143273146609</v>
      </c>
      <c r="I6557">
        <v>0.203996121767791</v>
      </c>
      <c r="J6557">
        <v>0.26798608332722101</v>
      </c>
      <c r="K6557">
        <v>0.30097191979481702</v>
      </c>
      <c r="L6557">
        <v>13242.8930079978</v>
      </c>
      <c r="M6557">
        <v>250</v>
      </c>
      <c r="N6557">
        <v>53.104344222829198</v>
      </c>
      <c r="O6557">
        <v>52.968201161083798</v>
      </c>
      <c r="P6557">
        <v>-0.90573130340326402</v>
      </c>
      <c r="Q6557">
        <v>0.232400948078577</v>
      </c>
      <c r="R6557">
        <v>0.96864780672055095</v>
      </c>
      <c r="S6557" t="s">
        <v>13203</v>
      </c>
      <c r="T6557" t="s">
        <v>13290</v>
      </c>
      <c r="U6557" t="s">
        <v>13290</v>
      </c>
      <c r="V6557" t="s">
        <v>13290</v>
      </c>
      <c r="W6557" t="s">
        <v>19791</v>
      </c>
      <c r="X6557">
        <v>21</v>
      </c>
      <c r="Y6557" t="s">
        <v>26248</v>
      </c>
      <c r="Z6557" t="s">
        <v>32887</v>
      </c>
      <c r="AA6557">
        <v>0.56437118716478274</v>
      </c>
      <c r="AB6557" t="str">
        <f>HYPERLINK("Melting_Curves/meltCurve_Q9Y5K6_CD2AP.pdf", "Melting_Curves/meltCurve_Q9Y5K6_CD2AP.pdf")</f>
        <v>Melting_Curves/meltCurve_Q9Y5K6_CD2AP.pdf</v>
      </c>
    </row>
    <row r="6558" spans="1:28" x14ac:dyDescent="0.25">
      <c r="A6558" t="s">
        <v>6562</v>
      </c>
      <c r="B6558">
        <v>0.99252571173614901</v>
      </c>
      <c r="C6558">
        <v>0.95808852718632997</v>
      </c>
      <c r="D6558">
        <v>0.92335115598442197</v>
      </c>
      <c r="E6558">
        <v>0.78144800284923699</v>
      </c>
      <c r="F6558">
        <v>1.00340878267722</v>
      </c>
      <c r="G6558">
        <v>0.84136554056355795</v>
      </c>
      <c r="H6558">
        <v>0.72815748678473502</v>
      </c>
      <c r="I6558">
        <v>0.33870775601867198</v>
      </c>
      <c r="J6558">
        <v>0.31111613495354501</v>
      </c>
      <c r="K6558">
        <v>0.24823343084822799</v>
      </c>
      <c r="L6558">
        <v>1434.61691369199</v>
      </c>
      <c r="M6558">
        <v>23.342028502975399</v>
      </c>
      <c r="N6558">
        <v>62.754120990529302</v>
      </c>
      <c r="O6558">
        <v>61.014910762399303</v>
      </c>
      <c r="P6558">
        <v>-7.7379338690337002E-2</v>
      </c>
      <c r="Q6558">
        <v>0.19095118098620301</v>
      </c>
      <c r="R6558">
        <v>0.91112054279030597</v>
      </c>
      <c r="S6558" t="s">
        <v>13204</v>
      </c>
      <c r="T6558" t="s">
        <v>13290</v>
      </c>
      <c r="U6558" t="s">
        <v>13290</v>
      </c>
      <c r="V6558" t="s">
        <v>13290</v>
      </c>
      <c r="W6558" t="s">
        <v>19792</v>
      </c>
      <c r="X6558">
        <v>8</v>
      </c>
      <c r="Y6558" t="s">
        <v>26249</v>
      </c>
      <c r="Z6558" t="s">
        <v>32888</v>
      </c>
      <c r="AA6558">
        <v>0.7741853596489181</v>
      </c>
      <c r="AB6558" t="str">
        <f>HYPERLINK("Melting_Curves/meltCurve_Q9Y5K8_ATP6V1D.pdf", "Melting_Curves/meltCurve_Q9Y5K8_ATP6V1D.pdf")</f>
        <v>Melting_Curves/meltCurve_Q9Y5K8_ATP6V1D.pdf</v>
      </c>
    </row>
    <row r="6559" spans="1:28" x14ac:dyDescent="0.25">
      <c r="A6559" t="s">
        <v>6563</v>
      </c>
      <c r="B6559">
        <v>0.99252571173614901</v>
      </c>
      <c r="C6559">
        <v>0.99343549786049101</v>
      </c>
      <c r="D6559">
        <v>0.89121922472159298</v>
      </c>
      <c r="E6559">
        <v>0.59784332767048998</v>
      </c>
      <c r="F6559">
        <v>0.13490917663672899</v>
      </c>
      <c r="G6559">
        <v>7.2871757589285005E-2</v>
      </c>
      <c r="H6559">
        <v>4.8448187227942703E-2</v>
      </c>
      <c r="I6559">
        <v>6.13278928498176E-2</v>
      </c>
      <c r="J6559">
        <v>6.9131722123780104E-2</v>
      </c>
      <c r="K6559">
        <v>6.2658661504972998E-2</v>
      </c>
      <c r="L6559">
        <v>1607.0956368724201</v>
      </c>
      <c r="M6559">
        <v>32.209675136985098</v>
      </c>
      <c r="N6559">
        <v>50.073934305846002</v>
      </c>
      <c r="O6559">
        <v>49.703683268041701</v>
      </c>
      <c r="P6559">
        <v>-0.153193628677118</v>
      </c>
      <c r="Q6559">
        <v>5.4414871567626699E-2</v>
      </c>
      <c r="R6559">
        <v>0.99710082409506195</v>
      </c>
      <c r="S6559" t="s">
        <v>13205</v>
      </c>
      <c r="T6559" t="s">
        <v>13290</v>
      </c>
      <c r="U6559" t="s">
        <v>13290</v>
      </c>
      <c r="V6559" t="s">
        <v>13290</v>
      </c>
      <c r="W6559" t="s">
        <v>19793</v>
      </c>
      <c r="X6559">
        <v>10</v>
      </c>
      <c r="Y6559" t="s">
        <v>26250</v>
      </c>
      <c r="Z6559" t="s">
        <v>32889</v>
      </c>
      <c r="AA6559">
        <v>0.37135015332055388</v>
      </c>
      <c r="AB6559" t="str">
        <f>HYPERLINK("Melting_Curves/meltCurve_Q9Y5L0_TNPO3.pdf", "Melting_Curves/meltCurve_Q9Y5L0_TNPO3.pdf")</f>
        <v>Melting_Curves/meltCurve_Q9Y5L0_TNPO3.pdf</v>
      </c>
    </row>
    <row r="6560" spans="1:28" x14ac:dyDescent="0.25">
      <c r="A6560" t="s">
        <v>6564</v>
      </c>
      <c r="B6560">
        <v>0.99252571173614901</v>
      </c>
      <c r="C6560">
        <v>0.91961173387739603</v>
      </c>
      <c r="D6560">
        <v>0.89338996264153103</v>
      </c>
      <c r="E6560">
        <v>0.80580192234454695</v>
      </c>
      <c r="F6560">
        <v>0.67408710548372297</v>
      </c>
      <c r="G6560">
        <v>0.53816779641711998</v>
      </c>
      <c r="H6560">
        <v>0.42071142562736202</v>
      </c>
      <c r="I6560">
        <v>0.33344461021328398</v>
      </c>
      <c r="J6560">
        <v>0.403894292499553</v>
      </c>
      <c r="K6560">
        <v>0.23275715174346301</v>
      </c>
      <c r="L6560">
        <v>505.67902168729103</v>
      </c>
      <c r="M6560">
        <v>9.0966675845192206</v>
      </c>
      <c r="N6560">
        <v>58.276720581237001</v>
      </c>
      <c r="O6560">
        <v>53.100556918683502</v>
      </c>
      <c r="P6560">
        <v>-3.5515937201514899E-2</v>
      </c>
      <c r="Q6560">
        <v>0.17130018856017301</v>
      </c>
      <c r="R6560">
        <v>0.98109625230139896</v>
      </c>
      <c r="S6560" t="s">
        <v>13206</v>
      </c>
      <c r="T6560" t="s">
        <v>13290</v>
      </c>
      <c r="U6560" t="s">
        <v>13290</v>
      </c>
      <c r="V6560" t="s">
        <v>13290</v>
      </c>
      <c r="W6560" t="s">
        <v>19794</v>
      </c>
      <c r="X6560">
        <v>12</v>
      </c>
      <c r="Y6560" t="s">
        <v>26251</v>
      </c>
      <c r="Z6560" t="s">
        <v>32890</v>
      </c>
      <c r="AA6560">
        <v>0.62123403682167044</v>
      </c>
      <c r="AB6560" t="str">
        <f>HYPERLINK("Melting_Curves/meltCurve_Q9Y5L3_ENTPD2.pdf", "Melting_Curves/meltCurve_Q9Y5L3_ENTPD2.pdf")</f>
        <v>Melting_Curves/meltCurve_Q9Y5L3_ENTPD2.pdf</v>
      </c>
    </row>
    <row r="6561" spans="1:28" x14ac:dyDescent="0.25">
      <c r="A6561" t="s">
        <v>6565</v>
      </c>
      <c r="B6561">
        <v>0.99252571173614901</v>
      </c>
      <c r="C6561">
        <v>0.97169386099902799</v>
      </c>
      <c r="D6561">
        <v>0.96443188112668798</v>
      </c>
      <c r="E6561">
        <v>0.94911795728772597</v>
      </c>
      <c r="F6561">
        <v>0.908439410234685</v>
      </c>
      <c r="G6561">
        <v>0.65713679361941701</v>
      </c>
      <c r="H6561">
        <v>0.49162328656245902</v>
      </c>
      <c r="I6561">
        <v>0.53447859987092405</v>
      </c>
      <c r="J6561">
        <v>0.82163247659627003</v>
      </c>
      <c r="K6561">
        <v>0.77219196329434103</v>
      </c>
      <c r="L6561">
        <v>4512.4811211221004</v>
      </c>
      <c r="M6561">
        <v>83.806689511556797</v>
      </c>
      <c r="O6561">
        <v>53.813289586181298</v>
      </c>
      <c r="P6561">
        <v>-0.134495190192713</v>
      </c>
      <c r="Q6561">
        <v>0.65455608038534996</v>
      </c>
      <c r="R6561">
        <v>0.72198997719359204</v>
      </c>
      <c r="S6561" t="s">
        <v>13207</v>
      </c>
      <c r="T6561" t="s">
        <v>13290</v>
      </c>
      <c r="U6561" t="s">
        <v>13290</v>
      </c>
      <c r="V6561" t="s">
        <v>13290</v>
      </c>
      <c r="W6561" t="s">
        <v>19795</v>
      </c>
      <c r="X6561">
        <v>6</v>
      </c>
      <c r="Y6561" t="s">
        <v>26252</v>
      </c>
      <c r="Z6561" t="s">
        <v>32891</v>
      </c>
      <c r="AA6561">
        <v>0.81425705870542375</v>
      </c>
      <c r="AB6561" t="str">
        <f>HYPERLINK("Melting_Curves/meltCurve_Q9Y5L4_TIMM13.pdf", "Melting_Curves/meltCurve_Q9Y5L4_TIMM13.pdf")</f>
        <v>Melting_Curves/meltCurve_Q9Y5L4_TIMM13.pdf</v>
      </c>
    </row>
    <row r="6562" spans="1:28" x14ac:dyDescent="0.25">
      <c r="A6562" t="s">
        <v>6566</v>
      </c>
      <c r="B6562">
        <v>0.99252571173614901</v>
      </c>
      <c r="C6562">
        <v>0.91882542462743999</v>
      </c>
      <c r="D6562">
        <v>0.87732424813380705</v>
      </c>
      <c r="E6562">
        <v>0.60772473544069605</v>
      </c>
      <c r="F6562">
        <v>0.21587537601586201</v>
      </c>
      <c r="G6562">
        <v>0.137814917561114</v>
      </c>
      <c r="H6562">
        <v>8.7568289799976703E-2</v>
      </c>
      <c r="I6562">
        <v>8.3377182665602206E-2</v>
      </c>
      <c r="J6562">
        <v>8.2576902569877805E-2</v>
      </c>
      <c r="K6562">
        <v>7.2684258749655797E-2</v>
      </c>
      <c r="L6562">
        <v>1168.4345647140001</v>
      </c>
      <c r="M6562">
        <v>23.38838116346</v>
      </c>
      <c r="N6562">
        <v>50.301884725979498</v>
      </c>
      <c r="O6562">
        <v>49.596985426841499</v>
      </c>
      <c r="P6562">
        <v>-0.10918176342380601</v>
      </c>
      <c r="Q6562">
        <v>7.3900594528013494E-2</v>
      </c>
      <c r="R6562">
        <v>0.995249712271433</v>
      </c>
      <c r="S6562" t="s">
        <v>13208</v>
      </c>
      <c r="T6562" t="s">
        <v>13290</v>
      </c>
      <c r="U6562" t="s">
        <v>13290</v>
      </c>
      <c r="V6562" t="s">
        <v>13290</v>
      </c>
      <c r="W6562" t="s">
        <v>19796</v>
      </c>
      <c r="X6562">
        <v>19</v>
      </c>
      <c r="Y6562" t="s">
        <v>26253</v>
      </c>
      <c r="Z6562" t="s">
        <v>32892</v>
      </c>
      <c r="AA6562">
        <v>0.39075894685432427</v>
      </c>
      <c r="AB6562" t="str">
        <f>HYPERLINK("Melting_Curves/meltCurve_Q9Y5M8_SRPRB.pdf", "Melting_Curves/meltCurve_Q9Y5M8_SRPRB.pdf")</f>
        <v>Melting_Curves/meltCurve_Q9Y5M8_SRPRB.pdf</v>
      </c>
    </row>
    <row r="6563" spans="1:28" x14ac:dyDescent="0.25">
      <c r="A6563" t="s">
        <v>6567</v>
      </c>
      <c r="B6563">
        <v>0.99252571173614901</v>
      </c>
      <c r="C6563">
        <v>1.0117959895517501</v>
      </c>
      <c r="D6563">
        <v>0.93730719412651398</v>
      </c>
      <c r="E6563">
        <v>0.66278406152129798</v>
      </c>
      <c r="F6563">
        <v>0.257060488775675</v>
      </c>
      <c r="G6563">
        <v>0.158762839784332</v>
      </c>
      <c r="H6563">
        <v>0.123154877918088</v>
      </c>
      <c r="I6563">
        <v>0.134571757606192</v>
      </c>
      <c r="J6563">
        <v>0.171361214611534</v>
      </c>
      <c r="K6563">
        <v>0.16308643834143899</v>
      </c>
      <c r="L6563">
        <v>1640.29654882562</v>
      </c>
      <c r="M6563">
        <v>32.676657963989697</v>
      </c>
      <c r="N6563">
        <v>50.730509436152701</v>
      </c>
      <c r="O6563">
        <v>50.010915408339798</v>
      </c>
      <c r="P6563">
        <v>-0.13962604150933899</v>
      </c>
      <c r="Q6563">
        <v>0.14522532270767299</v>
      </c>
      <c r="R6563">
        <v>0.99812999984163298</v>
      </c>
      <c r="S6563" t="s">
        <v>13209</v>
      </c>
      <c r="T6563" t="s">
        <v>13290</v>
      </c>
      <c r="U6563" t="s">
        <v>13290</v>
      </c>
      <c r="V6563" t="s">
        <v>13290</v>
      </c>
      <c r="W6563" t="s">
        <v>19797</v>
      </c>
      <c r="X6563">
        <v>10</v>
      </c>
      <c r="Y6563" t="s">
        <v>26254</v>
      </c>
      <c r="Z6563" t="s">
        <v>32893</v>
      </c>
      <c r="AA6563">
        <v>0.44024909934688788</v>
      </c>
      <c r="AB6563" t="str">
        <f>HYPERLINK("Melting_Curves/meltCurve_Q9Y5P4_2_COL4A3BP.pdf", "Melting_Curves/meltCurve_Q9Y5P4_2_COL4A3BP.pdf")</f>
        <v>Melting_Curves/meltCurve_Q9Y5P4_2_COL4A3BP.pdf</v>
      </c>
    </row>
    <row r="6564" spans="1:28" x14ac:dyDescent="0.25">
      <c r="A6564" t="s">
        <v>6568</v>
      </c>
      <c r="B6564">
        <v>0.99252571173614901</v>
      </c>
      <c r="C6564">
        <v>0.92882880840004201</v>
      </c>
      <c r="D6564">
        <v>1.14674606768566</v>
      </c>
      <c r="E6564">
        <v>1.1782055630905199</v>
      </c>
      <c r="F6564">
        <v>1.2595442713481899</v>
      </c>
      <c r="G6564">
        <v>0.93457520841076802</v>
      </c>
      <c r="H6564">
        <v>0.67877739839598294</v>
      </c>
      <c r="I6564">
        <v>0.23371611080309099</v>
      </c>
      <c r="J6564">
        <v>0.16615862811375201</v>
      </c>
      <c r="K6564">
        <v>0.15515428592203501</v>
      </c>
      <c r="L6564">
        <v>3107.9289913740699</v>
      </c>
      <c r="M6564">
        <v>50.655471775949898</v>
      </c>
      <c r="N6564">
        <v>61.792075195182697</v>
      </c>
      <c r="O6564">
        <v>61.2588781670446</v>
      </c>
      <c r="P6564">
        <v>-0.17555673145446599</v>
      </c>
      <c r="Q6564">
        <v>0.15078098548337801</v>
      </c>
      <c r="R6564">
        <v>0.92375077385077897</v>
      </c>
      <c r="S6564" t="s">
        <v>13210</v>
      </c>
      <c r="T6564" t="s">
        <v>13290</v>
      </c>
      <c r="U6564" t="s">
        <v>13290</v>
      </c>
      <c r="V6564" t="s">
        <v>13290</v>
      </c>
      <c r="W6564" t="s">
        <v>19798</v>
      </c>
      <c r="X6564">
        <v>13</v>
      </c>
      <c r="Y6564" t="s">
        <v>26255</v>
      </c>
      <c r="Z6564" t="s">
        <v>32894</v>
      </c>
      <c r="AA6564">
        <v>0.75741166250274594</v>
      </c>
      <c r="AB6564" t="str">
        <f>HYPERLINK("Melting_Curves/meltCurve_Q9Y5P6_GMPPB.pdf", "Melting_Curves/meltCurve_Q9Y5P6_GMPPB.pdf")</f>
        <v>Melting_Curves/meltCurve_Q9Y5P6_GMPPB.pdf</v>
      </c>
    </row>
    <row r="6565" spans="1:28" x14ac:dyDescent="0.25">
      <c r="A6565" t="s">
        <v>6569</v>
      </c>
      <c r="B6565">
        <v>0.99252571173614901</v>
      </c>
      <c r="C6565">
        <v>0.676723659656565</v>
      </c>
      <c r="D6565">
        <v>0.42349251822298301</v>
      </c>
      <c r="E6565">
        <v>0.27574117378294599</v>
      </c>
      <c r="F6565">
        <v>0.18869078443977899</v>
      </c>
      <c r="G6565">
        <v>0.122259284247728</v>
      </c>
      <c r="H6565">
        <v>7.9103973995043805E-2</v>
      </c>
      <c r="I6565">
        <v>6.9496551554731598E-2</v>
      </c>
      <c r="J6565">
        <v>7.0999273407355901E-2</v>
      </c>
      <c r="K6565">
        <v>7.2383215688922406E-2</v>
      </c>
      <c r="L6565">
        <v>758.72300427594303</v>
      </c>
      <c r="M6565">
        <v>16.869113424780402</v>
      </c>
      <c r="N6565">
        <v>45.462671807066499</v>
      </c>
      <c r="O6565">
        <v>44.359258015228001</v>
      </c>
      <c r="P6565">
        <v>-8.7238232615578198E-2</v>
      </c>
      <c r="Q6565">
        <v>8.2446919953266001E-2</v>
      </c>
      <c r="R6565">
        <v>0.98231534014206101</v>
      </c>
      <c r="S6565" t="s">
        <v>13211</v>
      </c>
      <c r="T6565" t="s">
        <v>13290</v>
      </c>
      <c r="U6565" t="s">
        <v>13290</v>
      </c>
      <c r="V6565" t="s">
        <v>13290</v>
      </c>
      <c r="W6565" t="s">
        <v>19799</v>
      </c>
      <c r="X6565">
        <v>5</v>
      </c>
      <c r="Y6565" t="s">
        <v>26256</v>
      </c>
      <c r="Z6565" t="s">
        <v>32895</v>
      </c>
      <c r="AA6565">
        <v>0.25760905972101977</v>
      </c>
      <c r="AB6565" t="str">
        <f>HYPERLINK("Melting_Curves/meltCurve_Q9Y5Q8_GTF3C5.pdf", "Melting_Curves/meltCurve_Q9Y5Q8_GTF3C5.pdf")</f>
        <v>Melting_Curves/meltCurve_Q9Y5Q8_GTF3C5.pdf</v>
      </c>
    </row>
    <row r="6566" spans="1:28" x14ac:dyDescent="0.25">
      <c r="A6566" t="s">
        <v>6570</v>
      </c>
      <c r="B6566">
        <v>0.99252571173614901</v>
      </c>
      <c r="C6566">
        <v>0.42602486688699498</v>
      </c>
      <c r="D6566">
        <v>0.30816714830672198</v>
      </c>
      <c r="E6566">
        <v>0.225389030467575</v>
      </c>
      <c r="F6566">
        <v>0.18562122905535899</v>
      </c>
      <c r="G6566">
        <v>0.12457005410283201</v>
      </c>
      <c r="H6566">
        <v>0.10345047325166599</v>
      </c>
      <c r="I6566">
        <v>0.12568414526458099</v>
      </c>
      <c r="J6566">
        <v>0.15055799790076799</v>
      </c>
      <c r="K6566">
        <v>0.138559233953644</v>
      </c>
      <c r="L6566">
        <v>2003.58091560721</v>
      </c>
      <c r="M6566">
        <v>47.367845581333697</v>
      </c>
      <c r="N6566">
        <v>42.661612695678301</v>
      </c>
      <c r="O6566">
        <v>42.223150039262201</v>
      </c>
      <c r="P6566">
        <v>-0.233915546428412</v>
      </c>
      <c r="Q6566">
        <v>0.16596244805121099</v>
      </c>
      <c r="R6566">
        <v>0.95445104058256602</v>
      </c>
      <c r="S6566" t="s">
        <v>13212</v>
      </c>
      <c r="T6566" t="s">
        <v>13290</v>
      </c>
      <c r="U6566" t="s">
        <v>13290</v>
      </c>
      <c r="V6566" t="s">
        <v>13290</v>
      </c>
      <c r="W6566" t="s">
        <v>19800</v>
      </c>
      <c r="X6566">
        <v>3</v>
      </c>
      <c r="Y6566" t="s">
        <v>26257</v>
      </c>
      <c r="Z6566" t="s">
        <v>32896</v>
      </c>
      <c r="AA6566">
        <v>0.232953893918075</v>
      </c>
      <c r="AB6566" t="str">
        <f>HYPERLINK("Melting_Curves/meltCurve_Q9Y5Q9_GTF3C3.pdf", "Melting_Curves/meltCurve_Q9Y5Q9_GTF3C3.pdf")</f>
        <v>Melting_Curves/meltCurve_Q9Y5Q9_GTF3C3.pdf</v>
      </c>
    </row>
    <row r="6567" spans="1:28" x14ac:dyDescent="0.25">
      <c r="A6567" t="s">
        <v>6571</v>
      </c>
      <c r="B6567">
        <v>0.99252571173614901</v>
      </c>
      <c r="C6567">
        <v>0.877588890981569</v>
      </c>
      <c r="D6567">
        <v>0.91762432219082102</v>
      </c>
      <c r="E6567">
        <v>0.721717678016495</v>
      </c>
      <c r="F6567">
        <v>0.64631026198017605</v>
      </c>
      <c r="G6567">
        <v>0.267540926031968</v>
      </c>
      <c r="H6567">
        <v>5.1776091671973903E-2</v>
      </c>
      <c r="I6567">
        <v>2.50651393366207E-2</v>
      </c>
      <c r="J6567">
        <v>1.9025778760778801E-2</v>
      </c>
      <c r="K6567">
        <v>2.10754811131511E-2</v>
      </c>
      <c r="L6567">
        <v>908.66558465403102</v>
      </c>
      <c r="M6567">
        <v>16.938460566996</v>
      </c>
      <c r="N6567">
        <v>53.645111364749198</v>
      </c>
      <c r="O6567">
        <v>52.914137541643299</v>
      </c>
      <c r="P6567">
        <v>-8.0033063625123094E-2</v>
      </c>
      <c r="Q6567">
        <v>0</v>
      </c>
      <c r="R6567">
        <v>0.97614286441119003</v>
      </c>
      <c r="S6567" t="s">
        <v>13213</v>
      </c>
      <c r="T6567" t="s">
        <v>13290</v>
      </c>
      <c r="U6567" t="s">
        <v>13290</v>
      </c>
      <c r="V6567" t="s">
        <v>13290</v>
      </c>
      <c r="W6567" t="s">
        <v>19801</v>
      </c>
      <c r="X6567">
        <v>2</v>
      </c>
      <c r="Y6567" t="s">
        <v>26258</v>
      </c>
      <c r="Z6567" t="s">
        <v>32897</v>
      </c>
      <c r="AA6567">
        <v>0.47251639174878041</v>
      </c>
      <c r="AB6567" t="str">
        <f>HYPERLINK("Melting_Curves/meltCurve_Q9Y5R8_TRAPPC1.pdf", "Melting_Curves/meltCurve_Q9Y5R8_TRAPPC1.pdf")</f>
        <v>Melting_Curves/meltCurve_Q9Y5R8_TRAPPC1.pdf</v>
      </c>
    </row>
    <row r="6568" spans="1:28" x14ac:dyDescent="0.25">
      <c r="A6568" t="s">
        <v>6572</v>
      </c>
      <c r="B6568">
        <v>0.99252571173614901</v>
      </c>
      <c r="C6568">
        <v>0.90692029340564195</v>
      </c>
      <c r="D6568">
        <v>0.94476574996267104</v>
      </c>
      <c r="E6568">
        <v>0.722443614878999</v>
      </c>
      <c r="F6568">
        <v>0.26077994348370198</v>
      </c>
      <c r="G6568">
        <v>0.17293116476013501</v>
      </c>
      <c r="H6568">
        <v>0.12771113676767601</v>
      </c>
      <c r="I6568">
        <v>0.120098768428631</v>
      </c>
      <c r="J6568">
        <v>0.109709737038238</v>
      </c>
      <c r="K6568">
        <v>0.110107008436338</v>
      </c>
      <c r="L6568">
        <v>1596.08509421536</v>
      </c>
      <c r="M6568">
        <v>31.4810448416297</v>
      </c>
      <c r="N6568">
        <v>51.138040941767599</v>
      </c>
      <c r="O6568">
        <v>50.4965898087341</v>
      </c>
      <c r="P6568">
        <v>-0.13743390019555601</v>
      </c>
      <c r="Q6568">
        <v>0.118211077412974</v>
      </c>
      <c r="R6568">
        <v>0.99263581950949098</v>
      </c>
      <c r="S6568" t="s">
        <v>13214</v>
      </c>
      <c r="T6568" t="s">
        <v>13290</v>
      </c>
      <c r="U6568" t="s">
        <v>13290</v>
      </c>
      <c r="V6568" t="s">
        <v>13290</v>
      </c>
      <c r="W6568" t="s">
        <v>19802</v>
      </c>
      <c r="X6568">
        <v>21</v>
      </c>
      <c r="Y6568" t="s">
        <v>26259</v>
      </c>
      <c r="Z6568" t="s">
        <v>32898</v>
      </c>
      <c r="AA6568">
        <v>0.43771960502400792</v>
      </c>
      <c r="AB6568" t="str">
        <f>HYPERLINK("Melting_Curves/meltCurve_Q9Y5S2_CDC42BPB.pdf", "Melting_Curves/meltCurve_Q9Y5S2_CDC42BPB.pdf")</f>
        <v>Melting_Curves/meltCurve_Q9Y5S2_CDC42BPB.pdf</v>
      </c>
    </row>
    <row r="6569" spans="1:28" x14ac:dyDescent="0.25">
      <c r="A6569" t="s">
        <v>6573</v>
      </c>
      <c r="B6569">
        <v>0.99252571173614901</v>
      </c>
      <c r="C6569">
        <v>1.03052507441514</v>
      </c>
      <c r="D6569">
        <v>0.91638003645391997</v>
      </c>
      <c r="E6569">
        <v>0.68491093038227802</v>
      </c>
      <c r="F6569">
        <v>0.49554828548444002</v>
      </c>
      <c r="G6569">
        <v>0.36691015870854199</v>
      </c>
      <c r="H6569">
        <v>0.24287503109061201</v>
      </c>
      <c r="I6569">
        <v>0.21772254247908099</v>
      </c>
      <c r="J6569">
        <v>0.27829958147705097</v>
      </c>
      <c r="K6569">
        <v>0.28134655328040098</v>
      </c>
      <c r="L6569">
        <v>964.43845146599494</v>
      </c>
      <c r="M6569">
        <v>18.955572161416502</v>
      </c>
      <c r="N6569">
        <v>52.784482588502698</v>
      </c>
      <c r="O6569">
        <v>50.322788081169101</v>
      </c>
      <c r="P6569">
        <v>-7.0838987276655899E-2</v>
      </c>
      <c r="Q6569">
        <v>0.247783996887952</v>
      </c>
      <c r="R6569">
        <v>0.99012296884669904</v>
      </c>
      <c r="S6569" t="s">
        <v>13215</v>
      </c>
      <c r="T6569" t="s">
        <v>13290</v>
      </c>
      <c r="U6569" t="s">
        <v>13290</v>
      </c>
      <c r="V6569" t="s">
        <v>13290</v>
      </c>
      <c r="W6569" t="s">
        <v>19803</v>
      </c>
      <c r="X6569">
        <v>6</v>
      </c>
      <c r="Y6569" t="s">
        <v>26260</v>
      </c>
      <c r="Z6569" t="s">
        <v>32899</v>
      </c>
      <c r="AA6569">
        <v>0.53210413923510391</v>
      </c>
      <c r="AB6569" t="str">
        <f>HYPERLINK("Melting_Curves/meltCurve_Q9Y5S9_RBM8A.pdf", "Melting_Curves/meltCurve_Q9Y5S9_RBM8A.pdf")</f>
        <v>Melting_Curves/meltCurve_Q9Y5S9_RBM8A.pdf</v>
      </c>
    </row>
    <row r="6570" spans="1:28" x14ac:dyDescent="0.25">
      <c r="A6570" t="s">
        <v>6574</v>
      </c>
      <c r="B6570">
        <v>0.99252571173614901</v>
      </c>
      <c r="C6570">
        <v>0.87370850826253499</v>
      </c>
      <c r="D6570">
        <v>0.78517940788566198</v>
      </c>
      <c r="E6570">
        <v>0.65763209071836304</v>
      </c>
      <c r="F6570">
        <v>0.443672932255053</v>
      </c>
      <c r="G6570">
        <v>0.35598808745167698</v>
      </c>
      <c r="H6570">
        <v>0.28116807900707103</v>
      </c>
      <c r="I6570">
        <v>0.31172085805855998</v>
      </c>
      <c r="J6570">
        <v>0.52382492870502295</v>
      </c>
      <c r="K6570">
        <v>0.465468639217752</v>
      </c>
      <c r="L6570">
        <v>847.32278008173603</v>
      </c>
      <c r="M6570">
        <v>17.733750976628698</v>
      </c>
      <c r="N6570">
        <v>51.945556045274301</v>
      </c>
      <c r="O6570">
        <v>47.185110352089197</v>
      </c>
      <c r="P6570">
        <v>-5.8315083474905098E-2</v>
      </c>
      <c r="Q6570">
        <v>0.37938493598489598</v>
      </c>
      <c r="R6570">
        <v>0.89781392847637098</v>
      </c>
      <c r="S6570" t="s">
        <v>13216</v>
      </c>
      <c r="T6570" t="s">
        <v>13290</v>
      </c>
      <c r="U6570" t="s">
        <v>13290</v>
      </c>
      <c r="V6570" t="s">
        <v>13290</v>
      </c>
      <c r="W6570" t="s">
        <v>19804</v>
      </c>
      <c r="X6570">
        <v>5</v>
      </c>
      <c r="Y6570" t="s">
        <v>26261</v>
      </c>
      <c r="Z6570" t="s">
        <v>32900</v>
      </c>
      <c r="AA6570">
        <v>0.55177850726113153</v>
      </c>
      <c r="AB6570" t="str">
        <f>HYPERLINK("Melting_Curves/meltCurve_Q9Y5T4_DNAJC15.pdf", "Melting_Curves/meltCurve_Q9Y5T4_DNAJC15.pdf")</f>
        <v>Melting_Curves/meltCurve_Q9Y5T4_DNAJC15.pdf</v>
      </c>
    </row>
    <row r="6571" spans="1:28" x14ac:dyDescent="0.25">
      <c r="A6571" t="s">
        <v>6575</v>
      </c>
      <c r="B6571">
        <v>0.99252571173614901</v>
      </c>
      <c r="C6571">
        <v>0.93808500958220398</v>
      </c>
      <c r="D6571">
        <v>0.89173856981678201</v>
      </c>
      <c r="E6571">
        <v>0.87181734497721897</v>
      </c>
      <c r="F6571">
        <v>0.82750028669756204</v>
      </c>
      <c r="G6571">
        <v>1.2940028411940701</v>
      </c>
      <c r="H6571">
        <v>1.61710991398174</v>
      </c>
      <c r="I6571">
        <v>2.0153858750692302</v>
      </c>
      <c r="J6571">
        <v>3.0414420765044801</v>
      </c>
      <c r="K6571">
        <v>3.2894760300437</v>
      </c>
      <c r="L6571">
        <v>14179.7947158016</v>
      </c>
      <c r="M6571">
        <v>250</v>
      </c>
      <c r="O6571">
        <v>56.7155500485433</v>
      </c>
      <c r="P6571">
        <v>0.55099528208272897</v>
      </c>
      <c r="Q6571">
        <v>1.5</v>
      </c>
      <c r="R6571">
        <v>0.22414008704716501</v>
      </c>
      <c r="S6571" t="s">
        <v>13217</v>
      </c>
      <c r="T6571" t="s">
        <v>13290</v>
      </c>
      <c r="U6571" t="s">
        <v>13290</v>
      </c>
      <c r="V6571" t="s">
        <v>13290</v>
      </c>
      <c r="W6571" t="s">
        <v>19805</v>
      </c>
      <c r="X6571">
        <v>7</v>
      </c>
      <c r="Y6571" t="s">
        <v>26262</v>
      </c>
      <c r="Z6571" t="s">
        <v>32901</v>
      </c>
      <c r="AA6571">
        <v>1.2212972483084801</v>
      </c>
      <c r="AB6571" t="str">
        <f>HYPERLINK("Melting_Curves/meltCurve_Q9Y5U2_2_TSSC4.pdf", "Melting_Curves/meltCurve_Q9Y5U2_2_TSSC4.pdf")</f>
        <v>Melting_Curves/meltCurve_Q9Y5U2_2_TSSC4.pdf</v>
      </c>
    </row>
    <row r="6572" spans="1:28" x14ac:dyDescent="0.25">
      <c r="A6572" t="s">
        <v>6576</v>
      </c>
      <c r="B6572">
        <v>0.99252571173614901</v>
      </c>
      <c r="C6572">
        <v>1.04394871540579</v>
      </c>
      <c r="D6572">
        <v>1.0020051150251701</v>
      </c>
      <c r="E6572">
        <v>0.90593960158847697</v>
      </c>
      <c r="F6572">
        <v>0.84416401013835995</v>
      </c>
      <c r="G6572">
        <v>0.708126369006017</v>
      </c>
      <c r="H6572">
        <v>0.68387630724117898</v>
      </c>
      <c r="I6572">
        <v>0.67237058204065703</v>
      </c>
      <c r="J6572">
        <v>0.94033682106384497</v>
      </c>
      <c r="K6572">
        <v>0.93595529825385504</v>
      </c>
      <c r="L6572">
        <v>1896.0678424886601</v>
      </c>
      <c r="M6572">
        <v>37.880737130813301</v>
      </c>
      <c r="O6572">
        <v>49.914732051422</v>
      </c>
      <c r="P6572">
        <v>-3.9293668416178297E-2</v>
      </c>
      <c r="Q6572">
        <v>0.79289442946414501</v>
      </c>
      <c r="R6572">
        <v>0.54300856236791595</v>
      </c>
      <c r="S6572" t="s">
        <v>13218</v>
      </c>
      <c r="T6572" t="s">
        <v>13290</v>
      </c>
      <c r="U6572" t="s">
        <v>13290</v>
      </c>
      <c r="V6572" t="s">
        <v>13290</v>
      </c>
      <c r="W6572" t="s">
        <v>19806</v>
      </c>
      <c r="X6572">
        <v>2</v>
      </c>
      <c r="Y6572" t="s">
        <v>26263</v>
      </c>
      <c r="Z6572" t="s">
        <v>32902</v>
      </c>
      <c r="AA6572">
        <v>0.8630997918140243</v>
      </c>
      <c r="AB6572" t="str">
        <f>HYPERLINK("Melting_Curves/meltCurve_Q9Y5V0_ZNF706.pdf", "Melting_Curves/meltCurve_Q9Y5V0_ZNF706.pdf")</f>
        <v>Melting_Curves/meltCurve_Q9Y5V0_ZNF706.pdf</v>
      </c>
    </row>
    <row r="6573" spans="1:28" x14ac:dyDescent="0.25">
      <c r="A6573" t="s">
        <v>6577</v>
      </c>
      <c r="B6573">
        <v>0.99252571173614901</v>
      </c>
      <c r="C6573">
        <v>0.93831360480767401</v>
      </c>
      <c r="D6573">
        <v>0.92168509752560601</v>
      </c>
      <c r="E6573">
        <v>0.53726857807843098</v>
      </c>
      <c r="F6573">
        <v>0.171532373623174</v>
      </c>
      <c r="G6573">
        <v>0.113448762113386</v>
      </c>
      <c r="H6573">
        <v>0.100845796795063</v>
      </c>
      <c r="I6573">
        <v>0.122515794853698</v>
      </c>
      <c r="J6573">
        <v>0.117849609265558</v>
      </c>
      <c r="K6573">
        <v>0.109946261333325</v>
      </c>
      <c r="L6573">
        <v>1620.7524222644099</v>
      </c>
      <c r="M6573">
        <v>32.791884655958299</v>
      </c>
      <c r="N6573">
        <v>49.7943108351691</v>
      </c>
      <c r="O6573">
        <v>49.242688067104503</v>
      </c>
      <c r="P6573">
        <v>-0.148528439123157</v>
      </c>
      <c r="Q6573">
        <v>0.107839482768687</v>
      </c>
      <c r="R6573">
        <v>0.997168227259149</v>
      </c>
      <c r="S6573" t="s">
        <v>13219</v>
      </c>
      <c r="T6573" t="s">
        <v>13290</v>
      </c>
      <c r="U6573" t="s">
        <v>13290</v>
      </c>
      <c r="V6573" t="s">
        <v>13290</v>
      </c>
      <c r="W6573" t="s">
        <v>19807</v>
      </c>
      <c r="X6573">
        <v>7</v>
      </c>
      <c r="Y6573" t="s">
        <v>26264</v>
      </c>
      <c r="Z6573" t="s">
        <v>32903</v>
      </c>
      <c r="AA6573">
        <v>0.3927012443966264</v>
      </c>
      <c r="AB6573" t="str">
        <f>HYPERLINK("Melting_Curves/meltCurve_Q9Y5X1_SNX9.pdf", "Melting_Curves/meltCurve_Q9Y5X1_SNX9.pdf")</f>
        <v>Melting_Curves/meltCurve_Q9Y5X1_SNX9.pdf</v>
      </c>
    </row>
    <row r="6574" spans="1:28" x14ac:dyDescent="0.25">
      <c r="A6574" t="s">
        <v>6578</v>
      </c>
      <c r="B6574">
        <v>0.99252571173614901</v>
      </c>
      <c r="C6574">
        <v>1.06257592958182</v>
      </c>
      <c r="D6574">
        <v>1.00161519179537</v>
      </c>
      <c r="E6574">
        <v>0.91546988718787203</v>
      </c>
      <c r="F6574">
        <v>0.84508112585740203</v>
      </c>
      <c r="G6574">
        <v>0.67227379197565895</v>
      </c>
      <c r="H6574">
        <v>0.34690676448014002</v>
      </c>
      <c r="I6574">
        <v>8.4106157646403404E-2</v>
      </c>
      <c r="J6574">
        <v>6.6888485969373607E-2</v>
      </c>
      <c r="K6574">
        <v>5.7396897484863499E-2</v>
      </c>
      <c r="L6574">
        <v>1169.1915670975</v>
      </c>
      <c r="M6574">
        <v>19.996052364715599</v>
      </c>
      <c r="N6574">
        <v>58.471121218934499</v>
      </c>
      <c r="O6574">
        <v>57.895746717983499</v>
      </c>
      <c r="P6574">
        <v>-8.6347896420343004E-2</v>
      </c>
      <c r="Q6574">
        <v>0</v>
      </c>
      <c r="R6574">
        <v>0.99051908887787399</v>
      </c>
      <c r="S6574" t="s">
        <v>13220</v>
      </c>
      <c r="T6574" t="s">
        <v>13290</v>
      </c>
      <c r="U6574" t="s">
        <v>13290</v>
      </c>
      <c r="V6574" t="s">
        <v>13290</v>
      </c>
      <c r="W6574" t="s">
        <v>19808</v>
      </c>
      <c r="X6574">
        <v>9</v>
      </c>
      <c r="Y6574" t="s">
        <v>26265</v>
      </c>
      <c r="Z6574" t="s">
        <v>32904</v>
      </c>
      <c r="AA6574">
        <v>0.62649079105562655</v>
      </c>
      <c r="AB6574" t="str">
        <f>HYPERLINK("Melting_Curves/meltCurve_Q9Y5X2_SNX8.pdf", "Melting_Curves/meltCurve_Q9Y5X2_SNX8.pdf")</f>
        <v>Melting_Curves/meltCurve_Q9Y5X2_SNX8.pdf</v>
      </c>
    </row>
    <row r="6575" spans="1:28" x14ac:dyDescent="0.25">
      <c r="A6575" t="s">
        <v>6579</v>
      </c>
      <c r="B6575">
        <v>0.99252571173614901</v>
      </c>
      <c r="C6575">
        <v>1.1856191099023401</v>
      </c>
      <c r="D6575">
        <v>0.67308156410923103</v>
      </c>
      <c r="E6575">
        <v>0.68453890838432396</v>
      </c>
      <c r="F6575">
        <v>0.180863321870084</v>
      </c>
      <c r="G6575">
        <v>8.4565323781767093E-2</v>
      </c>
      <c r="H6575">
        <v>6.0484195436588999E-2</v>
      </c>
      <c r="I6575">
        <v>6.1619914295654603E-2</v>
      </c>
      <c r="J6575">
        <v>8.5063755843436395E-2</v>
      </c>
      <c r="K6575">
        <v>7.4661964232094799E-2</v>
      </c>
      <c r="L6575">
        <v>1095.8539448192</v>
      </c>
      <c r="M6575">
        <v>21.9414071076319</v>
      </c>
      <c r="N6575">
        <v>50.192599533815503</v>
      </c>
      <c r="O6575">
        <v>49.535254335673102</v>
      </c>
      <c r="P6575">
        <v>-0.10504924283752801</v>
      </c>
      <c r="Q6575">
        <v>5.1378511382544602E-2</v>
      </c>
      <c r="R6575">
        <v>0.93729674553417297</v>
      </c>
      <c r="S6575" t="s">
        <v>13221</v>
      </c>
      <c r="T6575" t="s">
        <v>13290</v>
      </c>
      <c r="U6575" t="s">
        <v>13290</v>
      </c>
      <c r="V6575" t="s">
        <v>13290</v>
      </c>
      <c r="W6575" t="s">
        <v>19809</v>
      </c>
      <c r="X6575">
        <v>18</v>
      </c>
      <c r="Y6575" t="s">
        <v>26266</v>
      </c>
      <c r="Z6575" t="s">
        <v>32905</v>
      </c>
      <c r="AA6575">
        <v>0.37683603698902313</v>
      </c>
      <c r="AB6575" t="str">
        <f>HYPERLINK("Melting_Curves/meltCurve_Q9Y5X3_SNX5.pdf", "Melting_Curves/meltCurve_Q9Y5X3_SNX5.pdf")</f>
        <v>Melting_Curves/meltCurve_Q9Y5X3_SNX5.pdf</v>
      </c>
    </row>
    <row r="6576" spans="1:28" x14ac:dyDescent="0.25">
      <c r="A6576" t="s">
        <v>6580</v>
      </c>
      <c r="B6576">
        <v>0.99252571173614901</v>
      </c>
      <c r="C6576">
        <v>0.95883405713329495</v>
      </c>
      <c r="D6576">
        <v>0.89383231913473205</v>
      </c>
      <c r="E6576">
        <v>1.23213301790178</v>
      </c>
      <c r="F6576">
        <v>0.95097214440393596</v>
      </c>
      <c r="G6576">
        <v>0.65577139211923097</v>
      </c>
      <c r="H6576">
        <v>0.60343853626546695</v>
      </c>
      <c r="I6576">
        <v>0.50260839170726201</v>
      </c>
      <c r="J6576">
        <v>0.56115937071147104</v>
      </c>
      <c r="K6576">
        <v>0.38451654173761401</v>
      </c>
      <c r="L6576">
        <v>2365.1958552503102</v>
      </c>
      <c r="M6576">
        <v>42.307154822839401</v>
      </c>
      <c r="O6576">
        <v>55.780890712324997</v>
      </c>
      <c r="P6576">
        <v>-9.3846074819174202E-2</v>
      </c>
      <c r="Q6576">
        <v>0.50506652461886004</v>
      </c>
      <c r="R6576">
        <v>0.85758450056462399</v>
      </c>
      <c r="S6576" t="s">
        <v>13222</v>
      </c>
      <c r="T6576" t="s">
        <v>13290</v>
      </c>
      <c r="U6576" t="s">
        <v>13290</v>
      </c>
      <c r="V6576" t="s">
        <v>13290</v>
      </c>
      <c r="W6576" t="s">
        <v>19810</v>
      </c>
      <c r="X6576">
        <v>4</v>
      </c>
      <c r="Y6576" t="s">
        <v>26267</v>
      </c>
      <c r="Z6576" t="s">
        <v>32906</v>
      </c>
      <c r="AA6576">
        <v>0.7691706443994285</v>
      </c>
      <c r="AB6576" t="str">
        <f>HYPERLINK("Melting_Curves/meltCurve_Q9Y5Y0_FLVCR1.pdf", "Melting_Curves/meltCurve_Q9Y5Y0_FLVCR1.pdf")</f>
        <v>Melting_Curves/meltCurve_Q9Y5Y0_FLVCR1.pdf</v>
      </c>
    </row>
    <row r="6577" spans="1:28" x14ac:dyDescent="0.25">
      <c r="A6577" t="s">
        <v>6581</v>
      </c>
      <c r="B6577">
        <v>0.99252571173614901</v>
      </c>
      <c r="C6577">
        <v>1.0766086654312199</v>
      </c>
      <c r="D6577">
        <v>0.90043613048614302</v>
      </c>
      <c r="E6577">
        <v>0.71480749132384303</v>
      </c>
      <c r="F6577">
        <v>0.32270114651068499</v>
      </c>
      <c r="G6577">
        <v>0.15545046510574401</v>
      </c>
      <c r="H6577">
        <v>8.6749995959014795E-2</v>
      </c>
      <c r="I6577">
        <v>8.1886475149576393E-2</v>
      </c>
      <c r="J6577">
        <v>8.7380112392265494E-2</v>
      </c>
      <c r="K6577">
        <v>8.9284962421178296E-2</v>
      </c>
      <c r="L6577">
        <v>1263.5674265212599</v>
      </c>
      <c r="M6577">
        <v>24.741549450406101</v>
      </c>
      <c r="N6577">
        <v>51.434149926248899</v>
      </c>
      <c r="O6577">
        <v>50.740540336175798</v>
      </c>
      <c r="P6577">
        <v>-0.11212638745680099</v>
      </c>
      <c r="Q6577">
        <v>8.0207374788256597E-2</v>
      </c>
      <c r="R6577">
        <v>0.99399794366911898</v>
      </c>
      <c r="S6577" t="s">
        <v>13223</v>
      </c>
      <c r="T6577" t="s">
        <v>13290</v>
      </c>
      <c r="U6577" t="s">
        <v>13290</v>
      </c>
      <c r="V6577" t="s">
        <v>13290</v>
      </c>
      <c r="W6577" t="s">
        <v>19811</v>
      </c>
      <c r="X6577">
        <v>8</v>
      </c>
      <c r="Y6577" t="s">
        <v>26268</v>
      </c>
      <c r="Z6577" t="s">
        <v>32907</v>
      </c>
      <c r="AA6577">
        <v>0.42811843657725618</v>
      </c>
      <c r="AB6577" t="str">
        <f>HYPERLINK("Melting_Curves/meltCurve_Q9Y5Y2_NUBP2.pdf", "Melting_Curves/meltCurve_Q9Y5Y2_NUBP2.pdf")</f>
        <v>Melting_Curves/meltCurve_Q9Y5Y2_NUBP2.pdf</v>
      </c>
    </row>
    <row r="6578" spans="1:28" x14ac:dyDescent="0.25">
      <c r="A6578" t="s">
        <v>6582</v>
      </c>
      <c r="B6578">
        <v>0.99252571173614901</v>
      </c>
      <c r="C6578">
        <v>0.891757256540337</v>
      </c>
      <c r="D6578">
        <v>0.80109631620203503</v>
      </c>
      <c r="E6578">
        <v>0.63160247208227505</v>
      </c>
      <c r="F6578">
        <v>0.39020061605188899</v>
      </c>
      <c r="G6578">
        <v>0.23701252052039001</v>
      </c>
      <c r="H6578">
        <v>0.18634745925287699</v>
      </c>
      <c r="I6578">
        <v>0.21053580710560801</v>
      </c>
      <c r="J6578">
        <v>0.27633930617389801</v>
      </c>
      <c r="K6578">
        <v>0.244047163849403</v>
      </c>
      <c r="L6578">
        <v>827.29364049645505</v>
      </c>
      <c r="M6578">
        <v>16.773859677973501</v>
      </c>
      <c r="N6578">
        <v>50.9495129556935</v>
      </c>
      <c r="O6578">
        <v>48.635418241621601</v>
      </c>
      <c r="P6578">
        <v>-6.8330855226347395E-2</v>
      </c>
      <c r="Q6578">
        <v>0.207556696125581</v>
      </c>
      <c r="R6578">
        <v>0.98317483992863497</v>
      </c>
      <c r="S6578" t="s">
        <v>13224</v>
      </c>
      <c r="T6578" t="s">
        <v>13290</v>
      </c>
      <c r="U6578" t="s">
        <v>13290</v>
      </c>
      <c r="V6578" t="s">
        <v>13290</v>
      </c>
      <c r="W6578" t="s">
        <v>19812</v>
      </c>
      <c r="X6578">
        <v>19</v>
      </c>
      <c r="Y6578" t="s">
        <v>26269</v>
      </c>
      <c r="Z6578" t="s">
        <v>32908</v>
      </c>
      <c r="AA6578">
        <v>0.46940893090038449</v>
      </c>
      <c r="AB6578" t="str">
        <f>HYPERLINK("Melting_Curves/meltCurve_Q9Y5Y6_ST14.pdf", "Melting_Curves/meltCurve_Q9Y5Y6_ST14.pdf")</f>
        <v>Melting_Curves/meltCurve_Q9Y5Y6_ST14.pdf</v>
      </c>
    </row>
    <row r="6579" spans="1:28" x14ac:dyDescent="0.25">
      <c r="A6579" t="s">
        <v>6583</v>
      </c>
      <c r="B6579">
        <v>0.99252571173614901</v>
      </c>
      <c r="C6579">
        <v>0.96153047353082699</v>
      </c>
      <c r="D6579">
        <v>0.96354065398390099</v>
      </c>
      <c r="E6579">
        <v>0.74378915869561402</v>
      </c>
      <c r="F6579">
        <v>0.581414669831816</v>
      </c>
      <c r="G6579">
        <v>0.40197514126852202</v>
      </c>
      <c r="H6579">
        <v>0.29484769769551</v>
      </c>
      <c r="I6579">
        <v>0.27029810910859098</v>
      </c>
      <c r="J6579">
        <v>0.26543789455181799</v>
      </c>
      <c r="K6579">
        <v>0.17342864148683701</v>
      </c>
      <c r="L6579">
        <v>779.82724102784198</v>
      </c>
      <c r="M6579">
        <v>14.7852376292483</v>
      </c>
      <c r="N6579">
        <v>54.608646046759901</v>
      </c>
      <c r="O6579">
        <v>51.806972728145297</v>
      </c>
      <c r="P6579">
        <v>-5.7210452550381097E-2</v>
      </c>
      <c r="Q6579">
        <v>0.19823174614556099</v>
      </c>
      <c r="R6579">
        <v>0.99293056390816903</v>
      </c>
      <c r="S6579" t="s">
        <v>13225</v>
      </c>
      <c r="T6579" t="s">
        <v>13290</v>
      </c>
      <c r="U6579" t="s">
        <v>13290</v>
      </c>
      <c r="V6579" t="s">
        <v>13290</v>
      </c>
      <c r="W6579" t="s">
        <v>19813</v>
      </c>
      <c r="X6579">
        <v>2</v>
      </c>
      <c r="Y6579" t="s">
        <v>26270</v>
      </c>
      <c r="Z6579" t="s">
        <v>32909</v>
      </c>
      <c r="AA6579">
        <v>0.55660932967223686</v>
      </c>
      <c r="AB6579" t="str">
        <f>HYPERLINK("Melting_Curves/meltCurve_Q9Y5Z0_3_BACE2.pdf", "Melting_Curves/meltCurve_Q9Y5Z0_3_BACE2.pdf")</f>
        <v>Melting_Curves/meltCurve_Q9Y5Z0_3_BACE2.pdf</v>
      </c>
    </row>
    <row r="6580" spans="1:28" x14ac:dyDescent="0.25">
      <c r="A6580" t="s">
        <v>6584</v>
      </c>
      <c r="B6580">
        <v>0.99252571173614901</v>
      </c>
      <c r="C6580">
        <v>1.0797958132993699</v>
      </c>
      <c r="D6580">
        <v>0.940050074090511</v>
      </c>
      <c r="E6580">
        <v>0.80888353569647098</v>
      </c>
      <c r="F6580">
        <v>0.44447503827856599</v>
      </c>
      <c r="G6580">
        <v>0.213027710564198</v>
      </c>
      <c r="H6580">
        <v>0.119709707078706</v>
      </c>
      <c r="I6580">
        <v>0.128966012504521</v>
      </c>
      <c r="J6580">
        <v>0.16383691281296101</v>
      </c>
      <c r="K6580">
        <v>0.20206616883916201</v>
      </c>
      <c r="L6580">
        <v>1428.99712044788</v>
      </c>
      <c r="M6580">
        <v>27.550459073022999</v>
      </c>
      <c r="N6580">
        <v>52.5402641457909</v>
      </c>
      <c r="O6580">
        <v>51.597396752158197</v>
      </c>
      <c r="P6580">
        <v>-0.11366915129664699</v>
      </c>
      <c r="Q6580">
        <v>0.14847465659720599</v>
      </c>
      <c r="R6580">
        <v>0.99043428311835702</v>
      </c>
      <c r="S6580" t="s">
        <v>13226</v>
      </c>
      <c r="T6580" t="s">
        <v>13290</v>
      </c>
      <c r="U6580" t="s">
        <v>13290</v>
      </c>
      <c r="V6580" t="s">
        <v>13290</v>
      </c>
      <c r="W6580" t="s">
        <v>19814</v>
      </c>
      <c r="X6580">
        <v>13</v>
      </c>
      <c r="Y6580" t="s">
        <v>26271</v>
      </c>
      <c r="Z6580" t="s">
        <v>32910</v>
      </c>
      <c r="AA6580">
        <v>0.49177287402245229</v>
      </c>
      <c r="AB6580" t="str">
        <f>HYPERLINK("Melting_Curves/meltCurve_Q9Y5Z4_HEBP2.pdf", "Melting_Curves/meltCurve_Q9Y5Z4_HEBP2.pdf")</f>
        <v>Melting_Curves/meltCurve_Q9Y5Z4_HEBP2.pdf</v>
      </c>
    </row>
    <row r="6581" spans="1:28" x14ac:dyDescent="0.25">
      <c r="A6581" t="s">
        <v>6585</v>
      </c>
      <c r="B6581">
        <v>0.99252571173614901</v>
      </c>
      <c r="C6581">
        <v>0.87253173429386899</v>
      </c>
      <c r="D6581">
        <v>0.94335923490810403</v>
      </c>
      <c r="E6581">
        <v>1.0412373352425399</v>
      </c>
      <c r="F6581">
        <v>0.72769740503446301</v>
      </c>
      <c r="G6581">
        <v>0.263404312026777</v>
      </c>
      <c r="H6581">
        <v>0.20981444241859701</v>
      </c>
      <c r="I6581">
        <v>0.23124035320082101</v>
      </c>
      <c r="J6581">
        <v>0.168752508023642</v>
      </c>
      <c r="K6581">
        <v>0.122498186960496</v>
      </c>
      <c r="L6581">
        <v>2550.3542244073501</v>
      </c>
      <c r="M6581">
        <v>47.2093990811411</v>
      </c>
      <c r="N6581">
        <v>54.548666168581001</v>
      </c>
      <c r="O6581">
        <v>53.925504038429899</v>
      </c>
      <c r="P6581">
        <v>-0.17881544383254</v>
      </c>
      <c r="Q6581">
        <v>0.182984509189801</v>
      </c>
      <c r="R6581">
        <v>0.97854682580307795</v>
      </c>
      <c r="S6581" t="s">
        <v>13227</v>
      </c>
      <c r="T6581" t="s">
        <v>13290</v>
      </c>
      <c r="U6581" t="s">
        <v>13290</v>
      </c>
      <c r="V6581" t="s">
        <v>13290</v>
      </c>
      <c r="W6581" t="s">
        <v>19815</v>
      </c>
      <c r="X6581">
        <v>1</v>
      </c>
      <c r="Y6581" t="s">
        <v>26272</v>
      </c>
      <c r="Z6581" t="s">
        <v>32911</v>
      </c>
      <c r="AA6581">
        <v>0.56704641677979251</v>
      </c>
      <c r="AB6581" t="str">
        <f>HYPERLINK("Melting_Curves/meltCurve_Q9Y5Z9_2_UBIAD1.pdf", "Melting_Curves/meltCurve_Q9Y5Z9_2_UBIAD1.pdf")</f>
        <v>Melting_Curves/meltCurve_Q9Y5Z9_2_UBIAD1.pdf</v>
      </c>
    </row>
    <row r="6582" spans="1:28" x14ac:dyDescent="0.25">
      <c r="A6582" t="s">
        <v>6586</v>
      </c>
      <c r="B6582">
        <v>0.99252571173614901</v>
      </c>
      <c r="C6582">
        <v>1.01384061598355</v>
      </c>
      <c r="D6582">
        <v>0.82440725537667703</v>
      </c>
      <c r="E6582">
        <v>0.50430767648016595</v>
      </c>
      <c r="F6582">
        <v>0.236361649560516</v>
      </c>
      <c r="G6582">
        <v>0.132568428559556</v>
      </c>
      <c r="H6582">
        <v>9.9515474138601706E-2</v>
      </c>
      <c r="I6582">
        <v>0.101057422059094</v>
      </c>
      <c r="J6582">
        <v>0.14643616309379701</v>
      </c>
      <c r="K6582">
        <v>0.181490541771789</v>
      </c>
      <c r="L6582">
        <v>1207.2390027875299</v>
      </c>
      <c r="M6582">
        <v>24.668518295236499</v>
      </c>
      <c r="N6582">
        <v>49.521743298841599</v>
      </c>
      <c r="O6582">
        <v>48.620248217898997</v>
      </c>
      <c r="P6582">
        <v>-0.11085244466706801</v>
      </c>
      <c r="Q6582">
        <v>0.12607690372008301</v>
      </c>
      <c r="R6582">
        <v>0.99370970534967595</v>
      </c>
      <c r="S6582" t="s">
        <v>13228</v>
      </c>
      <c r="T6582" t="s">
        <v>13290</v>
      </c>
      <c r="U6582" t="s">
        <v>13290</v>
      </c>
      <c r="V6582" t="s">
        <v>13290</v>
      </c>
      <c r="W6582" t="s">
        <v>19816</v>
      </c>
      <c r="X6582">
        <v>2</v>
      </c>
      <c r="Y6582" t="s">
        <v>26273</v>
      </c>
      <c r="Z6582" t="s">
        <v>32912</v>
      </c>
      <c r="AA6582">
        <v>0.39441825607125031</v>
      </c>
      <c r="AB6582" t="str">
        <f>HYPERLINK("Melting_Curves/meltCurve_Q9Y605_MRFAP1.pdf", "Melting_Curves/meltCurve_Q9Y605_MRFAP1.pdf")</f>
        <v>Melting_Curves/meltCurve_Q9Y605_MRFAP1.pdf</v>
      </c>
    </row>
    <row r="6583" spans="1:28" x14ac:dyDescent="0.25">
      <c r="A6583" t="s">
        <v>6587</v>
      </c>
      <c r="B6583">
        <v>0.99252571173614901</v>
      </c>
      <c r="C6583">
        <v>0.90572352261072198</v>
      </c>
      <c r="D6583">
        <v>0.85530983856491005</v>
      </c>
      <c r="E6583">
        <v>0.74161586975804195</v>
      </c>
      <c r="F6583">
        <v>0.73454314604775595</v>
      </c>
      <c r="G6583">
        <v>0.68244105457656701</v>
      </c>
      <c r="H6583">
        <v>0.55761852720701699</v>
      </c>
      <c r="I6583">
        <v>0.60005055292229104</v>
      </c>
      <c r="J6583">
        <v>0.84211460931931104</v>
      </c>
      <c r="K6583">
        <v>0.56329237925681497</v>
      </c>
      <c r="L6583">
        <v>666.17448123435804</v>
      </c>
      <c r="M6583">
        <v>14.190935159975</v>
      </c>
      <c r="O6583">
        <v>46.040974003006603</v>
      </c>
      <c r="P6583">
        <v>-2.7578970969911298E-2</v>
      </c>
      <c r="Q6583">
        <v>0.64213682029853303</v>
      </c>
      <c r="R6583">
        <v>0.70554117031442698</v>
      </c>
      <c r="S6583" t="s">
        <v>13229</v>
      </c>
      <c r="T6583" t="s">
        <v>13290</v>
      </c>
      <c r="U6583" t="s">
        <v>13290</v>
      </c>
      <c r="V6583" t="s">
        <v>13290</v>
      </c>
      <c r="W6583" t="s">
        <v>19817</v>
      </c>
      <c r="X6583">
        <v>17</v>
      </c>
      <c r="Y6583" t="s">
        <v>26274</v>
      </c>
      <c r="Z6583" t="s">
        <v>32913</v>
      </c>
      <c r="AA6583">
        <v>0.73589036668187879</v>
      </c>
      <c r="AB6583" t="str">
        <f>HYPERLINK("Melting_Curves/meltCurve_Q9Y608_LRRFIP2.pdf", "Melting_Curves/meltCurve_Q9Y608_LRRFIP2.pdf")</f>
        <v>Melting_Curves/meltCurve_Q9Y608_LRRFIP2.pdf</v>
      </c>
    </row>
    <row r="6584" spans="1:28" x14ac:dyDescent="0.25">
      <c r="A6584" t="s">
        <v>6588</v>
      </c>
      <c r="B6584">
        <v>0.99252571173614901</v>
      </c>
      <c r="C6584">
        <v>0.97409705217133002</v>
      </c>
      <c r="D6584">
        <v>0.89793293529860396</v>
      </c>
      <c r="E6584">
        <v>0.75793860986041806</v>
      </c>
      <c r="F6584">
        <v>0.92277749396938302</v>
      </c>
      <c r="G6584">
        <v>0.75164556475546096</v>
      </c>
      <c r="H6584">
        <v>0.75570311103252397</v>
      </c>
      <c r="I6584">
        <v>1.06987041524645</v>
      </c>
      <c r="J6584">
        <v>1.64724309831577</v>
      </c>
      <c r="K6584">
        <v>1.8361600944926999</v>
      </c>
      <c r="L6584">
        <v>15000</v>
      </c>
      <c r="M6584">
        <v>232.560008297856</v>
      </c>
      <c r="O6584">
        <v>64.494712107464395</v>
      </c>
      <c r="P6584">
        <v>0.45073464467411001</v>
      </c>
      <c r="Q6584">
        <v>1.5</v>
      </c>
      <c r="R6584">
        <v>0.74147953042824999</v>
      </c>
      <c r="S6584" t="s">
        <v>13230</v>
      </c>
      <c r="T6584" t="s">
        <v>13290</v>
      </c>
      <c r="U6584" t="s">
        <v>13290</v>
      </c>
      <c r="V6584" t="s">
        <v>13290</v>
      </c>
      <c r="W6584" t="s">
        <v>19818</v>
      </c>
      <c r="X6584">
        <v>17</v>
      </c>
      <c r="Y6584" t="s">
        <v>26274</v>
      </c>
      <c r="Z6584" t="s">
        <v>32914</v>
      </c>
      <c r="AA6584">
        <v>1.0916098979920681</v>
      </c>
      <c r="AB6584" t="str">
        <f>HYPERLINK("Melting_Curves/meltCurve_Q9Y608_2_LRRFIP2.pdf", "Melting_Curves/meltCurve_Q9Y608_2_LRRFIP2.pdf")</f>
        <v>Melting_Curves/meltCurve_Q9Y608_2_LRRFIP2.pdf</v>
      </c>
    </row>
    <row r="6585" spans="1:28" x14ac:dyDescent="0.25">
      <c r="A6585" t="s">
        <v>6589</v>
      </c>
      <c r="B6585">
        <v>0.99252571173614901</v>
      </c>
      <c r="C6585">
        <v>0.71737191618789298</v>
      </c>
      <c r="D6585">
        <v>0.3148357238217</v>
      </c>
      <c r="E6585">
        <v>0.23837547542217</v>
      </c>
      <c r="F6585">
        <v>0.15669011071511799</v>
      </c>
      <c r="G6585">
        <v>0.111726706133547</v>
      </c>
      <c r="H6585">
        <v>8.4270339061030403E-2</v>
      </c>
      <c r="I6585">
        <v>0.106077403770911</v>
      </c>
      <c r="J6585">
        <v>0.127530376958883</v>
      </c>
      <c r="K6585">
        <v>0.12872944681842399</v>
      </c>
      <c r="L6585">
        <v>1214.9190422690899</v>
      </c>
      <c r="M6585">
        <v>27.5516490314861</v>
      </c>
      <c r="N6585">
        <v>44.566657718165096</v>
      </c>
      <c r="O6585">
        <v>43.865713964336699</v>
      </c>
      <c r="P6585">
        <v>-0.13720586468311399</v>
      </c>
      <c r="Q6585">
        <v>0.126211545450235</v>
      </c>
      <c r="R6585">
        <v>0.98761401653455705</v>
      </c>
      <c r="S6585" t="s">
        <v>13231</v>
      </c>
      <c r="T6585" t="s">
        <v>13290</v>
      </c>
      <c r="U6585" t="s">
        <v>13290</v>
      </c>
      <c r="V6585" t="s">
        <v>13290</v>
      </c>
      <c r="W6585" t="s">
        <v>19819</v>
      </c>
      <c r="X6585">
        <v>5</v>
      </c>
      <c r="Y6585" t="s">
        <v>26275</v>
      </c>
      <c r="Z6585" t="s">
        <v>32915</v>
      </c>
      <c r="AA6585">
        <v>0.25326441928559579</v>
      </c>
      <c r="AB6585" t="str">
        <f>HYPERLINK("Melting_Curves/meltCurve_Q9Y613_FHOD1.pdf", "Melting_Curves/meltCurve_Q9Y613_FHOD1.pdf")</f>
        <v>Melting_Curves/meltCurve_Q9Y613_FHOD1.pdf</v>
      </c>
    </row>
    <row r="6586" spans="1:28" x14ac:dyDescent="0.25">
      <c r="A6586" t="s">
        <v>6590</v>
      </c>
      <c r="B6586">
        <v>0.99252571173614901</v>
      </c>
      <c r="C6586">
        <v>1.0614805843383399</v>
      </c>
      <c r="D6586">
        <v>1.01633830550937</v>
      </c>
      <c r="E6586">
        <v>0.90101115100903795</v>
      </c>
      <c r="F6586">
        <v>0.93745323626160104</v>
      </c>
      <c r="G6586">
        <v>0.73956108803987897</v>
      </c>
      <c r="H6586">
        <v>0.40604666128679801</v>
      </c>
      <c r="I6586">
        <v>0.174349854454108</v>
      </c>
      <c r="J6586">
        <v>9.3890713714904206E-2</v>
      </c>
      <c r="K6586">
        <v>7.4208160772311405E-2</v>
      </c>
      <c r="L6586">
        <v>1285.8701113373399</v>
      </c>
      <c r="M6586">
        <v>21.640545956944798</v>
      </c>
      <c r="N6586">
        <v>59.5529499043813</v>
      </c>
      <c r="O6586">
        <v>58.919064626444303</v>
      </c>
      <c r="P6586">
        <v>-8.9651805794158004E-2</v>
      </c>
      <c r="Q6586">
        <v>2.36705481082875E-2</v>
      </c>
      <c r="R6586">
        <v>0.99170602348636205</v>
      </c>
      <c r="S6586" t="s">
        <v>13232</v>
      </c>
      <c r="T6586" t="s">
        <v>13290</v>
      </c>
      <c r="U6586" t="s">
        <v>13290</v>
      </c>
      <c r="V6586" t="s">
        <v>13290</v>
      </c>
      <c r="W6586" t="s">
        <v>19820</v>
      </c>
      <c r="X6586">
        <v>25</v>
      </c>
      <c r="Y6586" t="s">
        <v>26276</v>
      </c>
      <c r="Z6586" t="s">
        <v>32916</v>
      </c>
      <c r="AA6586">
        <v>0.66444292886969192</v>
      </c>
      <c r="AB6586" t="str">
        <f>HYPERLINK("Melting_Curves/meltCurve_Q9Y617_PSAT1.pdf", "Melting_Curves/meltCurve_Q9Y617_PSAT1.pdf")</f>
        <v>Melting_Curves/meltCurve_Q9Y617_PSAT1.pdf</v>
      </c>
    </row>
    <row r="6587" spans="1:28" x14ac:dyDescent="0.25">
      <c r="A6587" t="s">
        <v>6591</v>
      </c>
      <c r="B6587">
        <v>0.99252571173614901</v>
      </c>
      <c r="C6587">
        <v>0.85742067072779504</v>
      </c>
      <c r="D6587">
        <v>0.79805337381084596</v>
      </c>
      <c r="E6587">
        <v>0.73620823031034099</v>
      </c>
      <c r="F6587">
        <v>0.71517665909594996</v>
      </c>
      <c r="G6587">
        <v>0.57642738170639496</v>
      </c>
      <c r="H6587">
        <v>0.56905887147808998</v>
      </c>
      <c r="I6587">
        <v>0.80271384757986997</v>
      </c>
      <c r="J6587">
        <v>1.1244005953637599</v>
      </c>
      <c r="K6587">
        <v>0.70213181982463801</v>
      </c>
      <c r="L6587">
        <v>1389.9794363774399</v>
      </c>
      <c r="M6587">
        <v>32.465097711884901</v>
      </c>
      <c r="O6587">
        <v>42.653094400081997</v>
      </c>
      <c r="P6587">
        <v>-4.78240214744792E-2</v>
      </c>
      <c r="Q6587">
        <v>0.74867365555561105</v>
      </c>
      <c r="R6587">
        <v>0.21447585709035999</v>
      </c>
      <c r="S6587" t="s">
        <v>13233</v>
      </c>
      <c r="T6587" t="s">
        <v>13290</v>
      </c>
      <c r="U6587" t="s">
        <v>13290</v>
      </c>
      <c r="V6587" t="s">
        <v>13290</v>
      </c>
      <c r="W6587" t="s">
        <v>19821</v>
      </c>
      <c r="X6587">
        <v>8</v>
      </c>
      <c r="Y6587" t="s">
        <v>26277</v>
      </c>
      <c r="Z6587" t="s">
        <v>32917</v>
      </c>
      <c r="AA6587">
        <v>0.77427188774899702</v>
      </c>
      <c r="AB6587" t="str">
        <f>HYPERLINK("Melting_Curves/meltCurve_Q9Y619_SLC25A15.pdf", "Melting_Curves/meltCurve_Q9Y619_SLC25A15.pdf")</f>
        <v>Melting_Curves/meltCurve_Q9Y619_SLC25A15.pdf</v>
      </c>
    </row>
    <row r="6588" spans="1:28" x14ac:dyDescent="0.25">
      <c r="A6588" t="s">
        <v>6592</v>
      </c>
      <c r="B6588">
        <v>0.99252571173614901</v>
      </c>
      <c r="C6588">
        <v>0.81385337067082397</v>
      </c>
      <c r="D6588">
        <v>0.42126042935524999</v>
      </c>
      <c r="E6588">
        <v>0.381624068768043</v>
      </c>
      <c r="F6588">
        <v>0.20048784118358001</v>
      </c>
      <c r="G6588">
        <v>0.113376299805673</v>
      </c>
      <c r="H6588">
        <v>9.3500865571386205E-2</v>
      </c>
      <c r="I6588">
        <v>0.10636037933306999</v>
      </c>
      <c r="J6588">
        <v>8.0985650279574994E-2</v>
      </c>
      <c r="K6588">
        <v>8.2344129724082296E-2</v>
      </c>
      <c r="L6588">
        <v>758.87771316310102</v>
      </c>
      <c r="M6588">
        <v>16.5536229884782</v>
      </c>
      <c r="N6588">
        <v>46.411454864082401</v>
      </c>
      <c r="O6588">
        <v>45.190245429193197</v>
      </c>
      <c r="P6588">
        <v>-8.3188059714643006E-2</v>
      </c>
      <c r="Q6588">
        <v>9.16717392796631E-2</v>
      </c>
      <c r="R6588">
        <v>0.97195779188693598</v>
      </c>
      <c r="S6588" t="s">
        <v>13234</v>
      </c>
      <c r="T6588" t="s">
        <v>13290</v>
      </c>
      <c r="U6588" t="s">
        <v>13290</v>
      </c>
      <c r="V6588" t="s">
        <v>13290</v>
      </c>
      <c r="W6588" t="s">
        <v>19822</v>
      </c>
      <c r="X6588">
        <v>3</v>
      </c>
      <c r="Y6588" t="s">
        <v>26278</v>
      </c>
      <c r="Z6588" t="s">
        <v>32918</v>
      </c>
      <c r="AA6588">
        <v>0.29034983377045193</v>
      </c>
      <c r="AB6588" t="str">
        <f>HYPERLINK("Melting_Curves/meltCurve_Q9Y620_RAD54B.pdf", "Melting_Curves/meltCurve_Q9Y620_RAD54B.pdf")</f>
        <v>Melting_Curves/meltCurve_Q9Y620_RAD54B.pdf</v>
      </c>
    </row>
    <row r="6589" spans="1:28" x14ac:dyDescent="0.25">
      <c r="A6589" t="s">
        <v>6593</v>
      </c>
      <c r="B6589">
        <v>0.99252571173614901</v>
      </c>
      <c r="C6589">
        <v>0.93669824523925405</v>
      </c>
      <c r="D6589">
        <v>0.91861977708432097</v>
      </c>
      <c r="E6589">
        <v>0.93664467904531601</v>
      </c>
      <c r="F6589">
        <v>0.72407073363010599</v>
      </c>
      <c r="G6589">
        <v>0.58685019840534902</v>
      </c>
      <c r="H6589">
        <v>0.53978794712771305</v>
      </c>
      <c r="I6589">
        <v>0.80501884365363297</v>
      </c>
      <c r="J6589">
        <v>1.3192123272362799</v>
      </c>
      <c r="K6589">
        <v>1.10686128042889</v>
      </c>
      <c r="L6589">
        <v>1083.0276717131601</v>
      </c>
      <c r="M6589">
        <v>24.398336641108202</v>
      </c>
      <c r="O6589">
        <v>44.094427121948002</v>
      </c>
      <c r="P6589">
        <v>-1.9557514409374099E-2</v>
      </c>
      <c r="Q6589">
        <v>0.85861911118218803</v>
      </c>
      <c r="R6589">
        <v>3.90606984685768E-2</v>
      </c>
      <c r="S6589" t="s">
        <v>13235</v>
      </c>
      <c r="T6589" t="s">
        <v>13290</v>
      </c>
      <c r="U6589" t="s">
        <v>13290</v>
      </c>
      <c r="V6589" t="s">
        <v>13290</v>
      </c>
      <c r="W6589" t="s">
        <v>19823</v>
      </c>
      <c r="X6589">
        <v>9</v>
      </c>
      <c r="Y6589" t="s">
        <v>26279</v>
      </c>
      <c r="Z6589" t="s">
        <v>32919</v>
      </c>
      <c r="AA6589">
        <v>0.88091780117647744</v>
      </c>
      <c r="AB6589" t="str">
        <f>HYPERLINK("Melting_Curves/meltCurve_Q9Y639_NPTN.pdf", "Melting_Curves/meltCurve_Q9Y639_NPTN.pdf")</f>
        <v>Melting_Curves/meltCurve_Q9Y639_NPTN.pdf</v>
      </c>
    </row>
    <row r="6590" spans="1:28" x14ac:dyDescent="0.25">
      <c r="A6590" t="s">
        <v>6594</v>
      </c>
      <c r="B6590">
        <v>0.99252571173614901</v>
      </c>
      <c r="C6590">
        <v>1.00784819600542</v>
      </c>
      <c r="D6590">
        <v>1.01826253584383</v>
      </c>
      <c r="E6590">
        <v>0.99528707290682294</v>
      </c>
      <c r="F6590">
        <v>0.96734440990284798</v>
      </c>
      <c r="G6590">
        <v>0.74616647388658996</v>
      </c>
      <c r="H6590">
        <v>0.70284939041860595</v>
      </c>
      <c r="I6590">
        <v>0.82875816542763603</v>
      </c>
      <c r="J6590">
        <v>0.55320903341011496</v>
      </c>
      <c r="K6590">
        <v>0.343960339200031</v>
      </c>
      <c r="L6590">
        <v>659.682350269886</v>
      </c>
      <c r="M6590">
        <v>9.6854035936367104</v>
      </c>
      <c r="N6590">
        <v>68.110981935256802</v>
      </c>
      <c r="O6590">
        <v>65.397540497624803</v>
      </c>
      <c r="P6590">
        <v>-3.7045451911478899E-2</v>
      </c>
      <c r="Q6590">
        <v>0</v>
      </c>
      <c r="R6590">
        <v>0.86873152619565097</v>
      </c>
      <c r="S6590" t="s">
        <v>13236</v>
      </c>
      <c r="T6590" t="s">
        <v>13290</v>
      </c>
      <c r="U6590" t="s">
        <v>13290</v>
      </c>
      <c r="V6590" t="s">
        <v>13290</v>
      </c>
      <c r="W6590" t="s">
        <v>19824</v>
      </c>
      <c r="X6590">
        <v>2</v>
      </c>
      <c r="Y6590" t="s">
        <v>26280</v>
      </c>
      <c r="Z6590" t="s">
        <v>32920</v>
      </c>
      <c r="AA6590">
        <v>0.8342522977719522</v>
      </c>
      <c r="AB6590" t="str">
        <f>HYPERLINK("Melting_Curves/meltCurve_Q9Y646_CPQ.pdf", "Melting_Curves/meltCurve_Q9Y646_CPQ.pdf")</f>
        <v>Melting_Curves/meltCurve_Q9Y646_CPQ.pdf</v>
      </c>
    </row>
    <row r="6591" spans="1:28" x14ac:dyDescent="0.25">
      <c r="A6591" t="s">
        <v>6595</v>
      </c>
      <c r="B6591">
        <v>0.99252571173614901</v>
      </c>
      <c r="C6591">
        <v>1.04898173262015</v>
      </c>
      <c r="D6591">
        <v>0.88502992050184903</v>
      </c>
      <c r="E6591">
        <v>0.81669802652823298</v>
      </c>
      <c r="F6591">
        <v>0.57078389698909504</v>
      </c>
      <c r="G6591">
        <v>0.31058398233141199</v>
      </c>
      <c r="H6591">
        <v>0.15230649714156499</v>
      </c>
      <c r="I6591">
        <v>0.139131849522835</v>
      </c>
      <c r="J6591">
        <v>0.17014296210922</v>
      </c>
      <c r="K6591">
        <v>0.16876987986706499</v>
      </c>
      <c r="L6591">
        <v>1033.30600786133</v>
      </c>
      <c r="M6591">
        <v>19.5179329202081</v>
      </c>
      <c r="N6591">
        <v>53.784010156867197</v>
      </c>
      <c r="O6591">
        <v>52.395015116644799</v>
      </c>
      <c r="P6591">
        <v>-8.0863914683171695E-2</v>
      </c>
      <c r="Q6591">
        <v>0.13172896150674801</v>
      </c>
      <c r="R6591">
        <v>0.98994288462089797</v>
      </c>
      <c r="S6591" t="s">
        <v>13237</v>
      </c>
      <c r="T6591" t="s">
        <v>13290</v>
      </c>
      <c r="U6591" t="s">
        <v>13290</v>
      </c>
      <c r="V6591" t="s">
        <v>13290</v>
      </c>
      <c r="W6591" t="s">
        <v>19825</v>
      </c>
      <c r="X6591">
        <v>8</v>
      </c>
      <c r="Y6591" t="s">
        <v>26281</v>
      </c>
      <c r="Z6591" t="s">
        <v>32921</v>
      </c>
      <c r="AA6591">
        <v>0.51873679428163899</v>
      </c>
      <c r="AB6591" t="str">
        <f>HYPERLINK("Melting_Curves/meltCurve_Q9Y657_SPIN1.pdf", "Melting_Curves/meltCurve_Q9Y657_SPIN1.pdf")</f>
        <v>Melting_Curves/meltCurve_Q9Y657_SPIN1.pdf</v>
      </c>
    </row>
    <row r="6592" spans="1:28" x14ac:dyDescent="0.25">
      <c r="A6592" t="s">
        <v>6596</v>
      </c>
      <c r="B6592">
        <v>0.99252571173614901</v>
      </c>
      <c r="C6592">
        <v>0.95592867509228596</v>
      </c>
      <c r="D6592">
        <v>0.768508307992399</v>
      </c>
      <c r="E6592">
        <v>0.68817787569142097</v>
      </c>
      <c r="F6592">
        <v>0.367636747721309</v>
      </c>
      <c r="G6592">
        <v>0.228739829745329</v>
      </c>
      <c r="H6592">
        <v>0.173216712448093</v>
      </c>
      <c r="I6592">
        <v>0.20975049675688601</v>
      </c>
      <c r="J6592">
        <v>0.38931549039857899</v>
      </c>
      <c r="K6592">
        <v>0.43384693475285901</v>
      </c>
      <c r="L6592">
        <v>1020.08275677568</v>
      </c>
      <c r="M6592">
        <v>20.836237856779999</v>
      </c>
      <c r="N6592">
        <v>50.957612563784402</v>
      </c>
      <c r="O6592">
        <v>48.5128981680812</v>
      </c>
      <c r="P6592">
        <v>-7.7382992049776694E-2</v>
      </c>
      <c r="Q6592">
        <v>0.27933849384535903</v>
      </c>
      <c r="R6592">
        <v>0.90685467423599198</v>
      </c>
      <c r="S6592" t="s">
        <v>13238</v>
      </c>
      <c r="T6592" t="s">
        <v>13290</v>
      </c>
      <c r="U6592" t="s">
        <v>13290</v>
      </c>
      <c r="V6592" t="s">
        <v>13290</v>
      </c>
      <c r="W6592" t="s">
        <v>19826</v>
      </c>
      <c r="X6592">
        <v>4</v>
      </c>
      <c r="Y6592" t="s">
        <v>26282</v>
      </c>
      <c r="Z6592" t="s">
        <v>32922</v>
      </c>
      <c r="AA6592">
        <v>0.50379622514802869</v>
      </c>
      <c r="AB6592" t="str">
        <f>HYPERLINK("Melting_Curves/meltCurve_Q9Y666_SLC12A7.pdf", "Melting_Curves/meltCurve_Q9Y666_SLC12A7.pdf")</f>
        <v>Melting_Curves/meltCurve_Q9Y666_SLC12A7.pdf</v>
      </c>
    </row>
    <row r="6593" spans="1:28" x14ac:dyDescent="0.25">
      <c r="A6593" t="s">
        <v>6597</v>
      </c>
      <c r="B6593">
        <v>0.99252571173614901</v>
      </c>
      <c r="C6593">
        <v>0.69007162840155201</v>
      </c>
      <c r="D6593">
        <v>0.96948258269483201</v>
      </c>
      <c r="E6593">
        <v>0.81289551534296201</v>
      </c>
      <c r="F6593">
        <v>0.39058713444760801</v>
      </c>
      <c r="G6593">
        <v>0.107149589634202</v>
      </c>
      <c r="H6593">
        <v>6.7501814185081804E-2</v>
      </c>
      <c r="I6593">
        <v>7.0094794292052995E-2</v>
      </c>
      <c r="J6593">
        <v>7.0862753948620502E-2</v>
      </c>
      <c r="K6593">
        <v>6.0695462159234298E-2</v>
      </c>
      <c r="L6593">
        <v>1464.5492416663899</v>
      </c>
      <c r="M6593">
        <v>28.174068448779298</v>
      </c>
      <c r="N6593">
        <v>52.205092937598003</v>
      </c>
      <c r="O6593">
        <v>51.722415217708502</v>
      </c>
      <c r="P6593">
        <v>-0.12846229784885799</v>
      </c>
      <c r="Q6593">
        <v>5.6675393073612398E-2</v>
      </c>
      <c r="R6593">
        <v>0.93402362745683598</v>
      </c>
      <c r="S6593" t="s">
        <v>13239</v>
      </c>
      <c r="T6593" t="s">
        <v>13290</v>
      </c>
      <c r="U6593" t="s">
        <v>13290</v>
      </c>
      <c r="V6593" t="s">
        <v>13290</v>
      </c>
      <c r="W6593" t="s">
        <v>19827</v>
      </c>
      <c r="X6593">
        <v>14</v>
      </c>
      <c r="Y6593" t="s">
        <v>26283</v>
      </c>
      <c r="Z6593" t="s">
        <v>32923</v>
      </c>
      <c r="AA6593">
        <v>0.4402660924963796</v>
      </c>
      <c r="AB6593" t="str">
        <f>HYPERLINK("Melting_Curves/meltCurve_Q9Y673_ALG5.pdf", "Melting_Curves/meltCurve_Q9Y673_ALG5.pdf")</f>
        <v>Melting_Curves/meltCurve_Q9Y673_ALG5.pdf</v>
      </c>
    </row>
    <row r="6594" spans="1:28" x14ac:dyDescent="0.25">
      <c r="A6594" t="s">
        <v>6598</v>
      </c>
      <c r="B6594">
        <v>0.99252571173614901</v>
      </c>
      <c r="C6594">
        <v>1.07405837491436</v>
      </c>
      <c r="D6594">
        <v>1.0311633590107001</v>
      </c>
      <c r="E6594">
        <v>1.0833238536509</v>
      </c>
      <c r="F6594">
        <v>0.62017071070902396</v>
      </c>
      <c r="G6594">
        <v>0.50356584964019202</v>
      </c>
      <c r="H6594">
        <v>0.45244247579014202</v>
      </c>
      <c r="I6594">
        <v>0.60256337999228704</v>
      </c>
      <c r="J6594">
        <v>0.78359842503661403</v>
      </c>
      <c r="K6594">
        <v>0.80936484323251501</v>
      </c>
      <c r="L6594">
        <v>7862.8256952633901</v>
      </c>
      <c r="M6594">
        <v>152.16305855995901</v>
      </c>
      <c r="O6594">
        <v>51.6647588226461</v>
      </c>
      <c r="P6594">
        <v>-0.27398312212189002</v>
      </c>
      <c r="Q6594">
        <v>0.627892028550457</v>
      </c>
      <c r="R6594">
        <v>0.776098765952832</v>
      </c>
      <c r="S6594" t="s">
        <v>13240</v>
      </c>
      <c r="T6594" t="s">
        <v>13290</v>
      </c>
      <c r="U6594" t="s">
        <v>13290</v>
      </c>
      <c r="V6594" t="s">
        <v>13290</v>
      </c>
      <c r="W6594" t="s">
        <v>19828</v>
      </c>
      <c r="X6594">
        <v>2</v>
      </c>
      <c r="Y6594" t="s">
        <v>26284</v>
      </c>
      <c r="Z6594" t="s">
        <v>32924</v>
      </c>
      <c r="AA6594">
        <v>0.77277884020505772</v>
      </c>
      <c r="AB6594" t="str">
        <f>HYPERLINK("Melting_Curves/meltCurve_Q9Y676_MRPS18B.pdf", "Melting_Curves/meltCurve_Q9Y676_MRPS18B.pdf")</f>
        <v>Melting_Curves/meltCurve_Q9Y676_MRPS18B.pdf</v>
      </c>
    </row>
    <row r="6595" spans="1:28" x14ac:dyDescent="0.25">
      <c r="A6595" t="s">
        <v>6599</v>
      </c>
      <c r="B6595">
        <v>0.99252571173614901</v>
      </c>
      <c r="C6595">
        <v>0.88469561523663798</v>
      </c>
      <c r="D6595">
        <v>1.1844226518821299</v>
      </c>
      <c r="E6595">
        <v>1.1458622309725099</v>
      </c>
      <c r="F6595">
        <v>0.59640343312208399</v>
      </c>
      <c r="G6595">
        <v>0.22085602810945701</v>
      </c>
      <c r="H6595">
        <v>0.12944839505868699</v>
      </c>
      <c r="I6595">
        <v>0.12033369653842001</v>
      </c>
      <c r="J6595">
        <v>0.114941540646507</v>
      </c>
      <c r="K6595">
        <v>0.107144926121001</v>
      </c>
      <c r="L6595">
        <v>3429.68958463341</v>
      </c>
      <c r="M6595">
        <v>64.284841177836299</v>
      </c>
      <c r="N6595">
        <v>53.611824787584801</v>
      </c>
      <c r="O6595">
        <v>53.299895691963798</v>
      </c>
      <c r="P6595">
        <v>-0.26109383076952503</v>
      </c>
      <c r="Q6595">
        <v>0.134087042080552</v>
      </c>
      <c r="R6595">
        <v>0.96000959299742605</v>
      </c>
      <c r="S6595" t="s">
        <v>13241</v>
      </c>
      <c r="T6595" t="s">
        <v>13290</v>
      </c>
      <c r="U6595" t="s">
        <v>13290</v>
      </c>
      <c r="V6595" t="s">
        <v>13290</v>
      </c>
      <c r="W6595" t="s">
        <v>19829</v>
      </c>
      <c r="X6595">
        <v>33</v>
      </c>
      <c r="Y6595" t="s">
        <v>26285</v>
      </c>
      <c r="Z6595" t="s">
        <v>32925</v>
      </c>
      <c r="AA6595">
        <v>0.52069023943112513</v>
      </c>
      <c r="AB6595" t="str">
        <f>HYPERLINK("Melting_Curves/meltCurve_Q9Y678_COPG1.pdf", "Melting_Curves/meltCurve_Q9Y678_COPG1.pdf")</f>
        <v>Melting_Curves/meltCurve_Q9Y678_COPG1.pdf</v>
      </c>
    </row>
    <row r="6596" spans="1:28" x14ac:dyDescent="0.25">
      <c r="A6596" t="s">
        <v>6600</v>
      </c>
      <c r="B6596">
        <v>0.99252571173614901</v>
      </c>
      <c r="C6596">
        <v>0.893847569498047</v>
      </c>
      <c r="D6596">
        <v>0.82250818117695601</v>
      </c>
      <c r="E6596">
        <v>0.58265464108181098</v>
      </c>
      <c r="F6596">
        <v>0.17901341206070101</v>
      </c>
      <c r="G6596">
        <v>0.119195505400713</v>
      </c>
      <c r="H6596">
        <v>9.6791316530640395E-2</v>
      </c>
      <c r="I6596">
        <v>7.6577480804983902E-2</v>
      </c>
      <c r="J6596">
        <v>8.0584606258869901E-2</v>
      </c>
      <c r="K6596">
        <v>8.8664075273777898E-2</v>
      </c>
      <c r="L6596">
        <v>1050.00363970847</v>
      </c>
      <c r="M6596">
        <v>21.2243353640892</v>
      </c>
      <c r="N6596">
        <v>49.8248989210283</v>
      </c>
      <c r="O6596">
        <v>49.038771788338799</v>
      </c>
      <c r="P6596">
        <v>-0.100647074823822</v>
      </c>
      <c r="Q6596">
        <v>6.9844361401209407E-2</v>
      </c>
      <c r="R6596">
        <v>0.98977801870371096</v>
      </c>
      <c r="S6596" t="s">
        <v>13242</v>
      </c>
      <c r="T6596" t="s">
        <v>13290</v>
      </c>
      <c r="U6596" t="s">
        <v>13290</v>
      </c>
      <c r="V6596" t="s">
        <v>13290</v>
      </c>
      <c r="W6596" t="s">
        <v>19830</v>
      </c>
      <c r="X6596">
        <v>10</v>
      </c>
      <c r="Y6596" t="s">
        <v>26286</v>
      </c>
      <c r="Z6596" t="s">
        <v>32926</v>
      </c>
      <c r="AA6596">
        <v>0.37504176165683167</v>
      </c>
      <c r="AB6596" t="str">
        <f>HYPERLINK("Melting_Curves/meltCurve_Q9Y679_2_AUP1.pdf", "Melting_Curves/meltCurve_Q9Y679_2_AUP1.pdf")</f>
        <v>Melting_Curves/meltCurve_Q9Y679_2_AUP1.pdf</v>
      </c>
    </row>
    <row r="6597" spans="1:28" x14ac:dyDescent="0.25">
      <c r="A6597" t="s">
        <v>6601</v>
      </c>
      <c r="B6597">
        <v>0.99252571173614901</v>
      </c>
      <c r="C6597">
        <v>1.07224790582676</v>
      </c>
      <c r="D6597">
        <v>0.96858646512651703</v>
      </c>
      <c r="E6597">
        <v>0.86572012544172705</v>
      </c>
      <c r="F6597">
        <v>0.58998002414969797</v>
      </c>
      <c r="G6597">
        <v>0.38770391428183998</v>
      </c>
      <c r="H6597">
        <v>0.28810261171868701</v>
      </c>
      <c r="I6597">
        <v>0.30057171590286602</v>
      </c>
      <c r="J6597">
        <v>0.358204242929751</v>
      </c>
      <c r="K6597">
        <v>0.309864910415031</v>
      </c>
      <c r="L6597">
        <v>1403.5283167673599</v>
      </c>
      <c r="M6597">
        <v>26.808643811421899</v>
      </c>
      <c r="N6597">
        <v>54.310799185392902</v>
      </c>
      <c r="O6597">
        <v>52.064869387486297</v>
      </c>
      <c r="P6597">
        <v>-8.8858540105043904E-2</v>
      </c>
      <c r="Q6597">
        <v>0.30972096007590999</v>
      </c>
      <c r="R6597">
        <v>0.98986567623729205</v>
      </c>
      <c r="S6597" t="s">
        <v>13243</v>
      </c>
      <c r="T6597" t="s">
        <v>13290</v>
      </c>
      <c r="U6597" t="s">
        <v>13290</v>
      </c>
      <c r="V6597" t="s">
        <v>13290</v>
      </c>
      <c r="W6597" t="s">
        <v>19831</v>
      </c>
      <c r="X6597">
        <v>5</v>
      </c>
      <c r="Y6597" t="s">
        <v>26287</v>
      </c>
      <c r="Z6597" t="s">
        <v>32927</v>
      </c>
      <c r="AA6597">
        <v>0.59949524973547708</v>
      </c>
      <c r="AB6597" t="str">
        <f>HYPERLINK("Melting_Curves/meltCurve_Q9Y680_3_FKBP7.pdf", "Melting_Curves/meltCurve_Q9Y680_3_FKBP7.pdf")</f>
        <v>Melting_Curves/meltCurve_Q9Y680_3_FKBP7.pdf</v>
      </c>
    </row>
    <row r="6598" spans="1:28" x14ac:dyDescent="0.25">
      <c r="A6598" t="s">
        <v>6602</v>
      </c>
      <c r="B6598">
        <v>0.99252571173614901</v>
      </c>
      <c r="C6598">
        <v>0.92659647657884003</v>
      </c>
      <c r="D6598">
        <v>0.84137217584419699</v>
      </c>
      <c r="E6598">
        <v>0.84919636688748101</v>
      </c>
      <c r="F6598">
        <v>0.66887031499243599</v>
      </c>
      <c r="G6598">
        <v>0.56801216769486895</v>
      </c>
      <c r="H6598">
        <v>0.43035226392047099</v>
      </c>
      <c r="I6598">
        <v>0.49283580234492302</v>
      </c>
      <c r="J6598">
        <v>0.85634075432811496</v>
      </c>
      <c r="K6598">
        <v>0.63744758322596495</v>
      </c>
      <c r="L6598">
        <v>842.02353592099496</v>
      </c>
      <c r="M6598">
        <v>17.322613423047901</v>
      </c>
      <c r="O6598">
        <v>47.9744263049339</v>
      </c>
      <c r="P6598">
        <v>-3.6586827572882501E-2</v>
      </c>
      <c r="Q6598">
        <v>0.59471904448560897</v>
      </c>
      <c r="R6598">
        <v>0.624425592996389</v>
      </c>
      <c r="S6598" t="s">
        <v>13244</v>
      </c>
      <c r="T6598" t="s">
        <v>13290</v>
      </c>
      <c r="U6598" t="s">
        <v>13290</v>
      </c>
      <c r="V6598" t="s">
        <v>13290</v>
      </c>
      <c r="W6598" t="s">
        <v>19832</v>
      </c>
      <c r="X6598">
        <v>2</v>
      </c>
      <c r="Y6598" t="s">
        <v>26288</v>
      </c>
      <c r="Z6598" t="s">
        <v>32928</v>
      </c>
      <c r="AA6598">
        <v>0.71865993548404972</v>
      </c>
      <c r="AB6598" t="str">
        <f>HYPERLINK("Melting_Curves/meltCurve_Q9Y693_LHFP.pdf", "Melting_Curves/meltCurve_Q9Y693_LHFP.pdf")</f>
        <v>Melting_Curves/meltCurve_Q9Y693_LHFP.pdf</v>
      </c>
    </row>
    <row r="6599" spans="1:28" x14ac:dyDescent="0.25">
      <c r="A6599" t="s">
        <v>6603</v>
      </c>
      <c r="B6599">
        <v>0.99252571173614901</v>
      </c>
      <c r="C6599">
        <v>1.1143568545500899</v>
      </c>
      <c r="D6599">
        <v>1.0065538096565601</v>
      </c>
      <c r="E6599">
        <v>0.83696937116307102</v>
      </c>
      <c r="F6599">
        <v>0.43895440973768302</v>
      </c>
      <c r="G6599">
        <v>0.15183615295747099</v>
      </c>
      <c r="H6599">
        <v>7.6802013416102904E-2</v>
      </c>
      <c r="I6599">
        <v>7.2776875330217594E-2</v>
      </c>
      <c r="J6599">
        <v>7.9371801079776205E-2</v>
      </c>
      <c r="K6599">
        <v>8.2759758335860301E-2</v>
      </c>
      <c r="L6599">
        <v>1551.3996046</v>
      </c>
      <c r="M6599">
        <v>29.6242344993065</v>
      </c>
      <c r="N6599">
        <v>52.647665343435897</v>
      </c>
      <c r="O6599">
        <v>52.132362189707699</v>
      </c>
      <c r="P6599">
        <v>-0.13176426601685201</v>
      </c>
      <c r="Q6599">
        <v>7.2497601848456994E-2</v>
      </c>
      <c r="R6599">
        <v>0.99208643401743402</v>
      </c>
      <c r="S6599" t="s">
        <v>13245</v>
      </c>
      <c r="T6599" t="s">
        <v>13290</v>
      </c>
      <c r="U6599" t="s">
        <v>13290</v>
      </c>
      <c r="V6599" t="s">
        <v>13290</v>
      </c>
      <c r="W6599" t="s">
        <v>19833</v>
      </c>
      <c r="X6599">
        <v>17</v>
      </c>
      <c r="Y6599" t="s">
        <v>26289</v>
      </c>
      <c r="Z6599" t="s">
        <v>32929</v>
      </c>
      <c r="AA6599">
        <v>0.46102514981163439</v>
      </c>
      <c r="AB6599" t="str">
        <f>HYPERLINK("Melting_Curves/meltCurve_Q9Y696_CLIC4.pdf", "Melting_Curves/meltCurve_Q9Y696_CLIC4.pdf")</f>
        <v>Melting_Curves/meltCurve_Q9Y696_CLIC4.pdf</v>
      </c>
    </row>
    <row r="6600" spans="1:28" x14ac:dyDescent="0.25">
      <c r="A6600" t="s">
        <v>6604</v>
      </c>
      <c r="B6600">
        <v>0.99252571173614901</v>
      </c>
      <c r="C6600">
        <v>0.96574655317684499</v>
      </c>
      <c r="D6600">
        <v>1.01027311503905</v>
      </c>
      <c r="E6600">
        <v>0.95867130066348005</v>
      </c>
      <c r="F6600">
        <v>0.81376055952473103</v>
      </c>
      <c r="G6600">
        <v>0.42707949421909702</v>
      </c>
      <c r="H6600">
        <v>0.28154447803814803</v>
      </c>
      <c r="I6600">
        <v>0.21835625698262301</v>
      </c>
      <c r="J6600">
        <v>0.18997699644980101</v>
      </c>
      <c r="K6600">
        <v>0.12758242335004899</v>
      </c>
      <c r="L6600">
        <v>1459.51664398344</v>
      </c>
      <c r="M6600">
        <v>26.334549284778898</v>
      </c>
      <c r="N6600">
        <v>56.326201562549301</v>
      </c>
      <c r="O6600">
        <v>55.105500524019902</v>
      </c>
      <c r="P6600">
        <v>-9.8882108663807103E-2</v>
      </c>
      <c r="Q6600">
        <v>0.172358951473748</v>
      </c>
      <c r="R6600">
        <v>0.99460086979135598</v>
      </c>
      <c r="S6600" t="s">
        <v>13246</v>
      </c>
      <c r="T6600" t="s">
        <v>13290</v>
      </c>
      <c r="U6600" t="s">
        <v>13290</v>
      </c>
      <c r="V6600" t="s">
        <v>13290</v>
      </c>
      <c r="W6600" t="s">
        <v>19834</v>
      </c>
      <c r="X6600">
        <v>20</v>
      </c>
      <c r="Y6600" t="s">
        <v>26290</v>
      </c>
      <c r="Z6600" t="s">
        <v>32930</v>
      </c>
      <c r="AA6600">
        <v>0.6048037766812836</v>
      </c>
      <c r="AB6600" t="str">
        <f>HYPERLINK("Melting_Curves/meltCurve_Q9Y697_2_NFS1.pdf", "Melting_Curves/meltCurve_Q9Y697_2_NFS1.pdf")</f>
        <v>Melting_Curves/meltCurve_Q9Y697_2_NFS1.pdf</v>
      </c>
    </row>
    <row r="6601" spans="1:28" x14ac:dyDescent="0.25">
      <c r="A6601" t="s">
        <v>6605</v>
      </c>
      <c r="B6601">
        <v>0.99252571173614901</v>
      </c>
      <c r="C6601">
        <v>0.98569026592729403</v>
      </c>
      <c r="D6601">
        <v>0.78404404179667098</v>
      </c>
      <c r="E6601">
        <v>0.39022757747138997</v>
      </c>
      <c r="F6601">
        <v>0.22425584790599601</v>
      </c>
      <c r="G6601">
        <v>0.13701886677674199</v>
      </c>
      <c r="H6601">
        <v>7.3495666639780299E-2</v>
      </c>
      <c r="I6601">
        <v>5.1850188278748002E-2</v>
      </c>
      <c r="J6601">
        <v>3.2566723679363203E-2</v>
      </c>
      <c r="K6601">
        <v>2.7586345782466801E-2</v>
      </c>
      <c r="L6601">
        <v>999.38331876760799</v>
      </c>
      <c r="M6601">
        <v>20.549925163844801</v>
      </c>
      <c r="N6601">
        <v>48.888496915371299</v>
      </c>
      <c r="O6601">
        <v>48.178479364131498</v>
      </c>
      <c r="P6601">
        <v>-0.101187278166947</v>
      </c>
      <c r="Q6601">
        <v>5.1109764685709699E-2</v>
      </c>
      <c r="R6601">
        <v>0.99474307148826102</v>
      </c>
      <c r="S6601" t="s">
        <v>13247</v>
      </c>
      <c r="T6601" t="s">
        <v>13290</v>
      </c>
      <c r="U6601" t="s">
        <v>13290</v>
      </c>
      <c r="V6601" t="s">
        <v>13290</v>
      </c>
      <c r="W6601" t="s">
        <v>19835</v>
      </c>
      <c r="X6601">
        <v>3</v>
      </c>
      <c r="Y6601" t="s">
        <v>26291</v>
      </c>
      <c r="Z6601" t="s">
        <v>32931</v>
      </c>
      <c r="AA6601">
        <v>0.33675378193430922</v>
      </c>
      <c r="AB6601" t="str">
        <f>HYPERLINK("Melting_Curves/meltCurve_Q9Y6A4_C16orf80.pdf", "Melting_Curves/meltCurve_Q9Y6A4_C16orf80.pdf")</f>
        <v>Melting_Curves/meltCurve_Q9Y6A4_C16orf80.pdf</v>
      </c>
    </row>
    <row r="6602" spans="1:28" x14ac:dyDescent="0.25">
      <c r="A6602" t="s">
        <v>6606</v>
      </c>
      <c r="B6602">
        <v>0.99252571173614901</v>
      </c>
      <c r="C6602">
        <v>1.0180416389156199</v>
      </c>
      <c r="D6602">
        <v>0.86656890039784795</v>
      </c>
      <c r="E6602">
        <v>0.70963644166164097</v>
      </c>
      <c r="F6602">
        <v>0.47573686444685398</v>
      </c>
      <c r="G6602">
        <v>0.35215548644746297</v>
      </c>
      <c r="H6602">
        <v>0.32602162822455899</v>
      </c>
      <c r="I6602">
        <v>0.58836176764162895</v>
      </c>
      <c r="J6602">
        <v>1.0470224321995001</v>
      </c>
      <c r="K6602">
        <v>1.18835615018796</v>
      </c>
      <c r="L6602">
        <v>2309.2485930971802</v>
      </c>
      <c r="M6602">
        <v>49.741036833510101</v>
      </c>
      <c r="O6602">
        <v>46.350567316864897</v>
      </c>
      <c r="P6602">
        <v>-8.9254711384910201E-2</v>
      </c>
      <c r="Q6602">
        <v>0.66731671573073104</v>
      </c>
      <c r="R6602">
        <v>0.21855364306081099</v>
      </c>
      <c r="S6602" t="s">
        <v>13248</v>
      </c>
      <c r="T6602" t="s">
        <v>13290</v>
      </c>
      <c r="U6602" t="s">
        <v>13290</v>
      </c>
      <c r="V6602" t="s">
        <v>13290</v>
      </c>
      <c r="W6602" t="s">
        <v>19836</v>
      </c>
      <c r="X6602">
        <v>18</v>
      </c>
      <c r="Y6602" t="s">
        <v>26292</v>
      </c>
      <c r="Z6602" t="s">
        <v>32932</v>
      </c>
      <c r="AA6602">
        <v>0.73926201067071118</v>
      </c>
      <c r="AB6602" t="str">
        <f>HYPERLINK("Melting_Curves/meltCurve_Q9Y6A5_TACC3.pdf", "Melting_Curves/meltCurve_Q9Y6A5_TACC3.pdf")</f>
        <v>Melting_Curves/meltCurve_Q9Y6A5_TACC3.pdf</v>
      </c>
    </row>
    <row r="6603" spans="1:28" x14ac:dyDescent="0.25">
      <c r="A6603" t="s">
        <v>6607</v>
      </c>
      <c r="B6603">
        <v>0.99252571173614901</v>
      </c>
      <c r="C6603">
        <v>0.992324162676259</v>
      </c>
      <c r="D6603">
        <v>0.91589455987704305</v>
      </c>
      <c r="E6603">
        <v>0.65285635021276001</v>
      </c>
      <c r="F6603">
        <v>0.605893914797898</v>
      </c>
      <c r="G6603">
        <v>0.33792587184851702</v>
      </c>
      <c r="H6603">
        <v>0.115715706578548</v>
      </c>
      <c r="I6603">
        <v>9.02793799449437E-2</v>
      </c>
      <c r="J6603">
        <v>9.5074300828668898E-2</v>
      </c>
      <c r="K6603">
        <v>8.8898616547317802E-2</v>
      </c>
      <c r="L6603">
        <v>715.74238767695704</v>
      </c>
      <c r="M6603">
        <v>13.393558397397401</v>
      </c>
      <c r="N6603">
        <v>53.5824659150177</v>
      </c>
      <c r="O6603">
        <v>52.290175643474498</v>
      </c>
      <c r="P6603">
        <v>-6.2919196804263694E-2</v>
      </c>
      <c r="Q6603">
        <v>1.7575960952134002E-2</v>
      </c>
      <c r="R6603">
        <v>0.98381168929483098</v>
      </c>
      <c r="S6603" t="s">
        <v>13249</v>
      </c>
      <c r="T6603" t="s">
        <v>13290</v>
      </c>
      <c r="U6603" t="s">
        <v>13290</v>
      </c>
      <c r="V6603" t="s">
        <v>13290</v>
      </c>
      <c r="W6603" t="s">
        <v>19837</v>
      </c>
      <c r="X6603">
        <v>10</v>
      </c>
      <c r="Y6603" t="s">
        <v>26293</v>
      </c>
      <c r="Z6603" t="s">
        <v>32933</v>
      </c>
      <c r="AA6603">
        <v>0.48157463177386373</v>
      </c>
      <c r="AB6603" t="str">
        <f>HYPERLINK("Melting_Curves/meltCurve_Q9Y6B6_SAR1B.pdf", "Melting_Curves/meltCurve_Q9Y6B6_SAR1B.pdf")</f>
        <v>Melting_Curves/meltCurve_Q9Y6B6_SAR1B.pdf</v>
      </c>
    </row>
    <row r="6604" spans="1:28" x14ac:dyDescent="0.25">
      <c r="A6604" t="s">
        <v>6608</v>
      </c>
      <c r="B6604">
        <v>0.99252571173614901</v>
      </c>
      <c r="C6604">
        <v>0.93292481620846202</v>
      </c>
      <c r="D6604">
        <v>0.86314716414482895</v>
      </c>
      <c r="E6604">
        <v>0.75943426277421899</v>
      </c>
      <c r="F6604">
        <v>0.5442395354599</v>
      </c>
      <c r="G6604">
        <v>0.31336833612406101</v>
      </c>
      <c r="H6604">
        <v>0.15835007918634</v>
      </c>
      <c r="I6604">
        <v>0.153053057334506</v>
      </c>
      <c r="J6604">
        <v>0.163129282611754</v>
      </c>
      <c r="K6604">
        <v>0.13216798270701599</v>
      </c>
      <c r="L6604">
        <v>769.41901648645603</v>
      </c>
      <c r="M6604">
        <v>14.611974747782099</v>
      </c>
      <c r="N6604">
        <v>53.4317889664635</v>
      </c>
      <c r="O6604">
        <v>51.699981943340198</v>
      </c>
      <c r="P6604">
        <v>-6.3917052727467699E-2</v>
      </c>
      <c r="Q6604">
        <v>9.5497868318285897E-2</v>
      </c>
      <c r="R6604">
        <v>0.99314827615589196</v>
      </c>
      <c r="S6604" t="s">
        <v>13250</v>
      </c>
      <c r="T6604" t="s">
        <v>13290</v>
      </c>
      <c r="U6604" t="s">
        <v>13290</v>
      </c>
      <c r="V6604" t="s">
        <v>13290</v>
      </c>
      <c r="W6604" t="s">
        <v>19838</v>
      </c>
      <c r="X6604">
        <v>10</v>
      </c>
      <c r="Y6604" t="s">
        <v>20455</v>
      </c>
      <c r="Z6604" t="s">
        <v>32934</v>
      </c>
      <c r="AA6604">
        <v>0.49758791694226212</v>
      </c>
      <c r="AB6604" t="str">
        <f>HYPERLINK("Melting_Curves/meltCurve_Q9Y6C9_MTCH2.pdf", "Melting_Curves/meltCurve_Q9Y6C9_MTCH2.pdf")</f>
        <v>Melting_Curves/meltCurve_Q9Y6C9_MTCH2.pdf</v>
      </c>
    </row>
    <row r="6605" spans="1:28" x14ac:dyDescent="0.25">
      <c r="A6605" t="s">
        <v>6609</v>
      </c>
      <c r="B6605">
        <v>0.99252571173614901</v>
      </c>
      <c r="C6605">
        <v>0.98415591902660804</v>
      </c>
      <c r="D6605">
        <v>1.0160632624147199</v>
      </c>
      <c r="E6605">
        <v>0.65688105304049305</v>
      </c>
      <c r="F6605">
        <v>0.202731158008565</v>
      </c>
      <c r="G6605">
        <v>9.7883142242094004E-2</v>
      </c>
      <c r="H6605">
        <v>0.121755275030322</v>
      </c>
      <c r="I6605">
        <v>0.11684348283113</v>
      </c>
      <c r="J6605">
        <v>0.179385906075019</v>
      </c>
      <c r="K6605">
        <v>0.15898511107736901</v>
      </c>
      <c r="L6605">
        <v>2348.0222935583502</v>
      </c>
      <c r="M6605">
        <v>46.9007290878398</v>
      </c>
      <c r="N6605">
        <v>50.407219399809598</v>
      </c>
      <c r="O6605">
        <v>49.972904556262499</v>
      </c>
      <c r="P6605">
        <v>-0.20253327969188401</v>
      </c>
      <c r="Q6605">
        <v>0.136801122386628</v>
      </c>
      <c r="R6605">
        <v>0.99592606020705099</v>
      </c>
      <c r="S6605" t="s">
        <v>13251</v>
      </c>
      <c r="T6605" t="s">
        <v>13290</v>
      </c>
      <c r="U6605" t="s">
        <v>13290</v>
      </c>
      <c r="V6605" t="s">
        <v>13290</v>
      </c>
      <c r="W6605" t="s">
        <v>19839</v>
      </c>
      <c r="X6605">
        <v>10</v>
      </c>
      <c r="Y6605" t="s">
        <v>26294</v>
      </c>
      <c r="Z6605" t="s">
        <v>32935</v>
      </c>
      <c r="AA6605">
        <v>0.42853407216759631</v>
      </c>
      <c r="AB6605" t="str">
        <f>HYPERLINK("Melting_Curves/meltCurve_Q9Y6D5_ARFGEF2.pdf", "Melting_Curves/meltCurve_Q9Y6D5_ARFGEF2.pdf")</f>
        <v>Melting_Curves/meltCurve_Q9Y6D5_ARFGEF2.pdf</v>
      </c>
    </row>
    <row r="6606" spans="1:28" x14ac:dyDescent="0.25">
      <c r="A6606" t="s">
        <v>6610</v>
      </c>
      <c r="B6606">
        <v>0.99252571173614901</v>
      </c>
      <c r="C6606">
        <v>0.92216878138867098</v>
      </c>
      <c r="D6606">
        <v>0.94971777620975995</v>
      </c>
      <c r="E6606">
        <v>0.61651419730369605</v>
      </c>
      <c r="F6606">
        <v>0.189746164592626</v>
      </c>
      <c r="G6606">
        <v>0.104808905788151</v>
      </c>
      <c r="H6606">
        <v>6.9061706677156803E-2</v>
      </c>
      <c r="I6606">
        <v>6.8742121196915099E-2</v>
      </c>
      <c r="J6606">
        <v>8.2543875459979904E-2</v>
      </c>
      <c r="K6606">
        <v>7.2314891658075101E-2</v>
      </c>
      <c r="L6606">
        <v>1592.9460932926499</v>
      </c>
      <c r="M6606">
        <v>31.789152537131699</v>
      </c>
      <c r="N6606">
        <v>50.359478100345299</v>
      </c>
      <c r="O6606">
        <v>49.912682213362103</v>
      </c>
      <c r="P6606">
        <v>-0.14761336682985601</v>
      </c>
      <c r="Q6606">
        <v>7.2923748784203699E-2</v>
      </c>
      <c r="R6606">
        <v>0.99618931624877505</v>
      </c>
      <c r="S6606" t="s">
        <v>13252</v>
      </c>
      <c r="T6606" t="s">
        <v>13290</v>
      </c>
      <c r="U6606" t="s">
        <v>13290</v>
      </c>
      <c r="V6606" t="s">
        <v>13290</v>
      </c>
      <c r="W6606" t="s">
        <v>19840</v>
      </c>
      <c r="X6606">
        <v>23</v>
      </c>
      <c r="Y6606" t="s">
        <v>26295</v>
      </c>
      <c r="Z6606" t="s">
        <v>32936</v>
      </c>
      <c r="AA6606">
        <v>0.39044983914096643</v>
      </c>
      <c r="AB6606" t="str">
        <f>HYPERLINK("Melting_Curves/meltCurve_Q9Y6D6_ARFGEF1.pdf", "Melting_Curves/meltCurve_Q9Y6D6_ARFGEF1.pdf")</f>
        <v>Melting_Curves/meltCurve_Q9Y6D6_ARFGEF1.pdf</v>
      </c>
    </row>
    <row r="6607" spans="1:28" x14ac:dyDescent="0.25">
      <c r="A6607" t="s">
        <v>6611</v>
      </c>
      <c r="B6607">
        <v>0.99252571173614901</v>
      </c>
      <c r="C6607">
        <v>0.86988872685506502</v>
      </c>
      <c r="D6607">
        <v>0.52601744521819505</v>
      </c>
      <c r="E6607">
        <v>0.29646994357943501</v>
      </c>
      <c r="F6607">
        <v>0.19178362491299999</v>
      </c>
      <c r="G6607">
        <v>0.119352412761723</v>
      </c>
      <c r="H6607">
        <v>9.9686552830537595E-2</v>
      </c>
      <c r="I6607">
        <v>0.113230071328616</v>
      </c>
      <c r="J6607">
        <v>0.201078381401466</v>
      </c>
      <c r="K6607">
        <v>0.42803405695916202</v>
      </c>
      <c r="L6607">
        <v>1241.87984684873</v>
      </c>
      <c r="M6607">
        <v>27.306338899188901</v>
      </c>
      <c r="N6607">
        <v>46.304077010817601</v>
      </c>
      <c r="O6607">
        <v>45.2377265905399</v>
      </c>
      <c r="P6607">
        <v>-0.121851799812024</v>
      </c>
      <c r="Q6607">
        <v>0.19253237526951</v>
      </c>
      <c r="R6607">
        <v>0.91647940359688396</v>
      </c>
      <c r="S6607" t="s">
        <v>13253</v>
      </c>
      <c r="T6607" t="s">
        <v>13290</v>
      </c>
      <c r="U6607" t="s">
        <v>13290</v>
      </c>
      <c r="V6607" t="s">
        <v>13290</v>
      </c>
      <c r="W6607" t="s">
        <v>19841</v>
      </c>
      <c r="X6607">
        <v>15</v>
      </c>
      <c r="Y6607" t="s">
        <v>26296</v>
      </c>
      <c r="Z6607" t="s">
        <v>32937</v>
      </c>
      <c r="AA6607">
        <v>0.34628004918524907</v>
      </c>
      <c r="AB6607" t="str">
        <f>HYPERLINK("Melting_Curves/meltCurve_Q9Y6D9_MAD1L1.pdf", "Melting_Curves/meltCurve_Q9Y6D9_MAD1L1.pdf")</f>
        <v>Melting_Curves/meltCurve_Q9Y6D9_MAD1L1.pdf</v>
      </c>
    </row>
    <row r="6608" spans="1:28" x14ac:dyDescent="0.25">
      <c r="A6608" t="s">
        <v>6612</v>
      </c>
      <c r="B6608">
        <v>0.99252571173614901</v>
      </c>
      <c r="C6608">
        <v>1.01952710731703</v>
      </c>
      <c r="D6608">
        <v>0.893255320394299</v>
      </c>
      <c r="E6608">
        <v>0.74616274512214198</v>
      </c>
      <c r="F6608">
        <v>0.484551361594175</v>
      </c>
      <c r="G6608">
        <v>0.171325647779136</v>
      </c>
      <c r="H6608">
        <v>7.3886633911556102E-2</v>
      </c>
      <c r="I6608">
        <v>7.0577502327213104E-2</v>
      </c>
      <c r="J6608">
        <v>7.2519798065412797E-2</v>
      </c>
      <c r="K6608">
        <v>6.8905598091629994E-2</v>
      </c>
      <c r="L6608">
        <v>1029.7335519672899</v>
      </c>
      <c r="M6608">
        <v>19.696277994408799</v>
      </c>
      <c r="N6608">
        <v>52.525746691926898</v>
      </c>
      <c r="O6608">
        <v>51.750661513395102</v>
      </c>
      <c r="P6608">
        <v>-9.0974946083812805E-2</v>
      </c>
      <c r="Q6608">
        <v>4.3910847612574702E-2</v>
      </c>
      <c r="R6608">
        <v>0.99493517052999503</v>
      </c>
      <c r="S6608" t="s">
        <v>13254</v>
      </c>
      <c r="T6608" t="s">
        <v>13290</v>
      </c>
      <c r="U6608" t="s">
        <v>13290</v>
      </c>
      <c r="V6608" t="s">
        <v>13290</v>
      </c>
      <c r="W6608" t="s">
        <v>19842</v>
      </c>
      <c r="X6608">
        <v>24</v>
      </c>
      <c r="Y6608" t="s">
        <v>26297</v>
      </c>
      <c r="Z6608" t="s">
        <v>32938</v>
      </c>
      <c r="AA6608">
        <v>0.44886476909505818</v>
      </c>
      <c r="AB6608" t="str">
        <f>HYPERLINK("Melting_Curves/meltCurve_Q9Y6E0_2_STK24.pdf", "Melting_Curves/meltCurve_Q9Y6E0_2_STK24.pdf")</f>
        <v>Melting_Curves/meltCurve_Q9Y6E0_2_STK24.pdf</v>
      </c>
    </row>
    <row r="6609" spans="1:28" x14ac:dyDescent="0.25">
      <c r="A6609" t="s">
        <v>6613</v>
      </c>
      <c r="B6609">
        <v>0.99252571173614901</v>
      </c>
      <c r="C6609">
        <v>0.90196029213382201</v>
      </c>
      <c r="D6609">
        <v>1.13849381871032</v>
      </c>
      <c r="E6609">
        <v>1.12300930674029</v>
      </c>
      <c r="F6609">
        <v>0.88036220185031</v>
      </c>
      <c r="G6609">
        <v>0.45945786233903602</v>
      </c>
      <c r="H6609">
        <v>0.27142829352857301</v>
      </c>
      <c r="I6609">
        <v>0.214229034399537</v>
      </c>
      <c r="J6609">
        <v>0.28866101510668501</v>
      </c>
      <c r="K6609">
        <v>0.182089111619222</v>
      </c>
      <c r="L6609">
        <v>2276.0183030465801</v>
      </c>
      <c r="M6609">
        <v>40.947414185759499</v>
      </c>
      <c r="N6609">
        <v>56.445504253173297</v>
      </c>
      <c r="O6609">
        <v>55.451854701237899</v>
      </c>
      <c r="P6609">
        <v>-0.141710567621844</v>
      </c>
      <c r="Q6609">
        <v>0.232371669901829</v>
      </c>
      <c r="R6609">
        <v>0.96326683199111496</v>
      </c>
      <c r="S6609" t="s">
        <v>13255</v>
      </c>
      <c r="T6609" t="s">
        <v>13290</v>
      </c>
      <c r="U6609" t="s">
        <v>13290</v>
      </c>
      <c r="V6609" t="s">
        <v>13290</v>
      </c>
      <c r="W6609" t="s">
        <v>19843</v>
      </c>
      <c r="X6609">
        <v>1</v>
      </c>
      <c r="Y6609" t="s">
        <v>26298</v>
      </c>
      <c r="Z6609" t="s">
        <v>32939</v>
      </c>
      <c r="AA6609">
        <v>0.63392855756896238</v>
      </c>
      <c r="AB6609" t="str">
        <f>HYPERLINK("Melting_Curves/meltCurve_Q9Y6G5_COMMD10.pdf", "Melting_Curves/meltCurve_Q9Y6G5_COMMD10.pdf")</f>
        <v>Melting_Curves/meltCurve_Q9Y6G5_COMMD10.pdf</v>
      </c>
    </row>
    <row r="6610" spans="1:28" x14ac:dyDescent="0.25">
      <c r="A6610" t="s">
        <v>6614</v>
      </c>
      <c r="B6610">
        <v>0.99252571173614901</v>
      </c>
      <c r="C6610">
        <v>0.89492414250059105</v>
      </c>
      <c r="D6610">
        <v>1.2618191699655901</v>
      </c>
      <c r="E6610">
        <v>1.1306114472302</v>
      </c>
      <c r="F6610">
        <v>0.50202543550578105</v>
      </c>
      <c r="G6610">
        <v>0.33944061502711598</v>
      </c>
      <c r="H6610">
        <v>0.18357416734447199</v>
      </c>
      <c r="I6610">
        <v>0.18645533266362299</v>
      </c>
      <c r="J6610">
        <v>0.200116367119588</v>
      </c>
      <c r="K6610">
        <v>0.19490686277255401</v>
      </c>
      <c r="L6610">
        <v>7928.7392272326997</v>
      </c>
      <c r="M6610">
        <v>149.607919383905</v>
      </c>
      <c r="N6610">
        <v>53.204112093957001</v>
      </c>
      <c r="O6610">
        <v>52.987320015048098</v>
      </c>
      <c r="P6610">
        <v>-0.54995036416589904</v>
      </c>
      <c r="Q6610">
        <v>0.22088628100389601</v>
      </c>
      <c r="R6610">
        <v>0.93288738655898296</v>
      </c>
      <c r="S6610" t="s">
        <v>13256</v>
      </c>
      <c r="T6610" t="s">
        <v>13290</v>
      </c>
      <c r="U6610" t="s">
        <v>13290</v>
      </c>
      <c r="V6610" t="s">
        <v>13290</v>
      </c>
      <c r="W6610" t="s">
        <v>19844</v>
      </c>
      <c r="X6610">
        <v>14</v>
      </c>
      <c r="Y6610" t="s">
        <v>26299</v>
      </c>
      <c r="Z6610" t="s">
        <v>32940</v>
      </c>
      <c r="AA6610">
        <v>0.55862124209559227</v>
      </c>
      <c r="AB6610" t="str">
        <f>HYPERLINK("Melting_Curves/meltCurve_Q9Y6G9_DYNC1LI1.pdf", "Melting_Curves/meltCurve_Q9Y6G9_DYNC1LI1.pdf")</f>
        <v>Melting_Curves/meltCurve_Q9Y6G9_DYNC1LI1.pdf</v>
      </c>
    </row>
    <row r="6611" spans="1:28" x14ac:dyDescent="0.25">
      <c r="A6611" t="s">
        <v>6615</v>
      </c>
      <c r="B6611">
        <v>0.99252571173614901</v>
      </c>
      <c r="C6611">
        <v>1.00734585772699</v>
      </c>
      <c r="D6611">
        <v>0.988118398334902</v>
      </c>
      <c r="E6611">
        <v>0.99029495604997497</v>
      </c>
      <c r="F6611">
        <v>0.83272684076334802</v>
      </c>
      <c r="G6611">
        <v>0.76006748056496298</v>
      </c>
      <c r="H6611">
        <v>0.820298943043693</v>
      </c>
      <c r="I6611">
        <v>1.07710824310819</v>
      </c>
      <c r="J6611">
        <v>1.6756894590929301</v>
      </c>
      <c r="K6611">
        <v>1.8502825753400201</v>
      </c>
      <c r="L6611">
        <v>15000</v>
      </c>
      <c r="M6611">
        <v>232.67531430798201</v>
      </c>
      <c r="O6611">
        <v>64.4627688938224</v>
      </c>
      <c r="P6611">
        <v>0.45118168131068898</v>
      </c>
      <c r="Q6611">
        <v>1.5</v>
      </c>
      <c r="R6611">
        <v>0.77442269758931903</v>
      </c>
      <c r="S6611" t="s">
        <v>13257</v>
      </c>
      <c r="T6611" t="s">
        <v>13290</v>
      </c>
      <c r="U6611" t="s">
        <v>13290</v>
      </c>
      <c r="V6611" t="s">
        <v>13290</v>
      </c>
      <c r="W6611" t="s">
        <v>19845</v>
      </c>
      <c r="X6611">
        <v>6</v>
      </c>
      <c r="Y6611" t="s">
        <v>26300</v>
      </c>
      <c r="Z6611" t="s">
        <v>32941</v>
      </c>
      <c r="AA6611">
        <v>1.0921427245263511</v>
      </c>
      <c r="AB6611" t="str">
        <f>HYPERLINK("Melting_Curves/meltCurve_Q9Y6H1_CHCHD2.pdf", "Melting_Curves/meltCurve_Q9Y6H1_CHCHD2.pdf")</f>
        <v>Melting_Curves/meltCurve_Q9Y6H1_CHCHD2.pdf</v>
      </c>
    </row>
    <row r="6612" spans="1:28" x14ac:dyDescent="0.25">
      <c r="A6612" t="s">
        <v>6616</v>
      </c>
      <c r="B6612">
        <v>0.99252571173614901</v>
      </c>
      <c r="C6612">
        <v>1.0165452770971199</v>
      </c>
      <c r="D6612">
        <v>1.00958239058266</v>
      </c>
      <c r="E6612">
        <v>0.74800290690190696</v>
      </c>
      <c r="F6612">
        <v>0.40214069271825498</v>
      </c>
      <c r="G6612">
        <v>0.25483274766346597</v>
      </c>
      <c r="H6612">
        <v>0.21793005588572001</v>
      </c>
      <c r="I6612">
        <v>0.24785407589188299</v>
      </c>
      <c r="J6612">
        <v>0.38900262550840198</v>
      </c>
      <c r="K6612">
        <v>0.49551047720318597</v>
      </c>
      <c r="L6612">
        <v>2155.4764502369799</v>
      </c>
      <c r="M6612">
        <v>42.895234556585301</v>
      </c>
      <c r="N6612">
        <v>51.500589701358699</v>
      </c>
      <c r="O6612">
        <v>50.140945612786503</v>
      </c>
      <c r="P6612">
        <v>-0.14466609594490401</v>
      </c>
      <c r="Q6612">
        <v>0.32359076407528398</v>
      </c>
      <c r="R6612">
        <v>0.94220052222964901</v>
      </c>
      <c r="S6612" t="s">
        <v>13258</v>
      </c>
      <c r="T6612" t="s">
        <v>13290</v>
      </c>
      <c r="U6612" t="s">
        <v>13290</v>
      </c>
      <c r="V6612" t="s">
        <v>13290</v>
      </c>
      <c r="W6612" t="s">
        <v>19846</v>
      </c>
      <c r="X6612">
        <v>8</v>
      </c>
      <c r="Y6612" t="s">
        <v>26301</v>
      </c>
      <c r="Z6612" t="s">
        <v>32942</v>
      </c>
      <c r="AA6612">
        <v>0.55673365922898155</v>
      </c>
      <c r="AB6612" t="str">
        <f>HYPERLINK("Melting_Curves/meltCurve_Q9Y6I3_EPN1.pdf", "Melting_Curves/meltCurve_Q9Y6I3_EPN1.pdf")</f>
        <v>Melting_Curves/meltCurve_Q9Y6I3_EPN1.pdf</v>
      </c>
    </row>
    <row r="6613" spans="1:28" x14ac:dyDescent="0.25">
      <c r="A6613" t="s">
        <v>6617</v>
      </c>
      <c r="B6613">
        <v>0.99252571173614901</v>
      </c>
      <c r="C6613">
        <v>0.80047412227985404</v>
      </c>
      <c r="D6613">
        <v>0.70685303325906301</v>
      </c>
      <c r="E6613">
        <v>0.63003760693137001</v>
      </c>
      <c r="F6613">
        <v>0.25398380338013998</v>
      </c>
      <c r="G6613">
        <v>0.14790223790292101</v>
      </c>
      <c r="H6613">
        <v>0.10899993390851501</v>
      </c>
      <c r="I6613">
        <v>0.11373582011455199</v>
      </c>
      <c r="J6613">
        <v>0.120330210538847</v>
      </c>
      <c r="K6613">
        <v>0.103614971216503</v>
      </c>
      <c r="L6613">
        <v>653.80493554228497</v>
      </c>
      <c r="M6613">
        <v>13.293699935173199</v>
      </c>
      <c r="N6613">
        <v>49.691310677549097</v>
      </c>
      <c r="O6613">
        <v>48.108601595975898</v>
      </c>
      <c r="P6613">
        <v>-6.46888736293596E-2</v>
      </c>
      <c r="Q6613">
        <v>6.3740419366781403E-2</v>
      </c>
      <c r="R6613">
        <v>0.96981623629205904</v>
      </c>
      <c r="S6613" t="s">
        <v>13259</v>
      </c>
      <c r="T6613" t="s">
        <v>13290</v>
      </c>
      <c r="U6613" t="s">
        <v>13290</v>
      </c>
      <c r="V6613" t="s">
        <v>13290</v>
      </c>
      <c r="W6613" t="s">
        <v>19847</v>
      </c>
      <c r="X6613">
        <v>16</v>
      </c>
      <c r="Y6613" t="s">
        <v>26302</v>
      </c>
      <c r="Z6613" t="s">
        <v>32943</v>
      </c>
      <c r="AA6613">
        <v>0.37885054320522471</v>
      </c>
      <c r="AB6613" t="str">
        <f>HYPERLINK("Melting_Curves/meltCurve_Q9Y6I9_TEX264.pdf", "Melting_Curves/meltCurve_Q9Y6I9_TEX264.pdf")</f>
        <v>Melting_Curves/meltCurve_Q9Y6I9_TEX264.pdf</v>
      </c>
    </row>
    <row r="6614" spans="1:28" x14ac:dyDescent="0.25">
      <c r="A6614" t="s">
        <v>6618</v>
      </c>
      <c r="B6614">
        <v>0.99252571173614901</v>
      </c>
      <c r="C6614">
        <v>0.965495518930376</v>
      </c>
      <c r="D6614">
        <v>0.82733852159410903</v>
      </c>
      <c r="E6614">
        <v>0.38302600652106999</v>
      </c>
      <c r="F6614">
        <v>0.10706618189949001</v>
      </c>
      <c r="G6614">
        <v>6.7029901995831698E-2</v>
      </c>
      <c r="H6614">
        <v>5.0189990503354501E-2</v>
      </c>
      <c r="I6614">
        <v>6.23615928314524E-2</v>
      </c>
      <c r="J6614">
        <v>7.8478207597781693E-2</v>
      </c>
      <c r="K6614">
        <v>7.5013283982699505E-2</v>
      </c>
      <c r="L6614">
        <v>1404.54426821935</v>
      </c>
      <c r="M6614">
        <v>29.014312734073599</v>
      </c>
      <c r="N6614">
        <v>48.626963729030898</v>
      </c>
      <c r="O6614">
        <v>48.180458181954499</v>
      </c>
      <c r="P6614">
        <v>-0.141358353334958</v>
      </c>
      <c r="Q6614">
        <v>6.1062090280339397E-2</v>
      </c>
      <c r="R6614">
        <v>0.99909927990514702</v>
      </c>
      <c r="S6614" t="s">
        <v>13260</v>
      </c>
      <c r="T6614" t="s">
        <v>13290</v>
      </c>
      <c r="U6614" t="s">
        <v>13290</v>
      </c>
      <c r="V6614" t="s">
        <v>13290</v>
      </c>
      <c r="W6614" t="s">
        <v>19848</v>
      </c>
      <c r="X6614">
        <v>36</v>
      </c>
      <c r="Y6614" t="s">
        <v>26303</v>
      </c>
      <c r="Z6614" t="s">
        <v>32944</v>
      </c>
      <c r="AA6614">
        <v>0.33031793611850868</v>
      </c>
      <c r="AB6614" t="str">
        <f>HYPERLINK("Melting_Curves/meltCurve_Q9Y6K5_OAS3.pdf", "Melting_Curves/meltCurve_Q9Y6K5_OAS3.pdf")</f>
        <v>Melting_Curves/meltCurve_Q9Y6K5_OAS3.pdf</v>
      </c>
    </row>
    <row r="6615" spans="1:28" x14ac:dyDescent="0.25">
      <c r="A6615" t="s">
        <v>6619</v>
      </c>
      <c r="B6615">
        <v>0.99252571173614901</v>
      </c>
      <c r="C6615">
        <v>0.94000104749244695</v>
      </c>
      <c r="D6615">
        <v>0.76944945573016799</v>
      </c>
      <c r="E6615">
        <v>0.62149384768918103</v>
      </c>
      <c r="F6615">
        <v>0.45799017652865998</v>
      </c>
      <c r="G6615">
        <v>0.38061248709078299</v>
      </c>
      <c r="H6615">
        <v>0.40168104970066598</v>
      </c>
      <c r="I6615">
        <v>0.71456967651172099</v>
      </c>
      <c r="J6615">
        <v>1.35035367866548</v>
      </c>
      <c r="K6615">
        <v>1.61119216317457</v>
      </c>
      <c r="L6615">
        <v>10764.760042882301</v>
      </c>
      <c r="M6615">
        <v>250</v>
      </c>
      <c r="O6615">
        <v>43.0562848760988</v>
      </c>
      <c r="P6615">
        <v>-0.30713022985163901</v>
      </c>
      <c r="Q6615">
        <v>0.78841781448978698</v>
      </c>
      <c r="R6615">
        <v>3.4540680712158101E-2</v>
      </c>
      <c r="S6615" t="s">
        <v>13261</v>
      </c>
      <c r="T6615" t="s">
        <v>13290</v>
      </c>
      <c r="U6615" t="s">
        <v>13290</v>
      </c>
      <c r="V6615" t="s">
        <v>13290</v>
      </c>
      <c r="W6615" t="s">
        <v>19849</v>
      </c>
      <c r="X6615">
        <v>12</v>
      </c>
      <c r="Y6615" t="s">
        <v>20190</v>
      </c>
      <c r="Z6615" t="s">
        <v>32945</v>
      </c>
      <c r="AA6615">
        <v>0.81000841682785196</v>
      </c>
      <c r="AB6615" t="str">
        <f>HYPERLINK("Melting_Curves/meltCurve_Q9Y6K9_IKBKG.pdf", "Melting_Curves/meltCurve_Q9Y6K9_IKBKG.pdf")</f>
        <v>Melting_Curves/meltCurve_Q9Y6K9_IKBKG.pdf</v>
      </c>
    </row>
    <row r="6616" spans="1:28" x14ac:dyDescent="0.25">
      <c r="A6616" t="s">
        <v>6620</v>
      </c>
      <c r="B6616">
        <v>0.99252571173614901</v>
      </c>
      <c r="C6616">
        <v>0.98192579315663397</v>
      </c>
      <c r="D6616">
        <v>0.92379821728464295</v>
      </c>
      <c r="E6616">
        <v>0.86647989618800003</v>
      </c>
      <c r="F6616">
        <v>0.57999813256749</v>
      </c>
      <c r="G6616">
        <v>0.28711969279647498</v>
      </c>
      <c r="H6616">
        <v>8.1446195243549499E-2</v>
      </c>
      <c r="I6616">
        <v>8.1843218693082004E-2</v>
      </c>
      <c r="J6616">
        <v>0.101749470519654</v>
      </c>
      <c r="K6616">
        <v>8.7653124368430493E-2</v>
      </c>
      <c r="L6616">
        <v>1182.38411754251</v>
      </c>
      <c r="M6616">
        <v>22.057758226265801</v>
      </c>
      <c r="N6616">
        <v>53.947737389619697</v>
      </c>
      <c r="O6616">
        <v>53.169264048409197</v>
      </c>
      <c r="P6616">
        <v>-9.6917695698702497E-2</v>
      </c>
      <c r="Q6616">
        <v>6.5557284524664805E-2</v>
      </c>
      <c r="R6616">
        <v>0.99570256505760701</v>
      </c>
      <c r="S6616" t="s">
        <v>13262</v>
      </c>
      <c r="T6616" t="s">
        <v>13290</v>
      </c>
      <c r="U6616" t="s">
        <v>13290</v>
      </c>
      <c r="V6616" t="s">
        <v>13290</v>
      </c>
      <c r="W6616" t="s">
        <v>19850</v>
      </c>
      <c r="X6616">
        <v>7</v>
      </c>
      <c r="Y6616" t="s">
        <v>26304</v>
      </c>
      <c r="Z6616" t="s">
        <v>32946</v>
      </c>
      <c r="AA6616">
        <v>0.50010955789759748</v>
      </c>
      <c r="AB6616" t="str">
        <f>HYPERLINK("Melting_Curves/meltCurve_Q9Y6M4_4_CSNK1G3.pdf", "Melting_Curves/meltCurve_Q9Y6M4_4_CSNK1G3.pdf")</f>
        <v>Melting_Curves/meltCurve_Q9Y6M4_4_CSNK1G3.pdf</v>
      </c>
    </row>
    <row r="6617" spans="1:28" x14ac:dyDescent="0.25">
      <c r="A6617" t="s">
        <v>6621</v>
      </c>
      <c r="B6617">
        <v>0.99252571173614901</v>
      </c>
      <c r="C6617">
        <v>0.93076028349632001</v>
      </c>
      <c r="D6617">
        <v>0.872213734624947</v>
      </c>
      <c r="E6617">
        <v>0.92638274886366501</v>
      </c>
      <c r="F6617">
        <v>0.71274547691618195</v>
      </c>
      <c r="G6617">
        <v>0.46388456398335198</v>
      </c>
      <c r="H6617">
        <v>0.415427619760394</v>
      </c>
      <c r="I6617">
        <v>0.54907821087565101</v>
      </c>
      <c r="J6617">
        <v>0.77351857127983104</v>
      </c>
      <c r="K6617">
        <v>0.58176277185553205</v>
      </c>
      <c r="L6617">
        <v>2111.5531912758001</v>
      </c>
      <c r="M6617">
        <v>40.6347916360927</v>
      </c>
      <c r="O6617">
        <v>51.838792057768899</v>
      </c>
      <c r="P6617">
        <v>-8.6555436009121606E-2</v>
      </c>
      <c r="Q6617">
        <v>0.55831735989396203</v>
      </c>
      <c r="R6617">
        <v>0.74317415709019796</v>
      </c>
      <c r="S6617" t="s">
        <v>13263</v>
      </c>
      <c r="T6617" t="s">
        <v>13290</v>
      </c>
      <c r="U6617" t="s">
        <v>13290</v>
      </c>
      <c r="V6617" t="s">
        <v>13290</v>
      </c>
      <c r="W6617" t="s">
        <v>19851</v>
      </c>
      <c r="X6617">
        <v>7</v>
      </c>
      <c r="Y6617" t="s">
        <v>26305</v>
      </c>
      <c r="Z6617" t="s">
        <v>32947</v>
      </c>
      <c r="AA6617">
        <v>0.73599922770731274</v>
      </c>
      <c r="AB6617" t="str">
        <f>HYPERLINK("Melting_Curves/meltCurve_Q9Y6M5_SLC30A1.pdf", "Melting_Curves/meltCurve_Q9Y6M5_SLC30A1.pdf")</f>
        <v>Melting_Curves/meltCurve_Q9Y6M5_SLC30A1.pdf</v>
      </c>
    </row>
    <row r="6618" spans="1:28" x14ac:dyDescent="0.25">
      <c r="A6618" t="s">
        <v>6622</v>
      </c>
      <c r="B6618">
        <v>0.99252571173614901</v>
      </c>
      <c r="C6618">
        <v>0.95156679717147197</v>
      </c>
      <c r="D6618">
        <v>0.94344196671303704</v>
      </c>
      <c r="E6618">
        <v>0.78553991519009703</v>
      </c>
      <c r="F6618">
        <v>0.57861052302031302</v>
      </c>
      <c r="G6618">
        <v>0.34679793276985399</v>
      </c>
      <c r="H6618">
        <v>0.15291886846218</v>
      </c>
      <c r="I6618">
        <v>0.119489850839073</v>
      </c>
      <c r="J6618">
        <v>0.12855629169857</v>
      </c>
      <c r="K6618">
        <v>0.117409124203895</v>
      </c>
      <c r="L6618">
        <v>881.79697763616502</v>
      </c>
      <c r="M6618">
        <v>16.487991504047201</v>
      </c>
      <c r="N6618">
        <v>54.051141033748998</v>
      </c>
      <c r="O6618">
        <v>52.7130207330923</v>
      </c>
      <c r="P6618">
        <v>-7.1962153463629802E-2</v>
      </c>
      <c r="Q6618">
        <v>7.9796181781946293E-2</v>
      </c>
      <c r="R6618">
        <v>0.99669405650825305</v>
      </c>
      <c r="S6618" t="s">
        <v>13264</v>
      </c>
      <c r="T6618" t="s">
        <v>13290</v>
      </c>
      <c r="U6618" t="s">
        <v>13290</v>
      </c>
      <c r="V6618" t="s">
        <v>13290</v>
      </c>
      <c r="W6618" t="s">
        <v>19852</v>
      </c>
      <c r="X6618">
        <v>7</v>
      </c>
      <c r="Y6618" t="s">
        <v>26306</v>
      </c>
      <c r="Z6618" t="s">
        <v>32948</v>
      </c>
      <c r="AA6618">
        <v>0.51031708550368904</v>
      </c>
      <c r="AB6618" t="str">
        <f>HYPERLINK("Melting_Curves/meltCurve_Q9Y6M9_NDUFB9.pdf", "Melting_Curves/meltCurve_Q9Y6M9_NDUFB9.pdf")</f>
        <v>Melting_Curves/meltCurve_Q9Y6M9_NDUFB9.pdf</v>
      </c>
    </row>
    <row r="6619" spans="1:28" x14ac:dyDescent="0.25">
      <c r="A6619" t="s">
        <v>6623</v>
      </c>
      <c r="B6619">
        <v>0.99252571173614901</v>
      </c>
      <c r="C6619">
        <v>0.88432589489756197</v>
      </c>
      <c r="D6619">
        <v>0.78413891559489701</v>
      </c>
      <c r="E6619">
        <v>0.56534096406196899</v>
      </c>
      <c r="F6619">
        <v>0.21891798968408099</v>
      </c>
      <c r="G6619">
        <v>0.122364838152984</v>
      </c>
      <c r="H6619">
        <v>9.48327230582304E-2</v>
      </c>
      <c r="I6619">
        <v>9.1770434171395798E-2</v>
      </c>
      <c r="J6619">
        <v>0.14197247136128799</v>
      </c>
      <c r="K6619">
        <v>0.113585223066099</v>
      </c>
      <c r="L6619">
        <v>926.29427018541298</v>
      </c>
      <c r="M6619">
        <v>18.860943409326399</v>
      </c>
      <c r="N6619">
        <v>49.632552878446901</v>
      </c>
      <c r="O6619">
        <v>48.569670871415802</v>
      </c>
      <c r="P6619">
        <v>-8.8369925693185206E-2</v>
      </c>
      <c r="Q6619">
        <v>8.9775753989478499E-2</v>
      </c>
      <c r="R6619">
        <v>0.98851309685319</v>
      </c>
      <c r="S6619" t="s">
        <v>13265</v>
      </c>
      <c r="T6619" t="s">
        <v>13290</v>
      </c>
      <c r="U6619" t="s">
        <v>13290</v>
      </c>
      <c r="V6619" t="s">
        <v>13290</v>
      </c>
      <c r="W6619" t="s">
        <v>19853</v>
      </c>
      <c r="X6619">
        <v>2</v>
      </c>
      <c r="Y6619" t="s">
        <v>26307</v>
      </c>
      <c r="Z6619" t="s">
        <v>32949</v>
      </c>
      <c r="AA6619">
        <v>0.38056824589223498</v>
      </c>
      <c r="AB6619" t="str">
        <f>HYPERLINK("Melting_Curves/meltCurve_Q9Y6N1_COX11.pdf", "Melting_Curves/meltCurve_Q9Y6N1_COX11.pdf")</f>
        <v>Melting_Curves/meltCurve_Q9Y6N1_COX11.pdf</v>
      </c>
    </row>
    <row r="6620" spans="1:28" x14ac:dyDescent="0.25">
      <c r="A6620" t="s">
        <v>6624</v>
      </c>
      <c r="B6620">
        <v>0.99252571173614901</v>
      </c>
      <c r="C6620">
        <v>1.0382034602654699</v>
      </c>
      <c r="D6620">
        <v>0.94424747821403698</v>
      </c>
      <c r="E6620">
        <v>0.90411578653951696</v>
      </c>
      <c r="F6620">
        <v>0.79586511332764498</v>
      </c>
      <c r="G6620">
        <v>0.75337774994187201</v>
      </c>
      <c r="H6620">
        <v>0.68488071068843603</v>
      </c>
      <c r="I6620">
        <v>0.88155689793943304</v>
      </c>
      <c r="J6620">
        <v>1.11775504454999</v>
      </c>
      <c r="K6620">
        <v>1.04978012539296</v>
      </c>
      <c r="L6620">
        <v>11503.639622783499</v>
      </c>
      <c r="M6620">
        <v>250</v>
      </c>
      <c r="O6620">
        <v>46.011613740037298</v>
      </c>
      <c r="P6620">
        <v>-0.157698650685933</v>
      </c>
      <c r="Q6620">
        <v>0.88390448937879496</v>
      </c>
      <c r="R6620">
        <v>0.155181728461355</v>
      </c>
      <c r="S6620" t="s">
        <v>13266</v>
      </c>
      <c r="T6620" t="s">
        <v>13290</v>
      </c>
      <c r="U6620" t="s">
        <v>13290</v>
      </c>
      <c r="V6620" t="s">
        <v>13290</v>
      </c>
      <c r="W6620" t="s">
        <v>19854</v>
      </c>
      <c r="X6620">
        <v>27</v>
      </c>
      <c r="Y6620" t="s">
        <v>26308</v>
      </c>
      <c r="Z6620" t="s">
        <v>32950</v>
      </c>
      <c r="AA6620">
        <v>0.90718930595879421</v>
      </c>
      <c r="AB6620" t="str">
        <f>HYPERLINK("Melting_Curves/meltCurve_Q9Y6N5_SQRDL.pdf", "Melting_Curves/meltCurve_Q9Y6N5_SQRDL.pdf")</f>
        <v>Melting_Curves/meltCurve_Q9Y6N5_SQRDL.pdf</v>
      </c>
    </row>
    <row r="6621" spans="1:28" x14ac:dyDescent="0.25">
      <c r="A6621" t="s">
        <v>6625</v>
      </c>
      <c r="B6621">
        <v>0.99252571173614901</v>
      </c>
      <c r="C6621">
        <v>1.04131976277432</v>
      </c>
      <c r="D6621">
        <v>1.0022120736810101</v>
      </c>
      <c r="E6621">
        <v>1.02754691055875</v>
      </c>
      <c r="F6621">
        <v>0.63526268286494603</v>
      </c>
      <c r="G6621">
        <v>0.34006148097391697</v>
      </c>
      <c r="H6621">
        <v>0.24688601739899599</v>
      </c>
      <c r="I6621">
        <v>0.249631200998855</v>
      </c>
      <c r="J6621">
        <v>0.35021014457208199</v>
      </c>
      <c r="K6621">
        <v>0.29696422562267899</v>
      </c>
      <c r="L6621">
        <v>3102.24421602558</v>
      </c>
      <c r="M6621">
        <v>58.348193782326298</v>
      </c>
      <c r="N6621">
        <v>53.9828792718641</v>
      </c>
      <c r="O6621">
        <v>53.105444081838201</v>
      </c>
      <c r="P6621">
        <v>-0.19424994461744299</v>
      </c>
      <c r="Q6621">
        <v>0.29281622755874498</v>
      </c>
      <c r="R6621">
        <v>0.99008055820654595</v>
      </c>
      <c r="S6621" t="s">
        <v>13267</v>
      </c>
      <c r="T6621" t="s">
        <v>13290</v>
      </c>
      <c r="U6621" t="s">
        <v>13290</v>
      </c>
      <c r="V6621" t="s">
        <v>13290</v>
      </c>
      <c r="W6621" t="s">
        <v>19855</v>
      </c>
      <c r="X6621">
        <v>42</v>
      </c>
      <c r="Y6621" t="s">
        <v>26309</v>
      </c>
      <c r="Z6621" t="s">
        <v>32951</v>
      </c>
      <c r="AA6621">
        <v>0.60443372629634617</v>
      </c>
      <c r="AB6621" t="str">
        <f>HYPERLINK("Melting_Curves/meltCurve_Q9Y6N7_4_ROBO1.pdf", "Melting_Curves/meltCurve_Q9Y6N7_4_ROBO1.pdf")</f>
        <v>Melting_Curves/meltCurve_Q9Y6N7_4_ROBO1.pdf</v>
      </c>
    </row>
    <row r="6622" spans="1:28" x14ac:dyDescent="0.25">
      <c r="A6622" t="s">
        <v>6626</v>
      </c>
      <c r="B6622">
        <v>0.99252571173614901</v>
      </c>
      <c r="C6622">
        <v>0.88051737670994101</v>
      </c>
      <c r="D6622">
        <v>0.84864427884455595</v>
      </c>
      <c r="E6622">
        <v>0.47698518806643603</v>
      </c>
      <c r="F6622">
        <v>0.39886370431392798</v>
      </c>
      <c r="G6622">
        <v>0.20388219541616101</v>
      </c>
      <c r="H6622">
        <v>9.9461914389435399E-2</v>
      </c>
      <c r="I6622">
        <v>7.2231732423787595E-2</v>
      </c>
      <c r="J6622">
        <v>7.3254682781078898E-2</v>
      </c>
      <c r="K6622">
        <v>6.3371473537388798E-2</v>
      </c>
      <c r="L6622">
        <v>685.92354474250703</v>
      </c>
      <c r="M6622">
        <v>13.6650701058099</v>
      </c>
      <c r="N6622">
        <v>50.4798998042112</v>
      </c>
      <c r="O6622">
        <v>49.157058215965201</v>
      </c>
      <c r="P6622">
        <v>-6.6930976298741202E-2</v>
      </c>
      <c r="Q6622">
        <v>3.7063072545209901E-2</v>
      </c>
      <c r="R6622">
        <v>0.98705516626031398</v>
      </c>
      <c r="S6622" t="s">
        <v>13268</v>
      </c>
      <c r="T6622" t="s">
        <v>13290</v>
      </c>
      <c r="U6622" t="s">
        <v>13290</v>
      </c>
      <c r="V6622" t="s">
        <v>13290</v>
      </c>
      <c r="W6622" t="s">
        <v>19856</v>
      </c>
      <c r="X6622">
        <v>9</v>
      </c>
      <c r="Y6622" t="s">
        <v>26310</v>
      </c>
      <c r="Z6622" t="s">
        <v>32952</v>
      </c>
      <c r="AA6622">
        <v>0.39107121567677938</v>
      </c>
      <c r="AB6622" t="str">
        <f>HYPERLINK("Melting_Curves/meltCurve_Q9Y6Q5_AP1M2.pdf", "Melting_Curves/meltCurve_Q9Y6Q5_AP1M2.pdf")</f>
        <v>Melting_Curves/meltCurve_Q9Y6Q5_AP1M2.pdf</v>
      </c>
    </row>
    <row r="6623" spans="1:28" x14ac:dyDescent="0.25">
      <c r="A6623" t="s">
        <v>6627</v>
      </c>
      <c r="B6623">
        <v>0.99252571173614901</v>
      </c>
      <c r="C6623">
        <v>0.94796308019428599</v>
      </c>
      <c r="D6623">
        <v>0.76310214655893704</v>
      </c>
      <c r="E6623">
        <v>0.33868004131518797</v>
      </c>
      <c r="F6623">
        <v>0.181676516198119</v>
      </c>
      <c r="G6623">
        <v>0.10248661093913999</v>
      </c>
      <c r="H6623">
        <v>4.8054607020628498E-2</v>
      </c>
      <c r="I6623">
        <v>5.8791805178358497E-2</v>
      </c>
      <c r="J6623">
        <v>7.6683217191464106E-2</v>
      </c>
      <c r="K6623">
        <v>5.4959051160505701E-2</v>
      </c>
      <c r="L6623">
        <v>1127.9646425774299</v>
      </c>
      <c r="M6623">
        <v>23.502024709507801</v>
      </c>
      <c r="N6623">
        <v>48.277633759029897</v>
      </c>
      <c r="O6623">
        <v>47.650929682850602</v>
      </c>
      <c r="P6623">
        <v>-0.11536320794385201</v>
      </c>
      <c r="Q6623">
        <v>6.4409170772723207E-2</v>
      </c>
      <c r="R6623">
        <v>0.99799975466082103</v>
      </c>
      <c r="S6623" t="s">
        <v>13269</v>
      </c>
      <c r="T6623" t="s">
        <v>13290</v>
      </c>
      <c r="U6623" t="s">
        <v>13290</v>
      </c>
      <c r="V6623" t="s">
        <v>13290</v>
      </c>
      <c r="W6623" t="s">
        <v>19857</v>
      </c>
      <c r="X6623">
        <v>2</v>
      </c>
      <c r="Y6623" t="s">
        <v>26311</v>
      </c>
      <c r="Z6623" t="s">
        <v>32953</v>
      </c>
      <c r="AA6623">
        <v>0.32315539107921959</v>
      </c>
      <c r="AB6623" t="str">
        <f>HYPERLINK("Melting_Curves/meltCurve_Q9Y6Q9_2_NCOA3.pdf", "Melting_Curves/meltCurve_Q9Y6Q9_2_NCOA3.pdf")</f>
        <v>Melting_Curves/meltCurve_Q9Y6Q9_2_NCOA3.pdf</v>
      </c>
    </row>
    <row r="6624" spans="1:28" x14ac:dyDescent="0.25">
      <c r="A6624" t="s">
        <v>6628</v>
      </c>
      <c r="B6624">
        <v>0.99252571173614901</v>
      </c>
      <c r="C6624">
        <v>1.0590909660359</v>
      </c>
      <c r="D6624">
        <v>0.85502920726353204</v>
      </c>
      <c r="E6624">
        <v>0.42904855834557198</v>
      </c>
      <c r="F6624">
        <v>0.28692293573046701</v>
      </c>
      <c r="G6624">
        <v>0.14547091012194199</v>
      </c>
      <c r="H6624">
        <v>0.121201113234965</v>
      </c>
      <c r="I6624">
        <v>0.12562903512188001</v>
      </c>
      <c r="J6624">
        <v>0.13789924275018001</v>
      </c>
      <c r="K6624">
        <v>0.128945995988164</v>
      </c>
      <c r="L6624">
        <v>1307.3717146306401</v>
      </c>
      <c r="M6624">
        <v>26.8494389052873</v>
      </c>
      <c r="N6624">
        <v>49.275049897352901</v>
      </c>
      <c r="O6624">
        <v>48.4250062690748</v>
      </c>
      <c r="P6624">
        <v>-0.11977030418290401</v>
      </c>
      <c r="Q6624">
        <v>0.13594954459120501</v>
      </c>
      <c r="R6624">
        <v>0.99007243447168103</v>
      </c>
      <c r="S6624" t="s">
        <v>13270</v>
      </c>
      <c r="T6624" t="s">
        <v>13290</v>
      </c>
      <c r="U6624" t="s">
        <v>13290</v>
      </c>
      <c r="V6624" t="s">
        <v>13290</v>
      </c>
      <c r="W6624" t="s">
        <v>19858</v>
      </c>
      <c r="X6624">
        <v>6</v>
      </c>
      <c r="Y6624" t="s">
        <v>26312</v>
      </c>
      <c r="Z6624" t="s">
        <v>32954</v>
      </c>
      <c r="AA6624">
        <v>0.39290529630288712</v>
      </c>
      <c r="AB6624" t="str">
        <f>HYPERLINK("Melting_Curves/meltCurve_Q9Y6U3_SCIN.pdf", "Melting_Curves/meltCurve_Q9Y6U3_SCIN.pdf")</f>
        <v>Melting_Curves/meltCurve_Q9Y6U3_SCIN.pdf</v>
      </c>
    </row>
    <row r="6625" spans="1:28" x14ac:dyDescent="0.25">
      <c r="A6625" t="s">
        <v>6629</v>
      </c>
      <c r="B6625">
        <v>0.99252571173614901</v>
      </c>
      <c r="C6625">
        <v>1.05200657084627</v>
      </c>
      <c r="D6625">
        <v>1.00138896278099</v>
      </c>
      <c r="E6625">
        <v>0.661981005708842</v>
      </c>
      <c r="F6625">
        <v>0.38699172001255899</v>
      </c>
      <c r="G6625">
        <v>0.129669592322434</v>
      </c>
      <c r="H6625">
        <v>7.5742793756708005E-2</v>
      </c>
      <c r="I6625">
        <v>5.6160327768488401E-2</v>
      </c>
      <c r="J6625">
        <v>6.9736694673905197E-2</v>
      </c>
      <c r="K6625">
        <v>7.6590291608073693E-2</v>
      </c>
      <c r="L6625">
        <v>1212.9718159306599</v>
      </c>
      <c r="M6625">
        <v>23.632175447726802</v>
      </c>
      <c r="N6625">
        <v>51.609137676201499</v>
      </c>
      <c r="O6625">
        <v>50.9638390388454</v>
      </c>
      <c r="P6625">
        <v>-0.10890659919914</v>
      </c>
      <c r="Q6625">
        <v>6.0568014750571997E-2</v>
      </c>
      <c r="R6625">
        <v>0.99269763450010795</v>
      </c>
      <c r="S6625" t="s">
        <v>13271</v>
      </c>
      <c r="T6625" t="s">
        <v>13290</v>
      </c>
      <c r="U6625" t="s">
        <v>13290</v>
      </c>
      <c r="V6625" t="s">
        <v>13290</v>
      </c>
      <c r="W6625" t="s">
        <v>19859</v>
      </c>
      <c r="X6625">
        <v>11</v>
      </c>
      <c r="Y6625" t="s">
        <v>26313</v>
      </c>
      <c r="Z6625" t="s">
        <v>32955</v>
      </c>
      <c r="AA6625">
        <v>0.42477153794675709</v>
      </c>
      <c r="AB6625" t="str">
        <f>HYPERLINK("Melting_Curves/meltCurve_Q9Y6V7_DDX49.pdf", "Melting_Curves/meltCurve_Q9Y6V7_DDX49.pdf")</f>
        <v>Melting_Curves/meltCurve_Q9Y6V7_DDX49.pdf</v>
      </c>
    </row>
    <row r="6626" spans="1:28" x14ac:dyDescent="0.25">
      <c r="A6626" t="s">
        <v>6630</v>
      </c>
      <c r="B6626">
        <v>0.99252571173614901</v>
      </c>
      <c r="C6626">
        <v>0.94548895206844397</v>
      </c>
      <c r="D6626">
        <v>0.85440070316846894</v>
      </c>
      <c r="E6626">
        <v>0.495647302621888</v>
      </c>
      <c r="F6626">
        <v>0.25571487127301401</v>
      </c>
      <c r="G6626">
        <v>0.148446530926123</v>
      </c>
      <c r="H6626">
        <v>0.108522528182582</v>
      </c>
      <c r="I6626">
        <v>0.115242117131201</v>
      </c>
      <c r="J6626">
        <v>0.107027448108255</v>
      </c>
      <c r="K6626">
        <v>8.5959712930428298E-2</v>
      </c>
      <c r="L6626">
        <v>1067.09672511487</v>
      </c>
      <c r="M6626">
        <v>21.6943573146484</v>
      </c>
      <c r="N6626">
        <v>49.6959423432683</v>
      </c>
      <c r="O6626">
        <v>48.775536187796902</v>
      </c>
      <c r="P6626">
        <v>-0.10013557570706499</v>
      </c>
      <c r="Q6626">
        <v>9.9479914294307997E-2</v>
      </c>
      <c r="R6626">
        <v>0.99897759341731596</v>
      </c>
      <c r="S6626" t="s">
        <v>13272</v>
      </c>
      <c r="T6626" t="s">
        <v>13290</v>
      </c>
      <c r="U6626" t="s">
        <v>13290</v>
      </c>
      <c r="V6626" t="s">
        <v>13290</v>
      </c>
      <c r="W6626" t="s">
        <v>19860</v>
      </c>
      <c r="X6626">
        <v>13</v>
      </c>
      <c r="Y6626" t="s">
        <v>26314</v>
      </c>
      <c r="Z6626" t="s">
        <v>32956</v>
      </c>
      <c r="AA6626">
        <v>0.38595123155094391</v>
      </c>
      <c r="AB6626" t="str">
        <f>HYPERLINK("Melting_Curves/meltCurve_Q9Y6W3_CAPN7.pdf", "Melting_Curves/meltCurve_Q9Y6W3_CAPN7.pdf")</f>
        <v>Melting_Curves/meltCurve_Q9Y6W3_CAPN7.pdf</v>
      </c>
    </row>
    <row r="6627" spans="1:28" x14ac:dyDescent="0.25">
      <c r="A6627" t="s">
        <v>6631</v>
      </c>
      <c r="B6627">
        <v>0.99252571173614901</v>
      </c>
      <c r="C6627">
        <v>0.93188844098317702</v>
      </c>
      <c r="D6627">
        <v>1.20241091806608</v>
      </c>
      <c r="E6627">
        <v>1.1785472393201399</v>
      </c>
      <c r="F6627">
        <v>0.84595004314824196</v>
      </c>
      <c r="G6627">
        <v>0.78694818141120504</v>
      </c>
      <c r="H6627">
        <v>0.77354956126395302</v>
      </c>
      <c r="I6627">
        <v>0.811485122239061</v>
      </c>
      <c r="J6627">
        <v>0.95566727310777599</v>
      </c>
      <c r="K6627">
        <v>0.98554170450120804</v>
      </c>
      <c r="L6627">
        <v>6451.3256041047098</v>
      </c>
      <c r="M6627">
        <v>124.47481278014099</v>
      </c>
      <c r="O6627">
        <v>51.814987063450097</v>
      </c>
      <c r="P6627">
        <v>-8.4571986317190401E-2</v>
      </c>
      <c r="Q6627">
        <v>0.85918126944260897</v>
      </c>
      <c r="R6627">
        <v>0.42902392055789101</v>
      </c>
      <c r="S6627" t="s">
        <v>13273</v>
      </c>
      <c r="T6627" t="s">
        <v>13290</v>
      </c>
      <c r="U6627" t="s">
        <v>13290</v>
      </c>
      <c r="V6627" t="s">
        <v>13290</v>
      </c>
      <c r="W6627" t="s">
        <v>19861</v>
      </c>
      <c r="X6627">
        <v>10</v>
      </c>
      <c r="Y6627" t="s">
        <v>26315</v>
      </c>
      <c r="Z6627" t="s">
        <v>32957</v>
      </c>
      <c r="AA6627">
        <v>0.91475480050169178</v>
      </c>
      <c r="AB6627" t="str">
        <f>HYPERLINK("Melting_Curves/meltCurve_Q9Y6W5_WASF2.pdf", "Melting_Curves/meltCurve_Q9Y6W5_WASF2.pdf")</f>
        <v>Melting_Curves/meltCurve_Q9Y6W5_WASF2.pdf</v>
      </c>
    </row>
    <row r="6628" spans="1:28" x14ac:dyDescent="0.25">
      <c r="A6628" t="s">
        <v>6632</v>
      </c>
      <c r="B6628">
        <v>0.99252571173614901</v>
      </c>
      <c r="C6628">
        <v>1.01186329806575</v>
      </c>
      <c r="D6628">
        <v>0.96826464674249801</v>
      </c>
      <c r="E6628">
        <v>0.80235429925176904</v>
      </c>
      <c r="F6628">
        <v>0.75169583925999295</v>
      </c>
      <c r="G6628">
        <v>0.591877647162663</v>
      </c>
      <c r="H6628">
        <v>0.48960461614648398</v>
      </c>
      <c r="I6628">
        <v>0.50729080049268105</v>
      </c>
      <c r="J6628">
        <v>0.65331730087216999</v>
      </c>
      <c r="K6628">
        <v>0.43525764183425603</v>
      </c>
      <c r="L6628">
        <v>888.02483726492596</v>
      </c>
      <c r="M6628">
        <v>17.096143862252401</v>
      </c>
      <c r="O6628">
        <v>51.247919904880497</v>
      </c>
      <c r="P6628">
        <v>-4.1152362422409897E-2</v>
      </c>
      <c r="Q6628">
        <v>0.50659153985419403</v>
      </c>
      <c r="R6628">
        <v>0.92247285148059099</v>
      </c>
      <c r="S6628" t="s">
        <v>13274</v>
      </c>
      <c r="T6628" t="s">
        <v>13290</v>
      </c>
      <c r="U6628" t="s">
        <v>13290</v>
      </c>
      <c r="V6628" t="s">
        <v>13290</v>
      </c>
      <c r="W6628" t="s">
        <v>19862</v>
      </c>
      <c r="X6628">
        <v>10</v>
      </c>
      <c r="Y6628" t="s">
        <v>26316</v>
      </c>
      <c r="Z6628" t="s">
        <v>32958</v>
      </c>
      <c r="AA6628">
        <v>0.71198123995918039</v>
      </c>
      <c r="AB6628" t="str">
        <f>HYPERLINK("Melting_Curves/meltCurve_Q9Y6X5_ENPP4.pdf", "Melting_Curves/meltCurve_Q9Y6X5_ENPP4.pdf")</f>
        <v>Melting_Curves/meltCurve_Q9Y6X5_ENPP4.pdf</v>
      </c>
    </row>
    <row r="6629" spans="1:28" x14ac:dyDescent="0.25">
      <c r="A6629" t="s">
        <v>6633</v>
      </c>
      <c r="B6629">
        <v>0.99252571173614901</v>
      </c>
      <c r="C6629">
        <v>0.94090875614263103</v>
      </c>
      <c r="D6629">
        <v>0.60277442604390796</v>
      </c>
      <c r="E6629">
        <v>0.30221020580271801</v>
      </c>
      <c r="F6629">
        <v>0.18855022484026801</v>
      </c>
      <c r="G6629">
        <v>0.106189049738544</v>
      </c>
      <c r="H6629">
        <v>8.89523648969157E-2</v>
      </c>
      <c r="I6629">
        <v>9.13843254466572E-2</v>
      </c>
      <c r="J6629">
        <v>0.12640051519435699</v>
      </c>
      <c r="K6629">
        <v>0.122886087168916</v>
      </c>
      <c r="L6629">
        <v>1103.38993711431</v>
      </c>
      <c r="M6629">
        <v>23.6302702136779</v>
      </c>
      <c r="N6629">
        <v>47.1900210053726</v>
      </c>
      <c r="O6629">
        <v>46.363372842032199</v>
      </c>
      <c r="P6629">
        <v>-0.113406925260827</v>
      </c>
      <c r="Q6629">
        <v>0.109982463395165</v>
      </c>
      <c r="R6629">
        <v>0.99526324445858005</v>
      </c>
      <c r="S6629" t="s">
        <v>13275</v>
      </c>
      <c r="T6629" t="s">
        <v>13290</v>
      </c>
      <c r="U6629" t="s">
        <v>13290</v>
      </c>
      <c r="V6629" t="s">
        <v>13290</v>
      </c>
      <c r="W6629" t="s">
        <v>19863</v>
      </c>
      <c r="X6629">
        <v>7</v>
      </c>
      <c r="Y6629" t="s">
        <v>26317</v>
      </c>
      <c r="Z6629" t="s">
        <v>32959</v>
      </c>
      <c r="AA6629">
        <v>0.31765343684853348</v>
      </c>
      <c r="AB6629" t="str">
        <f>HYPERLINK("Melting_Curves/meltCurve_Q9Y6X8_ZHX2.pdf", "Melting_Curves/meltCurve_Q9Y6X8_ZHX2.pdf")</f>
        <v>Melting_Curves/meltCurve_Q9Y6X8_ZHX2.pdf</v>
      </c>
    </row>
    <row r="6630" spans="1:28" x14ac:dyDescent="0.25">
      <c r="A6630" t="s">
        <v>6634</v>
      </c>
      <c r="B6630">
        <v>0.99252571173614901</v>
      </c>
      <c r="C6630">
        <v>0.97181373987608</v>
      </c>
      <c r="D6630">
        <v>0.71681603447209497</v>
      </c>
      <c r="E6630">
        <v>0.28864901673443799</v>
      </c>
      <c r="F6630">
        <v>0.20165495113441001</v>
      </c>
      <c r="G6630">
        <v>0.117499771718728</v>
      </c>
      <c r="H6630">
        <v>8.5525061482060002E-2</v>
      </c>
      <c r="I6630">
        <v>8.6016446138003397E-2</v>
      </c>
      <c r="J6630">
        <v>9.3853182325531706E-2</v>
      </c>
      <c r="K6630">
        <v>9.6649316238601499E-2</v>
      </c>
      <c r="L6630">
        <v>1260.3487607186401</v>
      </c>
      <c r="M6630">
        <v>26.6097473976277</v>
      </c>
      <c r="N6630">
        <v>47.766966970311501</v>
      </c>
      <c r="O6630">
        <v>47.099082685793398</v>
      </c>
      <c r="P6630">
        <v>-0.12705032224955801</v>
      </c>
      <c r="Q6630">
        <v>0.100496007663134</v>
      </c>
      <c r="R6630">
        <v>0.99632142584796102</v>
      </c>
      <c r="S6630" t="s">
        <v>13276</v>
      </c>
      <c r="T6630" t="s">
        <v>13290</v>
      </c>
      <c r="U6630" t="s">
        <v>13290</v>
      </c>
      <c r="V6630" t="s">
        <v>13290</v>
      </c>
      <c r="W6630" t="s">
        <v>19864</v>
      </c>
      <c r="X6630">
        <v>17</v>
      </c>
      <c r="Y6630" t="s">
        <v>26318</v>
      </c>
      <c r="Z6630" t="s">
        <v>32960</v>
      </c>
      <c r="AA6630">
        <v>0.32827472675556002</v>
      </c>
      <c r="AB6630" t="str">
        <f>HYPERLINK("Melting_Curves/meltCurve_Q9Y6X9_MORC2.pdf", "Melting_Curves/meltCurve_Q9Y6X9_MORC2.pdf")</f>
        <v>Melting_Curves/meltCurve_Q9Y6X9_MORC2.pdf</v>
      </c>
    </row>
    <row r="6631" spans="1:28" x14ac:dyDescent="0.25">
      <c r="A6631" t="s">
        <v>6635</v>
      </c>
      <c r="B6631">
        <v>0.99252571173614901</v>
      </c>
      <c r="C6631">
        <v>0.96765643656078304</v>
      </c>
      <c r="D6631">
        <v>0.82448137506714703</v>
      </c>
      <c r="E6631">
        <v>0.57676661435349297</v>
      </c>
      <c r="F6631">
        <v>0.120917944377225</v>
      </c>
      <c r="G6631">
        <v>7.1697569525319305E-2</v>
      </c>
      <c r="H6631">
        <v>5.6897575010913103E-2</v>
      </c>
      <c r="I6631">
        <v>6.5166123597373005E-2</v>
      </c>
      <c r="J6631">
        <v>0.119038992398755</v>
      </c>
      <c r="K6631">
        <v>0.115470892272032</v>
      </c>
      <c r="L6631">
        <v>1360.1002566776699</v>
      </c>
      <c r="M6631">
        <v>27.513154116329702</v>
      </c>
      <c r="N6631">
        <v>49.716296955074398</v>
      </c>
      <c r="O6631">
        <v>49.175600583585698</v>
      </c>
      <c r="P6631">
        <v>-0.12977638148236301</v>
      </c>
      <c r="Q6631">
        <v>7.2185935121704806E-2</v>
      </c>
      <c r="R6631">
        <v>0.98712226980739803</v>
      </c>
      <c r="S6631" t="s">
        <v>13277</v>
      </c>
      <c r="T6631" t="s">
        <v>13290</v>
      </c>
      <c r="U6631" t="s">
        <v>13290</v>
      </c>
      <c r="V6631" t="s">
        <v>13290</v>
      </c>
      <c r="W6631" t="s">
        <v>19865</v>
      </c>
      <c r="X6631">
        <v>1</v>
      </c>
      <c r="Y6631" t="s">
        <v>26319</v>
      </c>
      <c r="Z6631" t="s">
        <v>32961</v>
      </c>
      <c r="AA6631">
        <v>0.37075430955535083</v>
      </c>
      <c r="AB6631" t="str">
        <f>HYPERLINK("Melting_Curves/meltCurve_R4GMN1_MOSPD2.pdf", "Melting_Curves/meltCurve_R4GMN1_MOSPD2.pdf")</f>
        <v>Melting_Curves/meltCurve_R4GMN1_MOSPD2.pdf</v>
      </c>
    </row>
    <row r="6632" spans="1:28" x14ac:dyDescent="0.25">
      <c r="A6632" t="s">
        <v>6636</v>
      </c>
      <c r="B6632">
        <v>0.99252571173614901</v>
      </c>
      <c r="C6632">
        <v>0.87094535651541405</v>
      </c>
      <c r="D6632">
        <v>1.0148269395488001</v>
      </c>
      <c r="E6632">
        <v>0.83497162624630905</v>
      </c>
      <c r="F6632">
        <v>0.90163585984158401</v>
      </c>
      <c r="G6632">
        <v>0.54619846344267997</v>
      </c>
      <c r="H6632">
        <v>0.19194615928495101</v>
      </c>
      <c r="I6632">
        <v>0.14492643713526901</v>
      </c>
      <c r="J6632">
        <v>0.137978194767582</v>
      </c>
      <c r="K6632">
        <v>8.8489353819304603E-2</v>
      </c>
      <c r="L6632">
        <v>1533.15491003906</v>
      </c>
      <c r="M6632">
        <v>27.038589765404598</v>
      </c>
      <c r="N6632">
        <v>57.159404043353703</v>
      </c>
      <c r="O6632">
        <v>56.395035612747499</v>
      </c>
      <c r="P6632">
        <v>-0.108213956243153</v>
      </c>
      <c r="Q6632">
        <v>9.7191110166684705E-2</v>
      </c>
      <c r="R6632">
        <v>0.97014965702356204</v>
      </c>
      <c r="S6632" t="s">
        <v>13278</v>
      </c>
      <c r="T6632" t="s">
        <v>13290</v>
      </c>
      <c r="U6632" t="s">
        <v>13290</v>
      </c>
      <c r="V6632" t="s">
        <v>13290</v>
      </c>
      <c r="W6632" t="s">
        <v>19866</v>
      </c>
      <c r="X6632">
        <v>8</v>
      </c>
      <c r="Y6632" t="s">
        <v>26320</v>
      </c>
      <c r="Z6632" t="s">
        <v>32962</v>
      </c>
      <c r="AA6632">
        <v>0.60703597431121847</v>
      </c>
      <c r="AB6632" t="str">
        <f>HYPERLINK("Melting_Curves/meltCurve_R4GMR5_PSMD8.pdf", "Melting_Curves/meltCurve_R4GMR5_PSMD8.pdf")</f>
        <v>Melting_Curves/meltCurve_R4GMR5_PSMD8.pdf</v>
      </c>
    </row>
    <row r="6633" spans="1:28" x14ac:dyDescent="0.25">
      <c r="A6633" t="s">
        <v>6637</v>
      </c>
      <c r="B6633">
        <v>0.99252571173614901</v>
      </c>
      <c r="C6633">
        <v>0.932534185368321</v>
      </c>
      <c r="D6633">
        <v>0.98761152166233601</v>
      </c>
      <c r="E6633">
        <v>0.71577585948253097</v>
      </c>
      <c r="F6633">
        <v>0.313175019137236</v>
      </c>
      <c r="G6633">
        <v>0.208032080919833</v>
      </c>
      <c r="H6633">
        <v>0.16825163590549899</v>
      </c>
      <c r="I6633">
        <v>0.18058647816955301</v>
      </c>
      <c r="J6633">
        <v>0.24276138863208799</v>
      </c>
      <c r="K6633">
        <v>0.24270152335829101</v>
      </c>
      <c r="L6633">
        <v>1848.77278490037</v>
      </c>
      <c r="M6633">
        <v>36.676689775551601</v>
      </c>
      <c r="N6633">
        <v>51.150119156013702</v>
      </c>
      <c r="O6633">
        <v>50.258135082516802</v>
      </c>
      <c r="P6633">
        <v>-0.14477296170620099</v>
      </c>
      <c r="Q6633">
        <v>0.20647154546521401</v>
      </c>
      <c r="R6633">
        <v>0.99186144757819406</v>
      </c>
      <c r="S6633" t="s">
        <v>13279</v>
      </c>
      <c r="T6633" t="s">
        <v>13290</v>
      </c>
      <c r="U6633" t="s">
        <v>13290</v>
      </c>
      <c r="V6633" t="s">
        <v>13290</v>
      </c>
      <c r="W6633" t="s">
        <v>19867</v>
      </c>
      <c r="X6633">
        <v>14</v>
      </c>
      <c r="Y6633" t="s">
        <v>26321</v>
      </c>
      <c r="Z6633" t="s">
        <v>32963</v>
      </c>
      <c r="AA6633">
        <v>0.48504851355149348</v>
      </c>
      <c r="AB6633" t="str">
        <f>HYPERLINK("Melting_Curves/meltCurve_R4GMU1_H6PD.pdf", "Melting_Curves/meltCurve_R4GMU1_H6PD.pdf")</f>
        <v>Melting_Curves/meltCurve_R4GMU1_H6PD.pdf</v>
      </c>
    </row>
    <row r="6634" spans="1:28" x14ac:dyDescent="0.25">
      <c r="A6634" t="s">
        <v>6638</v>
      </c>
      <c r="B6634">
        <v>0.99252571173614901</v>
      </c>
      <c r="C6634">
        <v>0.97810959354180205</v>
      </c>
      <c r="D6634">
        <v>0.79787610258145003</v>
      </c>
      <c r="E6634">
        <v>0.39073239224545098</v>
      </c>
      <c r="F6634">
        <v>0.19953039734505401</v>
      </c>
      <c r="G6634">
        <v>0.11090517758751101</v>
      </c>
      <c r="H6634">
        <v>6.9516962333203994E-2</v>
      </c>
      <c r="I6634">
        <v>5.4602214597845998E-2</v>
      </c>
      <c r="J6634">
        <v>6.2631045821802206E-2</v>
      </c>
      <c r="K6634">
        <v>6.0641389643476401E-2</v>
      </c>
      <c r="L6634">
        <v>1124.2770679901901</v>
      </c>
      <c r="M6634">
        <v>23.1906027715108</v>
      </c>
      <c r="N6634">
        <v>48.774662953435303</v>
      </c>
      <c r="O6634">
        <v>48.1236786263946</v>
      </c>
      <c r="P6634">
        <v>-0.112597606918386</v>
      </c>
      <c r="Q6634">
        <v>6.5394934617171704E-2</v>
      </c>
      <c r="R6634">
        <v>0.99837305827491496</v>
      </c>
      <c r="S6634" t="s">
        <v>13280</v>
      </c>
      <c r="T6634" t="s">
        <v>13290</v>
      </c>
      <c r="U6634" t="s">
        <v>13290</v>
      </c>
      <c r="V6634" t="s">
        <v>13290</v>
      </c>
      <c r="W6634" t="s">
        <v>19868</v>
      </c>
      <c r="X6634">
        <v>7</v>
      </c>
      <c r="Y6634" t="s">
        <v>26322</v>
      </c>
      <c r="Z6634" t="s">
        <v>32964</v>
      </c>
      <c r="AA6634">
        <v>0.33924095882135402</v>
      </c>
      <c r="AB6634" t="str">
        <f>HYPERLINK("Melting_Curves/meltCurve_R4GMX3_BMI1.pdf", "Melting_Curves/meltCurve_R4GMX3_BMI1.pdf")</f>
        <v>Melting_Curves/meltCurve_R4GMX3_BMI1.pdf</v>
      </c>
    </row>
    <row r="6635" spans="1:28" x14ac:dyDescent="0.25">
      <c r="A6635" t="s">
        <v>6639</v>
      </c>
      <c r="B6635">
        <v>0.99252571173614901</v>
      </c>
      <c r="C6635">
        <v>0.95886699151747401</v>
      </c>
      <c r="D6635">
        <v>0.92137180724078005</v>
      </c>
      <c r="E6635">
        <v>0.77581484266832701</v>
      </c>
      <c r="F6635">
        <v>0.59009865685403295</v>
      </c>
      <c r="G6635">
        <v>0.34863198406221402</v>
      </c>
      <c r="H6635">
        <v>0.32278238808556797</v>
      </c>
      <c r="I6635">
        <v>0.30433946378071502</v>
      </c>
      <c r="J6635">
        <v>0.33352734905600501</v>
      </c>
      <c r="K6635">
        <v>0.42790097512837599</v>
      </c>
      <c r="L6635">
        <v>1101.7069276124901</v>
      </c>
      <c r="M6635">
        <v>21.4927192393444</v>
      </c>
      <c r="N6635">
        <v>54.009106338017901</v>
      </c>
      <c r="O6635">
        <v>50.821971414852797</v>
      </c>
      <c r="P6635">
        <v>-7.0563718795800104E-2</v>
      </c>
      <c r="Q6635">
        <v>0.33259262290847003</v>
      </c>
      <c r="R6635">
        <v>0.97529889115712998</v>
      </c>
      <c r="S6635" t="s">
        <v>13281</v>
      </c>
      <c r="T6635" t="s">
        <v>13290</v>
      </c>
      <c r="U6635" t="s">
        <v>13290</v>
      </c>
      <c r="V6635" t="s">
        <v>13290</v>
      </c>
      <c r="W6635" t="s">
        <v>19869</v>
      </c>
      <c r="X6635">
        <v>2</v>
      </c>
      <c r="Y6635" t="s">
        <v>26323</v>
      </c>
      <c r="Z6635" t="s">
        <v>32965</v>
      </c>
      <c r="AA6635">
        <v>0.59117367803776777</v>
      </c>
      <c r="AB6635" t="str">
        <f>HYPERLINK("Melting_Curves/meltCurve_R4GMX8_RANBP10.pdf", "Melting_Curves/meltCurve_R4GMX8_RANBP10.pdf")</f>
        <v>Melting_Curves/meltCurve_R4GMX8_RANBP10.pdf</v>
      </c>
    </row>
    <row r="6636" spans="1:28" x14ac:dyDescent="0.25">
      <c r="A6636" t="s">
        <v>6640</v>
      </c>
      <c r="B6636">
        <v>0.99252571173614901</v>
      </c>
      <c r="C6636">
        <v>0.96434425854039196</v>
      </c>
      <c r="D6636">
        <v>0.88849603447653303</v>
      </c>
      <c r="E6636">
        <v>0.71946809772998699</v>
      </c>
      <c r="F6636">
        <v>0.36831822277036003</v>
      </c>
      <c r="G6636">
        <v>0.19790468385067</v>
      </c>
      <c r="H6636">
        <v>0.14990140372757099</v>
      </c>
      <c r="I6636">
        <v>0.163434645365135</v>
      </c>
      <c r="J6636">
        <v>0.24159902980176601</v>
      </c>
      <c r="K6636">
        <v>0.21953505215177899</v>
      </c>
      <c r="L6636">
        <v>1282.78808182732</v>
      </c>
      <c r="M6636">
        <v>25.350371283609999</v>
      </c>
      <c r="N6636">
        <v>51.529275721567203</v>
      </c>
      <c r="O6636">
        <v>50.290603141576703</v>
      </c>
      <c r="P6636">
        <v>-0.10294681077852599</v>
      </c>
      <c r="Q6636">
        <v>0.18309814529150201</v>
      </c>
      <c r="R6636">
        <v>0.98928097117805502</v>
      </c>
      <c r="S6636" t="s">
        <v>13282</v>
      </c>
      <c r="T6636" t="s">
        <v>13290</v>
      </c>
      <c r="U6636" t="s">
        <v>13290</v>
      </c>
      <c r="V6636" t="s">
        <v>13290</v>
      </c>
      <c r="W6636" t="s">
        <v>19870</v>
      </c>
      <c r="X6636">
        <v>12</v>
      </c>
      <c r="Y6636" t="s">
        <v>26324</v>
      </c>
      <c r="Z6636" t="s">
        <v>32966</v>
      </c>
      <c r="AA6636">
        <v>0.47894808315182141</v>
      </c>
      <c r="AB6636" t="str">
        <f>HYPERLINK("Melting_Curves/meltCurve_R4GMZ0_PRSS56.pdf", "Melting_Curves/meltCurve_R4GMZ0_PRSS56.pdf")</f>
        <v>Melting_Curves/meltCurve_R4GMZ0_PRSS56.pdf</v>
      </c>
    </row>
    <row r="6637" spans="1:28" x14ac:dyDescent="0.25">
      <c r="A6637" t="s">
        <v>6641</v>
      </c>
      <c r="B6637">
        <v>0.99252571173614901</v>
      </c>
      <c r="C6637">
        <v>0.99013374362608497</v>
      </c>
      <c r="D6637">
        <v>0.84655956318832504</v>
      </c>
      <c r="E6637">
        <v>0.71696354336360602</v>
      </c>
      <c r="F6637">
        <v>0.75778650570101602</v>
      </c>
      <c r="G6637">
        <v>0.56721010363179603</v>
      </c>
      <c r="H6637">
        <v>0.40432577917567902</v>
      </c>
      <c r="I6637">
        <v>0.37863874736833603</v>
      </c>
      <c r="J6637">
        <v>0.56341630614345495</v>
      </c>
      <c r="K6637">
        <v>0.40813960909786401</v>
      </c>
      <c r="L6637">
        <v>592.03458878239599</v>
      </c>
      <c r="M6637">
        <v>11.414530284161501</v>
      </c>
      <c r="N6637">
        <v>60.063486740646198</v>
      </c>
      <c r="O6637">
        <v>50.351388090527898</v>
      </c>
      <c r="P6637">
        <v>-3.4315496835436998E-2</v>
      </c>
      <c r="Q6637">
        <v>0.39469178456076198</v>
      </c>
      <c r="R6637">
        <v>0.90420586284042004</v>
      </c>
      <c r="S6637" t="s">
        <v>13283</v>
      </c>
      <c r="T6637" t="s">
        <v>13290</v>
      </c>
      <c r="U6637" t="s">
        <v>13290</v>
      </c>
      <c r="V6637" t="s">
        <v>13290</v>
      </c>
      <c r="W6637" t="s">
        <v>19871</v>
      </c>
      <c r="X6637">
        <v>3</v>
      </c>
      <c r="Y6637" t="s">
        <v>26325</v>
      </c>
      <c r="Z6637" t="s">
        <v>32967</v>
      </c>
      <c r="AA6637">
        <v>0.65404841182657003</v>
      </c>
      <c r="AB6637" t="str">
        <f>HYPERLINK("Melting_Curves/meltCurve_R4GN50_PTP4A2.pdf", "Melting_Curves/meltCurve_R4GN50_PTP4A2.pdf")</f>
        <v>Melting_Curves/meltCurve_R4GN50_PTP4A2.pdf</v>
      </c>
    </row>
    <row r="6638" spans="1:28" x14ac:dyDescent="0.25">
      <c r="A6638" t="s">
        <v>6642</v>
      </c>
      <c r="B6638">
        <v>0.99252571173614901</v>
      </c>
      <c r="C6638">
        <v>0.99843687592020902</v>
      </c>
      <c r="D6638">
        <v>0.85630269474132703</v>
      </c>
      <c r="E6638">
        <v>0.75061496519872295</v>
      </c>
      <c r="F6638">
        <v>0.29210885339789899</v>
      </c>
      <c r="G6638">
        <v>0.13433699815018399</v>
      </c>
      <c r="H6638">
        <v>7.6831608092131104E-2</v>
      </c>
      <c r="I6638">
        <v>6.2751071583788495E-2</v>
      </c>
      <c r="J6638">
        <v>8.3909460372064898E-2</v>
      </c>
      <c r="K6638">
        <v>9.6047844244143296E-2</v>
      </c>
      <c r="L6638">
        <v>1311.5747306645801</v>
      </c>
      <c r="M6638">
        <v>25.678808514869701</v>
      </c>
      <c r="N6638">
        <v>51.384971550673399</v>
      </c>
      <c r="O6638">
        <v>50.769415401392003</v>
      </c>
      <c r="P6638">
        <v>-0.117408090059254</v>
      </c>
      <c r="Q6638">
        <v>7.1503962054509998E-2</v>
      </c>
      <c r="R6638">
        <v>0.99197587546607402</v>
      </c>
      <c r="S6638" t="s">
        <v>13284</v>
      </c>
      <c r="T6638" t="s">
        <v>13290</v>
      </c>
      <c r="U6638" t="s">
        <v>13290</v>
      </c>
      <c r="V6638" t="s">
        <v>13290</v>
      </c>
      <c r="W6638" t="s">
        <v>19872</v>
      </c>
      <c r="X6638">
        <v>13</v>
      </c>
      <c r="Y6638" t="s">
        <v>26326</v>
      </c>
      <c r="Z6638" t="s">
        <v>32968</v>
      </c>
      <c r="AA6638">
        <v>0.42227317797088859</v>
      </c>
      <c r="AB6638" t="str">
        <f>HYPERLINK("Melting_Curves/meltCurve_R4GN55_YTHDF3.pdf", "Melting_Curves/meltCurve_R4GN55_YTHDF3.pdf")</f>
        <v>Melting_Curves/meltCurve_R4GN55_YTHDF3.pdf</v>
      </c>
    </row>
    <row r="6639" spans="1:28" x14ac:dyDescent="0.25">
      <c r="A6639" t="s">
        <v>6643</v>
      </c>
      <c r="B6639">
        <v>0.99252571173614901</v>
      </c>
      <c r="C6639">
        <v>1.06450548798665</v>
      </c>
      <c r="D6639">
        <v>0.98404380200397401</v>
      </c>
      <c r="E6639">
        <v>0.94671986919742901</v>
      </c>
      <c r="F6639">
        <v>0.82483669520861802</v>
      </c>
      <c r="G6639">
        <v>0.66215928095010901</v>
      </c>
      <c r="H6639">
        <v>0.64507244537002895</v>
      </c>
      <c r="I6639">
        <v>0.755615408275224</v>
      </c>
      <c r="J6639">
        <v>0.98225696324939804</v>
      </c>
      <c r="K6639">
        <v>0.84567960240200502</v>
      </c>
      <c r="L6639">
        <v>2378.7840584821602</v>
      </c>
      <c r="M6639">
        <v>46.710773565524903</v>
      </c>
      <c r="O6639">
        <v>50.832735387264101</v>
      </c>
      <c r="P6639">
        <v>-5.0333823600350797E-2</v>
      </c>
      <c r="Q6639">
        <v>0.78089824827448995</v>
      </c>
      <c r="R6639">
        <v>0.57109786209745195</v>
      </c>
      <c r="S6639" t="s">
        <v>13285</v>
      </c>
      <c r="T6639" t="s">
        <v>13290</v>
      </c>
      <c r="U6639" t="s">
        <v>13290</v>
      </c>
      <c r="V6639" t="s">
        <v>13290</v>
      </c>
      <c r="W6639" t="s">
        <v>19873</v>
      </c>
      <c r="X6639">
        <v>11</v>
      </c>
      <c r="Y6639" t="s">
        <v>26327</v>
      </c>
      <c r="Z6639" t="s">
        <v>32969</v>
      </c>
      <c r="AA6639">
        <v>0.86125809931877984</v>
      </c>
      <c r="AB6639" t="str">
        <f>HYPERLINK("Melting_Curves/meltCurve_R4GN98_S100A6.pdf", "Melting_Curves/meltCurve_R4GN98_S100A6.pdf")</f>
        <v>Melting_Curves/meltCurve_R4GN98_S100A6.pdf</v>
      </c>
    </row>
    <row r="6640" spans="1:28" x14ac:dyDescent="0.25">
      <c r="A6640" t="s">
        <v>6644</v>
      </c>
      <c r="B6640">
        <v>0.99252571173614901</v>
      </c>
      <c r="C6640">
        <v>0.86905573175011697</v>
      </c>
      <c r="D6640">
        <v>0.77655963302059605</v>
      </c>
      <c r="E6640">
        <v>0.45185933649934001</v>
      </c>
      <c r="F6640">
        <v>0.20088101523208901</v>
      </c>
      <c r="G6640">
        <v>0.13135884963326999</v>
      </c>
      <c r="H6640">
        <v>0.103704803265857</v>
      </c>
      <c r="I6640">
        <v>0.107317207228211</v>
      </c>
      <c r="J6640">
        <v>0.12357447982228099</v>
      </c>
      <c r="K6640">
        <v>0.12032933055138301</v>
      </c>
      <c r="L6640">
        <v>948.654975799059</v>
      </c>
      <c r="M6640">
        <v>19.6451910591218</v>
      </c>
      <c r="N6640">
        <v>48.847875920230699</v>
      </c>
      <c r="O6640">
        <v>47.797412975526299</v>
      </c>
      <c r="P6640">
        <v>-9.2420858286715396E-2</v>
      </c>
      <c r="Q6640">
        <v>0.10057926050150801</v>
      </c>
      <c r="R6640">
        <v>0.99462659408612497</v>
      </c>
      <c r="S6640" t="s">
        <v>13286</v>
      </c>
      <c r="T6640" t="s">
        <v>13290</v>
      </c>
      <c r="U6640" t="s">
        <v>13290</v>
      </c>
      <c r="V6640" t="s">
        <v>13290</v>
      </c>
      <c r="W6640" t="s">
        <v>19874</v>
      </c>
      <c r="X6640">
        <v>10</v>
      </c>
      <c r="Y6640" t="s">
        <v>26328</v>
      </c>
      <c r="Z6640" t="s">
        <v>32970</v>
      </c>
      <c r="AA6640">
        <v>0.36230045818412709</v>
      </c>
      <c r="AB6640" t="str">
        <f>HYPERLINK("Melting_Curves/meltCurve_R4GNB2_DENND4C.pdf", "Melting_Curves/meltCurve_R4GNB2_DENND4C.pdf")</f>
        <v>Melting_Curves/meltCurve_R4GNB2_DENND4C.pdf</v>
      </c>
    </row>
    <row r="6641" spans="1:28" x14ac:dyDescent="0.25">
      <c r="A6641" t="s">
        <v>6645</v>
      </c>
      <c r="B6641">
        <v>0.99252571173614901</v>
      </c>
      <c r="C6641">
        <v>0.63491088724620803</v>
      </c>
      <c r="D6641">
        <v>0.34772260401798899</v>
      </c>
      <c r="E6641">
        <v>0.209300600980699</v>
      </c>
      <c r="F6641">
        <v>0.170160075278803</v>
      </c>
      <c r="G6641">
        <v>8.1814695955977304E-2</v>
      </c>
      <c r="H6641">
        <v>7.7625080605037006E-2</v>
      </c>
      <c r="I6641">
        <v>6.8923603564846503E-2</v>
      </c>
      <c r="J6641">
        <v>6.5537706125730205E-2</v>
      </c>
      <c r="K6641">
        <v>6.1218918310998002E-2</v>
      </c>
      <c r="L6641">
        <v>930.88908324663203</v>
      </c>
      <c r="M6641">
        <v>21.083003984151201</v>
      </c>
      <c r="N6641">
        <v>44.546214454539999</v>
      </c>
      <c r="O6641">
        <v>43.762070613656803</v>
      </c>
      <c r="P6641">
        <v>-0.110230191575121</v>
      </c>
      <c r="Q6641">
        <v>8.4803687173505296E-2</v>
      </c>
      <c r="R6641">
        <v>0.981419393673306</v>
      </c>
      <c r="S6641" t="s">
        <v>13287</v>
      </c>
      <c r="T6641" t="s">
        <v>13290</v>
      </c>
      <c r="U6641" t="s">
        <v>13290</v>
      </c>
      <c r="V6641" t="s">
        <v>13290</v>
      </c>
      <c r="W6641" t="s">
        <v>19875</v>
      </c>
      <c r="X6641">
        <v>2</v>
      </c>
      <c r="Y6641" t="s">
        <v>26329</v>
      </c>
      <c r="Z6641" t="s">
        <v>32971</v>
      </c>
      <c r="AA6641">
        <v>0.22686838898047551</v>
      </c>
      <c r="AB6641" t="str">
        <f>HYPERLINK("Melting_Curves/meltCurve_R4GND3_PHLDA1.pdf", "Melting_Curves/meltCurve_R4GND3_PHLDA1.pdf")</f>
        <v>Melting_Curves/meltCurve_R4GND3_PHLDA1.pdf</v>
      </c>
    </row>
    <row r="6642" spans="1:28" x14ac:dyDescent="0.25">
      <c r="A6642" t="s">
        <v>6646</v>
      </c>
      <c r="B6642">
        <v>0.99252571173614901</v>
      </c>
      <c r="C6642">
        <v>0.80645389500995801</v>
      </c>
      <c r="D6642">
        <v>0.49856025649770602</v>
      </c>
      <c r="E6642">
        <v>0.25189401430759301</v>
      </c>
      <c r="F6642">
        <v>0.16046938091780999</v>
      </c>
      <c r="G6642">
        <v>0.113812656690678</v>
      </c>
      <c r="H6642">
        <v>8.3394534073199703E-2</v>
      </c>
      <c r="I6642">
        <v>7.0618313544720895E-2</v>
      </c>
      <c r="J6642">
        <v>6.0358868088886297E-2</v>
      </c>
      <c r="K6642">
        <v>5.3036007880173201E-2</v>
      </c>
      <c r="L6642">
        <v>891.081747351432</v>
      </c>
      <c r="M6642">
        <v>19.443574949323601</v>
      </c>
      <c r="N6642">
        <v>46.207689123970297</v>
      </c>
      <c r="O6642">
        <v>45.3525950122512</v>
      </c>
      <c r="P6642">
        <v>-9.9292146122825595E-2</v>
      </c>
      <c r="Q6642">
        <v>7.3628669712889006E-2</v>
      </c>
      <c r="R6642">
        <v>0.99585865292942599</v>
      </c>
      <c r="S6642" t="s">
        <v>13288</v>
      </c>
      <c r="T6642" t="s">
        <v>13290</v>
      </c>
      <c r="U6642" t="s">
        <v>13290</v>
      </c>
      <c r="V6642" t="s">
        <v>13290</v>
      </c>
      <c r="W6642" t="s">
        <v>19876</v>
      </c>
      <c r="X6642">
        <v>1</v>
      </c>
      <c r="Y6642" t="s">
        <v>26330</v>
      </c>
      <c r="Z6642" t="s">
        <v>32972</v>
      </c>
      <c r="AA6642">
        <v>0.26909872865983042</v>
      </c>
      <c r="AB6642" t="str">
        <f>HYPERLINK("Melting_Curves/meltCurve_R4GND4_ACD.pdf", "Melting_Curves/meltCurve_R4GND4_ACD.pdf")</f>
        <v>Melting_Curves/meltCurve_R4GND4_ACD.pdf</v>
      </c>
    </row>
    <row r="6643" spans="1:28" x14ac:dyDescent="0.25">
      <c r="A6643" t="s">
        <v>6647</v>
      </c>
      <c r="B6643">
        <v>0.99252571173614901</v>
      </c>
      <c r="C6643">
        <v>0.96896076565904099</v>
      </c>
      <c r="D6643">
        <v>0.98435305100160797</v>
      </c>
      <c r="E6643">
        <v>0.89690907817841703</v>
      </c>
      <c r="F6643">
        <v>0.63987260642692101</v>
      </c>
      <c r="G6643">
        <v>0.27322720794220601</v>
      </c>
      <c r="H6643">
        <v>0.116505703977999</v>
      </c>
      <c r="I6643">
        <v>0.107848813237719</v>
      </c>
      <c r="J6643">
        <v>0.12911464140784801</v>
      </c>
      <c r="K6643">
        <v>0.131289591477909</v>
      </c>
      <c r="L6643">
        <v>1493.8835216846801</v>
      </c>
      <c r="M6643">
        <v>27.763885144132299</v>
      </c>
      <c r="N6643">
        <v>54.288207368529797</v>
      </c>
      <c r="O6643">
        <v>53.529895247813002</v>
      </c>
      <c r="P6643">
        <v>-0.115515521159979</v>
      </c>
      <c r="Q6643">
        <v>0.109133482404885</v>
      </c>
      <c r="R6643">
        <v>0.99762145814696801</v>
      </c>
      <c r="S6643" t="s">
        <v>13289</v>
      </c>
      <c r="T6643" t="s">
        <v>13290</v>
      </c>
      <c r="U6643" t="s">
        <v>13290</v>
      </c>
      <c r="V6643" t="s">
        <v>13290</v>
      </c>
      <c r="W6643" t="s">
        <v>19877</v>
      </c>
      <c r="X6643">
        <v>27</v>
      </c>
      <c r="Y6643" t="s">
        <v>26331</v>
      </c>
      <c r="Z6643" t="s">
        <v>32973</v>
      </c>
      <c r="AA6643">
        <v>0.52590513439706155</v>
      </c>
      <c r="AB6643" t="str">
        <f>HYPERLINK("Melting_Curves/meltCurve_R4GNH3_PSMC3.pdf", "Melting_Curves/meltCurve_R4GNH3_PSMC3.pdf")</f>
        <v>Melting_Curves/meltCurve_R4GNH3_PSMC3.pdf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2017-09-14T13:07:30Z</dcterms:created>
  <dcterms:modified xsi:type="dcterms:W3CDTF">2018-08-08T12:14:44Z</dcterms:modified>
</cp:coreProperties>
</file>